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E:\OneDrive\证券交易\"/>
    </mc:Choice>
  </mc:AlternateContent>
  <bookViews>
    <workbookView xWindow="0" yWindow="0" windowWidth="23040" windowHeight="9144" firstSheet="1" activeTab="4"/>
  </bookViews>
  <sheets>
    <sheet name="汇总统计" sheetId="9" r:id="rId1"/>
    <sheet name="盈亏统计" sheetId="14" r:id="rId2"/>
    <sheet name="逐日资产统计" sheetId="8" r:id="rId3"/>
    <sheet name="金融街777" sheetId="16" r:id="rId4"/>
    <sheet name="东华科技" sheetId="18" r:id="rId5"/>
    <sheet name="中信银行" sheetId="19" r:id="rId6"/>
    <sheet name="渤海租赁" sheetId="20" r:id="rId7"/>
    <sheet name="红蜻蜓" sheetId="21" r:id="rId8"/>
    <sheet name="赣粤高速" sheetId="17" r:id="rId9"/>
    <sheet name="越秀金控" sheetId="12" r:id="rId10"/>
    <sheet name="工商银行" sheetId="15" r:id="rId11"/>
    <sheet name="柳工" sheetId="1" r:id="rId12"/>
    <sheet name="金融街" sheetId="6" r:id="rId13"/>
  </sheets>
  <functionGroups builtInGroupCount="18"/>
  <definedNames>
    <definedName name="_xlnm._FilterDatabase" localSheetId="0" hidden="1">汇总统计!$F$1:$N$272</definedName>
    <definedName name="_xlnm._FilterDatabase" localSheetId="11" hidden="1">柳工!$A$1:$AB$1</definedName>
    <definedName name="_xlnm._FilterDatabase" localSheetId="2" hidden="1">逐日资产统计!$A$1:$J$4190</definedName>
    <definedName name="_xlcn.LinkedTable_表41" hidden="1">表4[]</definedName>
  </definedNames>
  <calcPr calcId="162913"/>
  <pivotCaches>
    <pivotCache cacheId="1" r:id="rId14"/>
  </pivotCaches>
</workbook>
</file>

<file path=xl/calcChain.xml><?xml version="1.0" encoding="utf-8"?>
<calcChain xmlns="http://schemas.openxmlformats.org/spreadsheetml/2006/main">
  <c r="F155" i="20" l="1"/>
  <c r="Z155" i="20" s="1"/>
  <c r="H155" i="20"/>
  <c r="G155" i="20" s="1"/>
  <c r="J155" i="20" s="1"/>
  <c r="J156" i="20"/>
  <c r="J157" i="20"/>
  <c r="J158" i="20"/>
  <c r="J159" i="20"/>
  <c r="J160" i="20"/>
  <c r="J161" i="20"/>
  <c r="J162" i="20"/>
  <c r="K156" i="20"/>
  <c r="I156" i="20" s="1"/>
  <c r="K157" i="20"/>
  <c r="I157" i="20" s="1"/>
  <c r="K158" i="20"/>
  <c r="I158" i="20" s="1"/>
  <c r="K159" i="20"/>
  <c r="I159" i="20" s="1"/>
  <c r="K160" i="20"/>
  <c r="I160" i="20" s="1"/>
  <c r="K161" i="20"/>
  <c r="I161" i="20" s="1"/>
  <c r="K162" i="20"/>
  <c r="I162" i="20" s="1"/>
  <c r="Q157" i="20"/>
  <c r="Q158" i="20"/>
  <c r="Q159" i="20"/>
  <c r="Q160" i="20"/>
  <c r="Q161" i="20"/>
  <c r="Q162" i="20"/>
  <c r="Z156" i="20"/>
  <c r="Z157" i="20"/>
  <c r="Z158" i="20"/>
  <c r="Z159" i="20"/>
  <c r="Z160" i="20"/>
  <c r="Z161" i="20"/>
  <c r="Z162" i="20"/>
  <c r="M155" i="20"/>
  <c r="O155" i="20"/>
  <c r="R155" i="20"/>
  <c r="R159" i="20"/>
  <c r="R156" i="20"/>
  <c r="R160" i="20"/>
  <c r="R158" i="20"/>
  <c r="R157" i="20"/>
  <c r="R161" i="20"/>
  <c r="R162" i="20"/>
  <c r="P176" i="19"/>
  <c r="O176" i="19"/>
  <c r="N176" i="19"/>
  <c r="M176" i="19"/>
  <c r="K155" i="20" l="1"/>
  <c r="I155" i="20" s="1"/>
  <c r="Q156" i="20"/>
  <c r="Q155" i="20"/>
  <c r="L162" i="20"/>
  <c r="AC162" i="20"/>
  <c r="AD162" i="20" s="1"/>
  <c r="L161" i="20"/>
  <c r="AC161" i="20"/>
  <c r="AD161" i="20" s="1"/>
  <c r="L157" i="20"/>
  <c r="AC157" i="20"/>
  <c r="AD157" i="20" s="1"/>
  <c r="L156" i="20"/>
  <c r="AC156" i="20"/>
  <c r="AD156" i="20" s="1"/>
  <c r="L158" i="20"/>
  <c r="AC158" i="20"/>
  <c r="AD158" i="20" s="1"/>
  <c r="L160" i="20"/>
  <c r="AC160" i="20"/>
  <c r="AD160" i="20" s="1"/>
  <c r="L159" i="20"/>
  <c r="AC159" i="20"/>
  <c r="AD159" i="20" s="1"/>
  <c r="L155" i="20"/>
  <c r="AC155" i="20"/>
  <c r="AD155" i="20" s="1"/>
  <c r="Z177" i="19"/>
  <c r="Z178" i="19"/>
  <c r="Z179" i="19"/>
  <c r="Z180" i="19"/>
  <c r="Z181" i="19"/>
  <c r="Z182" i="19"/>
  <c r="Z183" i="19"/>
  <c r="Z184" i="19"/>
  <c r="Z185" i="19"/>
  <c r="Z186" i="19"/>
  <c r="Z187" i="19"/>
  <c r="P534" i="18"/>
  <c r="O534" i="18"/>
  <c r="N534" i="18"/>
  <c r="R180" i="19"/>
  <c r="R184" i="19"/>
  <c r="R182" i="19"/>
  <c r="R179" i="19"/>
  <c r="R187" i="19"/>
  <c r="O187" i="19"/>
  <c r="R177" i="19"/>
  <c r="R181" i="19"/>
  <c r="R185" i="19"/>
  <c r="M187" i="19"/>
  <c r="R178" i="19"/>
  <c r="R186" i="19"/>
  <c r="R183" i="19"/>
  <c r="P235" i="21"/>
  <c r="O235" i="21"/>
  <c r="N235" i="21"/>
  <c r="M235" i="21"/>
  <c r="P77" i="17"/>
  <c r="O77" i="17"/>
  <c r="M77" i="17"/>
  <c r="E535" i="18" l="1"/>
  <c r="E536" i="18" s="1"/>
  <c r="E537" i="18" s="1"/>
  <c r="E538" i="18" s="1"/>
  <c r="E539" i="18" s="1"/>
  <c r="E540" i="18" s="1"/>
  <c r="E541" i="18" s="1"/>
  <c r="E542" i="18" s="1"/>
  <c r="E543" i="18" s="1"/>
  <c r="E544" i="18" s="1"/>
  <c r="E545" i="18" s="1"/>
  <c r="E546" i="18" s="1"/>
  <c r="E547" i="18" s="1"/>
  <c r="E548" i="18" s="1"/>
  <c r="E549" i="18" s="1"/>
  <c r="E550" i="18" s="1"/>
  <c r="E551" i="18" s="1"/>
  <c r="E552" i="18" s="1"/>
  <c r="E553" i="18" s="1"/>
  <c r="AM35" i="14" l="1"/>
  <c r="AN35" i="14"/>
  <c r="AO35" i="14" s="1"/>
  <c r="AP35" i="14"/>
  <c r="AM36" i="14"/>
  <c r="AN36" i="14"/>
  <c r="AO36" i="14" s="1"/>
  <c r="AP36" i="14"/>
  <c r="AM37" i="14"/>
  <c r="AN37" i="14"/>
  <c r="AO37" i="14" s="1"/>
  <c r="AP37" i="14"/>
  <c r="E236" i="21"/>
  <c r="E237" i="21" s="1"/>
  <c r="E238" i="21" s="1"/>
  <c r="E239" i="21" s="1"/>
  <c r="E240" i="21" s="1"/>
  <c r="E241" i="21" s="1"/>
  <c r="E242" i="21" s="1"/>
  <c r="E243" i="21" s="1"/>
  <c r="E244" i="21" s="1"/>
  <c r="E245" i="21" s="1"/>
  <c r="E246" i="21" s="1"/>
  <c r="E247" i="21" s="1"/>
  <c r="E248" i="21" s="1"/>
  <c r="E249" i="21" s="1"/>
  <c r="E250" i="21" s="1"/>
  <c r="E251" i="21" s="1"/>
  <c r="E252" i="21" s="1"/>
  <c r="E253" i="21" s="1"/>
  <c r="F25" i="16"/>
  <c r="E13" i="16"/>
  <c r="E14" i="16" s="1"/>
  <c r="F12" i="16"/>
  <c r="K12" i="16" s="1"/>
  <c r="F13" i="16"/>
  <c r="F14" i="16"/>
  <c r="F15" i="16"/>
  <c r="E76" i="17"/>
  <c r="E77" i="17" s="1"/>
  <c r="E78" i="17" s="1"/>
  <c r="E79" i="17" s="1"/>
  <c r="E80" i="17" s="1"/>
  <c r="E81" i="17" s="1"/>
  <c r="E82" i="17" s="1"/>
  <c r="E83" i="17" s="1"/>
  <c r="E84" i="17" s="1"/>
  <c r="E85" i="17" s="1"/>
  <c r="E86" i="17" s="1"/>
  <c r="E87" i="17" s="1"/>
  <c r="E88" i="17" s="1"/>
  <c r="E89" i="17" s="1"/>
  <c r="E90" i="17" s="1"/>
  <c r="E91" i="17" s="1"/>
  <c r="E92" i="17" s="1"/>
  <c r="E93" i="17" s="1"/>
  <c r="E94" i="17" s="1"/>
  <c r="E95" i="17" s="1"/>
  <c r="E96" i="17" s="1"/>
  <c r="J97" i="17"/>
  <c r="J98" i="17"/>
  <c r="J99" i="17"/>
  <c r="J100" i="17"/>
  <c r="J101" i="17"/>
  <c r="J102" i="17"/>
  <c r="J103" i="17"/>
  <c r="J104" i="17"/>
  <c r="J105" i="17"/>
  <c r="J106" i="17"/>
  <c r="J107" i="17"/>
  <c r="J108" i="17"/>
  <c r="J109" i="17"/>
  <c r="K97" i="17"/>
  <c r="I97" i="17" s="1"/>
  <c r="K98" i="17"/>
  <c r="I98" i="17" s="1"/>
  <c r="K99" i="17"/>
  <c r="I99" i="17" s="1"/>
  <c r="K100" i="17"/>
  <c r="I100" i="17" s="1"/>
  <c r="K101" i="17"/>
  <c r="I101" i="17" s="1"/>
  <c r="K102" i="17"/>
  <c r="I102" i="17" s="1"/>
  <c r="K103" i="17"/>
  <c r="I103" i="17" s="1"/>
  <c r="K104" i="17"/>
  <c r="I104" i="17" s="1"/>
  <c r="K105" i="17"/>
  <c r="I105" i="17" s="1"/>
  <c r="K106" i="17"/>
  <c r="I106" i="17" s="1"/>
  <c r="K107" i="17"/>
  <c r="I107" i="17" s="1"/>
  <c r="K108" i="17"/>
  <c r="I108" i="17" s="1"/>
  <c r="K109" i="17"/>
  <c r="I109" i="17" s="1"/>
  <c r="Q98" i="17"/>
  <c r="Q99" i="17"/>
  <c r="Q100" i="17"/>
  <c r="Q101" i="17"/>
  <c r="Q102" i="17"/>
  <c r="Q103" i="17"/>
  <c r="Q104" i="17"/>
  <c r="Q105" i="17"/>
  <c r="Q106" i="17"/>
  <c r="Q107" i="17"/>
  <c r="Q108" i="17"/>
  <c r="Q109" i="17"/>
  <c r="Z97" i="17"/>
  <c r="Z98" i="17"/>
  <c r="Z99" i="17"/>
  <c r="Z100" i="17"/>
  <c r="Z101" i="17"/>
  <c r="Z102" i="17"/>
  <c r="Z103" i="17"/>
  <c r="Z104" i="17"/>
  <c r="Z105" i="17"/>
  <c r="Z106" i="17"/>
  <c r="Z107" i="17"/>
  <c r="Z108" i="17"/>
  <c r="Z109" i="17"/>
  <c r="R543" i="18"/>
  <c r="R544" i="18"/>
  <c r="R545" i="18"/>
  <c r="R243" i="21"/>
  <c r="R240" i="21"/>
  <c r="R237" i="21"/>
  <c r="R238" i="21"/>
  <c r="R80" i="17"/>
  <c r="R109" i="17"/>
  <c r="R103" i="17"/>
  <c r="R97" i="17"/>
  <c r="R107" i="17"/>
  <c r="R101" i="17"/>
  <c r="R95" i="17"/>
  <c r="R105" i="17"/>
  <c r="R99" i="17"/>
  <c r="R542" i="18"/>
  <c r="R547" i="18"/>
  <c r="R548" i="18"/>
  <c r="R549" i="18"/>
  <c r="R244" i="21"/>
  <c r="R241" i="21"/>
  <c r="R242" i="21"/>
  <c r="R96" i="17"/>
  <c r="R86" i="17"/>
  <c r="R84" i="17"/>
  <c r="R90" i="17"/>
  <c r="R88" i="17"/>
  <c r="R78" i="17"/>
  <c r="R92" i="17"/>
  <c r="R82" i="17"/>
  <c r="R12" i="16"/>
  <c r="R546" i="18"/>
  <c r="R551" i="18"/>
  <c r="R552" i="18"/>
  <c r="R553" i="18"/>
  <c r="R245" i="21"/>
  <c r="R77" i="17"/>
  <c r="R102" i="17"/>
  <c r="R100" i="17"/>
  <c r="R106" i="17"/>
  <c r="R104" i="17"/>
  <c r="R94" i="17"/>
  <c r="R108" i="17"/>
  <c r="R98" i="17"/>
  <c r="R14" i="16"/>
  <c r="R550" i="18"/>
  <c r="R540" i="18"/>
  <c r="R541" i="18"/>
  <c r="R239" i="21"/>
  <c r="R236" i="21"/>
  <c r="R93" i="17"/>
  <c r="R87" i="17"/>
  <c r="R81" i="17"/>
  <c r="R91" i="17"/>
  <c r="R85" i="17"/>
  <c r="R79" i="17"/>
  <c r="R89" i="17"/>
  <c r="R83" i="17"/>
  <c r="R13" i="16"/>
  <c r="R253" i="21"/>
  <c r="R252" i="21"/>
  <c r="R251" i="21"/>
  <c r="R247" i="21"/>
  <c r="R246" i="21"/>
  <c r="R249" i="21"/>
  <c r="R250" i="21"/>
  <c r="R248" i="21"/>
  <c r="AQ36" i="14" l="1"/>
  <c r="AQ37" i="14"/>
  <c r="K13" i="16"/>
  <c r="F26" i="16"/>
  <c r="F27" i="16"/>
  <c r="E15" i="16"/>
  <c r="K15" i="16" s="1"/>
  <c r="K14" i="16"/>
  <c r="F16" i="16"/>
  <c r="L107" i="17"/>
  <c r="AC107" i="17"/>
  <c r="AD107" i="17" s="1"/>
  <c r="L103" i="17"/>
  <c r="AC103" i="17"/>
  <c r="AD103" i="17" s="1"/>
  <c r="L99" i="17"/>
  <c r="AC99" i="17"/>
  <c r="AD99" i="17" s="1"/>
  <c r="L106" i="17"/>
  <c r="AC106" i="17"/>
  <c r="AD106" i="17" s="1"/>
  <c r="L102" i="17"/>
  <c r="AC102" i="17"/>
  <c r="AD102" i="17" s="1"/>
  <c r="L98" i="17"/>
  <c r="AC98" i="17"/>
  <c r="AD98" i="17" s="1"/>
  <c r="AC109" i="17"/>
  <c r="AD109" i="17" s="1"/>
  <c r="L109" i="17"/>
  <c r="AC105" i="17"/>
  <c r="AD105" i="17" s="1"/>
  <c r="L105" i="17"/>
  <c r="AC101" i="17"/>
  <c r="AD101" i="17" s="1"/>
  <c r="L101" i="17"/>
  <c r="AC97" i="17"/>
  <c r="AD97" i="17" s="1"/>
  <c r="AC108" i="17"/>
  <c r="AD108" i="17" s="1"/>
  <c r="L108" i="17"/>
  <c r="AC104" i="17"/>
  <c r="AD104" i="17" s="1"/>
  <c r="L104" i="17"/>
  <c r="AC100" i="17"/>
  <c r="AD100" i="17" s="1"/>
  <c r="L100" i="17"/>
  <c r="F11" i="16"/>
  <c r="K11" i="16" s="1"/>
  <c r="R534" i="18"/>
  <c r="R536" i="18"/>
  <c r="R11" i="16"/>
  <c r="R539" i="18"/>
  <c r="R535" i="18"/>
  <c r="R163" i="20"/>
  <c r="R537" i="18"/>
  <c r="R76" i="17"/>
  <c r="R533" i="18"/>
  <c r="R538" i="18"/>
  <c r="R532" i="18"/>
  <c r="R15" i="16"/>
  <c r="R235" i="21"/>
  <c r="R188" i="19"/>
  <c r="F28" i="16" l="1"/>
  <c r="E16" i="16"/>
  <c r="K16" i="16"/>
  <c r="F17" i="16"/>
  <c r="H11" i="16"/>
  <c r="R16" i="16"/>
  <c r="Q11" i="16" l="1"/>
  <c r="H12" i="16"/>
  <c r="F29" i="16"/>
  <c r="E17" i="16"/>
  <c r="K17" i="16"/>
  <c r="F18" i="16"/>
  <c r="G11" i="16"/>
  <c r="J11" i="16" s="1"/>
  <c r="I11" i="16"/>
  <c r="S10" i="16"/>
  <c r="K10" i="16"/>
  <c r="I10" i="16" s="1"/>
  <c r="H10" i="16"/>
  <c r="E159" i="21"/>
  <c r="E149" i="21"/>
  <c r="E147" i="21"/>
  <c r="E69" i="21"/>
  <c r="F3" i="20"/>
  <c r="F4" i="20" s="1"/>
  <c r="F5" i="20" s="1"/>
  <c r="Q2" i="20"/>
  <c r="L2" i="20"/>
  <c r="E127" i="19"/>
  <c r="E123" i="19"/>
  <c r="E476" i="18"/>
  <c r="E462" i="18"/>
  <c r="E279" i="18"/>
  <c r="E280" i="18" s="1"/>
  <c r="E244" i="18"/>
  <c r="R91" i="20"/>
  <c r="R154" i="20"/>
  <c r="R86" i="20"/>
  <c r="R60" i="20"/>
  <c r="R114" i="20"/>
  <c r="R109" i="20"/>
  <c r="R26" i="20"/>
  <c r="R27" i="20"/>
  <c r="R17" i="20"/>
  <c r="R151" i="20"/>
  <c r="R135" i="20"/>
  <c r="R119" i="20"/>
  <c r="R103" i="20"/>
  <c r="R87" i="20"/>
  <c r="R73" i="20"/>
  <c r="R57" i="20"/>
  <c r="R43" i="20"/>
  <c r="R124" i="20"/>
  <c r="R76" i="20"/>
  <c r="R81" i="20"/>
  <c r="R82" i="20"/>
  <c r="R77" i="20"/>
  <c r="R11" i="20"/>
  <c r="R10" i="20"/>
  <c r="R25" i="20"/>
  <c r="R147" i="20"/>
  <c r="R131" i="20"/>
  <c r="R115" i="20"/>
  <c r="R99" i="20"/>
  <c r="R83" i="20"/>
  <c r="R69" i="20"/>
  <c r="R55" i="20"/>
  <c r="R39" i="20"/>
  <c r="R152" i="20"/>
  <c r="R136" i="20"/>
  <c r="R120" i="20"/>
  <c r="R104" i="20"/>
  <c r="R88" i="20"/>
  <c r="R72" i="20"/>
  <c r="R56" i="20"/>
  <c r="R137" i="20"/>
  <c r="R105" i="20"/>
  <c r="R74" i="20"/>
  <c r="R49" i="20"/>
  <c r="R138" i="20"/>
  <c r="R106" i="20"/>
  <c r="R71" i="20"/>
  <c r="R40" i="20"/>
  <c r="R133" i="20"/>
  <c r="R101" i="20"/>
  <c r="R70" i="20"/>
  <c r="R38" i="20"/>
  <c r="R94" i="20"/>
  <c r="R23" i="20"/>
  <c r="R7" i="20"/>
  <c r="R150" i="20"/>
  <c r="R48" i="20"/>
  <c r="R22" i="20"/>
  <c r="R6" i="20"/>
  <c r="R142" i="20"/>
  <c r="R31" i="20"/>
  <c r="R13" i="20"/>
  <c r="R20" i="20"/>
  <c r="R139" i="20"/>
  <c r="R107" i="20"/>
  <c r="R75" i="20"/>
  <c r="R47" i="20"/>
  <c r="R144" i="20"/>
  <c r="R112" i="20"/>
  <c r="R80" i="20"/>
  <c r="R153" i="20"/>
  <c r="R89" i="20"/>
  <c r="R122" i="20"/>
  <c r="R53" i="20"/>
  <c r="R117" i="20"/>
  <c r="R44" i="20"/>
  <c r="R34" i="20"/>
  <c r="R134" i="20"/>
  <c r="R14" i="20"/>
  <c r="R78" i="20"/>
  <c r="R5" i="20"/>
  <c r="R24" i="20"/>
  <c r="R108" i="20"/>
  <c r="R145" i="20"/>
  <c r="R52" i="20"/>
  <c r="R50" i="20"/>
  <c r="R41" i="20"/>
  <c r="R102" i="20"/>
  <c r="R8" i="20"/>
  <c r="R17" i="16"/>
  <c r="R143" i="20"/>
  <c r="R127" i="20"/>
  <c r="R111" i="20"/>
  <c r="R95" i="20"/>
  <c r="R79" i="20"/>
  <c r="R65" i="20"/>
  <c r="R51" i="20"/>
  <c r="R32" i="20"/>
  <c r="R148" i="20"/>
  <c r="R132" i="20"/>
  <c r="R116" i="20"/>
  <c r="R100" i="20"/>
  <c r="R84" i="20"/>
  <c r="R68" i="20"/>
  <c r="R54" i="20"/>
  <c r="R129" i="20"/>
  <c r="R97" i="20"/>
  <c r="R66" i="20"/>
  <c r="R46" i="20"/>
  <c r="R130" i="20"/>
  <c r="R98" i="20"/>
  <c r="R63" i="20"/>
  <c r="R37" i="20"/>
  <c r="R125" i="20"/>
  <c r="R93" i="20"/>
  <c r="R62" i="20"/>
  <c r="R33" i="20"/>
  <c r="R67" i="20"/>
  <c r="R19" i="20"/>
  <c r="R3" i="20"/>
  <c r="R118" i="20"/>
  <c r="R36" i="20"/>
  <c r="R18" i="20"/>
  <c r="R42" i="20"/>
  <c r="R110" i="20"/>
  <c r="R29" i="20"/>
  <c r="R9" i="20"/>
  <c r="R16" i="20"/>
  <c r="R123" i="20"/>
  <c r="R61" i="20"/>
  <c r="R28" i="20"/>
  <c r="R128" i="20"/>
  <c r="R96" i="20"/>
  <c r="R64" i="20"/>
  <c r="R121" i="20"/>
  <c r="R58" i="20"/>
  <c r="R90" i="20"/>
  <c r="R149" i="20"/>
  <c r="R85" i="20"/>
  <c r="R30" i="20"/>
  <c r="R15" i="20"/>
  <c r="R35" i="20"/>
  <c r="R12" i="20"/>
  <c r="R21" i="20"/>
  <c r="R4" i="20"/>
  <c r="R140" i="20"/>
  <c r="R92" i="20"/>
  <c r="R113" i="20"/>
  <c r="R146" i="20"/>
  <c r="R141" i="20"/>
  <c r="R126" i="20"/>
  <c r="R59" i="20"/>
  <c r="R45" i="20"/>
  <c r="H13" i="16" l="1"/>
  <c r="G12" i="16"/>
  <c r="J12" i="16" s="1"/>
  <c r="Q12" i="16"/>
  <c r="I12" i="16"/>
  <c r="L12" i="16" s="1"/>
  <c r="F30" i="16"/>
  <c r="E18" i="16"/>
  <c r="K18" i="16"/>
  <c r="F19" i="16"/>
  <c r="L11" i="16"/>
  <c r="K3" i="20"/>
  <c r="H3" i="20"/>
  <c r="F6" i="20"/>
  <c r="K5" i="20"/>
  <c r="K4" i="20"/>
  <c r="R18" i="16"/>
  <c r="G13" i="16" l="1"/>
  <c r="J13" i="16" s="1"/>
  <c r="I13" i="16"/>
  <c r="L13" i="16" s="1"/>
  <c r="Q13" i="16"/>
  <c r="H14" i="16"/>
  <c r="F31" i="16"/>
  <c r="E19" i="16"/>
  <c r="K19" i="16"/>
  <c r="F20" i="16"/>
  <c r="F7" i="20"/>
  <c r="K6" i="20"/>
  <c r="H4" i="20"/>
  <c r="Q3" i="20"/>
  <c r="I3" i="20"/>
  <c r="L3" i="20" s="1"/>
  <c r="G3" i="20"/>
  <c r="J3" i="20" s="1"/>
  <c r="R19" i="16"/>
  <c r="Q14" i="16" l="1"/>
  <c r="H15" i="16"/>
  <c r="G14" i="16"/>
  <c r="J14" i="16" s="1"/>
  <c r="I14" i="16"/>
  <c r="L14" i="16" s="1"/>
  <c r="F32" i="16"/>
  <c r="E20" i="16"/>
  <c r="K20" i="16"/>
  <c r="F21" i="16"/>
  <c r="H5" i="20"/>
  <c r="Q4" i="20"/>
  <c r="I4" i="20"/>
  <c r="L4" i="20" s="1"/>
  <c r="G4" i="20"/>
  <c r="J4" i="20" s="1"/>
  <c r="K7" i="20"/>
  <c r="F8" i="20"/>
  <c r="R20" i="16"/>
  <c r="I15" i="16" l="1"/>
  <c r="L15" i="16" s="1"/>
  <c r="Q15" i="16"/>
  <c r="G15" i="16"/>
  <c r="J15" i="16" s="1"/>
  <c r="H16" i="16"/>
  <c r="F33" i="16"/>
  <c r="E21" i="16"/>
  <c r="K21" i="16"/>
  <c r="F22" i="16"/>
  <c r="F9" i="20"/>
  <c r="K8" i="20"/>
  <c r="Q5" i="20"/>
  <c r="I5" i="20"/>
  <c r="L5" i="20" s="1"/>
  <c r="G5" i="20"/>
  <c r="J5" i="20" s="1"/>
  <c r="H6" i="20"/>
  <c r="R21" i="16"/>
  <c r="H17" i="16" l="1"/>
  <c r="G16" i="16"/>
  <c r="J16" i="16" s="1"/>
  <c r="Q16" i="16"/>
  <c r="I16" i="16"/>
  <c r="L16" i="16" s="1"/>
  <c r="F34" i="16"/>
  <c r="E22" i="16"/>
  <c r="K22" i="16"/>
  <c r="F23" i="16"/>
  <c r="G6" i="20"/>
  <c r="J6" i="20" s="1"/>
  <c r="H7" i="20"/>
  <c r="Q6" i="20"/>
  <c r="I6" i="20"/>
  <c r="L6" i="20" s="1"/>
  <c r="F10" i="20"/>
  <c r="K9" i="20"/>
  <c r="R22" i="16"/>
  <c r="Q17" i="16" l="1"/>
  <c r="H18" i="16"/>
  <c r="G17" i="16"/>
  <c r="J17" i="16" s="1"/>
  <c r="I17" i="16"/>
  <c r="L17" i="16" s="1"/>
  <c r="F35" i="16"/>
  <c r="E23" i="16"/>
  <c r="K23" i="16"/>
  <c r="F24" i="16"/>
  <c r="H8" i="20"/>
  <c r="Q7" i="20"/>
  <c r="I7" i="20"/>
  <c r="L7" i="20" s="1"/>
  <c r="G7" i="20"/>
  <c r="J7" i="20" s="1"/>
  <c r="F11" i="20"/>
  <c r="K10" i="20"/>
  <c r="R23" i="16"/>
  <c r="Q18" i="16" l="1"/>
  <c r="G18" i="16"/>
  <c r="J18" i="16" s="1"/>
  <c r="I18" i="16"/>
  <c r="L18" i="16" s="1"/>
  <c r="H19" i="16"/>
  <c r="F36" i="16"/>
  <c r="K24" i="16"/>
  <c r="E24" i="16"/>
  <c r="E25" i="16" s="1"/>
  <c r="K11" i="20"/>
  <c r="F12" i="20"/>
  <c r="H9" i="20"/>
  <c r="Q8" i="20"/>
  <c r="I8" i="20"/>
  <c r="L8" i="20" s="1"/>
  <c r="G8" i="20"/>
  <c r="J8" i="20" s="1"/>
  <c r="R25" i="16"/>
  <c r="R24" i="16"/>
  <c r="E26" i="16" l="1"/>
  <c r="K25" i="16"/>
  <c r="H20" i="16"/>
  <c r="I19" i="16"/>
  <c r="L19" i="16" s="1"/>
  <c r="Q19" i="16"/>
  <c r="G19" i="16"/>
  <c r="J19" i="16" s="1"/>
  <c r="F37" i="16"/>
  <c r="H10" i="20"/>
  <c r="G9" i="20"/>
  <c r="J9" i="20" s="1"/>
  <c r="I9" i="20"/>
  <c r="L9" i="20" s="1"/>
  <c r="Q9" i="20"/>
  <c r="F13" i="20"/>
  <c r="K12" i="20"/>
  <c r="R26" i="16"/>
  <c r="E27" i="16" l="1"/>
  <c r="K26" i="16"/>
  <c r="Q20" i="16"/>
  <c r="H21" i="16"/>
  <c r="I20" i="16"/>
  <c r="L20" i="16" s="1"/>
  <c r="G20" i="16"/>
  <c r="J20" i="16" s="1"/>
  <c r="F38" i="16"/>
  <c r="F14" i="20"/>
  <c r="K13" i="20"/>
  <c r="G10" i="20"/>
  <c r="J10" i="20" s="1"/>
  <c r="H11" i="20"/>
  <c r="Q10" i="20"/>
  <c r="I10" i="20"/>
  <c r="L10" i="20" s="1"/>
  <c r="R27" i="16"/>
  <c r="E28" i="16" l="1"/>
  <c r="K27" i="16"/>
  <c r="G21" i="16"/>
  <c r="J21" i="16" s="1"/>
  <c r="Q21" i="16"/>
  <c r="H22" i="16"/>
  <c r="I21" i="16"/>
  <c r="L21" i="16" s="1"/>
  <c r="F39" i="16"/>
  <c r="G11" i="20"/>
  <c r="J11" i="20" s="1"/>
  <c r="H12" i="20"/>
  <c r="Q11" i="20"/>
  <c r="I11" i="20"/>
  <c r="L11" i="20" s="1"/>
  <c r="F15" i="20"/>
  <c r="K14" i="20"/>
  <c r="R28" i="16"/>
  <c r="E29" i="16" l="1"/>
  <c r="K28" i="16"/>
  <c r="Q22" i="16"/>
  <c r="H23" i="16"/>
  <c r="G22" i="16"/>
  <c r="J22" i="16" s="1"/>
  <c r="I22" i="16"/>
  <c r="L22" i="16" s="1"/>
  <c r="F40" i="16"/>
  <c r="H13" i="20"/>
  <c r="Q12" i="20"/>
  <c r="I12" i="20"/>
  <c r="L12" i="20" s="1"/>
  <c r="G12" i="20"/>
  <c r="J12" i="20" s="1"/>
  <c r="K15" i="20"/>
  <c r="F16" i="20"/>
  <c r="R29" i="16"/>
  <c r="E30" i="16" l="1"/>
  <c r="K29" i="16"/>
  <c r="I23" i="16"/>
  <c r="L23" i="16" s="1"/>
  <c r="H24" i="16"/>
  <c r="Q23" i="16"/>
  <c r="G23" i="16"/>
  <c r="J23" i="16" s="1"/>
  <c r="F41" i="16"/>
  <c r="F17" i="20"/>
  <c r="K16" i="20"/>
  <c r="H14" i="20"/>
  <c r="G13" i="20"/>
  <c r="J13" i="20" s="1"/>
  <c r="Q13" i="20"/>
  <c r="I13" i="20"/>
  <c r="L13" i="20" s="1"/>
  <c r="R30" i="16"/>
  <c r="E31" i="16" l="1"/>
  <c r="K30" i="16"/>
  <c r="H25" i="16"/>
  <c r="I24" i="16"/>
  <c r="L24" i="16" s="1"/>
  <c r="Q24" i="16"/>
  <c r="G24" i="16"/>
  <c r="J24" i="16" s="1"/>
  <c r="F42" i="16"/>
  <c r="G14" i="20"/>
  <c r="J14" i="20" s="1"/>
  <c r="H15" i="20"/>
  <c r="Q14" i="20"/>
  <c r="I14" i="20"/>
  <c r="L14" i="20" s="1"/>
  <c r="F18" i="20"/>
  <c r="K17" i="20"/>
  <c r="R31" i="16"/>
  <c r="E32" i="16" l="1"/>
  <c r="K31" i="16"/>
  <c r="H26" i="16"/>
  <c r="G25" i="16"/>
  <c r="J25" i="16" s="1"/>
  <c r="I25" i="16"/>
  <c r="L25" i="16" s="1"/>
  <c r="Q25" i="16"/>
  <c r="F43" i="16"/>
  <c r="G15" i="20"/>
  <c r="J15" i="20" s="1"/>
  <c r="H16" i="20"/>
  <c r="Q15" i="20"/>
  <c r="I15" i="20"/>
  <c r="L15" i="20" s="1"/>
  <c r="F19" i="20"/>
  <c r="K18" i="20"/>
  <c r="R32" i="16"/>
  <c r="E33" i="16" l="1"/>
  <c r="K32" i="16"/>
  <c r="H27" i="16"/>
  <c r="G26" i="16"/>
  <c r="J26" i="16" s="1"/>
  <c r="I26" i="16"/>
  <c r="L26" i="16" s="1"/>
  <c r="Q26" i="16"/>
  <c r="F44" i="16"/>
  <c r="H17" i="20"/>
  <c r="Q16" i="20"/>
  <c r="I16" i="20"/>
  <c r="L16" i="20" s="1"/>
  <c r="G16" i="20"/>
  <c r="J16" i="20" s="1"/>
  <c r="K19" i="20"/>
  <c r="F20" i="20"/>
  <c r="R33" i="16"/>
  <c r="E34" i="16" l="1"/>
  <c r="K33" i="16"/>
  <c r="G27" i="16"/>
  <c r="J27" i="16" s="1"/>
  <c r="I27" i="16"/>
  <c r="L27" i="16" s="1"/>
  <c r="Q27" i="16"/>
  <c r="H28" i="16"/>
  <c r="F45" i="16"/>
  <c r="F21" i="20"/>
  <c r="K20" i="20"/>
  <c r="Q17" i="20"/>
  <c r="I17" i="20"/>
  <c r="L17" i="20" s="1"/>
  <c r="G17" i="20"/>
  <c r="J17" i="20" s="1"/>
  <c r="H18" i="20"/>
  <c r="R34" i="16"/>
  <c r="E35" i="16" l="1"/>
  <c r="K34" i="16"/>
  <c r="Q28" i="16"/>
  <c r="I28" i="16"/>
  <c r="L28" i="16" s="1"/>
  <c r="H29" i="16"/>
  <c r="G28" i="16"/>
  <c r="J28" i="16" s="1"/>
  <c r="G18" i="20"/>
  <c r="J18" i="20" s="1"/>
  <c r="H19" i="20"/>
  <c r="Q18" i="20"/>
  <c r="I18" i="20"/>
  <c r="L18" i="20" s="1"/>
  <c r="F22" i="20"/>
  <c r="K21" i="20"/>
  <c r="R35" i="16"/>
  <c r="E36" i="16" l="1"/>
  <c r="K35" i="16"/>
  <c r="G29" i="16"/>
  <c r="J29" i="16" s="1"/>
  <c r="I29" i="16"/>
  <c r="L29" i="16" s="1"/>
  <c r="Q29" i="16"/>
  <c r="H30" i="16"/>
  <c r="H20" i="20"/>
  <c r="Q19" i="20"/>
  <c r="I19" i="20"/>
  <c r="L19" i="20" s="1"/>
  <c r="G19" i="20"/>
  <c r="J19" i="20" s="1"/>
  <c r="F23" i="20"/>
  <c r="K22" i="20"/>
  <c r="R36" i="16"/>
  <c r="E37" i="16" l="1"/>
  <c r="K36" i="16"/>
  <c r="G30" i="16"/>
  <c r="J30" i="16" s="1"/>
  <c r="H31" i="16"/>
  <c r="I30" i="16"/>
  <c r="L30" i="16" s="1"/>
  <c r="Q30" i="16"/>
  <c r="F24" i="20"/>
  <c r="K23" i="20"/>
  <c r="H21" i="20"/>
  <c r="Q20" i="20"/>
  <c r="I20" i="20"/>
  <c r="L20" i="20" s="1"/>
  <c r="G20" i="20"/>
  <c r="J20" i="20" s="1"/>
  <c r="R37" i="16"/>
  <c r="E38" i="16" l="1"/>
  <c r="K37" i="16"/>
  <c r="Q31" i="16"/>
  <c r="H32" i="16"/>
  <c r="G31" i="16"/>
  <c r="J31" i="16" s="1"/>
  <c r="I31" i="16"/>
  <c r="L31" i="16" s="1"/>
  <c r="I21" i="20"/>
  <c r="L21" i="20" s="1"/>
  <c r="G21" i="20"/>
  <c r="J21" i="20" s="1"/>
  <c r="H22" i="20"/>
  <c r="Q21" i="20"/>
  <c r="K24" i="20"/>
  <c r="F25" i="20"/>
  <c r="R38" i="16"/>
  <c r="E39" i="16" l="1"/>
  <c r="K38" i="16"/>
  <c r="I32" i="16"/>
  <c r="L32" i="16" s="1"/>
  <c r="G32" i="16"/>
  <c r="J32" i="16" s="1"/>
  <c r="Q32" i="16"/>
  <c r="H33" i="16"/>
  <c r="G22" i="20"/>
  <c r="J22" i="20" s="1"/>
  <c r="H23" i="20"/>
  <c r="Q22" i="20"/>
  <c r="I22" i="20"/>
  <c r="L22" i="20" s="1"/>
  <c r="K25" i="20"/>
  <c r="F26" i="20"/>
  <c r="R39" i="16"/>
  <c r="E40" i="16" l="1"/>
  <c r="K39" i="16"/>
  <c r="I33" i="16"/>
  <c r="L33" i="16" s="1"/>
  <c r="Q33" i="16"/>
  <c r="G33" i="16"/>
  <c r="J33" i="16" s="1"/>
  <c r="H34" i="16"/>
  <c r="Q23" i="20"/>
  <c r="I23" i="20"/>
  <c r="L23" i="20" s="1"/>
  <c r="G23" i="20"/>
  <c r="J23" i="20" s="1"/>
  <c r="H24" i="20"/>
  <c r="F27" i="20"/>
  <c r="K26" i="20"/>
  <c r="R40" i="16"/>
  <c r="E41" i="16" l="1"/>
  <c r="K40" i="16"/>
  <c r="G34" i="16"/>
  <c r="J34" i="16" s="1"/>
  <c r="I34" i="16"/>
  <c r="L34" i="16" s="1"/>
  <c r="Q34" i="16"/>
  <c r="H35" i="16"/>
  <c r="H25" i="20"/>
  <c r="I24" i="20"/>
  <c r="L24" i="20" s="1"/>
  <c r="G24" i="20"/>
  <c r="J24" i="20" s="1"/>
  <c r="Q24" i="20"/>
  <c r="F28" i="20"/>
  <c r="K27" i="20"/>
  <c r="R41" i="16"/>
  <c r="E42" i="16" l="1"/>
  <c r="K41" i="16"/>
  <c r="I35" i="16"/>
  <c r="L35" i="16" s="1"/>
  <c r="Q35" i="16"/>
  <c r="G35" i="16"/>
  <c r="J35" i="16" s="1"/>
  <c r="H36" i="16"/>
  <c r="K28" i="20"/>
  <c r="F29" i="20"/>
  <c r="H26" i="20"/>
  <c r="Q25" i="20"/>
  <c r="I25" i="20"/>
  <c r="L25" i="20" s="1"/>
  <c r="G25" i="20"/>
  <c r="J25" i="20" s="1"/>
  <c r="R42" i="16"/>
  <c r="E43" i="16" l="1"/>
  <c r="K42" i="16"/>
  <c r="G36" i="16"/>
  <c r="J36" i="16" s="1"/>
  <c r="I36" i="16"/>
  <c r="L36" i="16" s="1"/>
  <c r="Q36" i="16"/>
  <c r="H37" i="16"/>
  <c r="K29" i="20"/>
  <c r="F30" i="20"/>
  <c r="I26" i="20"/>
  <c r="L26" i="20" s="1"/>
  <c r="Q26" i="20"/>
  <c r="G26" i="20"/>
  <c r="J26" i="20" s="1"/>
  <c r="H27" i="20"/>
  <c r="R43" i="16"/>
  <c r="E44" i="16" l="1"/>
  <c r="K43" i="16"/>
  <c r="I37" i="16"/>
  <c r="L37" i="16" s="1"/>
  <c r="Q37" i="16"/>
  <c r="G37" i="16"/>
  <c r="J37" i="16" s="1"/>
  <c r="H38" i="16"/>
  <c r="F31" i="20"/>
  <c r="K30" i="20"/>
  <c r="G27" i="20"/>
  <c r="J27" i="20" s="1"/>
  <c r="I27" i="20"/>
  <c r="L27" i="20" s="1"/>
  <c r="Q27" i="20"/>
  <c r="H28" i="20"/>
  <c r="R44" i="16"/>
  <c r="E45" i="16" l="1"/>
  <c r="K44" i="16"/>
  <c r="G38" i="16"/>
  <c r="J38" i="16" s="1"/>
  <c r="I38" i="16"/>
  <c r="L38" i="16" s="1"/>
  <c r="H39" i="16"/>
  <c r="Q38" i="16"/>
  <c r="G28" i="20"/>
  <c r="J28" i="20" s="1"/>
  <c r="Q28" i="20"/>
  <c r="H29" i="20"/>
  <c r="I28" i="20"/>
  <c r="L28" i="20" s="1"/>
  <c r="F32" i="20"/>
  <c r="K31" i="20"/>
  <c r="R45" i="16"/>
  <c r="K45" i="16" l="1"/>
  <c r="Q39" i="16"/>
  <c r="G39" i="16"/>
  <c r="J39" i="16" s="1"/>
  <c r="I39" i="16"/>
  <c r="L39" i="16" s="1"/>
  <c r="H40" i="16"/>
  <c r="H30" i="20"/>
  <c r="Q29" i="20"/>
  <c r="I29" i="20"/>
  <c r="L29" i="20" s="1"/>
  <c r="G29" i="20"/>
  <c r="J29" i="20" s="1"/>
  <c r="K32" i="20"/>
  <c r="F33" i="20"/>
  <c r="H41" i="16" l="1"/>
  <c r="G40" i="16"/>
  <c r="J40" i="16" s="1"/>
  <c r="Q40" i="16"/>
  <c r="I40" i="16"/>
  <c r="L40" i="16" s="1"/>
  <c r="F34" i="20"/>
  <c r="K33" i="20"/>
  <c r="I30" i="20"/>
  <c r="L30" i="20" s="1"/>
  <c r="G30" i="20"/>
  <c r="J30" i="20" s="1"/>
  <c r="H31" i="20"/>
  <c r="Q30" i="20"/>
  <c r="Q41" i="16" l="1"/>
  <c r="G41" i="16"/>
  <c r="J41" i="16" s="1"/>
  <c r="I41" i="16"/>
  <c r="L41" i="16" s="1"/>
  <c r="H42" i="16"/>
  <c r="G31" i="20"/>
  <c r="J31" i="20" s="1"/>
  <c r="H32" i="20"/>
  <c r="I31" i="20"/>
  <c r="L31" i="20" s="1"/>
  <c r="Q31" i="20"/>
  <c r="K34" i="20"/>
  <c r="F35" i="20"/>
  <c r="G42" i="16" l="1"/>
  <c r="J42" i="16" s="1"/>
  <c r="I42" i="16"/>
  <c r="L42" i="16" s="1"/>
  <c r="H43" i="16"/>
  <c r="Q42" i="16"/>
  <c r="Q32" i="20"/>
  <c r="H33" i="20"/>
  <c r="G32" i="20"/>
  <c r="J32" i="20" s="1"/>
  <c r="I32" i="20"/>
  <c r="L32" i="20" s="1"/>
  <c r="K35" i="20"/>
  <c r="F36" i="20"/>
  <c r="I43" i="16" l="1"/>
  <c r="L43" i="16" s="1"/>
  <c r="Q43" i="16"/>
  <c r="H44" i="16"/>
  <c r="G43" i="16"/>
  <c r="J43" i="16" s="1"/>
  <c r="H34" i="20"/>
  <c r="Q33" i="20"/>
  <c r="I33" i="20"/>
  <c r="L33" i="20" s="1"/>
  <c r="G33" i="20"/>
  <c r="J33" i="20" s="1"/>
  <c r="K36" i="20"/>
  <c r="F37" i="20"/>
  <c r="G44" i="16" l="1"/>
  <c r="J44" i="16" s="1"/>
  <c r="I44" i="16"/>
  <c r="L44" i="16" s="1"/>
  <c r="H45" i="16"/>
  <c r="Q44" i="16"/>
  <c r="F38" i="20"/>
  <c r="K37" i="20"/>
  <c r="H35" i="20"/>
  <c r="Q34" i="20"/>
  <c r="G34" i="20"/>
  <c r="J34" i="20" s="1"/>
  <c r="I34" i="20"/>
  <c r="L34" i="20" s="1"/>
  <c r="I45" i="16" l="1"/>
  <c r="L45" i="16" s="1"/>
  <c r="Q45" i="16"/>
  <c r="G45" i="16"/>
  <c r="J45" i="16" s="1"/>
  <c r="G35" i="20"/>
  <c r="J35" i="20" s="1"/>
  <c r="Q35" i="20"/>
  <c r="I35" i="20"/>
  <c r="L35" i="20" s="1"/>
  <c r="H36" i="20"/>
  <c r="F39" i="20"/>
  <c r="K38" i="20"/>
  <c r="H37" i="20" l="1"/>
  <c r="Q36" i="20"/>
  <c r="I36" i="20"/>
  <c r="L36" i="20" s="1"/>
  <c r="G36" i="20"/>
  <c r="J36" i="20" s="1"/>
  <c r="K39" i="20"/>
  <c r="F40" i="20"/>
  <c r="F41" i="20" l="1"/>
  <c r="K40" i="20"/>
  <c r="I37" i="20"/>
  <c r="L37" i="20" s="1"/>
  <c r="Q37" i="20"/>
  <c r="G37" i="20"/>
  <c r="J37" i="20" s="1"/>
  <c r="H38" i="20"/>
  <c r="G38" i="20" l="1"/>
  <c r="J38" i="20" s="1"/>
  <c r="H39" i="20"/>
  <c r="I38" i="20"/>
  <c r="L38" i="20" s="1"/>
  <c r="Q38" i="20"/>
  <c r="K41" i="20"/>
  <c r="F42" i="20"/>
  <c r="Q39" i="20" l="1"/>
  <c r="H40" i="20"/>
  <c r="G39" i="20"/>
  <c r="J39" i="20" s="1"/>
  <c r="I39" i="20"/>
  <c r="L39" i="20" s="1"/>
  <c r="F43" i="20"/>
  <c r="K42" i="20"/>
  <c r="H41" i="20" l="1"/>
  <c r="Q40" i="20"/>
  <c r="I40" i="20"/>
  <c r="L40" i="20" s="1"/>
  <c r="G40" i="20"/>
  <c r="J40" i="20" s="1"/>
  <c r="F44" i="20"/>
  <c r="K43" i="20"/>
  <c r="K44" i="20" l="1"/>
  <c r="F45" i="20"/>
  <c r="H42" i="20"/>
  <c r="I41" i="20"/>
  <c r="L41" i="20" s="1"/>
  <c r="Q41" i="20"/>
  <c r="G41" i="20"/>
  <c r="J41" i="20" s="1"/>
  <c r="G42" i="20" l="1"/>
  <c r="J42" i="20" s="1"/>
  <c r="Q42" i="20"/>
  <c r="H43" i="20"/>
  <c r="I42" i="20"/>
  <c r="L42" i="20" s="1"/>
  <c r="K45" i="20"/>
  <c r="F46" i="20"/>
  <c r="F47" i="20" l="1"/>
  <c r="K46" i="20"/>
  <c r="I43" i="20"/>
  <c r="L43" i="20" s="1"/>
  <c r="Q43" i="20"/>
  <c r="H44" i="20"/>
  <c r="G43" i="20"/>
  <c r="J43" i="20" s="1"/>
  <c r="H45" i="20" l="1"/>
  <c r="Q44" i="20"/>
  <c r="I44" i="20"/>
  <c r="L44" i="20" s="1"/>
  <c r="G44" i="20"/>
  <c r="J44" i="20" s="1"/>
  <c r="K47" i="20"/>
  <c r="F48" i="20"/>
  <c r="K48" i="20" l="1"/>
  <c r="F49" i="20"/>
  <c r="Q45" i="20"/>
  <c r="G45" i="20"/>
  <c r="J45" i="20" s="1"/>
  <c r="H46" i="20"/>
  <c r="I45" i="20"/>
  <c r="L45" i="20" s="1"/>
  <c r="K49" i="20" l="1"/>
  <c r="F50" i="20"/>
  <c r="G46" i="20"/>
  <c r="J46" i="20" s="1"/>
  <c r="I46" i="20"/>
  <c r="L46" i="20" s="1"/>
  <c r="Q46" i="20"/>
  <c r="H47" i="20"/>
  <c r="F51" i="20" l="1"/>
  <c r="K50" i="20"/>
  <c r="I47" i="20"/>
  <c r="L47" i="20" s="1"/>
  <c r="Q47" i="20"/>
  <c r="G47" i="20"/>
  <c r="J47" i="20" s="1"/>
  <c r="H48" i="20"/>
  <c r="H49" i="20" l="1"/>
  <c r="Q48" i="20"/>
  <c r="I48" i="20"/>
  <c r="L48" i="20" s="1"/>
  <c r="G48" i="20"/>
  <c r="J48" i="20" s="1"/>
  <c r="K51" i="20"/>
  <c r="F52" i="20"/>
  <c r="K52" i="20" l="1"/>
  <c r="F53" i="20"/>
  <c r="I49" i="20"/>
  <c r="L49" i="20" s="1"/>
  <c r="Q49" i="20"/>
  <c r="G49" i="20"/>
  <c r="J49" i="20" s="1"/>
  <c r="H50" i="20"/>
  <c r="G50" i="20" l="1"/>
  <c r="J50" i="20" s="1"/>
  <c r="I50" i="20"/>
  <c r="L50" i="20" s="1"/>
  <c r="Q50" i="20"/>
  <c r="H51" i="20"/>
  <c r="F54" i="20"/>
  <c r="K53" i="20"/>
  <c r="H52" i="20" l="1"/>
  <c r="G51" i="20"/>
  <c r="J51" i="20" s="1"/>
  <c r="I51" i="20"/>
  <c r="L51" i="20" s="1"/>
  <c r="Q51" i="20"/>
  <c r="F55" i="20"/>
  <c r="K54" i="20"/>
  <c r="K55" i="20" l="1"/>
  <c r="F56" i="20"/>
  <c r="H53" i="20"/>
  <c r="Q52" i="20"/>
  <c r="I52" i="20"/>
  <c r="L52" i="20" s="1"/>
  <c r="G52" i="20"/>
  <c r="J52" i="20" s="1"/>
  <c r="F57" i="20" l="1"/>
  <c r="K56" i="20"/>
  <c r="I53" i="20"/>
  <c r="L53" i="20" s="1"/>
  <c r="Q53" i="20"/>
  <c r="G53" i="20"/>
  <c r="J53" i="20" s="1"/>
  <c r="H54" i="20"/>
  <c r="G54" i="20" l="1"/>
  <c r="J54" i="20" s="1"/>
  <c r="H55" i="20"/>
  <c r="I54" i="20"/>
  <c r="L54" i="20" s="1"/>
  <c r="Q54" i="20"/>
  <c r="F58" i="20"/>
  <c r="K57" i="20"/>
  <c r="H56" i="20" l="1"/>
  <c r="Q55" i="20"/>
  <c r="I55" i="20"/>
  <c r="L55" i="20" s="1"/>
  <c r="G55" i="20"/>
  <c r="J55" i="20" s="1"/>
  <c r="K58" i="20"/>
  <c r="F59" i="20"/>
  <c r="F60" i="20" l="1"/>
  <c r="K59" i="20"/>
  <c r="I56" i="20"/>
  <c r="L56" i="20" s="1"/>
  <c r="Q56" i="20"/>
  <c r="G56" i="20"/>
  <c r="J56" i="20" s="1"/>
  <c r="H57" i="20"/>
  <c r="H58" i="20" l="1"/>
  <c r="Q57" i="20"/>
  <c r="I57" i="20"/>
  <c r="L57" i="20" s="1"/>
  <c r="G57" i="20"/>
  <c r="J57" i="20" s="1"/>
  <c r="F61" i="20"/>
  <c r="K60" i="20"/>
  <c r="K61" i="20" l="1"/>
  <c r="F62" i="20"/>
  <c r="H59" i="20"/>
  <c r="Q58" i="20"/>
  <c r="I58" i="20"/>
  <c r="L58" i="20" s="1"/>
  <c r="G58" i="20"/>
  <c r="J58" i="20" s="1"/>
  <c r="G59" i="20" l="1"/>
  <c r="J59" i="20" s="1"/>
  <c r="Q59" i="20"/>
  <c r="H60" i="20"/>
  <c r="I59" i="20"/>
  <c r="L59" i="20" s="1"/>
  <c r="F63" i="20"/>
  <c r="K62" i="20"/>
  <c r="G60" i="20" l="1"/>
  <c r="J60" i="20" s="1"/>
  <c r="H61" i="20"/>
  <c r="I60" i="20"/>
  <c r="L60" i="20" s="1"/>
  <c r="Q60" i="20"/>
  <c r="F64" i="20"/>
  <c r="K63" i="20"/>
  <c r="H62" i="20" l="1"/>
  <c r="Q61" i="20"/>
  <c r="I61" i="20"/>
  <c r="L61" i="20" s="1"/>
  <c r="G61" i="20"/>
  <c r="J61" i="20" s="1"/>
  <c r="F65" i="20"/>
  <c r="K64" i="20"/>
  <c r="F66" i="20" l="1"/>
  <c r="K65" i="20"/>
  <c r="H63" i="20"/>
  <c r="Q62" i="20"/>
  <c r="I62" i="20"/>
  <c r="L62" i="20" s="1"/>
  <c r="G62" i="20"/>
  <c r="J62" i="20" s="1"/>
  <c r="K66" i="20" l="1"/>
  <c r="F67" i="20"/>
  <c r="G63" i="20"/>
  <c r="J63" i="20" s="1"/>
  <c r="H64" i="20"/>
  <c r="I63" i="20"/>
  <c r="L63" i="20" s="1"/>
  <c r="Q63" i="20"/>
  <c r="F68" i="20" l="1"/>
  <c r="K67" i="20"/>
  <c r="G64" i="20"/>
  <c r="J64" i="20" s="1"/>
  <c r="Q64" i="20"/>
  <c r="I64" i="20"/>
  <c r="L64" i="20" s="1"/>
  <c r="H65" i="20"/>
  <c r="H66" i="20" l="1"/>
  <c r="Q65" i="20"/>
  <c r="I65" i="20"/>
  <c r="L65" i="20" s="1"/>
  <c r="G65" i="20"/>
  <c r="J65" i="20" s="1"/>
  <c r="F69" i="20"/>
  <c r="K68" i="20"/>
  <c r="K69" i="20" l="1"/>
  <c r="F70" i="20"/>
  <c r="H67" i="20"/>
  <c r="Q66" i="20"/>
  <c r="I66" i="20"/>
  <c r="L66" i="20" s="1"/>
  <c r="G66" i="20"/>
  <c r="J66" i="20" s="1"/>
  <c r="F71" i="20" l="1"/>
  <c r="K70" i="20"/>
  <c r="G67" i="20"/>
  <c r="J67" i="20" s="1"/>
  <c r="Q67" i="20"/>
  <c r="H68" i="20"/>
  <c r="I67" i="20"/>
  <c r="L67" i="20" s="1"/>
  <c r="G68" i="20" l="1"/>
  <c r="J68" i="20" s="1"/>
  <c r="H69" i="20"/>
  <c r="I68" i="20"/>
  <c r="L68" i="20" s="1"/>
  <c r="Q68" i="20"/>
  <c r="F72" i="20"/>
  <c r="K71" i="20"/>
  <c r="H70" i="20" l="1"/>
  <c r="Q69" i="20"/>
  <c r="I69" i="20"/>
  <c r="L69" i="20" s="1"/>
  <c r="G69" i="20"/>
  <c r="J69" i="20" s="1"/>
  <c r="F73" i="20"/>
  <c r="K72" i="20"/>
  <c r="F74" i="20" l="1"/>
  <c r="K73" i="20"/>
  <c r="H71" i="20"/>
  <c r="Q70" i="20"/>
  <c r="I70" i="20"/>
  <c r="L70" i="20" s="1"/>
  <c r="G70" i="20"/>
  <c r="J70" i="20" s="1"/>
  <c r="K74" i="20" l="1"/>
  <c r="F75" i="20"/>
  <c r="G71" i="20"/>
  <c r="J71" i="20" s="1"/>
  <c r="H72" i="20"/>
  <c r="I71" i="20"/>
  <c r="L71" i="20" s="1"/>
  <c r="Q71" i="20"/>
  <c r="K75" i="20" l="1"/>
  <c r="F76" i="20"/>
  <c r="G72" i="20"/>
  <c r="J72" i="20" s="1"/>
  <c r="Q72" i="20"/>
  <c r="I72" i="20"/>
  <c r="L72" i="20" s="1"/>
  <c r="H73" i="20"/>
  <c r="F77" i="20" l="1"/>
  <c r="K76" i="20"/>
  <c r="H74" i="20"/>
  <c r="Q73" i="20"/>
  <c r="I73" i="20"/>
  <c r="L73" i="20" s="1"/>
  <c r="G73" i="20"/>
  <c r="J73" i="20" s="1"/>
  <c r="K77" i="20" l="1"/>
  <c r="F78" i="20"/>
  <c r="H75" i="20"/>
  <c r="H76" i="20" s="1"/>
  <c r="Q74" i="20"/>
  <c r="I74" i="20"/>
  <c r="L74" i="20" s="1"/>
  <c r="G74" i="20"/>
  <c r="J74" i="20" s="1"/>
  <c r="K78" i="20" l="1"/>
  <c r="F79" i="20"/>
  <c r="H77" i="20"/>
  <c r="G76" i="20"/>
  <c r="J76" i="20" s="1"/>
  <c r="I76" i="20"/>
  <c r="Q75" i="20"/>
  <c r="G75" i="20"/>
  <c r="J75" i="20" s="1"/>
  <c r="Q76" i="20"/>
  <c r="I75" i="20"/>
  <c r="K79" i="20" l="1"/>
  <c r="F80" i="20"/>
  <c r="Q77" i="20"/>
  <c r="H78" i="20"/>
  <c r="G77" i="20"/>
  <c r="J77" i="20" s="1"/>
  <c r="I77" i="20"/>
  <c r="L77" i="20" s="1"/>
  <c r="L75" i="20"/>
  <c r="L76" i="20"/>
  <c r="K80" i="20" l="1"/>
  <c r="F81" i="20"/>
  <c r="G78" i="20"/>
  <c r="J78" i="20" s="1"/>
  <c r="H79" i="20"/>
  <c r="Q78" i="20"/>
  <c r="I78" i="20"/>
  <c r="L78" i="20" s="1"/>
  <c r="K81" i="20" l="1"/>
  <c r="F82" i="20"/>
  <c r="H80" i="20"/>
  <c r="Q79" i="20"/>
  <c r="G79" i="20"/>
  <c r="J79" i="20" s="1"/>
  <c r="I79" i="20"/>
  <c r="L79" i="20" s="1"/>
  <c r="K82" i="20" l="1"/>
  <c r="F83" i="20"/>
  <c r="Q80" i="20"/>
  <c r="H81" i="20"/>
  <c r="G80" i="20"/>
  <c r="J80" i="20" s="1"/>
  <c r="I80" i="20"/>
  <c r="L80" i="20" s="1"/>
  <c r="K83" i="20" l="1"/>
  <c r="F84" i="20"/>
  <c r="H82" i="20"/>
  <c r="G81" i="20"/>
  <c r="J81" i="20" s="1"/>
  <c r="Q81" i="20"/>
  <c r="I81" i="20"/>
  <c r="L81" i="20" s="1"/>
  <c r="K84" i="20" l="1"/>
  <c r="F85" i="20"/>
  <c r="H83" i="20"/>
  <c r="Q82" i="20"/>
  <c r="G82" i="20"/>
  <c r="J82" i="20" s="1"/>
  <c r="I82" i="20"/>
  <c r="L82" i="20" s="1"/>
  <c r="K85" i="20" l="1"/>
  <c r="F86" i="20"/>
  <c r="H84" i="20"/>
  <c r="Q83" i="20"/>
  <c r="G83" i="20"/>
  <c r="J83" i="20" s="1"/>
  <c r="I83" i="20"/>
  <c r="L83" i="20" s="1"/>
  <c r="K86" i="20" l="1"/>
  <c r="F87" i="20"/>
  <c r="Q84" i="20"/>
  <c r="H85" i="20"/>
  <c r="G84" i="20"/>
  <c r="J84" i="20" s="1"/>
  <c r="I84" i="20"/>
  <c r="L84" i="20" s="1"/>
  <c r="K87" i="20" l="1"/>
  <c r="F88" i="20"/>
  <c r="H86" i="20"/>
  <c r="Q85" i="20"/>
  <c r="G85" i="20"/>
  <c r="J85" i="20" s="1"/>
  <c r="I85" i="20"/>
  <c r="L85" i="20" s="1"/>
  <c r="F89" i="20" l="1"/>
  <c r="K88" i="20"/>
  <c r="H87" i="20"/>
  <c r="Q86" i="20"/>
  <c r="G86" i="20"/>
  <c r="J86" i="20" s="1"/>
  <c r="I86" i="20"/>
  <c r="L86" i="20" s="1"/>
  <c r="K89" i="20" l="1"/>
  <c r="F90" i="20"/>
  <c r="Q87" i="20"/>
  <c r="H88" i="20"/>
  <c r="G87" i="20"/>
  <c r="J87" i="20" s="1"/>
  <c r="I87" i="20"/>
  <c r="L87" i="20" s="1"/>
  <c r="F91" i="20" l="1"/>
  <c r="K90" i="20"/>
  <c r="Q88" i="20"/>
  <c r="H89" i="20"/>
  <c r="G88" i="20"/>
  <c r="J88" i="20" s="1"/>
  <c r="I88" i="20"/>
  <c r="L88" i="20" s="1"/>
  <c r="F92" i="20" l="1"/>
  <c r="K91" i="20"/>
  <c r="H90" i="20"/>
  <c r="Q89" i="20"/>
  <c r="G89" i="20"/>
  <c r="J89" i="20" s="1"/>
  <c r="I89" i="20"/>
  <c r="L89" i="20" s="1"/>
  <c r="F93" i="20" l="1"/>
  <c r="K92" i="20"/>
  <c r="G90" i="20"/>
  <c r="J90" i="20" s="1"/>
  <c r="H91" i="20"/>
  <c r="Q90" i="20"/>
  <c r="I90" i="20"/>
  <c r="L90" i="20" s="1"/>
  <c r="K93" i="20" l="1"/>
  <c r="F94" i="20"/>
  <c r="Q91" i="20"/>
  <c r="H92" i="20"/>
  <c r="G91" i="20"/>
  <c r="J91" i="20" s="1"/>
  <c r="I91" i="20"/>
  <c r="L91" i="20" s="1"/>
  <c r="F95" i="20" l="1"/>
  <c r="K94" i="20"/>
  <c r="Q92" i="20"/>
  <c r="G92" i="20"/>
  <c r="J92" i="20" s="1"/>
  <c r="H93" i="20"/>
  <c r="I92" i="20"/>
  <c r="L92" i="20" s="1"/>
  <c r="K95" i="20" l="1"/>
  <c r="F96" i="20"/>
  <c r="H94" i="20"/>
  <c r="Q93" i="20"/>
  <c r="G93" i="20"/>
  <c r="J93" i="20" s="1"/>
  <c r="I93" i="20"/>
  <c r="L93" i="20" s="1"/>
  <c r="F97" i="20" l="1"/>
  <c r="K96" i="20"/>
  <c r="Q94" i="20"/>
  <c r="H95" i="20"/>
  <c r="G94" i="20"/>
  <c r="J94" i="20" s="1"/>
  <c r="I94" i="20"/>
  <c r="L94" i="20" s="1"/>
  <c r="K97" i="20" l="1"/>
  <c r="F98" i="20"/>
  <c r="H96" i="20"/>
  <c r="Q95" i="20"/>
  <c r="G95" i="20"/>
  <c r="J95" i="20" s="1"/>
  <c r="I95" i="20"/>
  <c r="L95" i="20" s="1"/>
  <c r="F99" i="20" l="1"/>
  <c r="K98" i="20"/>
  <c r="H97" i="20"/>
  <c r="Q96" i="20"/>
  <c r="G96" i="20"/>
  <c r="J96" i="20" s="1"/>
  <c r="I96" i="20"/>
  <c r="L96" i="20" s="1"/>
  <c r="F100" i="20" l="1"/>
  <c r="K99" i="20"/>
  <c r="Q97" i="20"/>
  <c r="H98" i="20"/>
  <c r="G97" i="20"/>
  <c r="J97" i="20" s="1"/>
  <c r="I97" i="20"/>
  <c r="L97" i="20" s="1"/>
  <c r="F101" i="20" l="1"/>
  <c r="K100" i="20"/>
  <c r="Q98" i="20"/>
  <c r="H99" i="20"/>
  <c r="G98" i="20"/>
  <c r="J98" i="20" s="1"/>
  <c r="I98" i="20"/>
  <c r="L98" i="20" s="1"/>
  <c r="K101" i="20" l="1"/>
  <c r="F102" i="20"/>
  <c r="H100" i="20"/>
  <c r="Q99" i="20"/>
  <c r="G99" i="20"/>
  <c r="J99" i="20" s="1"/>
  <c r="I99" i="20"/>
  <c r="L99" i="20" s="1"/>
  <c r="F103" i="20" l="1"/>
  <c r="K102" i="20"/>
  <c r="H101" i="20"/>
  <c r="Q100" i="20"/>
  <c r="G100" i="20"/>
  <c r="J100" i="20" s="1"/>
  <c r="I100" i="20"/>
  <c r="L100" i="20" s="1"/>
  <c r="K103" i="20" l="1"/>
  <c r="F104" i="20"/>
  <c r="Q101" i="20"/>
  <c r="H102" i="20"/>
  <c r="G101" i="20"/>
  <c r="J101" i="20" s="1"/>
  <c r="I101" i="20"/>
  <c r="L101" i="20" s="1"/>
  <c r="F105" i="20" l="1"/>
  <c r="K104" i="20"/>
  <c r="Q102" i="20"/>
  <c r="G102" i="20"/>
  <c r="J102" i="20" s="1"/>
  <c r="H103" i="20"/>
  <c r="I102" i="20"/>
  <c r="L102" i="20" s="1"/>
  <c r="K105" i="20" l="1"/>
  <c r="F106" i="20"/>
  <c r="H104" i="20"/>
  <c r="Q103" i="20"/>
  <c r="G103" i="20"/>
  <c r="J103" i="20" s="1"/>
  <c r="I103" i="20"/>
  <c r="L103" i="20" s="1"/>
  <c r="F107" i="20" l="1"/>
  <c r="K106" i="20"/>
  <c r="H105" i="20"/>
  <c r="Q104" i="20"/>
  <c r="G104" i="20"/>
  <c r="J104" i="20" s="1"/>
  <c r="I104" i="20"/>
  <c r="L104" i="20" s="1"/>
  <c r="F108" i="20" l="1"/>
  <c r="K107" i="20"/>
  <c r="H106" i="20"/>
  <c r="Q105" i="20"/>
  <c r="G105" i="20"/>
  <c r="J105" i="20" s="1"/>
  <c r="I105" i="20"/>
  <c r="L105" i="20" s="1"/>
  <c r="F109" i="20" l="1"/>
  <c r="K108" i="20"/>
  <c r="H107" i="20"/>
  <c r="Q106" i="20"/>
  <c r="G106" i="20"/>
  <c r="J106" i="20" s="1"/>
  <c r="I106" i="20"/>
  <c r="L106" i="20" s="1"/>
  <c r="K109" i="20" l="1"/>
  <c r="F110" i="20"/>
  <c r="H108" i="20"/>
  <c r="G107" i="20"/>
  <c r="J107" i="20" s="1"/>
  <c r="Q107" i="20"/>
  <c r="I107" i="20"/>
  <c r="L107" i="20" s="1"/>
  <c r="F111" i="20" l="1"/>
  <c r="K110" i="20"/>
  <c r="Q108" i="20"/>
  <c r="H109" i="20"/>
  <c r="G108" i="20"/>
  <c r="J108" i="20" s="1"/>
  <c r="I108" i="20"/>
  <c r="L108" i="20" s="1"/>
  <c r="K111" i="20" l="1"/>
  <c r="F112" i="20"/>
  <c r="H110" i="20"/>
  <c r="Q109" i="20"/>
  <c r="G109" i="20"/>
  <c r="J109" i="20" s="1"/>
  <c r="I109" i="20"/>
  <c r="L109" i="20" s="1"/>
  <c r="F113" i="20" l="1"/>
  <c r="K112" i="20"/>
  <c r="G110" i="20"/>
  <c r="J110" i="20" s="1"/>
  <c r="Q110" i="20"/>
  <c r="H111" i="20"/>
  <c r="I110" i="20"/>
  <c r="L110" i="20" s="1"/>
  <c r="K113" i="20" l="1"/>
  <c r="F114" i="20"/>
  <c r="H112" i="20"/>
  <c r="Q111" i="20"/>
  <c r="G111" i="20"/>
  <c r="J111" i="20" s="1"/>
  <c r="I111" i="20"/>
  <c r="L111" i="20" s="1"/>
  <c r="F115" i="20" l="1"/>
  <c r="K114" i="20"/>
  <c r="H113" i="20"/>
  <c r="Q112" i="20"/>
  <c r="G112" i="20"/>
  <c r="J112" i="20" s="1"/>
  <c r="I112" i="20"/>
  <c r="L112" i="20" s="1"/>
  <c r="F116" i="20" l="1"/>
  <c r="K115" i="20"/>
  <c r="H114" i="20"/>
  <c r="Q113" i="20"/>
  <c r="G113" i="20"/>
  <c r="J113" i="20" s="1"/>
  <c r="I113" i="20"/>
  <c r="L113" i="20" s="1"/>
  <c r="F117" i="20" l="1"/>
  <c r="K116" i="20"/>
  <c r="H115" i="20"/>
  <c r="Q114" i="20"/>
  <c r="G114" i="20"/>
  <c r="J114" i="20" s="1"/>
  <c r="I114" i="20"/>
  <c r="L114" i="20" s="1"/>
  <c r="K117" i="20" l="1"/>
  <c r="F118" i="20"/>
  <c r="Q115" i="20"/>
  <c r="H116" i="20"/>
  <c r="G115" i="20"/>
  <c r="J115" i="20" s="1"/>
  <c r="I115" i="20"/>
  <c r="L115" i="20" s="1"/>
  <c r="F119" i="20" l="1"/>
  <c r="K118" i="20"/>
  <c r="G116" i="20"/>
  <c r="J116" i="20" s="1"/>
  <c r="H117" i="20"/>
  <c r="Q116" i="20"/>
  <c r="I116" i="20"/>
  <c r="L116" i="20" s="1"/>
  <c r="K119" i="20" l="1"/>
  <c r="F120" i="20"/>
  <c r="H118" i="20"/>
  <c r="Q117" i="20"/>
  <c r="G117" i="20"/>
  <c r="J117" i="20" s="1"/>
  <c r="I117" i="20"/>
  <c r="L117" i="20" s="1"/>
  <c r="F121" i="20" l="1"/>
  <c r="K120" i="20"/>
  <c r="Q118" i="20"/>
  <c r="H119" i="20"/>
  <c r="G118" i="20"/>
  <c r="J118" i="20" s="1"/>
  <c r="I118" i="20"/>
  <c r="L118" i="20" s="1"/>
  <c r="F122" i="20" l="1"/>
  <c r="K121" i="20"/>
  <c r="H120" i="20"/>
  <c r="Q119" i="20"/>
  <c r="G119" i="20"/>
  <c r="J119" i="20" s="1"/>
  <c r="I119" i="20"/>
  <c r="L119" i="20" s="1"/>
  <c r="F123" i="20" l="1"/>
  <c r="K122" i="20"/>
  <c r="Q120" i="20"/>
  <c r="H121" i="20"/>
  <c r="G120" i="20"/>
  <c r="J120" i="20" s="1"/>
  <c r="I120" i="20"/>
  <c r="L120" i="20" s="1"/>
  <c r="F124" i="20" l="1"/>
  <c r="K123" i="20"/>
  <c r="G121" i="20"/>
  <c r="J121" i="20" s="1"/>
  <c r="Q121" i="20"/>
  <c r="H122" i="20"/>
  <c r="I121" i="20"/>
  <c r="L121" i="20" s="1"/>
  <c r="F125" i="20" l="1"/>
  <c r="K124" i="20"/>
  <c r="Q122" i="20"/>
  <c r="H123" i="20"/>
  <c r="G122" i="20"/>
  <c r="J122" i="20" s="1"/>
  <c r="I122" i="20"/>
  <c r="L122" i="20" s="1"/>
  <c r="K125" i="20" l="1"/>
  <c r="F126" i="20"/>
  <c r="Q123" i="20"/>
  <c r="H124" i="20"/>
  <c r="G123" i="20"/>
  <c r="J123" i="20" s="1"/>
  <c r="I123" i="20"/>
  <c r="L123" i="20" s="1"/>
  <c r="F127" i="20" l="1"/>
  <c r="K126" i="20"/>
  <c r="H125" i="20"/>
  <c r="Q124" i="20"/>
  <c r="G124" i="20"/>
  <c r="J124" i="20" s="1"/>
  <c r="I124" i="20"/>
  <c r="L124" i="20" s="1"/>
  <c r="K127" i="20" l="1"/>
  <c r="F128" i="20"/>
  <c r="H126" i="20"/>
  <c r="Q125" i="20"/>
  <c r="G125" i="20"/>
  <c r="J125" i="20" s="1"/>
  <c r="I125" i="20"/>
  <c r="L125" i="20" s="1"/>
  <c r="F129" i="20" l="1"/>
  <c r="K128" i="20"/>
  <c r="H127" i="20"/>
  <c r="Q126" i="20"/>
  <c r="G126" i="20"/>
  <c r="J126" i="20" s="1"/>
  <c r="I126" i="20"/>
  <c r="L126" i="20" s="1"/>
  <c r="K129" i="20" l="1"/>
  <c r="F130" i="20"/>
  <c r="G127" i="20"/>
  <c r="J127" i="20" s="1"/>
  <c r="Q127" i="20"/>
  <c r="H128" i="20"/>
  <c r="I127" i="20"/>
  <c r="L127" i="20" s="1"/>
  <c r="F131" i="20" l="1"/>
  <c r="K130" i="20"/>
  <c r="H129" i="20"/>
  <c r="Q128" i="20"/>
  <c r="G128" i="20"/>
  <c r="J128" i="20" s="1"/>
  <c r="I128" i="20"/>
  <c r="L128" i="20" s="1"/>
  <c r="F132" i="20" l="1"/>
  <c r="K131" i="20"/>
  <c r="Q129" i="20"/>
  <c r="H130" i="20"/>
  <c r="G129" i="20"/>
  <c r="J129" i="20" s="1"/>
  <c r="I129" i="20"/>
  <c r="L129" i="20" s="1"/>
  <c r="F133" i="20" l="1"/>
  <c r="K132" i="20"/>
  <c r="H131" i="20"/>
  <c r="Q130" i="20"/>
  <c r="G130" i="20"/>
  <c r="J130" i="20" s="1"/>
  <c r="I130" i="20"/>
  <c r="L130" i="20" s="1"/>
  <c r="K133" i="20" l="1"/>
  <c r="F134" i="20"/>
  <c r="H132" i="20"/>
  <c r="G131" i="20"/>
  <c r="J131" i="20" s="1"/>
  <c r="Q131" i="20"/>
  <c r="I131" i="20"/>
  <c r="L131" i="20" s="1"/>
  <c r="F135" i="20" l="1"/>
  <c r="K134" i="20"/>
  <c r="H133" i="20"/>
  <c r="Q132" i="20"/>
  <c r="G132" i="20"/>
  <c r="J132" i="20" s="1"/>
  <c r="I132" i="20"/>
  <c r="L132" i="20" s="1"/>
  <c r="K135" i="20" l="1"/>
  <c r="F136" i="20"/>
  <c r="Q133" i="20"/>
  <c r="H134" i="20"/>
  <c r="G133" i="20"/>
  <c r="J133" i="20" s="1"/>
  <c r="I133" i="20"/>
  <c r="L133" i="20" s="1"/>
  <c r="F137" i="20" l="1"/>
  <c r="K136" i="20"/>
  <c r="H135" i="20"/>
  <c r="Q134" i="20"/>
  <c r="G134" i="20"/>
  <c r="J134" i="20" s="1"/>
  <c r="I134" i="20"/>
  <c r="L134" i="20" s="1"/>
  <c r="K137" i="20" l="1"/>
  <c r="F138" i="20"/>
  <c r="Q135" i="20"/>
  <c r="H136" i="20"/>
  <c r="G135" i="20"/>
  <c r="J135" i="20" s="1"/>
  <c r="I135" i="20"/>
  <c r="L135" i="20" s="1"/>
  <c r="F139" i="20" l="1"/>
  <c r="K138" i="20"/>
  <c r="H137" i="20"/>
  <c r="Q136" i="20"/>
  <c r="G136" i="20"/>
  <c r="J136" i="20" s="1"/>
  <c r="I136" i="20"/>
  <c r="L136" i="20" s="1"/>
  <c r="K139" i="20" l="1"/>
  <c r="F140" i="20"/>
  <c r="H138" i="20"/>
  <c r="Q137" i="20"/>
  <c r="G137" i="20"/>
  <c r="J137" i="20" s="1"/>
  <c r="I137" i="20"/>
  <c r="L137" i="20" s="1"/>
  <c r="F141" i="20" l="1"/>
  <c r="K140" i="20"/>
  <c r="G138" i="20"/>
  <c r="J138" i="20" s="1"/>
  <c r="Q138" i="20"/>
  <c r="H139" i="20"/>
  <c r="I138" i="20"/>
  <c r="L138" i="20" s="1"/>
  <c r="K141" i="20" l="1"/>
  <c r="F142" i="20"/>
  <c r="H140" i="20"/>
  <c r="Q139" i="20"/>
  <c r="G139" i="20"/>
  <c r="J139" i="20" s="1"/>
  <c r="I139" i="20"/>
  <c r="L139" i="20" s="1"/>
  <c r="K142" i="20" l="1"/>
  <c r="F143" i="20"/>
  <c r="Q140" i="20"/>
  <c r="H141" i="20"/>
  <c r="G140" i="20"/>
  <c r="J140" i="20" s="1"/>
  <c r="I140" i="20"/>
  <c r="L140" i="20" s="1"/>
  <c r="K143" i="20" l="1"/>
  <c r="F144" i="20"/>
  <c r="G141" i="20"/>
  <c r="J141" i="20" s="1"/>
  <c r="Q141" i="20"/>
  <c r="H142" i="20"/>
  <c r="I141" i="20"/>
  <c r="L141" i="20" s="1"/>
  <c r="F145" i="20" l="1"/>
  <c r="K144" i="20"/>
  <c r="H143" i="20"/>
  <c r="Q142" i="20"/>
  <c r="G142" i="20"/>
  <c r="J142" i="20" s="1"/>
  <c r="I142" i="20"/>
  <c r="L142" i="20" s="1"/>
  <c r="K145" i="20" l="1"/>
  <c r="F146" i="20"/>
  <c r="H144" i="20"/>
  <c r="Q143" i="20"/>
  <c r="G143" i="20"/>
  <c r="J143" i="20" s="1"/>
  <c r="I143" i="20"/>
  <c r="L143" i="20" s="1"/>
  <c r="K146" i="20" l="1"/>
  <c r="F147" i="20"/>
  <c r="H145" i="20"/>
  <c r="Q144" i="20"/>
  <c r="G144" i="20"/>
  <c r="J144" i="20" s="1"/>
  <c r="I144" i="20"/>
  <c r="L144" i="20" s="1"/>
  <c r="K147" i="20" l="1"/>
  <c r="F148" i="20"/>
  <c r="H146" i="20"/>
  <c r="Q145" i="20"/>
  <c r="G145" i="20"/>
  <c r="J145" i="20" s="1"/>
  <c r="I145" i="20"/>
  <c r="L145" i="20" s="1"/>
  <c r="K148" i="20" l="1"/>
  <c r="F149" i="20"/>
  <c r="Q146" i="20"/>
  <c r="H147" i="20"/>
  <c r="G146" i="20"/>
  <c r="J146" i="20" s="1"/>
  <c r="I146" i="20"/>
  <c r="L146" i="20" s="1"/>
  <c r="F150" i="20" l="1"/>
  <c r="K149" i="20"/>
  <c r="H148" i="20"/>
  <c r="Q147" i="20"/>
  <c r="G147" i="20"/>
  <c r="J147" i="20" s="1"/>
  <c r="I147" i="20"/>
  <c r="L147" i="20" s="1"/>
  <c r="K150" i="20" l="1"/>
  <c r="F151" i="20"/>
  <c r="H149" i="20"/>
  <c r="Q148" i="20"/>
  <c r="G148" i="20"/>
  <c r="J148" i="20" s="1"/>
  <c r="I148" i="20"/>
  <c r="L148" i="20" s="1"/>
  <c r="K151" i="20" l="1"/>
  <c r="F152" i="20"/>
  <c r="Q149" i="20"/>
  <c r="H150" i="20"/>
  <c r="G149" i="20"/>
  <c r="J149" i="20" s="1"/>
  <c r="I149" i="20"/>
  <c r="L149" i="20" s="1"/>
  <c r="K152" i="20" l="1"/>
  <c r="F153" i="20"/>
  <c r="H151" i="20"/>
  <c r="Q150" i="20"/>
  <c r="G150" i="20"/>
  <c r="J150" i="20" s="1"/>
  <c r="I150" i="20"/>
  <c r="L150" i="20" s="1"/>
  <c r="K153" i="20" l="1"/>
  <c r="F154" i="20"/>
  <c r="H152" i="20"/>
  <c r="Q151" i="20"/>
  <c r="G151" i="20"/>
  <c r="J151" i="20" s="1"/>
  <c r="I151" i="20"/>
  <c r="L151" i="20" s="1"/>
  <c r="K154" i="20" l="1"/>
  <c r="F163" i="20"/>
  <c r="K163" i="20" s="1"/>
  <c r="Q152" i="20"/>
  <c r="H153" i="20"/>
  <c r="G152" i="20"/>
  <c r="J152" i="20" s="1"/>
  <c r="I152" i="20"/>
  <c r="L152" i="20" s="1"/>
  <c r="H154" i="20" l="1"/>
  <c r="H163" i="20" s="1"/>
  <c r="G153" i="20"/>
  <c r="J153" i="20" s="1"/>
  <c r="Q153" i="20"/>
  <c r="I153" i="20"/>
  <c r="L153" i="20" s="1"/>
  <c r="G163" i="20" l="1"/>
  <c r="J163" i="20" s="1"/>
  <c r="Q163" i="20"/>
  <c r="I163" i="20"/>
  <c r="L163" i="20" s="1"/>
  <c r="Q154" i="20"/>
  <c r="I154" i="20"/>
  <c r="G154" i="20"/>
  <c r="J154" i="20" s="1"/>
  <c r="L154" i="20" l="1"/>
  <c r="R219" i="21"/>
  <c r="R203" i="21"/>
  <c r="R187" i="21"/>
  <c r="R171" i="21"/>
  <c r="R155" i="21"/>
  <c r="R139" i="21"/>
  <c r="R123" i="21"/>
  <c r="R107" i="21"/>
  <c r="R91" i="21"/>
  <c r="R75" i="21"/>
  <c r="R59" i="21"/>
  <c r="R43" i="21"/>
  <c r="R27" i="21"/>
  <c r="R11" i="21"/>
  <c r="R230" i="21"/>
  <c r="R214" i="21"/>
  <c r="R198" i="21"/>
  <c r="R182" i="21"/>
  <c r="R166" i="21"/>
  <c r="R150" i="21"/>
  <c r="R134" i="21"/>
  <c r="R118" i="21"/>
  <c r="R102" i="21"/>
  <c r="R86" i="21"/>
  <c r="R70" i="21"/>
  <c r="R54" i="21"/>
  <c r="R38" i="21"/>
  <c r="R22" i="21"/>
  <c r="R6" i="21"/>
  <c r="R221" i="21"/>
  <c r="R205" i="21"/>
  <c r="R189" i="21"/>
  <c r="R173" i="21"/>
  <c r="R157" i="21"/>
  <c r="R141" i="21"/>
  <c r="R125" i="21"/>
  <c r="R109" i="21"/>
  <c r="R93" i="21"/>
  <c r="R77" i="21"/>
  <c r="R61" i="21"/>
  <c r="R45" i="21"/>
  <c r="R29" i="21"/>
  <c r="R13" i="21"/>
  <c r="R228" i="21"/>
  <c r="R212" i="21"/>
  <c r="R196" i="21"/>
  <c r="R180" i="21"/>
  <c r="R164" i="21"/>
  <c r="R148" i="21"/>
  <c r="R132" i="21"/>
  <c r="R116" i="21"/>
  <c r="R100" i="21"/>
  <c r="R84" i="21"/>
  <c r="R68" i="21"/>
  <c r="R52" i="21"/>
  <c r="R36" i="21"/>
  <c r="R20" i="21"/>
  <c r="R4" i="21"/>
  <c r="R231" i="21"/>
  <c r="R215" i="21"/>
  <c r="R199" i="21"/>
  <c r="R183" i="21"/>
  <c r="R167" i="21"/>
  <c r="R151" i="21"/>
  <c r="R135" i="21"/>
  <c r="R119" i="21"/>
  <c r="R103" i="21"/>
  <c r="R87" i="21"/>
  <c r="R71" i="21"/>
  <c r="R55" i="21"/>
  <c r="R39" i="21"/>
  <c r="R23" i="21"/>
  <c r="R7" i="21"/>
  <c r="R226" i="21"/>
  <c r="R210" i="21"/>
  <c r="R194" i="21"/>
  <c r="R178" i="21"/>
  <c r="R162" i="21"/>
  <c r="R146" i="21"/>
  <c r="R130" i="21"/>
  <c r="R114" i="21"/>
  <c r="R98" i="21"/>
  <c r="R82" i="21"/>
  <c r="R66" i="21"/>
  <c r="R50" i="21"/>
  <c r="R34" i="21"/>
  <c r="R18" i="21"/>
  <c r="R233" i="21"/>
  <c r="R217" i="21"/>
  <c r="R201" i="21"/>
  <c r="R185" i="21"/>
  <c r="R169" i="21"/>
  <c r="R153" i="21"/>
  <c r="R137" i="21"/>
  <c r="R121" i="21"/>
  <c r="R105" i="21"/>
  <c r="R89" i="21"/>
  <c r="R73" i="21"/>
  <c r="R57" i="21"/>
  <c r="R41" i="21"/>
  <c r="R25" i="21"/>
  <c r="R9" i="21"/>
  <c r="R224" i="21"/>
  <c r="R208" i="21"/>
  <c r="R192" i="21"/>
  <c r="R176" i="21"/>
  <c r="R160" i="21"/>
  <c r="R144" i="21"/>
  <c r="R128" i="21"/>
  <c r="R112" i="21"/>
  <c r="R96" i="21"/>
  <c r="R80" i="21"/>
  <c r="R64" i="21"/>
  <c r="R48" i="21"/>
  <c r="R32" i="21"/>
  <c r="R16" i="21"/>
  <c r="R227" i="21"/>
  <c r="R211" i="21"/>
  <c r="R195" i="21"/>
  <c r="R179" i="21"/>
  <c r="R163" i="21"/>
  <c r="R147" i="21"/>
  <c r="R131" i="21"/>
  <c r="R115" i="21"/>
  <c r="R99" i="21"/>
  <c r="R83" i="21"/>
  <c r="R67" i="21"/>
  <c r="R51" i="21"/>
  <c r="R35" i="21"/>
  <c r="R19" i="21"/>
  <c r="R3" i="21"/>
  <c r="R222" i="21"/>
  <c r="R206" i="21"/>
  <c r="R190" i="21"/>
  <c r="R174" i="21"/>
  <c r="R158" i="21"/>
  <c r="R142" i="21"/>
  <c r="R126" i="21"/>
  <c r="R110" i="21"/>
  <c r="R94" i="21"/>
  <c r="R78" i="21"/>
  <c r="R62" i="21"/>
  <c r="R46" i="21"/>
  <c r="R30" i="21"/>
  <c r="R14" i="21"/>
  <c r="R229" i="21"/>
  <c r="R213" i="21"/>
  <c r="R197" i="21"/>
  <c r="R181" i="21"/>
  <c r="R165" i="21"/>
  <c r="R149" i="21"/>
  <c r="R133" i="21"/>
  <c r="R117" i="21"/>
  <c r="R101" i="21"/>
  <c r="R85" i="21"/>
  <c r="R69" i="21"/>
  <c r="R53" i="21"/>
  <c r="R37" i="21"/>
  <c r="R21" i="21"/>
  <c r="R5" i="21"/>
  <c r="R220" i="21"/>
  <c r="R204" i="21"/>
  <c r="R188" i="21"/>
  <c r="R172" i="21"/>
  <c r="R156" i="21"/>
  <c r="R140" i="21"/>
  <c r="R124" i="21"/>
  <c r="R108" i="21"/>
  <c r="R92" i="21"/>
  <c r="R76" i="21"/>
  <c r="R60" i="21"/>
  <c r="R44" i="21"/>
  <c r="R28" i="21"/>
  <c r="R12" i="21"/>
  <c r="R223" i="21"/>
  <c r="R207" i="21"/>
  <c r="R191" i="21"/>
  <c r="R175" i="21"/>
  <c r="R159" i="21"/>
  <c r="R143" i="21"/>
  <c r="R127" i="21"/>
  <c r="R111" i="21"/>
  <c r="R95" i="21"/>
  <c r="R79" i="21"/>
  <c r="R63" i="21"/>
  <c r="R47" i="21"/>
  <c r="R31" i="21"/>
  <c r="R15" i="21"/>
  <c r="R234" i="21"/>
  <c r="R218" i="21"/>
  <c r="R202" i="21"/>
  <c r="R186" i="21"/>
  <c r="R170" i="21"/>
  <c r="R154" i="21"/>
  <c r="R138" i="21"/>
  <c r="R122" i="21"/>
  <c r="R106" i="21"/>
  <c r="R90" i="21"/>
  <c r="R74" i="21"/>
  <c r="R58" i="21"/>
  <c r="R42" i="21"/>
  <c r="R26" i="21"/>
  <c r="R10" i="21"/>
  <c r="R225" i="21"/>
  <c r="R209" i="21"/>
  <c r="R193" i="21"/>
  <c r="R177" i="21"/>
  <c r="R161" i="21"/>
  <c r="R145" i="21"/>
  <c r="R129" i="21"/>
  <c r="R113" i="21"/>
  <c r="R97" i="21"/>
  <c r="R81" i="21"/>
  <c r="R65" i="21"/>
  <c r="R49" i="21"/>
  <c r="R33" i="21"/>
  <c r="R17" i="21"/>
  <c r="R232" i="21"/>
  <c r="R216" i="21"/>
  <c r="R200" i="21"/>
  <c r="R184" i="21"/>
  <c r="R168" i="21"/>
  <c r="R152" i="21"/>
  <c r="R136" i="21"/>
  <c r="R120" i="21"/>
  <c r="R104" i="21"/>
  <c r="R88" i="21"/>
  <c r="R72" i="21"/>
  <c r="R56" i="21"/>
  <c r="R40" i="21"/>
  <c r="R24" i="21"/>
  <c r="R8" i="21"/>
  <c r="H3" i="21" l="1"/>
  <c r="H4" i="21" s="1"/>
  <c r="H5" i="21" s="1"/>
  <c r="H6" i="21" s="1"/>
  <c r="H7" i="21" s="1"/>
  <c r="H8" i="21" s="1"/>
  <c r="H9" i="21" s="1"/>
  <c r="H10" i="21" s="1"/>
  <c r="H11" i="21" s="1"/>
  <c r="H12" i="21" s="1"/>
  <c r="H13" i="21" s="1"/>
  <c r="H14" i="21" s="1"/>
  <c r="H15" i="21" s="1"/>
  <c r="H16" i="21" s="1"/>
  <c r="H17" i="21" s="1"/>
  <c r="H18" i="21" s="1"/>
  <c r="H19" i="21" s="1"/>
  <c r="H20" i="21" s="1"/>
  <c r="H21" i="21" s="1"/>
  <c r="H22" i="21" s="1"/>
  <c r="H23" i="21" s="1"/>
  <c r="H24" i="21" s="1"/>
  <c r="H25" i="21" s="1"/>
  <c r="H26" i="21" s="1"/>
  <c r="H27" i="21" s="1"/>
  <c r="H28" i="21" s="1"/>
  <c r="H29" i="21" s="1"/>
  <c r="H30" i="21" s="1"/>
  <c r="H31" i="21" s="1"/>
  <c r="H32" i="21" s="1"/>
  <c r="H33" i="21" s="1"/>
  <c r="H34" i="21" s="1"/>
  <c r="H35" i="21" s="1"/>
  <c r="H36" i="21" s="1"/>
  <c r="H37" i="21" s="1"/>
  <c r="H38" i="21" s="1"/>
  <c r="H39" i="21" s="1"/>
  <c r="H40" i="21" s="1"/>
  <c r="H41" i="21" s="1"/>
  <c r="H42" i="21" s="1"/>
  <c r="H43" i="21" s="1"/>
  <c r="H44" i="21" s="1"/>
  <c r="H45" i="21" s="1"/>
  <c r="H46" i="21" s="1"/>
  <c r="H47" i="21" s="1"/>
  <c r="H48" i="21" s="1"/>
  <c r="H49" i="21" s="1"/>
  <c r="H50" i="21" s="1"/>
  <c r="H51" i="21" s="1"/>
  <c r="H52" i="21" s="1"/>
  <c r="H53" i="21" s="1"/>
  <c r="H54" i="21" s="1"/>
  <c r="H55" i="21" s="1"/>
  <c r="H56" i="21" s="1"/>
  <c r="H57" i="21" s="1"/>
  <c r="H58" i="21" s="1"/>
  <c r="H59" i="21" s="1"/>
  <c r="H60" i="21" s="1"/>
  <c r="H61" i="21" s="1"/>
  <c r="H62" i="21" s="1"/>
  <c r="H63" i="21" s="1"/>
  <c r="H64" i="21" s="1"/>
  <c r="H65" i="21" s="1"/>
  <c r="H66" i="21" s="1"/>
  <c r="H67" i="21" s="1"/>
  <c r="H68" i="21" s="1"/>
  <c r="H69" i="21" s="1"/>
  <c r="H70" i="21" s="1"/>
  <c r="H71" i="21" s="1"/>
  <c r="H72" i="21" s="1"/>
  <c r="H73" i="21" s="1"/>
  <c r="H74" i="21" s="1"/>
  <c r="H75" i="21" s="1"/>
  <c r="H76" i="21" s="1"/>
  <c r="F3" i="21"/>
  <c r="F4" i="21" s="1"/>
  <c r="Q2" i="21"/>
  <c r="L2" i="21"/>
  <c r="H77" i="21" l="1"/>
  <c r="F5" i="21"/>
  <c r="K4" i="21"/>
  <c r="I4" i="21" s="1"/>
  <c r="G3" i="21"/>
  <c r="J3" i="21" s="1"/>
  <c r="K3" i="21"/>
  <c r="I3" i="21" s="1"/>
  <c r="L3" i="21" s="1"/>
  <c r="Q4" i="21"/>
  <c r="G4" i="21"/>
  <c r="J4" i="21" s="1"/>
  <c r="Q3" i="21"/>
  <c r="H78" i="21" l="1"/>
  <c r="Q77" i="21"/>
  <c r="L4" i="21"/>
  <c r="Q5" i="21"/>
  <c r="G5" i="21"/>
  <c r="J5" i="21" s="1"/>
  <c r="F6" i="21"/>
  <c r="K5" i="21"/>
  <c r="I5" i="21" s="1"/>
  <c r="L5" i="21" s="1"/>
  <c r="H79" i="21" l="1"/>
  <c r="Q78" i="21"/>
  <c r="F7" i="21"/>
  <c r="K6" i="21"/>
  <c r="I6" i="21" s="1"/>
  <c r="L6" i="21" s="1"/>
  <c r="Q6" i="21"/>
  <c r="G6" i="21"/>
  <c r="J6" i="21" s="1"/>
  <c r="H80" i="21" l="1"/>
  <c r="Q79" i="21"/>
  <c r="Q7" i="21"/>
  <c r="G7" i="21"/>
  <c r="J7" i="21" s="1"/>
  <c r="F8" i="21"/>
  <c r="K7" i="21"/>
  <c r="I7" i="21" s="1"/>
  <c r="L7" i="21" s="1"/>
  <c r="H81" i="21" l="1"/>
  <c r="Q81" i="21" s="1"/>
  <c r="Q80" i="21"/>
  <c r="F9" i="21"/>
  <c r="K8" i="21"/>
  <c r="I8" i="21" s="1"/>
  <c r="L8" i="21" s="1"/>
  <c r="Q8" i="21"/>
  <c r="G8" i="21"/>
  <c r="J8" i="21" s="1"/>
  <c r="H82" i="21" l="1"/>
  <c r="Q82" i="21" s="1"/>
  <c r="Q9" i="21"/>
  <c r="G9" i="21"/>
  <c r="J9" i="21" s="1"/>
  <c r="F10" i="21"/>
  <c r="K9" i="21"/>
  <c r="I9" i="21" s="1"/>
  <c r="L9" i="21" s="1"/>
  <c r="H83" i="21" l="1"/>
  <c r="Q83" i="21" s="1"/>
  <c r="F11" i="21"/>
  <c r="K10" i="21"/>
  <c r="I10" i="21" s="1"/>
  <c r="L10" i="21" s="1"/>
  <c r="Q10" i="21"/>
  <c r="G10" i="21"/>
  <c r="J10" i="21" s="1"/>
  <c r="H84" i="21" l="1"/>
  <c r="Q11" i="21"/>
  <c r="G11" i="21"/>
  <c r="J11" i="21" s="1"/>
  <c r="F12" i="21"/>
  <c r="K11" i="21"/>
  <c r="I11" i="21" s="1"/>
  <c r="L11" i="21" s="1"/>
  <c r="H85" i="21" l="1"/>
  <c r="Q84" i="21"/>
  <c r="F13" i="21"/>
  <c r="K12" i="21"/>
  <c r="I12" i="21" s="1"/>
  <c r="L12" i="21" s="1"/>
  <c r="Q12" i="21"/>
  <c r="G12" i="21"/>
  <c r="J12" i="21" s="1"/>
  <c r="H86" i="21" l="1"/>
  <c r="Q85" i="21"/>
  <c r="Q13" i="21"/>
  <c r="G13" i="21"/>
  <c r="J13" i="21" s="1"/>
  <c r="F14" i="21"/>
  <c r="K13" i="21"/>
  <c r="I13" i="21" s="1"/>
  <c r="L13" i="21" s="1"/>
  <c r="H87" i="21" l="1"/>
  <c r="Q87" i="21" s="1"/>
  <c r="Q86" i="21"/>
  <c r="F15" i="21"/>
  <c r="K14" i="21"/>
  <c r="I14" i="21" s="1"/>
  <c r="L14" i="21" s="1"/>
  <c r="Q14" i="21"/>
  <c r="G14" i="21"/>
  <c r="J14" i="21" s="1"/>
  <c r="H88" i="21" l="1"/>
  <c r="Q15" i="21"/>
  <c r="G15" i="21"/>
  <c r="J15" i="21" s="1"/>
  <c r="F16" i="21"/>
  <c r="K15" i="21"/>
  <c r="I15" i="21" s="1"/>
  <c r="L15" i="21" s="1"/>
  <c r="H89" i="21" l="1"/>
  <c r="Q89" i="21" s="1"/>
  <c r="Q88" i="21"/>
  <c r="F17" i="21"/>
  <c r="K16" i="21"/>
  <c r="I16" i="21" s="1"/>
  <c r="L16" i="21" s="1"/>
  <c r="Q16" i="21"/>
  <c r="G16" i="21"/>
  <c r="J16" i="21" s="1"/>
  <c r="H90" i="21" l="1"/>
  <c r="Q90" i="21" s="1"/>
  <c r="Q17" i="21"/>
  <c r="G17" i="21"/>
  <c r="J17" i="21" s="1"/>
  <c r="F18" i="21"/>
  <c r="K17" i="21"/>
  <c r="I17" i="21" s="1"/>
  <c r="L17" i="21" s="1"/>
  <c r="H91" i="21" l="1"/>
  <c r="F19" i="21"/>
  <c r="K18" i="21"/>
  <c r="I18" i="21" s="1"/>
  <c r="L18" i="21" s="1"/>
  <c r="Q18" i="21"/>
  <c r="G18" i="21"/>
  <c r="J18" i="21" s="1"/>
  <c r="H92" i="21" l="1"/>
  <c r="Q91" i="21"/>
  <c r="Q19" i="21"/>
  <c r="G19" i="21"/>
  <c r="J19" i="21" s="1"/>
  <c r="F20" i="21"/>
  <c r="K19" i="21"/>
  <c r="I19" i="21" s="1"/>
  <c r="L19" i="21" s="1"/>
  <c r="H93" i="21" l="1"/>
  <c r="Q92" i="21"/>
  <c r="F21" i="21"/>
  <c r="K20" i="21"/>
  <c r="I20" i="21" s="1"/>
  <c r="L20" i="21" s="1"/>
  <c r="Q20" i="21"/>
  <c r="G20" i="21"/>
  <c r="J20" i="21" s="1"/>
  <c r="H94" i="21" l="1"/>
  <c r="Q93" i="21"/>
  <c r="Q21" i="21"/>
  <c r="G21" i="21"/>
  <c r="J21" i="21" s="1"/>
  <c r="F22" i="21"/>
  <c r="K21" i="21"/>
  <c r="I21" i="21" s="1"/>
  <c r="L21" i="21" s="1"/>
  <c r="H95" i="21" l="1"/>
  <c r="Q94" i="21"/>
  <c r="F23" i="21"/>
  <c r="K22" i="21"/>
  <c r="I22" i="21" s="1"/>
  <c r="L22" i="21" s="1"/>
  <c r="Q22" i="21"/>
  <c r="G22" i="21"/>
  <c r="J22" i="21" s="1"/>
  <c r="H96" i="21" l="1"/>
  <c r="Q95" i="21"/>
  <c r="Q23" i="21"/>
  <c r="G23" i="21"/>
  <c r="J23" i="21" s="1"/>
  <c r="F24" i="21"/>
  <c r="K23" i="21"/>
  <c r="I23" i="21" s="1"/>
  <c r="L23" i="21" s="1"/>
  <c r="H97" i="21" l="1"/>
  <c r="Q96" i="21"/>
  <c r="F25" i="21"/>
  <c r="K24" i="21"/>
  <c r="I24" i="21" s="1"/>
  <c r="L24" i="21" s="1"/>
  <c r="Q24" i="21"/>
  <c r="G24" i="21"/>
  <c r="J24" i="21" s="1"/>
  <c r="H98" i="21" l="1"/>
  <c r="Q97" i="21"/>
  <c r="Q25" i="21"/>
  <c r="G25" i="21"/>
  <c r="J25" i="21" s="1"/>
  <c r="F26" i="21"/>
  <c r="K25" i="21"/>
  <c r="I25" i="21" s="1"/>
  <c r="L25" i="21" s="1"/>
  <c r="H99" i="21" l="1"/>
  <c r="Q98" i="21"/>
  <c r="F27" i="21"/>
  <c r="K26" i="21"/>
  <c r="I26" i="21" s="1"/>
  <c r="L26" i="21" s="1"/>
  <c r="Q26" i="21"/>
  <c r="G26" i="21"/>
  <c r="J26" i="21" s="1"/>
  <c r="H100" i="21" l="1"/>
  <c r="Q99" i="21"/>
  <c r="Q27" i="21"/>
  <c r="G27" i="21"/>
  <c r="J27" i="21" s="1"/>
  <c r="F28" i="21"/>
  <c r="K27" i="21"/>
  <c r="I27" i="21" s="1"/>
  <c r="L27" i="21" s="1"/>
  <c r="H101" i="21" l="1"/>
  <c r="Q100" i="21"/>
  <c r="F29" i="21"/>
  <c r="K28" i="21"/>
  <c r="I28" i="21" s="1"/>
  <c r="L28" i="21" s="1"/>
  <c r="Q28" i="21"/>
  <c r="G28" i="21"/>
  <c r="J28" i="21" s="1"/>
  <c r="H102" i="21" l="1"/>
  <c r="Q101" i="21"/>
  <c r="Q29" i="21"/>
  <c r="G29" i="21"/>
  <c r="J29" i="21" s="1"/>
  <c r="F30" i="21"/>
  <c r="K29" i="21"/>
  <c r="I29" i="21" s="1"/>
  <c r="L29" i="21" s="1"/>
  <c r="H103" i="21" l="1"/>
  <c r="Q102" i="21"/>
  <c r="F31" i="21"/>
  <c r="K30" i="21"/>
  <c r="I30" i="21" s="1"/>
  <c r="L30" i="21" s="1"/>
  <c r="Q30" i="21"/>
  <c r="G30" i="21"/>
  <c r="J30" i="21" s="1"/>
  <c r="H104" i="21" l="1"/>
  <c r="Q103" i="21"/>
  <c r="Q31" i="21"/>
  <c r="G31" i="21"/>
  <c r="J31" i="21" s="1"/>
  <c r="F32" i="21"/>
  <c r="K31" i="21"/>
  <c r="I31" i="21" s="1"/>
  <c r="L31" i="21" s="1"/>
  <c r="H105" i="21" l="1"/>
  <c r="Q104" i="21"/>
  <c r="F33" i="21"/>
  <c r="K32" i="21"/>
  <c r="I32" i="21" s="1"/>
  <c r="L32" i="21" s="1"/>
  <c r="Q32" i="21"/>
  <c r="G32" i="21"/>
  <c r="J32" i="21" s="1"/>
  <c r="H106" i="21" l="1"/>
  <c r="Q105" i="21"/>
  <c r="Q33" i="21"/>
  <c r="G33" i="21"/>
  <c r="J33" i="21" s="1"/>
  <c r="F34" i="21"/>
  <c r="K33" i="21"/>
  <c r="I33" i="21" s="1"/>
  <c r="L33" i="21" s="1"/>
  <c r="H107" i="21" l="1"/>
  <c r="Q106" i="21"/>
  <c r="F35" i="21"/>
  <c r="K34" i="21"/>
  <c r="I34" i="21" s="1"/>
  <c r="L34" i="21" s="1"/>
  <c r="Q34" i="21"/>
  <c r="G34" i="21"/>
  <c r="J34" i="21" s="1"/>
  <c r="H108" i="21" l="1"/>
  <c r="Q108" i="21" s="1"/>
  <c r="Q107" i="21"/>
  <c r="Q35" i="21"/>
  <c r="G35" i="21"/>
  <c r="J35" i="21" s="1"/>
  <c r="F36" i="21"/>
  <c r="K35" i="21"/>
  <c r="I35" i="21" s="1"/>
  <c r="L35" i="21" s="1"/>
  <c r="H109" i="21" l="1"/>
  <c r="Q109" i="21" s="1"/>
  <c r="F37" i="21"/>
  <c r="K36" i="21"/>
  <c r="I36" i="21" s="1"/>
  <c r="L36" i="21" s="1"/>
  <c r="Q36" i="21"/>
  <c r="G36" i="21"/>
  <c r="J36" i="21" s="1"/>
  <c r="H110" i="21" l="1"/>
  <c r="Q110" i="21" s="1"/>
  <c r="Q37" i="21"/>
  <c r="G37" i="21"/>
  <c r="J37" i="21" s="1"/>
  <c r="F38" i="21"/>
  <c r="K37" i="21"/>
  <c r="I37" i="21" s="1"/>
  <c r="L37" i="21" s="1"/>
  <c r="H111" i="21" l="1"/>
  <c r="Q111" i="21" s="1"/>
  <c r="F39" i="21"/>
  <c r="K38" i="21"/>
  <c r="I38" i="21" s="1"/>
  <c r="L38" i="21" s="1"/>
  <c r="Q38" i="21"/>
  <c r="G38" i="21"/>
  <c r="J38" i="21" s="1"/>
  <c r="H112" i="21" l="1"/>
  <c r="Q112" i="21" s="1"/>
  <c r="Q39" i="21"/>
  <c r="G39" i="21"/>
  <c r="J39" i="21" s="1"/>
  <c r="F40" i="21"/>
  <c r="K39" i="21"/>
  <c r="I39" i="21" s="1"/>
  <c r="L39" i="21" s="1"/>
  <c r="H113" i="21" l="1"/>
  <c r="Q113" i="21" s="1"/>
  <c r="F41" i="21"/>
  <c r="K40" i="21"/>
  <c r="I40" i="21" s="1"/>
  <c r="L40" i="21" s="1"/>
  <c r="Q40" i="21"/>
  <c r="G40" i="21"/>
  <c r="J40" i="21" s="1"/>
  <c r="H114" i="21" l="1"/>
  <c r="G41" i="21"/>
  <c r="J41" i="21" s="1"/>
  <c r="Q41" i="21"/>
  <c r="F42" i="21"/>
  <c r="K41" i="21"/>
  <c r="I41" i="21" s="1"/>
  <c r="L41" i="21" s="1"/>
  <c r="H115" i="21" l="1"/>
  <c r="Q115" i="21" s="1"/>
  <c r="Q114" i="21"/>
  <c r="F43" i="21"/>
  <c r="K42" i="21"/>
  <c r="I42" i="21" s="1"/>
  <c r="L42" i="21" s="1"/>
  <c r="Q42" i="21"/>
  <c r="G42" i="21"/>
  <c r="J42" i="21" s="1"/>
  <c r="H116" i="21" l="1"/>
  <c r="Q43" i="21"/>
  <c r="G43" i="21"/>
  <c r="J43" i="21" s="1"/>
  <c r="F44" i="21"/>
  <c r="K43" i="21"/>
  <c r="I43" i="21" s="1"/>
  <c r="L43" i="21" s="1"/>
  <c r="H117" i="21" l="1"/>
  <c r="Q116" i="21"/>
  <c r="F45" i="21"/>
  <c r="K44" i="21"/>
  <c r="I44" i="21" s="1"/>
  <c r="L44" i="21" s="1"/>
  <c r="Q44" i="21"/>
  <c r="G44" i="21"/>
  <c r="J44" i="21" s="1"/>
  <c r="H118" i="21" l="1"/>
  <c r="Q117" i="21"/>
  <c r="Q45" i="21"/>
  <c r="G45" i="21"/>
  <c r="J45" i="21" s="1"/>
  <c r="F46" i="21"/>
  <c r="K45" i="21"/>
  <c r="I45" i="21" s="1"/>
  <c r="L45" i="21" s="1"/>
  <c r="H119" i="21" l="1"/>
  <c r="Q118" i="21"/>
  <c r="F47" i="21"/>
  <c r="K46" i="21"/>
  <c r="I46" i="21" s="1"/>
  <c r="L46" i="21" s="1"/>
  <c r="Q46" i="21"/>
  <c r="G46" i="21"/>
  <c r="J46" i="21" s="1"/>
  <c r="H120" i="21" l="1"/>
  <c r="Q119" i="21"/>
  <c r="Q47" i="21"/>
  <c r="G47" i="21"/>
  <c r="J47" i="21" s="1"/>
  <c r="F48" i="21"/>
  <c r="K47" i="21"/>
  <c r="I47" i="21" s="1"/>
  <c r="L47" i="21" s="1"/>
  <c r="H121" i="21" l="1"/>
  <c r="Q120" i="21"/>
  <c r="F49" i="21"/>
  <c r="K48" i="21"/>
  <c r="I48" i="21" s="1"/>
  <c r="L48" i="21" s="1"/>
  <c r="Q48" i="21"/>
  <c r="G48" i="21"/>
  <c r="J48" i="21" s="1"/>
  <c r="H122" i="21" l="1"/>
  <c r="Q121" i="21"/>
  <c r="Q49" i="21"/>
  <c r="G49" i="21"/>
  <c r="J49" i="21" s="1"/>
  <c r="F50" i="21"/>
  <c r="K49" i="21"/>
  <c r="I49" i="21" s="1"/>
  <c r="L49" i="21" s="1"/>
  <c r="H123" i="21" l="1"/>
  <c r="Q122" i="21"/>
  <c r="F51" i="21"/>
  <c r="K50" i="21"/>
  <c r="I50" i="21" s="1"/>
  <c r="L50" i="21" s="1"/>
  <c r="Q50" i="21"/>
  <c r="G50" i="21"/>
  <c r="J50" i="21" s="1"/>
  <c r="H124" i="21" l="1"/>
  <c r="Q123" i="21"/>
  <c r="Q51" i="21"/>
  <c r="G51" i="21"/>
  <c r="J51" i="21" s="1"/>
  <c r="F52" i="21"/>
  <c r="K51" i="21"/>
  <c r="I51" i="21" s="1"/>
  <c r="L51" i="21" s="1"/>
  <c r="H125" i="21" l="1"/>
  <c r="Q124" i="21"/>
  <c r="F53" i="21"/>
  <c r="K52" i="21"/>
  <c r="I52" i="21" s="1"/>
  <c r="L52" i="21" s="1"/>
  <c r="Q52" i="21"/>
  <c r="G52" i="21"/>
  <c r="J52" i="21" s="1"/>
  <c r="H126" i="21" l="1"/>
  <c r="Q125" i="21"/>
  <c r="Q53" i="21"/>
  <c r="G53" i="21"/>
  <c r="J53" i="21" s="1"/>
  <c r="F54" i="21"/>
  <c r="K53" i="21"/>
  <c r="I53" i="21" s="1"/>
  <c r="L53" i="21" s="1"/>
  <c r="H127" i="21" l="1"/>
  <c r="Q126" i="21"/>
  <c r="F55" i="21"/>
  <c r="K54" i="21"/>
  <c r="I54" i="21" s="1"/>
  <c r="L54" i="21" s="1"/>
  <c r="Q54" i="21"/>
  <c r="G54" i="21"/>
  <c r="J54" i="21" s="1"/>
  <c r="H128" i="21" l="1"/>
  <c r="Q127" i="21"/>
  <c r="Q55" i="21"/>
  <c r="G55" i="21"/>
  <c r="J55" i="21" s="1"/>
  <c r="F56" i="21"/>
  <c r="K55" i="21"/>
  <c r="I55" i="21" s="1"/>
  <c r="L55" i="21" s="1"/>
  <c r="H129" i="21" l="1"/>
  <c r="Q128" i="21"/>
  <c r="F57" i="21"/>
  <c r="K56" i="21"/>
  <c r="I56" i="21" s="1"/>
  <c r="L56" i="21" s="1"/>
  <c r="Q56" i="21"/>
  <c r="G56" i="21"/>
  <c r="J56" i="21" s="1"/>
  <c r="H130" i="21" l="1"/>
  <c r="Q129" i="21"/>
  <c r="Q57" i="21"/>
  <c r="G57" i="21"/>
  <c r="J57" i="21" s="1"/>
  <c r="F58" i="21"/>
  <c r="K57" i="21"/>
  <c r="I57" i="21" s="1"/>
  <c r="L57" i="21" s="1"/>
  <c r="H131" i="21" l="1"/>
  <c r="Q130" i="21"/>
  <c r="F59" i="21"/>
  <c r="K58" i="21"/>
  <c r="I58" i="21" s="1"/>
  <c r="L58" i="21" s="1"/>
  <c r="Q58" i="21"/>
  <c r="G58" i="21"/>
  <c r="J58" i="21" s="1"/>
  <c r="H132" i="21" l="1"/>
  <c r="Q132" i="21" s="1"/>
  <c r="Q131" i="21"/>
  <c r="Q59" i="21"/>
  <c r="G59" i="21"/>
  <c r="J59" i="21" s="1"/>
  <c r="F60" i="21"/>
  <c r="K59" i="21"/>
  <c r="I59" i="21" s="1"/>
  <c r="L59" i="21" s="1"/>
  <c r="H133" i="21" l="1"/>
  <c r="Q133" i="21" s="1"/>
  <c r="F61" i="21"/>
  <c r="K60" i="21"/>
  <c r="I60" i="21" s="1"/>
  <c r="L60" i="21" s="1"/>
  <c r="Q60" i="21"/>
  <c r="G60" i="21"/>
  <c r="J60" i="21" s="1"/>
  <c r="H134" i="21" l="1"/>
  <c r="Q61" i="21"/>
  <c r="G61" i="21"/>
  <c r="J61" i="21" s="1"/>
  <c r="F62" i="21"/>
  <c r="K61" i="21"/>
  <c r="I61" i="21" s="1"/>
  <c r="L61" i="21" s="1"/>
  <c r="H135" i="21" l="1"/>
  <c r="Q134" i="21"/>
  <c r="F63" i="21"/>
  <c r="K62" i="21"/>
  <c r="I62" i="21" s="1"/>
  <c r="L62" i="21" s="1"/>
  <c r="Q62" i="21"/>
  <c r="G62" i="21"/>
  <c r="J62" i="21" s="1"/>
  <c r="H136" i="21" l="1"/>
  <c r="Q135" i="21"/>
  <c r="Q63" i="21"/>
  <c r="G63" i="21"/>
  <c r="J63" i="21" s="1"/>
  <c r="F64" i="21"/>
  <c r="K63" i="21"/>
  <c r="I63" i="21" s="1"/>
  <c r="L63" i="21" s="1"/>
  <c r="H137" i="21" l="1"/>
  <c r="Q136" i="21"/>
  <c r="F65" i="21"/>
  <c r="K64" i="21"/>
  <c r="I64" i="21" s="1"/>
  <c r="L64" i="21" s="1"/>
  <c r="Q64" i="21"/>
  <c r="G64" i="21"/>
  <c r="J64" i="21" s="1"/>
  <c r="H138" i="21" l="1"/>
  <c r="Q137" i="21"/>
  <c r="Q65" i="21"/>
  <c r="G65" i="21"/>
  <c r="J65" i="21" s="1"/>
  <c r="F66" i="21"/>
  <c r="K65" i="21"/>
  <c r="I65" i="21" s="1"/>
  <c r="L65" i="21" s="1"/>
  <c r="H139" i="21" l="1"/>
  <c r="Q138" i="21"/>
  <c r="F67" i="21"/>
  <c r="K66" i="21"/>
  <c r="I66" i="21" s="1"/>
  <c r="L66" i="21" s="1"/>
  <c r="Q66" i="21"/>
  <c r="G66" i="21"/>
  <c r="J66" i="21" s="1"/>
  <c r="H140" i="21" l="1"/>
  <c r="Q139" i="21"/>
  <c r="Q67" i="21"/>
  <c r="G67" i="21"/>
  <c r="J67" i="21" s="1"/>
  <c r="F68" i="21"/>
  <c r="K67" i="21"/>
  <c r="I67" i="21" s="1"/>
  <c r="L67" i="21" s="1"/>
  <c r="H141" i="21" l="1"/>
  <c r="Q140" i="21"/>
  <c r="F69" i="21"/>
  <c r="K68" i="21"/>
  <c r="I68" i="21" s="1"/>
  <c r="L68" i="21" s="1"/>
  <c r="Q68" i="21"/>
  <c r="G68" i="21"/>
  <c r="J68" i="21" s="1"/>
  <c r="H142" i="21" l="1"/>
  <c r="Q141" i="21"/>
  <c r="Q69" i="21"/>
  <c r="G69" i="21"/>
  <c r="J69" i="21" s="1"/>
  <c r="F70" i="21"/>
  <c r="K69" i="21"/>
  <c r="I69" i="21" s="1"/>
  <c r="L69" i="21" s="1"/>
  <c r="H143" i="21" l="1"/>
  <c r="Q142" i="21"/>
  <c r="F71" i="21"/>
  <c r="K70" i="21"/>
  <c r="I70" i="21" s="1"/>
  <c r="L70" i="21" s="1"/>
  <c r="Q70" i="21"/>
  <c r="G70" i="21"/>
  <c r="J70" i="21" s="1"/>
  <c r="H144" i="21" l="1"/>
  <c r="Q143" i="21"/>
  <c r="Q71" i="21"/>
  <c r="G71" i="21"/>
  <c r="J71" i="21" s="1"/>
  <c r="F72" i="21"/>
  <c r="K71" i="21"/>
  <c r="I71" i="21" s="1"/>
  <c r="L71" i="21" s="1"/>
  <c r="H145" i="21" l="1"/>
  <c r="Q144" i="21"/>
  <c r="F73" i="21"/>
  <c r="K72" i="21"/>
  <c r="I72" i="21" s="1"/>
  <c r="L72" i="21" s="1"/>
  <c r="G72" i="21"/>
  <c r="J72" i="21" s="1"/>
  <c r="Q72" i="21"/>
  <c r="H146" i="21" l="1"/>
  <c r="Q145" i="21"/>
  <c r="Q73" i="21"/>
  <c r="G73" i="21"/>
  <c r="J73" i="21" s="1"/>
  <c r="F74" i="21"/>
  <c r="K73" i="21"/>
  <c r="I73" i="21" s="1"/>
  <c r="L73" i="21" s="1"/>
  <c r="H147" i="21" l="1"/>
  <c r="Q146" i="21"/>
  <c r="F75" i="21"/>
  <c r="K74" i="21"/>
  <c r="I74" i="21" s="1"/>
  <c r="L74" i="21" s="1"/>
  <c r="Q74" i="21"/>
  <c r="G74" i="21"/>
  <c r="J74" i="21" s="1"/>
  <c r="K75" i="21" l="1"/>
  <c r="I75" i="21" s="1"/>
  <c r="F76" i="21"/>
  <c r="G76" i="21" s="1"/>
  <c r="J76" i="21" s="1"/>
  <c r="H148" i="21"/>
  <c r="Q147" i="21"/>
  <c r="Q76" i="21"/>
  <c r="Q75" i="21"/>
  <c r="G75" i="21"/>
  <c r="J75" i="21" s="1"/>
  <c r="K76" i="21" l="1"/>
  <c r="I76" i="21" s="1"/>
  <c r="F77" i="21"/>
  <c r="G77" i="21" s="1"/>
  <c r="J77" i="21" s="1"/>
  <c r="H149" i="21"/>
  <c r="Q148" i="21"/>
  <c r="L76" i="21"/>
  <c r="L75" i="21"/>
  <c r="K77" i="21" l="1"/>
  <c r="I77" i="21" s="1"/>
  <c r="L77" i="21" s="1"/>
  <c r="F78" i="21"/>
  <c r="G78" i="21" s="1"/>
  <c r="J78" i="21" s="1"/>
  <c r="H150" i="21"/>
  <c r="Q149" i="21"/>
  <c r="K78" i="21" l="1"/>
  <c r="I78" i="21" s="1"/>
  <c r="L78" i="21" s="1"/>
  <c r="F79" i="21"/>
  <c r="G79" i="21" s="1"/>
  <c r="J79" i="21" s="1"/>
  <c r="H151" i="21"/>
  <c r="Q150" i="21"/>
  <c r="F80" i="21" l="1"/>
  <c r="G80" i="21" s="1"/>
  <c r="J80" i="21" s="1"/>
  <c r="K79" i="21"/>
  <c r="I79" i="21" s="1"/>
  <c r="L79" i="21" s="1"/>
  <c r="H152" i="21"/>
  <c r="Q151" i="21"/>
  <c r="K80" i="21" l="1"/>
  <c r="I80" i="21" s="1"/>
  <c r="L80" i="21" s="1"/>
  <c r="F81" i="21"/>
  <c r="G81" i="21" s="1"/>
  <c r="J81" i="21" s="1"/>
  <c r="H153" i="21"/>
  <c r="Q152" i="21"/>
  <c r="F82" i="21" l="1"/>
  <c r="K81" i="21"/>
  <c r="I81" i="21" s="1"/>
  <c r="L81" i="21" s="1"/>
  <c r="H154" i="21"/>
  <c r="Q153" i="21"/>
  <c r="K82" i="21" l="1"/>
  <c r="I82" i="21" s="1"/>
  <c r="L82" i="21" s="1"/>
  <c r="F83" i="21"/>
  <c r="G82" i="21"/>
  <c r="J82" i="21" s="1"/>
  <c r="H155" i="21"/>
  <c r="Q154" i="21"/>
  <c r="F84" i="21" l="1"/>
  <c r="K83" i="21"/>
  <c r="I83" i="21" s="1"/>
  <c r="L83" i="21" s="1"/>
  <c r="G83" i="21"/>
  <c r="J83" i="21" s="1"/>
  <c r="H156" i="21"/>
  <c r="Q155" i="21"/>
  <c r="K84" i="21" l="1"/>
  <c r="I84" i="21" s="1"/>
  <c r="L84" i="21" s="1"/>
  <c r="F85" i="21"/>
  <c r="G84" i="21"/>
  <c r="J84" i="21" s="1"/>
  <c r="H157" i="21"/>
  <c r="Q156" i="21"/>
  <c r="F86" i="21" l="1"/>
  <c r="K85" i="21"/>
  <c r="I85" i="21" s="1"/>
  <c r="L85" i="21" s="1"/>
  <c r="G85" i="21"/>
  <c r="J85" i="21" s="1"/>
  <c r="H158" i="21"/>
  <c r="Q157" i="21"/>
  <c r="K86" i="21" l="1"/>
  <c r="I86" i="21" s="1"/>
  <c r="L86" i="21" s="1"/>
  <c r="F87" i="21"/>
  <c r="G86" i="21"/>
  <c r="J86" i="21" s="1"/>
  <c r="H159" i="21"/>
  <c r="Q158" i="21"/>
  <c r="F88" i="21" l="1"/>
  <c r="K87" i="21"/>
  <c r="I87" i="21" s="1"/>
  <c r="L87" i="21" s="1"/>
  <c r="G87" i="21"/>
  <c r="J87" i="21" s="1"/>
  <c r="H160" i="21"/>
  <c r="Q160" i="21" s="1"/>
  <c r="Q159" i="21"/>
  <c r="K88" i="21" l="1"/>
  <c r="I88" i="21" s="1"/>
  <c r="L88" i="21" s="1"/>
  <c r="F89" i="21"/>
  <c r="G88" i="21"/>
  <c r="J88" i="21" s="1"/>
  <c r="H161" i="21"/>
  <c r="Q161" i="21" s="1"/>
  <c r="F90" i="21" l="1"/>
  <c r="K89" i="21"/>
  <c r="I89" i="21" s="1"/>
  <c r="L89" i="21" s="1"/>
  <c r="G89" i="21"/>
  <c r="J89" i="21" s="1"/>
  <c r="H162" i="21"/>
  <c r="Q162" i="21" s="1"/>
  <c r="K90" i="21" l="1"/>
  <c r="I90" i="21" s="1"/>
  <c r="L90" i="21" s="1"/>
  <c r="F91" i="21"/>
  <c r="G90" i="21"/>
  <c r="J90" i="21" s="1"/>
  <c r="H163" i="21"/>
  <c r="F92" i="21" l="1"/>
  <c r="K91" i="21"/>
  <c r="I91" i="21" s="1"/>
  <c r="L91" i="21" s="1"/>
  <c r="G91" i="21"/>
  <c r="J91" i="21" s="1"/>
  <c r="H164" i="21"/>
  <c r="Q164" i="21" s="1"/>
  <c r="Q163" i="21"/>
  <c r="K92" i="21" l="1"/>
  <c r="I92" i="21" s="1"/>
  <c r="L92" i="21" s="1"/>
  <c r="F93" i="21"/>
  <c r="G92" i="21"/>
  <c r="J92" i="21" s="1"/>
  <c r="H165" i="21"/>
  <c r="K93" i="21" l="1"/>
  <c r="I93" i="21" s="1"/>
  <c r="L93" i="21" s="1"/>
  <c r="F94" i="21"/>
  <c r="G93" i="21"/>
  <c r="J93" i="21" s="1"/>
  <c r="H166" i="21"/>
  <c r="Q166" i="21" s="1"/>
  <c r="Q165" i="21"/>
  <c r="K94" i="21" l="1"/>
  <c r="I94" i="21" s="1"/>
  <c r="L94" i="21" s="1"/>
  <c r="F95" i="21"/>
  <c r="G94" i="21"/>
  <c r="J94" i="21" s="1"/>
  <c r="H167" i="21"/>
  <c r="K95" i="21" l="1"/>
  <c r="I95" i="21" s="1"/>
  <c r="L95" i="21" s="1"/>
  <c r="F96" i="21"/>
  <c r="G95" i="21"/>
  <c r="J95" i="21" s="1"/>
  <c r="H168" i="21"/>
  <c r="Q168" i="21" s="1"/>
  <c r="Q167" i="21"/>
  <c r="K96" i="21" l="1"/>
  <c r="I96" i="21" s="1"/>
  <c r="L96" i="21" s="1"/>
  <c r="F97" i="21"/>
  <c r="G96" i="21"/>
  <c r="J96" i="21" s="1"/>
  <c r="H169" i="21"/>
  <c r="Q169" i="21" s="1"/>
  <c r="F98" i="21" l="1"/>
  <c r="K97" i="21"/>
  <c r="I97" i="21" s="1"/>
  <c r="L97" i="21" s="1"/>
  <c r="G97" i="21"/>
  <c r="J97" i="21" s="1"/>
  <c r="H170" i="21"/>
  <c r="Q170" i="21" s="1"/>
  <c r="K98" i="21" l="1"/>
  <c r="I98" i="21" s="1"/>
  <c r="L98" i="21" s="1"/>
  <c r="F99" i="21"/>
  <c r="G98" i="21"/>
  <c r="J98" i="21" s="1"/>
  <c r="H171" i="21"/>
  <c r="Q171" i="21" s="1"/>
  <c r="F100" i="21" l="1"/>
  <c r="K99" i="21"/>
  <c r="I99" i="21" s="1"/>
  <c r="L99" i="21" s="1"/>
  <c r="G99" i="21"/>
  <c r="J99" i="21" s="1"/>
  <c r="H172" i="21"/>
  <c r="Q172" i="21" s="1"/>
  <c r="K100" i="21" l="1"/>
  <c r="I100" i="21" s="1"/>
  <c r="L100" i="21" s="1"/>
  <c r="F101" i="21"/>
  <c r="G100" i="21"/>
  <c r="J100" i="21" s="1"/>
  <c r="H173" i="21"/>
  <c r="Q173" i="21" s="1"/>
  <c r="K101" i="21" l="1"/>
  <c r="I101" i="21" s="1"/>
  <c r="L101" i="21" s="1"/>
  <c r="F102" i="21"/>
  <c r="G101" i="21"/>
  <c r="J101" i="21" s="1"/>
  <c r="H174" i="21"/>
  <c r="Q174" i="21" s="1"/>
  <c r="K102" i="21" l="1"/>
  <c r="I102" i="21" s="1"/>
  <c r="L102" i="21" s="1"/>
  <c r="F103" i="21"/>
  <c r="G102" i="21"/>
  <c r="J102" i="21" s="1"/>
  <c r="H175" i="21"/>
  <c r="Q175" i="21" s="1"/>
  <c r="K103" i="21" l="1"/>
  <c r="I103" i="21" s="1"/>
  <c r="L103" i="21" s="1"/>
  <c r="F104" i="21"/>
  <c r="G103" i="21"/>
  <c r="J103" i="21" s="1"/>
  <c r="H176" i="21"/>
  <c r="Q176" i="21" s="1"/>
  <c r="K104" i="21" l="1"/>
  <c r="I104" i="21" s="1"/>
  <c r="L104" i="21" s="1"/>
  <c r="F105" i="21"/>
  <c r="G104" i="21"/>
  <c r="J104" i="21" s="1"/>
  <c r="H177" i="21"/>
  <c r="K105" i="21" l="1"/>
  <c r="I105" i="21" s="1"/>
  <c r="L105" i="21" s="1"/>
  <c r="F106" i="21"/>
  <c r="G105" i="21"/>
  <c r="J105" i="21" s="1"/>
  <c r="H178" i="21"/>
  <c r="Q178" i="21" s="1"/>
  <c r="Q177" i="21"/>
  <c r="K106" i="21" l="1"/>
  <c r="I106" i="21" s="1"/>
  <c r="L106" i="21" s="1"/>
  <c r="F107" i="21"/>
  <c r="G106" i="21"/>
  <c r="J106" i="21" s="1"/>
  <c r="H179" i="21"/>
  <c r="Q179" i="21" s="1"/>
  <c r="F108" i="21" l="1"/>
  <c r="K107" i="21"/>
  <c r="I107" i="21" s="1"/>
  <c r="L107" i="21" s="1"/>
  <c r="G107" i="21"/>
  <c r="J107" i="21" s="1"/>
  <c r="H180" i="21"/>
  <c r="Q180" i="21" s="1"/>
  <c r="K108" i="21" l="1"/>
  <c r="I108" i="21" s="1"/>
  <c r="L108" i="21" s="1"/>
  <c r="F109" i="21"/>
  <c r="G108" i="21"/>
  <c r="J108" i="21" s="1"/>
  <c r="H181" i="21"/>
  <c r="K109" i="21" l="1"/>
  <c r="I109" i="21" s="1"/>
  <c r="L109" i="21" s="1"/>
  <c r="F110" i="21"/>
  <c r="G109" i="21"/>
  <c r="J109" i="21" s="1"/>
  <c r="H182" i="21"/>
  <c r="Q181" i="21"/>
  <c r="K110" i="21" l="1"/>
  <c r="I110" i="21" s="1"/>
  <c r="L110" i="21" s="1"/>
  <c r="F111" i="21"/>
  <c r="G110" i="21"/>
  <c r="J110" i="21" s="1"/>
  <c r="H183" i="21"/>
  <c r="Q182" i="21"/>
  <c r="K111" i="21" l="1"/>
  <c r="I111" i="21" s="1"/>
  <c r="L111" i="21" s="1"/>
  <c r="F112" i="21"/>
  <c r="G111" i="21"/>
  <c r="J111" i="21" s="1"/>
  <c r="H184" i="21"/>
  <c r="Q183" i="21"/>
  <c r="K112" i="21" l="1"/>
  <c r="I112" i="21" s="1"/>
  <c r="L112" i="21" s="1"/>
  <c r="F113" i="21"/>
  <c r="G112" i="21"/>
  <c r="J112" i="21" s="1"/>
  <c r="H185" i="21"/>
  <c r="Q184" i="21"/>
  <c r="K113" i="21" l="1"/>
  <c r="I113" i="21" s="1"/>
  <c r="L113" i="21" s="1"/>
  <c r="F114" i="21"/>
  <c r="G113" i="21"/>
  <c r="J113" i="21" s="1"/>
  <c r="H186" i="21"/>
  <c r="Q185" i="21"/>
  <c r="K114" i="21" l="1"/>
  <c r="I114" i="21" s="1"/>
  <c r="L114" i="21" s="1"/>
  <c r="F115" i="21"/>
  <c r="G114" i="21"/>
  <c r="J114" i="21" s="1"/>
  <c r="H187" i="21"/>
  <c r="Q186" i="21"/>
  <c r="K115" i="21" l="1"/>
  <c r="I115" i="21" s="1"/>
  <c r="L115" i="21" s="1"/>
  <c r="F116" i="21"/>
  <c r="G115" i="21"/>
  <c r="J115" i="21" s="1"/>
  <c r="H188" i="21"/>
  <c r="Q187" i="21"/>
  <c r="K116" i="21" l="1"/>
  <c r="I116" i="21" s="1"/>
  <c r="L116" i="21" s="1"/>
  <c r="F117" i="21"/>
  <c r="G116" i="21"/>
  <c r="J116" i="21" s="1"/>
  <c r="H189" i="21"/>
  <c r="Q188" i="21"/>
  <c r="K117" i="21" l="1"/>
  <c r="I117" i="21" s="1"/>
  <c r="L117" i="21" s="1"/>
  <c r="F118" i="21"/>
  <c r="G117" i="21"/>
  <c r="J117" i="21" s="1"/>
  <c r="H190" i="21"/>
  <c r="Q189" i="21"/>
  <c r="K118" i="21" l="1"/>
  <c r="I118" i="21" s="1"/>
  <c r="L118" i="21" s="1"/>
  <c r="F119" i="21"/>
  <c r="G118" i="21"/>
  <c r="J118" i="21" s="1"/>
  <c r="H191" i="21"/>
  <c r="Q190" i="21"/>
  <c r="K119" i="21" l="1"/>
  <c r="I119" i="21" s="1"/>
  <c r="L119" i="21" s="1"/>
  <c r="F120" i="21"/>
  <c r="G119" i="21"/>
  <c r="J119" i="21" s="1"/>
  <c r="H192" i="21"/>
  <c r="Q191" i="21"/>
  <c r="K120" i="21" l="1"/>
  <c r="I120" i="21" s="1"/>
  <c r="L120" i="21" s="1"/>
  <c r="F121" i="21"/>
  <c r="G120" i="21"/>
  <c r="J120" i="21" s="1"/>
  <c r="H193" i="21"/>
  <c r="Q192" i="21"/>
  <c r="K121" i="21" l="1"/>
  <c r="I121" i="21" s="1"/>
  <c r="L121" i="21" s="1"/>
  <c r="F122" i="21"/>
  <c r="G121" i="21"/>
  <c r="J121" i="21" s="1"/>
  <c r="H194" i="21"/>
  <c r="Q193" i="21"/>
  <c r="K122" i="21" l="1"/>
  <c r="I122" i="21" s="1"/>
  <c r="L122" i="21" s="1"/>
  <c r="F123" i="21"/>
  <c r="G122" i="21"/>
  <c r="J122" i="21" s="1"/>
  <c r="H195" i="21"/>
  <c r="Q194" i="21"/>
  <c r="F124" i="21" l="1"/>
  <c r="K123" i="21"/>
  <c r="I123" i="21" s="1"/>
  <c r="L123" i="21" s="1"/>
  <c r="G123" i="21"/>
  <c r="J123" i="21" s="1"/>
  <c r="H196" i="21"/>
  <c r="Q195" i="21"/>
  <c r="K124" i="21" l="1"/>
  <c r="I124" i="21" s="1"/>
  <c r="L124" i="21" s="1"/>
  <c r="F125" i="21"/>
  <c r="G124" i="21"/>
  <c r="J124" i="21" s="1"/>
  <c r="H197" i="21"/>
  <c r="Q196" i="21"/>
  <c r="K125" i="21" l="1"/>
  <c r="I125" i="21" s="1"/>
  <c r="L125" i="21" s="1"/>
  <c r="F126" i="21"/>
  <c r="G125" i="21"/>
  <c r="J125" i="21" s="1"/>
  <c r="H198" i="21"/>
  <c r="Q197" i="21"/>
  <c r="K126" i="21" l="1"/>
  <c r="I126" i="21" s="1"/>
  <c r="L126" i="21" s="1"/>
  <c r="F127" i="21"/>
  <c r="G126" i="21"/>
  <c r="J126" i="21" s="1"/>
  <c r="H199" i="21"/>
  <c r="Q198" i="21"/>
  <c r="K127" i="21" l="1"/>
  <c r="I127" i="21" s="1"/>
  <c r="L127" i="21" s="1"/>
  <c r="F128" i="21"/>
  <c r="G127" i="21"/>
  <c r="J127" i="21" s="1"/>
  <c r="H200" i="21"/>
  <c r="Q199" i="21"/>
  <c r="K128" i="21" l="1"/>
  <c r="I128" i="21" s="1"/>
  <c r="L128" i="21" s="1"/>
  <c r="F129" i="21"/>
  <c r="G128" i="21"/>
  <c r="J128" i="21" s="1"/>
  <c r="H201" i="21"/>
  <c r="Q200" i="21"/>
  <c r="K129" i="21" l="1"/>
  <c r="I129" i="21" s="1"/>
  <c r="L129" i="21" s="1"/>
  <c r="F130" i="21"/>
  <c r="G129" i="21"/>
  <c r="J129" i="21" s="1"/>
  <c r="H202" i="21"/>
  <c r="Q201" i="21"/>
  <c r="K130" i="21" l="1"/>
  <c r="I130" i="21" s="1"/>
  <c r="L130" i="21" s="1"/>
  <c r="F131" i="21"/>
  <c r="G130" i="21"/>
  <c r="J130" i="21" s="1"/>
  <c r="H203" i="21"/>
  <c r="Q202" i="21"/>
  <c r="F132" i="21" l="1"/>
  <c r="K131" i="21"/>
  <c r="I131" i="21" s="1"/>
  <c r="L131" i="21" s="1"/>
  <c r="G131" i="21"/>
  <c r="J131" i="21" s="1"/>
  <c r="H204" i="21"/>
  <c r="Q203" i="21"/>
  <c r="K132" i="21" l="1"/>
  <c r="I132" i="21" s="1"/>
  <c r="L132" i="21" s="1"/>
  <c r="F133" i="21"/>
  <c r="G132" i="21"/>
  <c r="J132" i="21" s="1"/>
  <c r="H205" i="21"/>
  <c r="Q204" i="21"/>
  <c r="K133" i="21" l="1"/>
  <c r="I133" i="21" s="1"/>
  <c r="L133" i="21" s="1"/>
  <c r="F134" i="21"/>
  <c r="G133" i="21"/>
  <c r="J133" i="21" s="1"/>
  <c r="H206" i="21"/>
  <c r="Q205" i="21"/>
  <c r="K134" i="21" l="1"/>
  <c r="I134" i="21" s="1"/>
  <c r="L134" i="21" s="1"/>
  <c r="F135" i="21"/>
  <c r="G134" i="21"/>
  <c r="J134" i="21" s="1"/>
  <c r="H207" i="21"/>
  <c r="Q206" i="21"/>
  <c r="K135" i="21" l="1"/>
  <c r="I135" i="21" s="1"/>
  <c r="L135" i="21" s="1"/>
  <c r="F136" i="21"/>
  <c r="G135" i="21"/>
  <c r="J135" i="21" s="1"/>
  <c r="H208" i="21"/>
  <c r="Q207" i="21"/>
  <c r="K136" i="21" l="1"/>
  <c r="I136" i="21" s="1"/>
  <c r="L136" i="21" s="1"/>
  <c r="F137" i="21"/>
  <c r="G136" i="21"/>
  <c r="J136" i="21" s="1"/>
  <c r="H209" i="21"/>
  <c r="Q208" i="21"/>
  <c r="K137" i="21" l="1"/>
  <c r="I137" i="21" s="1"/>
  <c r="L137" i="21" s="1"/>
  <c r="F138" i="21"/>
  <c r="G137" i="21"/>
  <c r="J137" i="21" s="1"/>
  <c r="H210" i="21"/>
  <c r="Q209" i="21"/>
  <c r="K138" i="21" l="1"/>
  <c r="I138" i="21" s="1"/>
  <c r="L138" i="21" s="1"/>
  <c r="F139" i="21"/>
  <c r="G138" i="21"/>
  <c r="J138" i="21" s="1"/>
  <c r="H211" i="21"/>
  <c r="Q210" i="21"/>
  <c r="K139" i="21" l="1"/>
  <c r="I139" i="21" s="1"/>
  <c r="L139" i="21" s="1"/>
  <c r="F140" i="21"/>
  <c r="G139" i="21"/>
  <c r="J139" i="21" s="1"/>
  <c r="H212" i="21"/>
  <c r="Q211" i="21"/>
  <c r="F141" i="21" l="1"/>
  <c r="K140" i="21"/>
  <c r="I140" i="21" s="1"/>
  <c r="L140" i="21" s="1"/>
  <c r="G140" i="21"/>
  <c r="J140" i="21" s="1"/>
  <c r="H213" i="21"/>
  <c r="Q212" i="21"/>
  <c r="K141" i="21" l="1"/>
  <c r="I141" i="21" s="1"/>
  <c r="L141" i="21" s="1"/>
  <c r="F142" i="21"/>
  <c r="G141" i="21"/>
  <c r="J141" i="21" s="1"/>
  <c r="H214" i="21"/>
  <c r="Q213" i="21"/>
  <c r="K142" i="21" l="1"/>
  <c r="I142" i="21" s="1"/>
  <c r="L142" i="21" s="1"/>
  <c r="F143" i="21"/>
  <c r="G142" i="21"/>
  <c r="J142" i="21" s="1"/>
  <c r="H215" i="21"/>
  <c r="Q214" i="21"/>
  <c r="K143" i="21" l="1"/>
  <c r="I143" i="21" s="1"/>
  <c r="L143" i="21" s="1"/>
  <c r="F144" i="21"/>
  <c r="G143" i="21"/>
  <c r="J143" i="21" s="1"/>
  <c r="H216" i="21"/>
  <c r="Q215" i="21"/>
  <c r="K144" i="21" l="1"/>
  <c r="I144" i="21" s="1"/>
  <c r="L144" i="21" s="1"/>
  <c r="F145" i="21"/>
  <c r="G144" i="21"/>
  <c r="J144" i="21" s="1"/>
  <c r="H217" i="21"/>
  <c r="Q216" i="21"/>
  <c r="K145" i="21" l="1"/>
  <c r="I145" i="21" s="1"/>
  <c r="L145" i="21" s="1"/>
  <c r="F146" i="21"/>
  <c r="G145" i="21"/>
  <c r="J145" i="21" s="1"/>
  <c r="H218" i="21"/>
  <c r="Q217" i="21"/>
  <c r="K146" i="21" l="1"/>
  <c r="I146" i="21" s="1"/>
  <c r="L146" i="21" s="1"/>
  <c r="F147" i="21"/>
  <c r="G146" i="21"/>
  <c r="J146" i="21" s="1"/>
  <c r="H219" i="21"/>
  <c r="Q218" i="21"/>
  <c r="K147" i="21" l="1"/>
  <c r="I147" i="21" s="1"/>
  <c r="L147" i="21" s="1"/>
  <c r="F148" i="21"/>
  <c r="G147" i="21"/>
  <c r="J147" i="21" s="1"/>
  <c r="H220" i="21"/>
  <c r="Q219" i="21"/>
  <c r="K148" i="21" l="1"/>
  <c r="I148" i="21" s="1"/>
  <c r="L148" i="21" s="1"/>
  <c r="F149" i="21"/>
  <c r="G148" i="21"/>
  <c r="J148" i="21" s="1"/>
  <c r="H221" i="21"/>
  <c r="Q220" i="21"/>
  <c r="K149" i="21" l="1"/>
  <c r="I149" i="21" s="1"/>
  <c r="L149" i="21" s="1"/>
  <c r="F150" i="21"/>
  <c r="G149" i="21"/>
  <c r="J149" i="21" s="1"/>
  <c r="H222" i="21"/>
  <c r="Q221" i="21"/>
  <c r="K150" i="21" l="1"/>
  <c r="I150" i="21" s="1"/>
  <c r="L150" i="21" s="1"/>
  <c r="F151" i="21"/>
  <c r="G150" i="21"/>
  <c r="J150" i="21" s="1"/>
  <c r="H223" i="21"/>
  <c r="Q222" i="21"/>
  <c r="K151" i="21" l="1"/>
  <c r="I151" i="21" s="1"/>
  <c r="L151" i="21" s="1"/>
  <c r="F152" i="21"/>
  <c r="G151" i="21"/>
  <c r="J151" i="21" s="1"/>
  <c r="H224" i="21"/>
  <c r="Q223" i="21"/>
  <c r="K152" i="21" l="1"/>
  <c r="I152" i="21" s="1"/>
  <c r="L152" i="21" s="1"/>
  <c r="F153" i="21"/>
  <c r="G152" i="21"/>
  <c r="J152" i="21" s="1"/>
  <c r="H225" i="21"/>
  <c r="Q224" i="21"/>
  <c r="K153" i="21" l="1"/>
  <c r="I153" i="21" s="1"/>
  <c r="L153" i="21" s="1"/>
  <c r="F154" i="21"/>
  <c r="G153" i="21"/>
  <c r="J153" i="21" s="1"/>
  <c r="H226" i="21"/>
  <c r="Q225" i="21"/>
  <c r="K154" i="21" l="1"/>
  <c r="I154" i="21" s="1"/>
  <c r="L154" i="21" s="1"/>
  <c r="F155" i="21"/>
  <c r="G154" i="21"/>
  <c r="J154" i="21" s="1"/>
  <c r="H227" i="21"/>
  <c r="Q226" i="21"/>
  <c r="K155" i="21" l="1"/>
  <c r="I155" i="21" s="1"/>
  <c r="L155" i="21" s="1"/>
  <c r="F156" i="21"/>
  <c r="G155" i="21"/>
  <c r="J155" i="21" s="1"/>
  <c r="H228" i="21"/>
  <c r="Q227" i="21"/>
  <c r="F157" i="21" l="1"/>
  <c r="K156" i="21"/>
  <c r="I156" i="21" s="1"/>
  <c r="L156" i="21" s="1"/>
  <c r="G156" i="21"/>
  <c r="J156" i="21" s="1"/>
  <c r="H229" i="21"/>
  <c r="Q228" i="21"/>
  <c r="K157" i="21" l="1"/>
  <c r="I157" i="21" s="1"/>
  <c r="L157" i="21" s="1"/>
  <c r="F158" i="21"/>
  <c r="G157" i="21"/>
  <c r="J157" i="21" s="1"/>
  <c r="H230" i="21"/>
  <c r="Q229" i="21"/>
  <c r="F159" i="21" l="1"/>
  <c r="K158" i="21"/>
  <c r="I158" i="21" s="1"/>
  <c r="L158" i="21" s="1"/>
  <c r="G158" i="21"/>
  <c r="J158" i="21" s="1"/>
  <c r="H231" i="21"/>
  <c r="Q230" i="21"/>
  <c r="K159" i="21" l="1"/>
  <c r="I159" i="21" s="1"/>
  <c r="L159" i="21" s="1"/>
  <c r="F160" i="21"/>
  <c r="G159" i="21"/>
  <c r="J159" i="21" s="1"/>
  <c r="H232" i="21"/>
  <c r="Q231" i="21"/>
  <c r="F161" i="21" l="1"/>
  <c r="K160" i="21"/>
  <c r="I160" i="21" s="1"/>
  <c r="L160" i="21" s="1"/>
  <c r="G160" i="21"/>
  <c r="J160" i="21" s="1"/>
  <c r="H233" i="21"/>
  <c r="Q232" i="21"/>
  <c r="K161" i="21" l="1"/>
  <c r="I161" i="21" s="1"/>
  <c r="L161" i="21" s="1"/>
  <c r="F162" i="21"/>
  <c r="G161" i="21"/>
  <c r="J161" i="21" s="1"/>
  <c r="H234" i="21"/>
  <c r="H235" i="21" s="1"/>
  <c r="H236" i="21" s="1"/>
  <c r="Q233" i="21"/>
  <c r="H237" i="21" l="1"/>
  <c r="Q236" i="21"/>
  <c r="Q235" i="21"/>
  <c r="F163" i="21"/>
  <c r="K162" i="21"/>
  <c r="I162" i="21" s="1"/>
  <c r="L162" i="21" s="1"/>
  <c r="G162" i="21"/>
  <c r="J162" i="21" s="1"/>
  <c r="Q234" i="21"/>
  <c r="H238" i="21" l="1"/>
  <c r="Q237" i="21"/>
  <c r="K163" i="21"/>
  <c r="I163" i="21" s="1"/>
  <c r="L163" i="21" s="1"/>
  <c r="F164" i="21"/>
  <c r="G163" i="21"/>
  <c r="J163" i="21" s="1"/>
  <c r="F3" i="19"/>
  <c r="F4" i="19" s="1"/>
  <c r="K4" i="19" s="1"/>
  <c r="Q2" i="19"/>
  <c r="L2" i="19"/>
  <c r="F3" i="18"/>
  <c r="K3" i="18" s="1"/>
  <c r="Q2" i="18"/>
  <c r="L2" i="18"/>
  <c r="F165" i="21" l="1"/>
  <c r="K164" i="21"/>
  <c r="I164" i="21" s="1"/>
  <c r="L164" i="21" s="1"/>
  <c r="G164" i="21"/>
  <c r="J164" i="21" s="1"/>
  <c r="F5" i="19"/>
  <c r="F6" i="19" s="1"/>
  <c r="K3" i="19"/>
  <c r="F4" i="18"/>
  <c r="L2" i="17"/>
  <c r="Q2" i="17"/>
  <c r="F3" i="17"/>
  <c r="K3" i="17" s="1"/>
  <c r="E36" i="17"/>
  <c r="R168" i="19"/>
  <c r="R152" i="19"/>
  <c r="R136" i="19"/>
  <c r="R120" i="19"/>
  <c r="R104" i="19"/>
  <c r="R88" i="19"/>
  <c r="R72" i="19"/>
  <c r="R173" i="19"/>
  <c r="R157" i="19"/>
  <c r="R141" i="19"/>
  <c r="R125" i="19"/>
  <c r="R109" i="19"/>
  <c r="R93" i="19"/>
  <c r="R77" i="19"/>
  <c r="R170" i="19"/>
  <c r="R154" i="19"/>
  <c r="R138" i="19"/>
  <c r="R122" i="19"/>
  <c r="R106" i="19"/>
  <c r="R90" i="19"/>
  <c r="R74" i="19"/>
  <c r="R147" i="19"/>
  <c r="R83" i="19"/>
  <c r="R55" i="19"/>
  <c r="R39" i="19"/>
  <c r="R20" i="19"/>
  <c r="R4" i="19"/>
  <c r="R65" i="19"/>
  <c r="R111" i="19"/>
  <c r="R61" i="19"/>
  <c r="R50" i="19"/>
  <c r="R35" i="19"/>
  <c r="R19" i="19"/>
  <c r="R3" i="19"/>
  <c r="R58" i="19"/>
  <c r="R123" i="19"/>
  <c r="R59" i="19"/>
  <c r="R41" i="19"/>
  <c r="R26" i="19"/>
  <c r="R10" i="19"/>
  <c r="R9" i="19"/>
  <c r="R13" i="19"/>
  <c r="R52" i="19"/>
  <c r="R509" i="18"/>
  <c r="R445" i="18"/>
  <c r="R381" i="18"/>
  <c r="R317" i="18"/>
  <c r="R253" i="18"/>
  <c r="R189" i="18"/>
  <c r="R482" i="18"/>
  <c r="R418" i="18"/>
  <c r="R354" i="18"/>
  <c r="R290" i="18"/>
  <c r="R226" i="18"/>
  <c r="R516" i="18"/>
  <c r="R388" i="18"/>
  <c r="R260" i="18"/>
  <c r="R151" i="18"/>
  <c r="R87" i="18"/>
  <c r="R463" i="18"/>
  <c r="R335" i="18"/>
  <c r="R207" i="18"/>
  <c r="R128" i="18"/>
  <c r="R64" i="18"/>
  <c r="R344" i="18"/>
  <c r="R130" i="18"/>
  <c r="R26" i="18"/>
  <c r="R473" i="18"/>
  <c r="R409" i="18"/>
  <c r="R345" i="18"/>
  <c r="R281" i="18"/>
  <c r="R217" i="18"/>
  <c r="R510" i="18"/>
  <c r="R446" i="18"/>
  <c r="R382" i="18"/>
  <c r="R318" i="18"/>
  <c r="R254" i="18"/>
  <c r="R190" i="18"/>
  <c r="R444" i="18"/>
  <c r="R316" i="18"/>
  <c r="R188" i="18"/>
  <c r="R115" i="18"/>
  <c r="R519" i="18"/>
  <c r="R391" i="18"/>
  <c r="R263" i="18"/>
  <c r="R156" i="18"/>
  <c r="R92" i="18"/>
  <c r="R456" i="18"/>
  <c r="R200" i="18"/>
  <c r="R59" i="18"/>
  <c r="R475" i="18"/>
  <c r="R219" i="18"/>
  <c r="R70" i="18"/>
  <c r="R5" i="18"/>
  <c r="R288" i="18"/>
  <c r="R102" i="18"/>
  <c r="R66" i="18"/>
  <c r="R467" i="18"/>
  <c r="R517" i="18"/>
  <c r="R453" i="18"/>
  <c r="R389" i="18"/>
  <c r="R325" i="18"/>
  <c r="R261" i="18"/>
  <c r="R197" i="18"/>
  <c r="R490" i="18"/>
  <c r="R426" i="18"/>
  <c r="R362" i="18"/>
  <c r="R298" i="18"/>
  <c r="R234" i="18"/>
  <c r="R531" i="18"/>
  <c r="R404" i="18"/>
  <c r="R276" i="18"/>
  <c r="R159" i="18"/>
  <c r="R95" i="18"/>
  <c r="R479" i="18"/>
  <c r="R351" i="18"/>
  <c r="R223" i="18"/>
  <c r="R136" i="18"/>
  <c r="R72" i="18"/>
  <c r="R376" i="18"/>
  <c r="R146" i="18"/>
  <c r="R34" i="18"/>
  <c r="R395" i="18"/>
  <c r="R157" i="18"/>
  <c r="R48" i="18"/>
  <c r="R464" i="18"/>
  <c r="R174" i="19"/>
  <c r="R164" i="19"/>
  <c r="R148" i="19"/>
  <c r="R132" i="19"/>
  <c r="R116" i="19"/>
  <c r="R100" i="19"/>
  <c r="R84" i="19"/>
  <c r="R68" i="19"/>
  <c r="R169" i="19"/>
  <c r="R153" i="19"/>
  <c r="R137" i="19"/>
  <c r="R121" i="19"/>
  <c r="R105" i="19"/>
  <c r="R89" i="19"/>
  <c r="R71" i="19"/>
  <c r="R166" i="19"/>
  <c r="R150" i="19"/>
  <c r="R134" i="19"/>
  <c r="R118" i="19"/>
  <c r="R102" i="19"/>
  <c r="R86" i="19"/>
  <c r="R70" i="19"/>
  <c r="R131" i="19"/>
  <c r="R75" i="19"/>
  <c r="R51" i="19"/>
  <c r="R32" i="19"/>
  <c r="R16" i="19"/>
  <c r="R167" i="19"/>
  <c r="R159" i="19"/>
  <c r="R95" i="19"/>
  <c r="R60" i="19"/>
  <c r="R46" i="19"/>
  <c r="R31" i="19"/>
  <c r="R15" i="19"/>
  <c r="R151" i="19"/>
  <c r="R171" i="19"/>
  <c r="R107" i="19"/>
  <c r="R53" i="19"/>
  <c r="R37" i="19"/>
  <c r="R22" i="19"/>
  <c r="R6" i="19"/>
  <c r="R36" i="19"/>
  <c r="R40" i="19"/>
  <c r="R33" i="19"/>
  <c r="R493" i="18"/>
  <c r="R429" i="18"/>
  <c r="R365" i="18"/>
  <c r="R301" i="18"/>
  <c r="R237" i="18"/>
  <c r="R530" i="18"/>
  <c r="R466" i="18"/>
  <c r="R402" i="18"/>
  <c r="R338" i="18"/>
  <c r="R274" i="18"/>
  <c r="R210" i="18"/>
  <c r="R484" i="18"/>
  <c r="R356" i="18"/>
  <c r="R228" i="18"/>
  <c r="R135" i="18"/>
  <c r="R73" i="18"/>
  <c r="R431" i="18"/>
  <c r="R303" i="18"/>
  <c r="R175" i="18"/>
  <c r="R112" i="18"/>
  <c r="R50" i="18"/>
  <c r="R280" i="18"/>
  <c r="R98" i="18"/>
  <c r="R521" i="18"/>
  <c r="R457" i="18"/>
  <c r="R393" i="18"/>
  <c r="R329" i="18"/>
  <c r="R265" i="18"/>
  <c r="R201" i="18"/>
  <c r="R494" i="18"/>
  <c r="R430" i="18"/>
  <c r="R366" i="18"/>
  <c r="R302" i="18"/>
  <c r="R238" i="18"/>
  <c r="R174" i="18"/>
  <c r="R412" i="18"/>
  <c r="R284" i="18"/>
  <c r="R163" i="18"/>
  <c r="R99" i="18"/>
  <c r="R487" i="18"/>
  <c r="R359" i="18"/>
  <c r="R231" i="18"/>
  <c r="R140" i="18"/>
  <c r="R76" i="18"/>
  <c r="R392" i="18"/>
  <c r="R154" i="18"/>
  <c r="R37" i="18"/>
  <c r="R411" i="18"/>
  <c r="R165" i="18"/>
  <c r="R49" i="18"/>
  <c r="R480" i="18"/>
  <c r="R224" i="18"/>
  <c r="R53" i="18"/>
  <c r="R16" i="18"/>
  <c r="R211" i="18"/>
  <c r="R501" i="18"/>
  <c r="R437" i="18"/>
  <c r="R373" i="18"/>
  <c r="R309" i="18"/>
  <c r="R245" i="18"/>
  <c r="R181" i="18"/>
  <c r="R474" i="18"/>
  <c r="R410" i="18"/>
  <c r="R346" i="18"/>
  <c r="R282" i="18"/>
  <c r="R218" i="18"/>
  <c r="R500" i="18"/>
  <c r="R372" i="18"/>
  <c r="R244" i="18"/>
  <c r="R143" i="18"/>
  <c r="R79" i="18"/>
  <c r="R447" i="18"/>
  <c r="R319" i="18"/>
  <c r="R191" i="18"/>
  <c r="R120" i="18"/>
  <c r="R56" i="18"/>
  <c r="R312" i="18"/>
  <c r="R114" i="18"/>
  <c r="R18" i="18"/>
  <c r="R331" i="18"/>
  <c r="R125" i="18"/>
  <c r="R33" i="18"/>
  <c r="R175" i="19"/>
  <c r="R160" i="19"/>
  <c r="R144" i="19"/>
  <c r="R128" i="19"/>
  <c r="R112" i="19"/>
  <c r="R96" i="19"/>
  <c r="R80" i="19"/>
  <c r="R64" i="19"/>
  <c r="R165" i="19"/>
  <c r="R149" i="19"/>
  <c r="R133" i="19"/>
  <c r="R117" i="19"/>
  <c r="R101" i="19"/>
  <c r="R85" i="19"/>
  <c r="R67" i="19"/>
  <c r="R162" i="19"/>
  <c r="R146" i="19"/>
  <c r="R130" i="19"/>
  <c r="R114" i="19"/>
  <c r="R98" i="19"/>
  <c r="R82" i="19"/>
  <c r="R66" i="19"/>
  <c r="R115" i="19"/>
  <c r="R62" i="19"/>
  <c r="R47" i="19"/>
  <c r="R28" i="19"/>
  <c r="R12" i="19"/>
  <c r="R119" i="19"/>
  <c r="R143" i="19"/>
  <c r="R79" i="19"/>
  <c r="R56" i="19"/>
  <c r="R42" i="19"/>
  <c r="R27" i="19"/>
  <c r="R11" i="19"/>
  <c r="R135" i="19"/>
  <c r="R155" i="19"/>
  <c r="R91" i="19"/>
  <c r="R49" i="19"/>
  <c r="R34" i="19"/>
  <c r="R18" i="19"/>
  <c r="R44" i="19"/>
  <c r="R48" i="19"/>
  <c r="R21" i="19"/>
  <c r="R17" i="19"/>
  <c r="R477" i="18"/>
  <c r="R413" i="18"/>
  <c r="R349" i="18"/>
  <c r="R285" i="18"/>
  <c r="R221" i="18"/>
  <c r="R514" i="18"/>
  <c r="R450" i="18"/>
  <c r="R386" i="18"/>
  <c r="R322" i="18"/>
  <c r="R258" i="18"/>
  <c r="R194" i="18"/>
  <c r="R452" i="18"/>
  <c r="R324" i="18"/>
  <c r="R196" i="18"/>
  <c r="R119" i="18"/>
  <c r="R527" i="18"/>
  <c r="R399" i="18"/>
  <c r="R271" i="18"/>
  <c r="R160" i="18"/>
  <c r="R96" i="18"/>
  <c r="R472" i="18"/>
  <c r="R216" i="18"/>
  <c r="R63" i="18"/>
  <c r="R505" i="18"/>
  <c r="R441" i="18"/>
  <c r="R377" i="18"/>
  <c r="R313" i="18"/>
  <c r="R249" i="18"/>
  <c r="R185" i="18"/>
  <c r="R478" i="18"/>
  <c r="R414" i="18"/>
  <c r="R350" i="18"/>
  <c r="R286" i="18"/>
  <c r="R222" i="18"/>
  <c r="R508" i="18"/>
  <c r="R380" i="18"/>
  <c r="R252" i="18"/>
  <c r="R147" i="18"/>
  <c r="R83" i="18"/>
  <c r="R455" i="18"/>
  <c r="R327" i="18"/>
  <c r="R199" i="18"/>
  <c r="R124" i="18"/>
  <c r="R60" i="18"/>
  <c r="R328" i="18"/>
  <c r="R122" i="18"/>
  <c r="R22" i="18"/>
  <c r="R347" i="18"/>
  <c r="R133" i="18"/>
  <c r="R36" i="18"/>
  <c r="R416" i="18"/>
  <c r="R166" i="18"/>
  <c r="R483" i="18"/>
  <c r="R307" i="18"/>
  <c r="R42" i="18"/>
  <c r="R485" i="18"/>
  <c r="R421" i="18"/>
  <c r="R357" i="18"/>
  <c r="R293" i="18"/>
  <c r="R229" i="18"/>
  <c r="R522" i="18"/>
  <c r="R458" i="18"/>
  <c r="R394" i="18"/>
  <c r="R330" i="18"/>
  <c r="R266" i="18"/>
  <c r="R202" i="18"/>
  <c r="R468" i="18"/>
  <c r="R340" i="18"/>
  <c r="R212" i="18"/>
  <c r="R127" i="18"/>
  <c r="R65" i="18"/>
  <c r="R415" i="18"/>
  <c r="R287" i="18"/>
  <c r="R168" i="18"/>
  <c r="R104" i="18"/>
  <c r="R504" i="18"/>
  <c r="R248" i="18"/>
  <c r="R82" i="18"/>
  <c r="R523" i="18"/>
  <c r="R267" i="18"/>
  <c r="R93" i="18"/>
  <c r="R17" i="18"/>
  <c r="R172" i="19"/>
  <c r="R156" i="19"/>
  <c r="R140" i="19"/>
  <c r="R124" i="19"/>
  <c r="R108" i="19"/>
  <c r="R92" i="19"/>
  <c r="R76" i="19"/>
  <c r="R176" i="19"/>
  <c r="R161" i="19"/>
  <c r="R145" i="19"/>
  <c r="R129" i="19"/>
  <c r="R113" i="19"/>
  <c r="R97" i="19"/>
  <c r="R81" i="19"/>
  <c r="R63" i="19"/>
  <c r="R158" i="19"/>
  <c r="R142" i="19"/>
  <c r="R126" i="19"/>
  <c r="R110" i="19"/>
  <c r="R94" i="19"/>
  <c r="R78" i="19"/>
  <c r="R163" i="19"/>
  <c r="R99" i="19"/>
  <c r="R57" i="19"/>
  <c r="R43" i="19"/>
  <c r="R24" i="19"/>
  <c r="R8" i="19"/>
  <c r="R87" i="19"/>
  <c r="R127" i="19"/>
  <c r="R73" i="19"/>
  <c r="R54" i="19"/>
  <c r="R38" i="19"/>
  <c r="R23" i="19"/>
  <c r="R7" i="19"/>
  <c r="R103" i="19"/>
  <c r="R139" i="19"/>
  <c r="R69" i="19"/>
  <c r="R45" i="19"/>
  <c r="R30" i="19"/>
  <c r="R14" i="19"/>
  <c r="R25" i="19"/>
  <c r="R29" i="19"/>
  <c r="R5" i="19"/>
  <c r="R525" i="18"/>
  <c r="R461" i="18"/>
  <c r="R397" i="18"/>
  <c r="R333" i="18"/>
  <c r="R269" i="18"/>
  <c r="R205" i="18"/>
  <c r="R498" i="18"/>
  <c r="R434" i="18"/>
  <c r="R370" i="18"/>
  <c r="R306" i="18"/>
  <c r="R242" i="18"/>
  <c r="R178" i="18"/>
  <c r="R420" i="18"/>
  <c r="R292" i="18"/>
  <c r="R167" i="18"/>
  <c r="R103" i="18"/>
  <c r="R495" i="18"/>
  <c r="R367" i="18"/>
  <c r="R239" i="18"/>
  <c r="R144" i="18"/>
  <c r="R80" i="18"/>
  <c r="R408" i="18"/>
  <c r="R162" i="18"/>
  <c r="R41" i="18"/>
  <c r="R489" i="18"/>
  <c r="R425" i="18"/>
  <c r="R361" i="18"/>
  <c r="R297" i="18"/>
  <c r="R233" i="18"/>
  <c r="R526" i="18"/>
  <c r="R462" i="18"/>
  <c r="R398" i="18"/>
  <c r="R334" i="18"/>
  <c r="R270" i="18"/>
  <c r="R206" i="18"/>
  <c r="R476" i="18"/>
  <c r="R348" i="18"/>
  <c r="R220" i="18"/>
  <c r="R131" i="18"/>
  <c r="R69" i="18"/>
  <c r="R423" i="18"/>
  <c r="R295" i="18"/>
  <c r="R172" i="18"/>
  <c r="R108" i="18"/>
  <c r="R520" i="18"/>
  <c r="R264" i="18"/>
  <c r="R90" i="18"/>
  <c r="R6" i="18"/>
  <c r="R283" i="18"/>
  <c r="R101" i="18"/>
  <c r="R21" i="18"/>
  <c r="R352" i="18"/>
  <c r="R134" i="18"/>
  <c r="R227" i="18"/>
  <c r="R74" i="18"/>
  <c r="R7" i="18"/>
  <c r="R469" i="18"/>
  <c r="R405" i="18"/>
  <c r="R341" i="18"/>
  <c r="R277" i="18"/>
  <c r="R213" i="18"/>
  <c r="R506" i="18"/>
  <c r="R442" i="18"/>
  <c r="R378" i="18"/>
  <c r="R314" i="18"/>
  <c r="R250" i="18"/>
  <c r="R186" i="18"/>
  <c r="R436" i="18"/>
  <c r="R308" i="18"/>
  <c r="R180" i="18"/>
  <c r="R111" i="18"/>
  <c r="R511" i="18"/>
  <c r="R383" i="18"/>
  <c r="R255" i="18"/>
  <c r="R152" i="18"/>
  <c r="R88" i="18"/>
  <c r="R440" i="18"/>
  <c r="R184" i="18"/>
  <c r="R51" i="18"/>
  <c r="R459" i="18"/>
  <c r="R203" i="18"/>
  <c r="R62" i="18"/>
  <c r="R528" i="18"/>
  <c r="R321" i="18"/>
  <c r="R150" i="18"/>
  <c r="R89" i="18"/>
  <c r="R491" i="18"/>
  <c r="R214" i="18"/>
  <c r="R187" i="18"/>
  <c r="R353" i="18"/>
  <c r="R164" i="18"/>
  <c r="R78" i="18"/>
  <c r="R4" i="18"/>
  <c r="R336" i="18"/>
  <c r="R126" i="18"/>
  <c r="R419" i="18"/>
  <c r="R179" i="18"/>
  <c r="R31" i="18"/>
  <c r="R337" i="18"/>
  <c r="R438" i="18"/>
  <c r="R182" i="18"/>
  <c r="R107" i="18"/>
  <c r="R148" i="18"/>
  <c r="R45" i="18"/>
  <c r="R39" i="18"/>
  <c r="R97" i="18"/>
  <c r="R513" i="18"/>
  <c r="R68" i="18"/>
  <c r="R515" i="18"/>
  <c r="R183" i="18"/>
  <c r="R275" i="18"/>
  <c r="R123" i="18"/>
  <c r="R496" i="18"/>
  <c r="R57" i="18"/>
  <c r="R272" i="18"/>
  <c r="R94" i="18"/>
  <c r="R169" i="18"/>
  <c r="R35" i="18"/>
  <c r="R529" i="18"/>
  <c r="R273" i="18"/>
  <c r="R374" i="18"/>
  <c r="R428" i="18"/>
  <c r="R503" i="18"/>
  <c r="R84" i="18"/>
  <c r="R507" i="18"/>
  <c r="R85" i="18"/>
  <c r="R320" i="18"/>
  <c r="R105" i="18"/>
  <c r="R243" i="18"/>
  <c r="R3" i="18"/>
  <c r="R38" i="18"/>
  <c r="R449" i="18"/>
  <c r="R193" i="18"/>
  <c r="R294" i="18"/>
  <c r="R268" i="18"/>
  <c r="R343" i="18"/>
  <c r="R360" i="18"/>
  <c r="R363" i="18"/>
  <c r="R40" i="18"/>
  <c r="R176" i="18"/>
  <c r="R28" i="18"/>
  <c r="R305" i="18"/>
  <c r="R406" i="18"/>
  <c r="R492" i="18"/>
  <c r="R75" i="18"/>
  <c r="R116" i="18"/>
  <c r="R14" i="18"/>
  <c r="R117" i="18"/>
  <c r="R384" i="18"/>
  <c r="R291" i="18"/>
  <c r="R451" i="18"/>
  <c r="R289" i="18"/>
  <c r="R390" i="18"/>
  <c r="R460" i="18"/>
  <c r="R61" i="18"/>
  <c r="R100" i="18"/>
  <c r="R10" i="18"/>
  <c r="R109" i="18"/>
  <c r="R368" i="18"/>
  <c r="R43" i="18"/>
  <c r="R129" i="18"/>
  <c r="R58" i="18"/>
  <c r="R145" i="18"/>
  <c r="R195" i="18"/>
  <c r="R158" i="18"/>
  <c r="R8" i="18"/>
  <c r="R401" i="18"/>
  <c r="R246" i="18"/>
  <c r="R247" i="18"/>
  <c r="R251" i="18"/>
  <c r="R118" i="18"/>
  <c r="R121" i="18"/>
  <c r="R113" i="18"/>
  <c r="R524" i="18"/>
  <c r="R132" i="18"/>
  <c r="R141" i="18"/>
  <c r="R32" i="18"/>
  <c r="R177" i="18"/>
  <c r="R236" i="18"/>
  <c r="R311" i="18"/>
  <c r="R315" i="18"/>
  <c r="R81" i="18"/>
  <c r="R518" i="18"/>
  <c r="R204" i="18"/>
  <c r="R232" i="18"/>
  <c r="R25" i="18"/>
  <c r="R499" i="18"/>
  <c r="R11" i="18"/>
  <c r="R448" i="18"/>
  <c r="R259" i="18"/>
  <c r="R358" i="18"/>
  <c r="R471" i="18"/>
  <c r="R304" i="18"/>
  <c r="R470" i="18"/>
  <c r="R106" i="18"/>
  <c r="R86" i="18"/>
  <c r="R454" i="18"/>
  <c r="R71" i="18"/>
  <c r="R27" i="18"/>
  <c r="R208" i="18"/>
  <c r="R67" i="18"/>
  <c r="R46" i="18"/>
  <c r="R403" i="18"/>
  <c r="R465" i="18"/>
  <c r="R209" i="18"/>
  <c r="R310" i="18"/>
  <c r="R300" i="18"/>
  <c r="R375" i="18"/>
  <c r="R424" i="18"/>
  <c r="R379" i="18"/>
  <c r="R44" i="18"/>
  <c r="R192" i="18"/>
  <c r="R435" i="18"/>
  <c r="R323" i="18"/>
  <c r="R355" i="18"/>
  <c r="R15" i="18"/>
  <c r="R385" i="18"/>
  <c r="R486" i="18"/>
  <c r="R230" i="18"/>
  <c r="R155" i="18"/>
  <c r="R215" i="18"/>
  <c r="R138" i="18"/>
  <c r="R235" i="18"/>
  <c r="R9" i="18"/>
  <c r="R110" i="18"/>
  <c r="R497" i="18"/>
  <c r="R241" i="18"/>
  <c r="R342" i="18"/>
  <c r="R364" i="18"/>
  <c r="R439" i="18"/>
  <c r="R54" i="18"/>
  <c r="R443" i="18"/>
  <c r="R55" i="18"/>
  <c r="R256" i="18"/>
  <c r="R24" i="18"/>
  <c r="R481" i="18"/>
  <c r="R225" i="18"/>
  <c r="R326" i="18"/>
  <c r="R332" i="18"/>
  <c r="R407" i="18"/>
  <c r="R488" i="18"/>
  <c r="R427" i="18"/>
  <c r="R52" i="18"/>
  <c r="R240" i="18"/>
  <c r="R137" i="18"/>
  <c r="R371" i="18"/>
  <c r="R20" i="18"/>
  <c r="R23" i="18"/>
  <c r="R400" i="18"/>
  <c r="R47" i="18"/>
  <c r="R161" i="18"/>
  <c r="R502" i="18"/>
  <c r="R171" i="18"/>
  <c r="R170" i="18"/>
  <c r="R13" i="18"/>
  <c r="R19" i="18"/>
  <c r="R339" i="18"/>
  <c r="R422" i="18"/>
  <c r="R91" i="18"/>
  <c r="R30" i="18"/>
  <c r="R432" i="18"/>
  <c r="R433" i="18"/>
  <c r="R278" i="18"/>
  <c r="R296" i="18"/>
  <c r="R29" i="18"/>
  <c r="R417" i="18"/>
  <c r="R262" i="18"/>
  <c r="R279" i="18"/>
  <c r="R299" i="18"/>
  <c r="R142" i="18"/>
  <c r="R387" i="18"/>
  <c r="R149" i="18"/>
  <c r="R12" i="18"/>
  <c r="R257" i="18"/>
  <c r="R396" i="18"/>
  <c r="R77" i="18"/>
  <c r="R369" i="18"/>
  <c r="R139" i="18"/>
  <c r="R512" i="18"/>
  <c r="R198" i="18"/>
  <c r="R173" i="18"/>
  <c r="R153" i="18"/>
  <c r="H3" i="18" l="1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H18" i="18" s="1"/>
  <c r="H19" i="18" s="1"/>
  <c r="H20" i="18" s="1"/>
  <c r="H21" i="18" s="1"/>
  <c r="H22" i="18" s="1"/>
  <c r="H23" i="18" s="1"/>
  <c r="H24" i="18" s="1"/>
  <c r="H25" i="18" s="1"/>
  <c r="H26" i="18" s="1"/>
  <c r="H27" i="18" s="1"/>
  <c r="H28" i="18" s="1"/>
  <c r="H29" i="18" s="1"/>
  <c r="H30" i="18" s="1"/>
  <c r="H31" i="18" s="1"/>
  <c r="H32" i="18" s="1"/>
  <c r="H33" i="18" s="1"/>
  <c r="H34" i="18" s="1"/>
  <c r="H35" i="18" s="1"/>
  <c r="H36" i="18" s="1"/>
  <c r="H37" i="18" s="1"/>
  <c r="H38" i="18" s="1"/>
  <c r="H39" i="18" s="1"/>
  <c r="H40" i="18" s="1"/>
  <c r="H41" i="18" s="1"/>
  <c r="H42" i="18" s="1"/>
  <c r="H43" i="18" s="1"/>
  <c r="H44" i="18" s="1"/>
  <c r="H45" i="18" s="1"/>
  <c r="H46" i="18" s="1"/>
  <c r="H47" i="18" s="1"/>
  <c r="H48" i="18" s="1"/>
  <c r="H49" i="18" s="1"/>
  <c r="H50" i="18" s="1"/>
  <c r="H51" i="18" s="1"/>
  <c r="H52" i="18" s="1"/>
  <c r="H53" i="18" s="1"/>
  <c r="H54" i="18" s="1"/>
  <c r="H55" i="18" s="1"/>
  <c r="H56" i="18" s="1"/>
  <c r="H57" i="18" s="1"/>
  <c r="H58" i="18" s="1"/>
  <c r="H59" i="18" s="1"/>
  <c r="H60" i="18" s="1"/>
  <c r="H61" i="18" s="1"/>
  <c r="H62" i="18" s="1"/>
  <c r="H63" i="18" s="1"/>
  <c r="H64" i="18" s="1"/>
  <c r="H65" i="18" s="1"/>
  <c r="H66" i="18" s="1"/>
  <c r="H67" i="18" s="1"/>
  <c r="H68" i="18" s="1"/>
  <c r="H69" i="18" s="1"/>
  <c r="H70" i="18" s="1"/>
  <c r="H71" i="18" s="1"/>
  <c r="H72" i="18" s="1"/>
  <c r="H73" i="18" s="1"/>
  <c r="H74" i="18" s="1"/>
  <c r="H75" i="18" s="1"/>
  <c r="H76" i="18" s="1"/>
  <c r="H3" i="19"/>
  <c r="H4" i="19" s="1"/>
  <c r="H5" i="19" s="1"/>
  <c r="H6" i="19" s="1"/>
  <c r="H7" i="19" s="1"/>
  <c r="H8" i="19" s="1"/>
  <c r="H9" i="19" s="1"/>
  <c r="H10" i="19" s="1"/>
  <c r="H11" i="19" s="1"/>
  <c r="H12" i="19" s="1"/>
  <c r="H13" i="19" s="1"/>
  <c r="H14" i="19" s="1"/>
  <c r="H15" i="19" s="1"/>
  <c r="H16" i="19" s="1"/>
  <c r="H17" i="19" s="1"/>
  <c r="H18" i="19" s="1"/>
  <c r="H19" i="19" s="1"/>
  <c r="H20" i="19" s="1"/>
  <c r="H21" i="19" s="1"/>
  <c r="H22" i="19" s="1"/>
  <c r="H23" i="19" s="1"/>
  <c r="H24" i="19" s="1"/>
  <c r="H25" i="19" s="1"/>
  <c r="H26" i="19" s="1"/>
  <c r="H27" i="19" s="1"/>
  <c r="H28" i="19" s="1"/>
  <c r="H29" i="19" s="1"/>
  <c r="H30" i="19" s="1"/>
  <c r="H31" i="19" s="1"/>
  <c r="H32" i="19" s="1"/>
  <c r="H33" i="19" s="1"/>
  <c r="H34" i="19" s="1"/>
  <c r="H35" i="19" s="1"/>
  <c r="H36" i="19" s="1"/>
  <c r="H37" i="19" s="1"/>
  <c r="H38" i="19" s="1"/>
  <c r="H39" i="19" s="1"/>
  <c r="H40" i="19" s="1"/>
  <c r="H41" i="19" s="1"/>
  <c r="H42" i="19" s="1"/>
  <c r="H43" i="19" s="1"/>
  <c r="H44" i="19" s="1"/>
  <c r="H45" i="19" s="1"/>
  <c r="H46" i="19" s="1"/>
  <c r="H47" i="19" s="1"/>
  <c r="H48" i="19" s="1"/>
  <c r="H49" i="19" s="1"/>
  <c r="H50" i="19" s="1"/>
  <c r="H51" i="19" s="1"/>
  <c r="H52" i="19" s="1"/>
  <c r="H53" i="19" s="1"/>
  <c r="H54" i="19" s="1"/>
  <c r="H55" i="19" s="1"/>
  <c r="H56" i="19" s="1"/>
  <c r="H57" i="19" s="1"/>
  <c r="H58" i="19" s="1"/>
  <c r="H59" i="19" s="1"/>
  <c r="H60" i="19" s="1"/>
  <c r="H61" i="19" s="1"/>
  <c r="H62" i="19" s="1"/>
  <c r="H63" i="19" s="1"/>
  <c r="H64" i="19" s="1"/>
  <c r="H65" i="19" s="1"/>
  <c r="H66" i="19" s="1"/>
  <c r="H67" i="19" s="1"/>
  <c r="H68" i="19" s="1"/>
  <c r="H69" i="19" s="1"/>
  <c r="H70" i="19" s="1"/>
  <c r="H71" i="19" s="1"/>
  <c r="H72" i="19" s="1"/>
  <c r="H73" i="19" s="1"/>
  <c r="H74" i="19" s="1"/>
  <c r="H75" i="19" s="1"/>
  <c r="H76" i="19" s="1"/>
  <c r="H77" i="19" s="1"/>
  <c r="H239" i="21"/>
  <c r="Q238" i="21"/>
  <c r="F4" i="17"/>
  <c r="K165" i="21"/>
  <c r="I165" i="21" s="1"/>
  <c r="L165" i="21" s="1"/>
  <c r="F166" i="21"/>
  <c r="G165" i="21"/>
  <c r="J165" i="21" s="1"/>
  <c r="K5" i="19"/>
  <c r="F7" i="19"/>
  <c r="K6" i="19"/>
  <c r="Q3" i="19"/>
  <c r="F5" i="18"/>
  <c r="K4" i="18"/>
  <c r="AM34" i="14"/>
  <c r="AN34" i="14"/>
  <c r="AO34" i="14" s="1"/>
  <c r="AQ35" i="14" s="1"/>
  <c r="AN33" i="14"/>
  <c r="AO33" i="14" s="1"/>
  <c r="AP34" i="14"/>
  <c r="E701" i="6"/>
  <c r="N700" i="6"/>
  <c r="M700" i="6"/>
  <c r="N699" i="6"/>
  <c r="M699" i="6"/>
  <c r="AP33" i="14"/>
  <c r="AM33" i="14"/>
  <c r="AM32" i="14"/>
  <c r="AN32" i="14"/>
  <c r="AO32" i="14" s="1"/>
  <c r="AP32" i="14"/>
  <c r="AM31" i="14"/>
  <c r="AN31" i="14"/>
  <c r="AO31" i="14" s="1"/>
  <c r="AP31" i="14"/>
  <c r="AM30" i="14"/>
  <c r="AN30" i="14"/>
  <c r="AO30" i="14" s="1"/>
  <c r="AP30" i="14"/>
  <c r="AM29" i="14"/>
  <c r="AN29" i="14"/>
  <c r="AO29" i="14" s="1"/>
  <c r="AP29" i="14"/>
  <c r="M661" i="6"/>
  <c r="N661" i="6"/>
  <c r="S661" i="6"/>
  <c r="M662" i="6"/>
  <c r="N662" i="6"/>
  <c r="S662" i="6"/>
  <c r="M663" i="6"/>
  <c r="N663" i="6"/>
  <c r="S663" i="6"/>
  <c r="M664" i="6"/>
  <c r="N664" i="6"/>
  <c r="S664" i="6"/>
  <c r="M665" i="6"/>
  <c r="N665" i="6"/>
  <c r="S665" i="6"/>
  <c r="M666" i="6"/>
  <c r="N666" i="6"/>
  <c r="S666" i="6"/>
  <c r="M667" i="6"/>
  <c r="N667" i="6"/>
  <c r="S667" i="6"/>
  <c r="M668" i="6"/>
  <c r="N668" i="6"/>
  <c r="S668" i="6"/>
  <c r="M669" i="6"/>
  <c r="N669" i="6"/>
  <c r="S669" i="6"/>
  <c r="M670" i="6"/>
  <c r="N670" i="6"/>
  <c r="S670" i="6"/>
  <c r="M671" i="6"/>
  <c r="N671" i="6"/>
  <c r="S671" i="6"/>
  <c r="M672" i="6"/>
  <c r="N672" i="6"/>
  <c r="S672" i="6"/>
  <c r="M673" i="6"/>
  <c r="N673" i="6"/>
  <c r="S673" i="6"/>
  <c r="M674" i="6"/>
  <c r="N674" i="6"/>
  <c r="S674" i="6"/>
  <c r="M675" i="6"/>
  <c r="N675" i="6"/>
  <c r="S675" i="6"/>
  <c r="M676" i="6"/>
  <c r="N676" i="6"/>
  <c r="S676" i="6"/>
  <c r="M677" i="6"/>
  <c r="N677" i="6"/>
  <c r="S677" i="6"/>
  <c r="M678" i="6"/>
  <c r="N678" i="6"/>
  <c r="S678" i="6"/>
  <c r="M679" i="6"/>
  <c r="N679" i="6"/>
  <c r="S679" i="6"/>
  <c r="M680" i="6"/>
  <c r="N680" i="6"/>
  <c r="S680" i="6"/>
  <c r="M681" i="6"/>
  <c r="N681" i="6"/>
  <c r="S681" i="6"/>
  <c r="M682" i="6"/>
  <c r="N682" i="6"/>
  <c r="S682" i="6"/>
  <c r="M683" i="6"/>
  <c r="N683" i="6"/>
  <c r="S683" i="6"/>
  <c r="M684" i="6"/>
  <c r="N684" i="6"/>
  <c r="S684" i="6"/>
  <c r="M685" i="6"/>
  <c r="N685" i="6"/>
  <c r="S685" i="6"/>
  <c r="M686" i="6"/>
  <c r="N686" i="6"/>
  <c r="S686" i="6"/>
  <c r="M687" i="6"/>
  <c r="N687" i="6"/>
  <c r="S687" i="6"/>
  <c r="M688" i="6"/>
  <c r="N688" i="6"/>
  <c r="S688" i="6"/>
  <c r="M689" i="6"/>
  <c r="N689" i="6"/>
  <c r="S689" i="6"/>
  <c r="M690" i="6"/>
  <c r="N690" i="6"/>
  <c r="S690" i="6"/>
  <c r="M691" i="6"/>
  <c r="N691" i="6"/>
  <c r="S691" i="6"/>
  <c r="M692" i="6"/>
  <c r="N692" i="6"/>
  <c r="S692" i="6"/>
  <c r="M693" i="6"/>
  <c r="N693" i="6"/>
  <c r="S693" i="6"/>
  <c r="M694" i="6"/>
  <c r="N694" i="6"/>
  <c r="S694" i="6"/>
  <c r="M695" i="6"/>
  <c r="N695" i="6"/>
  <c r="S695" i="6"/>
  <c r="M696" i="6"/>
  <c r="N696" i="6"/>
  <c r="S696" i="6"/>
  <c r="M697" i="6"/>
  <c r="N697" i="6"/>
  <c r="S697" i="6"/>
  <c r="M698" i="6"/>
  <c r="N698" i="6"/>
  <c r="S698" i="6"/>
  <c r="AN20" i="14"/>
  <c r="AO20" i="14" s="1"/>
  <c r="AP20" i="14"/>
  <c r="AN21" i="14"/>
  <c r="AO21" i="14" s="1"/>
  <c r="AP21" i="14"/>
  <c r="AN22" i="14"/>
  <c r="AO22" i="14" s="1"/>
  <c r="AP22" i="14"/>
  <c r="AN23" i="14"/>
  <c r="AO23" i="14" s="1"/>
  <c r="AP23" i="14"/>
  <c r="AN24" i="14"/>
  <c r="AO24" i="14" s="1"/>
  <c r="AP24" i="14"/>
  <c r="AN25" i="14"/>
  <c r="AO25" i="14" s="1"/>
  <c r="AP25" i="14"/>
  <c r="AN26" i="14"/>
  <c r="AO26" i="14" s="1"/>
  <c r="AP26" i="14"/>
  <c r="AN27" i="14"/>
  <c r="AO27" i="14" s="1"/>
  <c r="AP27" i="14"/>
  <c r="AN28" i="14"/>
  <c r="AO28" i="14" s="1"/>
  <c r="AP28" i="14"/>
  <c r="AM28" i="14"/>
  <c r="AM27" i="14"/>
  <c r="AM26" i="14"/>
  <c r="AM25" i="14"/>
  <c r="AM24" i="14"/>
  <c r="AM23" i="14"/>
  <c r="AM22" i="14"/>
  <c r="AM21" i="14"/>
  <c r="AM20" i="14"/>
  <c r="AM19" i="14"/>
  <c r="AN19" i="14"/>
  <c r="AO19" i="14" s="1"/>
  <c r="AP19" i="14"/>
  <c r="AM18" i="14"/>
  <c r="AN18" i="14"/>
  <c r="AO18" i="14" s="1"/>
  <c r="AP18" i="14"/>
  <c r="S386" i="6"/>
  <c r="S387" i="6"/>
  <c r="S388" i="6"/>
  <c r="S389" i="6"/>
  <c r="S390" i="6"/>
  <c r="S391" i="6"/>
  <c r="S392" i="6"/>
  <c r="S393" i="6"/>
  <c r="S394" i="6"/>
  <c r="S395" i="6"/>
  <c r="S396" i="6"/>
  <c r="S397" i="6"/>
  <c r="S398" i="6"/>
  <c r="S399" i="6"/>
  <c r="S400" i="6"/>
  <c r="S401" i="6"/>
  <c r="S402" i="6"/>
  <c r="S403" i="6"/>
  <c r="S404" i="6"/>
  <c r="S405" i="6"/>
  <c r="S406" i="6"/>
  <c r="S407" i="6"/>
  <c r="S408" i="6"/>
  <c r="S409" i="6"/>
  <c r="S410" i="6"/>
  <c r="S411" i="6"/>
  <c r="S412" i="6"/>
  <c r="S413" i="6"/>
  <c r="S414" i="6"/>
  <c r="S415" i="6"/>
  <c r="S416" i="6"/>
  <c r="S417" i="6"/>
  <c r="S418" i="6"/>
  <c r="S419" i="6"/>
  <c r="S420" i="6"/>
  <c r="S421" i="6"/>
  <c r="S422" i="6"/>
  <c r="S423" i="6"/>
  <c r="S424" i="6"/>
  <c r="S425" i="6"/>
  <c r="S426" i="6"/>
  <c r="S427" i="6"/>
  <c r="S428" i="6"/>
  <c r="S429" i="6"/>
  <c r="S430" i="6"/>
  <c r="S431" i="6"/>
  <c r="S432" i="6"/>
  <c r="S433" i="6"/>
  <c r="S434" i="6"/>
  <c r="S435" i="6"/>
  <c r="S436" i="6"/>
  <c r="S437" i="6"/>
  <c r="S438" i="6"/>
  <c r="S439" i="6"/>
  <c r="S440" i="6"/>
  <c r="S441" i="6"/>
  <c r="S442" i="6"/>
  <c r="S443" i="6"/>
  <c r="S444" i="6"/>
  <c r="S445" i="6"/>
  <c r="S446" i="6"/>
  <c r="S447" i="6"/>
  <c r="S448" i="6"/>
  <c r="S449" i="6"/>
  <c r="S450" i="6"/>
  <c r="S451" i="6"/>
  <c r="S452" i="6"/>
  <c r="S453" i="6"/>
  <c r="S454" i="6"/>
  <c r="S455" i="6"/>
  <c r="S456" i="6"/>
  <c r="S457" i="6"/>
  <c r="S458" i="6"/>
  <c r="S459" i="6"/>
  <c r="S460" i="6"/>
  <c r="S461" i="6"/>
  <c r="S462" i="6"/>
  <c r="S463" i="6"/>
  <c r="S464" i="6"/>
  <c r="S465" i="6"/>
  <c r="S466" i="6"/>
  <c r="S467" i="6"/>
  <c r="S468" i="6"/>
  <c r="S469" i="6"/>
  <c r="S472" i="6"/>
  <c r="S473" i="6"/>
  <c r="S474" i="6"/>
  <c r="S475" i="6"/>
  <c r="S476" i="6"/>
  <c r="S477" i="6"/>
  <c r="S478" i="6"/>
  <c r="S481" i="6"/>
  <c r="S482" i="6"/>
  <c r="S485" i="6"/>
  <c r="S486" i="6"/>
  <c r="S487" i="6"/>
  <c r="S488" i="6"/>
  <c r="S489" i="6"/>
  <c r="S490" i="6"/>
  <c r="S491" i="6"/>
  <c r="S492" i="6"/>
  <c r="S493" i="6"/>
  <c r="S494" i="6"/>
  <c r="S495" i="6"/>
  <c r="S496" i="6"/>
  <c r="S497" i="6"/>
  <c r="S498" i="6"/>
  <c r="S499" i="6"/>
  <c r="S500" i="6"/>
  <c r="S501" i="6"/>
  <c r="S502" i="6"/>
  <c r="S503" i="6"/>
  <c r="S504" i="6"/>
  <c r="S505" i="6"/>
  <c r="S506" i="6"/>
  <c r="S507" i="6"/>
  <c r="S508" i="6"/>
  <c r="S509" i="6"/>
  <c r="S510" i="6"/>
  <c r="S511" i="6"/>
  <c r="S512" i="6"/>
  <c r="S513" i="6"/>
  <c r="S514" i="6"/>
  <c r="S515" i="6"/>
  <c r="S516" i="6"/>
  <c r="S517" i="6"/>
  <c r="S518" i="6"/>
  <c r="S519" i="6"/>
  <c r="S520" i="6"/>
  <c r="S521" i="6"/>
  <c r="S522" i="6"/>
  <c r="S523" i="6"/>
  <c r="S524" i="6"/>
  <c r="S525" i="6"/>
  <c r="S526" i="6"/>
  <c r="S527" i="6"/>
  <c r="S528" i="6"/>
  <c r="S529" i="6"/>
  <c r="S530" i="6"/>
  <c r="S531" i="6"/>
  <c r="S532" i="6"/>
  <c r="S533" i="6"/>
  <c r="S534" i="6"/>
  <c r="S535" i="6"/>
  <c r="S536" i="6"/>
  <c r="S537" i="6"/>
  <c r="S538" i="6"/>
  <c r="S539" i="6"/>
  <c r="S540" i="6"/>
  <c r="S541" i="6"/>
  <c r="S542" i="6"/>
  <c r="S543" i="6"/>
  <c r="S544" i="6"/>
  <c r="S545" i="6"/>
  <c r="S546" i="6"/>
  <c r="S547" i="6"/>
  <c r="S548" i="6"/>
  <c r="S549" i="6"/>
  <c r="S550" i="6"/>
  <c r="S551" i="6"/>
  <c r="S552" i="6"/>
  <c r="S553" i="6"/>
  <c r="S554" i="6"/>
  <c r="S555" i="6"/>
  <c r="S556" i="6"/>
  <c r="S557" i="6"/>
  <c r="S558" i="6"/>
  <c r="S559" i="6"/>
  <c r="S560" i="6"/>
  <c r="S561" i="6"/>
  <c r="S562" i="6"/>
  <c r="S563" i="6"/>
  <c r="S564" i="6"/>
  <c r="S565" i="6"/>
  <c r="S566" i="6"/>
  <c r="S567" i="6"/>
  <c r="S568" i="6"/>
  <c r="S569" i="6"/>
  <c r="S570" i="6"/>
  <c r="S571" i="6"/>
  <c r="S572" i="6"/>
  <c r="S573" i="6"/>
  <c r="S574" i="6"/>
  <c r="S575" i="6"/>
  <c r="S576" i="6"/>
  <c r="S577" i="6"/>
  <c r="S578" i="6"/>
  <c r="S579" i="6"/>
  <c r="S580" i="6"/>
  <c r="S581" i="6"/>
  <c r="S582" i="6"/>
  <c r="S583" i="6"/>
  <c r="S584" i="6"/>
  <c r="S585" i="6"/>
  <c r="S586" i="6"/>
  <c r="S587" i="6"/>
  <c r="S588" i="6"/>
  <c r="S589" i="6"/>
  <c r="S590" i="6"/>
  <c r="S591" i="6"/>
  <c r="S592" i="6"/>
  <c r="S593" i="6"/>
  <c r="S594" i="6"/>
  <c r="S595" i="6"/>
  <c r="S596" i="6"/>
  <c r="S597" i="6"/>
  <c r="S598" i="6"/>
  <c r="S599" i="6"/>
  <c r="S602" i="6"/>
  <c r="S603" i="6"/>
  <c r="S604" i="6"/>
  <c r="S605" i="6"/>
  <c r="S606" i="6"/>
  <c r="S607" i="6"/>
  <c r="S608" i="6"/>
  <c r="S609" i="6"/>
  <c r="S610" i="6"/>
  <c r="S611" i="6"/>
  <c r="S612" i="6"/>
  <c r="S613" i="6"/>
  <c r="S614" i="6"/>
  <c r="S615" i="6"/>
  <c r="S616" i="6"/>
  <c r="S617" i="6"/>
  <c r="S618" i="6"/>
  <c r="S619" i="6"/>
  <c r="S620" i="6"/>
  <c r="S621" i="6"/>
  <c r="S622" i="6"/>
  <c r="S623" i="6"/>
  <c r="S624" i="6"/>
  <c r="S625" i="6"/>
  <c r="S626" i="6"/>
  <c r="S627" i="6"/>
  <c r="S630" i="6"/>
  <c r="S631" i="6"/>
  <c r="S632" i="6"/>
  <c r="S633" i="6"/>
  <c r="S634" i="6"/>
  <c r="S635" i="6"/>
  <c r="S636" i="6"/>
  <c r="S637" i="6"/>
  <c r="S638" i="6"/>
  <c r="S639" i="6"/>
  <c r="S640" i="6"/>
  <c r="S641" i="6"/>
  <c r="S642" i="6"/>
  <c r="S643" i="6"/>
  <c r="S644" i="6"/>
  <c r="S645" i="6"/>
  <c r="S646" i="6"/>
  <c r="S647" i="6"/>
  <c r="S648" i="6"/>
  <c r="S649" i="6"/>
  <c r="S650" i="6"/>
  <c r="S651" i="6"/>
  <c r="S654" i="6"/>
  <c r="S655" i="6"/>
  <c r="S656" i="6"/>
  <c r="S657" i="6"/>
  <c r="S658" i="6"/>
  <c r="S659" i="6"/>
  <c r="S660" i="6"/>
  <c r="AM17" i="14"/>
  <c r="AN17" i="14"/>
  <c r="AO17" i="14" s="1"/>
  <c r="AP17" i="14"/>
  <c r="AM16" i="14"/>
  <c r="AN16" i="14"/>
  <c r="AO16" i="14" s="1"/>
  <c r="AP16" i="14"/>
  <c r="AM15" i="14"/>
  <c r="AN15" i="14"/>
  <c r="AO15" i="14" s="1"/>
  <c r="AP15" i="14"/>
  <c r="G332" i="9"/>
  <c r="H332" i="9" s="1"/>
  <c r="I332" i="9" s="1"/>
  <c r="C330" i="9"/>
  <c r="F330" i="9"/>
  <c r="O330" i="9"/>
  <c r="C331" i="9"/>
  <c r="F331" i="9"/>
  <c r="C332" i="9"/>
  <c r="F332" i="9"/>
  <c r="J332" i="9"/>
  <c r="AM14" i="14"/>
  <c r="AP14" i="14"/>
  <c r="J331" i="9"/>
  <c r="N330" i="9"/>
  <c r="N332" i="9"/>
  <c r="G331" i="9"/>
  <c r="H331" i="9" s="1"/>
  <c r="I331" i="9" s="1"/>
  <c r="AN14" i="14"/>
  <c r="AO14" i="14" s="1"/>
  <c r="O332" i="9"/>
  <c r="N331" i="9"/>
  <c r="O331" i="9"/>
  <c r="J330" i="9"/>
  <c r="G330" i="9"/>
  <c r="H330" i="9" s="1"/>
  <c r="I330" i="9" s="1"/>
  <c r="AN13" i="14"/>
  <c r="AO13" i="14" s="1"/>
  <c r="AM13" i="14"/>
  <c r="AP13" i="14"/>
  <c r="AM12" i="14"/>
  <c r="AN12" i="14"/>
  <c r="AO12" i="14" s="1"/>
  <c r="AP12" i="14"/>
  <c r="C327" i="9"/>
  <c r="F327" i="9"/>
  <c r="G327" i="9"/>
  <c r="H327" i="9" s="1"/>
  <c r="I327" i="9" s="1"/>
  <c r="J327" i="9"/>
  <c r="N327" i="9"/>
  <c r="O327" i="9"/>
  <c r="C328" i="9"/>
  <c r="F328" i="9"/>
  <c r="G328" i="9"/>
  <c r="H328" i="9" s="1"/>
  <c r="I328" i="9" s="1"/>
  <c r="J328" i="9"/>
  <c r="N328" i="9"/>
  <c r="O328" i="9"/>
  <c r="C329" i="9"/>
  <c r="F329" i="9"/>
  <c r="G329" i="9"/>
  <c r="H329" i="9" s="1"/>
  <c r="N329" i="9"/>
  <c r="J329" i="9"/>
  <c r="O329" i="9"/>
  <c r="AM11" i="14"/>
  <c r="AN11" i="14"/>
  <c r="AO11" i="14" s="1"/>
  <c r="AP11" i="14"/>
  <c r="AM10" i="14"/>
  <c r="AN10" i="14"/>
  <c r="AO10" i="14" s="1"/>
  <c r="AP10" i="14"/>
  <c r="AM9" i="14"/>
  <c r="AN9" i="14"/>
  <c r="AO9" i="14" s="1"/>
  <c r="AP9" i="14"/>
  <c r="C322" i="9"/>
  <c r="F322" i="9"/>
  <c r="G322" i="9"/>
  <c r="H322" i="9" s="1"/>
  <c r="I322" i="9" s="1"/>
  <c r="J322" i="9"/>
  <c r="N322" i="9"/>
  <c r="O322" i="9"/>
  <c r="C323" i="9"/>
  <c r="F323" i="9"/>
  <c r="G323" i="9"/>
  <c r="H323" i="9" s="1"/>
  <c r="I323" i="9" s="1"/>
  <c r="O323" i="9"/>
  <c r="C324" i="9"/>
  <c r="F324" i="9"/>
  <c r="N324" i="9"/>
  <c r="J324" i="9"/>
  <c r="O324" i="9"/>
  <c r="C325" i="9"/>
  <c r="F325" i="9"/>
  <c r="G325" i="9"/>
  <c r="H325" i="9" s="1"/>
  <c r="C326" i="9"/>
  <c r="F326" i="9"/>
  <c r="G326" i="9"/>
  <c r="H326" i="9" s="1"/>
  <c r="AM8" i="14"/>
  <c r="AN8" i="14"/>
  <c r="AO8" i="14" s="1"/>
  <c r="AP8" i="14"/>
  <c r="O326" i="9"/>
  <c r="N326" i="9"/>
  <c r="G324" i="9"/>
  <c r="N323" i="9"/>
  <c r="J326" i="9"/>
  <c r="N325" i="9"/>
  <c r="J323" i="9"/>
  <c r="J325" i="9"/>
  <c r="O325" i="9"/>
  <c r="AM7" i="14"/>
  <c r="AN7" i="14"/>
  <c r="AO7" i="14" s="1"/>
  <c r="AP7" i="14"/>
  <c r="AM6" i="14"/>
  <c r="AN6" i="14"/>
  <c r="AO6" i="14" s="1"/>
  <c r="AP6" i="14"/>
  <c r="F455" i="1"/>
  <c r="AM5" i="14"/>
  <c r="AN5" i="14"/>
  <c r="AO5" i="14" s="1"/>
  <c r="AQ6" i="14" s="1"/>
  <c r="AP5" i="14"/>
  <c r="AM2" i="14"/>
  <c r="E652" i="6"/>
  <c r="AM4" i="14"/>
  <c r="AN4" i="14"/>
  <c r="AO4" i="14" s="1"/>
  <c r="AP4" i="14"/>
  <c r="C321" i="9"/>
  <c r="F321" i="9"/>
  <c r="N321" i="9"/>
  <c r="G321" i="9"/>
  <c r="H321" i="9" s="1"/>
  <c r="J321" i="9"/>
  <c r="O321" i="9"/>
  <c r="AM3" i="14"/>
  <c r="AN3" i="14"/>
  <c r="AO3" i="14" s="1"/>
  <c r="AP3" i="14"/>
  <c r="AN2" i="14"/>
  <c r="AO2" i="14" s="1"/>
  <c r="AP2" i="14"/>
  <c r="C320" i="9"/>
  <c r="F320" i="9"/>
  <c r="J320" i="9"/>
  <c r="G320" i="9"/>
  <c r="H320" i="9" s="1"/>
  <c r="C680" i="8"/>
  <c r="O320" i="9"/>
  <c r="N320" i="9"/>
  <c r="F454" i="1"/>
  <c r="C319" i="9"/>
  <c r="F319" i="9"/>
  <c r="G319" i="9"/>
  <c r="H319" i="9" s="1"/>
  <c r="J319" i="9"/>
  <c r="N319" i="9"/>
  <c r="O319" i="9"/>
  <c r="C316" i="9"/>
  <c r="C317" i="9"/>
  <c r="C318" i="9"/>
  <c r="F317" i="9"/>
  <c r="G317" i="9"/>
  <c r="F318" i="9"/>
  <c r="G318" i="9"/>
  <c r="H318" i="9" s="1"/>
  <c r="O317" i="9"/>
  <c r="N318" i="9"/>
  <c r="J318" i="9"/>
  <c r="N317" i="9"/>
  <c r="O318" i="9"/>
  <c r="J317" i="9"/>
  <c r="F116" i="15"/>
  <c r="K116" i="15"/>
  <c r="M116" i="15"/>
  <c r="N116" i="15"/>
  <c r="F316" i="9"/>
  <c r="J316" i="9"/>
  <c r="O316" i="9"/>
  <c r="G316" i="9"/>
  <c r="H316" i="9" s="1"/>
  <c r="N316" i="9"/>
  <c r="C315" i="9"/>
  <c r="F315" i="9"/>
  <c r="G315" i="9"/>
  <c r="H315" i="9" s="1"/>
  <c r="O315" i="9"/>
  <c r="N315" i="9"/>
  <c r="J315" i="9"/>
  <c r="K454" i="1"/>
  <c r="K455" i="1"/>
  <c r="M449" i="1"/>
  <c r="M450" i="1"/>
  <c r="M451" i="1"/>
  <c r="M452" i="1"/>
  <c r="M453" i="1"/>
  <c r="M454" i="1"/>
  <c r="M455" i="1"/>
  <c r="N449" i="1"/>
  <c r="N450" i="1"/>
  <c r="N451" i="1"/>
  <c r="N452" i="1"/>
  <c r="N453" i="1"/>
  <c r="N454" i="1"/>
  <c r="N455" i="1"/>
  <c r="M448" i="1"/>
  <c r="N448" i="1"/>
  <c r="C314" i="9"/>
  <c r="F314" i="9"/>
  <c r="G314" i="9"/>
  <c r="J314" i="9"/>
  <c r="O314" i="9"/>
  <c r="N314" i="9"/>
  <c r="H314" i="9"/>
  <c r="C313" i="9"/>
  <c r="F313" i="9"/>
  <c r="G313" i="9"/>
  <c r="H313" i="9" s="1"/>
  <c r="J313" i="9"/>
  <c r="N313" i="9"/>
  <c r="O313" i="9"/>
  <c r="M444" i="1"/>
  <c r="M445" i="1"/>
  <c r="M446" i="1"/>
  <c r="M447" i="1"/>
  <c r="N444" i="1"/>
  <c r="N445" i="1"/>
  <c r="N446" i="1"/>
  <c r="N447" i="1"/>
  <c r="C312" i="9"/>
  <c r="F312" i="9"/>
  <c r="J312" i="9"/>
  <c r="O312" i="9"/>
  <c r="G312" i="9"/>
  <c r="H312" i="9" s="1"/>
  <c r="N312" i="9"/>
  <c r="C311" i="9"/>
  <c r="F311" i="9"/>
  <c r="G311" i="9"/>
  <c r="O311" i="9"/>
  <c r="N311" i="9"/>
  <c r="J311" i="9"/>
  <c r="C310" i="9"/>
  <c r="F310" i="9"/>
  <c r="J310" i="9"/>
  <c r="G310" i="9"/>
  <c r="O310" i="9"/>
  <c r="N310" i="9"/>
  <c r="C309" i="9"/>
  <c r="F309" i="9"/>
  <c r="G309" i="9"/>
  <c r="H309" i="9" s="1"/>
  <c r="N309" i="9"/>
  <c r="O309" i="9"/>
  <c r="J309" i="9"/>
  <c r="C308" i="9"/>
  <c r="F308" i="9"/>
  <c r="J308" i="9"/>
  <c r="O308" i="9"/>
  <c r="G308" i="9"/>
  <c r="H308" i="9" s="1"/>
  <c r="I308" i="9" s="1"/>
  <c r="N308" i="9"/>
  <c r="C307" i="9"/>
  <c r="F307" i="9"/>
  <c r="G307" i="9"/>
  <c r="H307" i="9" s="1"/>
  <c r="C305" i="9"/>
  <c r="C306" i="9"/>
  <c r="O307" i="9"/>
  <c r="N307" i="9"/>
  <c r="J307" i="9"/>
  <c r="F306" i="9"/>
  <c r="G306" i="9"/>
  <c r="J306" i="9"/>
  <c r="N306" i="9"/>
  <c r="O306" i="9"/>
  <c r="H306" i="9"/>
  <c r="F305" i="9"/>
  <c r="G305" i="9"/>
  <c r="J305" i="9"/>
  <c r="O305" i="9"/>
  <c r="N305" i="9"/>
  <c r="H305" i="9"/>
  <c r="C304" i="9"/>
  <c r="F304" i="9"/>
  <c r="G304" i="9"/>
  <c r="H304" i="9" s="1"/>
  <c r="I304" i="9" s="1"/>
  <c r="O304" i="9"/>
  <c r="N304" i="9"/>
  <c r="J304" i="9"/>
  <c r="C303" i="9"/>
  <c r="F303" i="9"/>
  <c r="G303" i="9"/>
  <c r="H303" i="9" s="1"/>
  <c r="O303" i="9"/>
  <c r="N303" i="9"/>
  <c r="J303" i="9"/>
  <c r="C302" i="9"/>
  <c r="F302" i="9"/>
  <c r="J302" i="9"/>
  <c r="G302" i="9"/>
  <c r="H302" i="9" s="1"/>
  <c r="I302" i="9" s="1"/>
  <c r="O302" i="9"/>
  <c r="N302" i="9"/>
  <c r="C301" i="9"/>
  <c r="F301" i="9"/>
  <c r="G301" i="9"/>
  <c r="H301" i="9" s="1"/>
  <c r="O301" i="9"/>
  <c r="N301" i="9"/>
  <c r="J301" i="9"/>
  <c r="C299" i="9"/>
  <c r="C300" i="9"/>
  <c r="F299" i="9"/>
  <c r="J299" i="9"/>
  <c r="F300" i="9"/>
  <c r="J300" i="9"/>
  <c r="O300" i="9"/>
  <c r="G300" i="9"/>
  <c r="H300" i="9" s="1"/>
  <c r="N300" i="9"/>
  <c r="F35" i="12"/>
  <c r="K35" i="12"/>
  <c r="M35" i="12"/>
  <c r="H35" i="12"/>
  <c r="G35" i="12"/>
  <c r="N35" i="12"/>
  <c r="P35" i="12"/>
  <c r="J35" i="12"/>
  <c r="I35" i="12"/>
  <c r="Q35" i="12"/>
  <c r="S35" i="12"/>
  <c r="T35" i="12"/>
  <c r="U35" i="12"/>
  <c r="Z35" i="12"/>
  <c r="N432" i="1"/>
  <c r="M432" i="1"/>
  <c r="AC35" i="12"/>
  <c r="AD35" i="12"/>
  <c r="L35" i="12"/>
  <c r="AA35" i="12"/>
  <c r="V35" i="12"/>
  <c r="W35" i="12"/>
  <c r="X35" i="12"/>
  <c r="Y35" i="12"/>
  <c r="N433" i="1"/>
  <c r="M433" i="1"/>
  <c r="K3616" i="8"/>
  <c r="K3615" i="8"/>
  <c r="K3614" i="8"/>
  <c r="K3613" i="8"/>
  <c r="K3612" i="8"/>
  <c r="K3611" i="8"/>
  <c r="K3610" i="8"/>
  <c r="K3609" i="8"/>
  <c r="K3608" i="8"/>
  <c r="K3607" i="8"/>
  <c r="K3606" i="8"/>
  <c r="K3605" i="8"/>
  <c r="K3604" i="8"/>
  <c r="K3603" i="8"/>
  <c r="K3602" i="8"/>
  <c r="C3615" i="8"/>
  <c r="B3615" i="8"/>
  <c r="C3614" i="8"/>
  <c r="B3614" i="8"/>
  <c r="C3613" i="8"/>
  <c r="B3613" i="8"/>
  <c r="C3612" i="8"/>
  <c r="B3612" i="8"/>
  <c r="C3611" i="8"/>
  <c r="B3611" i="8"/>
  <c r="C3610" i="8"/>
  <c r="B3610" i="8"/>
  <c r="C3609" i="8"/>
  <c r="B3609" i="8"/>
  <c r="C3608" i="8"/>
  <c r="B3608" i="8"/>
  <c r="C3607" i="8"/>
  <c r="B3607" i="8"/>
  <c r="C3606" i="8"/>
  <c r="B3606" i="8"/>
  <c r="C3605" i="8"/>
  <c r="B3605" i="8"/>
  <c r="C3604" i="8"/>
  <c r="B3604" i="8"/>
  <c r="C3603" i="8"/>
  <c r="B3603" i="8"/>
  <c r="C3602" i="8"/>
  <c r="B3602" i="8"/>
  <c r="N299" i="9"/>
  <c r="O299" i="9"/>
  <c r="G299" i="9"/>
  <c r="H299" i="9" s="1"/>
  <c r="N434" i="1"/>
  <c r="M434" i="1"/>
  <c r="C298" i="9"/>
  <c r="F298" i="9"/>
  <c r="G298" i="9"/>
  <c r="H298" i="9" s="1"/>
  <c r="O298" i="9"/>
  <c r="N298" i="9"/>
  <c r="J298" i="9"/>
  <c r="M435" i="1"/>
  <c r="N435" i="1"/>
  <c r="C297" i="9"/>
  <c r="F297" i="9"/>
  <c r="G297" i="9"/>
  <c r="H297" i="9" s="1"/>
  <c r="I297" i="9" s="1"/>
  <c r="N297" i="9"/>
  <c r="O297" i="9"/>
  <c r="N437" i="1"/>
  <c r="J297" i="9"/>
  <c r="M437" i="1"/>
  <c r="M436" i="1"/>
  <c r="N436" i="1"/>
  <c r="M438" i="1"/>
  <c r="N438" i="1"/>
  <c r="C296" i="9"/>
  <c r="F296" i="9"/>
  <c r="G296" i="9"/>
  <c r="H296" i="9" s="1"/>
  <c r="I296" i="9" s="1"/>
  <c r="M439" i="1"/>
  <c r="N439" i="1"/>
  <c r="J296" i="9"/>
  <c r="N296" i="9"/>
  <c r="O296" i="9"/>
  <c r="C295" i="9"/>
  <c r="F295" i="9"/>
  <c r="N295" i="9"/>
  <c r="M440" i="1"/>
  <c r="N440" i="1"/>
  <c r="O295" i="9"/>
  <c r="J295" i="9"/>
  <c r="G295" i="9"/>
  <c r="H295" i="9" s="1"/>
  <c r="M441" i="1"/>
  <c r="N441" i="1"/>
  <c r="M443" i="1"/>
  <c r="N443" i="1"/>
  <c r="M442" i="1"/>
  <c r="N442" i="1"/>
  <c r="C294" i="9"/>
  <c r="F294" i="9"/>
  <c r="N294" i="9"/>
  <c r="G294" i="9"/>
  <c r="H294" i="9" s="1"/>
  <c r="O294" i="9"/>
  <c r="J294" i="9"/>
  <c r="C293" i="9"/>
  <c r="F293" i="9"/>
  <c r="G293" i="9"/>
  <c r="H293" i="9" s="1"/>
  <c r="I293" i="9" s="1"/>
  <c r="O293" i="9"/>
  <c r="N293" i="9"/>
  <c r="J293" i="9"/>
  <c r="O33" i="12"/>
  <c r="M542" i="6"/>
  <c r="N542" i="6"/>
  <c r="M543" i="6"/>
  <c r="N543" i="6"/>
  <c r="M544" i="6"/>
  <c r="N544" i="6"/>
  <c r="N545" i="6"/>
  <c r="M545" i="6"/>
  <c r="N546" i="6"/>
  <c r="M546" i="6"/>
  <c r="N547" i="6"/>
  <c r="M547" i="6"/>
  <c r="C291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C292" i="9"/>
  <c r="F292" i="9"/>
  <c r="G292" i="9"/>
  <c r="H292" i="9" s="1"/>
  <c r="J292" i="9"/>
  <c r="M548" i="6"/>
  <c r="N548" i="6"/>
  <c r="O292" i="9"/>
  <c r="N292" i="9"/>
  <c r="M549" i="6"/>
  <c r="N549" i="6"/>
  <c r="M550" i="6"/>
  <c r="N550" i="6"/>
  <c r="M551" i="6"/>
  <c r="N551" i="6"/>
  <c r="F291" i="9"/>
  <c r="G291" i="9"/>
  <c r="M552" i="6"/>
  <c r="N552" i="6"/>
  <c r="O291" i="9"/>
  <c r="N291" i="9"/>
  <c r="J291" i="9"/>
  <c r="C290" i="9"/>
  <c r="F290" i="9"/>
  <c r="G290" i="9"/>
  <c r="H290" i="9" s="1"/>
  <c r="O290" i="9"/>
  <c r="N553" i="6"/>
  <c r="M553" i="6"/>
  <c r="N290" i="9"/>
  <c r="J290" i="9"/>
  <c r="C289" i="9"/>
  <c r="F289" i="9"/>
  <c r="G289" i="9"/>
  <c r="H289" i="9" s="1"/>
  <c r="O289" i="9"/>
  <c r="N554" i="6"/>
  <c r="M554" i="6"/>
  <c r="N289" i="9"/>
  <c r="J289" i="9"/>
  <c r="M555" i="6"/>
  <c r="N555" i="6"/>
  <c r="C288" i="9"/>
  <c r="F288" i="9"/>
  <c r="G288" i="9"/>
  <c r="H288" i="9" s="1"/>
  <c r="M556" i="6"/>
  <c r="N556" i="6"/>
  <c r="N288" i="9"/>
  <c r="O288" i="9"/>
  <c r="J288" i="9"/>
  <c r="C287" i="9"/>
  <c r="F287" i="9"/>
  <c r="N287" i="9"/>
  <c r="G287" i="9"/>
  <c r="H287" i="9" s="1"/>
  <c r="J287" i="9"/>
  <c r="O287" i="9"/>
  <c r="M557" i="6"/>
  <c r="N557" i="6"/>
  <c r="N558" i="6"/>
  <c r="M558" i="6"/>
  <c r="M559" i="6"/>
  <c r="N559" i="6"/>
  <c r="C286" i="9"/>
  <c r="F286" i="9"/>
  <c r="J286" i="9"/>
  <c r="G286" i="9"/>
  <c r="H286" i="9" s="1"/>
  <c r="N560" i="6"/>
  <c r="M560" i="6"/>
  <c r="O286" i="9"/>
  <c r="N286" i="9"/>
  <c r="M561" i="6"/>
  <c r="N561" i="6"/>
  <c r="N562" i="6"/>
  <c r="M562" i="6"/>
  <c r="M563" i="6"/>
  <c r="N563" i="6"/>
  <c r="C285" i="9"/>
  <c r="F285" i="9"/>
  <c r="G285" i="9"/>
  <c r="M564" i="6"/>
  <c r="N564" i="6"/>
  <c r="N285" i="9"/>
  <c r="J285" i="9"/>
  <c r="O285" i="9"/>
  <c r="C284" i="9"/>
  <c r="F284" i="9"/>
  <c r="J284" i="9"/>
  <c r="M565" i="6"/>
  <c r="N565" i="6"/>
  <c r="G284" i="9"/>
  <c r="O284" i="9"/>
  <c r="N284" i="9"/>
  <c r="C283" i="9"/>
  <c r="N566" i="6"/>
  <c r="M566" i="6"/>
  <c r="F283" i="9"/>
  <c r="G283" i="9"/>
  <c r="H283" i="9" s="1"/>
  <c r="I283" i="9" s="1"/>
  <c r="Q283" i="9" s="1"/>
  <c r="N567" i="6"/>
  <c r="M567" i="6"/>
  <c r="N283" i="9"/>
  <c r="J283" i="9"/>
  <c r="O283" i="9"/>
  <c r="M568" i="6"/>
  <c r="N568" i="6"/>
  <c r="M569" i="6"/>
  <c r="N569" i="6"/>
  <c r="C282" i="9"/>
  <c r="F282" i="9"/>
  <c r="G282" i="9"/>
  <c r="H282" i="9" s="1"/>
  <c r="N570" i="6"/>
  <c r="M570" i="6"/>
  <c r="J282" i="9"/>
  <c r="O282" i="9"/>
  <c r="N282" i="9"/>
  <c r="C281" i="9"/>
  <c r="F281" i="9"/>
  <c r="G281" i="9"/>
  <c r="H281" i="9" s="1"/>
  <c r="M571" i="6"/>
  <c r="N571" i="6"/>
  <c r="N281" i="9"/>
  <c r="J281" i="9"/>
  <c r="O281" i="9"/>
  <c r="M572" i="6"/>
  <c r="N572" i="6"/>
  <c r="M573" i="6"/>
  <c r="N573" i="6"/>
  <c r="N574" i="6"/>
  <c r="M574" i="6"/>
  <c r="C280" i="9"/>
  <c r="F280" i="9"/>
  <c r="G280" i="9"/>
  <c r="M575" i="6"/>
  <c r="N575" i="6"/>
  <c r="O280" i="9"/>
  <c r="N280" i="9"/>
  <c r="J280" i="9"/>
  <c r="C279" i="9"/>
  <c r="F279" i="9"/>
  <c r="J279" i="9"/>
  <c r="M576" i="6"/>
  <c r="N576" i="6"/>
  <c r="G279" i="9"/>
  <c r="O279" i="9"/>
  <c r="N279" i="9"/>
  <c r="M577" i="6"/>
  <c r="N577" i="6"/>
  <c r="N578" i="6"/>
  <c r="M578" i="6"/>
  <c r="C278" i="9"/>
  <c r="F278" i="9"/>
  <c r="G278" i="9"/>
  <c r="H278" i="9" s="1"/>
  <c r="M579" i="6"/>
  <c r="N579" i="6"/>
  <c r="O278" i="9"/>
  <c r="N278" i="9"/>
  <c r="J278" i="9"/>
  <c r="N115" i="15"/>
  <c r="M115" i="15"/>
  <c r="N114" i="15"/>
  <c r="M114" i="15"/>
  <c r="M580" i="6"/>
  <c r="N580" i="6"/>
  <c r="M581" i="6"/>
  <c r="N581" i="6"/>
  <c r="N582" i="6"/>
  <c r="M582" i="6"/>
  <c r="C277" i="9"/>
  <c r="F277" i="9"/>
  <c r="G277" i="9"/>
  <c r="H277" i="9" s="1"/>
  <c r="J277" i="9"/>
  <c r="M583" i="6"/>
  <c r="N583" i="6"/>
  <c r="O277" i="9"/>
  <c r="N277" i="9"/>
  <c r="C276" i="9"/>
  <c r="F276" i="9"/>
  <c r="J276" i="9"/>
  <c r="M584" i="6"/>
  <c r="N584" i="6"/>
  <c r="G276" i="9"/>
  <c r="H276" i="9" s="1"/>
  <c r="O276" i="9"/>
  <c r="N276" i="9"/>
  <c r="N585" i="6"/>
  <c r="M585" i="6"/>
  <c r="M586" i="6"/>
  <c r="N586" i="6"/>
  <c r="C275" i="9"/>
  <c r="F275" i="9"/>
  <c r="G275" i="9"/>
  <c r="H275" i="9" s="1"/>
  <c r="M587" i="6"/>
  <c r="N587" i="6"/>
  <c r="O275" i="9"/>
  <c r="J275" i="9"/>
  <c r="N275" i="9"/>
  <c r="M588" i="6"/>
  <c r="N588" i="6"/>
  <c r="N589" i="6"/>
  <c r="M589" i="6"/>
  <c r="M590" i="6"/>
  <c r="N590" i="6"/>
  <c r="C274" i="9"/>
  <c r="F274" i="9"/>
  <c r="G274" i="9"/>
  <c r="H274" i="9" s="1"/>
  <c r="M591" i="6"/>
  <c r="N591" i="6"/>
  <c r="O274" i="9"/>
  <c r="N274" i="9"/>
  <c r="J274" i="9"/>
  <c r="M592" i="6"/>
  <c r="N592" i="6"/>
  <c r="M593" i="6"/>
  <c r="N593" i="6"/>
  <c r="M594" i="6"/>
  <c r="N594" i="6"/>
  <c r="M108" i="14"/>
  <c r="N108" i="14"/>
  <c r="M109" i="14"/>
  <c r="N109" i="14"/>
  <c r="M110" i="14"/>
  <c r="N110" i="14"/>
  <c r="M111" i="14"/>
  <c r="N111" i="14"/>
  <c r="M112" i="14"/>
  <c r="N112" i="14"/>
  <c r="M113" i="14"/>
  <c r="N113" i="14"/>
  <c r="M114" i="14"/>
  <c r="N114" i="14"/>
  <c r="M115" i="14"/>
  <c r="N115" i="14"/>
  <c r="M116" i="14"/>
  <c r="N116" i="14"/>
  <c r="M595" i="6"/>
  <c r="N595" i="6"/>
  <c r="M596" i="6"/>
  <c r="N596" i="6"/>
  <c r="N597" i="6"/>
  <c r="M597" i="6"/>
  <c r="F114" i="15"/>
  <c r="M598" i="6"/>
  <c r="N598" i="6"/>
  <c r="F115" i="15"/>
  <c r="K115" i="15"/>
  <c r="K114" i="15"/>
  <c r="H114" i="15"/>
  <c r="M599" i="6"/>
  <c r="N599" i="6"/>
  <c r="E600" i="6"/>
  <c r="S600" i="6" s="1"/>
  <c r="G114" i="15"/>
  <c r="Q114" i="15"/>
  <c r="S114" i="15"/>
  <c r="T114" i="15"/>
  <c r="U114" i="15"/>
  <c r="Z114" i="15"/>
  <c r="H115" i="15"/>
  <c r="H116" i="15"/>
  <c r="I114" i="15"/>
  <c r="G116" i="15"/>
  <c r="Q116" i="15"/>
  <c r="I116" i="15"/>
  <c r="V114" i="15"/>
  <c r="W114" i="15"/>
  <c r="X114" i="15"/>
  <c r="P114" i="15"/>
  <c r="J114" i="15"/>
  <c r="L114" i="15"/>
  <c r="AA114" i="15"/>
  <c r="AC114" i="15"/>
  <c r="AD114" i="15"/>
  <c r="I115" i="15"/>
  <c r="Q115" i="15"/>
  <c r="S115" i="15"/>
  <c r="T115" i="15"/>
  <c r="U115" i="15"/>
  <c r="Z115" i="15"/>
  <c r="G115" i="15"/>
  <c r="M107" i="14"/>
  <c r="N107" i="14"/>
  <c r="AC116" i="15"/>
  <c r="AD116" i="15"/>
  <c r="L116" i="15"/>
  <c r="AA116" i="15"/>
  <c r="S116" i="15"/>
  <c r="P116" i="15"/>
  <c r="J116" i="15"/>
  <c r="N601" i="6"/>
  <c r="M601" i="6"/>
  <c r="Y114" i="15"/>
  <c r="P115" i="15"/>
  <c r="J115" i="15"/>
  <c r="L115" i="15"/>
  <c r="AA115" i="15"/>
  <c r="AC115" i="15"/>
  <c r="AD115" i="15"/>
  <c r="V115" i="15"/>
  <c r="W115" i="15"/>
  <c r="X115" i="15"/>
  <c r="Y115" i="15"/>
  <c r="T116" i="15"/>
  <c r="U116" i="15"/>
  <c r="Z116" i="15"/>
  <c r="V116" i="15"/>
  <c r="W116" i="15"/>
  <c r="X116" i="15"/>
  <c r="Y116" i="15"/>
  <c r="M602" i="6"/>
  <c r="N602" i="6"/>
  <c r="E483" i="6"/>
  <c r="M483" i="6" s="1"/>
  <c r="F273" i="9"/>
  <c r="G273" i="9"/>
  <c r="H273" i="9" s="1"/>
  <c r="C273" i="9"/>
  <c r="Q42" i="12"/>
  <c r="P42" i="12"/>
  <c r="N42" i="12"/>
  <c r="M42" i="12"/>
  <c r="K42" i="12"/>
  <c r="I42" i="12"/>
  <c r="J42" i="12"/>
  <c r="Q41" i="12"/>
  <c r="P41" i="12"/>
  <c r="N41" i="12"/>
  <c r="M41" i="12"/>
  <c r="K41" i="12"/>
  <c r="I41" i="12"/>
  <c r="J41" i="12"/>
  <c r="Q40" i="12"/>
  <c r="P40" i="12"/>
  <c r="N40" i="12"/>
  <c r="M40" i="12"/>
  <c r="K40" i="12"/>
  <c r="J40" i="12"/>
  <c r="I40" i="12"/>
  <c r="Q39" i="12"/>
  <c r="P39" i="12"/>
  <c r="N39" i="12"/>
  <c r="M39" i="12"/>
  <c r="L39" i="12"/>
  <c r="K39" i="12"/>
  <c r="J39" i="12"/>
  <c r="I39" i="12"/>
  <c r="AC39" i="12"/>
  <c r="AD39" i="12"/>
  <c r="AD38" i="12"/>
  <c r="Q38" i="12"/>
  <c r="P38" i="12"/>
  <c r="N38" i="12"/>
  <c r="M38" i="12"/>
  <c r="K38" i="12"/>
  <c r="I38" i="12"/>
  <c r="AC38" i="12"/>
  <c r="J38" i="12"/>
  <c r="Q37" i="12"/>
  <c r="P37" i="12"/>
  <c r="N37" i="12"/>
  <c r="M37" i="12"/>
  <c r="K37" i="12"/>
  <c r="I37" i="12"/>
  <c r="J37" i="12"/>
  <c r="Q36" i="12"/>
  <c r="P36" i="12"/>
  <c r="N36" i="12"/>
  <c r="M36" i="12"/>
  <c r="K36" i="12"/>
  <c r="J36" i="12"/>
  <c r="I36" i="12"/>
  <c r="L36" i="12"/>
  <c r="N34" i="12"/>
  <c r="M34" i="12"/>
  <c r="N33" i="12"/>
  <c r="M33" i="12"/>
  <c r="N32" i="12"/>
  <c r="M32" i="12"/>
  <c r="N31" i="12"/>
  <c r="M31" i="12"/>
  <c r="N30" i="12"/>
  <c r="M30" i="12"/>
  <c r="N29" i="12"/>
  <c r="M29" i="12"/>
  <c r="N28" i="12"/>
  <c r="M28" i="12"/>
  <c r="N27" i="12"/>
  <c r="M27" i="12"/>
  <c r="N26" i="12"/>
  <c r="M26" i="12"/>
  <c r="N25" i="12"/>
  <c r="M25" i="12"/>
  <c r="N24" i="12"/>
  <c r="M24" i="12"/>
  <c r="N23" i="12"/>
  <c r="M23" i="12"/>
  <c r="N22" i="12"/>
  <c r="M22" i="12"/>
  <c r="N21" i="12"/>
  <c r="M21" i="12"/>
  <c r="N20" i="12"/>
  <c r="M20" i="12"/>
  <c r="N19" i="12"/>
  <c r="M19" i="12"/>
  <c r="N18" i="12"/>
  <c r="M18" i="12"/>
  <c r="N17" i="12"/>
  <c r="M17" i="12"/>
  <c r="N16" i="12"/>
  <c r="M16" i="12"/>
  <c r="N15" i="12"/>
  <c r="M15" i="12"/>
  <c r="N14" i="12"/>
  <c r="M14" i="12"/>
  <c r="N13" i="12"/>
  <c r="M13" i="12"/>
  <c r="N12" i="12"/>
  <c r="M12" i="12"/>
  <c r="N11" i="12"/>
  <c r="M11" i="12"/>
  <c r="N10" i="12"/>
  <c r="M10" i="12"/>
  <c r="N9" i="12"/>
  <c r="M9" i="12"/>
  <c r="N8" i="12"/>
  <c r="M8" i="12"/>
  <c r="N7" i="12"/>
  <c r="M7" i="12"/>
  <c r="N6" i="12"/>
  <c r="M6" i="12"/>
  <c r="N5" i="12"/>
  <c r="M5" i="12"/>
  <c r="N4" i="12"/>
  <c r="M4" i="12"/>
  <c r="N3" i="12"/>
  <c r="M3" i="12"/>
  <c r="H3" i="12"/>
  <c r="F3" i="12"/>
  <c r="F4" i="12"/>
  <c r="AD2" i="12"/>
  <c r="AA2" i="12"/>
  <c r="Z2" i="12"/>
  <c r="K2" i="12"/>
  <c r="I2" i="12"/>
  <c r="AC2" i="12"/>
  <c r="J2" i="12"/>
  <c r="N106" i="14"/>
  <c r="M106" i="14"/>
  <c r="N105" i="14"/>
  <c r="M105" i="14"/>
  <c r="N104" i="14"/>
  <c r="M104" i="14"/>
  <c r="N103" i="14"/>
  <c r="M103" i="14"/>
  <c r="N102" i="14"/>
  <c r="M102" i="14"/>
  <c r="N101" i="14"/>
  <c r="M101" i="14"/>
  <c r="N100" i="14"/>
  <c r="M100" i="14"/>
  <c r="N99" i="14"/>
  <c r="M99" i="14"/>
  <c r="N98" i="14"/>
  <c r="M98" i="14"/>
  <c r="N97" i="14"/>
  <c r="M97" i="14"/>
  <c r="N96" i="14"/>
  <c r="M96" i="14"/>
  <c r="N95" i="14"/>
  <c r="M95" i="14"/>
  <c r="N94" i="14"/>
  <c r="M94" i="14"/>
  <c r="N93" i="14"/>
  <c r="M93" i="14"/>
  <c r="N92" i="14"/>
  <c r="M92" i="14"/>
  <c r="N91" i="14"/>
  <c r="M91" i="14"/>
  <c r="N90" i="14"/>
  <c r="M90" i="14"/>
  <c r="N89" i="14"/>
  <c r="M89" i="14"/>
  <c r="N88" i="14"/>
  <c r="M88" i="14"/>
  <c r="N87" i="14"/>
  <c r="M87" i="14"/>
  <c r="N86" i="14"/>
  <c r="M86" i="14"/>
  <c r="N85" i="14"/>
  <c r="M85" i="14"/>
  <c r="N84" i="14"/>
  <c r="M84" i="14"/>
  <c r="N83" i="14"/>
  <c r="M83" i="14"/>
  <c r="N82" i="14"/>
  <c r="M82" i="14"/>
  <c r="N81" i="14"/>
  <c r="M81" i="14"/>
  <c r="N80" i="14"/>
  <c r="M80" i="14"/>
  <c r="N79" i="14"/>
  <c r="M79" i="14"/>
  <c r="N78" i="14"/>
  <c r="M78" i="14"/>
  <c r="N77" i="14"/>
  <c r="M77" i="14"/>
  <c r="N76" i="14"/>
  <c r="M76" i="14"/>
  <c r="N75" i="14"/>
  <c r="M75" i="14"/>
  <c r="N74" i="14"/>
  <c r="M74" i="14"/>
  <c r="N73" i="14"/>
  <c r="M73" i="14"/>
  <c r="N72" i="14"/>
  <c r="M72" i="14"/>
  <c r="N71" i="14"/>
  <c r="M71" i="14"/>
  <c r="N70" i="14"/>
  <c r="M70" i="14"/>
  <c r="N69" i="14"/>
  <c r="M69" i="14"/>
  <c r="N68" i="14"/>
  <c r="M68" i="14"/>
  <c r="N67" i="14"/>
  <c r="M67" i="14"/>
  <c r="N66" i="14"/>
  <c r="M66" i="14"/>
  <c r="N65" i="14"/>
  <c r="M65" i="14"/>
  <c r="N64" i="14"/>
  <c r="M64" i="14"/>
  <c r="N63" i="14"/>
  <c r="M63" i="14"/>
  <c r="N62" i="14"/>
  <c r="M62" i="14"/>
  <c r="N61" i="14"/>
  <c r="M61" i="14"/>
  <c r="N60" i="14"/>
  <c r="M60" i="14"/>
  <c r="N59" i="14"/>
  <c r="M59" i="14"/>
  <c r="N58" i="14"/>
  <c r="M58" i="14"/>
  <c r="N57" i="14"/>
  <c r="M57" i="14"/>
  <c r="N56" i="14"/>
  <c r="M56" i="14"/>
  <c r="N55" i="14"/>
  <c r="M55" i="14"/>
  <c r="N54" i="14"/>
  <c r="M54" i="14"/>
  <c r="N53" i="14"/>
  <c r="M53" i="14"/>
  <c r="N52" i="14"/>
  <c r="M52" i="14"/>
  <c r="N51" i="14"/>
  <c r="M51" i="14"/>
  <c r="N50" i="14"/>
  <c r="M50" i="14"/>
  <c r="N49" i="14"/>
  <c r="M49" i="14"/>
  <c r="N48" i="14"/>
  <c r="M48" i="14"/>
  <c r="N47" i="14"/>
  <c r="M47" i="14"/>
  <c r="N46" i="14"/>
  <c r="M46" i="14"/>
  <c r="N45" i="14"/>
  <c r="M45" i="14"/>
  <c r="N44" i="14"/>
  <c r="M44" i="14"/>
  <c r="N43" i="14"/>
  <c r="M43" i="14"/>
  <c r="N42" i="14"/>
  <c r="M42" i="14"/>
  <c r="N41" i="14"/>
  <c r="M41" i="14"/>
  <c r="N40" i="14"/>
  <c r="M40" i="14"/>
  <c r="N39" i="14"/>
  <c r="M39" i="14"/>
  <c r="N38" i="14"/>
  <c r="M38" i="14"/>
  <c r="N37" i="14"/>
  <c r="M37" i="14"/>
  <c r="N36" i="14"/>
  <c r="M36" i="14"/>
  <c r="N35" i="14"/>
  <c r="M35" i="14"/>
  <c r="N34" i="14"/>
  <c r="M34" i="14"/>
  <c r="N33" i="14"/>
  <c r="M33" i="14"/>
  <c r="N32" i="14"/>
  <c r="M32" i="14"/>
  <c r="N31" i="14"/>
  <c r="M31" i="14"/>
  <c r="N30" i="14"/>
  <c r="M30" i="14"/>
  <c r="N29" i="14"/>
  <c r="M29" i="14"/>
  <c r="N28" i="14"/>
  <c r="M28" i="14"/>
  <c r="N27" i="14"/>
  <c r="M27" i="14"/>
  <c r="N26" i="14"/>
  <c r="M26" i="14"/>
  <c r="N25" i="14"/>
  <c r="M25" i="14"/>
  <c r="N24" i="14"/>
  <c r="M24" i="14"/>
  <c r="N23" i="14"/>
  <c r="M23" i="14"/>
  <c r="N22" i="14"/>
  <c r="M22" i="14"/>
  <c r="N21" i="14"/>
  <c r="M21" i="14"/>
  <c r="N20" i="14"/>
  <c r="M20" i="14"/>
  <c r="N19" i="14"/>
  <c r="M19" i="14"/>
  <c r="N18" i="14"/>
  <c r="M18" i="14"/>
  <c r="N17" i="14"/>
  <c r="M17" i="14"/>
  <c r="N16" i="14"/>
  <c r="M16" i="14"/>
  <c r="F16" i="14"/>
  <c r="K16" i="14"/>
  <c r="AC15" i="14"/>
  <c r="AD15" i="14"/>
  <c r="AC14" i="14"/>
  <c r="AD14" i="14"/>
  <c r="AC13" i="14"/>
  <c r="AD13" i="14"/>
  <c r="AC12" i="14"/>
  <c r="AD12" i="14"/>
  <c r="AC11" i="14"/>
  <c r="AD11" i="14"/>
  <c r="AC10" i="14"/>
  <c r="AD10" i="14"/>
  <c r="AC9" i="14"/>
  <c r="AD9" i="14"/>
  <c r="AC8" i="14"/>
  <c r="AD8" i="14"/>
  <c r="AC7" i="14"/>
  <c r="AD7" i="14"/>
  <c r="AC6" i="14"/>
  <c r="AD6" i="14"/>
  <c r="AC5" i="14"/>
  <c r="AD5" i="14"/>
  <c r="AC4" i="14"/>
  <c r="AD4" i="14"/>
  <c r="AC3" i="14"/>
  <c r="AD3" i="14"/>
  <c r="AC2" i="14"/>
  <c r="AD2" i="14"/>
  <c r="L2" i="14"/>
  <c r="N431" i="1"/>
  <c r="M431" i="1"/>
  <c r="N430" i="1"/>
  <c r="M430" i="1"/>
  <c r="N429" i="1"/>
  <c r="M429" i="1"/>
  <c r="N428" i="1"/>
  <c r="M428" i="1"/>
  <c r="N427" i="1"/>
  <c r="M427" i="1"/>
  <c r="N426" i="1"/>
  <c r="M426" i="1"/>
  <c r="N425" i="1"/>
  <c r="M425" i="1"/>
  <c r="N424" i="1"/>
  <c r="M424" i="1"/>
  <c r="N423" i="1"/>
  <c r="M423" i="1"/>
  <c r="N422" i="1"/>
  <c r="M422" i="1"/>
  <c r="N421" i="1"/>
  <c r="M421" i="1"/>
  <c r="N420" i="1"/>
  <c r="M420" i="1"/>
  <c r="N419" i="1"/>
  <c r="M419" i="1"/>
  <c r="N418" i="1"/>
  <c r="M418" i="1"/>
  <c r="N417" i="1"/>
  <c r="M417" i="1"/>
  <c r="N416" i="1"/>
  <c r="M416" i="1"/>
  <c r="N415" i="1"/>
  <c r="M415" i="1"/>
  <c r="N414" i="1"/>
  <c r="M414" i="1"/>
  <c r="N413" i="1"/>
  <c r="M413" i="1"/>
  <c r="N412" i="1"/>
  <c r="M412" i="1"/>
  <c r="N411" i="1"/>
  <c r="M411" i="1"/>
  <c r="N410" i="1"/>
  <c r="M410" i="1"/>
  <c r="N409" i="1"/>
  <c r="M409" i="1"/>
  <c r="N408" i="1"/>
  <c r="M408" i="1"/>
  <c r="N407" i="1"/>
  <c r="M407" i="1"/>
  <c r="N406" i="1"/>
  <c r="M406" i="1"/>
  <c r="N405" i="1"/>
  <c r="M405" i="1"/>
  <c r="N404" i="1"/>
  <c r="M404" i="1"/>
  <c r="N403" i="1"/>
  <c r="M403" i="1"/>
  <c r="N402" i="1"/>
  <c r="M402" i="1"/>
  <c r="N401" i="1"/>
  <c r="M401" i="1"/>
  <c r="N400" i="1"/>
  <c r="M400" i="1"/>
  <c r="N399" i="1"/>
  <c r="M399" i="1"/>
  <c r="N398" i="1"/>
  <c r="M398" i="1"/>
  <c r="N397" i="1"/>
  <c r="M397" i="1"/>
  <c r="N396" i="1"/>
  <c r="M396" i="1"/>
  <c r="N395" i="1"/>
  <c r="M395" i="1"/>
  <c r="N394" i="1"/>
  <c r="M394" i="1"/>
  <c r="N393" i="1"/>
  <c r="M393" i="1"/>
  <c r="N392" i="1"/>
  <c r="M392" i="1"/>
  <c r="N391" i="1"/>
  <c r="M391" i="1"/>
  <c r="N390" i="1"/>
  <c r="M390" i="1"/>
  <c r="N389" i="1"/>
  <c r="M389" i="1"/>
  <c r="N388" i="1"/>
  <c r="M388" i="1"/>
  <c r="N387" i="1"/>
  <c r="M387" i="1"/>
  <c r="N386" i="1"/>
  <c r="M386" i="1"/>
  <c r="N385" i="1"/>
  <c r="M385" i="1"/>
  <c r="N384" i="1"/>
  <c r="M384" i="1"/>
  <c r="N383" i="1"/>
  <c r="M383" i="1"/>
  <c r="N382" i="1"/>
  <c r="M382" i="1"/>
  <c r="N381" i="1"/>
  <c r="M381" i="1"/>
  <c r="N380" i="1"/>
  <c r="M380" i="1"/>
  <c r="N379" i="1"/>
  <c r="M379" i="1"/>
  <c r="N378" i="1"/>
  <c r="M378" i="1"/>
  <c r="N377" i="1"/>
  <c r="M377" i="1"/>
  <c r="N376" i="1"/>
  <c r="M376" i="1"/>
  <c r="N375" i="1"/>
  <c r="M375" i="1"/>
  <c r="N374" i="1"/>
  <c r="M374" i="1"/>
  <c r="N373" i="1"/>
  <c r="M373" i="1"/>
  <c r="N372" i="1"/>
  <c r="M372" i="1"/>
  <c r="N371" i="1"/>
  <c r="M371" i="1"/>
  <c r="N370" i="1"/>
  <c r="M370" i="1"/>
  <c r="N369" i="1"/>
  <c r="M369" i="1"/>
  <c r="N368" i="1"/>
  <c r="M368" i="1"/>
  <c r="N367" i="1"/>
  <c r="M367" i="1"/>
  <c r="N366" i="1"/>
  <c r="M366" i="1"/>
  <c r="N365" i="1"/>
  <c r="M365" i="1"/>
  <c r="N364" i="1"/>
  <c r="M364" i="1"/>
  <c r="N363" i="1"/>
  <c r="M363" i="1"/>
  <c r="N362" i="1"/>
  <c r="M362" i="1"/>
  <c r="N361" i="1"/>
  <c r="M361" i="1"/>
  <c r="N360" i="1"/>
  <c r="M360" i="1"/>
  <c r="N359" i="1"/>
  <c r="M359" i="1"/>
  <c r="N358" i="1"/>
  <c r="M358" i="1"/>
  <c r="N357" i="1"/>
  <c r="M357" i="1"/>
  <c r="N356" i="1"/>
  <c r="M356" i="1"/>
  <c r="N355" i="1"/>
  <c r="M355" i="1"/>
  <c r="N354" i="1"/>
  <c r="M354" i="1"/>
  <c r="N353" i="1"/>
  <c r="M353" i="1"/>
  <c r="N352" i="1"/>
  <c r="M352" i="1"/>
  <c r="N351" i="1"/>
  <c r="M351" i="1"/>
  <c r="N350" i="1"/>
  <c r="M350" i="1"/>
  <c r="N349" i="1"/>
  <c r="M349" i="1"/>
  <c r="N348" i="1"/>
  <c r="M348" i="1"/>
  <c r="N347" i="1"/>
  <c r="M347" i="1"/>
  <c r="N346" i="1"/>
  <c r="M346" i="1"/>
  <c r="N345" i="1"/>
  <c r="M345" i="1"/>
  <c r="N344" i="1"/>
  <c r="M344" i="1"/>
  <c r="N343" i="1"/>
  <c r="M343" i="1"/>
  <c r="N342" i="1"/>
  <c r="M342" i="1"/>
  <c r="N341" i="1"/>
  <c r="M341" i="1"/>
  <c r="N340" i="1"/>
  <c r="M340" i="1"/>
  <c r="N339" i="1"/>
  <c r="M339" i="1"/>
  <c r="N338" i="1"/>
  <c r="M338" i="1"/>
  <c r="N337" i="1"/>
  <c r="M337" i="1"/>
  <c r="N336" i="1"/>
  <c r="M336" i="1"/>
  <c r="N335" i="1"/>
  <c r="M335" i="1"/>
  <c r="N334" i="1"/>
  <c r="M334" i="1"/>
  <c r="N333" i="1"/>
  <c r="M333" i="1"/>
  <c r="N332" i="1"/>
  <c r="M332" i="1"/>
  <c r="N331" i="1"/>
  <c r="M331" i="1"/>
  <c r="N330" i="1"/>
  <c r="M330" i="1"/>
  <c r="N329" i="1"/>
  <c r="M329" i="1"/>
  <c r="N328" i="1"/>
  <c r="M328" i="1"/>
  <c r="N327" i="1"/>
  <c r="M327" i="1"/>
  <c r="N326" i="1"/>
  <c r="M326" i="1"/>
  <c r="N325" i="1"/>
  <c r="M325" i="1"/>
  <c r="N324" i="1"/>
  <c r="M324" i="1"/>
  <c r="N323" i="1"/>
  <c r="M323" i="1"/>
  <c r="N322" i="1"/>
  <c r="M322" i="1"/>
  <c r="N321" i="1"/>
  <c r="M321" i="1"/>
  <c r="N320" i="1"/>
  <c r="M320" i="1"/>
  <c r="N319" i="1"/>
  <c r="M319" i="1"/>
  <c r="N318" i="1"/>
  <c r="M318" i="1"/>
  <c r="N317" i="1"/>
  <c r="M317" i="1"/>
  <c r="N316" i="1"/>
  <c r="M316" i="1"/>
  <c r="N315" i="1"/>
  <c r="M315" i="1"/>
  <c r="N314" i="1"/>
  <c r="M314" i="1"/>
  <c r="N313" i="1"/>
  <c r="M313" i="1"/>
  <c r="N312" i="1"/>
  <c r="M312" i="1"/>
  <c r="N311" i="1"/>
  <c r="M311" i="1"/>
  <c r="N310" i="1"/>
  <c r="M310" i="1"/>
  <c r="N309" i="1"/>
  <c r="M309" i="1"/>
  <c r="N308" i="1"/>
  <c r="M308" i="1"/>
  <c r="N307" i="1"/>
  <c r="M307" i="1"/>
  <c r="N306" i="1"/>
  <c r="M306" i="1"/>
  <c r="N305" i="1"/>
  <c r="M305" i="1"/>
  <c r="N304" i="1"/>
  <c r="M304" i="1"/>
  <c r="N303" i="1"/>
  <c r="M303" i="1"/>
  <c r="N302" i="1"/>
  <c r="M302" i="1"/>
  <c r="N301" i="1"/>
  <c r="M301" i="1"/>
  <c r="E300" i="1"/>
  <c r="M300" i="1"/>
  <c r="N299" i="1"/>
  <c r="M299" i="1"/>
  <c r="N298" i="1"/>
  <c r="M298" i="1"/>
  <c r="N297" i="1"/>
  <c r="M297" i="1"/>
  <c r="N296" i="1"/>
  <c r="M296" i="1"/>
  <c r="N295" i="1"/>
  <c r="M295" i="1"/>
  <c r="N294" i="1"/>
  <c r="M294" i="1"/>
  <c r="N293" i="1"/>
  <c r="M293" i="1"/>
  <c r="N292" i="1"/>
  <c r="M292" i="1"/>
  <c r="N291" i="1"/>
  <c r="M291" i="1"/>
  <c r="N290" i="1"/>
  <c r="M290" i="1"/>
  <c r="N289" i="1"/>
  <c r="M289" i="1"/>
  <c r="N288" i="1"/>
  <c r="M288" i="1"/>
  <c r="N287" i="1"/>
  <c r="M287" i="1"/>
  <c r="N286" i="1"/>
  <c r="M286" i="1"/>
  <c r="N285" i="1"/>
  <c r="M285" i="1"/>
  <c r="N284" i="1"/>
  <c r="M284" i="1"/>
  <c r="N283" i="1"/>
  <c r="M283" i="1"/>
  <c r="N282" i="1"/>
  <c r="M282" i="1"/>
  <c r="N281" i="1"/>
  <c r="M281" i="1"/>
  <c r="N280" i="1"/>
  <c r="M280" i="1"/>
  <c r="N279" i="1"/>
  <c r="M279" i="1"/>
  <c r="N278" i="1"/>
  <c r="M278" i="1"/>
  <c r="N277" i="1"/>
  <c r="M277" i="1"/>
  <c r="N276" i="1"/>
  <c r="M276" i="1"/>
  <c r="N275" i="1"/>
  <c r="M275" i="1"/>
  <c r="N274" i="1"/>
  <c r="M274" i="1"/>
  <c r="N273" i="1"/>
  <c r="M273" i="1"/>
  <c r="N272" i="1"/>
  <c r="M272" i="1"/>
  <c r="N271" i="1"/>
  <c r="M271" i="1"/>
  <c r="N270" i="1"/>
  <c r="M270" i="1"/>
  <c r="N269" i="1"/>
  <c r="M269" i="1"/>
  <c r="N268" i="1"/>
  <c r="M268" i="1"/>
  <c r="N267" i="1"/>
  <c r="M267" i="1"/>
  <c r="N266" i="1"/>
  <c r="M266" i="1"/>
  <c r="N265" i="1"/>
  <c r="M265" i="1"/>
  <c r="N264" i="1"/>
  <c r="M264" i="1"/>
  <c r="N263" i="1"/>
  <c r="M263" i="1"/>
  <c r="N262" i="1"/>
  <c r="M262" i="1"/>
  <c r="N261" i="1"/>
  <c r="M261" i="1"/>
  <c r="N260" i="1"/>
  <c r="M260" i="1"/>
  <c r="N259" i="1"/>
  <c r="M259" i="1"/>
  <c r="N258" i="1"/>
  <c r="M258" i="1"/>
  <c r="N257" i="1"/>
  <c r="M257" i="1"/>
  <c r="N256" i="1"/>
  <c r="M256" i="1"/>
  <c r="N255" i="1"/>
  <c r="M255" i="1"/>
  <c r="N254" i="1"/>
  <c r="M254" i="1"/>
  <c r="N253" i="1"/>
  <c r="M253" i="1"/>
  <c r="N252" i="1"/>
  <c r="M252" i="1"/>
  <c r="N251" i="1"/>
  <c r="M251" i="1"/>
  <c r="N250" i="1"/>
  <c r="M250" i="1"/>
  <c r="N249" i="1"/>
  <c r="M249" i="1"/>
  <c r="N248" i="1"/>
  <c r="M248" i="1"/>
  <c r="N247" i="1"/>
  <c r="M247" i="1"/>
  <c r="N246" i="1"/>
  <c r="M246" i="1"/>
  <c r="N245" i="1"/>
  <c r="M245" i="1"/>
  <c r="N244" i="1"/>
  <c r="M244" i="1"/>
  <c r="N243" i="1"/>
  <c r="M243" i="1"/>
  <c r="N242" i="1"/>
  <c r="M242" i="1"/>
  <c r="N241" i="1"/>
  <c r="M241" i="1"/>
  <c r="N240" i="1"/>
  <c r="M240" i="1"/>
  <c r="N239" i="1"/>
  <c r="M239" i="1"/>
  <c r="N238" i="1"/>
  <c r="M238" i="1"/>
  <c r="N237" i="1"/>
  <c r="M237" i="1"/>
  <c r="N236" i="1"/>
  <c r="M236" i="1"/>
  <c r="N235" i="1"/>
  <c r="M235" i="1"/>
  <c r="N234" i="1"/>
  <c r="M234" i="1"/>
  <c r="N233" i="1"/>
  <c r="M233" i="1"/>
  <c r="N232" i="1"/>
  <c r="M232" i="1"/>
  <c r="N231" i="1"/>
  <c r="M231" i="1"/>
  <c r="N230" i="1"/>
  <c r="M230" i="1"/>
  <c r="N229" i="1"/>
  <c r="M229" i="1"/>
  <c r="N228" i="1"/>
  <c r="E228" i="1"/>
  <c r="M228" i="1"/>
  <c r="N227" i="1"/>
  <c r="M227" i="1"/>
  <c r="N226" i="1"/>
  <c r="M226" i="1"/>
  <c r="N225" i="1"/>
  <c r="M225" i="1"/>
  <c r="N224" i="1"/>
  <c r="M224" i="1"/>
  <c r="N223" i="1"/>
  <c r="M223" i="1"/>
  <c r="N222" i="1"/>
  <c r="M222" i="1"/>
  <c r="N221" i="1"/>
  <c r="M221" i="1"/>
  <c r="N220" i="1"/>
  <c r="M220" i="1"/>
  <c r="N219" i="1"/>
  <c r="M219" i="1"/>
  <c r="N218" i="1"/>
  <c r="M218" i="1"/>
  <c r="N217" i="1"/>
  <c r="M217" i="1"/>
  <c r="N216" i="1"/>
  <c r="M216" i="1"/>
  <c r="N215" i="1"/>
  <c r="M215" i="1"/>
  <c r="N214" i="1"/>
  <c r="M214" i="1"/>
  <c r="N213" i="1"/>
  <c r="M213" i="1"/>
  <c r="N212" i="1"/>
  <c r="M212" i="1"/>
  <c r="N211" i="1"/>
  <c r="M211" i="1"/>
  <c r="N210" i="1"/>
  <c r="M210" i="1"/>
  <c r="N209" i="1"/>
  <c r="M209" i="1"/>
  <c r="N208" i="1"/>
  <c r="M208" i="1"/>
  <c r="N207" i="1"/>
  <c r="M207" i="1"/>
  <c r="N206" i="1"/>
  <c r="M206" i="1"/>
  <c r="N205" i="1"/>
  <c r="M205" i="1"/>
  <c r="N204" i="1"/>
  <c r="M204" i="1"/>
  <c r="N203" i="1"/>
  <c r="M203" i="1"/>
  <c r="N202" i="1"/>
  <c r="M202" i="1"/>
  <c r="N201" i="1"/>
  <c r="M201" i="1"/>
  <c r="N200" i="1"/>
  <c r="M200" i="1"/>
  <c r="N199" i="1"/>
  <c r="M199" i="1"/>
  <c r="N198" i="1"/>
  <c r="M198" i="1"/>
  <c r="N197" i="1"/>
  <c r="M197" i="1"/>
  <c r="N196" i="1"/>
  <c r="M196" i="1"/>
  <c r="N195" i="1"/>
  <c r="M195" i="1"/>
  <c r="N194" i="1"/>
  <c r="M194" i="1"/>
  <c r="N193" i="1"/>
  <c r="M193" i="1"/>
  <c r="N192" i="1"/>
  <c r="M192" i="1"/>
  <c r="N191" i="1"/>
  <c r="M191" i="1"/>
  <c r="N190" i="1"/>
  <c r="M190" i="1"/>
  <c r="N189" i="1"/>
  <c r="M189" i="1"/>
  <c r="N188" i="1"/>
  <c r="M188" i="1"/>
  <c r="N187" i="1"/>
  <c r="M187" i="1"/>
  <c r="N186" i="1"/>
  <c r="M186" i="1"/>
  <c r="N185" i="1"/>
  <c r="M185" i="1"/>
  <c r="N184" i="1"/>
  <c r="M184" i="1"/>
  <c r="N183" i="1"/>
  <c r="M183" i="1"/>
  <c r="N182" i="1"/>
  <c r="M182" i="1"/>
  <c r="N181" i="1"/>
  <c r="M181" i="1"/>
  <c r="N180" i="1"/>
  <c r="M180" i="1"/>
  <c r="N179" i="1"/>
  <c r="M179" i="1"/>
  <c r="N178" i="1"/>
  <c r="M178" i="1"/>
  <c r="N177" i="1"/>
  <c r="M177" i="1"/>
  <c r="N176" i="1"/>
  <c r="M176" i="1"/>
  <c r="N175" i="1"/>
  <c r="M175" i="1"/>
  <c r="N174" i="1"/>
  <c r="M174" i="1"/>
  <c r="N173" i="1"/>
  <c r="M173" i="1"/>
  <c r="N172" i="1"/>
  <c r="M172" i="1"/>
  <c r="N171" i="1"/>
  <c r="M171" i="1"/>
  <c r="N170" i="1"/>
  <c r="M170" i="1"/>
  <c r="N169" i="1"/>
  <c r="M169" i="1"/>
  <c r="N168" i="1"/>
  <c r="M168" i="1"/>
  <c r="N167" i="1"/>
  <c r="M167" i="1"/>
  <c r="N166" i="1"/>
  <c r="M166" i="1"/>
  <c r="N165" i="1"/>
  <c r="M165" i="1"/>
  <c r="N164" i="1"/>
  <c r="M164" i="1"/>
  <c r="N163" i="1"/>
  <c r="M163" i="1"/>
  <c r="N162" i="1"/>
  <c r="M162" i="1"/>
  <c r="N161" i="1"/>
  <c r="M161" i="1"/>
  <c r="N160" i="1"/>
  <c r="M160" i="1"/>
  <c r="N159" i="1"/>
  <c r="M159" i="1"/>
  <c r="N158" i="1"/>
  <c r="M158" i="1"/>
  <c r="N157" i="1"/>
  <c r="M157" i="1"/>
  <c r="N156" i="1"/>
  <c r="M156" i="1"/>
  <c r="N155" i="1"/>
  <c r="M155" i="1"/>
  <c r="N154" i="1"/>
  <c r="M154" i="1"/>
  <c r="N153" i="1"/>
  <c r="M153" i="1"/>
  <c r="N152" i="1"/>
  <c r="M152" i="1"/>
  <c r="N151" i="1"/>
  <c r="M151" i="1"/>
  <c r="N150" i="1"/>
  <c r="M150" i="1"/>
  <c r="N149" i="1"/>
  <c r="M149" i="1"/>
  <c r="E148" i="1"/>
  <c r="M148" i="1"/>
  <c r="N147" i="1"/>
  <c r="M147" i="1"/>
  <c r="N146" i="1"/>
  <c r="M146" i="1"/>
  <c r="N145" i="1"/>
  <c r="M145" i="1"/>
  <c r="E144" i="1"/>
  <c r="M144" i="1"/>
  <c r="N143" i="1"/>
  <c r="M143" i="1"/>
  <c r="N142" i="1"/>
  <c r="M142" i="1"/>
  <c r="N141" i="1"/>
  <c r="M141" i="1"/>
  <c r="N140" i="1"/>
  <c r="M140" i="1"/>
  <c r="N139" i="1"/>
  <c r="M139" i="1"/>
  <c r="N138" i="1"/>
  <c r="M138" i="1"/>
  <c r="N137" i="1"/>
  <c r="M137" i="1"/>
  <c r="N136" i="1"/>
  <c r="M136" i="1"/>
  <c r="N135" i="1"/>
  <c r="M135" i="1"/>
  <c r="N134" i="1"/>
  <c r="M134" i="1"/>
  <c r="N133" i="1"/>
  <c r="M133" i="1"/>
  <c r="N132" i="1"/>
  <c r="M132" i="1"/>
  <c r="N131" i="1"/>
  <c r="M131" i="1"/>
  <c r="N130" i="1"/>
  <c r="M130" i="1"/>
  <c r="N129" i="1"/>
  <c r="M129" i="1"/>
  <c r="N128" i="1"/>
  <c r="M128" i="1"/>
  <c r="N127" i="1"/>
  <c r="M127" i="1"/>
  <c r="N126" i="1"/>
  <c r="M126" i="1"/>
  <c r="N125" i="1"/>
  <c r="M125" i="1"/>
  <c r="N124" i="1"/>
  <c r="M124" i="1"/>
  <c r="N123" i="1"/>
  <c r="M123" i="1"/>
  <c r="N122" i="1"/>
  <c r="M122" i="1"/>
  <c r="N121" i="1"/>
  <c r="M121" i="1"/>
  <c r="N120" i="1"/>
  <c r="M120" i="1"/>
  <c r="N119" i="1"/>
  <c r="M119" i="1"/>
  <c r="N118" i="1"/>
  <c r="M118" i="1"/>
  <c r="N117" i="1"/>
  <c r="M117" i="1"/>
  <c r="N116" i="1"/>
  <c r="M116" i="1"/>
  <c r="N115" i="1"/>
  <c r="M115" i="1"/>
  <c r="N114" i="1"/>
  <c r="M114" i="1"/>
  <c r="N113" i="1"/>
  <c r="M113" i="1"/>
  <c r="N112" i="1"/>
  <c r="M112" i="1"/>
  <c r="N111" i="1"/>
  <c r="M111" i="1"/>
  <c r="N110" i="1"/>
  <c r="M110" i="1"/>
  <c r="N109" i="1"/>
  <c r="M109" i="1"/>
  <c r="N108" i="1"/>
  <c r="M108" i="1"/>
  <c r="N107" i="1"/>
  <c r="M107" i="1"/>
  <c r="N106" i="1"/>
  <c r="M106" i="1"/>
  <c r="N105" i="1"/>
  <c r="M105" i="1"/>
  <c r="N104" i="1"/>
  <c r="M104" i="1"/>
  <c r="N103" i="1"/>
  <c r="M103" i="1"/>
  <c r="N102" i="1"/>
  <c r="M102" i="1"/>
  <c r="N101" i="1"/>
  <c r="M101" i="1"/>
  <c r="N100" i="1"/>
  <c r="M100" i="1"/>
  <c r="N99" i="1"/>
  <c r="M99" i="1"/>
  <c r="N98" i="1"/>
  <c r="M98" i="1"/>
  <c r="N97" i="1"/>
  <c r="M97" i="1"/>
  <c r="N96" i="1"/>
  <c r="M96" i="1"/>
  <c r="N95" i="1"/>
  <c r="M95" i="1"/>
  <c r="N94" i="1"/>
  <c r="M94" i="1"/>
  <c r="N93" i="1"/>
  <c r="E93" i="1"/>
  <c r="M93" i="1"/>
  <c r="N92" i="1"/>
  <c r="M92" i="1"/>
  <c r="N91" i="1"/>
  <c r="M91" i="1"/>
  <c r="N90" i="1"/>
  <c r="M90" i="1"/>
  <c r="N89" i="1"/>
  <c r="M89" i="1"/>
  <c r="N88" i="1"/>
  <c r="M88" i="1"/>
  <c r="N87" i="1"/>
  <c r="M87" i="1"/>
  <c r="N86" i="1"/>
  <c r="M86" i="1"/>
  <c r="N85" i="1"/>
  <c r="M85" i="1"/>
  <c r="N84" i="1"/>
  <c r="M84" i="1"/>
  <c r="N83" i="1"/>
  <c r="M83" i="1"/>
  <c r="N82" i="1"/>
  <c r="M82" i="1"/>
  <c r="N81" i="1"/>
  <c r="M81" i="1"/>
  <c r="N80" i="1"/>
  <c r="M80" i="1"/>
  <c r="N79" i="1"/>
  <c r="M79" i="1"/>
  <c r="N78" i="1"/>
  <c r="M78" i="1"/>
  <c r="N77" i="1"/>
  <c r="M77" i="1"/>
  <c r="N76" i="1"/>
  <c r="M76" i="1"/>
  <c r="N75" i="1"/>
  <c r="M75" i="1"/>
  <c r="N74" i="1"/>
  <c r="M74" i="1"/>
  <c r="N73" i="1"/>
  <c r="M73" i="1"/>
  <c r="N72" i="1"/>
  <c r="M72" i="1"/>
  <c r="N71" i="1"/>
  <c r="M71" i="1"/>
  <c r="N70" i="1"/>
  <c r="M70" i="1"/>
  <c r="N69" i="1"/>
  <c r="M69" i="1"/>
  <c r="N68" i="1"/>
  <c r="M68" i="1"/>
  <c r="N67" i="1"/>
  <c r="M67" i="1"/>
  <c r="N66" i="1"/>
  <c r="M66" i="1"/>
  <c r="N65" i="1"/>
  <c r="M65" i="1"/>
  <c r="N64" i="1"/>
  <c r="M64" i="1"/>
  <c r="N63" i="1"/>
  <c r="M63" i="1"/>
  <c r="N62" i="1"/>
  <c r="M62" i="1"/>
  <c r="N61" i="1"/>
  <c r="M61" i="1"/>
  <c r="N60" i="1"/>
  <c r="M60" i="1"/>
  <c r="N59" i="1"/>
  <c r="M59" i="1"/>
  <c r="N58" i="1"/>
  <c r="M58" i="1"/>
  <c r="N57" i="1"/>
  <c r="M57" i="1"/>
  <c r="N56" i="1"/>
  <c r="M56" i="1"/>
  <c r="N55" i="1"/>
  <c r="M55" i="1"/>
  <c r="N54" i="1"/>
  <c r="M54" i="1"/>
  <c r="N53" i="1"/>
  <c r="M53" i="1"/>
  <c r="N52" i="1"/>
  <c r="M52" i="1"/>
  <c r="N51" i="1"/>
  <c r="M51" i="1"/>
  <c r="N50" i="1"/>
  <c r="M50" i="1"/>
  <c r="F50" i="1"/>
  <c r="F51" i="1"/>
  <c r="F52" i="1"/>
  <c r="AC49" i="1"/>
  <c r="AD49" i="1"/>
  <c r="AC48" i="1"/>
  <c r="AD48" i="1"/>
  <c r="AC47" i="1"/>
  <c r="AD47" i="1"/>
  <c r="AC46" i="1"/>
  <c r="AD46" i="1"/>
  <c r="AC45" i="1"/>
  <c r="AD45" i="1"/>
  <c r="AC44" i="1"/>
  <c r="AD44" i="1"/>
  <c r="AC43" i="1"/>
  <c r="AD43" i="1"/>
  <c r="AC42" i="1"/>
  <c r="AD42" i="1"/>
  <c r="AC41" i="1"/>
  <c r="AD41" i="1"/>
  <c r="AC40" i="1"/>
  <c r="AD40" i="1"/>
  <c r="AC39" i="1"/>
  <c r="AD39" i="1"/>
  <c r="AC38" i="1"/>
  <c r="AD38" i="1"/>
  <c r="AC37" i="1"/>
  <c r="AD37" i="1"/>
  <c r="AC36" i="1"/>
  <c r="AD36" i="1"/>
  <c r="AC35" i="1"/>
  <c r="AD35" i="1"/>
  <c r="AC34" i="1"/>
  <c r="AD34" i="1"/>
  <c r="AC33" i="1"/>
  <c r="AD33" i="1"/>
  <c r="AC32" i="1"/>
  <c r="AD32" i="1"/>
  <c r="AC31" i="1"/>
  <c r="AD31" i="1"/>
  <c r="AC30" i="1"/>
  <c r="AD30" i="1"/>
  <c r="AC29" i="1"/>
  <c r="AD29" i="1"/>
  <c r="AC28" i="1"/>
  <c r="AD28" i="1"/>
  <c r="AC27" i="1"/>
  <c r="AD27" i="1"/>
  <c r="AC26" i="1"/>
  <c r="AD26" i="1"/>
  <c r="AC25" i="1"/>
  <c r="AD25" i="1"/>
  <c r="AC24" i="1"/>
  <c r="AD24" i="1"/>
  <c r="AC23" i="1"/>
  <c r="AD23" i="1"/>
  <c r="AC22" i="1"/>
  <c r="AD22" i="1"/>
  <c r="AC21" i="1"/>
  <c r="AD21" i="1"/>
  <c r="AC20" i="1"/>
  <c r="AD20" i="1"/>
  <c r="AC19" i="1"/>
  <c r="AD19" i="1"/>
  <c r="AC18" i="1"/>
  <c r="AD18" i="1"/>
  <c r="AC17" i="1"/>
  <c r="AD17" i="1"/>
  <c r="AC16" i="1"/>
  <c r="AD16" i="1"/>
  <c r="AC15" i="1"/>
  <c r="AD15" i="1"/>
  <c r="AC14" i="1"/>
  <c r="AD14" i="1"/>
  <c r="AC13" i="1"/>
  <c r="AD13" i="1"/>
  <c r="AC12" i="1"/>
  <c r="AD12" i="1"/>
  <c r="AC11" i="1"/>
  <c r="AD11" i="1"/>
  <c r="AC10" i="1"/>
  <c r="AD10" i="1"/>
  <c r="AC9" i="1"/>
  <c r="AD9" i="1"/>
  <c r="AC8" i="1"/>
  <c r="AD8" i="1"/>
  <c r="AC7" i="1"/>
  <c r="AD7" i="1"/>
  <c r="AC6" i="1"/>
  <c r="AD6" i="1"/>
  <c r="AC5" i="1"/>
  <c r="AD5" i="1"/>
  <c r="AC4" i="1"/>
  <c r="AD4" i="1"/>
  <c r="AC3" i="1"/>
  <c r="AD3" i="1"/>
  <c r="L2" i="1"/>
  <c r="E479" i="6"/>
  <c r="S479" i="6" s="1"/>
  <c r="M480" i="6"/>
  <c r="N478" i="6"/>
  <c r="M478" i="6"/>
  <c r="N477" i="6"/>
  <c r="M477" i="6"/>
  <c r="N476" i="6"/>
  <c r="M476" i="6"/>
  <c r="N475" i="6"/>
  <c r="M475" i="6"/>
  <c r="N474" i="6"/>
  <c r="M474" i="6"/>
  <c r="N473" i="6"/>
  <c r="M473" i="6"/>
  <c r="N472" i="6"/>
  <c r="M472" i="6"/>
  <c r="N471" i="6"/>
  <c r="M471" i="6"/>
  <c r="E470" i="6"/>
  <c r="N470" i="6" s="1"/>
  <c r="N469" i="6"/>
  <c r="M469" i="6"/>
  <c r="N468" i="6"/>
  <c r="M468" i="6"/>
  <c r="N467" i="6"/>
  <c r="M467" i="6"/>
  <c r="N466" i="6"/>
  <c r="M466" i="6"/>
  <c r="N465" i="6"/>
  <c r="M465" i="6"/>
  <c r="N464" i="6"/>
  <c r="M464" i="6"/>
  <c r="N463" i="6"/>
  <c r="M463" i="6"/>
  <c r="N462" i="6"/>
  <c r="M462" i="6"/>
  <c r="N461" i="6"/>
  <c r="M461" i="6"/>
  <c r="N460" i="6"/>
  <c r="M460" i="6"/>
  <c r="N459" i="6"/>
  <c r="M459" i="6"/>
  <c r="N458" i="6"/>
  <c r="M458" i="6"/>
  <c r="N457" i="6"/>
  <c r="M457" i="6"/>
  <c r="N456" i="6"/>
  <c r="M456" i="6"/>
  <c r="N455" i="6"/>
  <c r="M455" i="6"/>
  <c r="N454" i="6"/>
  <c r="M454" i="6"/>
  <c r="N453" i="6"/>
  <c r="M453" i="6"/>
  <c r="N452" i="6"/>
  <c r="M452" i="6"/>
  <c r="N451" i="6"/>
  <c r="M451" i="6"/>
  <c r="N450" i="6"/>
  <c r="M450" i="6"/>
  <c r="N449" i="6"/>
  <c r="M449" i="6"/>
  <c r="N448" i="6"/>
  <c r="M448" i="6"/>
  <c r="N447" i="6"/>
  <c r="M447" i="6"/>
  <c r="N446" i="6"/>
  <c r="M446" i="6"/>
  <c r="N445" i="6"/>
  <c r="M445" i="6"/>
  <c r="N444" i="6"/>
  <c r="M444" i="6"/>
  <c r="N443" i="6"/>
  <c r="M443" i="6"/>
  <c r="N442" i="6"/>
  <c r="M442" i="6"/>
  <c r="N441" i="6"/>
  <c r="M441" i="6"/>
  <c r="N440" i="6"/>
  <c r="M440" i="6"/>
  <c r="N439" i="6"/>
  <c r="M439" i="6"/>
  <c r="N438" i="6"/>
  <c r="M438" i="6"/>
  <c r="N437" i="6"/>
  <c r="M437" i="6"/>
  <c r="N436" i="6"/>
  <c r="M436" i="6"/>
  <c r="N435" i="6"/>
  <c r="M435" i="6"/>
  <c r="N434" i="6"/>
  <c r="M434" i="6"/>
  <c r="N433" i="6"/>
  <c r="M433" i="6"/>
  <c r="N432" i="6"/>
  <c r="M432" i="6"/>
  <c r="N431" i="6"/>
  <c r="M431" i="6"/>
  <c r="N430" i="6"/>
  <c r="M430" i="6"/>
  <c r="N429" i="6"/>
  <c r="M429" i="6"/>
  <c r="N428" i="6"/>
  <c r="M428" i="6"/>
  <c r="N427" i="6"/>
  <c r="M427" i="6"/>
  <c r="N426" i="6"/>
  <c r="M426" i="6"/>
  <c r="N425" i="6"/>
  <c r="M425" i="6"/>
  <c r="N424" i="6"/>
  <c r="M424" i="6"/>
  <c r="N423" i="6"/>
  <c r="M423" i="6"/>
  <c r="N422" i="6"/>
  <c r="M422" i="6"/>
  <c r="N421" i="6"/>
  <c r="M421" i="6"/>
  <c r="N420" i="6"/>
  <c r="M420" i="6"/>
  <c r="N419" i="6"/>
  <c r="M419" i="6"/>
  <c r="N418" i="6"/>
  <c r="M418" i="6"/>
  <c r="N417" i="6"/>
  <c r="M417" i="6"/>
  <c r="N416" i="6"/>
  <c r="M416" i="6"/>
  <c r="N415" i="6"/>
  <c r="M415" i="6"/>
  <c r="N414" i="6"/>
  <c r="M414" i="6"/>
  <c r="N413" i="6"/>
  <c r="M413" i="6"/>
  <c r="N412" i="6"/>
  <c r="M412" i="6"/>
  <c r="N411" i="6"/>
  <c r="M411" i="6"/>
  <c r="N410" i="6"/>
  <c r="M410" i="6"/>
  <c r="N409" i="6"/>
  <c r="M409" i="6"/>
  <c r="N408" i="6"/>
  <c r="M408" i="6"/>
  <c r="N407" i="6"/>
  <c r="M407" i="6"/>
  <c r="N406" i="6"/>
  <c r="M406" i="6"/>
  <c r="N405" i="6"/>
  <c r="M405" i="6"/>
  <c r="N404" i="6"/>
  <c r="M404" i="6"/>
  <c r="N403" i="6"/>
  <c r="M403" i="6"/>
  <c r="N402" i="6"/>
  <c r="M402" i="6"/>
  <c r="N401" i="6"/>
  <c r="M401" i="6"/>
  <c r="N400" i="6"/>
  <c r="M400" i="6"/>
  <c r="N399" i="6"/>
  <c r="M399" i="6"/>
  <c r="N398" i="6"/>
  <c r="M398" i="6"/>
  <c r="N397" i="6"/>
  <c r="M397" i="6"/>
  <c r="N396" i="6"/>
  <c r="M396" i="6"/>
  <c r="N395" i="6"/>
  <c r="M395" i="6"/>
  <c r="N394" i="6"/>
  <c r="M394" i="6"/>
  <c r="N393" i="6"/>
  <c r="M393" i="6"/>
  <c r="N392" i="6"/>
  <c r="M392" i="6"/>
  <c r="N391" i="6"/>
  <c r="M391" i="6"/>
  <c r="N390" i="6"/>
  <c r="M390" i="6"/>
  <c r="N389" i="6"/>
  <c r="M389" i="6"/>
  <c r="N388" i="6"/>
  <c r="M388" i="6"/>
  <c r="N387" i="6"/>
  <c r="M387" i="6"/>
  <c r="N386" i="6"/>
  <c r="M386" i="6"/>
  <c r="N385" i="6"/>
  <c r="M385" i="6"/>
  <c r="N384" i="6"/>
  <c r="M384" i="6"/>
  <c r="N383" i="6"/>
  <c r="M383" i="6"/>
  <c r="N382" i="6"/>
  <c r="M382" i="6"/>
  <c r="N381" i="6"/>
  <c r="M381" i="6"/>
  <c r="N380" i="6"/>
  <c r="M380" i="6"/>
  <c r="N379" i="6"/>
  <c r="M379" i="6"/>
  <c r="N378" i="6"/>
  <c r="M378" i="6"/>
  <c r="N377" i="6"/>
  <c r="M377" i="6"/>
  <c r="N376" i="6"/>
  <c r="M376" i="6"/>
  <c r="N375" i="6"/>
  <c r="M375" i="6"/>
  <c r="N374" i="6"/>
  <c r="M374" i="6"/>
  <c r="N373" i="6"/>
  <c r="M373" i="6"/>
  <c r="N372" i="6"/>
  <c r="M372" i="6"/>
  <c r="N371" i="6"/>
  <c r="M371" i="6"/>
  <c r="N370" i="6"/>
  <c r="M370" i="6"/>
  <c r="N369" i="6"/>
  <c r="M369" i="6"/>
  <c r="N368" i="6"/>
  <c r="M368" i="6"/>
  <c r="N367" i="6"/>
  <c r="M367" i="6"/>
  <c r="N366" i="6"/>
  <c r="M366" i="6"/>
  <c r="N365" i="6"/>
  <c r="M365" i="6"/>
  <c r="N364" i="6"/>
  <c r="M364" i="6"/>
  <c r="N363" i="6"/>
  <c r="M363" i="6"/>
  <c r="N362" i="6"/>
  <c r="M362" i="6"/>
  <c r="N361" i="6"/>
  <c r="M361" i="6"/>
  <c r="N360" i="6"/>
  <c r="M360" i="6"/>
  <c r="N359" i="6"/>
  <c r="M359" i="6"/>
  <c r="N358" i="6"/>
  <c r="M358" i="6"/>
  <c r="N357" i="6"/>
  <c r="M357" i="6"/>
  <c r="N356" i="6"/>
  <c r="M356" i="6"/>
  <c r="N355" i="6"/>
  <c r="M355" i="6"/>
  <c r="N354" i="6"/>
  <c r="M354" i="6"/>
  <c r="N353" i="6"/>
  <c r="M353" i="6"/>
  <c r="N352" i="6"/>
  <c r="M352" i="6"/>
  <c r="N351" i="6"/>
  <c r="M351" i="6"/>
  <c r="N350" i="6"/>
  <c r="M350" i="6"/>
  <c r="N349" i="6"/>
  <c r="M349" i="6"/>
  <c r="N348" i="6"/>
  <c r="M348" i="6"/>
  <c r="N347" i="6"/>
  <c r="M347" i="6"/>
  <c r="N346" i="6"/>
  <c r="M346" i="6"/>
  <c r="N345" i="6"/>
  <c r="M345" i="6"/>
  <c r="N344" i="6"/>
  <c r="M344" i="6"/>
  <c r="N343" i="6"/>
  <c r="M343" i="6"/>
  <c r="N342" i="6"/>
  <c r="M342" i="6"/>
  <c r="N341" i="6"/>
  <c r="M341" i="6"/>
  <c r="N340" i="6"/>
  <c r="M340" i="6"/>
  <c r="N339" i="6"/>
  <c r="M339" i="6"/>
  <c r="N338" i="6"/>
  <c r="M338" i="6"/>
  <c r="N337" i="6"/>
  <c r="M337" i="6"/>
  <c r="N336" i="6"/>
  <c r="M336" i="6"/>
  <c r="N335" i="6"/>
  <c r="M335" i="6"/>
  <c r="N334" i="6"/>
  <c r="M334" i="6"/>
  <c r="N333" i="6"/>
  <c r="M333" i="6"/>
  <c r="N332" i="6"/>
  <c r="M332" i="6"/>
  <c r="N331" i="6"/>
  <c r="M331" i="6"/>
  <c r="N330" i="6"/>
  <c r="M330" i="6"/>
  <c r="N329" i="6"/>
  <c r="M329" i="6"/>
  <c r="N328" i="6"/>
  <c r="M328" i="6"/>
  <c r="N327" i="6"/>
  <c r="M327" i="6"/>
  <c r="N326" i="6"/>
  <c r="M326" i="6"/>
  <c r="N325" i="6"/>
  <c r="M325" i="6"/>
  <c r="N324" i="6"/>
  <c r="M324" i="6"/>
  <c r="N323" i="6"/>
  <c r="M323" i="6"/>
  <c r="N322" i="6"/>
  <c r="M322" i="6"/>
  <c r="N321" i="6"/>
  <c r="M321" i="6"/>
  <c r="N320" i="6"/>
  <c r="M320" i="6"/>
  <c r="N319" i="6"/>
  <c r="M319" i="6"/>
  <c r="N318" i="6"/>
  <c r="M318" i="6"/>
  <c r="N317" i="6"/>
  <c r="M317" i="6"/>
  <c r="N316" i="6"/>
  <c r="M316" i="6"/>
  <c r="N315" i="6"/>
  <c r="M315" i="6"/>
  <c r="N314" i="6"/>
  <c r="M314" i="6"/>
  <c r="N313" i="6"/>
  <c r="M313" i="6"/>
  <c r="N312" i="6"/>
  <c r="M312" i="6"/>
  <c r="N311" i="6"/>
  <c r="M311" i="6"/>
  <c r="N310" i="6"/>
  <c r="M310" i="6"/>
  <c r="N309" i="6"/>
  <c r="M309" i="6"/>
  <c r="N308" i="6"/>
  <c r="M308" i="6"/>
  <c r="N307" i="6"/>
  <c r="M307" i="6"/>
  <c r="N306" i="6"/>
  <c r="M306" i="6"/>
  <c r="N305" i="6"/>
  <c r="M305" i="6"/>
  <c r="N304" i="6"/>
  <c r="M304" i="6"/>
  <c r="N303" i="6"/>
  <c r="M303" i="6"/>
  <c r="N302" i="6"/>
  <c r="M302" i="6"/>
  <c r="N301" i="6"/>
  <c r="M301" i="6"/>
  <c r="N300" i="6"/>
  <c r="M300" i="6"/>
  <c r="N299" i="6"/>
  <c r="M299" i="6"/>
  <c r="N298" i="6"/>
  <c r="M298" i="6"/>
  <c r="N297" i="6"/>
  <c r="M297" i="6"/>
  <c r="N296" i="6"/>
  <c r="M296" i="6"/>
  <c r="N295" i="6"/>
  <c r="M295" i="6"/>
  <c r="N294" i="6"/>
  <c r="M294" i="6"/>
  <c r="N293" i="6"/>
  <c r="M293" i="6"/>
  <c r="N292" i="6"/>
  <c r="M292" i="6"/>
  <c r="N291" i="6"/>
  <c r="M291" i="6"/>
  <c r="N290" i="6"/>
  <c r="M290" i="6"/>
  <c r="N289" i="6"/>
  <c r="M289" i="6"/>
  <c r="N288" i="6"/>
  <c r="M288" i="6"/>
  <c r="N287" i="6"/>
  <c r="M287" i="6"/>
  <c r="N286" i="6"/>
  <c r="M286" i="6"/>
  <c r="N285" i="6"/>
  <c r="M285" i="6"/>
  <c r="N284" i="6"/>
  <c r="M284" i="6"/>
  <c r="N283" i="6"/>
  <c r="M283" i="6"/>
  <c r="N282" i="6"/>
  <c r="M282" i="6"/>
  <c r="N281" i="6"/>
  <c r="M281" i="6"/>
  <c r="N280" i="6"/>
  <c r="M280" i="6"/>
  <c r="N279" i="6"/>
  <c r="M279" i="6"/>
  <c r="E278" i="6"/>
  <c r="N278" i="6" s="1"/>
  <c r="N277" i="6"/>
  <c r="M277" i="6"/>
  <c r="N276" i="6"/>
  <c r="M276" i="6"/>
  <c r="N275" i="6"/>
  <c r="M275" i="6"/>
  <c r="N274" i="6"/>
  <c r="M274" i="6"/>
  <c r="N273" i="6"/>
  <c r="M273" i="6"/>
  <c r="N272" i="6"/>
  <c r="M272" i="6"/>
  <c r="N271" i="6"/>
  <c r="M271" i="6"/>
  <c r="N270" i="6"/>
  <c r="M270" i="6"/>
  <c r="N269" i="6"/>
  <c r="M269" i="6"/>
  <c r="N268" i="6"/>
  <c r="M268" i="6"/>
  <c r="N267" i="6"/>
  <c r="M267" i="6"/>
  <c r="N266" i="6"/>
  <c r="M266" i="6"/>
  <c r="N265" i="6"/>
  <c r="M265" i="6"/>
  <c r="N264" i="6"/>
  <c r="M264" i="6"/>
  <c r="N263" i="6"/>
  <c r="M263" i="6"/>
  <c r="N262" i="6"/>
  <c r="M262" i="6"/>
  <c r="N261" i="6"/>
  <c r="M261" i="6"/>
  <c r="N260" i="6"/>
  <c r="M260" i="6"/>
  <c r="N259" i="6"/>
  <c r="M259" i="6"/>
  <c r="N258" i="6"/>
  <c r="M258" i="6"/>
  <c r="N257" i="6"/>
  <c r="M257" i="6"/>
  <c r="N256" i="6"/>
  <c r="M256" i="6"/>
  <c r="N255" i="6"/>
  <c r="M255" i="6"/>
  <c r="N254" i="6"/>
  <c r="M254" i="6"/>
  <c r="N253" i="6"/>
  <c r="M253" i="6"/>
  <c r="N252" i="6"/>
  <c r="M252" i="6"/>
  <c r="N251" i="6"/>
  <c r="M251" i="6"/>
  <c r="N250" i="6"/>
  <c r="M250" i="6"/>
  <c r="N249" i="6"/>
  <c r="M249" i="6"/>
  <c r="N248" i="6"/>
  <c r="M248" i="6"/>
  <c r="N247" i="6"/>
  <c r="M247" i="6"/>
  <c r="N246" i="6"/>
  <c r="M246" i="6"/>
  <c r="N245" i="6"/>
  <c r="M245" i="6"/>
  <c r="N244" i="6"/>
  <c r="M244" i="6"/>
  <c r="N243" i="6"/>
  <c r="M243" i="6"/>
  <c r="N242" i="6"/>
  <c r="M242" i="6"/>
  <c r="N241" i="6"/>
  <c r="M241" i="6"/>
  <c r="N240" i="6"/>
  <c r="M240" i="6"/>
  <c r="N239" i="6"/>
  <c r="M239" i="6"/>
  <c r="N238" i="6"/>
  <c r="M238" i="6"/>
  <c r="N237" i="6"/>
  <c r="M237" i="6"/>
  <c r="N236" i="6"/>
  <c r="M236" i="6"/>
  <c r="N235" i="6"/>
  <c r="M235" i="6"/>
  <c r="N234" i="6"/>
  <c r="M234" i="6"/>
  <c r="N233" i="6"/>
  <c r="M233" i="6"/>
  <c r="N232" i="6"/>
  <c r="M232" i="6"/>
  <c r="N231" i="6"/>
  <c r="M231" i="6"/>
  <c r="N230" i="6"/>
  <c r="M230" i="6"/>
  <c r="N229" i="6"/>
  <c r="M229" i="6"/>
  <c r="N228" i="6"/>
  <c r="M228" i="6"/>
  <c r="N227" i="6"/>
  <c r="M227" i="6"/>
  <c r="N226" i="6"/>
  <c r="M226" i="6"/>
  <c r="N225" i="6"/>
  <c r="M225" i="6"/>
  <c r="N224" i="6"/>
  <c r="M224" i="6"/>
  <c r="N223" i="6"/>
  <c r="M223" i="6"/>
  <c r="N222" i="6"/>
  <c r="M222" i="6"/>
  <c r="N221" i="6"/>
  <c r="M221" i="6"/>
  <c r="N220" i="6"/>
  <c r="M220" i="6"/>
  <c r="N219" i="6"/>
  <c r="M219" i="6"/>
  <c r="N218" i="6"/>
  <c r="M218" i="6"/>
  <c r="N217" i="6"/>
  <c r="M217" i="6"/>
  <c r="N216" i="6"/>
  <c r="M216" i="6"/>
  <c r="N215" i="6"/>
  <c r="M215" i="6"/>
  <c r="N214" i="6"/>
  <c r="M214" i="6"/>
  <c r="N213" i="6"/>
  <c r="M213" i="6"/>
  <c r="N212" i="6"/>
  <c r="M212" i="6"/>
  <c r="N211" i="6"/>
  <c r="M211" i="6"/>
  <c r="N210" i="6"/>
  <c r="M210" i="6"/>
  <c r="N209" i="6"/>
  <c r="M209" i="6"/>
  <c r="N208" i="6"/>
  <c r="M208" i="6"/>
  <c r="N207" i="6"/>
  <c r="M207" i="6"/>
  <c r="N206" i="6"/>
  <c r="M206" i="6"/>
  <c r="N205" i="6"/>
  <c r="M205" i="6"/>
  <c r="N204" i="6"/>
  <c r="M204" i="6"/>
  <c r="N203" i="6"/>
  <c r="M203" i="6"/>
  <c r="N202" i="6"/>
  <c r="M202" i="6"/>
  <c r="N201" i="6"/>
  <c r="M201" i="6"/>
  <c r="N200" i="6"/>
  <c r="M200" i="6"/>
  <c r="N199" i="6"/>
  <c r="M199" i="6"/>
  <c r="N198" i="6"/>
  <c r="M198" i="6"/>
  <c r="N197" i="6"/>
  <c r="M197" i="6"/>
  <c r="N196" i="6"/>
  <c r="M196" i="6"/>
  <c r="N195" i="6"/>
  <c r="M195" i="6"/>
  <c r="N194" i="6"/>
  <c r="M194" i="6"/>
  <c r="N193" i="6"/>
  <c r="M193" i="6"/>
  <c r="N192" i="6"/>
  <c r="M192" i="6"/>
  <c r="N191" i="6"/>
  <c r="M191" i="6"/>
  <c r="N190" i="6"/>
  <c r="M190" i="6"/>
  <c r="N189" i="6"/>
  <c r="M189" i="6"/>
  <c r="N188" i="6"/>
  <c r="M188" i="6"/>
  <c r="N187" i="6"/>
  <c r="M187" i="6"/>
  <c r="N186" i="6"/>
  <c r="M186" i="6"/>
  <c r="N185" i="6"/>
  <c r="M185" i="6"/>
  <c r="N184" i="6"/>
  <c r="M184" i="6"/>
  <c r="N183" i="6"/>
  <c r="M183" i="6"/>
  <c r="N182" i="6"/>
  <c r="M182" i="6"/>
  <c r="N181" i="6"/>
  <c r="M181" i="6"/>
  <c r="N180" i="6"/>
  <c r="M180" i="6"/>
  <c r="N179" i="6"/>
  <c r="M179" i="6"/>
  <c r="N178" i="6"/>
  <c r="M178" i="6"/>
  <c r="N177" i="6"/>
  <c r="M177" i="6"/>
  <c r="N176" i="6"/>
  <c r="M176" i="6"/>
  <c r="N175" i="6"/>
  <c r="M175" i="6"/>
  <c r="N174" i="6"/>
  <c r="M174" i="6"/>
  <c r="N173" i="6"/>
  <c r="M173" i="6"/>
  <c r="N172" i="6"/>
  <c r="M172" i="6"/>
  <c r="N171" i="6"/>
  <c r="M171" i="6"/>
  <c r="N170" i="6"/>
  <c r="M170" i="6"/>
  <c r="N169" i="6"/>
  <c r="M169" i="6"/>
  <c r="N168" i="6"/>
  <c r="M168" i="6"/>
  <c r="N167" i="6"/>
  <c r="M167" i="6"/>
  <c r="N166" i="6"/>
  <c r="M166" i="6"/>
  <c r="N165" i="6"/>
  <c r="M165" i="6"/>
  <c r="N164" i="6"/>
  <c r="M164" i="6"/>
  <c r="N163" i="6"/>
  <c r="M163" i="6"/>
  <c r="N162" i="6"/>
  <c r="M162" i="6"/>
  <c r="N161" i="6"/>
  <c r="M161" i="6"/>
  <c r="N160" i="6"/>
  <c r="M160" i="6"/>
  <c r="N159" i="6"/>
  <c r="M159" i="6"/>
  <c r="N158" i="6"/>
  <c r="M158" i="6"/>
  <c r="N157" i="6"/>
  <c r="M157" i="6"/>
  <c r="N156" i="6"/>
  <c r="M156" i="6"/>
  <c r="N155" i="6"/>
  <c r="M155" i="6"/>
  <c r="N154" i="6"/>
  <c r="M154" i="6"/>
  <c r="N153" i="6"/>
  <c r="M153" i="6"/>
  <c r="N152" i="6"/>
  <c r="M152" i="6"/>
  <c r="N151" i="6"/>
  <c r="M151" i="6"/>
  <c r="N150" i="6"/>
  <c r="M150" i="6"/>
  <c r="N149" i="6"/>
  <c r="M149" i="6"/>
  <c r="N148" i="6"/>
  <c r="M148" i="6"/>
  <c r="N147" i="6"/>
  <c r="M147" i="6"/>
  <c r="N146" i="6"/>
  <c r="M146" i="6"/>
  <c r="N145" i="6"/>
  <c r="M145" i="6"/>
  <c r="N144" i="6"/>
  <c r="M144" i="6"/>
  <c r="N143" i="6"/>
  <c r="M143" i="6"/>
  <c r="N142" i="6"/>
  <c r="M142" i="6"/>
  <c r="N141" i="6"/>
  <c r="M141" i="6"/>
  <c r="N140" i="6"/>
  <c r="M140" i="6"/>
  <c r="N139" i="6"/>
  <c r="M139" i="6"/>
  <c r="N138" i="6"/>
  <c r="M138" i="6"/>
  <c r="N137" i="6"/>
  <c r="M137" i="6"/>
  <c r="N136" i="6"/>
  <c r="M136" i="6"/>
  <c r="N135" i="6"/>
  <c r="M135" i="6"/>
  <c r="N134" i="6"/>
  <c r="M134" i="6"/>
  <c r="N133" i="6"/>
  <c r="M133" i="6"/>
  <c r="N132" i="6"/>
  <c r="M132" i="6"/>
  <c r="N131" i="6"/>
  <c r="M131" i="6"/>
  <c r="N130" i="6"/>
  <c r="M130" i="6"/>
  <c r="N129" i="6"/>
  <c r="M129" i="6"/>
  <c r="N128" i="6"/>
  <c r="M128" i="6"/>
  <c r="N127" i="6"/>
  <c r="M127" i="6"/>
  <c r="N126" i="6"/>
  <c r="M126" i="6"/>
  <c r="N125" i="6"/>
  <c r="M125" i="6"/>
  <c r="N124" i="6"/>
  <c r="M124" i="6"/>
  <c r="N123" i="6"/>
  <c r="M123" i="6"/>
  <c r="N122" i="6"/>
  <c r="M122" i="6"/>
  <c r="N121" i="6"/>
  <c r="M121" i="6"/>
  <c r="N120" i="6"/>
  <c r="M120" i="6"/>
  <c r="N119" i="6"/>
  <c r="M119" i="6"/>
  <c r="N118" i="6"/>
  <c r="M118" i="6"/>
  <c r="N117" i="6"/>
  <c r="M117" i="6"/>
  <c r="N116" i="6"/>
  <c r="M116" i="6"/>
  <c r="N115" i="6"/>
  <c r="M115" i="6"/>
  <c r="N114" i="6"/>
  <c r="M114" i="6"/>
  <c r="N113" i="6"/>
  <c r="M113" i="6"/>
  <c r="N112" i="6"/>
  <c r="M112" i="6"/>
  <c r="N111" i="6"/>
  <c r="M111" i="6"/>
  <c r="N110" i="6"/>
  <c r="M110" i="6"/>
  <c r="N109" i="6"/>
  <c r="M109" i="6"/>
  <c r="N108" i="6"/>
  <c r="M108" i="6"/>
  <c r="N107" i="6"/>
  <c r="M107" i="6"/>
  <c r="N106" i="6"/>
  <c r="M106" i="6"/>
  <c r="N105" i="6"/>
  <c r="M105" i="6"/>
  <c r="N104" i="6"/>
  <c r="M104" i="6"/>
  <c r="N103" i="6"/>
  <c r="M103" i="6"/>
  <c r="N102" i="6"/>
  <c r="M102" i="6"/>
  <c r="N101" i="6"/>
  <c r="M101" i="6"/>
  <c r="N100" i="6"/>
  <c r="M100" i="6"/>
  <c r="N99" i="6"/>
  <c r="M99" i="6"/>
  <c r="N98" i="6"/>
  <c r="M98" i="6"/>
  <c r="N97" i="6"/>
  <c r="M97" i="6"/>
  <c r="N96" i="6"/>
  <c r="M96" i="6"/>
  <c r="N95" i="6"/>
  <c r="M95" i="6"/>
  <c r="N94" i="6"/>
  <c r="M94" i="6"/>
  <c r="N93" i="6"/>
  <c r="M93" i="6"/>
  <c r="N92" i="6"/>
  <c r="M92" i="6"/>
  <c r="N91" i="6"/>
  <c r="M91" i="6"/>
  <c r="N90" i="6"/>
  <c r="M90" i="6"/>
  <c r="N89" i="6"/>
  <c r="M89" i="6"/>
  <c r="N88" i="6"/>
  <c r="M88" i="6"/>
  <c r="N87" i="6"/>
  <c r="M87" i="6"/>
  <c r="N86" i="6"/>
  <c r="M86" i="6"/>
  <c r="N85" i="6"/>
  <c r="M85" i="6"/>
  <c r="N84" i="6"/>
  <c r="M84" i="6"/>
  <c r="N83" i="6"/>
  <c r="M83" i="6"/>
  <c r="N82" i="6"/>
  <c r="M82" i="6"/>
  <c r="N81" i="6"/>
  <c r="M81" i="6"/>
  <c r="N80" i="6"/>
  <c r="M80" i="6"/>
  <c r="N79" i="6"/>
  <c r="M79" i="6"/>
  <c r="N78" i="6"/>
  <c r="M78" i="6"/>
  <c r="N77" i="6"/>
  <c r="M77" i="6"/>
  <c r="N76" i="6"/>
  <c r="M76" i="6"/>
  <c r="N75" i="6"/>
  <c r="M75" i="6"/>
  <c r="N74" i="6"/>
  <c r="M74" i="6"/>
  <c r="N73" i="6"/>
  <c r="M73" i="6"/>
  <c r="N72" i="6"/>
  <c r="M72" i="6"/>
  <c r="N71" i="6"/>
  <c r="M71" i="6"/>
  <c r="N70" i="6"/>
  <c r="M70" i="6"/>
  <c r="N69" i="6"/>
  <c r="M69" i="6"/>
  <c r="N68" i="6"/>
  <c r="M68" i="6"/>
  <c r="N67" i="6"/>
  <c r="M67" i="6"/>
  <c r="N66" i="6"/>
  <c r="M66" i="6"/>
  <c r="N65" i="6"/>
  <c r="M65" i="6"/>
  <c r="N64" i="6"/>
  <c r="M64" i="6"/>
  <c r="N63" i="6"/>
  <c r="M63" i="6"/>
  <c r="N62" i="6"/>
  <c r="M62" i="6"/>
  <c r="N61" i="6"/>
  <c r="M61" i="6"/>
  <c r="N60" i="6"/>
  <c r="M60" i="6"/>
  <c r="N59" i="6"/>
  <c r="M59" i="6"/>
  <c r="N58" i="6"/>
  <c r="M58" i="6"/>
  <c r="N57" i="6"/>
  <c r="M57" i="6"/>
  <c r="N56" i="6"/>
  <c r="M56" i="6"/>
  <c r="N55" i="6"/>
  <c r="M55" i="6"/>
  <c r="N54" i="6"/>
  <c r="M54" i="6"/>
  <c r="N53" i="6"/>
  <c r="M53" i="6"/>
  <c r="N52" i="6"/>
  <c r="M52" i="6"/>
  <c r="N51" i="6"/>
  <c r="M51" i="6"/>
  <c r="N50" i="6"/>
  <c r="M50" i="6"/>
  <c r="N49" i="6"/>
  <c r="M49" i="6"/>
  <c r="N48" i="6"/>
  <c r="M48" i="6"/>
  <c r="N47" i="6"/>
  <c r="M47" i="6"/>
  <c r="N46" i="6"/>
  <c r="M46" i="6"/>
  <c r="N45" i="6"/>
  <c r="M45" i="6"/>
  <c r="N44" i="6"/>
  <c r="M44" i="6"/>
  <c r="N43" i="6"/>
  <c r="M43" i="6"/>
  <c r="N42" i="6"/>
  <c r="M42" i="6"/>
  <c r="N41" i="6"/>
  <c r="M41" i="6"/>
  <c r="N40" i="6"/>
  <c r="M40" i="6"/>
  <c r="N39" i="6"/>
  <c r="M39" i="6"/>
  <c r="N38" i="6"/>
  <c r="M38" i="6"/>
  <c r="N37" i="6"/>
  <c r="M37" i="6"/>
  <c r="N36" i="6"/>
  <c r="M36" i="6"/>
  <c r="N35" i="6"/>
  <c r="M35" i="6"/>
  <c r="N34" i="6"/>
  <c r="M34" i="6"/>
  <c r="N33" i="6"/>
  <c r="M33" i="6"/>
  <c r="N32" i="6"/>
  <c r="M32" i="6"/>
  <c r="N31" i="6"/>
  <c r="M31" i="6"/>
  <c r="N30" i="6"/>
  <c r="M30" i="6"/>
  <c r="N29" i="6"/>
  <c r="M29" i="6"/>
  <c r="N28" i="6"/>
  <c r="M28" i="6"/>
  <c r="N27" i="6"/>
  <c r="M27" i="6"/>
  <c r="N26" i="6"/>
  <c r="M26" i="6"/>
  <c r="N25" i="6"/>
  <c r="M25" i="6"/>
  <c r="N24" i="6"/>
  <c r="M24" i="6"/>
  <c r="N23" i="6"/>
  <c r="M23" i="6"/>
  <c r="N22" i="6"/>
  <c r="M22" i="6"/>
  <c r="N21" i="6"/>
  <c r="M21" i="6"/>
  <c r="N20" i="6"/>
  <c r="M20" i="6"/>
  <c r="N19" i="6"/>
  <c r="M19" i="6"/>
  <c r="N18" i="6"/>
  <c r="M18" i="6"/>
  <c r="N17" i="6"/>
  <c r="M17" i="6"/>
  <c r="N16" i="6"/>
  <c r="M16" i="6"/>
  <c r="N15" i="6"/>
  <c r="M15" i="6"/>
  <c r="N14" i="6"/>
  <c r="M14" i="6"/>
  <c r="N13" i="6"/>
  <c r="M13" i="6"/>
  <c r="N12" i="6"/>
  <c r="M12" i="6"/>
  <c r="F12" i="6"/>
  <c r="F13" i="6" s="1"/>
  <c r="F14" i="6" s="1"/>
  <c r="AC11" i="6"/>
  <c r="AD11" i="6" s="1"/>
  <c r="U11" i="6"/>
  <c r="G11" i="6"/>
  <c r="AC10" i="6"/>
  <c r="AD10" i="6" s="1"/>
  <c r="U10" i="6"/>
  <c r="AC9" i="6"/>
  <c r="AD9" i="6" s="1"/>
  <c r="U9" i="6"/>
  <c r="AC8" i="6"/>
  <c r="AD8" i="6" s="1"/>
  <c r="U8" i="6"/>
  <c r="AC7" i="6"/>
  <c r="AD7" i="6" s="1"/>
  <c r="U7" i="6"/>
  <c r="AC6" i="6"/>
  <c r="AD6" i="6" s="1"/>
  <c r="U6" i="6"/>
  <c r="AC5" i="6"/>
  <c r="AD5" i="6" s="1"/>
  <c r="U5" i="6"/>
  <c r="AC4" i="6"/>
  <c r="AD4" i="6" s="1"/>
  <c r="U4" i="6"/>
  <c r="AC3" i="6"/>
  <c r="AD3" i="6" s="1"/>
  <c r="U3" i="6"/>
  <c r="AI2" i="6"/>
  <c r="U2" i="6"/>
  <c r="L2" i="6"/>
  <c r="BL1890" i="8"/>
  <c r="BK1890" i="8"/>
  <c r="BJ1890" i="8"/>
  <c r="BI1890" i="8"/>
  <c r="BH1890" i="8"/>
  <c r="BG1890" i="8"/>
  <c r="BF1890" i="8"/>
  <c r="BE1890" i="8"/>
  <c r="BD1890" i="8"/>
  <c r="BC1890" i="8"/>
  <c r="BB1890" i="8"/>
  <c r="BA1890" i="8"/>
  <c r="AZ1890" i="8"/>
  <c r="AY1890" i="8"/>
  <c r="AX1890" i="8"/>
  <c r="AW1890" i="8"/>
  <c r="AV1890" i="8"/>
  <c r="AU1890" i="8"/>
  <c r="AT1890" i="8"/>
  <c r="AS1890" i="8"/>
  <c r="AR1890" i="8"/>
  <c r="AQ1890" i="8"/>
  <c r="AP1890" i="8"/>
  <c r="AO1890" i="8"/>
  <c r="AN1890" i="8"/>
  <c r="AM1890" i="8"/>
  <c r="AL1890" i="8"/>
  <c r="AK1890" i="8"/>
  <c r="AJ1890" i="8"/>
  <c r="AI1890" i="8"/>
  <c r="AH1890" i="8"/>
  <c r="AG1890" i="8"/>
  <c r="AF1890" i="8"/>
  <c r="AE1890" i="8"/>
  <c r="AD1890" i="8"/>
  <c r="AC1890" i="8"/>
  <c r="AB1890" i="8"/>
  <c r="AA1890" i="8"/>
  <c r="Z1890" i="8"/>
  <c r="Y1890" i="8"/>
  <c r="X1890" i="8"/>
  <c r="W1890" i="8"/>
  <c r="V1890" i="8"/>
  <c r="U1890" i="8"/>
  <c r="T1890" i="8"/>
  <c r="S1890" i="8"/>
  <c r="R1890" i="8"/>
  <c r="Q1890" i="8"/>
  <c r="P1890" i="8"/>
  <c r="AE1459" i="8"/>
  <c r="K1024" i="8"/>
  <c r="C1024" i="8"/>
  <c r="B1024" i="8"/>
  <c r="K1023" i="8"/>
  <c r="C1023" i="8"/>
  <c r="B1023" i="8"/>
  <c r="K1022" i="8"/>
  <c r="C1022" i="8"/>
  <c r="B1022" i="8"/>
  <c r="K1021" i="8"/>
  <c r="C1021" i="8"/>
  <c r="B1021" i="8"/>
  <c r="K1020" i="8"/>
  <c r="C1020" i="8"/>
  <c r="B1020" i="8"/>
  <c r="K1019" i="8"/>
  <c r="C1019" i="8"/>
  <c r="B1019" i="8"/>
  <c r="K1018" i="8"/>
  <c r="C1018" i="8"/>
  <c r="B1018" i="8"/>
  <c r="K1017" i="8"/>
  <c r="C1017" i="8"/>
  <c r="B1017" i="8"/>
  <c r="K1016" i="8"/>
  <c r="C1016" i="8"/>
  <c r="B1016" i="8"/>
  <c r="K1015" i="8"/>
  <c r="C1015" i="8"/>
  <c r="B1015" i="8"/>
  <c r="K1014" i="8"/>
  <c r="K1013" i="8"/>
  <c r="C1013" i="8"/>
  <c r="B1013" i="8"/>
  <c r="K1012" i="8"/>
  <c r="C1012" i="8"/>
  <c r="B1012" i="8"/>
  <c r="K1011" i="8"/>
  <c r="C1011" i="8"/>
  <c r="B1011" i="8"/>
  <c r="K1010" i="8"/>
  <c r="C1010" i="8"/>
  <c r="B1010" i="8"/>
  <c r="K1009" i="8"/>
  <c r="C1009" i="8"/>
  <c r="B1009" i="8"/>
  <c r="K1008" i="8"/>
  <c r="C1008" i="8"/>
  <c r="B1008" i="8"/>
  <c r="K1007" i="8"/>
  <c r="C1007" i="8"/>
  <c r="B1007" i="8"/>
  <c r="K1006" i="8"/>
  <c r="C1006" i="8"/>
  <c r="B1006" i="8"/>
  <c r="K1005" i="8"/>
  <c r="C1005" i="8"/>
  <c r="B1005" i="8"/>
  <c r="K1004" i="8"/>
  <c r="C1004" i="8"/>
  <c r="B1004" i="8"/>
  <c r="K1003" i="8"/>
  <c r="K1002" i="8"/>
  <c r="C1002" i="8"/>
  <c r="B1002" i="8"/>
  <c r="K1001" i="8"/>
  <c r="C1001" i="8"/>
  <c r="B1001" i="8"/>
  <c r="K1000" i="8"/>
  <c r="C1000" i="8"/>
  <c r="B1000" i="8"/>
  <c r="K999" i="8"/>
  <c r="C999" i="8"/>
  <c r="B999" i="8"/>
  <c r="K998" i="8"/>
  <c r="C998" i="8"/>
  <c r="B998" i="8"/>
  <c r="K997" i="8"/>
  <c r="C997" i="8"/>
  <c r="B997" i="8"/>
  <c r="K996" i="8"/>
  <c r="C996" i="8"/>
  <c r="B996" i="8"/>
  <c r="K995" i="8"/>
  <c r="C995" i="8"/>
  <c r="B995" i="8"/>
  <c r="K994" i="8"/>
  <c r="C994" i="8"/>
  <c r="B994" i="8"/>
  <c r="K993" i="8"/>
  <c r="C993" i="8"/>
  <c r="B993" i="8"/>
  <c r="K992" i="8"/>
  <c r="K991" i="8"/>
  <c r="C991" i="8"/>
  <c r="B991" i="8"/>
  <c r="K990" i="8"/>
  <c r="C990" i="8"/>
  <c r="B990" i="8"/>
  <c r="K989" i="8"/>
  <c r="C989" i="8"/>
  <c r="B989" i="8"/>
  <c r="K988" i="8"/>
  <c r="C988" i="8"/>
  <c r="B988" i="8"/>
  <c r="K987" i="8"/>
  <c r="C987" i="8"/>
  <c r="B987" i="8"/>
  <c r="K986" i="8"/>
  <c r="C986" i="8"/>
  <c r="B986" i="8"/>
  <c r="K985" i="8"/>
  <c r="C985" i="8"/>
  <c r="B985" i="8"/>
  <c r="K984" i="8"/>
  <c r="C984" i="8"/>
  <c r="B984" i="8"/>
  <c r="K983" i="8"/>
  <c r="C983" i="8"/>
  <c r="B983" i="8"/>
  <c r="K982" i="8"/>
  <c r="C982" i="8"/>
  <c r="B982" i="8"/>
  <c r="K981" i="8"/>
  <c r="K980" i="8"/>
  <c r="K979" i="8"/>
  <c r="K978" i="8"/>
  <c r="K977" i="8"/>
  <c r="K976" i="8"/>
  <c r="K975" i="8"/>
  <c r="K974" i="8"/>
  <c r="K973" i="8"/>
  <c r="K972" i="8"/>
  <c r="K971" i="8"/>
  <c r="K970" i="8"/>
  <c r="K969" i="8"/>
  <c r="C969" i="8"/>
  <c r="B969" i="8"/>
  <c r="K968" i="8"/>
  <c r="C968" i="8"/>
  <c r="B968" i="8"/>
  <c r="K967" i="8"/>
  <c r="C967" i="8"/>
  <c r="B967" i="8"/>
  <c r="K966" i="8"/>
  <c r="C966" i="8"/>
  <c r="B966" i="8"/>
  <c r="K965" i="8"/>
  <c r="C965" i="8"/>
  <c r="B965" i="8"/>
  <c r="K964" i="8"/>
  <c r="C964" i="8"/>
  <c r="B964" i="8"/>
  <c r="K963" i="8"/>
  <c r="C963" i="8"/>
  <c r="B963" i="8"/>
  <c r="K962" i="8"/>
  <c r="C962" i="8"/>
  <c r="B962" i="8"/>
  <c r="K961" i="8"/>
  <c r="C961" i="8"/>
  <c r="B961" i="8"/>
  <c r="K960" i="8"/>
  <c r="C960" i="8"/>
  <c r="B960" i="8"/>
  <c r="K959" i="8"/>
  <c r="K958" i="8"/>
  <c r="C958" i="8"/>
  <c r="B958" i="8"/>
  <c r="K957" i="8"/>
  <c r="C957" i="8"/>
  <c r="B957" i="8"/>
  <c r="K956" i="8"/>
  <c r="C956" i="8"/>
  <c r="B956" i="8"/>
  <c r="K955" i="8"/>
  <c r="C955" i="8"/>
  <c r="B955" i="8"/>
  <c r="K954" i="8"/>
  <c r="C954" i="8"/>
  <c r="B954" i="8"/>
  <c r="K953" i="8"/>
  <c r="C953" i="8"/>
  <c r="B953" i="8"/>
  <c r="K952" i="8"/>
  <c r="C952" i="8"/>
  <c r="B952" i="8"/>
  <c r="K951" i="8"/>
  <c r="C951" i="8"/>
  <c r="B951" i="8"/>
  <c r="K950" i="8"/>
  <c r="C950" i="8"/>
  <c r="B950" i="8"/>
  <c r="K949" i="8"/>
  <c r="C949" i="8"/>
  <c r="B949" i="8"/>
  <c r="K948" i="8"/>
  <c r="K947" i="8"/>
  <c r="C947" i="8"/>
  <c r="B947" i="8"/>
  <c r="K946" i="8"/>
  <c r="C946" i="8"/>
  <c r="B946" i="8"/>
  <c r="K945" i="8"/>
  <c r="C945" i="8"/>
  <c r="B945" i="8"/>
  <c r="K944" i="8"/>
  <c r="C944" i="8"/>
  <c r="B944" i="8"/>
  <c r="K943" i="8"/>
  <c r="C943" i="8"/>
  <c r="B943" i="8"/>
  <c r="K942" i="8"/>
  <c r="C942" i="8"/>
  <c r="B942" i="8"/>
  <c r="K941" i="8"/>
  <c r="C941" i="8"/>
  <c r="B941" i="8"/>
  <c r="K940" i="8"/>
  <c r="C940" i="8"/>
  <c r="B940" i="8"/>
  <c r="K939" i="8"/>
  <c r="C939" i="8"/>
  <c r="B939" i="8"/>
  <c r="K938" i="8"/>
  <c r="C938" i="8"/>
  <c r="B938" i="8"/>
  <c r="I937" i="8"/>
  <c r="K927" i="8"/>
  <c r="C936" i="8"/>
  <c r="B936" i="8"/>
  <c r="C935" i="8"/>
  <c r="B935" i="8"/>
  <c r="C934" i="8"/>
  <c r="B934" i="8"/>
  <c r="C933" i="8"/>
  <c r="B933" i="8"/>
  <c r="C932" i="8"/>
  <c r="B932" i="8"/>
  <c r="C931" i="8"/>
  <c r="B931" i="8"/>
  <c r="C930" i="8"/>
  <c r="B930" i="8"/>
  <c r="C929" i="8"/>
  <c r="B929" i="8"/>
  <c r="C928" i="8"/>
  <c r="B928" i="8"/>
  <c r="C927" i="8"/>
  <c r="B927" i="8"/>
  <c r="K926" i="8"/>
  <c r="K925" i="8"/>
  <c r="K924" i="8"/>
  <c r="K923" i="8"/>
  <c r="K922" i="8"/>
  <c r="K921" i="8"/>
  <c r="K920" i="8"/>
  <c r="K919" i="8"/>
  <c r="K918" i="8"/>
  <c r="K917" i="8"/>
  <c r="K916" i="8"/>
  <c r="K915" i="8"/>
  <c r="K914" i="8"/>
  <c r="C914" i="8"/>
  <c r="B914" i="8"/>
  <c r="K913" i="8"/>
  <c r="C913" i="8"/>
  <c r="B913" i="8"/>
  <c r="K912" i="8"/>
  <c r="C912" i="8"/>
  <c r="B912" i="8"/>
  <c r="K911" i="8"/>
  <c r="C911" i="8"/>
  <c r="B911" i="8"/>
  <c r="K910" i="8"/>
  <c r="C910" i="8"/>
  <c r="B910" i="8"/>
  <c r="K909" i="8"/>
  <c r="C909" i="8"/>
  <c r="B909" i="8"/>
  <c r="K908" i="8"/>
  <c r="C908" i="8"/>
  <c r="B908" i="8"/>
  <c r="K907" i="8"/>
  <c r="C907" i="8"/>
  <c r="B907" i="8"/>
  <c r="K906" i="8"/>
  <c r="C906" i="8"/>
  <c r="B906" i="8"/>
  <c r="K905" i="8"/>
  <c r="C905" i="8"/>
  <c r="B905" i="8"/>
  <c r="K904" i="8"/>
  <c r="K903" i="8"/>
  <c r="K902" i="8"/>
  <c r="K901" i="8"/>
  <c r="K900" i="8"/>
  <c r="K899" i="8"/>
  <c r="K898" i="8"/>
  <c r="K897" i="8"/>
  <c r="K896" i="8"/>
  <c r="K895" i="8"/>
  <c r="K894" i="8"/>
  <c r="I893" i="8"/>
  <c r="K893" i="8"/>
  <c r="K882" i="8"/>
  <c r="K881" i="8"/>
  <c r="K880" i="8"/>
  <c r="K879" i="8"/>
  <c r="K878" i="8"/>
  <c r="K877" i="8"/>
  <c r="K876" i="8"/>
  <c r="K875" i="8"/>
  <c r="K874" i="8"/>
  <c r="K873" i="8"/>
  <c r="K872" i="8"/>
  <c r="K871" i="8"/>
  <c r="C871" i="8"/>
  <c r="B871" i="8"/>
  <c r="K870" i="8"/>
  <c r="C870" i="8"/>
  <c r="B870" i="8"/>
  <c r="K869" i="8"/>
  <c r="C869" i="8"/>
  <c r="B869" i="8"/>
  <c r="K868" i="8"/>
  <c r="C868" i="8"/>
  <c r="B868" i="8"/>
  <c r="K867" i="8"/>
  <c r="C867" i="8"/>
  <c r="B867" i="8"/>
  <c r="K866" i="8"/>
  <c r="C866" i="8"/>
  <c r="B866" i="8"/>
  <c r="K865" i="8"/>
  <c r="C865" i="8"/>
  <c r="B865" i="8"/>
  <c r="K864" i="8"/>
  <c r="C864" i="8"/>
  <c r="B864" i="8"/>
  <c r="K863" i="8"/>
  <c r="C863" i="8"/>
  <c r="B863" i="8"/>
  <c r="K862" i="8"/>
  <c r="K861" i="8"/>
  <c r="K860" i="8"/>
  <c r="K859" i="8"/>
  <c r="K858" i="8"/>
  <c r="K857" i="8"/>
  <c r="K856" i="8"/>
  <c r="K855" i="8"/>
  <c r="K854" i="8"/>
  <c r="K853" i="8"/>
  <c r="K852" i="8"/>
  <c r="K851" i="8"/>
  <c r="C851" i="8"/>
  <c r="B851" i="8"/>
  <c r="K850" i="8"/>
  <c r="C850" i="8"/>
  <c r="B850" i="8"/>
  <c r="K849" i="8"/>
  <c r="C849" i="8"/>
  <c r="B849" i="8"/>
  <c r="K848" i="8"/>
  <c r="C848" i="8"/>
  <c r="B848" i="8"/>
  <c r="K847" i="8"/>
  <c r="C847" i="8"/>
  <c r="B847" i="8"/>
  <c r="K846" i="8"/>
  <c r="C846" i="8"/>
  <c r="B846" i="8"/>
  <c r="K845" i="8"/>
  <c r="C845" i="8"/>
  <c r="B845" i="8"/>
  <c r="K844" i="8"/>
  <c r="C844" i="8"/>
  <c r="B844" i="8"/>
  <c r="K843" i="8"/>
  <c r="C843" i="8"/>
  <c r="B843" i="8"/>
  <c r="K842" i="8"/>
  <c r="C842" i="8"/>
  <c r="B842" i="8"/>
  <c r="K841" i="8"/>
  <c r="K840" i="8"/>
  <c r="C840" i="8"/>
  <c r="B840" i="8"/>
  <c r="K839" i="8"/>
  <c r="C839" i="8"/>
  <c r="B839" i="8"/>
  <c r="K838" i="8"/>
  <c r="C838" i="8"/>
  <c r="B838" i="8"/>
  <c r="K837" i="8"/>
  <c r="C837" i="8"/>
  <c r="B837" i="8"/>
  <c r="K836" i="8"/>
  <c r="C836" i="8"/>
  <c r="B836" i="8"/>
  <c r="K835" i="8"/>
  <c r="C835" i="8"/>
  <c r="B835" i="8"/>
  <c r="K834" i="8"/>
  <c r="C834" i="8"/>
  <c r="B834" i="8"/>
  <c r="K833" i="8"/>
  <c r="C833" i="8"/>
  <c r="B833" i="8"/>
  <c r="K832" i="8"/>
  <c r="C832" i="8"/>
  <c r="B832" i="8"/>
  <c r="K831" i="8"/>
  <c r="C831" i="8"/>
  <c r="B831" i="8"/>
  <c r="K830" i="8"/>
  <c r="K829" i="8"/>
  <c r="C829" i="8"/>
  <c r="B829" i="8"/>
  <c r="K828" i="8"/>
  <c r="C828" i="8"/>
  <c r="B828" i="8"/>
  <c r="K827" i="8"/>
  <c r="C827" i="8"/>
  <c r="B827" i="8"/>
  <c r="K826" i="8"/>
  <c r="C826" i="8"/>
  <c r="B826" i="8"/>
  <c r="K825" i="8"/>
  <c r="C825" i="8"/>
  <c r="B825" i="8"/>
  <c r="K824" i="8"/>
  <c r="C824" i="8"/>
  <c r="B824" i="8"/>
  <c r="K823" i="8"/>
  <c r="C823" i="8"/>
  <c r="B823" i="8"/>
  <c r="K822" i="8"/>
  <c r="C822" i="8"/>
  <c r="B822" i="8"/>
  <c r="K821" i="8"/>
  <c r="C821" i="8"/>
  <c r="B821" i="8"/>
  <c r="K820" i="8"/>
  <c r="K819" i="8"/>
  <c r="K818" i="8"/>
  <c r="K817" i="8"/>
  <c r="K816" i="8"/>
  <c r="K815" i="8"/>
  <c r="K814" i="8"/>
  <c r="K813" i="8"/>
  <c r="K812" i="8"/>
  <c r="K811" i="8"/>
  <c r="K810" i="8"/>
  <c r="K809" i="8"/>
  <c r="C809" i="8"/>
  <c r="B809" i="8"/>
  <c r="K808" i="8"/>
  <c r="C808" i="8"/>
  <c r="B808" i="8"/>
  <c r="K807" i="8"/>
  <c r="C807" i="8"/>
  <c r="B807" i="8"/>
  <c r="K806" i="8"/>
  <c r="C806" i="8"/>
  <c r="B806" i="8"/>
  <c r="K805" i="8"/>
  <c r="C805" i="8"/>
  <c r="B805" i="8"/>
  <c r="K804" i="8"/>
  <c r="C804" i="8"/>
  <c r="B804" i="8"/>
  <c r="K803" i="8"/>
  <c r="C803" i="8"/>
  <c r="B803" i="8"/>
  <c r="K802" i="8"/>
  <c r="C802" i="8"/>
  <c r="B802" i="8"/>
  <c r="K801" i="8"/>
  <c r="C801" i="8"/>
  <c r="B801" i="8"/>
  <c r="K800" i="8"/>
  <c r="K799" i="8"/>
  <c r="C799" i="8"/>
  <c r="B799" i="8"/>
  <c r="K798" i="8"/>
  <c r="C798" i="8"/>
  <c r="B798" i="8"/>
  <c r="K797" i="8"/>
  <c r="C797" i="8"/>
  <c r="B797" i="8"/>
  <c r="K796" i="8"/>
  <c r="C796" i="8"/>
  <c r="B796" i="8"/>
  <c r="K795" i="8"/>
  <c r="C795" i="8"/>
  <c r="B795" i="8"/>
  <c r="K794" i="8"/>
  <c r="C794" i="8"/>
  <c r="B794" i="8"/>
  <c r="K793" i="8"/>
  <c r="C793" i="8"/>
  <c r="B793" i="8"/>
  <c r="K792" i="8"/>
  <c r="C792" i="8"/>
  <c r="B792" i="8"/>
  <c r="K791" i="8"/>
  <c r="C791" i="8"/>
  <c r="B791" i="8"/>
  <c r="K790" i="8"/>
  <c r="K789" i="8"/>
  <c r="K788" i="8"/>
  <c r="K787" i="8"/>
  <c r="K786" i="8"/>
  <c r="K785" i="8"/>
  <c r="K784" i="8"/>
  <c r="K783" i="8"/>
  <c r="K782" i="8"/>
  <c r="K781" i="8"/>
  <c r="K780" i="8"/>
  <c r="K779" i="8"/>
  <c r="K778" i="8"/>
  <c r="K777" i="8"/>
  <c r="K776" i="8"/>
  <c r="K775" i="8"/>
  <c r="K774" i="8"/>
  <c r="K773" i="8"/>
  <c r="K772" i="8"/>
  <c r="K771" i="8"/>
  <c r="K770" i="8"/>
  <c r="K769" i="8"/>
  <c r="K768" i="8"/>
  <c r="K767" i="8"/>
  <c r="K766" i="8"/>
  <c r="K765" i="8"/>
  <c r="K764" i="8"/>
  <c r="K763" i="8"/>
  <c r="K762" i="8"/>
  <c r="K761" i="8"/>
  <c r="K760" i="8"/>
  <c r="K759" i="8"/>
  <c r="C759" i="8"/>
  <c r="B759" i="8"/>
  <c r="K758" i="8"/>
  <c r="C758" i="8"/>
  <c r="B758" i="8"/>
  <c r="K757" i="8"/>
  <c r="C757" i="8"/>
  <c r="B757" i="8"/>
  <c r="K756" i="8"/>
  <c r="C756" i="8"/>
  <c r="B756" i="8"/>
  <c r="K755" i="8"/>
  <c r="C755" i="8"/>
  <c r="B755" i="8"/>
  <c r="K754" i="8"/>
  <c r="C754" i="8"/>
  <c r="B754" i="8"/>
  <c r="K753" i="8"/>
  <c r="C753" i="8"/>
  <c r="B753" i="8"/>
  <c r="K752" i="8"/>
  <c r="C752" i="8"/>
  <c r="B752" i="8"/>
  <c r="K751" i="8"/>
  <c r="C751" i="8"/>
  <c r="B751" i="8"/>
  <c r="K750" i="8"/>
  <c r="K749" i="8"/>
  <c r="C749" i="8"/>
  <c r="B749" i="8"/>
  <c r="K748" i="8"/>
  <c r="C748" i="8"/>
  <c r="B748" i="8"/>
  <c r="K747" i="8"/>
  <c r="C747" i="8"/>
  <c r="B747" i="8"/>
  <c r="K746" i="8"/>
  <c r="C746" i="8"/>
  <c r="B746" i="8"/>
  <c r="K745" i="8"/>
  <c r="C745" i="8"/>
  <c r="B745" i="8"/>
  <c r="K744" i="8"/>
  <c r="C744" i="8"/>
  <c r="B744" i="8"/>
  <c r="K743" i="8"/>
  <c r="C743" i="8"/>
  <c r="B743" i="8"/>
  <c r="K742" i="8"/>
  <c r="C742" i="8"/>
  <c r="B742" i="8"/>
  <c r="K741" i="8"/>
  <c r="C741" i="8"/>
  <c r="B741" i="8"/>
  <c r="K740" i="8"/>
  <c r="K739" i="8"/>
  <c r="C739" i="8"/>
  <c r="B739" i="8"/>
  <c r="K738" i="8"/>
  <c r="C738" i="8"/>
  <c r="B738" i="8"/>
  <c r="K737" i="8"/>
  <c r="C737" i="8"/>
  <c r="B737" i="8"/>
  <c r="K736" i="8"/>
  <c r="C736" i="8"/>
  <c r="B736" i="8"/>
  <c r="K735" i="8"/>
  <c r="C735" i="8"/>
  <c r="B735" i="8"/>
  <c r="K734" i="8"/>
  <c r="C734" i="8"/>
  <c r="B734" i="8"/>
  <c r="K733" i="8"/>
  <c r="C733" i="8"/>
  <c r="B733" i="8"/>
  <c r="K732" i="8"/>
  <c r="C732" i="8"/>
  <c r="B732" i="8"/>
  <c r="K731" i="8"/>
  <c r="C731" i="8"/>
  <c r="B731" i="8"/>
  <c r="K730" i="8"/>
  <c r="K729" i="8"/>
  <c r="C729" i="8"/>
  <c r="B729" i="8"/>
  <c r="K728" i="8"/>
  <c r="C728" i="8"/>
  <c r="B728" i="8"/>
  <c r="K727" i="8"/>
  <c r="C727" i="8"/>
  <c r="B727" i="8"/>
  <c r="K726" i="8"/>
  <c r="C726" i="8"/>
  <c r="B726" i="8"/>
  <c r="K725" i="8"/>
  <c r="C725" i="8"/>
  <c r="B725" i="8"/>
  <c r="K724" i="8"/>
  <c r="C724" i="8"/>
  <c r="B724" i="8"/>
  <c r="K723" i="8"/>
  <c r="C723" i="8"/>
  <c r="B723" i="8"/>
  <c r="K722" i="8"/>
  <c r="C722" i="8"/>
  <c r="B722" i="8"/>
  <c r="K721" i="8"/>
  <c r="C721" i="8"/>
  <c r="B721" i="8"/>
  <c r="K720" i="8"/>
  <c r="K719" i="8"/>
  <c r="C719" i="8"/>
  <c r="B719" i="8"/>
  <c r="K718" i="8"/>
  <c r="C718" i="8"/>
  <c r="B718" i="8"/>
  <c r="K717" i="8"/>
  <c r="C717" i="8"/>
  <c r="B717" i="8"/>
  <c r="K716" i="8"/>
  <c r="C716" i="8"/>
  <c r="B716" i="8"/>
  <c r="K715" i="8"/>
  <c r="C715" i="8"/>
  <c r="B715" i="8"/>
  <c r="K714" i="8"/>
  <c r="C714" i="8"/>
  <c r="B714" i="8"/>
  <c r="K713" i="8"/>
  <c r="C713" i="8"/>
  <c r="B713" i="8"/>
  <c r="K712" i="8"/>
  <c r="C712" i="8"/>
  <c r="B712" i="8"/>
  <c r="K711" i="8"/>
  <c r="C711" i="8"/>
  <c r="B711" i="8"/>
  <c r="K710" i="8"/>
  <c r="K709" i="8"/>
  <c r="K708" i="8"/>
  <c r="K707" i="8"/>
  <c r="K706" i="8"/>
  <c r="K705" i="8"/>
  <c r="K704" i="8"/>
  <c r="K703" i="8"/>
  <c r="K702" i="8"/>
  <c r="K701" i="8"/>
  <c r="K700" i="8"/>
  <c r="K699" i="8"/>
  <c r="C699" i="8"/>
  <c r="B699" i="8"/>
  <c r="K698" i="8"/>
  <c r="C698" i="8"/>
  <c r="B698" i="8"/>
  <c r="K697" i="8"/>
  <c r="C697" i="8"/>
  <c r="B697" i="8"/>
  <c r="K696" i="8"/>
  <c r="C696" i="8"/>
  <c r="B696" i="8"/>
  <c r="K695" i="8"/>
  <c r="C695" i="8"/>
  <c r="B695" i="8"/>
  <c r="K694" i="8"/>
  <c r="C694" i="8"/>
  <c r="B694" i="8"/>
  <c r="K693" i="8"/>
  <c r="C693" i="8"/>
  <c r="B693" i="8"/>
  <c r="K692" i="8"/>
  <c r="C692" i="8"/>
  <c r="B692" i="8"/>
  <c r="K691" i="8"/>
  <c r="C691" i="8"/>
  <c r="B691" i="8"/>
  <c r="K690" i="8"/>
  <c r="K689" i="8"/>
  <c r="C689" i="8"/>
  <c r="B689" i="8"/>
  <c r="K688" i="8"/>
  <c r="C688" i="8"/>
  <c r="B688" i="8"/>
  <c r="K687" i="8"/>
  <c r="C687" i="8"/>
  <c r="B687" i="8"/>
  <c r="K686" i="8"/>
  <c r="C686" i="8"/>
  <c r="B686" i="8"/>
  <c r="K685" i="8"/>
  <c r="C685" i="8"/>
  <c r="B685" i="8"/>
  <c r="K684" i="8"/>
  <c r="C684" i="8"/>
  <c r="B684" i="8"/>
  <c r="K683" i="8"/>
  <c r="C683" i="8"/>
  <c r="B683" i="8"/>
  <c r="K682" i="8"/>
  <c r="C682" i="8"/>
  <c r="B682" i="8"/>
  <c r="K681" i="8"/>
  <c r="C681" i="8"/>
  <c r="B681" i="8"/>
  <c r="K680" i="8"/>
  <c r="K679" i="8"/>
  <c r="C679" i="8"/>
  <c r="B679" i="8"/>
  <c r="K678" i="8"/>
  <c r="C678" i="8"/>
  <c r="B678" i="8"/>
  <c r="K677" i="8"/>
  <c r="C677" i="8"/>
  <c r="B677" i="8"/>
  <c r="K676" i="8"/>
  <c r="C676" i="8"/>
  <c r="B676" i="8"/>
  <c r="K675" i="8"/>
  <c r="C675" i="8"/>
  <c r="B675" i="8"/>
  <c r="K674" i="8"/>
  <c r="C674" i="8"/>
  <c r="B674" i="8"/>
  <c r="K673" i="8"/>
  <c r="C673" i="8"/>
  <c r="B673" i="8"/>
  <c r="K672" i="8"/>
  <c r="C672" i="8"/>
  <c r="B672" i="8"/>
  <c r="K671" i="8"/>
  <c r="C671" i="8"/>
  <c r="B671" i="8"/>
  <c r="K670" i="8"/>
  <c r="K669" i="8"/>
  <c r="C669" i="8"/>
  <c r="B669" i="8"/>
  <c r="K668" i="8"/>
  <c r="C668" i="8"/>
  <c r="B668" i="8"/>
  <c r="K667" i="8"/>
  <c r="C667" i="8"/>
  <c r="B667" i="8"/>
  <c r="K666" i="8"/>
  <c r="C666" i="8"/>
  <c r="B666" i="8"/>
  <c r="K665" i="8"/>
  <c r="C665" i="8"/>
  <c r="B665" i="8"/>
  <c r="K664" i="8"/>
  <c r="C664" i="8"/>
  <c r="B664" i="8"/>
  <c r="K663" i="8"/>
  <c r="C663" i="8"/>
  <c r="B663" i="8"/>
  <c r="K662" i="8"/>
  <c r="C662" i="8"/>
  <c r="B662" i="8"/>
  <c r="K661" i="8"/>
  <c r="C661" i="8"/>
  <c r="B661" i="8"/>
  <c r="K660" i="8"/>
  <c r="K659" i="8"/>
  <c r="C659" i="8"/>
  <c r="B659" i="8"/>
  <c r="K658" i="8"/>
  <c r="C658" i="8"/>
  <c r="B658" i="8"/>
  <c r="K657" i="8"/>
  <c r="C657" i="8"/>
  <c r="B657" i="8"/>
  <c r="K656" i="8"/>
  <c r="C656" i="8"/>
  <c r="B656" i="8"/>
  <c r="K655" i="8"/>
  <c r="C655" i="8"/>
  <c r="B655" i="8"/>
  <c r="K654" i="8"/>
  <c r="C654" i="8"/>
  <c r="B654" i="8"/>
  <c r="K653" i="8"/>
  <c r="C653" i="8"/>
  <c r="B653" i="8"/>
  <c r="K652" i="8"/>
  <c r="C652" i="8"/>
  <c r="B652" i="8"/>
  <c r="K651" i="8"/>
  <c r="C651" i="8"/>
  <c r="B651" i="8"/>
  <c r="K650" i="8"/>
  <c r="C650" i="8"/>
  <c r="B650" i="8"/>
  <c r="K649" i="8"/>
  <c r="K648" i="8"/>
  <c r="K647" i="8"/>
  <c r="K646" i="8"/>
  <c r="K645" i="8"/>
  <c r="K644" i="8"/>
  <c r="K643" i="8"/>
  <c r="K642" i="8"/>
  <c r="K641" i="8"/>
  <c r="K640" i="8"/>
  <c r="K639" i="8"/>
  <c r="K638" i="8"/>
  <c r="K637" i="8"/>
  <c r="C637" i="8"/>
  <c r="B637" i="8"/>
  <c r="K636" i="8"/>
  <c r="C636" i="8"/>
  <c r="B636" i="8"/>
  <c r="K635" i="8"/>
  <c r="C635" i="8"/>
  <c r="B635" i="8"/>
  <c r="K634" i="8"/>
  <c r="C634" i="8"/>
  <c r="B634" i="8"/>
  <c r="K633" i="8"/>
  <c r="C633" i="8"/>
  <c r="B633" i="8"/>
  <c r="K632" i="8"/>
  <c r="C632" i="8"/>
  <c r="B632" i="8"/>
  <c r="K631" i="8"/>
  <c r="C631" i="8"/>
  <c r="B631" i="8"/>
  <c r="K630" i="8"/>
  <c r="C630" i="8"/>
  <c r="B630" i="8"/>
  <c r="K629" i="8"/>
  <c r="C629" i="8"/>
  <c r="B629" i="8"/>
  <c r="K628" i="8"/>
  <c r="K627" i="8"/>
  <c r="C627" i="8"/>
  <c r="B627" i="8"/>
  <c r="K626" i="8"/>
  <c r="C626" i="8"/>
  <c r="B626" i="8"/>
  <c r="K625" i="8"/>
  <c r="C625" i="8"/>
  <c r="B625" i="8"/>
  <c r="K624" i="8"/>
  <c r="C624" i="8"/>
  <c r="B624" i="8"/>
  <c r="K623" i="8"/>
  <c r="C623" i="8"/>
  <c r="B623" i="8"/>
  <c r="K622" i="8"/>
  <c r="C622" i="8"/>
  <c r="B622" i="8"/>
  <c r="K621" i="8"/>
  <c r="C621" i="8"/>
  <c r="B621" i="8"/>
  <c r="K620" i="8"/>
  <c r="C620" i="8"/>
  <c r="B620" i="8"/>
  <c r="K619" i="8"/>
  <c r="C619" i="8"/>
  <c r="B619" i="8"/>
  <c r="K618" i="8"/>
  <c r="K617" i="8"/>
  <c r="K616" i="8"/>
  <c r="K615" i="8"/>
  <c r="K614" i="8"/>
  <c r="K613" i="8"/>
  <c r="K612" i="8"/>
  <c r="K611" i="8"/>
  <c r="K610" i="8"/>
  <c r="K609" i="8"/>
  <c r="K608" i="8"/>
  <c r="K607" i="8"/>
  <c r="C607" i="8"/>
  <c r="B607" i="8"/>
  <c r="K606" i="8"/>
  <c r="C606" i="8"/>
  <c r="B606" i="8"/>
  <c r="K605" i="8"/>
  <c r="C605" i="8"/>
  <c r="B605" i="8"/>
  <c r="K604" i="8"/>
  <c r="C604" i="8"/>
  <c r="B604" i="8"/>
  <c r="K603" i="8"/>
  <c r="C603" i="8"/>
  <c r="B603" i="8"/>
  <c r="K602" i="8"/>
  <c r="C602" i="8"/>
  <c r="B602" i="8"/>
  <c r="K601" i="8"/>
  <c r="C601" i="8"/>
  <c r="B601" i="8"/>
  <c r="K600" i="8"/>
  <c r="C600" i="8"/>
  <c r="B600" i="8"/>
  <c r="K599" i="8"/>
  <c r="C599" i="8"/>
  <c r="B599" i="8"/>
  <c r="K598" i="8"/>
  <c r="K597" i="8"/>
  <c r="C597" i="8"/>
  <c r="B597" i="8"/>
  <c r="K596" i="8"/>
  <c r="C596" i="8"/>
  <c r="B596" i="8"/>
  <c r="K595" i="8"/>
  <c r="C595" i="8"/>
  <c r="B595" i="8"/>
  <c r="K594" i="8"/>
  <c r="C594" i="8"/>
  <c r="B594" i="8"/>
  <c r="K593" i="8"/>
  <c r="C593" i="8"/>
  <c r="B593" i="8"/>
  <c r="K592" i="8"/>
  <c r="C592" i="8"/>
  <c r="B592" i="8"/>
  <c r="K591" i="8"/>
  <c r="B591" i="8"/>
  <c r="K590" i="8"/>
  <c r="C590" i="8"/>
  <c r="B590" i="8"/>
  <c r="K589" i="8"/>
  <c r="C589" i="8"/>
  <c r="B589" i="8"/>
  <c r="I588" i="8"/>
  <c r="K582" i="8"/>
  <c r="C587" i="8"/>
  <c r="B587" i="8"/>
  <c r="C586" i="8"/>
  <c r="B586" i="8"/>
  <c r="C585" i="8"/>
  <c r="B585" i="8"/>
  <c r="C584" i="8"/>
  <c r="B584" i="8"/>
  <c r="C583" i="8"/>
  <c r="B583" i="8"/>
  <c r="C582" i="8"/>
  <c r="B582" i="8"/>
  <c r="C581" i="8"/>
  <c r="B581" i="8"/>
  <c r="C580" i="8"/>
  <c r="B580" i="8"/>
  <c r="C579" i="8"/>
  <c r="B579" i="8"/>
  <c r="C578" i="8"/>
  <c r="B578" i="8"/>
  <c r="K577" i="8"/>
  <c r="K576" i="8"/>
  <c r="C576" i="8"/>
  <c r="B576" i="8"/>
  <c r="K575" i="8"/>
  <c r="C575" i="8"/>
  <c r="B575" i="8"/>
  <c r="K574" i="8"/>
  <c r="C574" i="8"/>
  <c r="B574" i="8"/>
  <c r="K573" i="8"/>
  <c r="C573" i="8"/>
  <c r="B573" i="8"/>
  <c r="K572" i="8"/>
  <c r="C572" i="8"/>
  <c r="B572" i="8"/>
  <c r="K571" i="8"/>
  <c r="C571" i="8"/>
  <c r="B571" i="8"/>
  <c r="K570" i="8"/>
  <c r="C570" i="8"/>
  <c r="B570" i="8"/>
  <c r="K569" i="8"/>
  <c r="C569" i="8"/>
  <c r="B569" i="8"/>
  <c r="K568" i="8"/>
  <c r="C568" i="8"/>
  <c r="B568" i="8"/>
  <c r="K567" i="8"/>
  <c r="C567" i="8"/>
  <c r="B567" i="8"/>
  <c r="K566" i="8"/>
  <c r="K565" i="8"/>
  <c r="C565" i="8"/>
  <c r="B565" i="8"/>
  <c r="K564" i="8"/>
  <c r="C564" i="8"/>
  <c r="B564" i="8"/>
  <c r="K563" i="8"/>
  <c r="C563" i="8"/>
  <c r="B563" i="8"/>
  <c r="K562" i="8"/>
  <c r="C562" i="8"/>
  <c r="B562" i="8"/>
  <c r="K561" i="8"/>
  <c r="C561" i="8"/>
  <c r="B561" i="8"/>
  <c r="K560" i="8"/>
  <c r="C560" i="8"/>
  <c r="B560" i="8"/>
  <c r="K559" i="8"/>
  <c r="C559" i="8"/>
  <c r="B559" i="8"/>
  <c r="K558" i="8"/>
  <c r="C558" i="8"/>
  <c r="B558" i="8"/>
  <c r="K557" i="8"/>
  <c r="C557" i="8"/>
  <c r="B557" i="8"/>
  <c r="K556" i="8"/>
  <c r="C556" i="8"/>
  <c r="B556" i="8"/>
  <c r="K555" i="8"/>
  <c r="K554" i="8"/>
  <c r="C554" i="8"/>
  <c r="B554" i="8"/>
  <c r="K553" i="8"/>
  <c r="C553" i="8"/>
  <c r="B553" i="8"/>
  <c r="K552" i="8"/>
  <c r="C552" i="8"/>
  <c r="B552" i="8"/>
  <c r="K551" i="8"/>
  <c r="C551" i="8"/>
  <c r="B551" i="8"/>
  <c r="K550" i="8"/>
  <c r="C550" i="8"/>
  <c r="B550" i="8"/>
  <c r="K549" i="8"/>
  <c r="C549" i="8"/>
  <c r="B549" i="8"/>
  <c r="K548" i="8"/>
  <c r="C548" i="8"/>
  <c r="B548" i="8"/>
  <c r="K547" i="8"/>
  <c r="C547" i="8"/>
  <c r="B547" i="8"/>
  <c r="K546" i="8"/>
  <c r="C546" i="8"/>
  <c r="B546" i="8"/>
  <c r="K545" i="8"/>
  <c r="C545" i="8"/>
  <c r="B545" i="8"/>
  <c r="K544" i="8"/>
  <c r="K543" i="8"/>
  <c r="C543" i="8"/>
  <c r="B543" i="8"/>
  <c r="K542" i="8"/>
  <c r="C542" i="8"/>
  <c r="B542" i="8"/>
  <c r="K541" i="8"/>
  <c r="C541" i="8"/>
  <c r="B541" i="8"/>
  <c r="K540" i="8"/>
  <c r="C540" i="8"/>
  <c r="B540" i="8"/>
  <c r="K539" i="8"/>
  <c r="C539" i="8"/>
  <c r="B539" i="8"/>
  <c r="K538" i="8"/>
  <c r="C538" i="8"/>
  <c r="B538" i="8"/>
  <c r="K537" i="8"/>
  <c r="C537" i="8"/>
  <c r="B537" i="8"/>
  <c r="K536" i="8"/>
  <c r="C536" i="8"/>
  <c r="B536" i="8"/>
  <c r="K535" i="8"/>
  <c r="C535" i="8"/>
  <c r="B535" i="8"/>
  <c r="K534" i="8"/>
  <c r="C534" i="8"/>
  <c r="B534" i="8"/>
  <c r="K533" i="8"/>
  <c r="K532" i="8"/>
  <c r="K531" i="8"/>
  <c r="K530" i="8"/>
  <c r="K529" i="8"/>
  <c r="K528" i="8"/>
  <c r="K527" i="8"/>
  <c r="K526" i="8"/>
  <c r="K525" i="8"/>
  <c r="K524" i="8"/>
  <c r="K523" i="8"/>
  <c r="K522" i="8"/>
  <c r="K521" i="8"/>
  <c r="C521" i="8"/>
  <c r="B521" i="8"/>
  <c r="K520" i="8"/>
  <c r="C520" i="8"/>
  <c r="B520" i="8"/>
  <c r="K519" i="8"/>
  <c r="C519" i="8"/>
  <c r="B519" i="8"/>
  <c r="K518" i="8"/>
  <c r="C518" i="8"/>
  <c r="B518" i="8"/>
  <c r="K517" i="8"/>
  <c r="C517" i="8"/>
  <c r="B517" i="8"/>
  <c r="K516" i="8"/>
  <c r="C516" i="8"/>
  <c r="B516" i="8"/>
  <c r="K515" i="8"/>
  <c r="C515" i="8"/>
  <c r="B515" i="8"/>
  <c r="K514" i="8"/>
  <c r="C514" i="8"/>
  <c r="B514" i="8"/>
  <c r="K513" i="8"/>
  <c r="C513" i="8"/>
  <c r="B513" i="8"/>
  <c r="K512" i="8"/>
  <c r="C512" i="8"/>
  <c r="B512" i="8"/>
  <c r="K511" i="8"/>
  <c r="K510" i="8"/>
  <c r="C510" i="8"/>
  <c r="B510" i="8"/>
  <c r="K509" i="8"/>
  <c r="C509" i="8"/>
  <c r="B509" i="8"/>
  <c r="K508" i="8"/>
  <c r="C508" i="8"/>
  <c r="B508" i="8"/>
  <c r="K507" i="8"/>
  <c r="C507" i="8"/>
  <c r="B507" i="8"/>
  <c r="K506" i="8"/>
  <c r="C506" i="8"/>
  <c r="B506" i="8"/>
  <c r="K505" i="8"/>
  <c r="C505" i="8"/>
  <c r="B505" i="8"/>
  <c r="K504" i="8"/>
  <c r="C504" i="8"/>
  <c r="B504" i="8"/>
  <c r="K503" i="8"/>
  <c r="C503" i="8"/>
  <c r="B503" i="8"/>
  <c r="K502" i="8"/>
  <c r="C502" i="8"/>
  <c r="B502" i="8"/>
  <c r="K501" i="8"/>
  <c r="C501" i="8"/>
  <c r="B501" i="8"/>
  <c r="K500" i="8"/>
  <c r="K499" i="8"/>
  <c r="C499" i="8"/>
  <c r="B499" i="8"/>
  <c r="K498" i="8"/>
  <c r="C498" i="8"/>
  <c r="B498" i="8"/>
  <c r="K497" i="8"/>
  <c r="C497" i="8"/>
  <c r="B497" i="8"/>
  <c r="K496" i="8"/>
  <c r="C496" i="8"/>
  <c r="B496" i="8"/>
  <c r="K495" i="8"/>
  <c r="C495" i="8"/>
  <c r="B495" i="8"/>
  <c r="K494" i="8"/>
  <c r="C494" i="8"/>
  <c r="B494" i="8"/>
  <c r="K493" i="8"/>
  <c r="C493" i="8"/>
  <c r="B493" i="8"/>
  <c r="K492" i="8"/>
  <c r="C492" i="8"/>
  <c r="B492" i="8"/>
  <c r="K491" i="8"/>
  <c r="C491" i="8"/>
  <c r="B491" i="8"/>
  <c r="K490" i="8"/>
  <c r="C490" i="8"/>
  <c r="B490" i="8"/>
  <c r="K489" i="8"/>
  <c r="K488" i="8"/>
  <c r="C488" i="8"/>
  <c r="B488" i="8"/>
  <c r="K487" i="8"/>
  <c r="C487" i="8"/>
  <c r="B487" i="8"/>
  <c r="K486" i="8"/>
  <c r="C486" i="8"/>
  <c r="B486" i="8"/>
  <c r="K485" i="8"/>
  <c r="C485" i="8"/>
  <c r="B485" i="8"/>
  <c r="K484" i="8"/>
  <c r="C484" i="8"/>
  <c r="B484" i="8"/>
  <c r="K483" i="8"/>
  <c r="C483" i="8"/>
  <c r="B483" i="8"/>
  <c r="K482" i="8"/>
  <c r="C482" i="8"/>
  <c r="B482" i="8"/>
  <c r="K481" i="8"/>
  <c r="C481" i="8"/>
  <c r="B481" i="8"/>
  <c r="K480" i="8"/>
  <c r="C480" i="8"/>
  <c r="B480" i="8"/>
  <c r="K479" i="8"/>
  <c r="K478" i="8"/>
  <c r="C478" i="8"/>
  <c r="B478" i="8"/>
  <c r="K477" i="8"/>
  <c r="C477" i="8"/>
  <c r="B477" i="8"/>
  <c r="K476" i="8"/>
  <c r="C476" i="8"/>
  <c r="B476" i="8"/>
  <c r="K475" i="8"/>
  <c r="C475" i="8"/>
  <c r="B475" i="8"/>
  <c r="K474" i="8"/>
  <c r="C474" i="8"/>
  <c r="B474" i="8"/>
  <c r="K473" i="8"/>
  <c r="C473" i="8"/>
  <c r="B473" i="8"/>
  <c r="K472" i="8"/>
  <c r="C472" i="8"/>
  <c r="B472" i="8"/>
  <c r="K471" i="8"/>
  <c r="C471" i="8"/>
  <c r="B471" i="8"/>
  <c r="K470" i="8"/>
  <c r="C470" i="8"/>
  <c r="B470" i="8"/>
  <c r="K469" i="8"/>
  <c r="K468" i="8"/>
  <c r="K467" i="8"/>
  <c r="K466" i="8"/>
  <c r="K465" i="8"/>
  <c r="K464" i="8"/>
  <c r="K463" i="8"/>
  <c r="K462" i="8"/>
  <c r="K461" i="8"/>
  <c r="K460" i="8"/>
  <c r="K459" i="8"/>
  <c r="K458" i="8"/>
  <c r="C458" i="8"/>
  <c r="B458" i="8"/>
  <c r="K457" i="8"/>
  <c r="C457" i="8"/>
  <c r="B457" i="8"/>
  <c r="K456" i="8"/>
  <c r="C456" i="8"/>
  <c r="B456" i="8"/>
  <c r="K455" i="8"/>
  <c r="C455" i="8"/>
  <c r="B455" i="8"/>
  <c r="K454" i="8"/>
  <c r="C454" i="8"/>
  <c r="B454" i="8"/>
  <c r="K453" i="8"/>
  <c r="C453" i="8"/>
  <c r="B453" i="8"/>
  <c r="K452" i="8"/>
  <c r="C452" i="8"/>
  <c r="B452" i="8"/>
  <c r="K451" i="8"/>
  <c r="C451" i="8"/>
  <c r="B451" i="8"/>
  <c r="K450" i="8"/>
  <c r="C450" i="8"/>
  <c r="B450" i="8"/>
  <c r="K449" i="8"/>
  <c r="K448" i="8"/>
  <c r="K447" i="8"/>
  <c r="K446" i="8"/>
  <c r="K445" i="8"/>
  <c r="K444" i="8"/>
  <c r="K443" i="8"/>
  <c r="K442" i="8"/>
  <c r="K441" i="8"/>
  <c r="K440" i="8"/>
  <c r="K439" i="8"/>
  <c r="K438" i="8"/>
  <c r="K437" i="8"/>
  <c r="K436" i="8"/>
  <c r="K435" i="8"/>
  <c r="K434" i="8"/>
  <c r="K433" i="8"/>
  <c r="K432" i="8"/>
  <c r="K431" i="8"/>
  <c r="K430" i="8"/>
  <c r="K429" i="8"/>
  <c r="K428" i="8"/>
  <c r="K427" i="8"/>
  <c r="K426" i="8"/>
  <c r="K425" i="8"/>
  <c r="K424" i="8"/>
  <c r="K423" i="8"/>
  <c r="K422" i="8"/>
  <c r="K421" i="8"/>
  <c r="K420" i="8"/>
  <c r="K419" i="8"/>
  <c r="K418" i="8"/>
  <c r="K417" i="8"/>
  <c r="K416" i="8"/>
  <c r="K415" i="8"/>
  <c r="K414" i="8"/>
  <c r="K413" i="8"/>
  <c r="K412" i="8"/>
  <c r="K411" i="8"/>
  <c r="K410" i="8"/>
  <c r="K409" i="8"/>
  <c r="K408" i="8"/>
  <c r="K407" i="8"/>
  <c r="C407" i="8"/>
  <c r="B407" i="8"/>
  <c r="K406" i="8"/>
  <c r="C406" i="8"/>
  <c r="B406" i="8"/>
  <c r="K405" i="8"/>
  <c r="C405" i="8"/>
  <c r="B405" i="8"/>
  <c r="K404" i="8"/>
  <c r="C404" i="8"/>
  <c r="B404" i="8"/>
  <c r="K403" i="8"/>
  <c r="C403" i="8"/>
  <c r="B403" i="8"/>
  <c r="K402" i="8"/>
  <c r="C402" i="8"/>
  <c r="B402" i="8"/>
  <c r="K401" i="8"/>
  <c r="C401" i="8"/>
  <c r="B401" i="8"/>
  <c r="K400" i="8"/>
  <c r="C400" i="8"/>
  <c r="B400" i="8"/>
  <c r="K399" i="8"/>
  <c r="K398" i="8"/>
  <c r="C398" i="8"/>
  <c r="B398" i="8"/>
  <c r="K397" i="8"/>
  <c r="C397" i="8"/>
  <c r="B397" i="8"/>
  <c r="K396" i="8"/>
  <c r="C396" i="8"/>
  <c r="B396" i="8"/>
  <c r="K395" i="8"/>
  <c r="C395" i="8"/>
  <c r="B395" i="8"/>
  <c r="K394" i="8"/>
  <c r="C394" i="8"/>
  <c r="B394" i="8"/>
  <c r="K393" i="8"/>
  <c r="C393" i="8"/>
  <c r="B393" i="8"/>
  <c r="K392" i="8"/>
  <c r="C392" i="8"/>
  <c r="B392" i="8"/>
  <c r="K391" i="8"/>
  <c r="C391" i="8"/>
  <c r="B391" i="8"/>
  <c r="K390" i="8"/>
  <c r="K389" i="8"/>
  <c r="C389" i="8"/>
  <c r="B389" i="8"/>
  <c r="K388" i="8"/>
  <c r="C388" i="8"/>
  <c r="B388" i="8"/>
  <c r="K387" i="8"/>
  <c r="C387" i="8"/>
  <c r="B387" i="8"/>
  <c r="K386" i="8"/>
  <c r="C386" i="8"/>
  <c r="B386" i="8"/>
  <c r="K385" i="8"/>
  <c r="C385" i="8"/>
  <c r="B385" i="8"/>
  <c r="K384" i="8"/>
  <c r="C384" i="8"/>
  <c r="B384" i="8"/>
  <c r="K383" i="8"/>
  <c r="C383" i="8"/>
  <c r="B383" i="8"/>
  <c r="K382" i="8"/>
  <c r="C382" i="8"/>
  <c r="B382" i="8"/>
  <c r="K381" i="8"/>
  <c r="C381" i="8"/>
  <c r="B381" i="8"/>
  <c r="K380" i="8"/>
  <c r="K379" i="8"/>
  <c r="C379" i="8"/>
  <c r="B379" i="8"/>
  <c r="K378" i="8"/>
  <c r="C378" i="8"/>
  <c r="B378" i="8"/>
  <c r="K377" i="8"/>
  <c r="C377" i="8"/>
  <c r="B377" i="8"/>
  <c r="K376" i="8"/>
  <c r="C376" i="8"/>
  <c r="B376" i="8"/>
  <c r="K375" i="8"/>
  <c r="C375" i="8"/>
  <c r="B375" i="8"/>
  <c r="K374" i="8"/>
  <c r="C374" i="8"/>
  <c r="B374" i="8"/>
  <c r="K373" i="8"/>
  <c r="C373" i="8"/>
  <c r="B373" i="8"/>
  <c r="K372" i="8"/>
  <c r="C372" i="8"/>
  <c r="B372" i="8"/>
  <c r="K371" i="8"/>
  <c r="C371" i="8"/>
  <c r="B371" i="8"/>
  <c r="K370" i="8"/>
  <c r="K369" i="8"/>
  <c r="K368" i="8"/>
  <c r="K367" i="8"/>
  <c r="K366" i="8"/>
  <c r="K365" i="8"/>
  <c r="K364" i="8"/>
  <c r="K363" i="8"/>
  <c r="K362" i="8"/>
  <c r="K361" i="8"/>
  <c r="K360" i="8"/>
  <c r="K359" i="8"/>
  <c r="K358" i="8"/>
  <c r="K357" i="8"/>
  <c r="K356" i="8"/>
  <c r="K355" i="8"/>
  <c r="K354" i="8"/>
  <c r="K353" i="8"/>
  <c r="K352" i="8"/>
  <c r="K351" i="8"/>
  <c r="K350" i="8"/>
  <c r="K349" i="8"/>
  <c r="K348" i="8"/>
  <c r="K347" i="8"/>
  <c r="K346" i="8"/>
  <c r="K345" i="8"/>
  <c r="K344" i="8"/>
  <c r="K343" i="8"/>
  <c r="K342" i="8"/>
  <c r="K341" i="8"/>
  <c r="K340" i="8"/>
  <c r="K339" i="8"/>
  <c r="K338" i="8"/>
  <c r="K337" i="8"/>
  <c r="K336" i="8"/>
  <c r="K335" i="8"/>
  <c r="K334" i="8"/>
  <c r="K333" i="8"/>
  <c r="K332" i="8"/>
  <c r="K331" i="8"/>
  <c r="K330" i="8"/>
  <c r="K329" i="8"/>
  <c r="K328" i="8"/>
  <c r="K327" i="8"/>
  <c r="K326" i="8"/>
  <c r="K325" i="8"/>
  <c r="K324" i="8"/>
  <c r="K323" i="8"/>
  <c r="K322" i="8"/>
  <c r="K321" i="8"/>
  <c r="K320" i="8"/>
  <c r="K319" i="8"/>
  <c r="K318" i="8"/>
  <c r="K317" i="8"/>
  <c r="K316" i="8"/>
  <c r="K315" i="8"/>
  <c r="K314" i="8"/>
  <c r="I313" i="8"/>
  <c r="K312" i="8"/>
  <c r="C312" i="8"/>
  <c r="B312" i="8"/>
  <c r="C311" i="8"/>
  <c r="B311" i="8"/>
  <c r="C310" i="8"/>
  <c r="B310" i="8"/>
  <c r="C309" i="8"/>
  <c r="B309" i="8"/>
  <c r="C308" i="8"/>
  <c r="B308" i="8"/>
  <c r="C307" i="8"/>
  <c r="B307" i="8"/>
  <c r="C306" i="8"/>
  <c r="B306" i="8"/>
  <c r="C305" i="8"/>
  <c r="B305" i="8"/>
  <c r="K304" i="8"/>
  <c r="K303" i="8"/>
  <c r="K302" i="8"/>
  <c r="K301" i="8"/>
  <c r="K300" i="8"/>
  <c r="K299" i="8"/>
  <c r="K298" i="8"/>
  <c r="K297" i="8"/>
  <c r="K296" i="8"/>
  <c r="K295" i="8"/>
  <c r="K294" i="8"/>
  <c r="C294" i="8"/>
  <c r="B294" i="8"/>
  <c r="K293" i="8"/>
  <c r="C293" i="8"/>
  <c r="B293" i="8"/>
  <c r="K292" i="8"/>
  <c r="C292" i="8"/>
  <c r="B292" i="8"/>
  <c r="K291" i="8"/>
  <c r="C291" i="8"/>
  <c r="B291" i="8"/>
  <c r="K290" i="8"/>
  <c r="C290" i="8"/>
  <c r="B290" i="8"/>
  <c r="K289" i="8"/>
  <c r="C289" i="8"/>
  <c r="B289" i="8"/>
  <c r="K288" i="8"/>
  <c r="C288" i="8"/>
  <c r="B288" i="8"/>
  <c r="K287" i="8"/>
  <c r="C287" i="8"/>
  <c r="B287" i="8"/>
  <c r="K286" i="8"/>
  <c r="K285" i="8"/>
  <c r="C285" i="8"/>
  <c r="B285" i="8"/>
  <c r="K284" i="8"/>
  <c r="C284" i="8"/>
  <c r="B284" i="8"/>
  <c r="K283" i="8"/>
  <c r="C283" i="8"/>
  <c r="B283" i="8"/>
  <c r="K282" i="8"/>
  <c r="C282" i="8"/>
  <c r="B282" i="8"/>
  <c r="K281" i="8"/>
  <c r="C281" i="8"/>
  <c r="B281" i="8"/>
  <c r="K280" i="8"/>
  <c r="C280" i="8"/>
  <c r="B280" i="8"/>
  <c r="K279" i="8"/>
  <c r="C279" i="8"/>
  <c r="B279" i="8"/>
  <c r="K278" i="8"/>
  <c r="C278" i="8"/>
  <c r="B278" i="8"/>
  <c r="K277" i="8"/>
  <c r="K276" i="8"/>
  <c r="K275" i="8"/>
  <c r="K274" i="8"/>
  <c r="K273" i="8"/>
  <c r="K272" i="8"/>
  <c r="K271" i="8"/>
  <c r="K270" i="8"/>
  <c r="K269" i="8"/>
  <c r="K268" i="8"/>
  <c r="K267" i="8"/>
  <c r="C267" i="8"/>
  <c r="B267" i="8"/>
  <c r="K266" i="8"/>
  <c r="C266" i="8"/>
  <c r="B266" i="8"/>
  <c r="K265" i="8"/>
  <c r="C265" i="8"/>
  <c r="B265" i="8"/>
  <c r="K264" i="8"/>
  <c r="C264" i="8"/>
  <c r="B264" i="8"/>
  <c r="K263" i="8"/>
  <c r="C263" i="8"/>
  <c r="B263" i="8"/>
  <c r="K262" i="8"/>
  <c r="C262" i="8"/>
  <c r="B262" i="8"/>
  <c r="K261" i="8"/>
  <c r="C261" i="8"/>
  <c r="B261" i="8"/>
  <c r="K260" i="8"/>
  <c r="C260" i="8"/>
  <c r="B260" i="8"/>
  <c r="K259" i="8"/>
  <c r="K258" i="8"/>
  <c r="K257" i="8"/>
  <c r="K256" i="8"/>
  <c r="K255" i="8"/>
  <c r="K254" i="8"/>
  <c r="K253" i="8"/>
  <c r="K252" i="8"/>
  <c r="K251" i="8"/>
  <c r="K250" i="8"/>
  <c r="K249" i="8"/>
  <c r="K248" i="8"/>
  <c r="K247" i="8"/>
  <c r="K246" i="8"/>
  <c r="K245" i="8"/>
  <c r="K244" i="8"/>
  <c r="K243" i="8"/>
  <c r="K242" i="8"/>
  <c r="K241" i="8"/>
  <c r="K240" i="8"/>
  <c r="K239" i="8"/>
  <c r="K238" i="8"/>
  <c r="K237" i="8"/>
  <c r="K236" i="8"/>
  <c r="K235" i="8"/>
  <c r="K234" i="8"/>
  <c r="K233" i="8"/>
  <c r="K232" i="8"/>
  <c r="K231" i="8"/>
  <c r="K230" i="8"/>
  <c r="K229" i="8"/>
  <c r="K228" i="8"/>
  <c r="K227" i="8"/>
  <c r="K226" i="8"/>
  <c r="K225" i="8"/>
  <c r="K224" i="8"/>
  <c r="K223" i="8"/>
  <c r="K222" i="8"/>
  <c r="K221" i="8"/>
  <c r="K220" i="8"/>
  <c r="K219" i="8"/>
  <c r="K218" i="8"/>
  <c r="K217" i="8"/>
  <c r="K216" i="8"/>
  <c r="K215" i="8"/>
  <c r="K214" i="8"/>
  <c r="K213" i="8"/>
  <c r="K212" i="8"/>
  <c r="K211" i="8"/>
  <c r="K210" i="8"/>
  <c r="K209" i="8"/>
  <c r="K208" i="8"/>
  <c r="K207" i="8"/>
  <c r="K206" i="8"/>
  <c r="K205" i="8"/>
  <c r="K204" i="8"/>
  <c r="K203" i="8"/>
  <c r="K202" i="8"/>
  <c r="K201" i="8"/>
  <c r="K200" i="8"/>
  <c r="K199" i="8"/>
  <c r="K198" i="8"/>
  <c r="K197" i="8"/>
  <c r="K196" i="8"/>
  <c r="K195" i="8"/>
  <c r="K194" i="8"/>
  <c r="K193" i="8"/>
  <c r="K192" i="8"/>
  <c r="K191" i="8"/>
  <c r="K190" i="8"/>
  <c r="K189" i="8"/>
  <c r="K188" i="8"/>
  <c r="K187" i="8"/>
  <c r="K186" i="8"/>
  <c r="K185" i="8"/>
  <c r="K184" i="8"/>
  <c r="K183" i="8"/>
  <c r="K182" i="8"/>
  <c r="K181" i="8"/>
  <c r="K180" i="8"/>
  <c r="K179" i="8"/>
  <c r="K178" i="8"/>
  <c r="K177" i="8"/>
  <c r="K176" i="8"/>
  <c r="K175" i="8"/>
  <c r="K174" i="8"/>
  <c r="K173" i="8"/>
  <c r="K172" i="8"/>
  <c r="K171" i="8"/>
  <c r="K170" i="8"/>
  <c r="K169" i="8"/>
  <c r="K168" i="8"/>
  <c r="K167" i="8"/>
  <c r="K166" i="8"/>
  <c r="K165" i="8"/>
  <c r="C165" i="8"/>
  <c r="B165" i="8"/>
  <c r="K164" i="8"/>
  <c r="C164" i="8"/>
  <c r="B164" i="8"/>
  <c r="K163" i="8"/>
  <c r="C163" i="8"/>
  <c r="B163" i="8"/>
  <c r="K162" i="8"/>
  <c r="C162" i="8"/>
  <c r="B162" i="8"/>
  <c r="K161" i="8"/>
  <c r="C161" i="8"/>
  <c r="B161" i="8"/>
  <c r="K160" i="8"/>
  <c r="C160" i="8"/>
  <c r="B160" i="8"/>
  <c r="K159" i="8"/>
  <c r="C159" i="8"/>
  <c r="B159" i="8"/>
  <c r="K158" i="8"/>
  <c r="C158" i="8"/>
  <c r="B158" i="8"/>
  <c r="K157" i="8"/>
  <c r="K156" i="8"/>
  <c r="K155" i="8"/>
  <c r="K154" i="8"/>
  <c r="K153" i="8"/>
  <c r="K152" i="8"/>
  <c r="K151" i="8"/>
  <c r="K150" i="8"/>
  <c r="K149" i="8"/>
  <c r="K148" i="8"/>
  <c r="K147" i="8"/>
  <c r="K146" i="8"/>
  <c r="K145" i="8"/>
  <c r="K144" i="8"/>
  <c r="K143" i="8"/>
  <c r="K142" i="8"/>
  <c r="K141" i="8"/>
  <c r="K140" i="8"/>
  <c r="K139" i="8"/>
  <c r="K138" i="8"/>
  <c r="K137" i="8"/>
  <c r="K136" i="8"/>
  <c r="K135" i="8"/>
  <c r="K134" i="8"/>
  <c r="K133" i="8"/>
  <c r="K132" i="8"/>
  <c r="K131" i="8"/>
  <c r="K130" i="8"/>
  <c r="K129" i="8"/>
  <c r="K128" i="8"/>
  <c r="K127" i="8"/>
  <c r="K126" i="8"/>
  <c r="K125" i="8"/>
  <c r="K124" i="8"/>
  <c r="K123" i="8"/>
  <c r="K122" i="8"/>
  <c r="K121" i="8"/>
  <c r="K120" i="8"/>
  <c r="K119" i="8"/>
  <c r="K118" i="8"/>
  <c r="K117" i="8"/>
  <c r="K116" i="8"/>
  <c r="K115" i="8"/>
  <c r="K114" i="8"/>
  <c r="K113" i="8"/>
  <c r="K112" i="8"/>
  <c r="K111" i="8"/>
  <c r="K110" i="8"/>
  <c r="K109" i="8"/>
  <c r="K108" i="8"/>
  <c r="K107" i="8"/>
  <c r="K106" i="8"/>
  <c r="K105" i="8"/>
  <c r="K104" i="8"/>
  <c r="K103" i="8"/>
  <c r="K102" i="8"/>
  <c r="K101" i="8"/>
  <c r="K100" i="8"/>
  <c r="K99" i="8"/>
  <c r="K98" i="8"/>
  <c r="K97" i="8"/>
  <c r="K96" i="8"/>
  <c r="K95" i="8"/>
  <c r="K94" i="8"/>
  <c r="K93" i="8"/>
  <c r="K92" i="8"/>
  <c r="K91" i="8"/>
  <c r="K90" i="8"/>
  <c r="K89" i="8"/>
  <c r="K88" i="8"/>
  <c r="K87" i="8"/>
  <c r="K86" i="8"/>
  <c r="K85" i="8"/>
  <c r="K84" i="8"/>
  <c r="K83" i="8"/>
  <c r="K82" i="8"/>
  <c r="K81" i="8"/>
  <c r="K80" i="8"/>
  <c r="K79" i="8"/>
  <c r="K78" i="8"/>
  <c r="K77" i="8"/>
  <c r="K76" i="8"/>
  <c r="K75" i="8"/>
  <c r="K74" i="8"/>
  <c r="K73" i="8"/>
  <c r="K72" i="8"/>
  <c r="K71" i="8"/>
  <c r="K70" i="8"/>
  <c r="K69" i="8"/>
  <c r="K68" i="8"/>
  <c r="K67" i="8"/>
  <c r="K66" i="8"/>
  <c r="K65" i="8"/>
  <c r="K64" i="8"/>
  <c r="K63" i="8"/>
  <c r="K62" i="8"/>
  <c r="K61" i="8"/>
  <c r="K60" i="8"/>
  <c r="K59" i="8"/>
  <c r="K58" i="8"/>
  <c r="K57" i="8"/>
  <c r="K56" i="8"/>
  <c r="K55" i="8"/>
  <c r="K54" i="8"/>
  <c r="K53" i="8"/>
  <c r="K52" i="8"/>
  <c r="K51" i="8"/>
  <c r="K50" i="8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K9" i="8"/>
  <c r="K8" i="8"/>
  <c r="K7" i="8"/>
  <c r="K6" i="8"/>
  <c r="K5" i="8"/>
  <c r="K4" i="8"/>
  <c r="K3" i="8"/>
  <c r="K2" i="8"/>
  <c r="F272" i="9"/>
  <c r="O272" i="9"/>
  <c r="C272" i="9"/>
  <c r="F271" i="9"/>
  <c r="O271" i="9"/>
  <c r="C271" i="9"/>
  <c r="F270" i="9"/>
  <c r="O270" i="9"/>
  <c r="C270" i="9"/>
  <c r="F269" i="9"/>
  <c r="O269" i="9"/>
  <c r="C269" i="9"/>
  <c r="F268" i="9"/>
  <c r="O268" i="9"/>
  <c r="C268" i="9"/>
  <c r="F267" i="9"/>
  <c r="O267" i="9"/>
  <c r="C267" i="9"/>
  <c r="F266" i="9"/>
  <c r="O266" i="9"/>
  <c r="C266" i="9"/>
  <c r="F265" i="9"/>
  <c r="O265" i="9"/>
  <c r="C265" i="9"/>
  <c r="F264" i="9"/>
  <c r="O264" i="9"/>
  <c r="C264" i="9"/>
  <c r="F263" i="9"/>
  <c r="O263" i="9"/>
  <c r="C263" i="9"/>
  <c r="F262" i="9"/>
  <c r="O262" i="9"/>
  <c r="C262" i="9"/>
  <c r="F261" i="9"/>
  <c r="O261" i="9"/>
  <c r="C261" i="9"/>
  <c r="F260" i="9"/>
  <c r="O260" i="9"/>
  <c r="C260" i="9"/>
  <c r="F259" i="9"/>
  <c r="O259" i="9"/>
  <c r="C259" i="9"/>
  <c r="F258" i="9"/>
  <c r="O258" i="9"/>
  <c r="C258" i="9"/>
  <c r="F257" i="9"/>
  <c r="O257" i="9"/>
  <c r="C257" i="9"/>
  <c r="F256" i="9"/>
  <c r="O256" i="9"/>
  <c r="C256" i="9"/>
  <c r="F255" i="9"/>
  <c r="O255" i="9"/>
  <c r="C255" i="9"/>
  <c r="F254" i="9"/>
  <c r="O254" i="9"/>
  <c r="C254" i="9"/>
  <c r="F253" i="9"/>
  <c r="O253" i="9"/>
  <c r="C253" i="9"/>
  <c r="F252" i="9"/>
  <c r="O252" i="9"/>
  <c r="C252" i="9"/>
  <c r="F251" i="9"/>
  <c r="O251" i="9"/>
  <c r="C251" i="9"/>
  <c r="F250" i="9"/>
  <c r="O250" i="9"/>
  <c r="C250" i="9"/>
  <c r="F249" i="9"/>
  <c r="O249" i="9"/>
  <c r="C249" i="9"/>
  <c r="F248" i="9"/>
  <c r="O248" i="9"/>
  <c r="C248" i="9"/>
  <c r="F247" i="9"/>
  <c r="O247" i="9"/>
  <c r="C247" i="9"/>
  <c r="F246" i="9"/>
  <c r="O246" i="9"/>
  <c r="C246" i="9"/>
  <c r="F245" i="9"/>
  <c r="O245" i="9"/>
  <c r="C245" i="9"/>
  <c r="F244" i="9"/>
  <c r="O244" i="9"/>
  <c r="C244" i="9"/>
  <c r="F243" i="9"/>
  <c r="O243" i="9"/>
  <c r="C243" i="9"/>
  <c r="F242" i="9"/>
  <c r="O242" i="9"/>
  <c r="C242" i="9"/>
  <c r="F241" i="9"/>
  <c r="O241" i="9"/>
  <c r="C241" i="9"/>
  <c r="F240" i="9"/>
  <c r="O240" i="9"/>
  <c r="C240" i="9"/>
  <c r="F239" i="9"/>
  <c r="O239" i="9"/>
  <c r="C239" i="9"/>
  <c r="F238" i="9"/>
  <c r="O238" i="9"/>
  <c r="C238" i="9"/>
  <c r="F237" i="9"/>
  <c r="O237" i="9"/>
  <c r="C237" i="9"/>
  <c r="F236" i="9"/>
  <c r="O236" i="9"/>
  <c r="C236" i="9"/>
  <c r="F235" i="9"/>
  <c r="O235" i="9"/>
  <c r="C235" i="9"/>
  <c r="F234" i="9"/>
  <c r="O234" i="9"/>
  <c r="C234" i="9"/>
  <c r="F233" i="9"/>
  <c r="O233" i="9"/>
  <c r="C233" i="9"/>
  <c r="F232" i="9"/>
  <c r="O232" i="9"/>
  <c r="C232" i="9"/>
  <c r="F231" i="9"/>
  <c r="O231" i="9"/>
  <c r="C231" i="9"/>
  <c r="F230" i="9"/>
  <c r="O230" i="9"/>
  <c r="C230" i="9"/>
  <c r="F229" i="9"/>
  <c r="O229" i="9"/>
  <c r="C229" i="9"/>
  <c r="F228" i="9"/>
  <c r="O228" i="9"/>
  <c r="C228" i="9"/>
  <c r="F227" i="9"/>
  <c r="O227" i="9"/>
  <c r="C227" i="9"/>
  <c r="F226" i="9"/>
  <c r="O226" i="9"/>
  <c r="C226" i="9"/>
  <c r="F225" i="9"/>
  <c r="O225" i="9"/>
  <c r="C225" i="9"/>
  <c r="F224" i="9"/>
  <c r="O224" i="9"/>
  <c r="C224" i="9"/>
  <c r="F223" i="9"/>
  <c r="O223" i="9"/>
  <c r="C223" i="9"/>
  <c r="F222" i="9"/>
  <c r="O222" i="9"/>
  <c r="C222" i="9"/>
  <c r="F221" i="9"/>
  <c r="O221" i="9"/>
  <c r="C221" i="9"/>
  <c r="F220" i="9"/>
  <c r="O220" i="9"/>
  <c r="C220" i="9"/>
  <c r="F219" i="9"/>
  <c r="O219" i="9"/>
  <c r="C219" i="9"/>
  <c r="F218" i="9"/>
  <c r="O218" i="9"/>
  <c r="C218" i="9"/>
  <c r="F217" i="9"/>
  <c r="O217" i="9"/>
  <c r="C217" i="9"/>
  <c r="F216" i="9"/>
  <c r="J216" i="9"/>
  <c r="C216" i="9"/>
  <c r="F215" i="9"/>
  <c r="O215" i="9"/>
  <c r="C215" i="9"/>
  <c r="F214" i="9"/>
  <c r="O214" i="9"/>
  <c r="C214" i="9"/>
  <c r="F213" i="9"/>
  <c r="O213" i="9"/>
  <c r="C213" i="9"/>
  <c r="F212" i="9"/>
  <c r="J212" i="9"/>
  <c r="C212" i="9"/>
  <c r="F211" i="9"/>
  <c r="O211" i="9"/>
  <c r="C211" i="9"/>
  <c r="F210" i="9"/>
  <c r="O210" i="9"/>
  <c r="C210" i="9"/>
  <c r="F209" i="9"/>
  <c r="O209" i="9"/>
  <c r="C209" i="9"/>
  <c r="F208" i="9"/>
  <c r="J208" i="9"/>
  <c r="C208" i="9"/>
  <c r="F207" i="9"/>
  <c r="O207" i="9"/>
  <c r="C207" i="9"/>
  <c r="F206" i="9"/>
  <c r="O206" i="9"/>
  <c r="C206" i="9"/>
  <c r="F205" i="9"/>
  <c r="O205" i="9"/>
  <c r="C205" i="9"/>
  <c r="F204" i="9"/>
  <c r="J204" i="9"/>
  <c r="C204" i="9"/>
  <c r="F203" i="9"/>
  <c r="O203" i="9"/>
  <c r="C203" i="9"/>
  <c r="F202" i="9"/>
  <c r="O202" i="9"/>
  <c r="C202" i="9"/>
  <c r="F201" i="9"/>
  <c r="O201" i="9"/>
  <c r="C201" i="9"/>
  <c r="F200" i="9"/>
  <c r="J200" i="9"/>
  <c r="C200" i="9"/>
  <c r="F199" i="9"/>
  <c r="O199" i="9"/>
  <c r="C199" i="9"/>
  <c r="F198" i="9"/>
  <c r="O198" i="9"/>
  <c r="C198" i="9"/>
  <c r="F197" i="9"/>
  <c r="O197" i="9"/>
  <c r="C197" i="9"/>
  <c r="F196" i="9"/>
  <c r="J196" i="9"/>
  <c r="C196" i="9"/>
  <c r="F195" i="9"/>
  <c r="O195" i="9"/>
  <c r="C195" i="9"/>
  <c r="F194" i="9"/>
  <c r="O194" i="9"/>
  <c r="C194" i="9"/>
  <c r="F193" i="9"/>
  <c r="O193" i="9"/>
  <c r="C193" i="9"/>
  <c r="F192" i="9"/>
  <c r="J192" i="9"/>
  <c r="C192" i="9"/>
  <c r="F191" i="9"/>
  <c r="O191" i="9"/>
  <c r="C191" i="9"/>
  <c r="F190" i="9"/>
  <c r="O190" i="9"/>
  <c r="C190" i="9"/>
  <c r="F189" i="9"/>
  <c r="O189" i="9"/>
  <c r="C189" i="9"/>
  <c r="F188" i="9"/>
  <c r="J188" i="9"/>
  <c r="C188" i="9"/>
  <c r="F187" i="9"/>
  <c r="N187" i="9"/>
  <c r="C187" i="9"/>
  <c r="F186" i="9"/>
  <c r="O186" i="9"/>
  <c r="C186" i="9"/>
  <c r="F185" i="9"/>
  <c r="O185" i="9"/>
  <c r="C185" i="9"/>
  <c r="F184" i="9"/>
  <c r="J184" i="9"/>
  <c r="C184" i="9"/>
  <c r="F183" i="9"/>
  <c r="O183" i="9"/>
  <c r="C183" i="9"/>
  <c r="F182" i="9"/>
  <c r="O182" i="9"/>
  <c r="C182" i="9"/>
  <c r="F181" i="9"/>
  <c r="O181" i="9"/>
  <c r="C181" i="9"/>
  <c r="F180" i="9"/>
  <c r="J180" i="9"/>
  <c r="C180" i="9"/>
  <c r="F179" i="9"/>
  <c r="N179" i="9"/>
  <c r="C179" i="9"/>
  <c r="F178" i="9"/>
  <c r="N178" i="9"/>
  <c r="C178" i="9"/>
  <c r="F177" i="9"/>
  <c r="N177" i="9"/>
  <c r="C177" i="9"/>
  <c r="F176" i="9"/>
  <c r="N176" i="9"/>
  <c r="C176" i="9"/>
  <c r="F175" i="9"/>
  <c r="J175" i="9"/>
  <c r="C175" i="9"/>
  <c r="F174" i="9"/>
  <c r="N174" i="9"/>
  <c r="C174" i="9"/>
  <c r="F173" i="9"/>
  <c r="O173" i="9"/>
  <c r="C173" i="9"/>
  <c r="F172" i="9"/>
  <c r="N172" i="9"/>
  <c r="C172" i="9"/>
  <c r="F171" i="9"/>
  <c r="O171" i="9"/>
  <c r="C171" i="9"/>
  <c r="F170" i="9"/>
  <c r="G170" i="9"/>
  <c r="H170" i="9" s="1"/>
  <c r="C170" i="9"/>
  <c r="F169" i="9"/>
  <c r="N169" i="9"/>
  <c r="C169" i="9"/>
  <c r="F168" i="9"/>
  <c r="N168" i="9"/>
  <c r="C168" i="9"/>
  <c r="F167" i="9"/>
  <c r="O167" i="9"/>
  <c r="C167" i="9"/>
  <c r="F166" i="9"/>
  <c r="O166" i="9"/>
  <c r="C166" i="9"/>
  <c r="F165" i="9"/>
  <c r="O165" i="9"/>
  <c r="C165" i="9"/>
  <c r="F164" i="9"/>
  <c r="N164" i="9"/>
  <c r="C164" i="9"/>
  <c r="F163" i="9"/>
  <c r="N163" i="9"/>
  <c r="C163" i="9"/>
  <c r="F162" i="9"/>
  <c r="N162" i="9"/>
  <c r="C162" i="9"/>
  <c r="F161" i="9"/>
  <c r="N161" i="9"/>
  <c r="C161" i="9"/>
  <c r="F160" i="9"/>
  <c r="N160" i="9"/>
  <c r="C160" i="9"/>
  <c r="F159" i="9"/>
  <c r="O159" i="9"/>
  <c r="C159" i="9"/>
  <c r="F158" i="9"/>
  <c r="G158" i="9"/>
  <c r="H158" i="9" s="1"/>
  <c r="C158" i="9"/>
  <c r="F157" i="9"/>
  <c r="G157" i="9"/>
  <c r="C157" i="9"/>
  <c r="F156" i="9"/>
  <c r="O156" i="9"/>
  <c r="C156" i="9"/>
  <c r="F155" i="9"/>
  <c r="N155" i="9"/>
  <c r="C155" i="9"/>
  <c r="P154" i="9"/>
  <c r="F154" i="9"/>
  <c r="N154" i="9"/>
  <c r="C154" i="9"/>
  <c r="F153" i="9"/>
  <c r="O153" i="9"/>
  <c r="C153" i="9"/>
  <c r="F152" i="9"/>
  <c r="J152" i="9"/>
  <c r="C152" i="9"/>
  <c r="F151" i="9"/>
  <c r="G151" i="9"/>
  <c r="C151" i="9"/>
  <c r="F150" i="9"/>
  <c r="C150" i="9"/>
  <c r="F149" i="9"/>
  <c r="O149" i="9"/>
  <c r="C149" i="9"/>
  <c r="F148" i="9"/>
  <c r="C148" i="9"/>
  <c r="F147" i="9"/>
  <c r="O147" i="9"/>
  <c r="C147" i="9"/>
  <c r="F146" i="9"/>
  <c r="N146" i="9"/>
  <c r="C146" i="9"/>
  <c r="F145" i="9"/>
  <c r="O145" i="9"/>
  <c r="C145" i="9"/>
  <c r="F144" i="9"/>
  <c r="N144" i="9"/>
  <c r="C144" i="9"/>
  <c r="F143" i="9"/>
  <c r="O143" i="9"/>
  <c r="C143" i="9"/>
  <c r="F142" i="9"/>
  <c r="J142" i="9"/>
  <c r="C142" i="9"/>
  <c r="F141" i="9"/>
  <c r="O141" i="9"/>
  <c r="C141" i="9"/>
  <c r="F140" i="9"/>
  <c r="N140" i="9"/>
  <c r="C140" i="9"/>
  <c r="F139" i="9"/>
  <c r="G139" i="9"/>
  <c r="H139" i="9" s="1"/>
  <c r="C139" i="9"/>
  <c r="F138" i="9"/>
  <c r="C138" i="9"/>
  <c r="F137" i="9"/>
  <c r="N137" i="9"/>
  <c r="C137" i="9"/>
  <c r="F136" i="9"/>
  <c r="O136" i="9"/>
  <c r="C136" i="9"/>
  <c r="F135" i="9"/>
  <c r="G135" i="9"/>
  <c r="C135" i="9"/>
  <c r="F134" i="9"/>
  <c r="N134" i="9"/>
  <c r="C134" i="9"/>
  <c r="F133" i="9"/>
  <c r="J133" i="9"/>
  <c r="C133" i="9"/>
  <c r="F132" i="9"/>
  <c r="C132" i="9"/>
  <c r="F131" i="9"/>
  <c r="O131" i="9"/>
  <c r="C131" i="9"/>
  <c r="F130" i="9"/>
  <c r="C130" i="9"/>
  <c r="F129" i="9"/>
  <c r="N129" i="9"/>
  <c r="C129" i="9"/>
  <c r="F128" i="9"/>
  <c r="O128" i="9"/>
  <c r="C128" i="9"/>
  <c r="F127" i="9"/>
  <c r="J127" i="9"/>
  <c r="C127" i="9"/>
  <c r="F126" i="9"/>
  <c r="N126" i="9"/>
  <c r="C126" i="9"/>
  <c r="F125" i="9"/>
  <c r="C125" i="9"/>
  <c r="F124" i="9"/>
  <c r="J124" i="9"/>
  <c r="C124" i="9"/>
  <c r="F123" i="9"/>
  <c r="J123" i="9"/>
  <c r="C123" i="9"/>
  <c r="F122" i="9"/>
  <c r="N122" i="9"/>
  <c r="C122" i="9"/>
  <c r="F121" i="9"/>
  <c r="G121" i="9"/>
  <c r="H121" i="9" s="1"/>
  <c r="I121" i="9" s="1"/>
  <c r="C121" i="9"/>
  <c r="F120" i="9"/>
  <c r="G120" i="9"/>
  <c r="H120" i="9" s="1"/>
  <c r="I120" i="9" s="1"/>
  <c r="C120" i="9"/>
  <c r="F119" i="9"/>
  <c r="J119" i="9"/>
  <c r="C119" i="9"/>
  <c r="F118" i="9"/>
  <c r="N118" i="9"/>
  <c r="C118" i="9"/>
  <c r="F117" i="9"/>
  <c r="C117" i="9"/>
  <c r="F116" i="9"/>
  <c r="J116" i="9"/>
  <c r="C116" i="9"/>
  <c r="F115" i="9"/>
  <c r="J115" i="9"/>
  <c r="C115" i="9"/>
  <c r="F114" i="9"/>
  <c r="N114" i="9"/>
  <c r="C114" i="9"/>
  <c r="F113" i="9"/>
  <c r="G113" i="9"/>
  <c r="H113" i="9" s="1"/>
  <c r="C113" i="9"/>
  <c r="F112" i="9"/>
  <c r="G112" i="9"/>
  <c r="H112" i="9" s="1"/>
  <c r="C112" i="9"/>
  <c r="F111" i="9"/>
  <c r="J111" i="9"/>
  <c r="C111" i="9"/>
  <c r="F110" i="9"/>
  <c r="N110" i="9"/>
  <c r="C110" i="9"/>
  <c r="F109" i="9"/>
  <c r="C109" i="9"/>
  <c r="F108" i="9"/>
  <c r="J108" i="9"/>
  <c r="C108" i="9"/>
  <c r="F107" i="9"/>
  <c r="J107" i="9"/>
  <c r="C107" i="9"/>
  <c r="F106" i="9"/>
  <c r="J106" i="9"/>
  <c r="C106" i="9"/>
  <c r="F105" i="9"/>
  <c r="J105" i="9"/>
  <c r="C105" i="9"/>
  <c r="F104" i="9"/>
  <c r="G104" i="9"/>
  <c r="H104" i="9" s="1"/>
  <c r="C104" i="9"/>
  <c r="F103" i="9"/>
  <c r="G103" i="9"/>
  <c r="C103" i="9"/>
  <c r="CA102" i="9"/>
  <c r="F102" i="9"/>
  <c r="G102" i="9"/>
  <c r="C102" i="9"/>
  <c r="F101" i="9"/>
  <c r="C101" i="9"/>
  <c r="F100" i="9"/>
  <c r="G100" i="9"/>
  <c r="C100" i="9"/>
  <c r="F99" i="9"/>
  <c r="C99" i="9"/>
  <c r="F98" i="9"/>
  <c r="J98" i="9"/>
  <c r="C98" i="9"/>
  <c r="F97" i="9"/>
  <c r="J97" i="9"/>
  <c r="C97" i="9"/>
  <c r="F96" i="9"/>
  <c r="G96" i="9"/>
  <c r="H96" i="9" s="1"/>
  <c r="C96" i="9"/>
  <c r="F95" i="9"/>
  <c r="G95" i="9"/>
  <c r="C95" i="9"/>
  <c r="F94" i="9"/>
  <c r="J94" i="9"/>
  <c r="C94" i="9"/>
  <c r="F93" i="9"/>
  <c r="J93" i="9"/>
  <c r="C93" i="9"/>
  <c r="F92" i="9"/>
  <c r="G92" i="9"/>
  <c r="H92" i="9" s="1"/>
  <c r="C92" i="9"/>
  <c r="F91" i="9"/>
  <c r="G91" i="9"/>
  <c r="H91" i="9" s="1"/>
  <c r="C91" i="9"/>
  <c r="F90" i="9"/>
  <c r="C90" i="9"/>
  <c r="F89" i="9"/>
  <c r="J89" i="9"/>
  <c r="C89" i="9"/>
  <c r="F88" i="9"/>
  <c r="J88" i="9"/>
  <c r="C88" i="9"/>
  <c r="F87" i="9"/>
  <c r="G87" i="9"/>
  <c r="C87" i="9"/>
  <c r="F86" i="9"/>
  <c r="G86" i="9"/>
  <c r="H86" i="9" s="1"/>
  <c r="I86" i="9" s="1"/>
  <c r="C86" i="9"/>
  <c r="F85" i="9"/>
  <c r="G85" i="9"/>
  <c r="H85" i="9" s="1"/>
  <c r="I85" i="9" s="1"/>
  <c r="C85" i="9"/>
  <c r="F84" i="9"/>
  <c r="J84" i="9"/>
  <c r="C84" i="9"/>
  <c r="F83" i="9"/>
  <c r="G83" i="9"/>
  <c r="H83" i="9" s="1"/>
  <c r="C83" i="9"/>
  <c r="F82" i="9"/>
  <c r="J82" i="9"/>
  <c r="C82" i="9"/>
  <c r="F81" i="9"/>
  <c r="C81" i="9"/>
  <c r="F80" i="9"/>
  <c r="C80" i="9"/>
  <c r="F79" i="9"/>
  <c r="J79" i="9"/>
  <c r="C79" i="9"/>
  <c r="F78" i="9"/>
  <c r="J78" i="9"/>
  <c r="C78" i="9"/>
  <c r="F77" i="9"/>
  <c r="G77" i="9"/>
  <c r="H77" i="9" s="1"/>
  <c r="I77" i="9" s="1"/>
  <c r="C77" i="9"/>
  <c r="F76" i="9"/>
  <c r="J76" i="9"/>
  <c r="C76" i="9"/>
  <c r="F75" i="9"/>
  <c r="G75" i="9"/>
  <c r="C75" i="9"/>
  <c r="F74" i="9"/>
  <c r="J74" i="9"/>
  <c r="C74" i="9"/>
  <c r="F73" i="9"/>
  <c r="G73" i="9"/>
  <c r="C73" i="9"/>
  <c r="F72" i="9"/>
  <c r="G72" i="9"/>
  <c r="H72" i="9" s="1"/>
  <c r="C72" i="9"/>
  <c r="F71" i="9"/>
  <c r="G71" i="9"/>
  <c r="C71" i="9"/>
  <c r="F70" i="9"/>
  <c r="C70" i="9"/>
  <c r="F69" i="9"/>
  <c r="G69" i="9"/>
  <c r="H69" i="9" s="1"/>
  <c r="C69" i="9"/>
  <c r="F68" i="9"/>
  <c r="J68" i="9"/>
  <c r="C68" i="9"/>
  <c r="F67" i="9"/>
  <c r="G67" i="9"/>
  <c r="H67" i="9" s="1"/>
  <c r="I67" i="9" s="1"/>
  <c r="C67" i="9"/>
  <c r="F66" i="9"/>
  <c r="C66" i="9"/>
  <c r="F65" i="9"/>
  <c r="G65" i="9"/>
  <c r="H65" i="9" s="1"/>
  <c r="C65" i="9"/>
  <c r="F64" i="9"/>
  <c r="G64" i="9"/>
  <c r="H64" i="9" s="1"/>
  <c r="I64" i="9" s="1"/>
  <c r="C64" i="9"/>
  <c r="F63" i="9"/>
  <c r="J63" i="9"/>
  <c r="C63" i="9"/>
  <c r="F62" i="9"/>
  <c r="G62" i="9"/>
  <c r="C62" i="9"/>
  <c r="F61" i="9"/>
  <c r="G61" i="9"/>
  <c r="H61" i="9" s="1"/>
  <c r="I61" i="9" s="1"/>
  <c r="C61" i="9"/>
  <c r="F60" i="9"/>
  <c r="G60" i="9"/>
  <c r="H60" i="9" s="1"/>
  <c r="I60" i="9" s="1"/>
  <c r="C60" i="9"/>
  <c r="F59" i="9"/>
  <c r="G59" i="9"/>
  <c r="C59" i="9"/>
  <c r="F58" i="9"/>
  <c r="G58" i="9"/>
  <c r="H58" i="9" s="1"/>
  <c r="C58" i="9"/>
  <c r="F57" i="9"/>
  <c r="C57" i="9"/>
  <c r="F56" i="9"/>
  <c r="G56" i="9"/>
  <c r="H56" i="9" s="1"/>
  <c r="I56" i="9" s="1"/>
  <c r="C56" i="9"/>
  <c r="F55" i="9"/>
  <c r="C55" i="9"/>
  <c r="F54" i="9"/>
  <c r="G54" i="9"/>
  <c r="H54" i="9" s="1"/>
  <c r="C54" i="9"/>
  <c r="F53" i="9"/>
  <c r="G53" i="9"/>
  <c r="H53" i="9" s="1"/>
  <c r="C53" i="9"/>
  <c r="F52" i="9"/>
  <c r="J52" i="9"/>
  <c r="C52" i="9"/>
  <c r="F51" i="9"/>
  <c r="G51" i="9"/>
  <c r="H51" i="9" s="1"/>
  <c r="C51" i="9"/>
  <c r="F50" i="9"/>
  <c r="C50" i="9"/>
  <c r="F49" i="9"/>
  <c r="G49" i="9"/>
  <c r="C49" i="9"/>
  <c r="F48" i="9"/>
  <c r="J48" i="9"/>
  <c r="C48" i="9"/>
  <c r="F47" i="9"/>
  <c r="G47" i="9"/>
  <c r="H47" i="9" s="1"/>
  <c r="C47" i="9"/>
  <c r="F46" i="9"/>
  <c r="C46" i="9"/>
  <c r="F45" i="9"/>
  <c r="J45" i="9"/>
  <c r="C45" i="9"/>
  <c r="F44" i="9"/>
  <c r="G44" i="9"/>
  <c r="H44" i="9" s="1"/>
  <c r="I44" i="9" s="1"/>
  <c r="C44" i="9"/>
  <c r="F43" i="9"/>
  <c r="G43" i="9"/>
  <c r="H43" i="9" s="1"/>
  <c r="I43" i="9" s="1"/>
  <c r="C43" i="9"/>
  <c r="F42" i="9"/>
  <c r="G42" i="9"/>
  <c r="H42" i="9" s="1"/>
  <c r="I42" i="9" s="1"/>
  <c r="C42" i="9"/>
  <c r="F41" i="9"/>
  <c r="J41" i="9"/>
  <c r="C41" i="9"/>
  <c r="F40" i="9"/>
  <c r="J40" i="9"/>
  <c r="C40" i="9"/>
  <c r="F39" i="9"/>
  <c r="C39" i="9"/>
  <c r="F38" i="9"/>
  <c r="G38" i="9"/>
  <c r="C38" i="9"/>
  <c r="F37" i="9"/>
  <c r="J37" i="9"/>
  <c r="C37" i="9"/>
  <c r="F36" i="9"/>
  <c r="C36" i="9"/>
  <c r="F35" i="9"/>
  <c r="G35" i="9"/>
  <c r="H35" i="9" s="1"/>
  <c r="C35" i="9"/>
  <c r="F34" i="9"/>
  <c r="J34" i="9"/>
  <c r="C34" i="9"/>
  <c r="F33" i="9"/>
  <c r="G33" i="9"/>
  <c r="H33" i="9" s="1"/>
  <c r="I33" i="9" s="1"/>
  <c r="C33" i="9"/>
  <c r="F32" i="9"/>
  <c r="G32" i="9"/>
  <c r="H32" i="9" s="1"/>
  <c r="C32" i="9"/>
  <c r="J31" i="9"/>
  <c r="G31" i="9"/>
  <c r="C31" i="9"/>
  <c r="J30" i="9"/>
  <c r="G30" i="9"/>
  <c r="H30" i="9" s="1"/>
  <c r="C30" i="9"/>
  <c r="J29" i="9"/>
  <c r="G29" i="9"/>
  <c r="H29" i="9" s="1"/>
  <c r="I29" i="9" s="1"/>
  <c r="C29" i="9"/>
  <c r="J28" i="9"/>
  <c r="G28" i="9"/>
  <c r="H28" i="9" s="1"/>
  <c r="I28" i="9" s="1"/>
  <c r="C28" i="9"/>
  <c r="J27" i="9"/>
  <c r="K27" i="9"/>
  <c r="I27" i="9"/>
  <c r="C27" i="9"/>
  <c r="I26" i="9"/>
  <c r="C26" i="9"/>
  <c r="H25" i="9"/>
  <c r="I25" i="9"/>
  <c r="C25" i="9"/>
  <c r="H24" i="9"/>
  <c r="I24" i="9"/>
  <c r="C24" i="9"/>
  <c r="M23" i="9"/>
  <c r="I23" i="9"/>
  <c r="C23" i="9"/>
  <c r="I22" i="9"/>
  <c r="C22" i="9"/>
  <c r="I21" i="9"/>
  <c r="C21" i="9"/>
  <c r="I20" i="9"/>
  <c r="C20" i="9"/>
  <c r="M19" i="9"/>
  <c r="I19" i="9"/>
  <c r="C19" i="9"/>
  <c r="I18" i="9"/>
  <c r="C18" i="9"/>
  <c r="I17" i="9"/>
  <c r="M17" i="9"/>
  <c r="C17" i="9"/>
  <c r="I16" i="9"/>
  <c r="M16" i="9"/>
  <c r="C16" i="9"/>
  <c r="I15" i="9"/>
  <c r="M15" i="9"/>
  <c r="C15" i="9"/>
  <c r="I14" i="9"/>
  <c r="M14" i="9"/>
  <c r="C14" i="9"/>
  <c r="I13" i="9"/>
  <c r="M13" i="9"/>
  <c r="C13" i="9"/>
  <c r="I12" i="9"/>
  <c r="M12" i="9"/>
  <c r="C12" i="9"/>
  <c r="M11" i="9"/>
  <c r="H11" i="9"/>
  <c r="C11" i="9"/>
  <c r="K10" i="9"/>
  <c r="M10" i="9"/>
  <c r="H10" i="9"/>
  <c r="C10" i="9"/>
  <c r="X9" i="9"/>
  <c r="K9" i="9"/>
  <c r="M9" i="9"/>
  <c r="H9" i="9"/>
  <c r="C9" i="9"/>
  <c r="K8" i="9"/>
  <c r="M8" i="9"/>
  <c r="H8" i="9"/>
  <c r="C8" i="9"/>
  <c r="K7" i="9"/>
  <c r="M7" i="9"/>
  <c r="H7" i="9"/>
  <c r="C7" i="9"/>
  <c r="X6" i="9"/>
  <c r="W6" i="9"/>
  <c r="M6" i="9"/>
  <c r="K6" i="9"/>
  <c r="H6" i="9"/>
  <c r="C6" i="9"/>
  <c r="X5" i="9"/>
  <c r="W5" i="9"/>
  <c r="U5" i="9"/>
  <c r="K5" i="9"/>
  <c r="M5" i="9"/>
  <c r="H5" i="9"/>
  <c r="C5" i="9"/>
  <c r="U4" i="9"/>
  <c r="V4" i="9"/>
  <c r="L4" i="9"/>
  <c r="K4" i="9"/>
  <c r="M4" i="9"/>
  <c r="H4" i="9"/>
  <c r="C4" i="9"/>
  <c r="U3" i="9"/>
  <c r="V3" i="9"/>
  <c r="M3" i="9"/>
  <c r="K3" i="9"/>
  <c r="J3" i="9"/>
  <c r="L3" i="9"/>
  <c r="H3" i="9"/>
  <c r="C3" i="9"/>
  <c r="S2" i="9"/>
  <c r="M2" i="9"/>
  <c r="L2" i="9"/>
  <c r="K2" i="9"/>
  <c r="H2" i="9"/>
  <c r="C2" i="9"/>
  <c r="L24" i="9"/>
  <c r="M24" i="9"/>
  <c r="M26" i="9"/>
  <c r="L26" i="9"/>
  <c r="L21" i="9"/>
  <c r="M21" i="9"/>
  <c r="M18" i="9"/>
  <c r="L18" i="9"/>
  <c r="M25" i="9"/>
  <c r="L25" i="9"/>
  <c r="M20" i="9"/>
  <c r="L20" i="9"/>
  <c r="L22" i="9"/>
  <c r="M22" i="9"/>
  <c r="J131" i="9"/>
  <c r="N151" i="9"/>
  <c r="K883" i="8"/>
  <c r="K887" i="8"/>
  <c r="K891" i="8"/>
  <c r="K930" i="8"/>
  <c r="K934" i="8"/>
  <c r="L19" i="9"/>
  <c r="L23" i="9"/>
  <c r="K579" i="8"/>
  <c r="K583" i="8"/>
  <c r="K587" i="8"/>
  <c r="K884" i="8"/>
  <c r="K888" i="8"/>
  <c r="K892" i="8"/>
  <c r="J154" i="9"/>
  <c r="J137" i="9"/>
  <c r="J153" i="9"/>
  <c r="N250" i="9"/>
  <c r="J253" i="9"/>
  <c r="N253" i="9"/>
  <c r="N254" i="9"/>
  <c r="N255" i="9"/>
  <c r="J256" i="9"/>
  <c r="J257" i="9"/>
  <c r="N257" i="9"/>
  <c r="J259" i="9"/>
  <c r="N259" i="9"/>
  <c r="J260" i="9"/>
  <c r="J261" i="9"/>
  <c r="N261" i="9"/>
  <c r="J262" i="9"/>
  <c r="J263" i="9"/>
  <c r="N263" i="9"/>
  <c r="J264" i="9"/>
  <c r="N264" i="9"/>
  <c r="J265" i="9"/>
  <c r="N265" i="9"/>
  <c r="J266" i="9"/>
  <c r="N266" i="9"/>
  <c r="J267" i="9"/>
  <c r="N267" i="9"/>
  <c r="J268" i="9"/>
  <c r="N268" i="9"/>
  <c r="J269" i="9"/>
  <c r="N269" i="9"/>
  <c r="J270" i="9"/>
  <c r="N270" i="9"/>
  <c r="J271" i="9"/>
  <c r="N271" i="9"/>
  <c r="J272" i="9"/>
  <c r="N272" i="9"/>
  <c r="J110" i="9"/>
  <c r="J114" i="9"/>
  <c r="J118" i="9"/>
  <c r="J122" i="9"/>
  <c r="J126" i="9"/>
  <c r="G129" i="9"/>
  <c r="H129" i="9" s="1"/>
  <c r="I129" i="9" s="1"/>
  <c r="J148" i="9"/>
  <c r="G153" i="9"/>
  <c r="H153" i="9" s="1"/>
  <c r="I153" i="9" s="1"/>
  <c r="G243" i="9"/>
  <c r="H243" i="9" s="1"/>
  <c r="G248" i="9"/>
  <c r="H248" i="9" s="1"/>
  <c r="G249" i="9"/>
  <c r="H249" i="9" s="1"/>
  <c r="I249" i="9" s="1"/>
  <c r="G251" i="9"/>
  <c r="H251" i="9" s="1"/>
  <c r="I251" i="9" s="1"/>
  <c r="G252" i="9"/>
  <c r="H252" i="9" s="1"/>
  <c r="G253" i="9"/>
  <c r="H253" i="9" s="1"/>
  <c r="G255" i="9"/>
  <c r="H255" i="9" s="1"/>
  <c r="G256" i="9"/>
  <c r="G257" i="9"/>
  <c r="H257" i="9" s="1"/>
  <c r="G259" i="9"/>
  <c r="H259" i="9" s="1"/>
  <c r="I259" i="9" s="1"/>
  <c r="G260" i="9"/>
  <c r="H260" i="9" s="1"/>
  <c r="G261" i="9"/>
  <c r="H261" i="9" s="1"/>
  <c r="G262" i="9"/>
  <c r="H262" i="9" s="1"/>
  <c r="I262" i="9" s="1"/>
  <c r="Q262" i="9" s="1"/>
  <c r="G263" i="9"/>
  <c r="H263" i="9" s="1"/>
  <c r="G264" i="9"/>
  <c r="H264" i="9" s="1"/>
  <c r="G265" i="9"/>
  <c r="H265" i="9" s="1"/>
  <c r="I265" i="9" s="1"/>
  <c r="G266" i="9"/>
  <c r="G267" i="9"/>
  <c r="H267" i="9" s="1"/>
  <c r="I267" i="9" s="1"/>
  <c r="G268" i="9"/>
  <c r="H268" i="9" s="1"/>
  <c r="G269" i="9"/>
  <c r="H269" i="9" s="1"/>
  <c r="G270" i="9"/>
  <c r="G271" i="9"/>
  <c r="H271" i="9" s="1"/>
  <c r="G272" i="9"/>
  <c r="K308" i="8"/>
  <c r="K581" i="8"/>
  <c r="K585" i="8"/>
  <c r="K886" i="8"/>
  <c r="K890" i="8"/>
  <c r="K51" i="1"/>
  <c r="I3" i="12"/>
  <c r="F5" i="12"/>
  <c r="K4" i="12"/>
  <c r="AC42" i="12"/>
  <c r="AD42" i="12"/>
  <c r="L42" i="12"/>
  <c r="L41" i="12"/>
  <c r="AC41" i="12"/>
  <c r="AD41" i="12"/>
  <c r="Q3" i="12"/>
  <c r="S3" i="12"/>
  <c r="G3" i="12"/>
  <c r="H4" i="12"/>
  <c r="G4" i="12"/>
  <c r="AC36" i="12"/>
  <c r="AD36" i="12"/>
  <c r="K3" i="12"/>
  <c r="L37" i="12"/>
  <c r="L40" i="12"/>
  <c r="AC40" i="12"/>
  <c r="AD40" i="12"/>
  <c r="AC37" i="12"/>
  <c r="AD37" i="12"/>
  <c r="L38" i="12"/>
  <c r="F6" i="12"/>
  <c r="K5" i="12"/>
  <c r="F7" i="12"/>
  <c r="K6" i="12"/>
  <c r="F8" i="12"/>
  <c r="K7" i="12"/>
  <c r="F9" i="12"/>
  <c r="K8" i="12"/>
  <c r="F10" i="12"/>
  <c r="K9" i="12"/>
  <c r="F11" i="12"/>
  <c r="K10" i="12"/>
  <c r="F12" i="12"/>
  <c r="K11" i="12"/>
  <c r="F13" i="12"/>
  <c r="K12" i="12"/>
  <c r="F14" i="12"/>
  <c r="K13" i="12"/>
  <c r="F15" i="12"/>
  <c r="K14" i="12"/>
  <c r="F16" i="12"/>
  <c r="K15" i="12"/>
  <c r="F17" i="12"/>
  <c r="K16" i="12"/>
  <c r="F18" i="12"/>
  <c r="K17" i="12"/>
  <c r="F19" i="12"/>
  <c r="K18" i="12"/>
  <c r="F20" i="12"/>
  <c r="K19" i="12"/>
  <c r="F21" i="12"/>
  <c r="K20" i="12"/>
  <c r="F22" i="12"/>
  <c r="K21" i="12"/>
  <c r="F23" i="12"/>
  <c r="K22" i="12"/>
  <c r="F24" i="12"/>
  <c r="K23" i="12"/>
  <c r="F25" i="12"/>
  <c r="K24" i="12"/>
  <c r="F26" i="12"/>
  <c r="K25" i="12"/>
  <c r="F27" i="12"/>
  <c r="K26" i="12"/>
  <c r="F28" i="12"/>
  <c r="K27" i="12"/>
  <c r="F29" i="12"/>
  <c r="K28" i="12"/>
  <c r="F30" i="12"/>
  <c r="K29" i="12"/>
  <c r="F31" i="12"/>
  <c r="K30" i="12"/>
  <c r="F32" i="12"/>
  <c r="K31" i="12"/>
  <c r="F33" i="12"/>
  <c r="K32" i="12"/>
  <c r="F34" i="12"/>
  <c r="K33" i="12"/>
  <c r="K34" i="12"/>
  <c r="S36" i="12"/>
  <c r="S37" i="12"/>
  <c r="N132" i="9"/>
  <c r="G152" i="9"/>
  <c r="H152" i="9" s="1"/>
  <c r="G148" i="9"/>
  <c r="H148" i="9" s="1"/>
  <c r="I148" i="9" s="1"/>
  <c r="G110" i="9"/>
  <c r="N112" i="9"/>
  <c r="G114" i="9"/>
  <c r="H114" i="9" s="1"/>
  <c r="N116" i="9"/>
  <c r="G118" i="9"/>
  <c r="H118" i="9" s="1"/>
  <c r="N120" i="9"/>
  <c r="G122" i="9"/>
  <c r="H122" i="9" s="1"/>
  <c r="I122" i="9" s="1"/>
  <c r="N124" i="9"/>
  <c r="G126" i="9"/>
  <c r="H126" i="9" s="1"/>
  <c r="N128" i="9"/>
  <c r="N136" i="9"/>
  <c r="G140" i="9"/>
  <c r="H140" i="9" s="1"/>
  <c r="G105" i="9"/>
  <c r="H105" i="9" s="1"/>
  <c r="I105" i="9" s="1"/>
  <c r="N480" i="6"/>
  <c r="M481" i="6"/>
  <c r="N481" i="6"/>
  <c r="N482" i="6"/>
  <c r="M482" i="6"/>
  <c r="M484" i="6"/>
  <c r="N484" i="6"/>
  <c r="M485" i="6"/>
  <c r="N485" i="6"/>
  <c r="M486" i="6"/>
  <c r="N486" i="6"/>
  <c r="J143" i="9"/>
  <c r="M604" i="6"/>
  <c r="N604" i="6"/>
  <c r="N233" i="9"/>
  <c r="J86" i="9"/>
  <c r="K50" i="1"/>
  <c r="J246" i="9"/>
  <c r="N148" i="1"/>
  <c r="N144" i="1"/>
  <c r="N300" i="1"/>
  <c r="H50" i="1"/>
  <c r="H51" i="1"/>
  <c r="G241" i="9"/>
  <c r="H241" i="9" s="1"/>
  <c r="N251" i="9"/>
  <c r="G245" i="9"/>
  <c r="H245" i="9" s="1"/>
  <c r="I245" i="9" s="1"/>
  <c r="J251" i="9"/>
  <c r="K928" i="8"/>
  <c r="K933" i="8"/>
  <c r="K52" i="1"/>
  <c r="F53" i="1"/>
  <c r="N603" i="6"/>
  <c r="M603" i="6"/>
  <c r="P4" i="12"/>
  <c r="J4" i="12"/>
  <c r="I4" i="12"/>
  <c r="AC4" i="12"/>
  <c r="AD4" i="12"/>
  <c r="H5" i="12"/>
  <c r="Q5" i="12"/>
  <c r="Q4" i="12"/>
  <c r="L4" i="12"/>
  <c r="AC3" i="12"/>
  <c r="AD3" i="12"/>
  <c r="L3" i="12"/>
  <c r="P3" i="12"/>
  <c r="J3" i="12"/>
  <c r="H6" i="12"/>
  <c r="V3" i="12"/>
  <c r="T3" i="12"/>
  <c r="U3" i="12"/>
  <c r="Z3" i="12"/>
  <c r="S4" i="12"/>
  <c r="J243" i="9"/>
  <c r="G234" i="9"/>
  <c r="H234" i="9" s="1"/>
  <c r="O170" i="9"/>
  <c r="G258" i="9"/>
  <c r="H258" i="9" s="1"/>
  <c r="G254" i="9"/>
  <c r="G250" i="9"/>
  <c r="H250" i="9" s="1"/>
  <c r="G244" i="9"/>
  <c r="H244" i="9" s="1"/>
  <c r="N262" i="9"/>
  <c r="N260" i="9"/>
  <c r="J258" i="9"/>
  <c r="N252" i="9"/>
  <c r="J250" i="9"/>
  <c r="G219" i="9"/>
  <c r="H219" i="9" s="1"/>
  <c r="I219" i="9" s="1"/>
  <c r="G240" i="9"/>
  <c r="H240" i="9" s="1"/>
  <c r="I240" i="9" s="1"/>
  <c r="J249" i="9"/>
  <c r="G238" i="9"/>
  <c r="H238" i="9" s="1"/>
  <c r="I238" i="9" s="1"/>
  <c r="G232" i="9"/>
  <c r="H232" i="9" s="1"/>
  <c r="I232" i="9" s="1"/>
  <c r="G246" i="9"/>
  <c r="G242" i="9"/>
  <c r="H242" i="9" s="1"/>
  <c r="G236" i="9"/>
  <c r="H236" i="9" s="1"/>
  <c r="I236" i="9" s="1"/>
  <c r="N258" i="9"/>
  <c r="N256" i="9"/>
  <c r="J248" i="9"/>
  <c r="S38" i="12"/>
  <c r="T37" i="12"/>
  <c r="U37" i="12"/>
  <c r="Z37" i="12"/>
  <c r="V37" i="12"/>
  <c r="T36" i="12"/>
  <c r="U36" i="12"/>
  <c r="Z36" i="12"/>
  <c r="V36" i="12"/>
  <c r="N246" i="9"/>
  <c r="J240" i="9"/>
  <c r="J176" i="9"/>
  <c r="G235" i="9"/>
  <c r="H235" i="9" s="1"/>
  <c r="J254" i="9"/>
  <c r="N245" i="9"/>
  <c r="J172" i="9"/>
  <c r="N145" i="9"/>
  <c r="J166" i="9"/>
  <c r="G226" i="9"/>
  <c r="H226" i="9" s="1"/>
  <c r="I226" i="9" s="1"/>
  <c r="G137" i="9"/>
  <c r="N224" i="9"/>
  <c r="J100" i="9"/>
  <c r="G202" i="9"/>
  <c r="H202" i="9" s="1"/>
  <c r="G210" i="9"/>
  <c r="N235" i="9"/>
  <c r="N206" i="9"/>
  <c r="G156" i="9"/>
  <c r="H156" i="9" s="1"/>
  <c r="I156" i="9" s="1"/>
  <c r="J178" i="9"/>
  <c r="J168" i="9"/>
  <c r="G221" i="9"/>
  <c r="H221" i="9" s="1"/>
  <c r="I221" i="9" s="1"/>
  <c r="G159" i="9"/>
  <c r="J241" i="9"/>
  <c r="N230" i="9"/>
  <c r="J87" i="9"/>
  <c r="G206" i="9"/>
  <c r="H206" i="9" s="1"/>
  <c r="J234" i="9"/>
  <c r="J229" i="9"/>
  <c r="N170" i="9"/>
  <c r="J158" i="9"/>
  <c r="O164" i="9"/>
  <c r="O178" i="9"/>
  <c r="O176" i="9"/>
  <c r="G228" i="9"/>
  <c r="H228" i="9" s="1"/>
  <c r="G217" i="9"/>
  <c r="H217" i="9" s="1"/>
  <c r="G178" i="9"/>
  <c r="H178" i="9" s="1"/>
  <c r="N244" i="9"/>
  <c r="J238" i="9"/>
  <c r="N231" i="9"/>
  <c r="N222" i="9"/>
  <c r="J61" i="9"/>
  <c r="G168" i="9"/>
  <c r="O174" i="9"/>
  <c r="J156" i="9"/>
  <c r="O172" i="9"/>
  <c r="J65" i="9"/>
  <c r="O160" i="9"/>
  <c r="G237" i="9"/>
  <c r="H237" i="9" s="1"/>
  <c r="I237" i="9" s="1"/>
  <c r="Q237" i="9" s="1"/>
  <c r="G233" i="9"/>
  <c r="H233" i="9" s="1"/>
  <c r="I233" i="9" s="1"/>
  <c r="Q233" i="9" s="1"/>
  <c r="G224" i="9"/>
  <c r="H224" i="9" s="1"/>
  <c r="I224" i="9" s="1"/>
  <c r="G214" i="9"/>
  <c r="H214" i="9" s="1"/>
  <c r="I214" i="9" s="1"/>
  <c r="Q214" i="9" s="1"/>
  <c r="G196" i="9"/>
  <c r="H196" i="9" s="1"/>
  <c r="I196" i="9" s="1"/>
  <c r="N242" i="9"/>
  <c r="N237" i="9"/>
  <c r="J232" i="9"/>
  <c r="J227" i="9"/>
  <c r="N189" i="9"/>
  <c r="G131" i="9"/>
  <c r="H131" i="9" s="1"/>
  <c r="I131" i="9" s="1"/>
  <c r="K131" i="9" s="1"/>
  <c r="M131" i="9" s="1"/>
  <c r="J174" i="9"/>
  <c r="O158" i="9"/>
  <c r="J92" i="9"/>
  <c r="J164" i="9"/>
  <c r="G37" i="9"/>
  <c r="J170" i="9"/>
  <c r="G76" i="9"/>
  <c r="H76" i="9" s="1"/>
  <c r="I76" i="9" s="1"/>
  <c r="O168" i="9"/>
  <c r="J71" i="9"/>
  <c r="G230" i="9"/>
  <c r="H230" i="9" s="1"/>
  <c r="G222" i="9"/>
  <c r="H222" i="9" s="1"/>
  <c r="G218" i="9"/>
  <c r="H218" i="9" s="1"/>
  <c r="G212" i="9"/>
  <c r="H212" i="9" s="1"/>
  <c r="I212" i="9" s="1"/>
  <c r="Q212" i="9" s="1"/>
  <c r="G203" i="9"/>
  <c r="H203" i="9" s="1"/>
  <c r="I203" i="9" s="1"/>
  <c r="G187" i="9"/>
  <c r="H187" i="9" s="1"/>
  <c r="G163" i="9"/>
  <c r="H163" i="9" s="1"/>
  <c r="N248" i="9"/>
  <c r="J242" i="9"/>
  <c r="N238" i="9"/>
  <c r="N234" i="9"/>
  <c r="N226" i="9"/>
  <c r="N216" i="9"/>
  <c r="J179" i="9"/>
  <c r="O162" i="9"/>
  <c r="G220" i="9"/>
  <c r="H220" i="9" s="1"/>
  <c r="G216" i="9"/>
  <c r="H216" i="9" s="1"/>
  <c r="I216" i="9" s="1"/>
  <c r="G208" i="9"/>
  <c r="H208" i="9" s="1"/>
  <c r="G200" i="9"/>
  <c r="H200" i="9" s="1"/>
  <c r="G174" i="9"/>
  <c r="H174" i="9" s="1"/>
  <c r="I174" i="9" s="1"/>
  <c r="N240" i="9"/>
  <c r="J224" i="9"/>
  <c r="N197" i="9"/>
  <c r="J163" i="9"/>
  <c r="G74" i="9"/>
  <c r="H74" i="9" s="1"/>
  <c r="J56" i="9"/>
  <c r="G68" i="9"/>
  <c r="J162" i="9"/>
  <c r="J95" i="9"/>
  <c r="G48" i="9"/>
  <c r="G204" i="9"/>
  <c r="H204" i="9" s="1"/>
  <c r="G198" i="9"/>
  <c r="H198" i="9" s="1"/>
  <c r="I198" i="9" s="1"/>
  <c r="Q198" i="9" s="1"/>
  <c r="G182" i="9"/>
  <c r="H182" i="9" s="1"/>
  <c r="G161" i="9"/>
  <c r="H161" i="9" s="1"/>
  <c r="N232" i="9"/>
  <c r="J230" i="9"/>
  <c r="J226" i="9"/>
  <c r="J219" i="9"/>
  <c r="N202" i="9"/>
  <c r="N184" i="9"/>
  <c r="N167" i="9"/>
  <c r="J102" i="9"/>
  <c r="G79" i="9"/>
  <c r="J32" i="9"/>
  <c r="J155" i="9"/>
  <c r="G40" i="9"/>
  <c r="H40" i="9" s="1"/>
  <c r="G84" i="9"/>
  <c r="H84" i="9" s="1"/>
  <c r="G192" i="9"/>
  <c r="H192" i="9" s="1"/>
  <c r="G176" i="9"/>
  <c r="H176" i="9" s="1"/>
  <c r="I176" i="9" s="1"/>
  <c r="Q176" i="9" s="1"/>
  <c r="G166" i="9"/>
  <c r="H166" i="9" s="1"/>
  <c r="I166" i="9" s="1"/>
  <c r="J157" i="9"/>
  <c r="J211" i="9"/>
  <c r="N193" i="9"/>
  <c r="N175" i="9"/>
  <c r="N158" i="9"/>
  <c r="G155" i="9"/>
  <c r="H155" i="9" s="1"/>
  <c r="J160" i="9"/>
  <c r="G205" i="9"/>
  <c r="H205" i="9" s="1"/>
  <c r="G201" i="9"/>
  <c r="G194" i="9"/>
  <c r="H194" i="9" s="1"/>
  <c r="G185" i="9"/>
  <c r="H185" i="9" s="1"/>
  <c r="G177" i="9"/>
  <c r="H177" i="9" s="1"/>
  <c r="G172" i="9"/>
  <c r="H172" i="9" s="1"/>
  <c r="G167" i="9"/>
  <c r="H167" i="9" s="1"/>
  <c r="G162" i="9"/>
  <c r="H162" i="9" s="1"/>
  <c r="I162" i="9" s="1"/>
  <c r="J225" i="9"/>
  <c r="J221" i="9"/>
  <c r="N213" i="9"/>
  <c r="N203" i="9"/>
  <c r="N195" i="9"/>
  <c r="N185" i="9"/>
  <c r="J177" i="9"/>
  <c r="J169" i="9"/>
  <c r="N159" i="9"/>
  <c r="J51" i="9"/>
  <c r="G189" i="9"/>
  <c r="H189" i="9" s="1"/>
  <c r="G179" i="9"/>
  <c r="H179" i="9" s="1"/>
  <c r="G175" i="9"/>
  <c r="H175" i="9" s="1"/>
  <c r="I175" i="9" s="1"/>
  <c r="G169" i="9"/>
  <c r="H169" i="9" s="1"/>
  <c r="I169" i="9" s="1"/>
  <c r="G165" i="9"/>
  <c r="H165" i="9" s="1"/>
  <c r="G160" i="9"/>
  <c r="H160" i="9" s="1"/>
  <c r="I160" i="9" s="1"/>
  <c r="K160" i="9" s="1"/>
  <c r="N217" i="9"/>
  <c r="N209" i="9"/>
  <c r="N200" i="9"/>
  <c r="N192" i="9"/>
  <c r="N181" i="9"/>
  <c r="J167" i="9"/>
  <c r="G94" i="9"/>
  <c r="H94" i="9" s="1"/>
  <c r="J77" i="9"/>
  <c r="O140" i="9"/>
  <c r="G136" i="9"/>
  <c r="H136" i="9" s="1"/>
  <c r="O152" i="9"/>
  <c r="N152" i="9"/>
  <c r="G227" i="9"/>
  <c r="H227" i="9" s="1"/>
  <c r="I227" i="9" s="1"/>
  <c r="Q227" i="9" s="1"/>
  <c r="G213" i="9"/>
  <c r="H213" i="9" s="1"/>
  <c r="G209" i="9"/>
  <c r="H209" i="9" s="1"/>
  <c r="G195" i="9"/>
  <c r="H195" i="9" s="1"/>
  <c r="I195" i="9" s="1"/>
  <c r="G190" i="9"/>
  <c r="H190" i="9" s="1"/>
  <c r="I190" i="9" s="1"/>
  <c r="G186" i="9"/>
  <c r="H186" i="9" s="1"/>
  <c r="I186" i="9" s="1"/>
  <c r="Q186" i="9" s="1"/>
  <c r="G181" i="9"/>
  <c r="H181" i="9" s="1"/>
  <c r="J140" i="9"/>
  <c r="J128" i="9"/>
  <c r="J120" i="9"/>
  <c r="J112" i="9"/>
  <c r="N243" i="9"/>
  <c r="N241" i="9"/>
  <c r="N239" i="9"/>
  <c r="J237" i="9"/>
  <c r="N229" i="9"/>
  <c r="N221" i="9"/>
  <c r="N218" i="9"/>
  <c r="N214" i="9"/>
  <c r="N210" i="9"/>
  <c r="N205" i="9"/>
  <c r="J201" i="9"/>
  <c r="J197" i="9"/>
  <c r="J193" i="9"/>
  <c r="J189" i="9"/>
  <c r="J185" i="9"/>
  <c r="J181" i="9"/>
  <c r="G154" i="9"/>
  <c r="H154" i="9" s="1"/>
  <c r="N141" i="9"/>
  <c r="J54" i="9"/>
  <c r="J33" i="9"/>
  <c r="J187" i="9"/>
  <c r="G128" i="9"/>
  <c r="H128" i="9" s="1"/>
  <c r="I128" i="9" s="1"/>
  <c r="K128" i="9" s="1"/>
  <c r="M128" i="9" s="1"/>
  <c r="G124" i="9"/>
  <c r="H124" i="9" s="1"/>
  <c r="I124" i="9" s="1"/>
  <c r="K124" i="9" s="1"/>
  <c r="M124" i="9" s="1"/>
  <c r="G116" i="9"/>
  <c r="H116" i="9" s="1"/>
  <c r="G107" i="9"/>
  <c r="H107" i="9" s="1"/>
  <c r="G229" i="9"/>
  <c r="H229" i="9" s="1"/>
  <c r="G225" i="9"/>
  <c r="H225" i="9" s="1"/>
  <c r="G211" i="9"/>
  <c r="H211" i="9" s="1"/>
  <c r="I211" i="9" s="1"/>
  <c r="K211" i="9" s="1"/>
  <c r="M211" i="9" s="1"/>
  <c r="G197" i="9"/>
  <c r="H197" i="9" s="1"/>
  <c r="G193" i="9"/>
  <c r="H193" i="9" s="1"/>
  <c r="G188" i="9"/>
  <c r="H188" i="9" s="1"/>
  <c r="G184" i="9"/>
  <c r="H184" i="9" s="1"/>
  <c r="J136" i="9"/>
  <c r="N249" i="9"/>
  <c r="N247" i="9"/>
  <c r="J245" i="9"/>
  <c r="J235" i="9"/>
  <c r="J233" i="9"/>
  <c r="N227" i="9"/>
  <c r="N225" i="9"/>
  <c r="N223" i="9"/>
  <c r="N219" i="9"/>
  <c r="J217" i="9"/>
  <c r="J213" i="9"/>
  <c r="N208" i="9"/>
  <c r="J203" i="9"/>
  <c r="N198" i="9"/>
  <c r="J195" i="9"/>
  <c r="N190" i="9"/>
  <c r="N186" i="9"/>
  <c r="N182" i="9"/>
  <c r="N149" i="9"/>
  <c r="N143" i="9"/>
  <c r="G34" i="9"/>
  <c r="H34" i="9" s="1"/>
  <c r="I34" i="9" s="1"/>
  <c r="K34" i="9" s="1"/>
  <c r="M34" i="9" s="1"/>
  <c r="N211" i="9"/>
  <c r="J209" i="9"/>
  <c r="J205" i="9"/>
  <c r="J161" i="9"/>
  <c r="G93" i="9"/>
  <c r="H93" i="9" s="1"/>
  <c r="G78" i="9"/>
  <c r="H78" i="9" s="1"/>
  <c r="J49" i="9"/>
  <c r="J72" i="9"/>
  <c r="J38" i="9"/>
  <c r="H151" i="9"/>
  <c r="I151" i="9" s="1"/>
  <c r="J159" i="9"/>
  <c r="N153" i="9"/>
  <c r="J129" i="9"/>
  <c r="J43" i="9"/>
  <c r="J104" i="9"/>
  <c r="N156" i="9"/>
  <c r="J139" i="9"/>
  <c r="G143" i="9"/>
  <c r="H143" i="9" s="1"/>
  <c r="O151" i="9"/>
  <c r="O175" i="9"/>
  <c r="J67" i="9"/>
  <c r="J85" i="9"/>
  <c r="N201" i="9"/>
  <c r="N194" i="9"/>
  <c r="N166" i="9"/>
  <c r="O154" i="9"/>
  <c r="G134" i="9"/>
  <c r="H134" i="9" s="1"/>
  <c r="J83" i="9"/>
  <c r="J59" i="9"/>
  <c r="J134" i="9"/>
  <c r="G97" i="9"/>
  <c r="H97" i="9" s="1"/>
  <c r="J151" i="9"/>
  <c r="O139" i="9"/>
  <c r="O157" i="9"/>
  <c r="G46" i="9"/>
  <c r="H46" i="9" s="1"/>
  <c r="J46" i="9"/>
  <c r="J50" i="9"/>
  <c r="G50" i="9"/>
  <c r="H50" i="9" s="1"/>
  <c r="I50" i="9" s="1"/>
  <c r="J130" i="9"/>
  <c r="G130" i="9"/>
  <c r="H130" i="9" s="1"/>
  <c r="I130" i="9" s="1"/>
  <c r="N130" i="9"/>
  <c r="O130" i="9"/>
  <c r="J132" i="9"/>
  <c r="O132" i="9"/>
  <c r="G132" i="9"/>
  <c r="H132" i="9" s="1"/>
  <c r="J138" i="9"/>
  <c r="G138" i="9"/>
  <c r="H138" i="9" s="1"/>
  <c r="N138" i="9"/>
  <c r="O138" i="9"/>
  <c r="G39" i="9"/>
  <c r="H39" i="9" s="1"/>
  <c r="J39" i="9"/>
  <c r="J80" i="9"/>
  <c r="G80" i="9"/>
  <c r="H80" i="9" s="1"/>
  <c r="I80" i="9" s="1"/>
  <c r="G99" i="9"/>
  <c r="H99" i="9" s="1"/>
  <c r="J99" i="9"/>
  <c r="J101" i="9"/>
  <c r="G101" i="9"/>
  <c r="H101" i="9" s="1"/>
  <c r="J66" i="9"/>
  <c r="G66" i="9"/>
  <c r="H66" i="9" s="1"/>
  <c r="G70" i="9"/>
  <c r="H70" i="9" s="1"/>
  <c r="I70" i="9" s="1"/>
  <c r="J70" i="9"/>
  <c r="H73" i="9"/>
  <c r="I73" i="9" s="1"/>
  <c r="J90" i="9"/>
  <c r="G90" i="9"/>
  <c r="H90" i="9" s="1"/>
  <c r="I90" i="9" s="1"/>
  <c r="J109" i="9"/>
  <c r="G109" i="9"/>
  <c r="H109" i="9" s="1"/>
  <c r="I109" i="9" s="1"/>
  <c r="N109" i="9"/>
  <c r="N111" i="9"/>
  <c r="G111" i="9"/>
  <c r="H111" i="9" s="1"/>
  <c r="J113" i="9"/>
  <c r="N113" i="9"/>
  <c r="N115" i="9"/>
  <c r="G115" i="9"/>
  <c r="H115" i="9" s="1"/>
  <c r="I115" i="9" s="1"/>
  <c r="K115" i="9" s="1"/>
  <c r="M115" i="9" s="1"/>
  <c r="J117" i="9"/>
  <c r="G117" i="9"/>
  <c r="H117" i="9" s="1"/>
  <c r="I117" i="9" s="1"/>
  <c r="N117" i="9"/>
  <c r="N119" i="9"/>
  <c r="G119" i="9"/>
  <c r="H119" i="9" s="1"/>
  <c r="J121" i="9"/>
  <c r="N121" i="9"/>
  <c r="N123" i="9"/>
  <c r="G123" i="9"/>
  <c r="H123" i="9" s="1"/>
  <c r="J125" i="9"/>
  <c r="G125" i="9"/>
  <c r="H125" i="9" s="1"/>
  <c r="I125" i="9" s="1"/>
  <c r="N125" i="9"/>
  <c r="N127" i="9"/>
  <c r="G127" i="9"/>
  <c r="H127" i="9" s="1"/>
  <c r="O133" i="9"/>
  <c r="N133" i="9"/>
  <c r="G133" i="9"/>
  <c r="H133" i="9" s="1"/>
  <c r="I133" i="9" s="1"/>
  <c r="K133" i="9" s="1"/>
  <c r="M133" i="9" s="1"/>
  <c r="O135" i="9"/>
  <c r="J135" i="9"/>
  <c r="N135" i="9"/>
  <c r="J36" i="9"/>
  <c r="G36" i="9"/>
  <c r="H36" i="9" s="1"/>
  <c r="G55" i="9"/>
  <c r="H55" i="9" s="1"/>
  <c r="J55" i="9"/>
  <c r="G57" i="9"/>
  <c r="H57" i="9" s="1"/>
  <c r="J57" i="9"/>
  <c r="J81" i="9"/>
  <c r="G81" i="9"/>
  <c r="H81" i="9" s="1"/>
  <c r="O144" i="9"/>
  <c r="J144" i="9"/>
  <c r="G144" i="9"/>
  <c r="H144" i="9" s="1"/>
  <c r="G146" i="9"/>
  <c r="H146" i="9" s="1"/>
  <c r="I146" i="9" s="1"/>
  <c r="O146" i="9"/>
  <c r="O148" i="9"/>
  <c r="N148" i="9"/>
  <c r="G150" i="9"/>
  <c r="H150" i="9" s="1"/>
  <c r="I150" i="9" s="1"/>
  <c r="O150" i="9"/>
  <c r="N150" i="9"/>
  <c r="G173" i="9"/>
  <c r="H173" i="9" s="1"/>
  <c r="I173" i="9" s="1"/>
  <c r="J255" i="9"/>
  <c r="J247" i="9"/>
  <c r="J239" i="9"/>
  <c r="J231" i="9"/>
  <c r="J223" i="9"/>
  <c r="N220" i="9"/>
  <c r="N215" i="9"/>
  <c r="N207" i="9"/>
  <c r="N199" i="9"/>
  <c r="N191" i="9"/>
  <c r="N183" i="9"/>
  <c r="N171" i="9"/>
  <c r="J165" i="9"/>
  <c r="O134" i="9"/>
  <c r="J69" i="9"/>
  <c r="N147" i="9"/>
  <c r="N131" i="9"/>
  <c r="G63" i="9"/>
  <c r="J64" i="9"/>
  <c r="J103" i="9"/>
  <c r="G106" i="9"/>
  <c r="H106" i="9" s="1"/>
  <c r="I106" i="9" s="1"/>
  <c r="K106" i="9" s="1"/>
  <c r="O129" i="9"/>
  <c r="O137" i="9"/>
  <c r="O163" i="9"/>
  <c r="O179" i="9"/>
  <c r="O187" i="9"/>
  <c r="G180" i="9"/>
  <c r="H180" i="9" s="1"/>
  <c r="I180" i="9" s="1"/>
  <c r="G164" i="9"/>
  <c r="H164" i="9" s="1"/>
  <c r="I164" i="9" s="1"/>
  <c r="N236" i="9"/>
  <c r="N228" i="9"/>
  <c r="J220" i="9"/>
  <c r="J215" i="9"/>
  <c r="N212" i="9"/>
  <c r="J207" i="9"/>
  <c r="N204" i="9"/>
  <c r="J199" i="9"/>
  <c r="N196" i="9"/>
  <c r="J191" i="9"/>
  <c r="N188" i="9"/>
  <c r="J183" i="9"/>
  <c r="N180" i="9"/>
  <c r="J171" i="9"/>
  <c r="G247" i="9"/>
  <c r="H247" i="9" s="1"/>
  <c r="I247" i="9" s="1"/>
  <c r="G239" i="9"/>
  <c r="G231" i="9"/>
  <c r="H231" i="9" s="1"/>
  <c r="G223" i="9"/>
  <c r="H223" i="9" s="1"/>
  <c r="G215" i="9"/>
  <c r="H215" i="9" s="1"/>
  <c r="G207" i="9"/>
  <c r="H207" i="9" s="1"/>
  <c r="G199" i="9"/>
  <c r="H199" i="9" s="1"/>
  <c r="I199" i="9" s="1"/>
  <c r="Q199" i="9" s="1"/>
  <c r="G191" i="9"/>
  <c r="H191" i="9" s="1"/>
  <c r="G183" i="9"/>
  <c r="H183" i="9" s="1"/>
  <c r="I183" i="9" s="1"/>
  <c r="Q183" i="9" s="1"/>
  <c r="G171" i="9"/>
  <c r="H171" i="9" s="1"/>
  <c r="I171" i="9" s="1"/>
  <c r="Q171" i="9" s="1"/>
  <c r="J252" i="9"/>
  <c r="J244" i="9"/>
  <c r="J236" i="9"/>
  <c r="J228" i="9"/>
  <c r="J173" i="9"/>
  <c r="O142" i="9"/>
  <c r="N142" i="9"/>
  <c r="G108" i="9"/>
  <c r="H108" i="9" s="1"/>
  <c r="J58" i="9"/>
  <c r="J42" i="9"/>
  <c r="N139" i="9"/>
  <c r="O273" i="9"/>
  <c r="G149" i="9"/>
  <c r="G141" i="9"/>
  <c r="H141" i="9" s="1"/>
  <c r="I141" i="9" s="1"/>
  <c r="N173" i="9"/>
  <c r="N165" i="9"/>
  <c r="O155" i="9"/>
  <c r="J149" i="9"/>
  <c r="J145" i="9"/>
  <c r="J141" i="9"/>
  <c r="J91" i="9"/>
  <c r="G82" i="9"/>
  <c r="H82" i="9" s="1"/>
  <c r="I82" i="9" s="1"/>
  <c r="K82" i="9" s="1"/>
  <c r="J47" i="9"/>
  <c r="J35" i="9"/>
  <c r="J73" i="9"/>
  <c r="J150" i="9"/>
  <c r="J53" i="9"/>
  <c r="J146" i="9"/>
  <c r="J62" i="9"/>
  <c r="G41" i="9"/>
  <c r="H41" i="9" s="1"/>
  <c r="I41" i="9" s="1"/>
  <c r="K41" i="9" s="1"/>
  <c r="J147" i="9"/>
  <c r="J44" i="9"/>
  <c r="K44" i="9" s="1"/>
  <c r="M44" i="9" s="1"/>
  <c r="G45" i="9"/>
  <c r="H45" i="9" s="1"/>
  <c r="G52" i="9"/>
  <c r="H52" i="9" s="1"/>
  <c r="I52" i="9" s="1"/>
  <c r="K52" i="9" s="1"/>
  <c r="M52" i="9" s="1"/>
  <c r="J60" i="9"/>
  <c r="G88" i="9"/>
  <c r="H88" i="9" s="1"/>
  <c r="I88" i="9" s="1"/>
  <c r="K88" i="9" s="1"/>
  <c r="J96" i="9"/>
  <c r="G147" i="9"/>
  <c r="N157" i="9"/>
  <c r="O161" i="9"/>
  <c r="O169" i="9"/>
  <c r="O177" i="9"/>
  <c r="O180" i="9"/>
  <c r="O184" i="9"/>
  <c r="O188" i="9"/>
  <c r="O192" i="9"/>
  <c r="O196" i="9"/>
  <c r="O200" i="9"/>
  <c r="O204" i="9"/>
  <c r="O208" i="9"/>
  <c r="O212" i="9"/>
  <c r="O216" i="9"/>
  <c r="N273" i="9"/>
  <c r="J273" i="9"/>
  <c r="G145" i="9"/>
  <c r="H145" i="9" s="1"/>
  <c r="J222" i="9"/>
  <c r="J218" i="9"/>
  <c r="J214" i="9"/>
  <c r="K214" i="9" s="1"/>
  <c r="J210" i="9"/>
  <c r="J206" i="9"/>
  <c r="J202" i="9"/>
  <c r="J198" i="9"/>
  <c r="K198" i="9" s="1"/>
  <c r="M198" i="9" s="1"/>
  <c r="J194" i="9"/>
  <c r="J190" i="9"/>
  <c r="J186" i="9"/>
  <c r="J182" i="9"/>
  <c r="G142" i="9"/>
  <c r="G98" i="9"/>
  <c r="H98" i="9" s="1"/>
  <c r="J75" i="9"/>
  <c r="G89" i="9"/>
  <c r="H89" i="9" s="1"/>
  <c r="K578" i="8"/>
  <c r="K580" i="8"/>
  <c r="K586" i="8"/>
  <c r="K931" i="8"/>
  <c r="K936" i="8"/>
  <c r="K584" i="8"/>
  <c r="K588" i="8"/>
  <c r="K929" i="8"/>
  <c r="K932" i="8"/>
  <c r="K935" i="8"/>
  <c r="K937" i="8"/>
  <c r="K885" i="8"/>
  <c r="K889" i="8"/>
  <c r="I189" i="9"/>
  <c r="I244" i="9"/>
  <c r="Q244" i="9" s="1"/>
  <c r="K311" i="8"/>
  <c r="I260" i="9"/>
  <c r="K260" i="9" s="1"/>
  <c r="I204" i="9"/>
  <c r="Q204" i="9" s="1"/>
  <c r="I178" i="9"/>
  <c r="Q178" i="9" s="1"/>
  <c r="K307" i="8"/>
  <c r="K310" i="8"/>
  <c r="K313" i="8"/>
  <c r="L27" i="9"/>
  <c r="K306" i="8"/>
  <c r="K309" i="8"/>
  <c r="K305" i="8"/>
  <c r="I206" i="9"/>
  <c r="I202" i="9"/>
  <c r="Q202" i="9" s="1"/>
  <c r="I268" i="9"/>
  <c r="Q268" i="9" s="1"/>
  <c r="I241" i="9"/>
  <c r="I255" i="9"/>
  <c r="Q255" i="9" s="1"/>
  <c r="I253" i="9"/>
  <c r="Q253" i="9" s="1"/>
  <c r="I155" i="9"/>
  <c r="K155" i="9" s="1"/>
  <c r="M155" i="9" s="1"/>
  <c r="I217" i="9"/>
  <c r="I140" i="9"/>
  <c r="H71" i="9"/>
  <c r="I71" i="9" s="1"/>
  <c r="K71" i="9" s="1"/>
  <c r="M71" i="9" s="1"/>
  <c r="H270" i="9"/>
  <c r="I270" i="9" s="1"/>
  <c r="K270" i="9" s="1"/>
  <c r="M270" i="9" s="1"/>
  <c r="K216" i="9"/>
  <c r="M216" i="9" s="1"/>
  <c r="I47" i="9"/>
  <c r="I158" i="9"/>
  <c r="H79" i="9"/>
  <c r="I79" i="9" s="1"/>
  <c r="K79" i="9" s="1"/>
  <c r="H110" i="9"/>
  <c r="I110" i="9" s="1"/>
  <c r="K110" i="9" s="1"/>
  <c r="M110" i="9" s="1"/>
  <c r="H37" i="9"/>
  <c r="I37" i="9" s="1"/>
  <c r="K37" i="9" s="1"/>
  <c r="M37" i="9" s="1"/>
  <c r="H95" i="9"/>
  <c r="I95" i="9" s="1"/>
  <c r="K95" i="9" s="1"/>
  <c r="M95" i="9" s="1"/>
  <c r="I126" i="9"/>
  <c r="K126" i="9" s="1"/>
  <c r="M126" i="9" s="1"/>
  <c r="H100" i="9"/>
  <c r="I100" i="9" s="1"/>
  <c r="K100" i="9" s="1"/>
  <c r="H68" i="9"/>
  <c r="I68" i="9" s="1"/>
  <c r="K68" i="9" s="1"/>
  <c r="I84" i="9"/>
  <c r="K84" i="9" s="1"/>
  <c r="M84" i="9" s="1"/>
  <c r="H48" i="9"/>
  <c r="I48" i="9" s="1"/>
  <c r="K48" i="9" s="1"/>
  <c r="M48" i="9" s="1"/>
  <c r="I263" i="9"/>
  <c r="I257" i="9"/>
  <c r="K257" i="9" s="1"/>
  <c r="M257" i="9" s="1"/>
  <c r="H256" i="9"/>
  <c r="I256" i="9" s="1"/>
  <c r="I261" i="9"/>
  <c r="H201" i="9"/>
  <c r="I201" i="9" s="1"/>
  <c r="H272" i="9"/>
  <c r="I272" i="9" s="1"/>
  <c r="K272" i="9" s="1"/>
  <c r="M272" i="9" s="1"/>
  <c r="I243" i="9"/>
  <c r="Q243" i="9" s="1"/>
  <c r="I235" i="9"/>
  <c r="I182" i="9"/>
  <c r="Q182" i="9" s="1"/>
  <c r="I69" i="9"/>
  <c r="I96" i="9"/>
  <c r="I273" i="9"/>
  <c r="H16" i="14"/>
  <c r="Q16" i="14"/>
  <c r="S16" i="14"/>
  <c r="V16" i="14"/>
  <c r="F17" i="14"/>
  <c r="N487" i="6"/>
  <c r="M487" i="6"/>
  <c r="H17" i="14"/>
  <c r="H18" i="14"/>
  <c r="M605" i="6"/>
  <c r="N605" i="6"/>
  <c r="I50" i="1"/>
  <c r="L50" i="1"/>
  <c r="G50" i="1"/>
  <c r="P50" i="1"/>
  <c r="Q50" i="1"/>
  <c r="S50" i="1"/>
  <c r="V50" i="1"/>
  <c r="G51" i="1"/>
  <c r="I51" i="1"/>
  <c r="H52" i="1"/>
  <c r="Q51" i="1"/>
  <c r="F54" i="1"/>
  <c r="K53" i="1"/>
  <c r="Q162" i="9"/>
  <c r="K162" i="9"/>
  <c r="G5" i="12"/>
  <c r="J5" i="12"/>
  <c r="I5" i="12"/>
  <c r="W3" i="12"/>
  <c r="X3" i="12"/>
  <c r="Y3" i="12"/>
  <c r="I6" i="12"/>
  <c r="Q6" i="12"/>
  <c r="G6" i="12"/>
  <c r="H7" i="12"/>
  <c r="P5" i="12"/>
  <c r="AA3" i="12"/>
  <c r="AA4" i="12"/>
  <c r="T4" i="12"/>
  <c r="U4" i="12"/>
  <c r="Z4" i="12"/>
  <c r="V4" i="12"/>
  <c r="S5" i="12"/>
  <c r="L5" i="12"/>
  <c r="AC5" i="12"/>
  <c r="AD5" i="12"/>
  <c r="I209" i="9"/>
  <c r="Q209" i="9" s="1"/>
  <c r="W36" i="12"/>
  <c r="X36" i="12"/>
  <c r="Y36" i="12"/>
  <c r="W37" i="12"/>
  <c r="X37" i="12"/>
  <c r="Y37" i="12"/>
  <c r="S39" i="12"/>
  <c r="T38" i="12"/>
  <c r="U38" i="12"/>
  <c r="Z38" i="12"/>
  <c r="V38" i="12"/>
  <c r="M27" i="9"/>
  <c r="Q249" i="9"/>
  <c r="Q216" i="9"/>
  <c r="G16" i="14"/>
  <c r="P16" i="14"/>
  <c r="I16" i="14"/>
  <c r="L16" i="14"/>
  <c r="N489" i="6"/>
  <c r="M489" i="6"/>
  <c r="T16" i="14"/>
  <c r="U16" i="14"/>
  <c r="Z16" i="14"/>
  <c r="J16" i="14"/>
  <c r="AC16" i="14"/>
  <c r="AD16" i="14"/>
  <c r="Q17" i="14"/>
  <c r="S17" i="14"/>
  <c r="G17" i="14"/>
  <c r="P17" i="14"/>
  <c r="H19" i="14"/>
  <c r="Q18" i="14"/>
  <c r="F18" i="14"/>
  <c r="G18" i="14"/>
  <c r="K17" i="14"/>
  <c r="I17" i="14"/>
  <c r="AA16" i="14"/>
  <c r="N488" i="6"/>
  <c r="M488" i="6"/>
  <c r="M606" i="6"/>
  <c r="N606" i="6"/>
  <c r="AC50" i="1"/>
  <c r="AD50" i="1"/>
  <c r="T50" i="1"/>
  <c r="U50" i="1"/>
  <c r="Z50" i="1"/>
  <c r="J50" i="1"/>
  <c r="S51" i="1"/>
  <c r="V51" i="1"/>
  <c r="AA50" i="1"/>
  <c r="I52" i="1"/>
  <c r="Q52" i="1"/>
  <c r="H53" i="1"/>
  <c r="G52" i="1"/>
  <c r="K54" i="1"/>
  <c r="F55" i="1"/>
  <c r="AC51" i="1"/>
  <c r="AD51" i="1"/>
  <c r="L51" i="1"/>
  <c r="P51" i="1"/>
  <c r="J51" i="1"/>
  <c r="T5" i="12"/>
  <c r="U5" i="12"/>
  <c r="Z5" i="12"/>
  <c r="S6" i="12"/>
  <c r="V5" i="12"/>
  <c r="AA5" i="12"/>
  <c r="AC6" i="12"/>
  <c r="AD6" i="12"/>
  <c r="L6" i="12"/>
  <c r="P6" i="12"/>
  <c r="J6" i="12"/>
  <c r="W4" i="12"/>
  <c r="X4" i="12"/>
  <c r="Y4" i="12"/>
  <c r="Q7" i="12"/>
  <c r="I7" i="12"/>
  <c r="G7" i="12"/>
  <c r="H8" i="12"/>
  <c r="V39" i="12"/>
  <c r="S40" i="12"/>
  <c r="T39" i="12"/>
  <c r="U39" i="12"/>
  <c r="Z39" i="12"/>
  <c r="W38" i="12"/>
  <c r="X38" i="12"/>
  <c r="Y38" i="12"/>
  <c r="W16" i="14"/>
  <c r="X16" i="14"/>
  <c r="Y16" i="14"/>
  <c r="J17" i="14"/>
  <c r="N490" i="6"/>
  <c r="M490" i="6"/>
  <c r="T17" i="14"/>
  <c r="U17" i="14"/>
  <c r="Z17" i="14"/>
  <c r="V17" i="14"/>
  <c r="S18" i="14"/>
  <c r="V18" i="14"/>
  <c r="P18" i="14"/>
  <c r="J18" i="14"/>
  <c r="F19" i="14"/>
  <c r="K18" i="14"/>
  <c r="I18" i="14"/>
  <c r="H20" i="14"/>
  <c r="Q19" i="14"/>
  <c r="L17" i="14"/>
  <c r="AC17" i="14"/>
  <c r="AD17" i="14"/>
  <c r="N607" i="6"/>
  <c r="M607" i="6"/>
  <c r="W50" i="1"/>
  <c r="X50" i="1"/>
  <c r="Y50" i="1"/>
  <c r="T51" i="1"/>
  <c r="U51" i="1"/>
  <c r="Z51" i="1"/>
  <c r="S52" i="1"/>
  <c r="V52" i="1"/>
  <c r="AA51" i="1"/>
  <c r="G53" i="1"/>
  <c r="I53" i="1"/>
  <c r="Q53" i="1"/>
  <c r="H54" i="1"/>
  <c r="F56" i="1"/>
  <c r="K55" i="1"/>
  <c r="J52" i="1"/>
  <c r="P52" i="1"/>
  <c r="L52" i="1"/>
  <c r="AC52" i="1"/>
  <c r="AD52" i="1"/>
  <c r="W39" i="12"/>
  <c r="X39" i="12"/>
  <c r="Y39" i="12"/>
  <c r="Q8" i="12"/>
  <c r="G8" i="12"/>
  <c r="H9" i="12"/>
  <c r="I8" i="12"/>
  <c r="P7" i="12"/>
  <c r="J7" i="12"/>
  <c r="W5" i="12"/>
  <c r="X5" i="12"/>
  <c r="Y5" i="12"/>
  <c r="AA6" i="12"/>
  <c r="L7" i="12"/>
  <c r="AC7" i="12"/>
  <c r="AD7" i="12"/>
  <c r="T6" i="12"/>
  <c r="U6" i="12"/>
  <c r="Z6" i="12"/>
  <c r="S7" i="12"/>
  <c r="V6" i="12"/>
  <c r="V40" i="12"/>
  <c r="S41" i="12"/>
  <c r="T40" i="12"/>
  <c r="U40" i="12"/>
  <c r="Z40" i="12"/>
  <c r="W17" i="14"/>
  <c r="X17" i="14"/>
  <c r="Y17" i="14"/>
  <c r="N491" i="6"/>
  <c r="M491" i="6"/>
  <c r="T18" i="14"/>
  <c r="U18" i="14"/>
  <c r="Z18" i="14"/>
  <c r="S19" i="14"/>
  <c r="V19" i="14"/>
  <c r="H21" i="14"/>
  <c r="Q20" i="14"/>
  <c r="F20" i="14"/>
  <c r="G20" i="14"/>
  <c r="K19" i="14"/>
  <c r="I19" i="14"/>
  <c r="AA17" i="14"/>
  <c r="G19" i="14"/>
  <c r="AC18" i="14"/>
  <c r="AD18" i="14"/>
  <c r="L18" i="14"/>
  <c r="N609" i="6"/>
  <c r="M609" i="6"/>
  <c r="M608" i="6"/>
  <c r="N608" i="6"/>
  <c r="W51" i="1"/>
  <c r="X51" i="1"/>
  <c r="Y51" i="1"/>
  <c r="T52" i="1"/>
  <c r="U52" i="1"/>
  <c r="Z52" i="1"/>
  <c r="S53" i="1"/>
  <c r="V53" i="1"/>
  <c r="AA52" i="1"/>
  <c r="L53" i="1"/>
  <c r="AC53" i="1"/>
  <c r="AD53" i="1"/>
  <c r="K56" i="1"/>
  <c r="F57" i="1"/>
  <c r="G54" i="1"/>
  <c r="H55" i="1"/>
  <c r="I54" i="1"/>
  <c r="Q54" i="1"/>
  <c r="J53" i="1"/>
  <c r="P53" i="1"/>
  <c r="H10" i="12"/>
  <c r="Q9" i="12"/>
  <c r="I9" i="12"/>
  <c r="G9" i="12"/>
  <c r="W6" i="12"/>
  <c r="X6" i="12"/>
  <c r="Y6" i="12"/>
  <c r="P8" i="12"/>
  <c r="J8" i="12"/>
  <c r="L8" i="12"/>
  <c r="AC8" i="12"/>
  <c r="AD8" i="12"/>
  <c r="T7" i="12"/>
  <c r="U7" i="12"/>
  <c r="Z7" i="12"/>
  <c r="S8" i="12"/>
  <c r="V7" i="12"/>
  <c r="W7" i="12"/>
  <c r="X7" i="12"/>
  <c r="Y7" i="12"/>
  <c r="AA7" i="12"/>
  <c r="V41" i="12"/>
  <c r="T41" i="12"/>
  <c r="U41" i="12"/>
  <c r="Z41" i="12"/>
  <c r="S42" i="12"/>
  <c r="W40" i="12"/>
  <c r="X40" i="12"/>
  <c r="Y40" i="12"/>
  <c r="N492" i="6"/>
  <c r="M492" i="6"/>
  <c r="T19" i="14"/>
  <c r="U19" i="14"/>
  <c r="Z19" i="14"/>
  <c r="S20" i="14"/>
  <c r="V20" i="14"/>
  <c r="W18" i="14"/>
  <c r="X18" i="14"/>
  <c r="Y18" i="14"/>
  <c r="J20" i="14"/>
  <c r="P20" i="14"/>
  <c r="H22" i="14"/>
  <c r="Q21" i="14"/>
  <c r="P19" i="14"/>
  <c r="J19" i="14"/>
  <c r="AA18" i="14"/>
  <c r="L19" i="14"/>
  <c r="AC19" i="14"/>
  <c r="AD19" i="14"/>
  <c r="W19" i="14"/>
  <c r="X19" i="14"/>
  <c r="Y19" i="14"/>
  <c r="AA19" i="14"/>
  <c r="K20" i="14"/>
  <c r="I20" i="14"/>
  <c r="F21" i="14"/>
  <c r="M610" i="6"/>
  <c r="N610" i="6"/>
  <c r="AA53" i="1"/>
  <c r="W52" i="1"/>
  <c r="X52" i="1"/>
  <c r="Y52" i="1"/>
  <c r="S54" i="1"/>
  <c r="T54" i="1"/>
  <c r="U54" i="1"/>
  <c r="Z54" i="1"/>
  <c r="T53" i="1"/>
  <c r="U53" i="1"/>
  <c r="Z53" i="1"/>
  <c r="P54" i="1"/>
  <c r="J54" i="1"/>
  <c r="F58" i="1"/>
  <c r="K57" i="1"/>
  <c r="AC54" i="1"/>
  <c r="AD54" i="1"/>
  <c r="L54" i="1"/>
  <c r="G55" i="1"/>
  <c r="I55" i="1"/>
  <c r="H56" i="1"/>
  <c r="Q55" i="1"/>
  <c r="L9" i="12"/>
  <c r="AC9" i="12"/>
  <c r="AD9" i="12"/>
  <c r="T8" i="12"/>
  <c r="U8" i="12"/>
  <c r="Z8" i="12"/>
  <c r="S9" i="12"/>
  <c r="V8" i="12"/>
  <c r="AA9" i="12"/>
  <c r="P9" i="12"/>
  <c r="J9" i="12"/>
  <c r="I10" i="12"/>
  <c r="Q10" i="12"/>
  <c r="H11" i="12"/>
  <c r="G10" i="12"/>
  <c r="AA8" i="12"/>
  <c r="V42" i="12"/>
  <c r="T42" i="12"/>
  <c r="U42" i="12"/>
  <c r="Z42" i="12"/>
  <c r="W41" i="12"/>
  <c r="X41" i="12"/>
  <c r="Y41" i="12"/>
  <c r="T20" i="14"/>
  <c r="U20" i="14"/>
  <c r="Z20" i="14"/>
  <c r="N493" i="6"/>
  <c r="M493" i="6"/>
  <c r="S21" i="14"/>
  <c r="V21" i="14"/>
  <c r="K21" i="14"/>
  <c r="I21" i="14"/>
  <c r="F22" i="14"/>
  <c r="G22" i="14"/>
  <c r="W20" i="14"/>
  <c r="X20" i="14"/>
  <c r="Y20" i="14"/>
  <c r="AC20" i="14"/>
  <c r="AD20" i="14"/>
  <c r="L20" i="14"/>
  <c r="G21" i="14"/>
  <c r="H23" i="14"/>
  <c r="Q22" i="14"/>
  <c r="T21" i="14"/>
  <c r="U21" i="14"/>
  <c r="Z21" i="14"/>
  <c r="M611" i="6"/>
  <c r="N611" i="6"/>
  <c r="W53" i="1"/>
  <c r="X53" i="1"/>
  <c r="Y53" i="1"/>
  <c r="V54" i="1"/>
  <c r="S55" i="1"/>
  <c r="V55" i="1"/>
  <c r="W54" i="1"/>
  <c r="X54" i="1"/>
  <c r="Y54" i="1"/>
  <c r="I56" i="1"/>
  <c r="Q56" i="1"/>
  <c r="G56" i="1"/>
  <c r="H57" i="1"/>
  <c r="AC55" i="1"/>
  <c r="AD55" i="1"/>
  <c r="L55" i="1"/>
  <c r="AA54" i="1"/>
  <c r="P55" i="1"/>
  <c r="J55" i="1"/>
  <c r="K58" i="1"/>
  <c r="F59" i="1"/>
  <c r="J10" i="12"/>
  <c r="P10" i="12"/>
  <c r="L10" i="12"/>
  <c r="AC10" i="12"/>
  <c r="AD10" i="12"/>
  <c r="W8" i="12"/>
  <c r="X8" i="12"/>
  <c r="Y8" i="12"/>
  <c r="G11" i="12"/>
  <c r="H12" i="12"/>
  <c r="Q11" i="12"/>
  <c r="I11" i="12"/>
  <c r="S10" i="12"/>
  <c r="T9" i="12"/>
  <c r="U9" i="12"/>
  <c r="Z9" i="12"/>
  <c r="V9" i="12"/>
  <c r="W42" i="12"/>
  <c r="X42" i="12"/>
  <c r="Y42" i="12"/>
  <c r="S22" i="14"/>
  <c r="T22" i="14"/>
  <c r="U22" i="14"/>
  <c r="Z22" i="14"/>
  <c r="N494" i="6"/>
  <c r="M494" i="6"/>
  <c r="W21" i="14"/>
  <c r="V22" i="14"/>
  <c r="L21" i="14"/>
  <c r="AA21" i="14"/>
  <c r="AC21" i="14"/>
  <c r="AD21" i="14"/>
  <c r="J22" i="14"/>
  <c r="P22" i="14"/>
  <c r="F23" i="14"/>
  <c r="G23" i="14"/>
  <c r="K22" i="14"/>
  <c r="I22" i="14"/>
  <c r="X21" i="14"/>
  <c r="Q23" i="14"/>
  <c r="S23" i="14"/>
  <c r="H24" i="14"/>
  <c r="P21" i="14"/>
  <c r="J21" i="14"/>
  <c r="AA20" i="14"/>
  <c r="T55" i="1"/>
  <c r="U55" i="1"/>
  <c r="Z55" i="1"/>
  <c r="M612" i="6"/>
  <c r="N612" i="6"/>
  <c r="S56" i="1"/>
  <c r="T56" i="1"/>
  <c r="U56" i="1"/>
  <c r="Z56" i="1"/>
  <c r="W55" i="1"/>
  <c r="X55" i="1"/>
  <c r="Y55" i="1"/>
  <c r="G57" i="1"/>
  <c r="I57" i="1"/>
  <c r="Q57" i="1"/>
  <c r="H58" i="1"/>
  <c r="L56" i="1"/>
  <c r="AC56" i="1"/>
  <c r="AD56" i="1"/>
  <c r="K59" i="1"/>
  <c r="F60" i="1"/>
  <c r="AA55" i="1"/>
  <c r="P56" i="1"/>
  <c r="J56" i="1"/>
  <c r="S11" i="12"/>
  <c r="T10" i="12"/>
  <c r="U10" i="12"/>
  <c r="Z10" i="12"/>
  <c r="V10" i="12"/>
  <c r="W10" i="12"/>
  <c r="X10" i="12"/>
  <c r="Y10" i="12"/>
  <c r="H13" i="12"/>
  <c r="G12" i="12"/>
  <c r="I12" i="12"/>
  <c r="Q12" i="12"/>
  <c r="AA10" i="12"/>
  <c r="L11" i="12"/>
  <c r="AC11" i="12"/>
  <c r="AD11" i="12"/>
  <c r="P11" i="12"/>
  <c r="J11" i="12"/>
  <c r="W9" i="12"/>
  <c r="X9" i="12"/>
  <c r="Y9" i="12"/>
  <c r="N495" i="6"/>
  <c r="M495" i="6"/>
  <c r="W22" i="14"/>
  <c r="X22" i="14"/>
  <c r="Y22" i="14"/>
  <c r="T23" i="14"/>
  <c r="U23" i="14"/>
  <c r="Z23" i="14"/>
  <c r="V23" i="14"/>
  <c r="H25" i="14"/>
  <c r="Q24" i="14"/>
  <c r="S24" i="14"/>
  <c r="Y21" i="14"/>
  <c r="F24" i="14"/>
  <c r="K23" i="14"/>
  <c r="I23" i="14"/>
  <c r="AC22" i="14"/>
  <c r="AD22" i="14"/>
  <c r="L22" i="14"/>
  <c r="P23" i="14"/>
  <c r="J23" i="14"/>
  <c r="N613" i="6"/>
  <c r="M613" i="6"/>
  <c r="V56" i="1"/>
  <c r="W56" i="1"/>
  <c r="X56" i="1"/>
  <c r="Y56" i="1"/>
  <c r="S57" i="1"/>
  <c r="V57" i="1"/>
  <c r="K60" i="1"/>
  <c r="F61" i="1"/>
  <c r="AA56" i="1"/>
  <c r="L57" i="1"/>
  <c r="AC57" i="1"/>
  <c r="AD57" i="1"/>
  <c r="H59" i="1"/>
  <c r="I58" i="1"/>
  <c r="G58" i="1"/>
  <c r="Q58" i="1"/>
  <c r="J57" i="1"/>
  <c r="P57" i="1"/>
  <c r="G13" i="12"/>
  <c r="H14" i="12"/>
  <c r="Q13" i="12"/>
  <c r="I13" i="12"/>
  <c r="AA11" i="12"/>
  <c r="AC12" i="12"/>
  <c r="AD12" i="12"/>
  <c r="L12" i="12"/>
  <c r="AA12" i="12"/>
  <c r="J12" i="12"/>
  <c r="P12" i="12"/>
  <c r="T11" i="12"/>
  <c r="U11" i="12"/>
  <c r="Z11" i="12"/>
  <c r="S12" i="12"/>
  <c r="V11" i="12"/>
  <c r="N496" i="6"/>
  <c r="M496" i="6"/>
  <c r="T24" i="14"/>
  <c r="U24" i="14"/>
  <c r="Z24" i="14"/>
  <c r="V24" i="14"/>
  <c r="AA22" i="14"/>
  <c r="W23" i="14"/>
  <c r="X23" i="14"/>
  <c r="Y23" i="14"/>
  <c r="L23" i="14"/>
  <c r="AA23" i="14"/>
  <c r="AC23" i="14"/>
  <c r="AD23" i="14"/>
  <c r="F25" i="14"/>
  <c r="K24" i="14"/>
  <c r="I24" i="14"/>
  <c r="H26" i="14"/>
  <c r="Q25" i="14"/>
  <c r="S25" i="14"/>
  <c r="G24" i="14"/>
  <c r="M614" i="6"/>
  <c r="N614" i="6"/>
  <c r="T57" i="1"/>
  <c r="U57" i="1"/>
  <c r="Z57" i="1"/>
  <c r="S58" i="1"/>
  <c r="T58" i="1"/>
  <c r="U58" i="1"/>
  <c r="Z58" i="1"/>
  <c r="G59" i="1"/>
  <c r="I59" i="1"/>
  <c r="H60" i="1"/>
  <c r="Q59" i="1"/>
  <c r="S59" i="1"/>
  <c r="F62" i="1"/>
  <c r="K61" i="1"/>
  <c r="P58" i="1"/>
  <c r="J58" i="1"/>
  <c r="L58" i="1"/>
  <c r="AC58" i="1"/>
  <c r="AD58" i="1"/>
  <c r="AA57" i="1"/>
  <c r="S13" i="12"/>
  <c r="T12" i="12"/>
  <c r="U12" i="12"/>
  <c r="Z12" i="12"/>
  <c r="V12" i="12"/>
  <c r="W12" i="12"/>
  <c r="X12" i="12"/>
  <c r="Y12" i="12"/>
  <c r="Q14" i="12"/>
  <c r="H15" i="12"/>
  <c r="I14" i="12"/>
  <c r="G14" i="12"/>
  <c r="W11" i="12"/>
  <c r="X11" i="12"/>
  <c r="Y11" i="12"/>
  <c r="L13" i="12"/>
  <c r="AA13" i="12"/>
  <c r="AC13" i="12"/>
  <c r="AD13" i="12"/>
  <c r="J13" i="12"/>
  <c r="P13" i="12"/>
  <c r="N497" i="6"/>
  <c r="M497" i="6"/>
  <c r="T25" i="14"/>
  <c r="U25" i="14"/>
  <c r="Z25" i="14"/>
  <c r="V25" i="14"/>
  <c r="W24" i="14"/>
  <c r="X24" i="14"/>
  <c r="F26" i="14"/>
  <c r="K25" i="14"/>
  <c r="I25" i="14"/>
  <c r="G25" i="14"/>
  <c r="H27" i="14"/>
  <c r="Q26" i="14"/>
  <c r="S26" i="14"/>
  <c r="J24" i="14"/>
  <c r="P24" i="14"/>
  <c r="AC24" i="14"/>
  <c r="AD24" i="14"/>
  <c r="L24" i="14"/>
  <c r="AA24" i="14"/>
  <c r="M615" i="6"/>
  <c r="N615" i="6"/>
  <c r="W57" i="1"/>
  <c r="X57" i="1"/>
  <c r="Y57" i="1"/>
  <c r="V58" i="1"/>
  <c r="W58" i="1"/>
  <c r="X58" i="1"/>
  <c r="Y58" i="1"/>
  <c r="T59" i="1"/>
  <c r="U59" i="1"/>
  <c r="Z59" i="1"/>
  <c r="V59" i="1"/>
  <c r="G60" i="1"/>
  <c r="H61" i="1"/>
  <c r="Q60" i="1"/>
  <c r="S60" i="1"/>
  <c r="I60" i="1"/>
  <c r="F63" i="1"/>
  <c r="K62" i="1"/>
  <c r="L59" i="1"/>
  <c r="AC59" i="1"/>
  <c r="AD59" i="1"/>
  <c r="AA58" i="1"/>
  <c r="J59" i="1"/>
  <c r="P59" i="1"/>
  <c r="L14" i="12"/>
  <c r="AA14" i="12"/>
  <c r="AC14" i="12"/>
  <c r="AD14" i="12"/>
  <c r="Q15" i="12"/>
  <c r="I15" i="12"/>
  <c r="H16" i="12"/>
  <c r="G15" i="12"/>
  <c r="P14" i="12"/>
  <c r="J14" i="12"/>
  <c r="S14" i="12"/>
  <c r="T13" i="12"/>
  <c r="U13" i="12"/>
  <c r="Z13" i="12"/>
  <c r="V13" i="12"/>
  <c r="W13" i="12"/>
  <c r="X13" i="12"/>
  <c r="Y13" i="12"/>
  <c r="N498" i="6"/>
  <c r="M498" i="6"/>
  <c r="Y24" i="14"/>
  <c r="W25" i="14"/>
  <c r="X25" i="14"/>
  <c r="T26" i="14"/>
  <c r="U26" i="14"/>
  <c r="Z26" i="14"/>
  <c r="V26" i="14"/>
  <c r="F27" i="14"/>
  <c r="G27" i="14"/>
  <c r="K26" i="14"/>
  <c r="I26" i="14"/>
  <c r="L25" i="14"/>
  <c r="AA25" i="14"/>
  <c r="AC25" i="14"/>
  <c r="AD25" i="14"/>
  <c r="H28" i="14"/>
  <c r="Q27" i="14"/>
  <c r="S27" i="14"/>
  <c r="G26" i="14"/>
  <c r="P25" i="14"/>
  <c r="Y25" i="14"/>
  <c r="J25" i="14"/>
  <c r="M616" i="6"/>
  <c r="N616" i="6"/>
  <c r="W59" i="1"/>
  <c r="X59" i="1"/>
  <c r="Y59" i="1"/>
  <c r="T60" i="1"/>
  <c r="U60" i="1"/>
  <c r="Z60" i="1"/>
  <c r="V60" i="1"/>
  <c r="L60" i="1"/>
  <c r="AC60" i="1"/>
  <c r="AD60" i="1"/>
  <c r="P60" i="1"/>
  <c r="J60" i="1"/>
  <c r="I61" i="1"/>
  <c r="G61" i="1"/>
  <c r="Q61" i="1"/>
  <c r="S61" i="1"/>
  <c r="H62" i="1"/>
  <c r="AA59" i="1"/>
  <c r="F64" i="1"/>
  <c r="K63" i="1"/>
  <c r="AC15" i="12"/>
  <c r="AD15" i="12"/>
  <c r="L15" i="12"/>
  <c r="AA15" i="12"/>
  <c r="P15" i="12"/>
  <c r="J15" i="12"/>
  <c r="Q16" i="12"/>
  <c r="G16" i="12"/>
  <c r="I16" i="12"/>
  <c r="H17" i="12"/>
  <c r="S15" i="12"/>
  <c r="T14" i="12"/>
  <c r="U14" i="12"/>
  <c r="Z14" i="12"/>
  <c r="V14" i="12"/>
  <c r="W14" i="12"/>
  <c r="X14" i="12"/>
  <c r="Y14" i="12"/>
  <c r="N499" i="6"/>
  <c r="M499" i="6"/>
  <c r="W26" i="14"/>
  <c r="X26" i="14"/>
  <c r="Y26" i="14"/>
  <c r="J27" i="14"/>
  <c r="P27" i="14"/>
  <c r="T27" i="14"/>
  <c r="U27" i="14"/>
  <c r="Z27" i="14"/>
  <c r="V27" i="14"/>
  <c r="J26" i="14"/>
  <c r="P26" i="14"/>
  <c r="Q28" i="14"/>
  <c r="S28" i="14"/>
  <c r="H29" i="14"/>
  <c r="AC26" i="14"/>
  <c r="AD26" i="14"/>
  <c r="L26" i="14"/>
  <c r="AA26" i="14"/>
  <c r="K27" i="14"/>
  <c r="I27" i="14"/>
  <c r="F28" i="14"/>
  <c r="N617" i="6"/>
  <c r="M617" i="6"/>
  <c r="W60" i="1"/>
  <c r="X60" i="1"/>
  <c r="Y60" i="1"/>
  <c r="T61" i="1"/>
  <c r="U61" i="1"/>
  <c r="Z61" i="1"/>
  <c r="V61" i="1"/>
  <c r="K64" i="1"/>
  <c r="F65" i="1"/>
  <c r="AA60" i="1"/>
  <c r="J61" i="1"/>
  <c r="P61" i="1"/>
  <c r="I62" i="1"/>
  <c r="Q62" i="1"/>
  <c r="S62" i="1"/>
  <c r="G62" i="1"/>
  <c r="H63" i="1"/>
  <c r="L61" i="1"/>
  <c r="AC61" i="1"/>
  <c r="AD61" i="1"/>
  <c r="AC16" i="12"/>
  <c r="AD16" i="12"/>
  <c r="L16" i="12"/>
  <c r="AA16" i="12"/>
  <c r="S16" i="12"/>
  <c r="T15" i="12"/>
  <c r="U15" i="12"/>
  <c r="Z15" i="12"/>
  <c r="V15" i="12"/>
  <c r="J16" i="12"/>
  <c r="P16" i="12"/>
  <c r="G17" i="12"/>
  <c r="H18" i="12"/>
  <c r="I17" i="12"/>
  <c r="Q17" i="12"/>
  <c r="N500" i="6"/>
  <c r="M500" i="6"/>
  <c r="T28" i="14"/>
  <c r="V28" i="14"/>
  <c r="H30" i="14"/>
  <c r="Q29" i="14"/>
  <c r="S29" i="14"/>
  <c r="U28" i="14"/>
  <c r="Z28" i="14"/>
  <c r="F29" i="14"/>
  <c r="G29" i="14"/>
  <c r="K28" i="14"/>
  <c r="I28" i="14"/>
  <c r="AC27" i="14"/>
  <c r="AD27" i="14"/>
  <c r="L27" i="14"/>
  <c r="AA27" i="14"/>
  <c r="G28" i="14"/>
  <c r="W27" i="14"/>
  <c r="X27" i="14"/>
  <c r="Y27" i="14"/>
  <c r="M618" i="6"/>
  <c r="N618" i="6"/>
  <c r="W61" i="1"/>
  <c r="X61" i="1"/>
  <c r="Y61" i="1"/>
  <c r="T62" i="1"/>
  <c r="U62" i="1"/>
  <c r="Z62" i="1"/>
  <c r="V62" i="1"/>
  <c r="P62" i="1"/>
  <c r="J62" i="1"/>
  <c r="AA61" i="1"/>
  <c r="I63" i="1"/>
  <c r="H64" i="1"/>
  <c r="Q63" i="1"/>
  <c r="S63" i="1"/>
  <c r="G63" i="1"/>
  <c r="L62" i="1"/>
  <c r="AC62" i="1"/>
  <c r="AD62" i="1"/>
  <c r="K65" i="1"/>
  <c r="F66" i="1"/>
  <c r="P17" i="12"/>
  <c r="J17" i="12"/>
  <c r="L17" i="12"/>
  <c r="AA17" i="12"/>
  <c r="AC17" i="12"/>
  <c r="AD17" i="12"/>
  <c r="S17" i="12"/>
  <c r="T16" i="12"/>
  <c r="U16" i="12"/>
  <c r="Z16" i="12"/>
  <c r="V16" i="12"/>
  <c r="W16" i="12"/>
  <c r="X16" i="12"/>
  <c r="Y16" i="12"/>
  <c r="H19" i="12"/>
  <c r="G18" i="12"/>
  <c r="I18" i="12"/>
  <c r="Q18" i="12"/>
  <c r="W15" i="12"/>
  <c r="X15" i="12"/>
  <c r="Y15" i="12"/>
  <c r="N501" i="6"/>
  <c r="M501" i="6"/>
  <c r="W28" i="14"/>
  <c r="X28" i="14"/>
  <c r="T29" i="14"/>
  <c r="U29" i="14"/>
  <c r="Z29" i="14"/>
  <c r="V29" i="14"/>
  <c r="P29" i="14"/>
  <c r="J29" i="14"/>
  <c r="AC28" i="14"/>
  <c r="AD28" i="14"/>
  <c r="L28" i="14"/>
  <c r="AA28" i="14"/>
  <c r="J28" i="14"/>
  <c r="P28" i="14"/>
  <c r="F30" i="14"/>
  <c r="G30" i="14"/>
  <c r="K29" i="14"/>
  <c r="I29" i="14"/>
  <c r="Q30" i="14"/>
  <c r="S30" i="14"/>
  <c r="V30" i="14"/>
  <c r="H31" i="14"/>
  <c r="Y28" i="14"/>
  <c r="M619" i="6"/>
  <c r="N619" i="6"/>
  <c r="W62" i="1"/>
  <c r="X62" i="1"/>
  <c r="Y62" i="1"/>
  <c r="T63" i="1"/>
  <c r="U63" i="1"/>
  <c r="Z63" i="1"/>
  <c r="V63" i="1"/>
  <c r="P63" i="1"/>
  <c r="J63" i="1"/>
  <c r="L63" i="1"/>
  <c r="AA63" i="1"/>
  <c r="AC63" i="1"/>
  <c r="AD63" i="1"/>
  <c r="K66" i="1"/>
  <c r="F67" i="1"/>
  <c r="AA62" i="1"/>
  <c r="Q64" i="1"/>
  <c r="S64" i="1"/>
  <c r="G64" i="1"/>
  <c r="I64" i="1"/>
  <c r="H65" i="1"/>
  <c r="G19" i="12"/>
  <c r="I19" i="12"/>
  <c r="Q19" i="12"/>
  <c r="H20" i="12"/>
  <c r="AC18" i="12"/>
  <c r="AD18" i="12"/>
  <c r="L18" i="12"/>
  <c r="AA18" i="12"/>
  <c r="J18" i="12"/>
  <c r="P18" i="12"/>
  <c r="S18" i="12"/>
  <c r="T17" i="12"/>
  <c r="U17" i="12"/>
  <c r="Z17" i="12"/>
  <c r="V17" i="12"/>
  <c r="N502" i="6"/>
  <c r="M502" i="6"/>
  <c r="Q31" i="14"/>
  <c r="H32" i="14"/>
  <c r="L29" i="14"/>
  <c r="AA29" i="14"/>
  <c r="AC29" i="14"/>
  <c r="AD29" i="14"/>
  <c r="W29" i="14"/>
  <c r="X29" i="14"/>
  <c r="Y29" i="14"/>
  <c r="S31" i="14"/>
  <c r="V31" i="14"/>
  <c r="T30" i="14"/>
  <c r="U30" i="14"/>
  <c r="J30" i="14"/>
  <c r="P30" i="14"/>
  <c r="F31" i="14"/>
  <c r="K30" i="14"/>
  <c r="I30" i="14"/>
  <c r="M620" i="6"/>
  <c r="N620" i="6"/>
  <c r="W63" i="1"/>
  <c r="X63" i="1"/>
  <c r="Y63" i="1"/>
  <c r="T64" i="1"/>
  <c r="U64" i="1"/>
  <c r="Z64" i="1"/>
  <c r="V64" i="1"/>
  <c r="L64" i="1"/>
  <c r="AC64" i="1"/>
  <c r="AD64" i="1"/>
  <c r="P64" i="1"/>
  <c r="J64" i="1"/>
  <c r="I65" i="1"/>
  <c r="H66" i="1"/>
  <c r="Q65" i="1"/>
  <c r="S65" i="1"/>
  <c r="G65" i="1"/>
  <c r="K67" i="1"/>
  <c r="F68" i="1"/>
  <c r="W17" i="12"/>
  <c r="X17" i="12"/>
  <c r="Y17" i="12"/>
  <c r="S19" i="12"/>
  <c r="T18" i="12"/>
  <c r="U18" i="12"/>
  <c r="Z18" i="12"/>
  <c r="V18" i="12"/>
  <c r="AC19" i="12"/>
  <c r="AD19" i="12"/>
  <c r="L19" i="12"/>
  <c r="AA19" i="12"/>
  <c r="H21" i="12"/>
  <c r="G20" i="12"/>
  <c r="I20" i="12"/>
  <c r="Q20" i="12"/>
  <c r="J19" i="12"/>
  <c r="P19" i="12"/>
  <c r="N503" i="6"/>
  <c r="M503" i="6"/>
  <c r="W30" i="14"/>
  <c r="X30" i="14"/>
  <c r="Y30" i="14"/>
  <c r="Z30" i="14"/>
  <c r="F32" i="14"/>
  <c r="G32" i="14"/>
  <c r="K31" i="14"/>
  <c r="I31" i="14"/>
  <c r="Q32" i="14"/>
  <c r="S32" i="14"/>
  <c r="V32" i="14"/>
  <c r="H33" i="14"/>
  <c r="T31" i="14"/>
  <c r="U31" i="14"/>
  <c r="AC30" i="14"/>
  <c r="AD30" i="14"/>
  <c r="L30" i="14"/>
  <c r="AA30" i="14"/>
  <c r="G31" i="14"/>
  <c r="N621" i="6"/>
  <c r="M621" i="6"/>
  <c r="W64" i="1"/>
  <c r="X64" i="1"/>
  <c r="Y64" i="1"/>
  <c r="T65" i="1"/>
  <c r="U65" i="1"/>
  <c r="Z65" i="1"/>
  <c r="V65" i="1"/>
  <c r="F69" i="1"/>
  <c r="K68" i="1"/>
  <c r="J65" i="1"/>
  <c r="P65" i="1"/>
  <c r="L65" i="1"/>
  <c r="AC65" i="1"/>
  <c r="AD65" i="1"/>
  <c r="AA64" i="1"/>
  <c r="G66" i="1"/>
  <c r="Q66" i="1"/>
  <c r="S66" i="1"/>
  <c r="H67" i="1"/>
  <c r="I66" i="1"/>
  <c r="J20" i="12"/>
  <c r="P20" i="12"/>
  <c r="W18" i="12"/>
  <c r="X18" i="12"/>
  <c r="Y18" i="12"/>
  <c r="Q21" i="12"/>
  <c r="I21" i="12"/>
  <c r="H22" i="12"/>
  <c r="G21" i="12"/>
  <c r="AC20" i="12"/>
  <c r="AD20" i="12"/>
  <c r="L20" i="12"/>
  <c r="AA20" i="12"/>
  <c r="T19" i="12"/>
  <c r="U19" i="12"/>
  <c r="Z19" i="12"/>
  <c r="S20" i="12"/>
  <c r="V19" i="12"/>
  <c r="N504" i="6"/>
  <c r="M504" i="6"/>
  <c r="Z31" i="14"/>
  <c r="W31" i="14"/>
  <c r="X31" i="14"/>
  <c r="P32" i="14"/>
  <c r="J32" i="14"/>
  <c r="L31" i="14"/>
  <c r="AA31" i="14"/>
  <c r="AC31" i="14"/>
  <c r="AD31" i="14"/>
  <c r="Q33" i="14"/>
  <c r="S33" i="14"/>
  <c r="H34" i="14"/>
  <c r="T32" i="14"/>
  <c r="U32" i="14"/>
  <c r="J31" i="14"/>
  <c r="P31" i="14"/>
  <c r="F33" i="14"/>
  <c r="K32" i="14"/>
  <c r="I32" i="14"/>
  <c r="N622" i="6"/>
  <c r="M622" i="6"/>
  <c r="W65" i="1"/>
  <c r="X65" i="1"/>
  <c r="Y65" i="1"/>
  <c r="T66" i="1"/>
  <c r="U66" i="1"/>
  <c r="Z66" i="1"/>
  <c r="V66" i="1"/>
  <c r="K69" i="1"/>
  <c r="F70" i="1"/>
  <c r="AC66" i="1"/>
  <c r="AD66" i="1"/>
  <c r="L66" i="1"/>
  <c r="AA66" i="1"/>
  <c r="J66" i="1"/>
  <c r="P66" i="1"/>
  <c r="AA65" i="1"/>
  <c r="Q67" i="1"/>
  <c r="S67" i="1"/>
  <c r="I67" i="1"/>
  <c r="G67" i="1"/>
  <c r="H68" i="1"/>
  <c r="T20" i="12"/>
  <c r="U20" i="12"/>
  <c r="Z20" i="12"/>
  <c r="S21" i="12"/>
  <c r="V20" i="12"/>
  <c r="W20" i="12"/>
  <c r="X20" i="12"/>
  <c r="Y20" i="12"/>
  <c r="H23" i="12"/>
  <c r="I22" i="12"/>
  <c r="Q22" i="12"/>
  <c r="G22" i="12"/>
  <c r="J21" i="12"/>
  <c r="P21" i="12"/>
  <c r="W19" i="12"/>
  <c r="X19" i="12"/>
  <c r="Y19" i="12"/>
  <c r="AC21" i="12"/>
  <c r="AD21" i="12"/>
  <c r="L21" i="12"/>
  <c r="AA21" i="12"/>
  <c r="N505" i="6"/>
  <c r="M505" i="6"/>
  <c r="W32" i="14"/>
  <c r="X32" i="14"/>
  <c r="Y32" i="14"/>
  <c r="Z32" i="14"/>
  <c r="T33" i="14"/>
  <c r="U33" i="14"/>
  <c r="Z33" i="14"/>
  <c r="V33" i="14"/>
  <c r="L32" i="14"/>
  <c r="AA32" i="14"/>
  <c r="AC32" i="14"/>
  <c r="AD32" i="14"/>
  <c r="K33" i="14"/>
  <c r="I33" i="14"/>
  <c r="F34" i="14"/>
  <c r="Y31" i="14"/>
  <c r="Q34" i="14"/>
  <c r="S34" i="14"/>
  <c r="H35" i="14"/>
  <c r="G33" i="14"/>
  <c r="N623" i="6"/>
  <c r="M623" i="6"/>
  <c r="W66" i="1"/>
  <c r="X66" i="1"/>
  <c r="Y66" i="1"/>
  <c r="T67" i="1"/>
  <c r="U67" i="1"/>
  <c r="Z67" i="1"/>
  <c r="V67" i="1"/>
  <c r="L67" i="1"/>
  <c r="AC67" i="1"/>
  <c r="AD67" i="1"/>
  <c r="G68" i="1"/>
  <c r="H69" i="1"/>
  <c r="I68" i="1"/>
  <c r="Q68" i="1"/>
  <c r="S68" i="1"/>
  <c r="J67" i="1"/>
  <c r="P67" i="1"/>
  <c r="F71" i="1"/>
  <c r="K70" i="1"/>
  <c r="H24" i="12"/>
  <c r="I23" i="12"/>
  <c r="G23" i="12"/>
  <c r="Q23" i="12"/>
  <c r="P22" i="12"/>
  <c r="J22" i="12"/>
  <c r="S22" i="12"/>
  <c r="T21" i="12"/>
  <c r="U21" i="12"/>
  <c r="Z21" i="12"/>
  <c r="V21" i="12"/>
  <c r="AC22" i="12"/>
  <c r="AD22" i="12"/>
  <c r="L22" i="12"/>
  <c r="AA22" i="12"/>
  <c r="N506" i="6"/>
  <c r="M506" i="6"/>
  <c r="T34" i="14"/>
  <c r="U34" i="14"/>
  <c r="Z34" i="14"/>
  <c r="V34" i="14"/>
  <c r="F35" i="14"/>
  <c r="K34" i="14"/>
  <c r="I34" i="14"/>
  <c r="Q35" i="14"/>
  <c r="S35" i="14"/>
  <c r="H36" i="14"/>
  <c r="AC33" i="14"/>
  <c r="AD33" i="14"/>
  <c r="L33" i="14"/>
  <c r="AA33" i="14"/>
  <c r="W33" i="14"/>
  <c r="X33" i="14"/>
  <c r="J33" i="14"/>
  <c r="P33" i="14"/>
  <c r="G34" i="14"/>
  <c r="M624" i="6"/>
  <c r="N624" i="6"/>
  <c r="W67" i="1"/>
  <c r="X67" i="1"/>
  <c r="Y67" i="1"/>
  <c r="T68" i="1"/>
  <c r="U68" i="1"/>
  <c r="Z68" i="1"/>
  <c r="V68" i="1"/>
  <c r="AA67" i="1"/>
  <c r="P68" i="1"/>
  <c r="J68" i="1"/>
  <c r="AC68" i="1"/>
  <c r="AD68" i="1"/>
  <c r="L68" i="1"/>
  <c r="F72" i="1"/>
  <c r="K71" i="1"/>
  <c r="G69" i="1"/>
  <c r="I69" i="1"/>
  <c r="Q69" i="1"/>
  <c r="S69" i="1"/>
  <c r="H70" i="1"/>
  <c r="P23" i="12"/>
  <c r="J23" i="12"/>
  <c r="L23" i="12"/>
  <c r="AA23" i="12"/>
  <c r="AC23" i="12"/>
  <c r="AD23" i="12"/>
  <c r="S23" i="12"/>
  <c r="T22" i="12"/>
  <c r="U22" i="12"/>
  <c r="Z22" i="12"/>
  <c r="V22" i="12"/>
  <c r="W22" i="12"/>
  <c r="X22" i="12"/>
  <c r="Y22" i="12"/>
  <c r="W21" i="12"/>
  <c r="X21" i="12"/>
  <c r="Y21" i="12"/>
  <c r="G24" i="12"/>
  <c r="H25" i="12"/>
  <c r="I24" i="12"/>
  <c r="Q24" i="12"/>
  <c r="N507" i="6"/>
  <c r="M507" i="6"/>
  <c r="Y33" i="14"/>
  <c r="T35" i="14"/>
  <c r="V35" i="14"/>
  <c r="F36" i="14"/>
  <c r="G36" i="14"/>
  <c r="K35" i="14"/>
  <c r="I35" i="14"/>
  <c r="U35" i="14"/>
  <c r="Z35" i="14"/>
  <c r="W34" i="14"/>
  <c r="X34" i="14"/>
  <c r="G35" i="14"/>
  <c r="L34" i="14"/>
  <c r="AA34" i="14"/>
  <c r="AC34" i="14"/>
  <c r="AD34" i="14"/>
  <c r="Q36" i="14"/>
  <c r="S36" i="14"/>
  <c r="H37" i="14"/>
  <c r="J34" i="14"/>
  <c r="P34" i="14"/>
  <c r="W35" i="14"/>
  <c r="X35" i="14"/>
  <c r="M625" i="6"/>
  <c r="N625" i="6"/>
  <c r="W68" i="1"/>
  <c r="X68" i="1"/>
  <c r="Y68" i="1"/>
  <c r="T69" i="1"/>
  <c r="U69" i="1"/>
  <c r="Z69" i="1"/>
  <c r="V69" i="1"/>
  <c r="AC69" i="1"/>
  <c r="AD69" i="1"/>
  <c r="L69" i="1"/>
  <c r="AA69" i="1"/>
  <c r="G70" i="1"/>
  <c r="Q70" i="1"/>
  <c r="S70" i="1"/>
  <c r="H71" i="1"/>
  <c r="I70" i="1"/>
  <c r="P69" i="1"/>
  <c r="J69" i="1"/>
  <c r="K72" i="1"/>
  <c r="F73" i="1"/>
  <c r="AA68" i="1"/>
  <c r="AC24" i="12"/>
  <c r="AD24" i="12"/>
  <c r="L24" i="12"/>
  <c r="AA24" i="12"/>
  <c r="Q25" i="12"/>
  <c r="G25" i="12"/>
  <c r="I25" i="12"/>
  <c r="H26" i="12"/>
  <c r="J24" i="12"/>
  <c r="P24" i="12"/>
  <c r="S24" i="12"/>
  <c r="T23" i="12"/>
  <c r="U23" i="12"/>
  <c r="Z23" i="12"/>
  <c r="V23" i="12"/>
  <c r="N508" i="6"/>
  <c r="M508" i="6"/>
  <c r="Y34" i="14"/>
  <c r="T36" i="14"/>
  <c r="U36" i="14"/>
  <c r="Z36" i="14"/>
  <c r="V36" i="14"/>
  <c r="F37" i="14"/>
  <c r="G37" i="14"/>
  <c r="K36" i="14"/>
  <c r="I36" i="14"/>
  <c r="H38" i="14"/>
  <c r="Q37" i="14"/>
  <c r="S37" i="14"/>
  <c r="J36" i="14"/>
  <c r="P36" i="14"/>
  <c r="P35" i="14"/>
  <c r="Y35" i="14"/>
  <c r="J35" i="14"/>
  <c r="AC35" i="14"/>
  <c r="AD35" i="14"/>
  <c r="L35" i="14"/>
  <c r="AA35" i="14"/>
  <c r="N626" i="6"/>
  <c r="M626" i="6"/>
  <c r="W69" i="1"/>
  <c r="X69" i="1"/>
  <c r="Y69" i="1"/>
  <c r="T70" i="1"/>
  <c r="U70" i="1"/>
  <c r="Z70" i="1"/>
  <c r="V70" i="1"/>
  <c r="G71" i="1"/>
  <c r="I71" i="1"/>
  <c r="Q71" i="1"/>
  <c r="S71" i="1"/>
  <c r="H72" i="1"/>
  <c r="F74" i="1"/>
  <c r="K73" i="1"/>
  <c r="L70" i="1"/>
  <c r="AC70" i="1"/>
  <c r="AD70" i="1"/>
  <c r="J70" i="1"/>
  <c r="P70" i="1"/>
  <c r="W23" i="12"/>
  <c r="X23" i="12"/>
  <c r="Y23" i="12"/>
  <c r="I26" i="12"/>
  <c r="Q26" i="12"/>
  <c r="H27" i="12"/>
  <c r="G26" i="12"/>
  <c r="P25" i="12"/>
  <c r="J25" i="12"/>
  <c r="S25" i="12"/>
  <c r="T24" i="12"/>
  <c r="U24" i="12"/>
  <c r="Z24" i="12"/>
  <c r="V24" i="12"/>
  <c r="L25" i="12"/>
  <c r="AA25" i="12"/>
  <c r="AC25" i="12"/>
  <c r="AD25" i="12"/>
  <c r="N509" i="6"/>
  <c r="M509" i="6"/>
  <c r="T37" i="14"/>
  <c r="V37" i="14"/>
  <c r="W36" i="14"/>
  <c r="X36" i="14"/>
  <c r="Y36" i="14"/>
  <c r="Q38" i="14"/>
  <c r="S38" i="14"/>
  <c r="H39" i="14"/>
  <c r="L36" i="14"/>
  <c r="AA36" i="14"/>
  <c r="AC36" i="14"/>
  <c r="AD36" i="14"/>
  <c r="P37" i="14"/>
  <c r="J37" i="14"/>
  <c r="F38" i="14"/>
  <c r="K37" i="14"/>
  <c r="I37" i="14"/>
  <c r="U37" i="14"/>
  <c r="Z37" i="14"/>
  <c r="E628" i="6"/>
  <c r="M628" i="6" s="1"/>
  <c r="M627" i="6"/>
  <c r="N627" i="6"/>
  <c r="W70" i="1"/>
  <c r="X70" i="1"/>
  <c r="Y70" i="1"/>
  <c r="T71" i="1"/>
  <c r="U71" i="1"/>
  <c r="Z71" i="1"/>
  <c r="V71" i="1"/>
  <c r="G72" i="1"/>
  <c r="I72" i="1"/>
  <c r="Q72" i="1"/>
  <c r="S72" i="1"/>
  <c r="H73" i="1"/>
  <c r="P71" i="1"/>
  <c r="J71" i="1"/>
  <c r="AA70" i="1"/>
  <c r="K74" i="1"/>
  <c r="F75" i="1"/>
  <c r="L71" i="1"/>
  <c r="AA71" i="1"/>
  <c r="AC71" i="1"/>
  <c r="AD71" i="1"/>
  <c r="Q27" i="12"/>
  <c r="G27" i="12"/>
  <c r="H28" i="12"/>
  <c r="I27" i="12"/>
  <c r="S26" i="12"/>
  <c r="T25" i="12"/>
  <c r="U25" i="12"/>
  <c r="Z25" i="12"/>
  <c r="V25" i="12"/>
  <c r="W25" i="12"/>
  <c r="X25" i="12"/>
  <c r="Y25" i="12"/>
  <c r="W24" i="12"/>
  <c r="X24" i="12"/>
  <c r="Y24" i="12"/>
  <c r="J26" i="12"/>
  <c r="P26" i="12"/>
  <c r="AC26" i="12"/>
  <c r="AD26" i="12"/>
  <c r="L26" i="12"/>
  <c r="AA26" i="12"/>
  <c r="N510" i="6"/>
  <c r="M510" i="6"/>
  <c r="T38" i="14"/>
  <c r="U38" i="14"/>
  <c r="Z38" i="14"/>
  <c r="V38" i="14"/>
  <c r="L37" i="14"/>
  <c r="AA37" i="14"/>
  <c r="AC37" i="14"/>
  <c r="AD37" i="14"/>
  <c r="F39" i="14"/>
  <c r="K38" i="14"/>
  <c r="I38" i="14"/>
  <c r="W37" i="14"/>
  <c r="X37" i="14"/>
  <c r="Y37" i="14"/>
  <c r="G38" i="14"/>
  <c r="H40" i="14"/>
  <c r="Q39" i="14"/>
  <c r="S39" i="14"/>
  <c r="W71" i="1"/>
  <c r="X71" i="1"/>
  <c r="Y71" i="1"/>
  <c r="T72" i="1"/>
  <c r="U72" i="1"/>
  <c r="Z72" i="1"/>
  <c r="V72" i="1"/>
  <c r="Q73" i="1"/>
  <c r="S73" i="1"/>
  <c r="H74" i="1"/>
  <c r="I73" i="1"/>
  <c r="G73" i="1"/>
  <c r="J72" i="1"/>
  <c r="P72" i="1"/>
  <c r="F76" i="1"/>
  <c r="K75" i="1"/>
  <c r="L72" i="1"/>
  <c r="AC72" i="1"/>
  <c r="AD72" i="1"/>
  <c r="H29" i="12"/>
  <c r="G28" i="12"/>
  <c r="I28" i="12"/>
  <c r="Q28" i="12"/>
  <c r="T26" i="12"/>
  <c r="U26" i="12"/>
  <c r="Z26" i="12"/>
  <c r="S27" i="12"/>
  <c r="V26" i="12"/>
  <c r="J27" i="12"/>
  <c r="P27" i="12"/>
  <c r="L27" i="12"/>
  <c r="AA27" i="12"/>
  <c r="AC27" i="12"/>
  <c r="AD27" i="12"/>
  <c r="N511" i="6"/>
  <c r="M511" i="6"/>
  <c r="T39" i="14"/>
  <c r="V39" i="14"/>
  <c r="J38" i="14"/>
  <c r="P38" i="14"/>
  <c r="L38" i="14"/>
  <c r="AA38" i="14"/>
  <c r="AC38" i="14"/>
  <c r="AD38" i="14"/>
  <c r="W38" i="14"/>
  <c r="X38" i="14"/>
  <c r="F40" i="14"/>
  <c r="G40" i="14"/>
  <c r="U39" i="14"/>
  <c r="Z39" i="14"/>
  <c r="K39" i="14"/>
  <c r="I39" i="14"/>
  <c r="H41" i="14"/>
  <c r="Q40" i="14"/>
  <c r="S40" i="14"/>
  <c r="G39" i="14"/>
  <c r="M629" i="6"/>
  <c r="N629" i="6"/>
  <c r="W72" i="1"/>
  <c r="X72" i="1"/>
  <c r="Y72" i="1"/>
  <c r="T73" i="1"/>
  <c r="U73" i="1"/>
  <c r="Z73" i="1"/>
  <c r="V73" i="1"/>
  <c r="AA72" i="1"/>
  <c r="J73" i="1"/>
  <c r="P73" i="1"/>
  <c r="K76" i="1"/>
  <c r="F77" i="1"/>
  <c r="AC73" i="1"/>
  <c r="AD73" i="1"/>
  <c r="L73" i="1"/>
  <c r="AA73" i="1"/>
  <c r="I74" i="1"/>
  <c r="H75" i="1"/>
  <c r="Q74" i="1"/>
  <c r="S74" i="1"/>
  <c r="G74" i="1"/>
  <c r="W26" i="12"/>
  <c r="X26" i="12"/>
  <c r="Y26" i="12"/>
  <c r="AC28" i="12"/>
  <c r="AD28" i="12"/>
  <c r="L28" i="12"/>
  <c r="AA28" i="12"/>
  <c r="S28" i="12"/>
  <c r="T27" i="12"/>
  <c r="U27" i="12"/>
  <c r="Z27" i="12"/>
  <c r="V27" i="12"/>
  <c r="P28" i="12"/>
  <c r="J28" i="12"/>
  <c r="H30" i="12"/>
  <c r="Q29" i="12"/>
  <c r="I29" i="12"/>
  <c r="G29" i="12"/>
  <c r="N512" i="6"/>
  <c r="M512" i="6"/>
  <c r="Y38" i="14"/>
  <c r="T40" i="14"/>
  <c r="V40" i="14"/>
  <c r="J40" i="14"/>
  <c r="P40" i="14"/>
  <c r="L39" i="14"/>
  <c r="AA39" i="14"/>
  <c r="AC39" i="14"/>
  <c r="AD39" i="14"/>
  <c r="W39" i="14"/>
  <c r="X39" i="14"/>
  <c r="J39" i="14"/>
  <c r="P39" i="14"/>
  <c r="H42" i="14"/>
  <c r="Q41" i="14"/>
  <c r="S41" i="14"/>
  <c r="F41" i="14"/>
  <c r="G41" i="14"/>
  <c r="U40" i="14"/>
  <c r="K40" i="14"/>
  <c r="I40" i="14"/>
  <c r="Z40" i="14"/>
  <c r="Y39" i="14"/>
  <c r="M630" i="6"/>
  <c r="N630" i="6"/>
  <c r="W73" i="1"/>
  <c r="X73" i="1"/>
  <c r="Y73" i="1"/>
  <c r="T74" i="1"/>
  <c r="U74" i="1"/>
  <c r="Z74" i="1"/>
  <c r="V74" i="1"/>
  <c r="G75" i="1"/>
  <c r="Q75" i="1"/>
  <c r="S75" i="1"/>
  <c r="H76" i="1"/>
  <c r="I75" i="1"/>
  <c r="F78" i="1"/>
  <c r="K77" i="1"/>
  <c r="J74" i="1"/>
  <c r="P74" i="1"/>
  <c r="AC74" i="1"/>
  <c r="AD74" i="1"/>
  <c r="L74" i="1"/>
  <c r="AA74" i="1"/>
  <c r="P29" i="12"/>
  <c r="J29" i="12"/>
  <c r="S29" i="12"/>
  <c r="T28" i="12"/>
  <c r="U28" i="12"/>
  <c r="Z28" i="12"/>
  <c r="V28" i="12"/>
  <c r="H31" i="12"/>
  <c r="G30" i="12"/>
  <c r="I30" i="12"/>
  <c r="Q30" i="12"/>
  <c r="AC29" i="12"/>
  <c r="AD29" i="12"/>
  <c r="L29" i="12"/>
  <c r="AA29" i="12"/>
  <c r="W27" i="12"/>
  <c r="X27" i="12"/>
  <c r="Y27" i="12"/>
  <c r="N513" i="6"/>
  <c r="M513" i="6"/>
  <c r="W40" i="14"/>
  <c r="X40" i="14"/>
  <c r="Y40" i="14"/>
  <c r="J41" i="14"/>
  <c r="P41" i="14"/>
  <c r="T41" i="14"/>
  <c r="U41" i="14"/>
  <c r="Z41" i="14"/>
  <c r="V41" i="14"/>
  <c r="H43" i="14"/>
  <c r="Q42" i="14"/>
  <c r="S42" i="14"/>
  <c r="F42" i="14"/>
  <c r="K41" i="14"/>
  <c r="I41" i="14"/>
  <c r="AC40" i="14"/>
  <c r="AD40" i="14"/>
  <c r="L40" i="14"/>
  <c r="AA40" i="14"/>
  <c r="M631" i="6"/>
  <c r="N631" i="6"/>
  <c r="W74" i="1"/>
  <c r="X74" i="1"/>
  <c r="Y74" i="1"/>
  <c r="T75" i="1"/>
  <c r="U75" i="1"/>
  <c r="Z75" i="1"/>
  <c r="V75" i="1"/>
  <c r="AC75" i="1"/>
  <c r="AD75" i="1"/>
  <c r="L75" i="1"/>
  <c r="AA75" i="1"/>
  <c r="P75" i="1"/>
  <c r="J75" i="1"/>
  <c r="H77" i="1"/>
  <c r="I76" i="1"/>
  <c r="Q76" i="1"/>
  <c r="S76" i="1"/>
  <c r="G76" i="1"/>
  <c r="K78" i="1"/>
  <c r="F79" i="1"/>
  <c r="J30" i="12"/>
  <c r="P30" i="12"/>
  <c r="T29" i="12"/>
  <c r="U29" i="12"/>
  <c r="Z29" i="12"/>
  <c r="S30" i="12"/>
  <c r="V29" i="12"/>
  <c r="AC30" i="12"/>
  <c r="AD30" i="12"/>
  <c r="L30" i="12"/>
  <c r="AA30" i="12"/>
  <c r="Q31" i="12"/>
  <c r="I31" i="12"/>
  <c r="G31" i="12"/>
  <c r="H32" i="12"/>
  <c r="W28" i="12"/>
  <c r="X28" i="12"/>
  <c r="Y28" i="12"/>
  <c r="N514" i="6"/>
  <c r="M514" i="6"/>
  <c r="H44" i="14"/>
  <c r="Q43" i="14"/>
  <c r="S43" i="14"/>
  <c r="T42" i="14"/>
  <c r="U42" i="14"/>
  <c r="Z42" i="14"/>
  <c r="K42" i="14"/>
  <c r="I42" i="14"/>
  <c r="F43" i="14"/>
  <c r="G42" i="14"/>
  <c r="L41" i="14"/>
  <c r="AA41" i="14"/>
  <c r="AC41" i="14"/>
  <c r="AD41" i="14"/>
  <c r="V42" i="14"/>
  <c r="W41" i="14"/>
  <c r="X41" i="14"/>
  <c r="Y41" i="14"/>
  <c r="M632" i="6"/>
  <c r="N632" i="6"/>
  <c r="W75" i="1"/>
  <c r="X75" i="1"/>
  <c r="Y75" i="1"/>
  <c r="T76" i="1"/>
  <c r="U76" i="1"/>
  <c r="Z76" i="1"/>
  <c r="V76" i="1"/>
  <c r="F80" i="1"/>
  <c r="K79" i="1"/>
  <c r="P76" i="1"/>
  <c r="J76" i="1"/>
  <c r="AC76" i="1"/>
  <c r="AD76" i="1"/>
  <c r="L76" i="1"/>
  <c r="AA76" i="1"/>
  <c r="I77" i="1"/>
  <c r="H78" i="1"/>
  <c r="Q77" i="1"/>
  <c r="S77" i="1"/>
  <c r="G77" i="1"/>
  <c r="H33" i="12"/>
  <c r="G32" i="12"/>
  <c r="I32" i="12"/>
  <c r="Q32" i="12"/>
  <c r="S31" i="12"/>
  <c r="T30" i="12"/>
  <c r="U30" i="12"/>
  <c r="Z30" i="12"/>
  <c r="V30" i="12"/>
  <c r="W30" i="12"/>
  <c r="X30" i="12"/>
  <c r="Y30" i="12"/>
  <c r="P31" i="12"/>
  <c r="J31" i="12"/>
  <c r="L31" i="12"/>
  <c r="AA31" i="12"/>
  <c r="AC31" i="12"/>
  <c r="AD31" i="12"/>
  <c r="W29" i="12"/>
  <c r="X29" i="12"/>
  <c r="Y29" i="12"/>
  <c r="N515" i="6"/>
  <c r="M515" i="6"/>
  <c r="T43" i="14"/>
  <c r="U43" i="14"/>
  <c r="Z43" i="14"/>
  <c r="V43" i="14"/>
  <c r="J42" i="14"/>
  <c r="P42" i="14"/>
  <c r="AC42" i="14"/>
  <c r="AD42" i="14"/>
  <c r="L42" i="14"/>
  <c r="AA42" i="14"/>
  <c r="W42" i="14"/>
  <c r="X42" i="14"/>
  <c r="H45" i="14"/>
  <c r="Q44" i="14"/>
  <c r="S44" i="14"/>
  <c r="F44" i="14"/>
  <c r="G44" i="14"/>
  <c r="K43" i="14"/>
  <c r="I43" i="14"/>
  <c r="G43" i="14"/>
  <c r="N633" i="6"/>
  <c r="M633" i="6"/>
  <c r="T77" i="1"/>
  <c r="U77" i="1"/>
  <c r="Z77" i="1"/>
  <c r="V77" i="1"/>
  <c r="P77" i="1"/>
  <c r="J77" i="1"/>
  <c r="AC77" i="1"/>
  <c r="AD77" i="1"/>
  <c r="L77" i="1"/>
  <c r="AA77" i="1"/>
  <c r="F81" i="1"/>
  <c r="K80" i="1"/>
  <c r="W76" i="1"/>
  <c r="X76" i="1"/>
  <c r="Y76" i="1"/>
  <c r="I78" i="1"/>
  <c r="G78" i="1"/>
  <c r="H79" i="1"/>
  <c r="Q78" i="1"/>
  <c r="S78" i="1"/>
  <c r="L32" i="12"/>
  <c r="AA32" i="12"/>
  <c r="AC32" i="12"/>
  <c r="AD32" i="12"/>
  <c r="S32" i="12"/>
  <c r="T31" i="12"/>
  <c r="U31" i="12"/>
  <c r="Z31" i="12"/>
  <c r="V31" i="12"/>
  <c r="P32" i="12"/>
  <c r="J32" i="12"/>
  <c r="I33" i="12"/>
  <c r="Q33" i="12"/>
  <c r="G33" i="12"/>
  <c r="H34" i="12"/>
  <c r="N516" i="6"/>
  <c r="M516" i="6"/>
  <c r="Y42" i="14"/>
  <c r="T44" i="14"/>
  <c r="V44" i="14"/>
  <c r="W43" i="14"/>
  <c r="X43" i="14"/>
  <c r="L43" i="14"/>
  <c r="AA43" i="14"/>
  <c r="AC43" i="14"/>
  <c r="AD43" i="14"/>
  <c r="P43" i="14"/>
  <c r="J43" i="14"/>
  <c r="F45" i="14"/>
  <c r="G45" i="14"/>
  <c r="K44" i="14"/>
  <c r="I44" i="14"/>
  <c r="U44" i="14"/>
  <c r="Z44" i="14"/>
  <c r="P44" i="14"/>
  <c r="J44" i="14"/>
  <c r="Q45" i="14"/>
  <c r="S45" i="14"/>
  <c r="H46" i="14"/>
  <c r="Y43" i="14"/>
  <c r="M634" i="6"/>
  <c r="N634" i="6"/>
  <c r="W77" i="1"/>
  <c r="X77" i="1"/>
  <c r="Y77" i="1"/>
  <c r="T78" i="1"/>
  <c r="U78" i="1"/>
  <c r="Z78" i="1"/>
  <c r="V78" i="1"/>
  <c r="I79" i="1"/>
  <c r="H80" i="1"/>
  <c r="Q79" i="1"/>
  <c r="S79" i="1"/>
  <c r="G79" i="1"/>
  <c r="F82" i="1"/>
  <c r="K81" i="1"/>
  <c r="P78" i="1"/>
  <c r="J78" i="1"/>
  <c r="L78" i="1"/>
  <c r="AA78" i="1"/>
  <c r="AC78" i="1"/>
  <c r="AD78" i="1"/>
  <c r="P33" i="12"/>
  <c r="J33" i="12"/>
  <c r="T32" i="12"/>
  <c r="U32" i="12"/>
  <c r="Z32" i="12"/>
  <c r="S33" i="12"/>
  <c r="V32" i="12"/>
  <c r="I34" i="12"/>
  <c r="Q34" i="12"/>
  <c r="H44" i="12"/>
  <c r="G34" i="12"/>
  <c r="L33" i="12"/>
  <c r="AA33" i="12"/>
  <c r="AC33" i="12"/>
  <c r="AD33" i="12"/>
  <c r="W31" i="12"/>
  <c r="X31" i="12"/>
  <c r="Y31" i="12"/>
  <c r="N517" i="6"/>
  <c r="M517" i="6"/>
  <c r="J45" i="14"/>
  <c r="P45" i="14"/>
  <c r="T45" i="14"/>
  <c r="V45" i="14"/>
  <c r="AC44" i="14"/>
  <c r="AD44" i="14"/>
  <c r="L44" i="14"/>
  <c r="AA44" i="14"/>
  <c r="W44" i="14"/>
  <c r="X44" i="14"/>
  <c r="Y44" i="14"/>
  <c r="U45" i="14"/>
  <c r="Z45" i="14"/>
  <c r="F46" i="14"/>
  <c r="G46" i="14"/>
  <c r="K45" i="14"/>
  <c r="I45" i="14"/>
  <c r="Q46" i="14"/>
  <c r="S46" i="14"/>
  <c r="H47" i="14"/>
  <c r="M635" i="6"/>
  <c r="N635" i="6"/>
  <c r="W78" i="1"/>
  <c r="X78" i="1"/>
  <c r="Y78" i="1"/>
  <c r="T79" i="1"/>
  <c r="U79" i="1"/>
  <c r="Z79" i="1"/>
  <c r="V79" i="1"/>
  <c r="P79" i="1"/>
  <c r="J79" i="1"/>
  <c r="L79" i="1"/>
  <c r="AA79" i="1"/>
  <c r="AC79" i="1"/>
  <c r="AD79" i="1"/>
  <c r="F83" i="1"/>
  <c r="K82" i="1"/>
  <c r="H81" i="1"/>
  <c r="G80" i="1"/>
  <c r="I80" i="1"/>
  <c r="Q80" i="1"/>
  <c r="S80" i="1"/>
  <c r="T33" i="12"/>
  <c r="U33" i="12"/>
  <c r="Z33" i="12"/>
  <c r="S34" i="12"/>
  <c r="V33" i="12"/>
  <c r="W33" i="12"/>
  <c r="X33" i="12"/>
  <c r="Y33" i="12"/>
  <c r="P34" i="12"/>
  <c r="J34" i="12"/>
  <c r="AC34" i="12"/>
  <c r="AD34" i="12"/>
  <c r="I44" i="12"/>
  <c r="L34" i="12"/>
  <c r="W32" i="12"/>
  <c r="X32" i="12"/>
  <c r="Y32" i="12"/>
  <c r="N518" i="6"/>
  <c r="M518" i="6"/>
  <c r="T46" i="14"/>
  <c r="V46" i="14"/>
  <c r="AC45" i="14"/>
  <c r="AD45" i="14"/>
  <c r="L45" i="14"/>
  <c r="AA45" i="14"/>
  <c r="J46" i="14"/>
  <c r="P46" i="14"/>
  <c r="F47" i="14"/>
  <c r="G47" i="14"/>
  <c r="K46" i="14"/>
  <c r="I46" i="14"/>
  <c r="U46" i="14"/>
  <c r="Z46" i="14"/>
  <c r="H48" i="14"/>
  <c r="Q47" i="14"/>
  <c r="S47" i="14"/>
  <c r="W45" i="14"/>
  <c r="X45" i="14"/>
  <c r="Y45" i="14"/>
  <c r="M636" i="6"/>
  <c r="N636" i="6"/>
  <c r="W79" i="1"/>
  <c r="X79" i="1"/>
  <c r="Y79" i="1"/>
  <c r="T80" i="1"/>
  <c r="U80" i="1"/>
  <c r="Z80" i="1"/>
  <c r="V80" i="1"/>
  <c r="G81" i="1"/>
  <c r="H82" i="1"/>
  <c r="I81" i="1"/>
  <c r="Q81" i="1"/>
  <c r="S81" i="1"/>
  <c r="F84" i="1"/>
  <c r="K83" i="1"/>
  <c r="L80" i="1"/>
  <c r="AA80" i="1"/>
  <c r="AC80" i="1"/>
  <c r="AD80" i="1"/>
  <c r="J80" i="1"/>
  <c r="P80" i="1"/>
  <c r="AA37" i="12"/>
  <c r="AA39" i="12"/>
  <c r="AA42" i="12"/>
  <c r="AA36" i="12"/>
  <c r="AA41" i="12"/>
  <c r="AA34" i="12"/>
  <c r="AA40" i="12"/>
  <c r="AA38" i="12"/>
  <c r="T34" i="12"/>
  <c r="U34" i="12"/>
  <c r="Z34" i="12"/>
  <c r="V34" i="12"/>
  <c r="N519" i="6"/>
  <c r="M519" i="6"/>
  <c r="T47" i="14"/>
  <c r="U47" i="14"/>
  <c r="Z47" i="14"/>
  <c r="V47" i="14"/>
  <c r="Q48" i="14"/>
  <c r="S48" i="14"/>
  <c r="H49" i="14"/>
  <c r="W46" i="14"/>
  <c r="X46" i="14"/>
  <c r="Y46" i="14"/>
  <c r="P47" i="14"/>
  <c r="J47" i="14"/>
  <c r="AC46" i="14"/>
  <c r="AD46" i="14"/>
  <c r="L46" i="14"/>
  <c r="AA46" i="14"/>
  <c r="F48" i="14"/>
  <c r="K47" i="14"/>
  <c r="I47" i="14"/>
  <c r="N637" i="6"/>
  <c r="M637" i="6"/>
  <c r="W80" i="1"/>
  <c r="X80" i="1"/>
  <c r="Y80" i="1"/>
  <c r="T81" i="1"/>
  <c r="U81" i="1"/>
  <c r="Z81" i="1"/>
  <c r="V81" i="1"/>
  <c r="J81" i="1"/>
  <c r="P81" i="1"/>
  <c r="AC81" i="1"/>
  <c r="AD81" i="1"/>
  <c r="L81" i="1"/>
  <c r="AA81" i="1"/>
  <c r="F85" i="1"/>
  <c r="K84" i="1"/>
  <c r="G82" i="1"/>
  <c r="H83" i="1"/>
  <c r="I82" i="1"/>
  <c r="Q82" i="1"/>
  <c r="S82" i="1"/>
  <c r="W34" i="12"/>
  <c r="X34" i="12"/>
  <c r="Y34" i="12"/>
  <c r="N520" i="6"/>
  <c r="M520" i="6"/>
  <c r="T48" i="14"/>
  <c r="V48" i="14"/>
  <c r="AC47" i="14"/>
  <c r="AD47" i="14"/>
  <c r="L47" i="14"/>
  <c r="AA47" i="14"/>
  <c r="W47" i="14"/>
  <c r="X47" i="14"/>
  <c r="Y47" i="14"/>
  <c r="H50" i="14"/>
  <c r="Q49" i="14"/>
  <c r="S49" i="14"/>
  <c r="F49" i="14"/>
  <c r="U48" i="14"/>
  <c r="Z48" i="14"/>
  <c r="K48" i="14"/>
  <c r="I48" i="14"/>
  <c r="G48" i="14"/>
  <c r="M638" i="6"/>
  <c r="N638" i="6"/>
  <c r="W81" i="1"/>
  <c r="X81" i="1"/>
  <c r="Y81" i="1"/>
  <c r="T82" i="1"/>
  <c r="U82" i="1"/>
  <c r="Z82" i="1"/>
  <c r="V82" i="1"/>
  <c r="G83" i="1"/>
  <c r="H84" i="1"/>
  <c r="I83" i="1"/>
  <c r="Q83" i="1"/>
  <c r="S83" i="1"/>
  <c r="AC82" i="1"/>
  <c r="AD82" i="1"/>
  <c r="L82" i="1"/>
  <c r="AA82" i="1"/>
  <c r="J82" i="1"/>
  <c r="P82" i="1"/>
  <c r="F86" i="1"/>
  <c r="K85" i="1"/>
  <c r="N521" i="6"/>
  <c r="M521" i="6"/>
  <c r="W48" i="14"/>
  <c r="X48" i="14"/>
  <c r="T49" i="14"/>
  <c r="V49" i="14"/>
  <c r="F50" i="14"/>
  <c r="G50" i="14"/>
  <c r="K49" i="14"/>
  <c r="I49" i="14"/>
  <c r="U49" i="14"/>
  <c r="Z49" i="14"/>
  <c r="Q50" i="14"/>
  <c r="S50" i="14"/>
  <c r="H51" i="14"/>
  <c r="J48" i="14"/>
  <c r="P48" i="14"/>
  <c r="G49" i="14"/>
  <c r="AC48" i="14"/>
  <c r="AD48" i="14"/>
  <c r="L48" i="14"/>
  <c r="AA48" i="14"/>
  <c r="M639" i="6"/>
  <c r="N639" i="6"/>
  <c r="W82" i="1"/>
  <c r="X82" i="1"/>
  <c r="Y82" i="1"/>
  <c r="T83" i="1"/>
  <c r="U83" i="1"/>
  <c r="Z83" i="1"/>
  <c r="V83" i="1"/>
  <c r="P83" i="1"/>
  <c r="J83" i="1"/>
  <c r="K86" i="1"/>
  <c r="F87" i="1"/>
  <c r="AC83" i="1"/>
  <c r="AD83" i="1"/>
  <c r="L83" i="1"/>
  <c r="AA83" i="1"/>
  <c r="Q84" i="1"/>
  <c r="S84" i="1"/>
  <c r="H85" i="1"/>
  <c r="I84" i="1"/>
  <c r="G84" i="1"/>
  <c r="W49" i="14"/>
  <c r="N522" i="6"/>
  <c r="M522" i="6"/>
  <c r="T50" i="14"/>
  <c r="U50" i="14"/>
  <c r="Z50" i="14"/>
  <c r="V50" i="14"/>
  <c r="K50" i="14"/>
  <c r="I50" i="14"/>
  <c r="F51" i="14"/>
  <c r="J50" i="14"/>
  <c r="P50" i="14"/>
  <c r="X49" i="14"/>
  <c r="H52" i="14"/>
  <c r="Q51" i="14"/>
  <c r="S51" i="14"/>
  <c r="J49" i="14"/>
  <c r="P49" i="14"/>
  <c r="Y48" i="14"/>
  <c r="L49" i="14"/>
  <c r="AA49" i="14"/>
  <c r="AC49" i="14"/>
  <c r="AD49" i="14"/>
  <c r="M640" i="6"/>
  <c r="N640" i="6"/>
  <c r="W83" i="1"/>
  <c r="X83" i="1"/>
  <c r="Y83" i="1"/>
  <c r="T84" i="1"/>
  <c r="U84" i="1"/>
  <c r="Z84" i="1"/>
  <c r="V84" i="1"/>
  <c r="AC84" i="1"/>
  <c r="AD84" i="1"/>
  <c r="L84" i="1"/>
  <c r="AA84" i="1"/>
  <c r="Q85" i="1"/>
  <c r="S85" i="1"/>
  <c r="H86" i="1"/>
  <c r="I85" i="1"/>
  <c r="G85" i="1"/>
  <c r="P84" i="1"/>
  <c r="J84" i="1"/>
  <c r="K87" i="1"/>
  <c r="F88" i="1"/>
  <c r="N523" i="6"/>
  <c r="M523" i="6"/>
  <c r="W50" i="14"/>
  <c r="X50" i="14"/>
  <c r="Y50" i="14"/>
  <c r="Y49" i="14"/>
  <c r="T51" i="14"/>
  <c r="V51" i="14"/>
  <c r="L50" i="14"/>
  <c r="AA50" i="14"/>
  <c r="AC50" i="14"/>
  <c r="AD50" i="14"/>
  <c r="F52" i="14"/>
  <c r="U51" i="14"/>
  <c r="Z51" i="14"/>
  <c r="K51" i="14"/>
  <c r="I51" i="14"/>
  <c r="G51" i="14"/>
  <c r="H53" i="14"/>
  <c r="Q52" i="14"/>
  <c r="S52" i="14"/>
  <c r="M641" i="6"/>
  <c r="N641" i="6"/>
  <c r="W84" i="1"/>
  <c r="X84" i="1"/>
  <c r="Y84" i="1"/>
  <c r="T85" i="1"/>
  <c r="U85" i="1"/>
  <c r="Z85" i="1"/>
  <c r="V85" i="1"/>
  <c r="F89" i="1"/>
  <c r="K88" i="1"/>
  <c r="J85" i="1"/>
  <c r="P85" i="1"/>
  <c r="L85" i="1"/>
  <c r="AA85" i="1"/>
  <c r="AC85" i="1"/>
  <c r="AD85" i="1"/>
  <c r="Q86" i="1"/>
  <c r="S86" i="1"/>
  <c r="G86" i="1"/>
  <c r="I86" i="1"/>
  <c r="H87" i="1"/>
  <c r="N524" i="6"/>
  <c r="M524" i="6"/>
  <c r="T52" i="14"/>
  <c r="U52" i="14"/>
  <c r="Z52" i="14"/>
  <c r="V52" i="14"/>
  <c r="AC51" i="14"/>
  <c r="AD51" i="14"/>
  <c r="L51" i="14"/>
  <c r="AA51" i="14"/>
  <c r="H54" i="14"/>
  <c r="Q53" i="14"/>
  <c r="S53" i="14"/>
  <c r="W51" i="14"/>
  <c r="X51" i="14"/>
  <c r="F53" i="14"/>
  <c r="K52" i="14"/>
  <c r="I52" i="14"/>
  <c r="P51" i="14"/>
  <c r="J51" i="14"/>
  <c r="G52" i="14"/>
  <c r="M642" i="6"/>
  <c r="N642" i="6"/>
  <c r="W85" i="1"/>
  <c r="X85" i="1"/>
  <c r="Y85" i="1"/>
  <c r="T86" i="1"/>
  <c r="U86" i="1"/>
  <c r="Z86" i="1"/>
  <c r="V86" i="1"/>
  <c r="AC86" i="1"/>
  <c r="AD86" i="1"/>
  <c r="L86" i="1"/>
  <c r="AA86" i="1"/>
  <c r="P86" i="1"/>
  <c r="J86" i="1"/>
  <c r="I87" i="1"/>
  <c r="H88" i="1"/>
  <c r="Q87" i="1"/>
  <c r="S87" i="1"/>
  <c r="G87" i="1"/>
  <c r="K89" i="1"/>
  <c r="F90" i="1"/>
  <c r="N525" i="6"/>
  <c r="M525" i="6"/>
  <c r="T53" i="14"/>
  <c r="U53" i="14"/>
  <c r="Z53" i="14"/>
  <c r="V53" i="14"/>
  <c r="F54" i="14"/>
  <c r="G54" i="14"/>
  <c r="K53" i="14"/>
  <c r="I53" i="14"/>
  <c r="Q54" i="14"/>
  <c r="S54" i="14"/>
  <c r="H55" i="14"/>
  <c r="W52" i="14"/>
  <c r="X52" i="14"/>
  <c r="Y51" i="14"/>
  <c r="P52" i="14"/>
  <c r="J52" i="14"/>
  <c r="G53" i="14"/>
  <c r="L52" i="14"/>
  <c r="AA52" i="14"/>
  <c r="AC52" i="14"/>
  <c r="AD52" i="14"/>
  <c r="M643" i="6"/>
  <c r="N643" i="6"/>
  <c r="W86" i="1"/>
  <c r="X86" i="1"/>
  <c r="Y86" i="1"/>
  <c r="T87" i="1"/>
  <c r="U87" i="1"/>
  <c r="Z87" i="1"/>
  <c r="V87" i="1"/>
  <c r="F91" i="1"/>
  <c r="K90" i="1"/>
  <c r="P87" i="1"/>
  <c r="J87" i="1"/>
  <c r="L87" i="1"/>
  <c r="AA87" i="1"/>
  <c r="AC87" i="1"/>
  <c r="AD87" i="1"/>
  <c r="H89" i="1"/>
  <c r="G88" i="1"/>
  <c r="Q88" i="1"/>
  <c r="S88" i="1"/>
  <c r="I88" i="1"/>
  <c r="N526" i="6"/>
  <c r="M526" i="6"/>
  <c r="Y52" i="14"/>
  <c r="T54" i="14"/>
  <c r="U54" i="14"/>
  <c r="Z54" i="14"/>
  <c r="V54" i="14"/>
  <c r="J54" i="14"/>
  <c r="P54" i="14"/>
  <c r="W53" i="14"/>
  <c r="X53" i="14"/>
  <c r="L53" i="14"/>
  <c r="AA53" i="14"/>
  <c r="AC53" i="14"/>
  <c r="AD53" i="14"/>
  <c r="P53" i="14"/>
  <c r="J53" i="14"/>
  <c r="H56" i="14"/>
  <c r="Q55" i="14"/>
  <c r="S55" i="14"/>
  <c r="F55" i="14"/>
  <c r="K54" i="14"/>
  <c r="I54" i="14"/>
  <c r="M644" i="6"/>
  <c r="N644" i="6"/>
  <c r="W87" i="1"/>
  <c r="X87" i="1"/>
  <c r="Y87" i="1"/>
  <c r="T88" i="1"/>
  <c r="U88" i="1"/>
  <c r="Z88" i="1"/>
  <c r="V88" i="1"/>
  <c r="AC88" i="1"/>
  <c r="AD88" i="1"/>
  <c r="L88" i="1"/>
  <c r="AA88" i="1"/>
  <c r="H90" i="1"/>
  <c r="I89" i="1"/>
  <c r="Q89" i="1"/>
  <c r="S89" i="1"/>
  <c r="G89" i="1"/>
  <c r="K91" i="1"/>
  <c r="F92" i="1"/>
  <c r="P88" i="1"/>
  <c r="J88" i="1"/>
  <c r="Y53" i="14"/>
  <c r="N527" i="6"/>
  <c r="M527" i="6"/>
  <c r="T55" i="14"/>
  <c r="V55" i="14"/>
  <c r="Q56" i="14"/>
  <c r="S56" i="14"/>
  <c r="H57" i="14"/>
  <c r="K55" i="14"/>
  <c r="I55" i="14"/>
  <c r="F56" i="14"/>
  <c r="U55" i="14"/>
  <c r="Z55" i="14"/>
  <c r="G55" i="14"/>
  <c r="W54" i="14"/>
  <c r="X54" i="14"/>
  <c r="Y54" i="14"/>
  <c r="L54" i="14"/>
  <c r="AA54" i="14"/>
  <c r="AC54" i="14"/>
  <c r="AD54" i="14"/>
  <c r="N645" i="6"/>
  <c r="M645" i="6"/>
  <c r="W88" i="1"/>
  <c r="X88" i="1"/>
  <c r="Y88" i="1"/>
  <c r="T89" i="1"/>
  <c r="U89" i="1"/>
  <c r="Z89" i="1"/>
  <c r="V89" i="1"/>
  <c r="AC89" i="1"/>
  <c r="AD89" i="1"/>
  <c r="L89" i="1"/>
  <c r="AA89" i="1"/>
  <c r="P89" i="1"/>
  <c r="J89" i="1"/>
  <c r="Q90" i="1"/>
  <c r="S90" i="1"/>
  <c r="G90" i="1"/>
  <c r="H91" i="1"/>
  <c r="I90" i="1"/>
  <c r="K92" i="1"/>
  <c r="F93" i="1"/>
  <c r="N528" i="6"/>
  <c r="M528" i="6"/>
  <c r="T56" i="14"/>
  <c r="V56" i="14"/>
  <c r="Q57" i="14"/>
  <c r="S57" i="14"/>
  <c r="H58" i="14"/>
  <c r="U56" i="14"/>
  <c r="Z56" i="14"/>
  <c r="F57" i="14"/>
  <c r="G57" i="14"/>
  <c r="K56" i="14"/>
  <c r="I56" i="14"/>
  <c r="W55" i="14"/>
  <c r="X55" i="14"/>
  <c r="P55" i="14"/>
  <c r="J55" i="14"/>
  <c r="AC55" i="14"/>
  <c r="AD55" i="14"/>
  <c r="L55" i="14"/>
  <c r="AA55" i="14"/>
  <c r="G56" i="14"/>
  <c r="M646" i="6"/>
  <c r="N646" i="6"/>
  <c r="W89" i="1"/>
  <c r="X89" i="1"/>
  <c r="Y89" i="1"/>
  <c r="T90" i="1"/>
  <c r="U90" i="1"/>
  <c r="Z90" i="1"/>
  <c r="V90" i="1"/>
  <c r="I91" i="1"/>
  <c r="H92" i="1"/>
  <c r="G91" i="1"/>
  <c r="Q91" i="1"/>
  <c r="S91" i="1"/>
  <c r="P90" i="1"/>
  <c r="J90" i="1"/>
  <c r="F94" i="1"/>
  <c r="K93" i="1"/>
  <c r="L90" i="1"/>
  <c r="AA90" i="1"/>
  <c r="AC90" i="1"/>
  <c r="AD90" i="1"/>
  <c r="N529" i="6"/>
  <c r="M529" i="6"/>
  <c r="T57" i="14"/>
  <c r="V57" i="14"/>
  <c r="P57" i="14"/>
  <c r="J57" i="14"/>
  <c r="Q58" i="14"/>
  <c r="S58" i="14"/>
  <c r="H59" i="14"/>
  <c r="L56" i="14"/>
  <c r="AA56" i="14"/>
  <c r="AC56" i="14"/>
  <c r="AD56" i="14"/>
  <c r="W56" i="14"/>
  <c r="X56" i="14"/>
  <c r="J56" i="14"/>
  <c r="P56" i="14"/>
  <c r="F58" i="14"/>
  <c r="K57" i="14"/>
  <c r="I57" i="14"/>
  <c r="U57" i="14"/>
  <c r="Z57" i="14"/>
  <c r="Y55" i="14"/>
  <c r="M647" i="6"/>
  <c r="N647" i="6"/>
  <c r="W90" i="1"/>
  <c r="X90" i="1"/>
  <c r="Y90" i="1"/>
  <c r="T91" i="1"/>
  <c r="U91" i="1"/>
  <c r="Z91" i="1"/>
  <c r="V91" i="1"/>
  <c r="AC91" i="1"/>
  <c r="AD91" i="1"/>
  <c r="L91" i="1"/>
  <c r="AA91" i="1"/>
  <c r="P91" i="1"/>
  <c r="J91" i="1"/>
  <c r="K94" i="1"/>
  <c r="F95" i="1"/>
  <c r="Q92" i="1"/>
  <c r="S92" i="1"/>
  <c r="G92" i="1"/>
  <c r="H93" i="1"/>
  <c r="I92" i="1"/>
  <c r="N530" i="6"/>
  <c r="M530" i="6"/>
  <c r="T58" i="14"/>
  <c r="U58" i="14"/>
  <c r="Z58" i="14"/>
  <c r="V58" i="14"/>
  <c r="F59" i="14"/>
  <c r="K58" i="14"/>
  <c r="I58" i="14"/>
  <c r="G58" i="14"/>
  <c r="W57" i="14"/>
  <c r="X57" i="14"/>
  <c r="Y57" i="14"/>
  <c r="H60" i="14"/>
  <c r="Q59" i="14"/>
  <c r="S59" i="14"/>
  <c r="AC57" i="14"/>
  <c r="AD57" i="14"/>
  <c r="L57" i="14"/>
  <c r="AA57" i="14"/>
  <c r="Y56" i="14"/>
  <c r="M648" i="6"/>
  <c r="N648" i="6"/>
  <c r="W91" i="1"/>
  <c r="X91" i="1"/>
  <c r="Y91" i="1"/>
  <c r="T92" i="1"/>
  <c r="U92" i="1"/>
  <c r="Z92" i="1"/>
  <c r="V92" i="1"/>
  <c r="AC92" i="1"/>
  <c r="AD92" i="1"/>
  <c r="L92" i="1"/>
  <c r="AA92" i="1"/>
  <c r="G93" i="1"/>
  <c r="H94" i="1"/>
  <c r="I93" i="1"/>
  <c r="Q93" i="1"/>
  <c r="S93" i="1"/>
  <c r="P92" i="1"/>
  <c r="J92" i="1"/>
  <c r="F96" i="1"/>
  <c r="K95" i="1"/>
  <c r="N531" i="6"/>
  <c r="M531" i="6"/>
  <c r="W58" i="14"/>
  <c r="X58" i="14"/>
  <c r="T59" i="14"/>
  <c r="U59" i="14"/>
  <c r="Z59" i="14"/>
  <c r="V59" i="14"/>
  <c r="F60" i="14"/>
  <c r="G60" i="14"/>
  <c r="K59" i="14"/>
  <c r="I59" i="14"/>
  <c r="Q60" i="14"/>
  <c r="S60" i="14"/>
  <c r="H61" i="14"/>
  <c r="J58" i="14"/>
  <c r="P58" i="14"/>
  <c r="G59" i="14"/>
  <c r="L58" i="14"/>
  <c r="AA58" i="14"/>
  <c r="AC58" i="14"/>
  <c r="AD58" i="14"/>
  <c r="N649" i="6"/>
  <c r="M649" i="6"/>
  <c r="W92" i="1"/>
  <c r="X92" i="1"/>
  <c r="T93" i="1"/>
  <c r="U93" i="1"/>
  <c r="Z93" i="1"/>
  <c r="V93" i="1"/>
  <c r="AC93" i="1"/>
  <c r="AD93" i="1"/>
  <c r="L93" i="1"/>
  <c r="AA93" i="1"/>
  <c r="H95" i="1"/>
  <c r="I94" i="1"/>
  <c r="Q94" i="1"/>
  <c r="S94" i="1"/>
  <c r="G94" i="1"/>
  <c r="Y92" i="1"/>
  <c r="J93" i="1"/>
  <c r="P93" i="1"/>
  <c r="F97" i="1"/>
  <c r="K96" i="1"/>
  <c r="N532" i="6"/>
  <c r="M532" i="6"/>
  <c r="W59" i="14"/>
  <c r="T60" i="14"/>
  <c r="U60" i="14"/>
  <c r="Z60" i="14"/>
  <c r="V60" i="14"/>
  <c r="J59" i="14"/>
  <c r="P59" i="14"/>
  <c r="J60" i="14"/>
  <c r="P60" i="14"/>
  <c r="F61" i="14"/>
  <c r="K60" i="14"/>
  <c r="I60" i="14"/>
  <c r="X59" i="14"/>
  <c r="H62" i="14"/>
  <c r="Q61" i="14"/>
  <c r="S61" i="14"/>
  <c r="V61" i="14"/>
  <c r="AC59" i="14"/>
  <c r="AD59" i="14"/>
  <c r="L59" i="14"/>
  <c r="AA59" i="14"/>
  <c r="Y58" i="14"/>
  <c r="M650" i="6"/>
  <c r="N650" i="6"/>
  <c r="W93" i="1"/>
  <c r="X93" i="1"/>
  <c r="Y93" i="1"/>
  <c r="T94" i="1"/>
  <c r="U94" i="1"/>
  <c r="Z94" i="1"/>
  <c r="V94" i="1"/>
  <c r="AC94" i="1"/>
  <c r="AD94" i="1"/>
  <c r="L94" i="1"/>
  <c r="AA94" i="1"/>
  <c r="F98" i="1"/>
  <c r="K97" i="1"/>
  <c r="J94" i="1"/>
  <c r="P94" i="1"/>
  <c r="G95" i="1"/>
  <c r="H96" i="1"/>
  <c r="Q95" i="1"/>
  <c r="S95" i="1"/>
  <c r="I95" i="1"/>
  <c r="N533" i="6"/>
  <c r="M533" i="6"/>
  <c r="Q62" i="14"/>
  <c r="H63" i="14"/>
  <c r="Y59" i="14"/>
  <c r="AC60" i="14"/>
  <c r="AD60" i="14"/>
  <c r="L60" i="14"/>
  <c r="AA60" i="14"/>
  <c r="W60" i="14"/>
  <c r="X60" i="14"/>
  <c r="Y60" i="14"/>
  <c r="F62" i="14"/>
  <c r="K61" i="14"/>
  <c r="I61" i="14"/>
  <c r="G61" i="14"/>
  <c r="T61" i="14"/>
  <c r="U61" i="14"/>
  <c r="S62" i="14"/>
  <c r="V62" i="14"/>
  <c r="M651" i="6"/>
  <c r="N651" i="6"/>
  <c r="W94" i="1"/>
  <c r="X94" i="1"/>
  <c r="Y94" i="1"/>
  <c r="T95" i="1"/>
  <c r="U95" i="1"/>
  <c r="Z95" i="1"/>
  <c r="V95" i="1"/>
  <c r="F99" i="1"/>
  <c r="K98" i="1"/>
  <c r="L95" i="1"/>
  <c r="AA95" i="1"/>
  <c r="AC95" i="1"/>
  <c r="AD95" i="1"/>
  <c r="J95" i="1"/>
  <c r="P95" i="1"/>
  <c r="H97" i="1"/>
  <c r="G96" i="1"/>
  <c r="I96" i="1"/>
  <c r="Q96" i="1"/>
  <c r="S96" i="1"/>
  <c r="N534" i="6"/>
  <c r="M534" i="6"/>
  <c r="Z61" i="14"/>
  <c r="W61" i="14"/>
  <c r="X61" i="14"/>
  <c r="AC61" i="14"/>
  <c r="AD61" i="14"/>
  <c r="L61" i="14"/>
  <c r="AA61" i="14"/>
  <c r="P61" i="14"/>
  <c r="J61" i="14"/>
  <c r="F63" i="14"/>
  <c r="G63" i="14"/>
  <c r="K62" i="14"/>
  <c r="I62" i="14"/>
  <c r="H64" i="14"/>
  <c r="Q63" i="14"/>
  <c r="S63" i="14"/>
  <c r="T62" i="14"/>
  <c r="U62" i="14"/>
  <c r="G62" i="14"/>
  <c r="N652" i="6"/>
  <c r="W95" i="1"/>
  <c r="X95" i="1"/>
  <c r="Y95" i="1"/>
  <c r="T96" i="1"/>
  <c r="U96" i="1"/>
  <c r="Z96" i="1"/>
  <c r="V96" i="1"/>
  <c r="F100" i="1"/>
  <c r="K99" i="1"/>
  <c r="L96" i="1"/>
  <c r="AA96" i="1"/>
  <c r="AC96" i="1"/>
  <c r="AD96" i="1"/>
  <c r="J96" i="1"/>
  <c r="P96" i="1"/>
  <c r="G97" i="1"/>
  <c r="H98" i="1"/>
  <c r="Q97" i="1"/>
  <c r="S97" i="1"/>
  <c r="I97" i="1"/>
  <c r="N535" i="6"/>
  <c r="M535" i="6"/>
  <c r="T63" i="14"/>
  <c r="U63" i="14"/>
  <c r="Z63" i="14"/>
  <c r="V63" i="14"/>
  <c r="W62" i="14"/>
  <c r="X62" i="14"/>
  <c r="Z62" i="14"/>
  <c r="J63" i="14"/>
  <c r="P63" i="14"/>
  <c r="Q64" i="14"/>
  <c r="S64" i="14"/>
  <c r="H65" i="14"/>
  <c r="J62" i="14"/>
  <c r="P62" i="14"/>
  <c r="AC62" i="14"/>
  <c r="AD62" i="14"/>
  <c r="L62" i="14"/>
  <c r="AA62" i="14"/>
  <c r="Y61" i="14"/>
  <c r="F64" i="14"/>
  <c r="G64" i="14"/>
  <c r="K63" i="14"/>
  <c r="I63" i="14"/>
  <c r="M653" i="6"/>
  <c r="N653" i="6"/>
  <c r="W96" i="1"/>
  <c r="X96" i="1"/>
  <c r="Y96" i="1"/>
  <c r="T97" i="1"/>
  <c r="U97" i="1"/>
  <c r="Z97" i="1"/>
  <c r="V97" i="1"/>
  <c r="Q98" i="1"/>
  <c r="S98" i="1"/>
  <c r="H99" i="1"/>
  <c r="I98" i="1"/>
  <c r="G98" i="1"/>
  <c r="AC97" i="1"/>
  <c r="AD97" i="1"/>
  <c r="L97" i="1"/>
  <c r="AA97" i="1"/>
  <c r="J97" i="1"/>
  <c r="P97" i="1"/>
  <c r="F101" i="1"/>
  <c r="K100" i="1"/>
  <c r="N536" i="6"/>
  <c r="M536" i="6"/>
  <c r="T64" i="14"/>
  <c r="U64" i="14"/>
  <c r="Z64" i="14"/>
  <c r="V64" i="14"/>
  <c r="J64" i="14"/>
  <c r="P64" i="14"/>
  <c r="L63" i="14"/>
  <c r="AA63" i="14"/>
  <c r="AC63" i="14"/>
  <c r="AD63" i="14"/>
  <c r="Y62" i="14"/>
  <c r="W63" i="14"/>
  <c r="X63" i="14"/>
  <c r="Y63" i="14"/>
  <c r="F65" i="14"/>
  <c r="K64" i="14"/>
  <c r="I64" i="14"/>
  <c r="H66" i="14"/>
  <c r="Q65" i="14"/>
  <c r="S65" i="14"/>
  <c r="M654" i="6"/>
  <c r="N654" i="6"/>
  <c r="W97" i="1"/>
  <c r="X97" i="1"/>
  <c r="Y97" i="1"/>
  <c r="T98" i="1"/>
  <c r="U98" i="1"/>
  <c r="Z98" i="1"/>
  <c r="V98" i="1"/>
  <c r="AC98" i="1"/>
  <c r="AD98" i="1"/>
  <c r="L98" i="1"/>
  <c r="AA98" i="1"/>
  <c r="G99" i="1"/>
  <c r="Q99" i="1"/>
  <c r="S99" i="1"/>
  <c r="H100" i="1"/>
  <c r="I99" i="1"/>
  <c r="F102" i="1"/>
  <c r="K101" i="1"/>
  <c r="J98" i="1"/>
  <c r="P98" i="1"/>
  <c r="N537" i="6"/>
  <c r="M537" i="6"/>
  <c r="T65" i="14"/>
  <c r="U65" i="14"/>
  <c r="Z65" i="14"/>
  <c r="V65" i="14"/>
  <c r="L64" i="14"/>
  <c r="AC64" i="14"/>
  <c r="AD64" i="14"/>
  <c r="K65" i="14"/>
  <c r="I65" i="14"/>
  <c r="F66" i="14"/>
  <c r="G66" i="14"/>
  <c r="W64" i="14"/>
  <c r="X64" i="14"/>
  <c r="Y64" i="14"/>
  <c r="H67" i="14"/>
  <c r="Q66" i="14"/>
  <c r="S66" i="14"/>
  <c r="G65" i="14"/>
  <c r="M655" i="6"/>
  <c r="N655" i="6"/>
  <c r="W98" i="1"/>
  <c r="X98" i="1"/>
  <c r="T99" i="1"/>
  <c r="U99" i="1"/>
  <c r="Z99" i="1"/>
  <c r="V99" i="1"/>
  <c r="Q100" i="1"/>
  <c r="S100" i="1"/>
  <c r="G100" i="1"/>
  <c r="H101" i="1"/>
  <c r="I100" i="1"/>
  <c r="F103" i="1"/>
  <c r="K102" i="1"/>
  <c r="Y98" i="1"/>
  <c r="P99" i="1"/>
  <c r="J99" i="1"/>
  <c r="AC99" i="1"/>
  <c r="AD99" i="1"/>
  <c r="L99" i="1"/>
  <c r="AA99" i="1"/>
  <c r="N538" i="6"/>
  <c r="M538" i="6"/>
  <c r="T66" i="14"/>
  <c r="U66" i="14"/>
  <c r="Z66" i="14"/>
  <c r="V66" i="14"/>
  <c r="P65" i="14"/>
  <c r="J65" i="14"/>
  <c r="Q67" i="14"/>
  <c r="S67" i="14"/>
  <c r="H68" i="14"/>
  <c r="W65" i="14"/>
  <c r="X65" i="14"/>
  <c r="Y65" i="14"/>
  <c r="L65" i="14"/>
  <c r="AA65" i="14"/>
  <c r="AC65" i="14"/>
  <c r="AD65" i="14"/>
  <c r="J66" i="14"/>
  <c r="P66" i="14"/>
  <c r="F67" i="14"/>
  <c r="G67" i="14"/>
  <c r="K66" i="14"/>
  <c r="I66" i="14"/>
  <c r="M656" i="6"/>
  <c r="N656" i="6"/>
  <c r="W99" i="1"/>
  <c r="X99" i="1"/>
  <c r="Y99" i="1"/>
  <c r="T100" i="1"/>
  <c r="U100" i="1"/>
  <c r="Z100" i="1"/>
  <c r="V100" i="1"/>
  <c r="AC100" i="1"/>
  <c r="AD100" i="1"/>
  <c r="L100" i="1"/>
  <c r="AA100" i="1"/>
  <c r="F104" i="1"/>
  <c r="K103" i="1"/>
  <c r="H102" i="1"/>
  <c r="G101" i="1"/>
  <c r="I101" i="1"/>
  <c r="Q101" i="1"/>
  <c r="S101" i="1"/>
  <c r="P100" i="1"/>
  <c r="J100" i="1"/>
  <c r="N539" i="6"/>
  <c r="M539" i="6"/>
  <c r="J67" i="14"/>
  <c r="P67" i="14"/>
  <c r="T67" i="14"/>
  <c r="U67" i="14"/>
  <c r="Z67" i="14"/>
  <c r="V67" i="14"/>
  <c r="H69" i="14"/>
  <c r="Q68" i="14"/>
  <c r="S68" i="14"/>
  <c r="W66" i="14"/>
  <c r="X66" i="14"/>
  <c r="Y66" i="14"/>
  <c r="L66" i="14"/>
  <c r="AA66" i="14"/>
  <c r="AC66" i="14"/>
  <c r="AD66" i="14"/>
  <c r="F68" i="14"/>
  <c r="G68" i="14"/>
  <c r="K67" i="14"/>
  <c r="I67" i="14"/>
  <c r="M657" i="6"/>
  <c r="N657" i="6"/>
  <c r="W100" i="1"/>
  <c r="X100" i="1"/>
  <c r="Y100" i="1"/>
  <c r="T101" i="1"/>
  <c r="U101" i="1"/>
  <c r="Z101" i="1"/>
  <c r="V101" i="1"/>
  <c r="AC101" i="1"/>
  <c r="AD101" i="1"/>
  <c r="L101" i="1"/>
  <c r="AA101" i="1"/>
  <c r="P101" i="1"/>
  <c r="J101" i="1"/>
  <c r="Q102" i="1"/>
  <c r="S102" i="1"/>
  <c r="G102" i="1"/>
  <c r="H103" i="1"/>
  <c r="I102" i="1"/>
  <c r="F105" i="1"/>
  <c r="K104" i="1"/>
  <c r="N540" i="6"/>
  <c r="M540" i="6"/>
  <c r="T68" i="14"/>
  <c r="U68" i="14"/>
  <c r="Z68" i="14"/>
  <c r="V68" i="14"/>
  <c r="J68" i="14"/>
  <c r="P68" i="14"/>
  <c r="AC67" i="14"/>
  <c r="AD67" i="14"/>
  <c r="L67" i="14"/>
  <c r="AA67" i="14"/>
  <c r="H70" i="14"/>
  <c r="Q69" i="14"/>
  <c r="S69" i="14"/>
  <c r="F69" i="14"/>
  <c r="G69" i="14"/>
  <c r="K68" i="14"/>
  <c r="I68" i="14"/>
  <c r="W67" i="14"/>
  <c r="X67" i="14"/>
  <c r="Y67" i="14"/>
  <c r="M658" i="6"/>
  <c r="N658" i="6"/>
  <c r="W101" i="1"/>
  <c r="X101" i="1"/>
  <c r="Y101" i="1"/>
  <c r="T102" i="1"/>
  <c r="U102" i="1"/>
  <c r="Z102" i="1"/>
  <c r="V102" i="1"/>
  <c r="G103" i="1"/>
  <c r="H104" i="1"/>
  <c r="I103" i="1"/>
  <c r="Q103" i="1"/>
  <c r="S103" i="1"/>
  <c r="F106" i="1"/>
  <c r="K105" i="1"/>
  <c r="J102" i="1"/>
  <c r="P102" i="1"/>
  <c r="AC102" i="1"/>
  <c r="AD102" i="1"/>
  <c r="L102" i="1"/>
  <c r="AA102" i="1"/>
  <c r="M541" i="6"/>
  <c r="N541" i="6"/>
  <c r="T69" i="14"/>
  <c r="V69" i="14"/>
  <c r="P69" i="14"/>
  <c r="J69" i="14"/>
  <c r="W68" i="14"/>
  <c r="X68" i="14"/>
  <c r="Y68" i="14"/>
  <c r="L68" i="14"/>
  <c r="AA68" i="14"/>
  <c r="AC68" i="14"/>
  <c r="AD68" i="14"/>
  <c r="Q70" i="14"/>
  <c r="S70" i="14"/>
  <c r="H71" i="14"/>
  <c r="F70" i="14"/>
  <c r="K69" i="14"/>
  <c r="I69" i="14"/>
  <c r="U69" i="14"/>
  <c r="Z69" i="14"/>
  <c r="M659" i="6"/>
  <c r="N659" i="6"/>
  <c r="W102" i="1"/>
  <c r="X102" i="1"/>
  <c r="Y102" i="1"/>
  <c r="T103" i="1"/>
  <c r="U103" i="1"/>
  <c r="Z103" i="1"/>
  <c r="V103" i="1"/>
  <c r="P103" i="1"/>
  <c r="J103" i="1"/>
  <c r="F107" i="1"/>
  <c r="K106" i="1"/>
  <c r="L103" i="1"/>
  <c r="AA103" i="1"/>
  <c r="AC103" i="1"/>
  <c r="AD103" i="1"/>
  <c r="H105" i="1"/>
  <c r="G104" i="1"/>
  <c r="I104" i="1"/>
  <c r="Q104" i="1"/>
  <c r="S104" i="1"/>
  <c r="W69" i="14"/>
  <c r="X69" i="14"/>
  <c r="Y69" i="14"/>
  <c r="T70" i="14"/>
  <c r="V70" i="14"/>
  <c r="L69" i="14"/>
  <c r="AA69" i="14"/>
  <c r="AC69" i="14"/>
  <c r="AD69" i="14"/>
  <c r="H72" i="14"/>
  <c r="Q71" i="14"/>
  <c r="S71" i="14"/>
  <c r="K70" i="14"/>
  <c r="I70" i="14"/>
  <c r="U70" i="14"/>
  <c r="Z70" i="14"/>
  <c r="F71" i="14"/>
  <c r="G70" i="14"/>
  <c r="M660" i="6"/>
  <c r="N660" i="6"/>
  <c r="W103" i="1"/>
  <c r="X103" i="1"/>
  <c r="Y103" i="1"/>
  <c r="T104" i="1"/>
  <c r="U104" i="1"/>
  <c r="Z104" i="1"/>
  <c r="V104" i="1"/>
  <c r="F108" i="1"/>
  <c r="K107" i="1"/>
  <c r="L104" i="1"/>
  <c r="AA104" i="1"/>
  <c r="AC104" i="1"/>
  <c r="AD104" i="1"/>
  <c r="P104" i="1"/>
  <c r="J104" i="1"/>
  <c r="Q105" i="1"/>
  <c r="S105" i="1"/>
  <c r="I105" i="1"/>
  <c r="G105" i="1"/>
  <c r="H106" i="1"/>
  <c r="T71" i="14"/>
  <c r="U71" i="14"/>
  <c r="Z71" i="14"/>
  <c r="V71" i="14"/>
  <c r="AC70" i="14"/>
  <c r="AD70" i="14"/>
  <c r="L70" i="14"/>
  <c r="AA70" i="14"/>
  <c r="K71" i="14"/>
  <c r="I71" i="14"/>
  <c r="F72" i="14"/>
  <c r="G71" i="14"/>
  <c r="W70" i="14"/>
  <c r="X70" i="14"/>
  <c r="J70" i="14"/>
  <c r="P70" i="14"/>
  <c r="H73" i="14"/>
  <c r="Q72" i="14"/>
  <c r="S72" i="14"/>
  <c r="W104" i="1"/>
  <c r="X104" i="1"/>
  <c r="Y104" i="1"/>
  <c r="T105" i="1"/>
  <c r="U105" i="1"/>
  <c r="Z105" i="1"/>
  <c r="V105" i="1"/>
  <c r="P105" i="1"/>
  <c r="J105" i="1"/>
  <c r="L105" i="1"/>
  <c r="AA105" i="1"/>
  <c r="AC105" i="1"/>
  <c r="AD105" i="1"/>
  <c r="H107" i="1"/>
  <c r="G106" i="1"/>
  <c r="I106" i="1"/>
  <c r="Q106" i="1"/>
  <c r="S106" i="1"/>
  <c r="F109" i="1"/>
  <c r="K108" i="1"/>
  <c r="T72" i="14"/>
  <c r="U72" i="14"/>
  <c r="Z72" i="14"/>
  <c r="V72" i="14"/>
  <c r="F73" i="14"/>
  <c r="G73" i="14"/>
  <c r="K72" i="14"/>
  <c r="I72" i="14"/>
  <c r="Y70" i="14"/>
  <c r="W71" i="14"/>
  <c r="X71" i="14"/>
  <c r="H74" i="14"/>
  <c r="Q73" i="14"/>
  <c r="S73" i="14"/>
  <c r="J71" i="14"/>
  <c r="P71" i="14"/>
  <c r="AC71" i="14"/>
  <c r="AD71" i="14"/>
  <c r="L71" i="14"/>
  <c r="AA71" i="14"/>
  <c r="G72" i="14"/>
  <c r="W105" i="1"/>
  <c r="X105" i="1"/>
  <c r="Y105" i="1"/>
  <c r="T106" i="1"/>
  <c r="U106" i="1"/>
  <c r="Z106" i="1"/>
  <c r="V106" i="1"/>
  <c r="L106" i="1"/>
  <c r="AA106" i="1"/>
  <c r="AC106" i="1"/>
  <c r="AD106" i="1"/>
  <c r="K109" i="1"/>
  <c r="F110" i="1"/>
  <c r="P106" i="1"/>
  <c r="J106" i="1"/>
  <c r="H108" i="1"/>
  <c r="Q107" i="1"/>
  <c r="S107" i="1"/>
  <c r="I107" i="1"/>
  <c r="G107" i="1"/>
  <c r="T73" i="14"/>
  <c r="V73" i="14"/>
  <c r="F74" i="14"/>
  <c r="G74" i="14"/>
  <c r="K73" i="14"/>
  <c r="I73" i="14"/>
  <c r="U73" i="14"/>
  <c r="Z73" i="14"/>
  <c r="J72" i="14"/>
  <c r="P72" i="14"/>
  <c r="W72" i="14"/>
  <c r="X72" i="14"/>
  <c r="H75" i="14"/>
  <c r="Q74" i="14"/>
  <c r="S74" i="14"/>
  <c r="J73" i="14"/>
  <c r="P73" i="14"/>
  <c r="Y71" i="14"/>
  <c r="L72" i="14"/>
  <c r="AA72" i="14"/>
  <c r="AC72" i="14"/>
  <c r="AD72" i="14"/>
  <c r="W106" i="1"/>
  <c r="X106" i="1"/>
  <c r="Y106" i="1"/>
  <c r="T107" i="1"/>
  <c r="U107" i="1"/>
  <c r="Z107" i="1"/>
  <c r="V107" i="1"/>
  <c r="H109" i="1"/>
  <c r="G108" i="1"/>
  <c r="I108" i="1"/>
  <c r="Q108" i="1"/>
  <c r="S108" i="1"/>
  <c r="P107" i="1"/>
  <c r="J107" i="1"/>
  <c r="AC107" i="1"/>
  <c r="AD107" i="1"/>
  <c r="L107" i="1"/>
  <c r="AA107" i="1"/>
  <c r="F111" i="1"/>
  <c r="K110" i="1"/>
  <c r="T74" i="14"/>
  <c r="U74" i="14"/>
  <c r="Z74" i="14"/>
  <c r="V74" i="14"/>
  <c r="J74" i="14"/>
  <c r="P74" i="14"/>
  <c r="H76" i="14"/>
  <c r="Q75" i="14"/>
  <c r="S75" i="14"/>
  <c r="W73" i="14"/>
  <c r="X73" i="14"/>
  <c r="Y73" i="14"/>
  <c r="Y72" i="14"/>
  <c r="L73" i="14"/>
  <c r="AA73" i="14"/>
  <c r="AC73" i="14"/>
  <c r="AD73" i="14"/>
  <c r="F75" i="14"/>
  <c r="K74" i="14"/>
  <c r="I74" i="14"/>
  <c r="W107" i="1"/>
  <c r="X107" i="1"/>
  <c r="Y107" i="1"/>
  <c r="T108" i="1"/>
  <c r="U108" i="1"/>
  <c r="Z108" i="1"/>
  <c r="V108" i="1"/>
  <c r="H110" i="1"/>
  <c r="I109" i="1"/>
  <c r="Q109" i="1"/>
  <c r="S109" i="1"/>
  <c r="G109" i="1"/>
  <c r="L108" i="1"/>
  <c r="AA108" i="1"/>
  <c r="AC108" i="1"/>
  <c r="AD108" i="1"/>
  <c r="F112" i="1"/>
  <c r="K111" i="1"/>
  <c r="P108" i="1"/>
  <c r="J108" i="1"/>
  <c r="T75" i="14"/>
  <c r="U75" i="14"/>
  <c r="Z75" i="14"/>
  <c r="V75" i="14"/>
  <c r="F76" i="14"/>
  <c r="K75" i="14"/>
  <c r="I75" i="14"/>
  <c r="H77" i="14"/>
  <c r="Q76" i="14"/>
  <c r="S76" i="14"/>
  <c r="W74" i="14"/>
  <c r="X74" i="14"/>
  <c r="Y74" i="14"/>
  <c r="L74" i="14"/>
  <c r="AA74" i="14"/>
  <c r="AC74" i="14"/>
  <c r="AD74" i="14"/>
  <c r="G75" i="14"/>
  <c r="W108" i="1"/>
  <c r="X108" i="1"/>
  <c r="Y108" i="1"/>
  <c r="T109" i="1"/>
  <c r="U109" i="1"/>
  <c r="Z109" i="1"/>
  <c r="V109" i="1"/>
  <c r="J109" i="1"/>
  <c r="P109" i="1"/>
  <c r="H111" i="1"/>
  <c r="G110" i="1"/>
  <c r="I110" i="1"/>
  <c r="Q110" i="1"/>
  <c r="S110" i="1"/>
  <c r="F113" i="1"/>
  <c r="K112" i="1"/>
  <c r="L109" i="1"/>
  <c r="AA109" i="1"/>
  <c r="AC109" i="1"/>
  <c r="AD109" i="1"/>
  <c r="T76" i="14"/>
  <c r="U76" i="14"/>
  <c r="Z76" i="14"/>
  <c r="V76" i="14"/>
  <c r="H78" i="14"/>
  <c r="Q77" i="14"/>
  <c r="S77" i="14"/>
  <c r="K76" i="14"/>
  <c r="I76" i="14"/>
  <c r="F77" i="14"/>
  <c r="W75" i="14"/>
  <c r="X75" i="14"/>
  <c r="L75" i="14"/>
  <c r="AA75" i="14"/>
  <c r="AC75" i="14"/>
  <c r="AD75" i="14"/>
  <c r="J75" i="14"/>
  <c r="P75" i="14"/>
  <c r="G76" i="14"/>
  <c r="W109" i="1"/>
  <c r="X109" i="1"/>
  <c r="Y109" i="1"/>
  <c r="T110" i="1"/>
  <c r="U110" i="1"/>
  <c r="Z110" i="1"/>
  <c r="V110" i="1"/>
  <c r="I111" i="1"/>
  <c r="Q111" i="1"/>
  <c r="S111" i="1"/>
  <c r="V111" i="1"/>
  <c r="G111" i="1"/>
  <c r="H112" i="1"/>
  <c r="AC110" i="1"/>
  <c r="AD110" i="1"/>
  <c r="L110" i="1"/>
  <c r="AA110" i="1"/>
  <c r="J110" i="1"/>
  <c r="P110" i="1"/>
  <c r="F114" i="1"/>
  <c r="K113" i="1"/>
  <c r="W76" i="14"/>
  <c r="X76" i="14"/>
  <c r="T77" i="14"/>
  <c r="U77" i="14"/>
  <c r="Z77" i="14"/>
  <c r="V77" i="14"/>
  <c r="K77" i="14"/>
  <c r="I77" i="14"/>
  <c r="F78" i="14"/>
  <c r="G77" i="14"/>
  <c r="P76" i="14"/>
  <c r="J76" i="14"/>
  <c r="Y75" i="14"/>
  <c r="L76" i="14"/>
  <c r="AA76" i="14"/>
  <c r="AC76" i="14"/>
  <c r="AD76" i="14"/>
  <c r="H79" i="14"/>
  <c r="Q78" i="14"/>
  <c r="S78" i="14"/>
  <c r="W110" i="1"/>
  <c r="X110" i="1"/>
  <c r="Q112" i="1"/>
  <c r="S112" i="1"/>
  <c r="V112" i="1"/>
  <c r="G112" i="1"/>
  <c r="H113" i="1"/>
  <c r="I112" i="1"/>
  <c r="AC111" i="1"/>
  <c r="AD111" i="1"/>
  <c r="L111" i="1"/>
  <c r="AA111" i="1"/>
  <c r="Y110" i="1"/>
  <c r="P111" i="1"/>
  <c r="J111" i="1"/>
  <c r="T111" i="1"/>
  <c r="U111" i="1"/>
  <c r="Z111" i="1"/>
  <c r="F115" i="1"/>
  <c r="K114" i="1"/>
  <c r="W77" i="14"/>
  <c r="X77" i="14"/>
  <c r="T78" i="14"/>
  <c r="V78" i="14"/>
  <c r="H80" i="14"/>
  <c r="Q79" i="14"/>
  <c r="S79" i="14"/>
  <c r="P77" i="14"/>
  <c r="J77" i="14"/>
  <c r="AC77" i="14"/>
  <c r="AD77" i="14"/>
  <c r="L77" i="14"/>
  <c r="AA77" i="14"/>
  <c r="F79" i="14"/>
  <c r="G79" i="14"/>
  <c r="K78" i="14"/>
  <c r="I78" i="14"/>
  <c r="U78" i="14"/>
  <c r="Z78" i="14"/>
  <c r="G78" i="14"/>
  <c r="Y76" i="14"/>
  <c r="W111" i="1"/>
  <c r="X111" i="1"/>
  <c r="Y111" i="1"/>
  <c r="H114" i="1"/>
  <c r="Q113" i="1"/>
  <c r="S113" i="1"/>
  <c r="I113" i="1"/>
  <c r="G113" i="1"/>
  <c r="P112" i="1"/>
  <c r="J112" i="1"/>
  <c r="F116" i="1"/>
  <c r="K115" i="1"/>
  <c r="T112" i="1"/>
  <c r="U112" i="1"/>
  <c r="Z112" i="1"/>
  <c r="AC112" i="1"/>
  <c r="AD112" i="1"/>
  <c r="L112" i="1"/>
  <c r="AA112" i="1"/>
  <c r="Y77" i="14"/>
  <c r="T79" i="14"/>
  <c r="V79" i="14"/>
  <c r="P79" i="14"/>
  <c r="J79" i="14"/>
  <c r="W78" i="14"/>
  <c r="X78" i="14"/>
  <c r="AC78" i="14"/>
  <c r="AD78" i="14"/>
  <c r="L78" i="14"/>
  <c r="AA78" i="14"/>
  <c r="Q80" i="14"/>
  <c r="S80" i="14"/>
  <c r="H81" i="14"/>
  <c r="J78" i="14"/>
  <c r="P78" i="14"/>
  <c r="F80" i="14"/>
  <c r="U79" i="14"/>
  <c r="Z79" i="14"/>
  <c r="K79" i="14"/>
  <c r="I79" i="14"/>
  <c r="T113" i="1"/>
  <c r="U113" i="1"/>
  <c r="Z113" i="1"/>
  <c r="V113" i="1"/>
  <c r="P113" i="1"/>
  <c r="J113" i="1"/>
  <c r="I114" i="1"/>
  <c r="Q114" i="1"/>
  <c r="S114" i="1"/>
  <c r="H115" i="1"/>
  <c r="G114" i="1"/>
  <c r="F117" i="1"/>
  <c r="K116" i="1"/>
  <c r="W112" i="1"/>
  <c r="X112" i="1"/>
  <c r="Y112" i="1"/>
  <c r="AC113" i="1"/>
  <c r="AD113" i="1"/>
  <c r="L113" i="1"/>
  <c r="AA113" i="1"/>
  <c r="W79" i="14"/>
  <c r="X79" i="14"/>
  <c r="Y79" i="14"/>
  <c r="T80" i="14"/>
  <c r="V80" i="14"/>
  <c r="F81" i="14"/>
  <c r="G81" i="14"/>
  <c r="K80" i="14"/>
  <c r="I80" i="14"/>
  <c r="U80" i="14"/>
  <c r="Z80" i="14"/>
  <c r="G80" i="14"/>
  <c r="Y78" i="14"/>
  <c r="AC79" i="14"/>
  <c r="AD79" i="14"/>
  <c r="L79" i="14"/>
  <c r="AA79" i="14"/>
  <c r="H82" i="14"/>
  <c r="Q81" i="14"/>
  <c r="S81" i="14"/>
  <c r="W113" i="1"/>
  <c r="X113" i="1"/>
  <c r="Y113" i="1"/>
  <c r="T114" i="1"/>
  <c r="U114" i="1"/>
  <c r="Z114" i="1"/>
  <c r="V114" i="1"/>
  <c r="J114" i="1"/>
  <c r="P114" i="1"/>
  <c r="L114" i="1"/>
  <c r="AA114" i="1"/>
  <c r="AC114" i="1"/>
  <c r="AD114" i="1"/>
  <c r="F118" i="1"/>
  <c r="K117" i="1"/>
  <c r="Q115" i="1"/>
  <c r="S115" i="1"/>
  <c r="I115" i="1"/>
  <c r="G115" i="1"/>
  <c r="H116" i="1"/>
  <c r="T81" i="14"/>
  <c r="V81" i="14"/>
  <c r="H83" i="14"/>
  <c r="Q82" i="14"/>
  <c r="S82" i="14"/>
  <c r="J80" i="14"/>
  <c r="P80" i="14"/>
  <c r="K81" i="14"/>
  <c r="I81" i="14"/>
  <c r="F82" i="14"/>
  <c r="U81" i="14"/>
  <c r="Z81" i="14"/>
  <c r="W80" i="14"/>
  <c r="X80" i="14"/>
  <c r="Y80" i="14"/>
  <c r="P81" i="14"/>
  <c r="J81" i="14"/>
  <c r="L80" i="14"/>
  <c r="AA80" i="14"/>
  <c r="AC80" i="14"/>
  <c r="AD80" i="14"/>
  <c r="W114" i="1"/>
  <c r="X114" i="1"/>
  <c r="Y114" i="1"/>
  <c r="T115" i="1"/>
  <c r="U115" i="1"/>
  <c r="Z115" i="1"/>
  <c r="V115" i="1"/>
  <c r="P115" i="1"/>
  <c r="J115" i="1"/>
  <c r="L115" i="1"/>
  <c r="AA115" i="1"/>
  <c r="AC115" i="1"/>
  <c r="AD115" i="1"/>
  <c r="K118" i="1"/>
  <c r="F119" i="1"/>
  <c r="H117" i="1"/>
  <c r="G116" i="1"/>
  <c r="I116" i="1"/>
  <c r="Q116" i="1"/>
  <c r="S116" i="1"/>
  <c r="T82" i="14"/>
  <c r="V82" i="14"/>
  <c r="Q83" i="14"/>
  <c r="S83" i="14"/>
  <c r="H84" i="14"/>
  <c r="L81" i="14"/>
  <c r="AA81" i="14"/>
  <c r="AC81" i="14"/>
  <c r="AD81" i="14"/>
  <c r="W81" i="14"/>
  <c r="X81" i="14"/>
  <c r="Y81" i="14"/>
  <c r="U82" i="14"/>
  <c r="Z82" i="14"/>
  <c r="F83" i="14"/>
  <c r="K82" i="14"/>
  <c r="I82" i="14"/>
  <c r="G82" i="14"/>
  <c r="W115" i="1"/>
  <c r="X115" i="1"/>
  <c r="Y115" i="1"/>
  <c r="T116" i="1"/>
  <c r="U116" i="1"/>
  <c r="Z116" i="1"/>
  <c r="V116" i="1"/>
  <c r="H118" i="1"/>
  <c r="Q117" i="1"/>
  <c r="S117" i="1"/>
  <c r="I117" i="1"/>
  <c r="G117" i="1"/>
  <c r="F120" i="1"/>
  <c r="K119" i="1"/>
  <c r="L116" i="1"/>
  <c r="AA116" i="1"/>
  <c r="AC116" i="1"/>
  <c r="AD116" i="1"/>
  <c r="J116" i="1"/>
  <c r="P116" i="1"/>
  <c r="T83" i="14"/>
  <c r="U83" i="14"/>
  <c r="Z83" i="14"/>
  <c r="V83" i="14"/>
  <c r="F84" i="14"/>
  <c r="G84" i="14"/>
  <c r="K83" i="14"/>
  <c r="I83" i="14"/>
  <c r="J82" i="14"/>
  <c r="P82" i="14"/>
  <c r="L82" i="14"/>
  <c r="AA82" i="14"/>
  <c r="AC82" i="14"/>
  <c r="AD82" i="14"/>
  <c r="Q84" i="14"/>
  <c r="S84" i="14"/>
  <c r="H85" i="14"/>
  <c r="W82" i="14"/>
  <c r="X82" i="14"/>
  <c r="G83" i="14"/>
  <c r="W116" i="1"/>
  <c r="X116" i="1"/>
  <c r="Y116" i="1"/>
  <c r="T117" i="1"/>
  <c r="U117" i="1"/>
  <c r="Z117" i="1"/>
  <c r="V117" i="1"/>
  <c r="P117" i="1"/>
  <c r="J117" i="1"/>
  <c r="I118" i="1"/>
  <c r="Q118" i="1"/>
  <c r="S118" i="1"/>
  <c r="H119" i="1"/>
  <c r="G118" i="1"/>
  <c r="F121" i="1"/>
  <c r="K120" i="1"/>
  <c r="AC117" i="1"/>
  <c r="AD117" i="1"/>
  <c r="L117" i="1"/>
  <c r="AA117" i="1"/>
  <c r="Y82" i="14"/>
  <c r="T84" i="14"/>
  <c r="V84" i="14"/>
  <c r="J84" i="14"/>
  <c r="P84" i="14"/>
  <c r="H86" i="14"/>
  <c r="Q85" i="14"/>
  <c r="S85" i="14"/>
  <c r="AC83" i="14"/>
  <c r="AD83" i="14"/>
  <c r="L83" i="14"/>
  <c r="AA83" i="14"/>
  <c r="W83" i="14"/>
  <c r="X83" i="14"/>
  <c r="J83" i="14"/>
  <c r="P83" i="14"/>
  <c r="F85" i="14"/>
  <c r="G85" i="14"/>
  <c r="K84" i="14"/>
  <c r="I84" i="14"/>
  <c r="U84" i="14"/>
  <c r="Z84" i="14"/>
  <c r="W117" i="1"/>
  <c r="X117" i="1"/>
  <c r="Y117" i="1"/>
  <c r="T118" i="1"/>
  <c r="U118" i="1"/>
  <c r="Z118" i="1"/>
  <c r="V118" i="1"/>
  <c r="Q119" i="1"/>
  <c r="S119" i="1"/>
  <c r="I119" i="1"/>
  <c r="G119" i="1"/>
  <c r="H120" i="1"/>
  <c r="J118" i="1"/>
  <c r="P118" i="1"/>
  <c r="L118" i="1"/>
  <c r="AA118" i="1"/>
  <c r="AC118" i="1"/>
  <c r="AD118" i="1"/>
  <c r="F122" i="1"/>
  <c r="K121" i="1"/>
  <c r="T85" i="14"/>
  <c r="U85" i="14"/>
  <c r="Z85" i="14"/>
  <c r="V85" i="14"/>
  <c r="P85" i="14"/>
  <c r="J85" i="14"/>
  <c r="H87" i="14"/>
  <c r="Q86" i="14"/>
  <c r="S86" i="14"/>
  <c r="V86" i="14"/>
  <c r="W84" i="14"/>
  <c r="X84" i="14"/>
  <c r="Y84" i="14"/>
  <c r="AC84" i="14"/>
  <c r="AD84" i="14"/>
  <c r="L84" i="14"/>
  <c r="AA84" i="14"/>
  <c r="F86" i="14"/>
  <c r="K85" i="14"/>
  <c r="I85" i="14"/>
  <c r="Y83" i="14"/>
  <c r="W118" i="1"/>
  <c r="X118" i="1"/>
  <c r="Y118" i="1"/>
  <c r="T119" i="1"/>
  <c r="U119" i="1"/>
  <c r="Z119" i="1"/>
  <c r="V119" i="1"/>
  <c r="Q120" i="1"/>
  <c r="S120" i="1"/>
  <c r="H121" i="1"/>
  <c r="G120" i="1"/>
  <c r="I120" i="1"/>
  <c r="F123" i="1"/>
  <c r="K122" i="1"/>
  <c r="P119" i="1"/>
  <c r="J119" i="1"/>
  <c r="AC119" i="1"/>
  <c r="AD119" i="1"/>
  <c r="L119" i="1"/>
  <c r="AA119" i="1"/>
  <c r="F87" i="14"/>
  <c r="G87" i="14"/>
  <c r="K86" i="14"/>
  <c r="I86" i="14"/>
  <c r="G86" i="14"/>
  <c r="W85" i="14"/>
  <c r="X85" i="14"/>
  <c r="Y85" i="14"/>
  <c r="Q87" i="14"/>
  <c r="S87" i="14"/>
  <c r="V87" i="14"/>
  <c r="H88" i="14"/>
  <c r="T86" i="14"/>
  <c r="U86" i="14"/>
  <c r="L85" i="14"/>
  <c r="AA85" i="14"/>
  <c r="AC85" i="14"/>
  <c r="AD85" i="14"/>
  <c r="W119" i="1"/>
  <c r="X119" i="1"/>
  <c r="Y119" i="1"/>
  <c r="T120" i="1"/>
  <c r="U120" i="1"/>
  <c r="Z120" i="1"/>
  <c r="V120" i="1"/>
  <c r="L120" i="1"/>
  <c r="AA120" i="1"/>
  <c r="AC120" i="1"/>
  <c r="AD120" i="1"/>
  <c r="F124" i="1"/>
  <c r="K123" i="1"/>
  <c r="J120" i="1"/>
  <c r="P120" i="1"/>
  <c r="Q121" i="1"/>
  <c r="S121" i="1"/>
  <c r="I121" i="1"/>
  <c r="G121" i="1"/>
  <c r="H122" i="1"/>
  <c r="W86" i="14"/>
  <c r="X86" i="14"/>
  <c r="Z86" i="14"/>
  <c r="Q88" i="14"/>
  <c r="S88" i="14"/>
  <c r="V88" i="14"/>
  <c r="H89" i="14"/>
  <c r="P87" i="14"/>
  <c r="J87" i="14"/>
  <c r="L86" i="14"/>
  <c r="AA86" i="14"/>
  <c r="AC86" i="14"/>
  <c r="AD86" i="14"/>
  <c r="T87" i="14"/>
  <c r="U87" i="14"/>
  <c r="P86" i="14"/>
  <c r="J86" i="14"/>
  <c r="F88" i="14"/>
  <c r="G88" i="14"/>
  <c r="K87" i="14"/>
  <c r="I87" i="14"/>
  <c r="W120" i="1"/>
  <c r="X120" i="1"/>
  <c r="Y120" i="1"/>
  <c r="T121" i="1"/>
  <c r="U121" i="1"/>
  <c r="Z121" i="1"/>
  <c r="V121" i="1"/>
  <c r="K124" i="1"/>
  <c r="F125" i="1"/>
  <c r="H123" i="1"/>
  <c r="I122" i="1"/>
  <c r="Q122" i="1"/>
  <c r="S122" i="1"/>
  <c r="G122" i="1"/>
  <c r="AC121" i="1"/>
  <c r="AD121" i="1"/>
  <c r="L121" i="1"/>
  <c r="AA121" i="1"/>
  <c r="P121" i="1"/>
  <c r="J121" i="1"/>
  <c r="J88" i="14"/>
  <c r="P88" i="14"/>
  <c r="W87" i="14"/>
  <c r="X87" i="14"/>
  <c r="Y87" i="14"/>
  <c r="Z87" i="14"/>
  <c r="AC87" i="14"/>
  <c r="AD87" i="14"/>
  <c r="L87" i="14"/>
  <c r="AA87" i="14"/>
  <c r="T88" i="14"/>
  <c r="U88" i="14"/>
  <c r="W88" i="14"/>
  <c r="X88" i="14"/>
  <c r="Y88" i="14"/>
  <c r="F89" i="14"/>
  <c r="K88" i="14"/>
  <c r="I88" i="14"/>
  <c r="Q89" i="14"/>
  <c r="S89" i="14"/>
  <c r="H90" i="14"/>
  <c r="Y86" i="14"/>
  <c r="W121" i="1"/>
  <c r="X121" i="1"/>
  <c r="Y121" i="1"/>
  <c r="T122" i="1"/>
  <c r="U122" i="1"/>
  <c r="Z122" i="1"/>
  <c r="V122" i="1"/>
  <c r="AC122" i="1"/>
  <c r="AD122" i="1"/>
  <c r="L122" i="1"/>
  <c r="AA122" i="1"/>
  <c r="G123" i="1"/>
  <c r="I123" i="1"/>
  <c r="Q123" i="1"/>
  <c r="S123" i="1"/>
  <c r="H124" i="1"/>
  <c r="F126" i="1"/>
  <c r="K125" i="1"/>
  <c r="J122" i="1"/>
  <c r="P122" i="1"/>
  <c r="Z88" i="14"/>
  <c r="T89" i="14"/>
  <c r="V89" i="14"/>
  <c r="K89" i="14"/>
  <c r="I89" i="14"/>
  <c r="F90" i="14"/>
  <c r="G90" i="14"/>
  <c r="U89" i="14"/>
  <c r="Z89" i="14"/>
  <c r="G89" i="14"/>
  <c r="H91" i="14"/>
  <c r="Q90" i="14"/>
  <c r="S90" i="14"/>
  <c r="AC88" i="14"/>
  <c r="AD88" i="14"/>
  <c r="L88" i="14"/>
  <c r="AA88" i="14"/>
  <c r="W122" i="1"/>
  <c r="X122" i="1"/>
  <c r="T123" i="1"/>
  <c r="U123" i="1"/>
  <c r="Z123" i="1"/>
  <c r="V123" i="1"/>
  <c r="F127" i="1"/>
  <c r="K126" i="1"/>
  <c r="AC123" i="1"/>
  <c r="AD123" i="1"/>
  <c r="L123" i="1"/>
  <c r="AA123" i="1"/>
  <c r="Q124" i="1"/>
  <c r="S124" i="1"/>
  <c r="G124" i="1"/>
  <c r="H125" i="1"/>
  <c r="I124" i="1"/>
  <c r="J123" i="1"/>
  <c r="P123" i="1"/>
  <c r="Y122" i="1"/>
  <c r="J90" i="14"/>
  <c r="P90" i="14"/>
  <c r="T90" i="14"/>
  <c r="V90" i="14"/>
  <c r="P89" i="14"/>
  <c r="J89" i="14"/>
  <c r="AC89" i="14"/>
  <c r="AD89" i="14"/>
  <c r="L89" i="14"/>
  <c r="AA89" i="14"/>
  <c r="W89" i="14"/>
  <c r="X89" i="14"/>
  <c r="Y89" i="14"/>
  <c r="H92" i="14"/>
  <c r="Q91" i="14"/>
  <c r="S91" i="14"/>
  <c r="F91" i="14"/>
  <c r="K90" i="14"/>
  <c r="I90" i="14"/>
  <c r="U90" i="14"/>
  <c r="Z90" i="14"/>
  <c r="W123" i="1"/>
  <c r="X123" i="1"/>
  <c r="Y123" i="1"/>
  <c r="T124" i="1"/>
  <c r="U124" i="1"/>
  <c r="Z124" i="1"/>
  <c r="V124" i="1"/>
  <c r="Q125" i="1"/>
  <c r="S125" i="1"/>
  <c r="I125" i="1"/>
  <c r="G125" i="1"/>
  <c r="H126" i="1"/>
  <c r="F128" i="1"/>
  <c r="K127" i="1"/>
  <c r="J124" i="1"/>
  <c r="P124" i="1"/>
  <c r="AC124" i="1"/>
  <c r="AD124" i="1"/>
  <c r="L124" i="1"/>
  <c r="AA124" i="1"/>
  <c r="T91" i="14"/>
  <c r="V91" i="14"/>
  <c r="H93" i="14"/>
  <c r="Q92" i="14"/>
  <c r="S92" i="14"/>
  <c r="K91" i="14"/>
  <c r="I91" i="14"/>
  <c r="F92" i="14"/>
  <c r="U91" i="14"/>
  <c r="Z91" i="14"/>
  <c r="G91" i="14"/>
  <c r="AC90" i="14"/>
  <c r="AD90" i="14"/>
  <c r="L90" i="14"/>
  <c r="W90" i="14"/>
  <c r="X90" i="14"/>
  <c r="Y90" i="14"/>
  <c r="W124" i="1"/>
  <c r="X124" i="1"/>
  <c r="Y124" i="1"/>
  <c r="T125" i="1"/>
  <c r="U125" i="1"/>
  <c r="Z125" i="1"/>
  <c r="V125" i="1"/>
  <c r="H127" i="1"/>
  <c r="G126" i="1"/>
  <c r="I126" i="1"/>
  <c r="Q126" i="1"/>
  <c r="S126" i="1"/>
  <c r="P125" i="1"/>
  <c r="J125" i="1"/>
  <c r="F129" i="1"/>
  <c r="K128" i="1"/>
  <c r="L125" i="1"/>
  <c r="AA125" i="1"/>
  <c r="AC125" i="1"/>
  <c r="AD125" i="1"/>
  <c r="T92" i="14"/>
  <c r="U92" i="14"/>
  <c r="Z92" i="14"/>
  <c r="V92" i="14"/>
  <c r="H94" i="14"/>
  <c r="Q93" i="14"/>
  <c r="S93" i="14"/>
  <c r="K92" i="14"/>
  <c r="I92" i="14"/>
  <c r="F93" i="14"/>
  <c r="G93" i="14"/>
  <c r="W91" i="14"/>
  <c r="X91" i="14"/>
  <c r="P91" i="14"/>
  <c r="J91" i="14"/>
  <c r="L91" i="14"/>
  <c r="AC91" i="14"/>
  <c r="AD91" i="14"/>
  <c r="G92" i="14"/>
  <c r="W125" i="1"/>
  <c r="X125" i="1"/>
  <c r="Y125" i="1"/>
  <c r="T126" i="1"/>
  <c r="U126" i="1"/>
  <c r="Z126" i="1"/>
  <c r="V126" i="1"/>
  <c r="F130" i="1"/>
  <c r="K129" i="1"/>
  <c r="AC126" i="1"/>
  <c r="AD126" i="1"/>
  <c r="L126" i="1"/>
  <c r="AA126" i="1"/>
  <c r="P126" i="1"/>
  <c r="J126" i="1"/>
  <c r="H128" i="1"/>
  <c r="Q127" i="1"/>
  <c r="S127" i="1"/>
  <c r="I127" i="1"/>
  <c r="G127" i="1"/>
  <c r="T93" i="14"/>
  <c r="U93" i="14"/>
  <c r="Z93" i="14"/>
  <c r="V93" i="14"/>
  <c r="P93" i="14"/>
  <c r="J93" i="14"/>
  <c r="K93" i="14"/>
  <c r="I93" i="14"/>
  <c r="F94" i="14"/>
  <c r="G94" i="14"/>
  <c r="W92" i="14"/>
  <c r="X92" i="14"/>
  <c r="H95" i="14"/>
  <c r="Q94" i="14"/>
  <c r="S94" i="14"/>
  <c r="J92" i="14"/>
  <c r="P92" i="14"/>
  <c r="Y91" i="14"/>
  <c r="L92" i="14"/>
  <c r="AC92" i="14"/>
  <c r="AD92" i="14"/>
  <c r="W126" i="1"/>
  <c r="X126" i="1"/>
  <c r="Y126" i="1"/>
  <c r="T127" i="1"/>
  <c r="U127" i="1"/>
  <c r="Z127" i="1"/>
  <c r="V127" i="1"/>
  <c r="P127" i="1"/>
  <c r="J127" i="1"/>
  <c r="I128" i="1"/>
  <c r="Q128" i="1"/>
  <c r="S128" i="1"/>
  <c r="H129" i="1"/>
  <c r="G128" i="1"/>
  <c r="L127" i="1"/>
  <c r="AA127" i="1"/>
  <c r="AC127" i="1"/>
  <c r="AD127" i="1"/>
  <c r="F131" i="1"/>
  <c r="K130" i="1"/>
  <c r="Y92" i="14"/>
  <c r="T94" i="14"/>
  <c r="V94" i="14"/>
  <c r="J94" i="14"/>
  <c r="P94" i="14"/>
  <c r="K94" i="14"/>
  <c r="I94" i="14"/>
  <c r="F95" i="14"/>
  <c r="G95" i="14"/>
  <c r="U94" i="14"/>
  <c r="Z94" i="14"/>
  <c r="H96" i="14"/>
  <c r="Q95" i="14"/>
  <c r="S95" i="14"/>
  <c r="W93" i="14"/>
  <c r="X93" i="14"/>
  <c r="Y93" i="14"/>
  <c r="L93" i="14"/>
  <c r="AC93" i="14"/>
  <c r="AD93" i="14"/>
  <c r="W127" i="1"/>
  <c r="X127" i="1"/>
  <c r="Y127" i="1"/>
  <c r="T128" i="1"/>
  <c r="U128" i="1"/>
  <c r="Z128" i="1"/>
  <c r="V128" i="1"/>
  <c r="F132" i="1"/>
  <c r="K131" i="1"/>
  <c r="J128" i="1"/>
  <c r="P128" i="1"/>
  <c r="AC128" i="1"/>
  <c r="AD128" i="1"/>
  <c r="L128" i="1"/>
  <c r="AA128" i="1"/>
  <c r="G129" i="1"/>
  <c r="H130" i="1"/>
  <c r="I129" i="1"/>
  <c r="Q129" i="1"/>
  <c r="S129" i="1"/>
  <c r="T95" i="14"/>
  <c r="U95" i="14"/>
  <c r="Z95" i="14"/>
  <c r="V95" i="14"/>
  <c r="K95" i="14"/>
  <c r="I95" i="14"/>
  <c r="F96" i="14"/>
  <c r="G96" i="14"/>
  <c r="W94" i="14"/>
  <c r="X94" i="14"/>
  <c r="Y94" i="14"/>
  <c r="Q96" i="14"/>
  <c r="S96" i="14"/>
  <c r="H97" i="14"/>
  <c r="AC94" i="14"/>
  <c r="AD94" i="14"/>
  <c r="L94" i="14"/>
  <c r="P95" i="14"/>
  <c r="J95" i="14"/>
  <c r="W128" i="1"/>
  <c r="X128" i="1"/>
  <c r="Y128" i="1"/>
  <c r="T129" i="1"/>
  <c r="U129" i="1"/>
  <c r="Z129" i="1"/>
  <c r="V129" i="1"/>
  <c r="AC129" i="1"/>
  <c r="AD129" i="1"/>
  <c r="L129" i="1"/>
  <c r="AA129" i="1"/>
  <c r="Q130" i="1"/>
  <c r="S130" i="1"/>
  <c r="H131" i="1"/>
  <c r="G130" i="1"/>
  <c r="I130" i="1"/>
  <c r="P129" i="1"/>
  <c r="J129" i="1"/>
  <c r="F133" i="1"/>
  <c r="K132" i="1"/>
  <c r="T96" i="14"/>
  <c r="V96" i="14"/>
  <c r="Q97" i="14"/>
  <c r="S97" i="14"/>
  <c r="H98" i="14"/>
  <c r="K96" i="14"/>
  <c r="I96" i="14"/>
  <c r="U96" i="14"/>
  <c r="Z96" i="14"/>
  <c r="F97" i="14"/>
  <c r="W95" i="14"/>
  <c r="X95" i="14"/>
  <c r="Y95" i="14"/>
  <c r="P96" i="14"/>
  <c r="J96" i="14"/>
  <c r="L95" i="14"/>
  <c r="AC95" i="14"/>
  <c r="AD95" i="14"/>
  <c r="W129" i="1"/>
  <c r="X129" i="1"/>
  <c r="T130" i="1"/>
  <c r="U130" i="1"/>
  <c r="Z130" i="1"/>
  <c r="V130" i="1"/>
  <c r="J130" i="1"/>
  <c r="P130" i="1"/>
  <c r="Q131" i="1"/>
  <c r="S131" i="1"/>
  <c r="I131" i="1"/>
  <c r="G131" i="1"/>
  <c r="H132" i="1"/>
  <c r="Y129" i="1"/>
  <c r="AC130" i="1"/>
  <c r="AD130" i="1"/>
  <c r="L130" i="1"/>
  <c r="AA130" i="1"/>
  <c r="F134" i="1"/>
  <c r="K133" i="1"/>
  <c r="T97" i="14"/>
  <c r="V97" i="14"/>
  <c r="F98" i="14"/>
  <c r="K97" i="14"/>
  <c r="I97" i="14"/>
  <c r="U97" i="14"/>
  <c r="Z97" i="14"/>
  <c r="G97" i="14"/>
  <c r="H99" i="14"/>
  <c r="Q98" i="14"/>
  <c r="S98" i="14"/>
  <c r="W96" i="14"/>
  <c r="X96" i="14"/>
  <c r="Y96" i="14"/>
  <c r="AC96" i="14"/>
  <c r="AD96" i="14"/>
  <c r="L96" i="14"/>
  <c r="W130" i="1"/>
  <c r="X130" i="1"/>
  <c r="Y130" i="1"/>
  <c r="T131" i="1"/>
  <c r="U131" i="1"/>
  <c r="Z131" i="1"/>
  <c r="V131" i="1"/>
  <c r="P131" i="1"/>
  <c r="J131" i="1"/>
  <c r="AC131" i="1"/>
  <c r="AD131" i="1"/>
  <c r="L131" i="1"/>
  <c r="AA131" i="1"/>
  <c r="F135" i="1"/>
  <c r="K134" i="1"/>
  <c r="I132" i="1"/>
  <c r="Q132" i="1"/>
  <c r="S132" i="1"/>
  <c r="G132" i="1"/>
  <c r="H133" i="1"/>
  <c r="T98" i="14"/>
  <c r="U98" i="14"/>
  <c r="Z98" i="14"/>
  <c r="V98" i="14"/>
  <c r="P97" i="14"/>
  <c r="J97" i="14"/>
  <c r="F99" i="14"/>
  <c r="G99" i="14"/>
  <c r="K98" i="14"/>
  <c r="I98" i="14"/>
  <c r="W97" i="14"/>
  <c r="X97" i="14"/>
  <c r="Y97" i="14"/>
  <c r="G98" i="14"/>
  <c r="AC97" i="14"/>
  <c r="AD97" i="14"/>
  <c r="L97" i="14"/>
  <c r="Q99" i="14"/>
  <c r="S99" i="14"/>
  <c r="V99" i="14"/>
  <c r="H100" i="14"/>
  <c r="W131" i="1"/>
  <c r="X131" i="1"/>
  <c r="Y131" i="1"/>
  <c r="T132" i="1"/>
  <c r="U132" i="1"/>
  <c r="Z132" i="1"/>
  <c r="V132" i="1"/>
  <c r="Q133" i="1"/>
  <c r="S133" i="1"/>
  <c r="I133" i="1"/>
  <c r="G133" i="1"/>
  <c r="H134" i="1"/>
  <c r="L132" i="1"/>
  <c r="AA132" i="1"/>
  <c r="AC132" i="1"/>
  <c r="AD132" i="1"/>
  <c r="F136" i="1"/>
  <c r="K135" i="1"/>
  <c r="P132" i="1"/>
  <c r="J132" i="1"/>
  <c r="J99" i="14"/>
  <c r="P99" i="14"/>
  <c r="AC98" i="14"/>
  <c r="AD98" i="14"/>
  <c r="L98" i="14"/>
  <c r="H101" i="14"/>
  <c r="Q100" i="14"/>
  <c r="S100" i="14"/>
  <c r="V100" i="14"/>
  <c r="J98" i="14"/>
  <c r="P98" i="14"/>
  <c r="W98" i="14"/>
  <c r="X98" i="14"/>
  <c r="K99" i="14"/>
  <c r="I99" i="14"/>
  <c r="F100" i="14"/>
  <c r="T99" i="14"/>
  <c r="U99" i="14"/>
  <c r="W132" i="1"/>
  <c r="X132" i="1"/>
  <c r="T133" i="1"/>
  <c r="U133" i="1"/>
  <c r="Z133" i="1"/>
  <c r="V133" i="1"/>
  <c r="I134" i="1"/>
  <c r="Q134" i="1"/>
  <c r="S134" i="1"/>
  <c r="G134" i="1"/>
  <c r="H135" i="1"/>
  <c r="F137" i="1"/>
  <c r="K136" i="1"/>
  <c r="J133" i="1"/>
  <c r="P133" i="1"/>
  <c r="Y132" i="1"/>
  <c r="AC133" i="1"/>
  <c r="AD133" i="1"/>
  <c r="L133" i="1"/>
  <c r="AA133" i="1"/>
  <c r="W99" i="14"/>
  <c r="X99" i="14"/>
  <c r="Y99" i="14"/>
  <c r="Z99" i="14"/>
  <c r="Q101" i="14"/>
  <c r="H102" i="14"/>
  <c r="K100" i="14"/>
  <c r="I100" i="14"/>
  <c r="F101" i="14"/>
  <c r="T100" i="14"/>
  <c r="U100" i="14"/>
  <c r="S101" i="14"/>
  <c r="AC99" i="14"/>
  <c r="AD99" i="14"/>
  <c r="L99" i="14"/>
  <c r="Y98" i="14"/>
  <c r="G100" i="14"/>
  <c r="W133" i="1"/>
  <c r="X133" i="1"/>
  <c r="Y133" i="1"/>
  <c r="T134" i="1"/>
  <c r="U134" i="1"/>
  <c r="Z134" i="1"/>
  <c r="V134" i="1"/>
  <c r="Q135" i="1"/>
  <c r="S135" i="1"/>
  <c r="I135" i="1"/>
  <c r="G135" i="1"/>
  <c r="H136" i="1"/>
  <c r="AC134" i="1"/>
  <c r="AD134" i="1"/>
  <c r="L134" i="1"/>
  <c r="AA134" i="1"/>
  <c r="J134" i="1"/>
  <c r="P134" i="1"/>
  <c r="F138" i="1"/>
  <c r="K137" i="1"/>
  <c r="W100" i="14"/>
  <c r="X100" i="14"/>
  <c r="Z100" i="14"/>
  <c r="T101" i="14"/>
  <c r="U101" i="14"/>
  <c r="Z101" i="14"/>
  <c r="V101" i="14"/>
  <c r="F102" i="14"/>
  <c r="G102" i="14"/>
  <c r="K101" i="14"/>
  <c r="I101" i="14"/>
  <c r="H103" i="14"/>
  <c r="Q102" i="14"/>
  <c r="S102" i="14"/>
  <c r="P100" i="14"/>
  <c r="J100" i="14"/>
  <c r="AC100" i="14"/>
  <c r="AD100" i="14"/>
  <c r="L100" i="14"/>
  <c r="G101" i="14"/>
  <c r="W134" i="1"/>
  <c r="X134" i="1"/>
  <c r="Y134" i="1"/>
  <c r="T135" i="1"/>
  <c r="U135" i="1"/>
  <c r="Z135" i="1"/>
  <c r="V135" i="1"/>
  <c r="H137" i="1"/>
  <c r="G136" i="1"/>
  <c r="I136" i="1"/>
  <c r="Q136" i="1"/>
  <c r="S136" i="1"/>
  <c r="P135" i="1"/>
  <c r="J135" i="1"/>
  <c r="F139" i="1"/>
  <c r="K138" i="1"/>
  <c r="AC135" i="1"/>
  <c r="AD135" i="1"/>
  <c r="L135" i="1"/>
  <c r="AA135" i="1"/>
  <c r="T102" i="14"/>
  <c r="U102" i="14"/>
  <c r="Z102" i="14"/>
  <c r="V102" i="14"/>
  <c r="J101" i="14"/>
  <c r="P101" i="14"/>
  <c r="L101" i="14"/>
  <c r="AC101" i="14"/>
  <c r="AD101" i="14"/>
  <c r="H104" i="14"/>
  <c r="Q103" i="14"/>
  <c r="S103" i="14"/>
  <c r="V103" i="14"/>
  <c r="K102" i="14"/>
  <c r="I102" i="14"/>
  <c r="F103" i="14"/>
  <c r="P102" i="14"/>
  <c r="J102" i="14"/>
  <c r="W101" i="14"/>
  <c r="X101" i="14"/>
  <c r="Y100" i="14"/>
  <c r="W135" i="1"/>
  <c r="X135" i="1"/>
  <c r="Y135" i="1"/>
  <c r="T136" i="1"/>
  <c r="U136" i="1"/>
  <c r="Z136" i="1"/>
  <c r="V136" i="1"/>
  <c r="L136" i="1"/>
  <c r="AA136" i="1"/>
  <c r="AC136" i="1"/>
  <c r="AD136" i="1"/>
  <c r="P136" i="1"/>
  <c r="J136" i="1"/>
  <c r="F140" i="1"/>
  <c r="K139" i="1"/>
  <c r="H138" i="1"/>
  <c r="Q137" i="1"/>
  <c r="S137" i="1"/>
  <c r="I137" i="1"/>
  <c r="G137" i="1"/>
  <c r="Q104" i="14"/>
  <c r="H105" i="14"/>
  <c r="L102" i="14"/>
  <c r="AC102" i="14"/>
  <c r="AD102" i="14"/>
  <c r="Y101" i="14"/>
  <c r="W102" i="14"/>
  <c r="X102" i="14"/>
  <c r="Y102" i="14"/>
  <c r="F104" i="14"/>
  <c r="K103" i="14"/>
  <c r="I103" i="14"/>
  <c r="G103" i="14"/>
  <c r="S104" i="14"/>
  <c r="T103" i="14"/>
  <c r="U103" i="14"/>
  <c r="W103" i="14"/>
  <c r="X103" i="14"/>
  <c r="W136" i="1"/>
  <c r="X136" i="1"/>
  <c r="Y136" i="1"/>
  <c r="T137" i="1"/>
  <c r="U137" i="1"/>
  <c r="Z137" i="1"/>
  <c r="V137" i="1"/>
  <c r="AC137" i="1"/>
  <c r="AD137" i="1"/>
  <c r="L137" i="1"/>
  <c r="AA137" i="1"/>
  <c r="P137" i="1"/>
  <c r="J137" i="1"/>
  <c r="I138" i="1"/>
  <c r="Q138" i="1"/>
  <c r="S138" i="1"/>
  <c r="G138" i="1"/>
  <c r="H139" i="1"/>
  <c r="F141" i="1"/>
  <c r="K140" i="1"/>
  <c r="T104" i="14"/>
  <c r="U104" i="14"/>
  <c r="Z104" i="14"/>
  <c r="Z103" i="14"/>
  <c r="P103" i="14"/>
  <c r="Y103" i="14"/>
  <c r="J103" i="14"/>
  <c r="K104" i="14"/>
  <c r="I104" i="14"/>
  <c r="F105" i="14"/>
  <c r="G105" i="14"/>
  <c r="G104" i="14"/>
  <c r="Q105" i="14"/>
  <c r="S105" i="14"/>
  <c r="H106" i="14"/>
  <c r="L103" i="14"/>
  <c r="AC103" i="14"/>
  <c r="AD103" i="14"/>
  <c r="V104" i="14"/>
  <c r="W137" i="1"/>
  <c r="X137" i="1"/>
  <c r="Y137" i="1"/>
  <c r="T138" i="1"/>
  <c r="U138" i="1"/>
  <c r="Z138" i="1"/>
  <c r="V138" i="1"/>
  <c r="K141" i="1"/>
  <c r="F142" i="1"/>
  <c r="P138" i="1"/>
  <c r="J138" i="1"/>
  <c r="H140" i="1"/>
  <c r="Q139" i="1"/>
  <c r="S139" i="1"/>
  <c r="I139" i="1"/>
  <c r="G139" i="1"/>
  <c r="AC138" i="1"/>
  <c r="AD138" i="1"/>
  <c r="L138" i="1"/>
  <c r="AA138" i="1"/>
  <c r="W104" i="14"/>
  <c r="X104" i="14"/>
  <c r="T105" i="14"/>
  <c r="V105" i="14"/>
  <c r="P105" i="14"/>
  <c r="J105" i="14"/>
  <c r="P104" i="14"/>
  <c r="J104" i="14"/>
  <c r="L104" i="14"/>
  <c r="AC104" i="14"/>
  <c r="AD104" i="14"/>
  <c r="H107" i="14"/>
  <c r="H108" i="14"/>
  <c r="Q106" i="14"/>
  <c r="S106" i="14"/>
  <c r="K105" i="14"/>
  <c r="I105" i="14"/>
  <c r="F106" i="14"/>
  <c r="U105" i="14"/>
  <c r="Z105" i="14"/>
  <c r="H109" i="14"/>
  <c r="Q108" i="14"/>
  <c r="W138" i="1"/>
  <c r="X138" i="1"/>
  <c r="T139" i="1"/>
  <c r="U139" i="1"/>
  <c r="Z139" i="1"/>
  <c r="V139" i="1"/>
  <c r="P139" i="1"/>
  <c r="J139" i="1"/>
  <c r="H141" i="1"/>
  <c r="G140" i="1"/>
  <c r="I140" i="1"/>
  <c r="Q140" i="1"/>
  <c r="S140" i="1"/>
  <c r="Y138" i="1"/>
  <c r="AC139" i="1"/>
  <c r="AD139" i="1"/>
  <c r="L139" i="1"/>
  <c r="AA139" i="1"/>
  <c r="K142" i="1"/>
  <c r="F143" i="1"/>
  <c r="Y104" i="14"/>
  <c r="T106" i="14"/>
  <c r="V106" i="14"/>
  <c r="L105" i="14"/>
  <c r="AC105" i="14"/>
  <c r="AD105" i="14"/>
  <c r="Q107" i="14"/>
  <c r="S107" i="14"/>
  <c r="T107" i="14"/>
  <c r="W105" i="14"/>
  <c r="X105" i="14"/>
  <c r="Y105" i="14"/>
  <c r="F107" i="14"/>
  <c r="K106" i="14"/>
  <c r="I106" i="14"/>
  <c r="U106" i="14"/>
  <c r="Z106" i="14"/>
  <c r="G106" i="14"/>
  <c r="K107" i="14"/>
  <c r="I107" i="14"/>
  <c r="F108" i="14"/>
  <c r="S108" i="14"/>
  <c r="Q109" i="14"/>
  <c r="H110" i="14"/>
  <c r="W139" i="1"/>
  <c r="X139" i="1"/>
  <c r="Y139" i="1"/>
  <c r="T140" i="1"/>
  <c r="U140" i="1"/>
  <c r="Z140" i="1"/>
  <c r="V140" i="1"/>
  <c r="J140" i="1"/>
  <c r="P140" i="1"/>
  <c r="G141" i="1"/>
  <c r="H142" i="1"/>
  <c r="I141" i="1"/>
  <c r="Q141" i="1"/>
  <c r="S141" i="1"/>
  <c r="K143" i="1"/>
  <c r="F144" i="1"/>
  <c r="AC140" i="1"/>
  <c r="AD140" i="1"/>
  <c r="L140" i="1"/>
  <c r="AA140" i="1"/>
  <c r="L107" i="14"/>
  <c r="AC107" i="14"/>
  <c r="AD107" i="14"/>
  <c r="L106" i="14"/>
  <c r="AC106" i="14"/>
  <c r="AD106" i="14"/>
  <c r="V107" i="14"/>
  <c r="J106" i="14"/>
  <c r="P106" i="14"/>
  <c r="U107" i="14"/>
  <c r="Z107" i="14"/>
  <c r="W106" i="14"/>
  <c r="X106" i="14"/>
  <c r="G107" i="14"/>
  <c r="H111" i="14"/>
  <c r="Q110" i="14"/>
  <c r="T108" i="14"/>
  <c r="U108" i="14"/>
  <c r="Z108" i="14"/>
  <c r="V108" i="14"/>
  <c r="W108" i="14"/>
  <c r="K108" i="14"/>
  <c r="I108" i="14"/>
  <c r="F109" i="14"/>
  <c r="G108" i="14"/>
  <c r="S109" i="14"/>
  <c r="W140" i="1"/>
  <c r="X140" i="1"/>
  <c r="Y140" i="1"/>
  <c r="T141" i="1"/>
  <c r="U141" i="1"/>
  <c r="Z141" i="1"/>
  <c r="V141" i="1"/>
  <c r="P141" i="1"/>
  <c r="J141" i="1"/>
  <c r="L141" i="1"/>
  <c r="AA141" i="1"/>
  <c r="AC141" i="1"/>
  <c r="AD141" i="1"/>
  <c r="F145" i="1"/>
  <c r="K144" i="1"/>
  <c r="Q142" i="1"/>
  <c r="S142" i="1"/>
  <c r="G142" i="1"/>
  <c r="H143" i="1"/>
  <c r="I142" i="1"/>
  <c r="J107" i="14"/>
  <c r="P107" i="14"/>
  <c r="Y106" i="14"/>
  <c r="W107" i="14"/>
  <c r="X107" i="14"/>
  <c r="Y107" i="14"/>
  <c r="K109" i="14"/>
  <c r="I109" i="14"/>
  <c r="F110" i="14"/>
  <c r="G109" i="14"/>
  <c r="L108" i="14"/>
  <c r="AC108" i="14"/>
  <c r="AD108" i="14"/>
  <c r="S110" i="14"/>
  <c r="T109" i="14"/>
  <c r="U109" i="14"/>
  <c r="Z109" i="14"/>
  <c r="V109" i="14"/>
  <c r="X108" i="14"/>
  <c r="Y108" i="14"/>
  <c r="P108" i="14"/>
  <c r="J108" i="14"/>
  <c r="Q111" i="14"/>
  <c r="S111" i="14"/>
  <c r="T111" i="14"/>
  <c r="H112" i="14"/>
  <c r="V111" i="14"/>
  <c r="W141" i="1"/>
  <c r="X141" i="1"/>
  <c r="Y141" i="1"/>
  <c r="T142" i="1"/>
  <c r="U142" i="1"/>
  <c r="Z142" i="1"/>
  <c r="V142" i="1"/>
  <c r="AC142" i="1"/>
  <c r="AD142" i="1"/>
  <c r="L142" i="1"/>
  <c r="AA142" i="1"/>
  <c r="G143" i="1"/>
  <c r="I143" i="1"/>
  <c r="Q143" i="1"/>
  <c r="S143" i="1"/>
  <c r="H144" i="1"/>
  <c r="P142" i="1"/>
  <c r="J142" i="1"/>
  <c r="K145" i="1"/>
  <c r="F146" i="1"/>
  <c r="W109" i="14"/>
  <c r="X109" i="14"/>
  <c r="P109" i="14"/>
  <c r="J109" i="14"/>
  <c r="T110" i="14"/>
  <c r="U110" i="14"/>
  <c r="Z110" i="14"/>
  <c r="V110" i="14"/>
  <c r="W110" i="14"/>
  <c r="X110" i="14"/>
  <c r="K110" i="14"/>
  <c r="I110" i="14"/>
  <c r="F111" i="14"/>
  <c r="G110" i="14"/>
  <c r="Q112" i="14"/>
  <c r="S112" i="14"/>
  <c r="T112" i="14"/>
  <c r="H113" i="14"/>
  <c r="AC109" i="14"/>
  <c r="AD109" i="14"/>
  <c r="L109" i="14"/>
  <c r="W142" i="1"/>
  <c r="X142" i="1"/>
  <c r="Y142" i="1"/>
  <c r="T143" i="1"/>
  <c r="U143" i="1"/>
  <c r="Z143" i="1"/>
  <c r="V143" i="1"/>
  <c r="AC143" i="1"/>
  <c r="AD143" i="1"/>
  <c r="L143" i="1"/>
  <c r="AA143" i="1"/>
  <c r="F147" i="1"/>
  <c r="K146" i="1"/>
  <c r="Q144" i="1"/>
  <c r="S144" i="1"/>
  <c r="G144" i="1"/>
  <c r="H145" i="1"/>
  <c r="I144" i="1"/>
  <c r="P143" i="1"/>
  <c r="J143" i="1"/>
  <c r="H114" i="14"/>
  <c r="Q113" i="14"/>
  <c r="S113" i="14"/>
  <c r="T113" i="14"/>
  <c r="K111" i="14"/>
  <c r="I111" i="14"/>
  <c r="F112" i="14"/>
  <c r="G111" i="14"/>
  <c r="AC110" i="14"/>
  <c r="AD110" i="14"/>
  <c r="L110" i="14"/>
  <c r="Y109" i="14"/>
  <c r="U111" i="14"/>
  <c r="V112" i="14"/>
  <c r="J110" i="14"/>
  <c r="P110" i="14"/>
  <c r="Y110" i="14"/>
  <c r="W143" i="1"/>
  <c r="X143" i="1"/>
  <c r="Y143" i="1"/>
  <c r="T144" i="1"/>
  <c r="U144" i="1"/>
  <c r="Z144" i="1"/>
  <c r="V144" i="1"/>
  <c r="L144" i="1"/>
  <c r="AA144" i="1"/>
  <c r="AC144" i="1"/>
  <c r="AD144" i="1"/>
  <c r="G145" i="1"/>
  <c r="H146" i="1"/>
  <c r="I145" i="1"/>
  <c r="Q145" i="1"/>
  <c r="S145" i="1"/>
  <c r="K147" i="1"/>
  <c r="F148" i="1"/>
  <c r="J144" i="1"/>
  <c r="P144" i="1"/>
  <c r="F113" i="14"/>
  <c r="K112" i="14"/>
  <c r="I112" i="14"/>
  <c r="G112" i="14"/>
  <c r="U113" i="14"/>
  <c r="Z113" i="14"/>
  <c r="U112" i="14"/>
  <c r="Z112" i="14"/>
  <c r="AC111" i="14"/>
  <c r="AD111" i="14"/>
  <c r="L111" i="14"/>
  <c r="W112" i="14"/>
  <c r="X112" i="14"/>
  <c r="V113" i="14"/>
  <c r="W113" i="14"/>
  <c r="H115" i="14"/>
  <c r="Q114" i="14"/>
  <c r="S114" i="14"/>
  <c r="T114" i="14"/>
  <c r="Z111" i="14"/>
  <c r="W111" i="14"/>
  <c r="X111" i="14"/>
  <c r="Y111" i="14"/>
  <c r="J111" i="14"/>
  <c r="P111" i="14"/>
  <c r="W144" i="1"/>
  <c r="X144" i="1"/>
  <c r="Y144" i="1"/>
  <c r="T145" i="1"/>
  <c r="U145" i="1"/>
  <c r="Z145" i="1"/>
  <c r="V145" i="1"/>
  <c r="P145" i="1"/>
  <c r="J145" i="1"/>
  <c r="AC145" i="1"/>
  <c r="AD145" i="1"/>
  <c r="L145" i="1"/>
  <c r="AA145" i="1"/>
  <c r="K148" i="1"/>
  <c r="F149" i="1"/>
  <c r="Q146" i="1"/>
  <c r="S146" i="1"/>
  <c r="I146" i="1"/>
  <c r="G146" i="1"/>
  <c r="H147" i="1"/>
  <c r="J112" i="14"/>
  <c r="P112" i="14"/>
  <c r="U114" i="14"/>
  <c r="Z114" i="14"/>
  <c r="L112" i="14"/>
  <c r="AC112" i="14"/>
  <c r="AD112" i="14"/>
  <c r="Y112" i="14"/>
  <c r="K113" i="14"/>
  <c r="I113" i="14"/>
  <c r="F114" i="14"/>
  <c r="G113" i="14"/>
  <c r="V114" i="14"/>
  <c r="W114" i="14"/>
  <c r="H116" i="14"/>
  <c r="Q115" i="14"/>
  <c r="S115" i="14"/>
  <c r="T115" i="14"/>
  <c r="V115" i="14"/>
  <c r="W145" i="1"/>
  <c r="X145" i="1"/>
  <c r="Y145" i="1"/>
  <c r="T146" i="1"/>
  <c r="U146" i="1"/>
  <c r="Z146" i="1"/>
  <c r="V146" i="1"/>
  <c r="I147" i="1"/>
  <c r="Q147" i="1"/>
  <c r="S147" i="1"/>
  <c r="H148" i="1"/>
  <c r="G147" i="1"/>
  <c r="J146" i="1"/>
  <c r="P146" i="1"/>
  <c r="F150" i="1"/>
  <c r="K149" i="1"/>
  <c r="L146" i="1"/>
  <c r="AA146" i="1"/>
  <c r="AC146" i="1"/>
  <c r="AD146" i="1"/>
  <c r="P113" i="14"/>
  <c r="J113" i="14"/>
  <c r="K114" i="14"/>
  <c r="I114" i="14"/>
  <c r="F115" i="14"/>
  <c r="G114" i="14"/>
  <c r="X113" i="14"/>
  <c r="Y113" i="14"/>
  <c r="Q116" i="14"/>
  <c r="S116" i="14"/>
  <c r="T116" i="14"/>
  <c r="L113" i="14"/>
  <c r="AC113" i="14"/>
  <c r="AD113" i="14"/>
  <c r="W146" i="1"/>
  <c r="X146" i="1"/>
  <c r="Y146" i="1"/>
  <c r="T147" i="1"/>
  <c r="U147" i="1"/>
  <c r="Z147" i="1"/>
  <c r="V147" i="1"/>
  <c r="P147" i="1"/>
  <c r="J147" i="1"/>
  <c r="L147" i="1"/>
  <c r="AA147" i="1"/>
  <c r="AC147" i="1"/>
  <c r="AD147" i="1"/>
  <c r="H149" i="1"/>
  <c r="I148" i="1"/>
  <c r="Q148" i="1"/>
  <c r="S148" i="1"/>
  <c r="G148" i="1"/>
  <c r="K150" i="1"/>
  <c r="F151" i="1"/>
  <c r="V116" i="14"/>
  <c r="P114" i="14"/>
  <c r="J114" i="14"/>
  <c r="K115" i="14"/>
  <c r="I115" i="14"/>
  <c r="F116" i="14"/>
  <c r="U116" i="14"/>
  <c r="Z116" i="14"/>
  <c r="G115" i="14"/>
  <c r="U115" i="14"/>
  <c r="AC114" i="14"/>
  <c r="AD114" i="14"/>
  <c r="L114" i="14"/>
  <c r="X114" i="14"/>
  <c r="Y114" i="14"/>
  <c r="W147" i="1"/>
  <c r="X147" i="1"/>
  <c r="Y147" i="1"/>
  <c r="T148" i="1"/>
  <c r="U148" i="1"/>
  <c r="Z148" i="1"/>
  <c r="V148" i="1"/>
  <c r="P148" i="1"/>
  <c r="J148" i="1"/>
  <c r="Q149" i="1"/>
  <c r="S149" i="1"/>
  <c r="I149" i="1"/>
  <c r="G149" i="1"/>
  <c r="H150" i="1"/>
  <c r="K151" i="1"/>
  <c r="F152" i="1"/>
  <c r="AC148" i="1"/>
  <c r="AD148" i="1"/>
  <c r="L148" i="1"/>
  <c r="AA148" i="1"/>
  <c r="L115" i="14"/>
  <c r="AC115" i="14"/>
  <c r="AD115" i="14"/>
  <c r="Z115" i="14"/>
  <c r="W115" i="14"/>
  <c r="X115" i="14"/>
  <c r="J115" i="14"/>
  <c r="P115" i="14"/>
  <c r="K116" i="14"/>
  <c r="I116" i="14"/>
  <c r="G116" i="14"/>
  <c r="W116" i="14"/>
  <c r="W148" i="1"/>
  <c r="X148" i="1"/>
  <c r="Y148" i="1"/>
  <c r="T149" i="1"/>
  <c r="U149" i="1"/>
  <c r="Z149" i="1"/>
  <c r="V149" i="1"/>
  <c r="P149" i="1"/>
  <c r="J149" i="1"/>
  <c r="L149" i="1"/>
  <c r="AA149" i="1"/>
  <c r="AC149" i="1"/>
  <c r="AD149" i="1"/>
  <c r="K152" i="1"/>
  <c r="F153" i="1"/>
  <c r="G150" i="1"/>
  <c r="I150" i="1"/>
  <c r="H151" i="1"/>
  <c r="Q150" i="1"/>
  <c r="S150" i="1"/>
  <c r="L116" i="14"/>
  <c r="AC116" i="14"/>
  <c r="AD116" i="14"/>
  <c r="X116" i="14"/>
  <c r="Y116" i="14"/>
  <c r="J116" i="14"/>
  <c r="P116" i="14"/>
  <c r="Y115" i="14"/>
  <c r="W149" i="1"/>
  <c r="X149" i="1"/>
  <c r="Y149" i="1"/>
  <c r="T150" i="1"/>
  <c r="U150" i="1"/>
  <c r="Z150" i="1"/>
  <c r="V150" i="1"/>
  <c r="Q151" i="1"/>
  <c r="S151" i="1"/>
  <c r="H152" i="1"/>
  <c r="I151" i="1"/>
  <c r="G151" i="1"/>
  <c r="F154" i="1"/>
  <c r="K153" i="1"/>
  <c r="L150" i="1"/>
  <c r="AA150" i="1"/>
  <c r="AC150" i="1"/>
  <c r="AD150" i="1"/>
  <c r="P150" i="1"/>
  <c r="J150" i="1"/>
  <c r="AA116" i="14"/>
  <c r="AA111" i="14"/>
  <c r="AA115" i="14"/>
  <c r="AA110" i="14"/>
  <c r="AA108" i="14"/>
  <c r="AA112" i="14"/>
  <c r="AA114" i="14"/>
  <c r="AA109" i="14"/>
  <c r="AA113" i="14"/>
  <c r="AA97" i="14"/>
  <c r="AA64" i="14"/>
  <c r="AA101" i="14"/>
  <c r="AA107" i="14"/>
  <c r="AA99" i="14"/>
  <c r="AA103" i="14"/>
  <c r="AA96" i="14"/>
  <c r="AA102" i="14"/>
  <c r="AA94" i="14"/>
  <c r="AA100" i="14"/>
  <c r="AA92" i="14"/>
  <c r="AA105" i="14"/>
  <c r="AA93" i="14"/>
  <c r="AA91" i="14"/>
  <c r="AA104" i="14"/>
  <c r="AA106" i="14"/>
  <c r="AA95" i="14"/>
  <c r="AA90" i="14"/>
  <c r="AA98" i="14"/>
  <c r="W150" i="1"/>
  <c r="X150" i="1"/>
  <c r="Y150" i="1"/>
  <c r="T151" i="1"/>
  <c r="U151" i="1"/>
  <c r="Z151" i="1"/>
  <c r="V151" i="1"/>
  <c r="P151" i="1"/>
  <c r="J151" i="1"/>
  <c r="L151" i="1"/>
  <c r="AA151" i="1"/>
  <c r="AC151" i="1"/>
  <c r="AD151" i="1"/>
  <c r="K154" i="1"/>
  <c r="F155" i="1"/>
  <c r="G152" i="1"/>
  <c r="I152" i="1"/>
  <c r="H153" i="1"/>
  <c r="Q152" i="1"/>
  <c r="S152" i="1"/>
  <c r="W151" i="1"/>
  <c r="X151" i="1"/>
  <c r="T152" i="1"/>
  <c r="U152" i="1"/>
  <c r="Z152" i="1"/>
  <c r="V152" i="1"/>
  <c r="K155" i="1"/>
  <c r="F156" i="1"/>
  <c r="H154" i="1"/>
  <c r="I153" i="1"/>
  <c r="G153" i="1"/>
  <c r="Q153" i="1"/>
  <c r="S153" i="1"/>
  <c r="Y151" i="1"/>
  <c r="L152" i="1"/>
  <c r="AA152" i="1"/>
  <c r="AC152" i="1"/>
  <c r="AD152" i="1"/>
  <c r="J152" i="1"/>
  <c r="P152" i="1"/>
  <c r="W152" i="1"/>
  <c r="X152" i="1"/>
  <c r="Y152" i="1"/>
  <c r="T153" i="1"/>
  <c r="U153" i="1"/>
  <c r="Z153" i="1"/>
  <c r="V153" i="1"/>
  <c r="I154" i="1"/>
  <c r="G154" i="1"/>
  <c r="H155" i="1"/>
  <c r="Q154" i="1"/>
  <c r="S154" i="1"/>
  <c r="K156" i="1"/>
  <c r="F157" i="1"/>
  <c r="P153" i="1"/>
  <c r="J153" i="1"/>
  <c r="L153" i="1"/>
  <c r="AA153" i="1"/>
  <c r="AC153" i="1"/>
  <c r="AD153" i="1"/>
  <c r="W153" i="1"/>
  <c r="X153" i="1"/>
  <c r="Y153" i="1"/>
  <c r="T154" i="1"/>
  <c r="U154" i="1"/>
  <c r="Z154" i="1"/>
  <c r="V154" i="1"/>
  <c r="F158" i="1"/>
  <c r="K157" i="1"/>
  <c r="AC154" i="1"/>
  <c r="AD154" i="1"/>
  <c r="L154" i="1"/>
  <c r="AA154" i="1"/>
  <c r="H156" i="1"/>
  <c r="I155" i="1"/>
  <c r="G155" i="1"/>
  <c r="Q155" i="1"/>
  <c r="S155" i="1"/>
  <c r="P154" i="1"/>
  <c r="J154" i="1"/>
  <c r="W154" i="1"/>
  <c r="X154" i="1"/>
  <c r="Y154" i="1"/>
  <c r="T155" i="1"/>
  <c r="U155" i="1"/>
  <c r="Z155" i="1"/>
  <c r="V155" i="1"/>
  <c r="P155" i="1"/>
  <c r="J155" i="1"/>
  <c r="F159" i="1"/>
  <c r="K158" i="1"/>
  <c r="L155" i="1"/>
  <c r="AA155" i="1"/>
  <c r="AC155" i="1"/>
  <c r="AD155" i="1"/>
  <c r="G156" i="1"/>
  <c r="I156" i="1"/>
  <c r="H157" i="1"/>
  <c r="Q156" i="1"/>
  <c r="S156" i="1"/>
  <c r="W155" i="1"/>
  <c r="X155" i="1"/>
  <c r="Y155" i="1"/>
  <c r="T156" i="1"/>
  <c r="U156" i="1"/>
  <c r="Z156" i="1"/>
  <c r="V156" i="1"/>
  <c r="H158" i="1"/>
  <c r="I157" i="1"/>
  <c r="G157" i="1"/>
  <c r="Q157" i="1"/>
  <c r="S157" i="1"/>
  <c r="AC156" i="1"/>
  <c r="AD156" i="1"/>
  <c r="L156" i="1"/>
  <c r="AA156" i="1"/>
  <c r="P156" i="1"/>
  <c r="J156" i="1"/>
  <c r="F160" i="1"/>
  <c r="K159" i="1"/>
  <c r="W156" i="1"/>
  <c r="X156" i="1"/>
  <c r="Y156" i="1"/>
  <c r="T157" i="1"/>
  <c r="U157" i="1"/>
  <c r="Z157" i="1"/>
  <c r="V157" i="1"/>
  <c r="H159" i="1"/>
  <c r="Q158" i="1"/>
  <c r="S158" i="1"/>
  <c r="I158" i="1"/>
  <c r="G158" i="1"/>
  <c r="P157" i="1"/>
  <c r="J157" i="1"/>
  <c r="F161" i="1"/>
  <c r="K160" i="1"/>
  <c r="L157" i="1"/>
  <c r="AA157" i="1"/>
  <c r="AC157" i="1"/>
  <c r="AD157" i="1"/>
  <c r="W157" i="1"/>
  <c r="X157" i="1"/>
  <c r="Y157" i="1"/>
  <c r="T158" i="1"/>
  <c r="U158" i="1"/>
  <c r="Z158" i="1"/>
  <c r="V158" i="1"/>
  <c r="F162" i="1"/>
  <c r="K161" i="1"/>
  <c r="J158" i="1"/>
  <c r="P158" i="1"/>
  <c r="H160" i="1"/>
  <c r="I159" i="1"/>
  <c r="G159" i="1"/>
  <c r="Q159" i="1"/>
  <c r="S159" i="1"/>
  <c r="L158" i="1"/>
  <c r="AA158" i="1"/>
  <c r="AC158" i="1"/>
  <c r="AD158" i="1"/>
  <c r="W158" i="1"/>
  <c r="X158" i="1"/>
  <c r="Y158" i="1"/>
  <c r="T159" i="1"/>
  <c r="U159" i="1"/>
  <c r="Z159" i="1"/>
  <c r="V159" i="1"/>
  <c r="F163" i="1"/>
  <c r="K162" i="1"/>
  <c r="H161" i="1"/>
  <c r="Q160" i="1"/>
  <c r="S160" i="1"/>
  <c r="I160" i="1"/>
  <c r="G160" i="1"/>
  <c r="AC159" i="1"/>
  <c r="AD159" i="1"/>
  <c r="L159" i="1"/>
  <c r="AA159" i="1"/>
  <c r="P159" i="1"/>
  <c r="J159" i="1"/>
  <c r="W159" i="1"/>
  <c r="X159" i="1"/>
  <c r="Y159" i="1"/>
  <c r="T160" i="1"/>
  <c r="U160" i="1"/>
  <c r="Z160" i="1"/>
  <c r="V160" i="1"/>
  <c r="P160" i="1"/>
  <c r="J160" i="1"/>
  <c r="K163" i="1"/>
  <c r="F164" i="1"/>
  <c r="H162" i="1"/>
  <c r="I161" i="1"/>
  <c r="G161" i="1"/>
  <c r="Q161" i="1"/>
  <c r="S161" i="1"/>
  <c r="AC160" i="1"/>
  <c r="AD160" i="1"/>
  <c r="L160" i="1"/>
  <c r="AA160" i="1"/>
  <c r="W160" i="1"/>
  <c r="X160" i="1"/>
  <c r="Y160" i="1"/>
  <c r="T161" i="1"/>
  <c r="U161" i="1"/>
  <c r="Z161" i="1"/>
  <c r="V161" i="1"/>
  <c r="P161" i="1"/>
  <c r="J161" i="1"/>
  <c r="AC161" i="1"/>
  <c r="AD161" i="1"/>
  <c r="L161" i="1"/>
  <c r="AA161" i="1"/>
  <c r="H163" i="1"/>
  <c r="Q162" i="1"/>
  <c r="S162" i="1"/>
  <c r="G162" i="1"/>
  <c r="I162" i="1"/>
  <c r="K164" i="1"/>
  <c r="F165" i="1"/>
  <c r="W161" i="1"/>
  <c r="X161" i="1"/>
  <c r="Y161" i="1"/>
  <c r="T162" i="1"/>
  <c r="U162" i="1"/>
  <c r="Z162" i="1"/>
  <c r="V162" i="1"/>
  <c r="K165" i="1"/>
  <c r="F166" i="1"/>
  <c r="J162" i="1"/>
  <c r="P162" i="1"/>
  <c r="L162" i="1"/>
  <c r="AA162" i="1"/>
  <c r="AC162" i="1"/>
  <c r="AD162" i="1"/>
  <c r="H164" i="1"/>
  <c r="I163" i="1"/>
  <c r="G163" i="1"/>
  <c r="Q163" i="1"/>
  <c r="S163" i="1"/>
  <c r="W162" i="1"/>
  <c r="X162" i="1"/>
  <c r="Y162" i="1"/>
  <c r="T163" i="1"/>
  <c r="U163" i="1"/>
  <c r="Z163" i="1"/>
  <c r="V163" i="1"/>
  <c r="P163" i="1"/>
  <c r="J163" i="1"/>
  <c r="K166" i="1"/>
  <c r="F167" i="1"/>
  <c r="AC163" i="1"/>
  <c r="AD163" i="1"/>
  <c r="L163" i="1"/>
  <c r="AA163" i="1"/>
  <c r="H165" i="1"/>
  <c r="Q164" i="1"/>
  <c r="S164" i="1"/>
  <c r="I164" i="1"/>
  <c r="G164" i="1"/>
  <c r="W163" i="1"/>
  <c r="X163" i="1"/>
  <c r="Y163" i="1"/>
  <c r="T164" i="1"/>
  <c r="U164" i="1"/>
  <c r="Z164" i="1"/>
  <c r="V164" i="1"/>
  <c r="Q165" i="1"/>
  <c r="S165" i="1"/>
  <c r="H166" i="1"/>
  <c r="I165" i="1"/>
  <c r="G165" i="1"/>
  <c r="F168" i="1"/>
  <c r="K167" i="1"/>
  <c r="P164" i="1"/>
  <c r="J164" i="1"/>
  <c r="AC164" i="1"/>
  <c r="AD164" i="1"/>
  <c r="L164" i="1"/>
  <c r="AA164" i="1"/>
  <c r="W164" i="1"/>
  <c r="X164" i="1"/>
  <c r="Y164" i="1"/>
  <c r="T165" i="1"/>
  <c r="U165" i="1"/>
  <c r="Z165" i="1"/>
  <c r="V165" i="1"/>
  <c r="P165" i="1"/>
  <c r="J165" i="1"/>
  <c r="L165" i="1"/>
  <c r="AA165" i="1"/>
  <c r="AC165" i="1"/>
  <c r="AD165" i="1"/>
  <c r="F169" i="1"/>
  <c r="K168" i="1"/>
  <c r="G166" i="1"/>
  <c r="I166" i="1"/>
  <c r="H167" i="1"/>
  <c r="Q166" i="1"/>
  <c r="S166" i="1"/>
  <c r="W165" i="1"/>
  <c r="X165" i="1"/>
  <c r="Y165" i="1"/>
  <c r="T166" i="1"/>
  <c r="U166" i="1"/>
  <c r="Z166" i="1"/>
  <c r="V166" i="1"/>
  <c r="P166" i="1"/>
  <c r="J166" i="1"/>
  <c r="F170" i="1"/>
  <c r="K169" i="1"/>
  <c r="H168" i="1"/>
  <c r="I167" i="1"/>
  <c r="G167" i="1"/>
  <c r="Q167" i="1"/>
  <c r="S167" i="1"/>
  <c r="AC166" i="1"/>
  <c r="AD166" i="1"/>
  <c r="L166" i="1"/>
  <c r="AA166" i="1"/>
  <c r="W166" i="1"/>
  <c r="X166" i="1"/>
  <c r="Y166" i="1"/>
  <c r="T167" i="1"/>
  <c r="U167" i="1"/>
  <c r="Z167" i="1"/>
  <c r="V167" i="1"/>
  <c r="P167" i="1"/>
  <c r="J167" i="1"/>
  <c r="L167" i="1"/>
  <c r="AA167" i="1"/>
  <c r="AC167" i="1"/>
  <c r="AD167" i="1"/>
  <c r="G168" i="1"/>
  <c r="I168" i="1"/>
  <c r="H169" i="1"/>
  <c r="Q168" i="1"/>
  <c r="S168" i="1"/>
  <c r="F171" i="1"/>
  <c r="K170" i="1"/>
  <c r="W167" i="1"/>
  <c r="X167" i="1"/>
  <c r="Y167" i="1"/>
  <c r="T168" i="1"/>
  <c r="U168" i="1"/>
  <c r="Z168" i="1"/>
  <c r="V168" i="1"/>
  <c r="H170" i="1"/>
  <c r="I169" i="1"/>
  <c r="G169" i="1"/>
  <c r="Q169" i="1"/>
  <c r="S169" i="1"/>
  <c r="AC168" i="1"/>
  <c r="AD168" i="1"/>
  <c r="L168" i="1"/>
  <c r="AA168" i="1"/>
  <c r="F172" i="1"/>
  <c r="K171" i="1"/>
  <c r="P168" i="1"/>
  <c r="J168" i="1"/>
  <c r="W168" i="1"/>
  <c r="X168" i="1"/>
  <c r="Y168" i="1"/>
  <c r="T169" i="1"/>
  <c r="U169" i="1"/>
  <c r="Z169" i="1"/>
  <c r="V169" i="1"/>
  <c r="G170" i="1"/>
  <c r="I170" i="1"/>
  <c r="H171" i="1"/>
  <c r="Q170" i="1"/>
  <c r="S170" i="1"/>
  <c r="P169" i="1"/>
  <c r="J169" i="1"/>
  <c r="K172" i="1"/>
  <c r="F173" i="1"/>
  <c r="L169" i="1"/>
  <c r="AA169" i="1"/>
  <c r="AC169" i="1"/>
  <c r="AD169" i="1"/>
  <c r="W169" i="1"/>
  <c r="X169" i="1"/>
  <c r="Y169" i="1"/>
  <c r="T170" i="1"/>
  <c r="U170" i="1"/>
  <c r="Z170" i="1"/>
  <c r="V170" i="1"/>
  <c r="F174" i="1"/>
  <c r="K173" i="1"/>
  <c r="P170" i="1"/>
  <c r="J170" i="1"/>
  <c r="I171" i="1"/>
  <c r="G171" i="1"/>
  <c r="Q171" i="1"/>
  <c r="S171" i="1"/>
  <c r="H172" i="1"/>
  <c r="AC170" i="1"/>
  <c r="AD170" i="1"/>
  <c r="L170" i="1"/>
  <c r="AA170" i="1"/>
  <c r="W170" i="1"/>
  <c r="X170" i="1"/>
  <c r="Y170" i="1"/>
  <c r="T171" i="1"/>
  <c r="U171" i="1"/>
  <c r="Z171" i="1"/>
  <c r="V171" i="1"/>
  <c r="K174" i="1"/>
  <c r="F175" i="1"/>
  <c r="G172" i="1"/>
  <c r="I172" i="1"/>
  <c r="H173" i="1"/>
  <c r="Q172" i="1"/>
  <c r="S172" i="1"/>
  <c r="L171" i="1"/>
  <c r="AA171" i="1"/>
  <c r="AC171" i="1"/>
  <c r="AD171" i="1"/>
  <c r="P171" i="1"/>
  <c r="J171" i="1"/>
  <c r="W171" i="1"/>
  <c r="X171" i="1"/>
  <c r="Y171" i="1"/>
  <c r="T172" i="1"/>
  <c r="U172" i="1"/>
  <c r="Z172" i="1"/>
  <c r="V172" i="1"/>
  <c r="H174" i="1"/>
  <c r="I173" i="1"/>
  <c r="G173" i="1"/>
  <c r="Q173" i="1"/>
  <c r="S173" i="1"/>
  <c r="L172" i="1"/>
  <c r="AA172" i="1"/>
  <c r="AC172" i="1"/>
  <c r="AD172" i="1"/>
  <c r="J172" i="1"/>
  <c r="P172" i="1"/>
  <c r="K175" i="1"/>
  <c r="F176" i="1"/>
  <c r="W172" i="1"/>
  <c r="X172" i="1"/>
  <c r="Y172" i="1"/>
  <c r="T173" i="1"/>
  <c r="U173" i="1"/>
  <c r="Z173" i="1"/>
  <c r="V173" i="1"/>
  <c r="H175" i="1"/>
  <c r="Q174" i="1"/>
  <c r="S174" i="1"/>
  <c r="I174" i="1"/>
  <c r="G174" i="1"/>
  <c r="P173" i="1"/>
  <c r="J173" i="1"/>
  <c r="AC173" i="1"/>
  <c r="AD173" i="1"/>
  <c r="L173" i="1"/>
  <c r="AA173" i="1"/>
  <c r="K176" i="1"/>
  <c r="F177" i="1"/>
  <c r="W173" i="1"/>
  <c r="X173" i="1"/>
  <c r="Y173" i="1"/>
  <c r="T174" i="1"/>
  <c r="U174" i="1"/>
  <c r="Z174" i="1"/>
  <c r="V174" i="1"/>
  <c r="F178" i="1"/>
  <c r="K177" i="1"/>
  <c r="J174" i="1"/>
  <c r="P174" i="1"/>
  <c r="H176" i="1"/>
  <c r="I175" i="1"/>
  <c r="G175" i="1"/>
  <c r="Q175" i="1"/>
  <c r="S175" i="1"/>
  <c r="L174" i="1"/>
  <c r="AA174" i="1"/>
  <c r="AC174" i="1"/>
  <c r="AD174" i="1"/>
  <c r="W174" i="1"/>
  <c r="X174" i="1"/>
  <c r="Y174" i="1"/>
  <c r="T175" i="1"/>
  <c r="U175" i="1"/>
  <c r="Z175" i="1"/>
  <c r="V175" i="1"/>
  <c r="K178" i="1"/>
  <c r="F179" i="1"/>
  <c r="J175" i="1"/>
  <c r="P175" i="1"/>
  <c r="Q176" i="1"/>
  <c r="S176" i="1"/>
  <c r="G176" i="1"/>
  <c r="I176" i="1"/>
  <c r="H177" i="1"/>
  <c r="AC175" i="1"/>
  <c r="AD175" i="1"/>
  <c r="L175" i="1"/>
  <c r="AA175" i="1"/>
  <c r="W175" i="1"/>
  <c r="X175" i="1"/>
  <c r="Y175" i="1"/>
  <c r="T176" i="1"/>
  <c r="U176" i="1"/>
  <c r="Z176" i="1"/>
  <c r="V176" i="1"/>
  <c r="AC176" i="1"/>
  <c r="AD176" i="1"/>
  <c r="L176" i="1"/>
  <c r="AA176" i="1"/>
  <c r="J176" i="1"/>
  <c r="P176" i="1"/>
  <c r="F180" i="1"/>
  <c r="K179" i="1"/>
  <c r="Q177" i="1"/>
  <c r="S177" i="1"/>
  <c r="H178" i="1"/>
  <c r="I177" i="1"/>
  <c r="G177" i="1"/>
  <c r="W176" i="1"/>
  <c r="X176" i="1"/>
  <c r="Y176" i="1"/>
  <c r="T177" i="1"/>
  <c r="U177" i="1"/>
  <c r="Z177" i="1"/>
  <c r="V177" i="1"/>
  <c r="K180" i="1"/>
  <c r="F181" i="1"/>
  <c r="P177" i="1"/>
  <c r="J177" i="1"/>
  <c r="L177" i="1"/>
  <c r="AA177" i="1"/>
  <c r="AC177" i="1"/>
  <c r="AD177" i="1"/>
  <c r="G178" i="1"/>
  <c r="I178" i="1"/>
  <c r="H179" i="1"/>
  <c r="Q178" i="1"/>
  <c r="S178" i="1"/>
  <c r="W177" i="1"/>
  <c r="X177" i="1"/>
  <c r="Y177" i="1"/>
  <c r="T178" i="1"/>
  <c r="U178" i="1"/>
  <c r="Z178" i="1"/>
  <c r="V178" i="1"/>
  <c r="L178" i="1"/>
  <c r="AA178" i="1"/>
  <c r="AC178" i="1"/>
  <c r="AD178" i="1"/>
  <c r="F182" i="1"/>
  <c r="K181" i="1"/>
  <c r="H180" i="1"/>
  <c r="I179" i="1"/>
  <c r="G179" i="1"/>
  <c r="Q179" i="1"/>
  <c r="S179" i="1"/>
  <c r="J178" i="1"/>
  <c r="P178" i="1"/>
  <c r="W178" i="1"/>
  <c r="X178" i="1"/>
  <c r="T179" i="1"/>
  <c r="U179" i="1"/>
  <c r="Z179" i="1"/>
  <c r="V179" i="1"/>
  <c r="G180" i="1"/>
  <c r="I180" i="1"/>
  <c r="H181" i="1"/>
  <c r="Q180" i="1"/>
  <c r="S180" i="1"/>
  <c r="F183" i="1"/>
  <c r="K182" i="1"/>
  <c r="Y178" i="1"/>
  <c r="P179" i="1"/>
  <c r="J179" i="1"/>
  <c r="AC179" i="1"/>
  <c r="AD179" i="1"/>
  <c r="L179" i="1"/>
  <c r="AA179" i="1"/>
  <c r="W179" i="1"/>
  <c r="X179" i="1"/>
  <c r="Y179" i="1"/>
  <c r="T180" i="1"/>
  <c r="U180" i="1"/>
  <c r="Z180" i="1"/>
  <c r="V180" i="1"/>
  <c r="P180" i="1"/>
  <c r="J180" i="1"/>
  <c r="Q181" i="1"/>
  <c r="S181" i="1"/>
  <c r="H182" i="1"/>
  <c r="G181" i="1"/>
  <c r="I181" i="1"/>
  <c r="K183" i="1"/>
  <c r="F184" i="1"/>
  <c r="AC180" i="1"/>
  <c r="AD180" i="1"/>
  <c r="L180" i="1"/>
  <c r="AA180" i="1"/>
  <c r="W180" i="1"/>
  <c r="X180" i="1"/>
  <c r="Y180" i="1"/>
  <c r="T181" i="1"/>
  <c r="U181" i="1"/>
  <c r="Z181" i="1"/>
  <c r="V181" i="1"/>
  <c r="G182" i="1"/>
  <c r="I182" i="1"/>
  <c r="H183" i="1"/>
  <c r="Q182" i="1"/>
  <c r="S182" i="1"/>
  <c r="K184" i="1"/>
  <c r="F185" i="1"/>
  <c r="AC181" i="1"/>
  <c r="AD181" i="1"/>
  <c r="L181" i="1"/>
  <c r="AA181" i="1"/>
  <c r="P181" i="1"/>
  <c r="J181" i="1"/>
  <c r="W181" i="1"/>
  <c r="X181" i="1"/>
  <c r="Y181" i="1"/>
  <c r="T182" i="1"/>
  <c r="U182" i="1"/>
  <c r="Z182" i="1"/>
  <c r="V182" i="1"/>
  <c r="F186" i="1"/>
  <c r="K185" i="1"/>
  <c r="P182" i="1"/>
  <c r="J182" i="1"/>
  <c r="H184" i="1"/>
  <c r="I183" i="1"/>
  <c r="G183" i="1"/>
  <c r="Q183" i="1"/>
  <c r="S183" i="1"/>
  <c r="AC182" i="1"/>
  <c r="AD182" i="1"/>
  <c r="L182" i="1"/>
  <c r="AA182" i="1"/>
  <c r="W182" i="1"/>
  <c r="X182" i="1"/>
  <c r="Y182" i="1"/>
  <c r="T183" i="1"/>
  <c r="U183" i="1"/>
  <c r="Z183" i="1"/>
  <c r="V183" i="1"/>
  <c r="P183" i="1"/>
  <c r="J183" i="1"/>
  <c r="K186" i="1"/>
  <c r="F187" i="1"/>
  <c r="L183" i="1"/>
  <c r="AA183" i="1"/>
  <c r="AC183" i="1"/>
  <c r="AD183" i="1"/>
  <c r="H185" i="1"/>
  <c r="Q184" i="1"/>
  <c r="S184" i="1"/>
  <c r="G184" i="1"/>
  <c r="I184" i="1"/>
  <c r="W183" i="1"/>
  <c r="X183" i="1"/>
  <c r="T184" i="1"/>
  <c r="U184" i="1"/>
  <c r="Z184" i="1"/>
  <c r="V184" i="1"/>
  <c r="J184" i="1"/>
  <c r="P184" i="1"/>
  <c r="F188" i="1"/>
  <c r="K187" i="1"/>
  <c r="Y183" i="1"/>
  <c r="L184" i="1"/>
  <c r="AA184" i="1"/>
  <c r="AC184" i="1"/>
  <c r="AD184" i="1"/>
  <c r="H186" i="1"/>
  <c r="I185" i="1"/>
  <c r="G185" i="1"/>
  <c r="Q185" i="1"/>
  <c r="S185" i="1"/>
  <c r="W184" i="1"/>
  <c r="X184" i="1"/>
  <c r="Y184" i="1"/>
  <c r="T185" i="1"/>
  <c r="U185" i="1"/>
  <c r="Z185" i="1"/>
  <c r="V185" i="1"/>
  <c r="P185" i="1"/>
  <c r="J185" i="1"/>
  <c r="L185" i="1"/>
  <c r="AA185" i="1"/>
  <c r="AC185" i="1"/>
  <c r="AD185" i="1"/>
  <c r="K188" i="1"/>
  <c r="F189" i="1"/>
  <c r="Q186" i="1"/>
  <c r="S186" i="1"/>
  <c r="I186" i="1"/>
  <c r="G186" i="1"/>
  <c r="H187" i="1"/>
  <c r="W185" i="1"/>
  <c r="X185" i="1"/>
  <c r="Y185" i="1"/>
  <c r="T186" i="1"/>
  <c r="U186" i="1"/>
  <c r="Z186" i="1"/>
  <c r="V186" i="1"/>
  <c r="Q187" i="1"/>
  <c r="S187" i="1"/>
  <c r="H188" i="1"/>
  <c r="I187" i="1"/>
  <c r="G187" i="1"/>
  <c r="F190" i="1"/>
  <c r="K189" i="1"/>
  <c r="J186" i="1"/>
  <c r="P186" i="1"/>
  <c r="L186" i="1"/>
  <c r="AA186" i="1"/>
  <c r="AC186" i="1"/>
  <c r="AD186" i="1"/>
  <c r="W186" i="1"/>
  <c r="X186" i="1"/>
  <c r="Y186" i="1"/>
  <c r="T187" i="1"/>
  <c r="U187" i="1"/>
  <c r="Z187" i="1"/>
  <c r="V187" i="1"/>
  <c r="F191" i="1"/>
  <c r="K190" i="1"/>
  <c r="J187" i="1"/>
  <c r="P187" i="1"/>
  <c r="AC187" i="1"/>
  <c r="AD187" i="1"/>
  <c r="L187" i="1"/>
  <c r="AA187" i="1"/>
  <c r="H189" i="1"/>
  <c r="Q188" i="1"/>
  <c r="S188" i="1"/>
  <c r="G188" i="1"/>
  <c r="I188" i="1"/>
  <c r="W187" i="1"/>
  <c r="X187" i="1"/>
  <c r="Y187" i="1"/>
  <c r="T188" i="1"/>
  <c r="U188" i="1"/>
  <c r="Z188" i="1"/>
  <c r="V188" i="1"/>
  <c r="P188" i="1"/>
  <c r="J188" i="1"/>
  <c r="AC188" i="1"/>
  <c r="AD188" i="1"/>
  <c r="L188" i="1"/>
  <c r="AA188" i="1"/>
  <c r="H190" i="1"/>
  <c r="G189" i="1"/>
  <c r="I189" i="1"/>
  <c r="Q189" i="1"/>
  <c r="S189" i="1"/>
  <c r="F192" i="1"/>
  <c r="K191" i="1"/>
  <c r="W188" i="1"/>
  <c r="X188" i="1"/>
  <c r="Y188" i="1"/>
  <c r="T189" i="1"/>
  <c r="U189" i="1"/>
  <c r="Z189" i="1"/>
  <c r="V189" i="1"/>
  <c r="H191" i="1"/>
  <c r="I190" i="1"/>
  <c r="Q190" i="1"/>
  <c r="S190" i="1"/>
  <c r="G190" i="1"/>
  <c r="AC189" i="1"/>
  <c r="AD189" i="1"/>
  <c r="L189" i="1"/>
  <c r="AA189" i="1"/>
  <c r="F193" i="1"/>
  <c r="K192" i="1"/>
  <c r="J189" i="1"/>
  <c r="P189" i="1"/>
  <c r="W189" i="1"/>
  <c r="X189" i="1"/>
  <c r="Y189" i="1"/>
  <c r="T190" i="1"/>
  <c r="U190" i="1"/>
  <c r="Z190" i="1"/>
  <c r="V190" i="1"/>
  <c r="P190" i="1"/>
  <c r="J190" i="1"/>
  <c r="I191" i="1"/>
  <c r="Q191" i="1"/>
  <c r="S191" i="1"/>
  <c r="G191" i="1"/>
  <c r="H192" i="1"/>
  <c r="L190" i="1"/>
  <c r="AA190" i="1"/>
  <c r="AC190" i="1"/>
  <c r="AD190" i="1"/>
  <c r="F194" i="1"/>
  <c r="K193" i="1"/>
  <c r="T191" i="1"/>
  <c r="U191" i="1"/>
  <c r="Z191" i="1"/>
  <c r="V191" i="1"/>
  <c r="W190" i="1"/>
  <c r="X190" i="1"/>
  <c r="Y190" i="1"/>
  <c r="Q192" i="1"/>
  <c r="S192" i="1"/>
  <c r="G192" i="1"/>
  <c r="H193" i="1"/>
  <c r="I192" i="1"/>
  <c r="L191" i="1"/>
  <c r="AA191" i="1"/>
  <c r="AC191" i="1"/>
  <c r="AD191" i="1"/>
  <c r="F195" i="1"/>
  <c r="K194" i="1"/>
  <c r="J191" i="1"/>
  <c r="P191" i="1"/>
  <c r="W191" i="1"/>
  <c r="X191" i="1"/>
  <c r="Y191" i="1"/>
  <c r="T192" i="1"/>
  <c r="U192" i="1"/>
  <c r="Z192" i="1"/>
  <c r="V192" i="1"/>
  <c r="H194" i="1"/>
  <c r="G193" i="1"/>
  <c r="I193" i="1"/>
  <c r="Q193" i="1"/>
  <c r="S193" i="1"/>
  <c r="F196" i="1"/>
  <c r="K195" i="1"/>
  <c r="P192" i="1"/>
  <c r="J192" i="1"/>
  <c r="L192" i="1"/>
  <c r="AA192" i="1"/>
  <c r="AC192" i="1"/>
  <c r="AD192" i="1"/>
  <c r="W192" i="1"/>
  <c r="X192" i="1"/>
  <c r="Y192" i="1"/>
  <c r="T193" i="1"/>
  <c r="U193" i="1"/>
  <c r="Z193" i="1"/>
  <c r="V193" i="1"/>
  <c r="G194" i="1"/>
  <c r="H195" i="1"/>
  <c r="Q194" i="1"/>
  <c r="S194" i="1"/>
  <c r="I194" i="1"/>
  <c r="L193" i="1"/>
  <c r="AA193" i="1"/>
  <c r="AC193" i="1"/>
  <c r="AD193" i="1"/>
  <c r="K196" i="1"/>
  <c r="F197" i="1"/>
  <c r="J193" i="1"/>
  <c r="P193" i="1"/>
  <c r="W193" i="1"/>
  <c r="X193" i="1"/>
  <c r="Y193" i="1"/>
  <c r="T194" i="1"/>
  <c r="U194" i="1"/>
  <c r="Z194" i="1"/>
  <c r="V194" i="1"/>
  <c r="K197" i="1"/>
  <c r="F198" i="1"/>
  <c r="AC194" i="1"/>
  <c r="AD194" i="1"/>
  <c r="L194" i="1"/>
  <c r="AA194" i="1"/>
  <c r="P194" i="1"/>
  <c r="J194" i="1"/>
  <c r="H196" i="1"/>
  <c r="G195" i="1"/>
  <c r="I195" i="1"/>
  <c r="Q195" i="1"/>
  <c r="S195" i="1"/>
  <c r="W194" i="1"/>
  <c r="X194" i="1"/>
  <c r="T195" i="1"/>
  <c r="U195" i="1"/>
  <c r="Z195" i="1"/>
  <c r="V195" i="1"/>
  <c r="L195" i="1"/>
  <c r="AA195" i="1"/>
  <c r="AC195" i="1"/>
  <c r="AD195" i="1"/>
  <c r="K198" i="1"/>
  <c r="F199" i="1"/>
  <c r="Y194" i="1"/>
  <c r="J195" i="1"/>
  <c r="P195" i="1"/>
  <c r="G196" i="1"/>
  <c r="Q196" i="1"/>
  <c r="S196" i="1"/>
  <c r="H197" i="1"/>
  <c r="I196" i="1"/>
  <c r="W195" i="1"/>
  <c r="X195" i="1"/>
  <c r="Y195" i="1"/>
  <c r="T196" i="1"/>
  <c r="U196" i="1"/>
  <c r="Z196" i="1"/>
  <c r="V196" i="1"/>
  <c r="H198" i="1"/>
  <c r="G197" i="1"/>
  <c r="I197" i="1"/>
  <c r="Q197" i="1"/>
  <c r="S197" i="1"/>
  <c r="K199" i="1"/>
  <c r="F200" i="1"/>
  <c r="AC196" i="1"/>
  <c r="AD196" i="1"/>
  <c r="L196" i="1"/>
  <c r="AA196" i="1"/>
  <c r="P196" i="1"/>
  <c r="J196" i="1"/>
  <c r="W196" i="1"/>
  <c r="X196" i="1"/>
  <c r="T197" i="1"/>
  <c r="U197" i="1"/>
  <c r="Z197" i="1"/>
  <c r="V197" i="1"/>
  <c r="Q198" i="1"/>
  <c r="S198" i="1"/>
  <c r="I198" i="1"/>
  <c r="G198" i="1"/>
  <c r="H199" i="1"/>
  <c r="Y196" i="1"/>
  <c r="L197" i="1"/>
  <c r="AA197" i="1"/>
  <c r="AC197" i="1"/>
  <c r="AD197" i="1"/>
  <c r="F201" i="1"/>
  <c r="K200" i="1"/>
  <c r="J197" i="1"/>
  <c r="P197" i="1"/>
  <c r="W197" i="1"/>
  <c r="X197" i="1"/>
  <c r="Y197" i="1"/>
  <c r="T198" i="1"/>
  <c r="U198" i="1"/>
  <c r="Z198" i="1"/>
  <c r="V198" i="1"/>
  <c r="F202" i="1"/>
  <c r="K201" i="1"/>
  <c r="H200" i="1"/>
  <c r="G199" i="1"/>
  <c r="I199" i="1"/>
  <c r="Q199" i="1"/>
  <c r="S199" i="1"/>
  <c r="P198" i="1"/>
  <c r="J198" i="1"/>
  <c r="L198" i="1"/>
  <c r="AA198" i="1"/>
  <c r="AC198" i="1"/>
  <c r="AD198" i="1"/>
  <c r="W198" i="1"/>
  <c r="X198" i="1"/>
  <c r="Y198" i="1"/>
  <c r="T199" i="1"/>
  <c r="U199" i="1"/>
  <c r="Z199" i="1"/>
  <c r="V199" i="1"/>
  <c r="Q200" i="1"/>
  <c r="S200" i="1"/>
  <c r="I200" i="1"/>
  <c r="G200" i="1"/>
  <c r="H201" i="1"/>
  <c r="F203" i="1"/>
  <c r="K202" i="1"/>
  <c r="L199" i="1"/>
  <c r="AA199" i="1"/>
  <c r="AC199" i="1"/>
  <c r="AD199" i="1"/>
  <c r="J199" i="1"/>
  <c r="P199" i="1"/>
  <c r="W199" i="1"/>
  <c r="X199" i="1"/>
  <c r="Y199" i="1"/>
  <c r="T200" i="1"/>
  <c r="U200" i="1"/>
  <c r="Z200" i="1"/>
  <c r="V200" i="1"/>
  <c r="I201" i="1"/>
  <c r="Q201" i="1"/>
  <c r="S201" i="1"/>
  <c r="G201" i="1"/>
  <c r="H202" i="1"/>
  <c r="F204" i="1"/>
  <c r="K203" i="1"/>
  <c r="J200" i="1"/>
  <c r="P200" i="1"/>
  <c r="L200" i="1"/>
  <c r="AA200" i="1"/>
  <c r="AC200" i="1"/>
  <c r="AD200" i="1"/>
  <c r="W200" i="1"/>
  <c r="X200" i="1"/>
  <c r="T201" i="1"/>
  <c r="U201" i="1"/>
  <c r="Z201" i="1"/>
  <c r="V201" i="1"/>
  <c r="H203" i="1"/>
  <c r="Q202" i="1"/>
  <c r="S202" i="1"/>
  <c r="I202" i="1"/>
  <c r="G202" i="1"/>
  <c r="L201" i="1"/>
  <c r="AA201" i="1"/>
  <c r="AC201" i="1"/>
  <c r="AD201" i="1"/>
  <c r="P201" i="1"/>
  <c r="J201" i="1"/>
  <c r="Y200" i="1"/>
  <c r="F205" i="1"/>
  <c r="K204" i="1"/>
  <c r="W201" i="1"/>
  <c r="X201" i="1"/>
  <c r="Y201" i="1"/>
  <c r="T202" i="1"/>
  <c r="U202" i="1"/>
  <c r="Z202" i="1"/>
  <c r="V202" i="1"/>
  <c r="Q203" i="1"/>
  <c r="S203" i="1"/>
  <c r="H204" i="1"/>
  <c r="G203" i="1"/>
  <c r="I203" i="1"/>
  <c r="J202" i="1"/>
  <c r="P202" i="1"/>
  <c r="F206" i="1"/>
  <c r="K205" i="1"/>
  <c r="AC202" i="1"/>
  <c r="AD202" i="1"/>
  <c r="L202" i="1"/>
  <c r="AA202" i="1"/>
  <c r="W202" i="1"/>
  <c r="X202" i="1"/>
  <c r="Y202" i="1"/>
  <c r="T203" i="1"/>
  <c r="U203" i="1"/>
  <c r="Z203" i="1"/>
  <c r="V203" i="1"/>
  <c r="K206" i="1"/>
  <c r="F207" i="1"/>
  <c r="AC203" i="1"/>
  <c r="AD203" i="1"/>
  <c r="L203" i="1"/>
  <c r="AA203" i="1"/>
  <c r="J203" i="1"/>
  <c r="P203" i="1"/>
  <c r="Q204" i="1"/>
  <c r="S204" i="1"/>
  <c r="I204" i="1"/>
  <c r="G204" i="1"/>
  <c r="H205" i="1"/>
  <c r="W203" i="1"/>
  <c r="X203" i="1"/>
  <c r="Y203" i="1"/>
  <c r="T204" i="1"/>
  <c r="U204" i="1"/>
  <c r="Z204" i="1"/>
  <c r="V204" i="1"/>
  <c r="I205" i="1"/>
  <c r="Q205" i="1"/>
  <c r="S205" i="1"/>
  <c r="H206" i="1"/>
  <c r="G205" i="1"/>
  <c r="F208" i="1"/>
  <c r="K207" i="1"/>
  <c r="P204" i="1"/>
  <c r="J204" i="1"/>
  <c r="AC204" i="1"/>
  <c r="AD204" i="1"/>
  <c r="L204" i="1"/>
  <c r="AA204" i="1"/>
  <c r="W204" i="1"/>
  <c r="X204" i="1"/>
  <c r="Y204" i="1"/>
  <c r="T205" i="1"/>
  <c r="U205" i="1"/>
  <c r="Z205" i="1"/>
  <c r="V205" i="1"/>
  <c r="J205" i="1"/>
  <c r="P205" i="1"/>
  <c r="L205" i="1"/>
  <c r="AA205" i="1"/>
  <c r="AC205" i="1"/>
  <c r="AD205" i="1"/>
  <c r="G206" i="1"/>
  <c r="H207" i="1"/>
  <c r="Q206" i="1"/>
  <c r="S206" i="1"/>
  <c r="I206" i="1"/>
  <c r="F209" i="1"/>
  <c r="K208" i="1"/>
  <c r="W205" i="1"/>
  <c r="X205" i="1"/>
  <c r="Y205" i="1"/>
  <c r="T206" i="1"/>
  <c r="U206" i="1"/>
  <c r="Z206" i="1"/>
  <c r="V206" i="1"/>
  <c r="AC206" i="1"/>
  <c r="AD206" i="1"/>
  <c r="L206" i="1"/>
  <c r="AA206" i="1"/>
  <c r="P206" i="1"/>
  <c r="J206" i="1"/>
  <c r="K209" i="1"/>
  <c r="F210" i="1"/>
  <c r="Q207" i="1"/>
  <c r="S207" i="1"/>
  <c r="H208" i="1"/>
  <c r="G207" i="1"/>
  <c r="I207" i="1"/>
  <c r="W206" i="1"/>
  <c r="X206" i="1"/>
  <c r="Y206" i="1"/>
  <c r="T207" i="1"/>
  <c r="U207" i="1"/>
  <c r="Z207" i="1"/>
  <c r="V207" i="1"/>
  <c r="AC207" i="1"/>
  <c r="AD207" i="1"/>
  <c r="L207" i="1"/>
  <c r="AA207" i="1"/>
  <c r="J207" i="1"/>
  <c r="P207" i="1"/>
  <c r="F211" i="1"/>
  <c r="K210" i="1"/>
  <c r="Q208" i="1"/>
  <c r="S208" i="1"/>
  <c r="I208" i="1"/>
  <c r="G208" i="1"/>
  <c r="H209" i="1"/>
  <c r="W207" i="1"/>
  <c r="X207" i="1"/>
  <c r="Y207" i="1"/>
  <c r="T208" i="1"/>
  <c r="U208" i="1"/>
  <c r="Z208" i="1"/>
  <c r="V208" i="1"/>
  <c r="I209" i="1"/>
  <c r="Q209" i="1"/>
  <c r="S209" i="1"/>
  <c r="G209" i="1"/>
  <c r="H210" i="1"/>
  <c r="F212" i="1"/>
  <c r="K211" i="1"/>
  <c r="P208" i="1"/>
  <c r="J208" i="1"/>
  <c r="L208" i="1"/>
  <c r="AA208" i="1"/>
  <c r="AC208" i="1"/>
  <c r="AD208" i="1"/>
  <c r="W208" i="1"/>
  <c r="X208" i="1"/>
  <c r="T209" i="1"/>
  <c r="U209" i="1"/>
  <c r="Z209" i="1"/>
  <c r="V209" i="1"/>
  <c r="H211" i="1"/>
  <c r="Q210" i="1"/>
  <c r="S210" i="1"/>
  <c r="I210" i="1"/>
  <c r="G210" i="1"/>
  <c r="AC209" i="1"/>
  <c r="AD209" i="1"/>
  <c r="L209" i="1"/>
  <c r="AA209" i="1"/>
  <c r="J209" i="1"/>
  <c r="P209" i="1"/>
  <c r="Y208" i="1"/>
  <c r="F213" i="1"/>
  <c r="K212" i="1"/>
  <c r="W209" i="1"/>
  <c r="X209" i="1"/>
  <c r="Y209" i="1"/>
  <c r="T210" i="1"/>
  <c r="U210" i="1"/>
  <c r="Z210" i="1"/>
  <c r="V210" i="1"/>
  <c r="H212" i="1"/>
  <c r="G211" i="1"/>
  <c r="I211" i="1"/>
  <c r="Q211" i="1"/>
  <c r="S211" i="1"/>
  <c r="P210" i="1"/>
  <c r="J210" i="1"/>
  <c r="L210" i="1"/>
  <c r="AA210" i="1"/>
  <c r="AC210" i="1"/>
  <c r="AD210" i="1"/>
  <c r="F214" i="1"/>
  <c r="K213" i="1"/>
  <c r="W210" i="1"/>
  <c r="X210" i="1"/>
  <c r="Y210" i="1"/>
  <c r="T211" i="1"/>
  <c r="U211" i="1"/>
  <c r="Z211" i="1"/>
  <c r="V211" i="1"/>
  <c r="G212" i="1"/>
  <c r="H213" i="1"/>
  <c r="Q212" i="1"/>
  <c r="S212" i="1"/>
  <c r="I212" i="1"/>
  <c r="AC211" i="1"/>
  <c r="AD211" i="1"/>
  <c r="L211" i="1"/>
  <c r="AA211" i="1"/>
  <c r="F215" i="1"/>
  <c r="K214" i="1"/>
  <c r="J211" i="1"/>
  <c r="P211" i="1"/>
  <c r="W211" i="1"/>
  <c r="X211" i="1"/>
  <c r="T212" i="1"/>
  <c r="U212" i="1"/>
  <c r="Z212" i="1"/>
  <c r="V212" i="1"/>
  <c r="K215" i="1"/>
  <c r="F216" i="1"/>
  <c r="L212" i="1"/>
  <c r="AA212" i="1"/>
  <c r="AC212" i="1"/>
  <c r="AD212" i="1"/>
  <c r="P212" i="1"/>
  <c r="J212" i="1"/>
  <c r="Y211" i="1"/>
  <c r="Q213" i="1"/>
  <c r="S213" i="1"/>
  <c r="H214" i="1"/>
  <c r="G213" i="1"/>
  <c r="I213" i="1"/>
  <c r="W212" i="1"/>
  <c r="X212" i="1"/>
  <c r="Y212" i="1"/>
  <c r="T213" i="1"/>
  <c r="U213" i="1"/>
  <c r="Z213" i="1"/>
  <c r="V213" i="1"/>
  <c r="F217" i="1"/>
  <c r="K216" i="1"/>
  <c r="H215" i="1"/>
  <c r="Q214" i="1"/>
  <c r="S214" i="1"/>
  <c r="I214" i="1"/>
  <c r="G214" i="1"/>
  <c r="J213" i="1"/>
  <c r="P213" i="1"/>
  <c r="L213" i="1"/>
  <c r="AA213" i="1"/>
  <c r="AC213" i="1"/>
  <c r="AD213" i="1"/>
  <c r="W213" i="1"/>
  <c r="X213" i="1"/>
  <c r="Y213" i="1"/>
  <c r="T214" i="1"/>
  <c r="U214" i="1"/>
  <c r="Z214" i="1"/>
  <c r="V214" i="1"/>
  <c r="G215" i="1"/>
  <c r="H216" i="1"/>
  <c r="I215" i="1"/>
  <c r="Q215" i="1"/>
  <c r="S215" i="1"/>
  <c r="P214" i="1"/>
  <c r="J214" i="1"/>
  <c r="L214" i="1"/>
  <c r="AA214" i="1"/>
  <c r="AC214" i="1"/>
  <c r="AD214" i="1"/>
  <c r="F218" i="1"/>
  <c r="K217" i="1"/>
  <c r="W214" i="1"/>
  <c r="X214" i="1"/>
  <c r="Y214" i="1"/>
  <c r="T215" i="1"/>
  <c r="U215" i="1"/>
  <c r="Z215" i="1"/>
  <c r="V215" i="1"/>
  <c r="P215" i="1"/>
  <c r="J215" i="1"/>
  <c r="F219" i="1"/>
  <c r="K218" i="1"/>
  <c r="L215" i="1"/>
  <c r="AA215" i="1"/>
  <c r="AC215" i="1"/>
  <c r="AD215" i="1"/>
  <c r="H217" i="1"/>
  <c r="Q216" i="1"/>
  <c r="S216" i="1"/>
  <c r="I216" i="1"/>
  <c r="G216" i="1"/>
  <c r="W215" i="1"/>
  <c r="X215" i="1"/>
  <c r="Y215" i="1"/>
  <c r="T216" i="1"/>
  <c r="U216" i="1"/>
  <c r="Z216" i="1"/>
  <c r="V216" i="1"/>
  <c r="H218" i="1"/>
  <c r="G217" i="1"/>
  <c r="I217" i="1"/>
  <c r="Q217" i="1"/>
  <c r="S217" i="1"/>
  <c r="P216" i="1"/>
  <c r="J216" i="1"/>
  <c r="F220" i="1"/>
  <c r="K219" i="1"/>
  <c r="AC216" i="1"/>
  <c r="AD216" i="1"/>
  <c r="L216" i="1"/>
  <c r="AA216" i="1"/>
  <c r="W216" i="1"/>
  <c r="X216" i="1"/>
  <c r="Y216" i="1"/>
  <c r="T217" i="1"/>
  <c r="U217" i="1"/>
  <c r="Z217" i="1"/>
  <c r="V217" i="1"/>
  <c r="H219" i="1"/>
  <c r="Q218" i="1"/>
  <c r="S218" i="1"/>
  <c r="I218" i="1"/>
  <c r="G218" i="1"/>
  <c r="L217" i="1"/>
  <c r="AA217" i="1"/>
  <c r="AC217" i="1"/>
  <c r="AD217" i="1"/>
  <c r="F221" i="1"/>
  <c r="K220" i="1"/>
  <c r="J217" i="1"/>
  <c r="P217" i="1"/>
  <c r="W217" i="1"/>
  <c r="X217" i="1"/>
  <c r="Y217" i="1"/>
  <c r="T218" i="1"/>
  <c r="U218" i="1"/>
  <c r="Z218" i="1"/>
  <c r="V218" i="1"/>
  <c r="H220" i="1"/>
  <c r="G219" i="1"/>
  <c r="I219" i="1"/>
  <c r="Q219" i="1"/>
  <c r="S219" i="1"/>
  <c r="F222" i="1"/>
  <c r="K221" i="1"/>
  <c r="AC218" i="1"/>
  <c r="AD218" i="1"/>
  <c r="L218" i="1"/>
  <c r="AA218" i="1"/>
  <c r="P218" i="1"/>
  <c r="J218" i="1"/>
  <c r="W218" i="1"/>
  <c r="X218" i="1"/>
  <c r="Y218" i="1"/>
  <c r="T219" i="1"/>
  <c r="U219" i="1"/>
  <c r="Z219" i="1"/>
  <c r="V219" i="1"/>
  <c r="Q220" i="1"/>
  <c r="S220" i="1"/>
  <c r="I220" i="1"/>
  <c r="G220" i="1"/>
  <c r="H221" i="1"/>
  <c r="L219" i="1"/>
  <c r="AA219" i="1"/>
  <c r="AC219" i="1"/>
  <c r="AD219" i="1"/>
  <c r="F223" i="1"/>
  <c r="K222" i="1"/>
  <c r="J219" i="1"/>
  <c r="P219" i="1"/>
  <c r="W219" i="1"/>
  <c r="X219" i="1"/>
  <c r="Y219" i="1"/>
  <c r="T220" i="1"/>
  <c r="U220" i="1"/>
  <c r="Z220" i="1"/>
  <c r="V220" i="1"/>
  <c r="H222" i="1"/>
  <c r="G221" i="1"/>
  <c r="I221" i="1"/>
  <c r="Q221" i="1"/>
  <c r="S221" i="1"/>
  <c r="J220" i="1"/>
  <c r="P220" i="1"/>
  <c r="F224" i="1"/>
  <c r="K223" i="1"/>
  <c r="AC220" i="1"/>
  <c r="AD220" i="1"/>
  <c r="L220" i="1"/>
  <c r="AA220" i="1"/>
  <c r="W220" i="1"/>
  <c r="X220" i="1"/>
  <c r="Y220" i="1"/>
  <c r="T221" i="1"/>
  <c r="U221" i="1"/>
  <c r="Z221" i="1"/>
  <c r="V221" i="1"/>
  <c r="Q222" i="1"/>
  <c r="S222" i="1"/>
  <c r="G222" i="1"/>
  <c r="H223" i="1"/>
  <c r="I222" i="1"/>
  <c r="F225" i="1"/>
  <c r="K224" i="1"/>
  <c r="AC221" i="1"/>
  <c r="AD221" i="1"/>
  <c r="L221" i="1"/>
  <c r="AA221" i="1"/>
  <c r="J221" i="1"/>
  <c r="P221" i="1"/>
  <c r="W221" i="1"/>
  <c r="X221" i="1"/>
  <c r="Y221" i="1"/>
  <c r="T222" i="1"/>
  <c r="U222" i="1"/>
  <c r="Z222" i="1"/>
  <c r="V222" i="1"/>
  <c r="AC222" i="1"/>
  <c r="AD222" i="1"/>
  <c r="L222" i="1"/>
  <c r="AA222" i="1"/>
  <c r="Q223" i="1"/>
  <c r="S223" i="1"/>
  <c r="G223" i="1"/>
  <c r="H224" i="1"/>
  <c r="I223" i="1"/>
  <c r="F226" i="1"/>
  <c r="K225" i="1"/>
  <c r="J222" i="1"/>
  <c r="P222" i="1"/>
  <c r="W222" i="1"/>
  <c r="X222" i="1"/>
  <c r="Y222" i="1"/>
  <c r="T223" i="1"/>
  <c r="U223" i="1"/>
  <c r="Z223" i="1"/>
  <c r="V223" i="1"/>
  <c r="G224" i="1"/>
  <c r="H225" i="1"/>
  <c r="Q224" i="1"/>
  <c r="S224" i="1"/>
  <c r="I224" i="1"/>
  <c r="P223" i="1"/>
  <c r="J223" i="1"/>
  <c r="L223" i="1"/>
  <c r="AA223" i="1"/>
  <c r="AC223" i="1"/>
  <c r="AD223" i="1"/>
  <c r="K226" i="1"/>
  <c r="F227" i="1"/>
  <c r="W223" i="1"/>
  <c r="X223" i="1"/>
  <c r="Y223" i="1"/>
  <c r="T224" i="1"/>
  <c r="U224" i="1"/>
  <c r="Z224" i="1"/>
  <c r="V224" i="1"/>
  <c r="L224" i="1"/>
  <c r="AA224" i="1"/>
  <c r="AC224" i="1"/>
  <c r="AD224" i="1"/>
  <c r="P224" i="1"/>
  <c r="J224" i="1"/>
  <c r="K227" i="1"/>
  <c r="F228" i="1"/>
  <c r="G225" i="1"/>
  <c r="H226" i="1"/>
  <c r="I225" i="1"/>
  <c r="Q225" i="1"/>
  <c r="S225" i="1"/>
  <c r="W224" i="1"/>
  <c r="X224" i="1"/>
  <c r="Y224" i="1"/>
  <c r="T225" i="1"/>
  <c r="U225" i="1"/>
  <c r="Z225" i="1"/>
  <c r="V225" i="1"/>
  <c r="F229" i="1"/>
  <c r="K228" i="1"/>
  <c r="J225" i="1"/>
  <c r="P225" i="1"/>
  <c r="AC225" i="1"/>
  <c r="AD225" i="1"/>
  <c r="L225" i="1"/>
  <c r="AA225" i="1"/>
  <c r="G226" i="1"/>
  <c r="H227" i="1"/>
  <c r="I226" i="1"/>
  <c r="Q226" i="1"/>
  <c r="S226" i="1"/>
  <c r="W225" i="1"/>
  <c r="X225" i="1"/>
  <c r="Y225" i="1"/>
  <c r="T226" i="1"/>
  <c r="U226" i="1"/>
  <c r="Z226" i="1"/>
  <c r="V226" i="1"/>
  <c r="F230" i="1"/>
  <c r="K229" i="1"/>
  <c r="P226" i="1"/>
  <c r="J226" i="1"/>
  <c r="AC226" i="1"/>
  <c r="AD226" i="1"/>
  <c r="L226" i="1"/>
  <c r="AA226" i="1"/>
  <c r="H228" i="1"/>
  <c r="I227" i="1"/>
  <c r="G227" i="1"/>
  <c r="Q227" i="1"/>
  <c r="S227" i="1"/>
  <c r="W226" i="1"/>
  <c r="X226" i="1"/>
  <c r="Y226" i="1"/>
  <c r="T227" i="1"/>
  <c r="U227" i="1"/>
  <c r="Z227" i="1"/>
  <c r="V227" i="1"/>
  <c r="Q228" i="1"/>
  <c r="S228" i="1"/>
  <c r="G228" i="1"/>
  <c r="H229" i="1"/>
  <c r="I228" i="1"/>
  <c r="J227" i="1"/>
  <c r="P227" i="1"/>
  <c r="L227" i="1"/>
  <c r="AA227" i="1"/>
  <c r="AC227" i="1"/>
  <c r="AD227" i="1"/>
  <c r="F231" i="1"/>
  <c r="K230" i="1"/>
  <c r="W227" i="1"/>
  <c r="X227" i="1"/>
  <c r="Y227" i="1"/>
  <c r="T228" i="1"/>
  <c r="U228" i="1"/>
  <c r="Z228" i="1"/>
  <c r="V228" i="1"/>
  <c r="AC228" i="1"/>
  <c r="AD228" i="1"/>
  <c r="L228" i="1"/>
  <c r="AA228" i="1"/>
  <c r="G229" i="1"/>
  <c r="I229" i="1"/>
  <c r="H230" i="1"/>
  <c r="Q229" i="1"/>
  <c r="S229" i="1"/>
  <c r="F232" i="1"/>
  <c r="K231" i="1"/>
  <c r="P228" i="1"/>
  <c r="J228" i="1"/>
  <c r="T229" i="1"/>
  <c r="U229" i="1"/>
  <c r="Z229" i="1"/>
  <c r="V229" i="1"/>
  <c r="I230" i="1"/>
  <c r="Q230" i="1"/>
  <c r="S230" i="1"/>
  <c r="G230" i="1"/>
  <c r="H231" i="1"/>
  <c r="AC229" i="1"/>
  <c r="AD229" i="1"/>
  <c r="L229" i="1"/>
  <c r="AA229" i="1"/>
  <c r="W228" i="1"/>
  <c r="X228" i="1"/>
  <c r="Y228" i="1"/>
  <c r="K232" i="1"/>
  <c r="F233" i="1"/>
  <c r="J229" i="1"/>
  <c r="P229" i="1"/>
  <c r="W229" i="1"/>
  <c r="X229" i="1"/>
  <c r="T230" i="1"/>
  <c r="U230" i="1"/>
  <c r="Z230" i="1"/>
  <c r="V230" i="1"/>
  <c r="Q231" i="1"/>
  <c r="S231" i="1"/>
  <c r="G231" i="1"/>
  <c r="H232" i="1"/>
  <c r="I231" i="1"/>
  <c r="L230" i="1"/>
  <c r="AA230" i="1"/>
  <c r="AC230" i="1"/>
  <c r="AD230" i="1"/>
  <c r="Y229" i="1"/>
  <c r="P230" i="1"/>
  <c r="J230" i="1"/>
  <c r="K233" i="1"/>
  <c r="F234" i="1"/>
  <c r="W230" i="1"/>
  <c r="X230" i="1"/>
  <c r="T231" i="1"/>
  <c r="U231" i="1"/>
  <c r="Z231" i="1"/>
  <c r="V231" i="1"/>
  <c r="AC231" i="1"/>
  <c r="AD231" i="1"/>
  <c r="L231" i="1"/>
  <c r="AA231" i="1"/>
  <c r="I232" i="1"/>
  <c r="Q232" i="1"/>
  <c r="S232" i="1"/>
  <c r="G232" i="1"/>
  <c r="H233" i="1"/>
  <c r="Y230" i="1"/>
  <c r="P231" i="1"/>
  <c r="J231" i="1"/>
  <c r="F235" i="1"/>
  <c r="K234" i="1"/>
  <c r="W231" i="1"/>
  <c r="X231" i="1"/>
  <c r="Y231" i="1"/>
  <c r="T232" i="1"/>
  <c r="U232" i="1"/>
  <c r="Z232" i="1"/>
  <c r="V232" i="1"/>
  <c r="P232" i="1"/>
  <c r="J232" i="1"/>
  <c r="F236" i="1"/>
  <c r="K235" i="1"/>
  <c r="G233" i="1"/>
  <c r="I233" i="1"/>
  <c r="H234" i="1"/>
  <c r="Q233" i="1"/>
  <c r="S233" i="1"/>
  <c r="AC232" i="1"/>
  <c r="AD232" i="1"/>
  <c r="L232" i="1"/>
  <c r="AA232" i="1"/>
  <c r="W232" i="1"/>
  <c r="X232" i="1"/>
  <c r="Y232" i="1"/>
  <c r="T233" i="1"/>
  <c r="U233" i="1"/>
  <c r="Z233" i="1"/>
  <c r="V233" i="1"/>
  <c r="L233" i="1"/>
  <c r="AA233" i="1"/>
  <c r="AC233" i="1"/>
  <c r="AD233" i="1"/>
  <c r="P233" i="1"/>
  <c r="J233" i="1"/>
  <c r="F237" i="1"/>
  <c r="K236" i="1"/>
  <c r="G234" i="1"/>
  <c r="H235" i="1"/>
  <c r="I234" i="1"/>
  <c r="Q234" i="1"/>
  <c r="S234" i="1"/>
  <c r="W233" i="1"/>
  <c r="X233" i="1"/>
  <c r="Y233" i="1"/>
  <c r="T234" i="1"/>
  <c r="U234" i="1"/>
  <c r="Z234" i="1"/>
  <c r="V234" i="1"/>
  <c r="P234" i="1"/>
  <c r="J234" i="1"/>
  <c r="F238" i="1"/>
  <c r="K237" i="1"/>
  <c r="L234" i="1"/>
  <c r="AA234" i="1"/>
  <c r="AC234" i="1"/>
  <c r="AD234" i="1"/>
  <c r="G235" i="1"/>
  <c r="I235" i="1"/>
  <c r="H236" i="1"/>
  <c r="Q235" i="1"/>
  <c r="S235" i="1"/>
  <c r="W234" i="1"/>
  <c r="X234" i="1"/>
  <c r="Y234" i="1"/>
  <c r="T235" i="1"/>
  <c r="U235" i="1"/>
  <c r="Z235" i="1"/>
  <c r="V235" i="1"/>
  <c r="P235" i="1"/>
  <c r="J235" i="1"/>
  <c r="G236" i="1"/>
  <c r="H237" i="1"/>
  <c r="I236" i="1"/>
  <c r="Q236" i="1"/>
  <c r="S236" i="1"/>
  <c r="L235" i="1"/>
  <c r="AA235" i="1"/>
  <c r="AC235" i="1"/>
  <c r="AD235" i="1"/>
  <c r="K238" i="1"/>
  <c r="F239" i="1"/>
  <c r="W235" i="1"/>
  <c r="X235" i="1"/>
  <c r="Y235" i="1"/>
  <c r="T236" i="1"/>
  <c r="U236" i="1"/>
  <c r="Z236" i="1"/>
  <c r="V236" i="1"/>
  <c r="Q237" i="1"/>
  <c r="S237" i="1"/>
  <c r="G237" i="1"/>
  <c r="H238" i="1"/>
  <c r="I237" i="1"/>
  <c r="F240" i="1"/>
  <c r="K239" i="1"/>
  <c r="J236" i="1"/>
  <c r="P236" i="1"/>
  <c r="AC236" i="1"/>
  <c r="AD236" i="1"/>
  <c r="L236" i="1"/>
  <c r="AA236" i="1"/>
  <c r="W236" i="1"/>
  <c r="X236" i="1"/>
  <c r="Y236" i="1"/>
  <c r="T237" i="1"/>
  <c r="U237" i="1"/>
  <c r="Z237" i="1"/>
  <c r="V237" i="1"/>
  <c r="AC237" i="1"/>
  <c r="AD237" i="1"/>
  <c r="L237" i="1"/>
  <c r="AA237" i="1"/>
  <c r="H239" i="1"/>
  <c r="I238" i="1"/>
  <c r="Q238" i="1"/>
  <c r="S238" i="1"/>
  <c r="G238" i="1"/>
  <c r="K240" i="1"/>
  <c r="F241" i="1"/>
  <c r="P237" i="1"/>
  <c r="J237" i="1"/>
  <c r="W237" i="1"/>
  <c r="X237" i="1"/>
  <c r="Y237" i="1"/>
  <c r="T238" i="1"/>
  <c r="U238" i="1"/>
  <c r="Z238" i="1"/>
  <c r="V238" i="1"/>
  <c r="AC238" i="1"/>
  <c r="AD238" i="1"/>
  <c r="L238" i="1"/>
  <c r="AA238" i="1"/>
  <c r="F242" i="1"/>
  <c r="K241" i="1"/>
  <c r="P238" i="1"/>
  <c r="J238" i="1"/>
  <c r="Q239" i="1"/>
  <c r="S239" i="1"/>
  <c r="G239" i="1"/>
  <c r="H240" i="1"/>
  <c r="I239" i="1"/>
  <c r="W238" i="1"/>
  <c r="X238" i="1"/>
  <c r="Y238" i="1"/>
  <c r="T239" i="1"/>
  <c r="U239" i="1"/>
  <c r="Z239" i="1"/>
  <c r="V239" i="1"/>
  <c r="G240" i="1"/>
  <c r="H241" i="1"/>
  <c r="I240" i="1"/>
  <c r="Q240" i="1"/>
  <c r="S240" i="1"/>
  <c r="L239" i="1"/>
  <c r="AA239" i="1"/>
  <c r="AC239" i="1"/>
  <c r="AD239" i="1"/>
  <c r="P239" i="1"/>
  <c r="J239" i="1"/>
  <c r="F243" i="1"/>
  <c r="K242" i="1"/>
  <c r="W239" i="1"/>
  <c r="X239" i="1"/>
  <c r="Y239" i="1"/>
  <c r="T240" i="1"/>
  <c r="U240" i="1"/>
  <c r="Z240" i="1"/>
  <c r="V240" i="1"/>
  <c r="P240" i="1"/>
  <c r="J240" i="1"/>
  <c r="F244" i="1"/>
  <c r="K243" i="1"/>
  <c r="AC240" i="1"/>
  <c r="AD240" i="1"/>
  <c r="L240" i="1"/>
  <c r="AA240" i="1"/>
  <c r="H242" i="1"/>
  <c r="I241" i="1"/>
  <c r="Q241" i="1"/>
  <c r="S241" i="1"/>
  <c r="G241" i="1"/>
  <c r="W240" i="1"/>
  <c r="X240" i="1"/>
  <c r="Y240" i="1"/>
  <c r="T241" i="1"/>
  <c r="U241" i="1"/>
  <c r="Z241" i="1"/>
  <c r="V241" i="1"/>
  <c r="K244" i="1"/>
  <c r="F245" i="1"/>
  <c r="L241" i="1"/>
  <c r="AA241" i="1"/>
  <c r="AC241" i="1"/>
  <c r="AD241" i="1"/>
  <c r="P241" i="1"/>
  <c r="J241" i="1"/>
  <c r="Q242" i="1"/>
  <c r="S242" i="1"/>
  <c r="G242" i="1"/>
  <c r="H243" i="1"/>
  <c r="I242" i="1"/>
  <c r="W241" i="1"/>
  <c r="X241" i="1"/>
  <c r="Y241" i="1"/>
  <c r="T242" i="1"/>
  <c r="U242" i="1"/>
  <c r="Z242" i="1"/>
  <c r="V242" i="1"/>
  <c r="H244" i="1"/>
  <c r="I243" i="1"/>
  <c r="Q243" i="1"/>
  <c r="S243" i="1"/>
  <c r="G243" i="1"/>
  <c r="L242" i="1"/>
  <c r="AA242" i="1"/>
  <c r="AC242" i="1"/>
  <c r="AD242" i="1"/>
  <c r="J242" i="1"/>
  <c r="P242" i="1"/>
  <c r="F246" i="1"/>
  <c r="K245" i="1"/>
  <c r="W242" i="1"/>
  <c r="X242" i="1"/>
  <c r="Y242" i="1"/>
  <c r="T243" i="1"/>
  <c r="U243" i="1"/>
  <c r="Z243" i="1"/>
  <c r="V243" i="1"/>
  <c r="H245" i="1"/>
  <c r="I244" i="1"/>
  <c r="Q244" i="1"/>
  <c r="S244" i="1"/>
  <c r="G244" i="1"/>
  <c r="J243" i="1"/>
  <c r="P243" i="1"/>
  <c r="K246" i="1"/>
  <c r="F247" i="1"/>
  <c r="L243" i="1"/>
  <c r="AA243" i="1"/>
  <c r="AC243" i="1"/>
  <c r="AD243" i="1"/>
  <c r="W243" i="1"/>
  <c r="X243" i="1"/>
  <c r="Y243" i="1"/>
  <c r="T244" i="1"/>
  <c r="U244" i="1"/>
  <c r="Z244" i="1"/>
  <c r="V244" i="1"/>
  <c r="I245" i="1"/>
  <c r="H246" i="1"/>
  <c r="Q245" i="1"/>
  <c r="S245" i="1"/>
  <c r="G245" i="1"/>
  <c r="K247" i="1"/>
  <c r="F248" i="1"/>
  <c r="P244" i="1"/>
  <c r="J244" i="1"/>
  <c r="L244" i="1"/>
  <c r="AA244" i="1"/>
  <c r="AC244" i="1"/>
  <c r="AD244" i="1"/>
  <c r="W244" i="1"/>
  <c r="X244" i="1"/>
  <c r="T245" i="1"/>
  <c r="U245" i="1"/>
  <c r="Z245" i="1"/>
  <c r="V245" i="1"/>
  <c r="P245" i="1"/>
  <c r="J245" i="1"/>
  <c r="L245" i="1"/>
  <c r="AA245" i="1"/>
  <c r="AC245" i="1"/>
  <c r="AD245" i="1"/>
  <c r="F249" i="1"/>
  <c r="K248" i="1"/>
  <c r="Y244" i="1"/>
  <c r="G246" i="1"/>
  <c r="H247" i="1"/>
  <c r="I246" i="1"/>
  <c r="Q246" i="1"/>
  <c r="S246" i="1"/>
  <c r="W245" i="1"/>
  <c r="X245" i="1"/>
  <c r="Y245" i="1"/>
  <c r="T246" i="1"/>
  <c r="U246" i="1"/>
  <c r="Z246" i="1"/>
  <c r="V246" i="1"/>
  <c r="K249" i="1"/>
  <c r="F250" i="1"/>
  <c r="AC246" i="1"/>
  <c r="AD246" i="1"/>
  <c r="L246" i="1"/>
  <c r="AA246" i="1"/>
  <c r="Q247" i="1"/>
  <c r="S247" i="1"/>
  <c r="G247" i="1"/>
  <c r="I247" i="1"/>
  <c r="H248" i="1"/>
  <c r="P246" i="1"/>
  <c r="J246" i="1"/>
  <c r="W246" i="1"/>
  <c r="X246" i="1"/>
  <c r="Y246" i="1"/>
  <c r="T247" i="1"/>
  <c r="U247" i="1"/>
  <c r="Z247" i="1"/>
  <c r="V247" i="1"/>
  <c r="P247" i="1"/>
  <c r="J247" i="1"/>
  <c r="AC247" i="1"/>
  <c r="AD247" i="1"/>
  <c r="L247" i="1"/>
  <c r="AA247" i="1"/>
  <c r="I248" i="1"/>
  <c r="G248" i="1"/>
  <c r="Q248" i="1"/>
  <c r="S248" i="1"/>
  <c r="H249" i="1"/>
  <c r="F251" i="1"/>
  <c r="K250" i="1"/>
  <c r="W247" i="1"/>
  <c r="X247" i="1"/>
  <c r="Y247" i="1"/>
  <c r="T248" i="1"/>
  <c r="U248" i="1"/>
  <c r="Z248" i="1"/>
  <c r="V248" i="1"/>
  <c r="P248" i="1"/>
  <c r="J248" i="1"/>
  <c r="K251" i="1"/>
  <c r="F252" i="1"/>
  <c r="H250" i="1"/>
  <c r="I249" i="1"/>
  <c r="Q249" i="1"/>
  <c r="S249" i="1"/>
  <c r="G249" i="1"/>
  <c r="AC248" i="1"/>
  <c r="AD248" i="1"/>
  <c r="L248" i="1"/>
  <c r="AA248" i="1"/>
  <c r="W248" i="1"/>
  <c r="X248" i="1"/>
  <c r="Y248" i="1"/>
  <c r="T249" i="1"/>
  <c r="U249" i="1"/>
  <c r="Z249" i="1"/>
  <c r="V249" i="1"/>
  <c r="K252" i="1"/>
  <c r="F253" i="1"/>
  <c r="H251" i="1"/>
  <c r="I250" i="1"/>
  <c r="G250" i="1"/>
  <c r="Q250" i="1"/>
  <c r="S250" i="1"/>
  <c r="L249" i="1"/>
  <c r="AA249" i="1"/>
  <c r="AC249" i="1"/>
  <c r="AD249" i="1"/>
  <c r="P249" i="1"/>
  <c r="J249" i="1"/>
  <c r="W249" i="1"/>
  <c r="X249" i="1"/>
  <c r="Y249" i="1"/>
  <c r="T250" i="1"/>
  <c r="U250" i="1"/>
  <c r="Z250" i="1"/>
  <c r="V250" i="1"/>
  <c r="Q251" i="1"/>
  <c r="S251" i="1"/>
  <c r="I251" i="1"/>
  <c r="G251" i="1"/>
  <c r="H252" i="1"/>
  <c r="F254" i="1"/>
  <c r="K253" i="1"/>
  <c r="J250" i="1"/>
  <c r="P250" i="1"/>
  <c r="AC250" i="1"/>
  <c r="AD250" i="1"/>
  <c r="L250" i="1"/>
  <c r="AA250" i="1"/>
  <c r="W250" i="1"/>
  <c r="X250" i="1"/>
  <c r="Y250" i="1"/>
  <c r="T251" i="1"/>
  <c r="U251" i="1"/>
  <c r="Z251" i="1"/>
  <c r="V251" i="1"/>
  <c r="Q252" i="1"/>
  <c r="S252" i="1"/>
  <c r="G252" i="1"/>
  <c r="H253" i="1"/>
  <c r="I252" i="1"/>
  <c r="P251" i="1"/>
  <c r="J251" i="1"/>
  <c r="K254" i="1"/>
  <c r="F255" i="1"/>
  <c r="AC251" i="1"/>
  <c r="AD251" i="1"/>
  <c r="L251" i="1"/>
  <c r="AA251" i="1"/>
  <c r="W251" i="1"/>
  <c r="X251" i="1"/>
  <c r="Y251" i="1"/>
  <c r="T252" i="1"/>
  <c r="U252" i="1"/>
  <c r="Z252" i="1"/>
  <c r="V252" i="1"/>
  <c r="L252" i="1"/>
  <c r="AA252" i="1"/>
  <c r="AC252" i="1"/>
  <c r="AD252" i="1"/>
  <c r="Q253" i="1"/>
  <c r="S253" i="1"/>
  <c r="I253" i="1"/>
  <c r="G253" i="1"/>
  <c r="H254" i="1"/>
  <c r="F256" i="1"/>
  <c r="K255" i="1"/>
  <c r="P252" i="1"/>
  <c r="J252" i="1"/>
  <c r="W252" i="1"/>
  <c r="X252" i="1"/>
  <c r="Y252" i="1"/>
  <c r="T253" i="1"/>
  <c r="U253" i="1"/>
  <c r="Z253" i="1"/>
  <c r="V253" i="1"/>
  <c r="J253" i="1"/>
  <c r="P253" i="1"/>
  <c r="L253" i="1"/>
  <c r="AA253" i="1"/>
  <c r="AC253" i="1"/>
  <c r="AD253" i="1"/>
  <c r="G254" i="1"/>
  <c r="I254" i="1"/>
  <c r="H255" i="1"/>
  <c r="Q254" i="1"/>
  <c r="S254" i="1"/>
  <c r="F257" i="1"/>
  <c r="K256" i="1"/>
  <c r="W253" i="1"/>
  <c r="X253" i="1"/>
  <c r="Y253" i="1"/>
  <c r="T254" i="1"/>
  <c r="U254" i="1"/>
  <c r="Z254" i="1"/>
  <c r="V254" i="1"/>
  <c r="J254" i="1"/>
  <c r="P254" i="1"/>
  <c r="Q255" i="1"/>
  <c r="S255" i="1"/>
  <c r="H256" i="1"/>
  <c r="I255" i="1"/>
  <c r="G255" i="1"/>
  <c r="F258" i="1"/>
  <c r="K257" i="1"/>
  <c r="AC254" i="1"/>
  <c r="AD254" i="1"/>
  <c r="L254" i="1"/>
  <c r="AA254" i="1"/>
  <c r="W254" i="1"/>
  <c r="X254" i="1"/>
  <c r="Y254" i="1"/>
  <c r="T255" i="1"/>
  <c r="U255" i="1"/>
  <c r="Z255" i="1"/>
  <c r="V255" i="1"/>
  <c r="L255" i="1"/>
  <c r="AC255" i="1"/>
  <c r="AD255" i="1"/>
  <c r="H257" i="1"/>
  <c r="I256" i="1"/>
  <c r="Q256" i="1"/>
  <c r="S256" i="1"/>
  <c r="G256" i="1"/>
  <c r="K258" i="1"/>
  <c r="F259" i="1"/>
  <c r="J255" i="1"/>
  <c r="P255" i="1"/>
  <c r="W255" i="1"/>
  <c r="X255" i="1"/>
  <c r="Y255" i="1"/>
  <c r="T256" i="1"/>
  <c r="U256" i="1"/>
  <c r="Z256" i="1"/>
  <c r="V256" i="1"/>
  <c r="AC256" i="1"/>
  <c r="AD256" i="1"/>
  <c r="L256" i="1"/>
  <c r="AA256" i="1"/>
  <c r="H258" i="1"/>
  <c r="Q257" i="1"/>
  <c r="S257" i="1"/>
  <c r="G257" i="1"/>
  <c r="I257" i="1"/>
  <c r="F260" i="1"/>
  <c r="K259" i="1"/>
  <c r="J256" i="1"/>
  <c r="P256" i="1"/>
  <c r="W256" i="1"/>
  <c r="X256" i="1"/>
  <c r="T257" i="1"/>
  <c r="U257" i="1"/>
  <c r="Z257" i="1"/>
  <c r="V257" i="1"/>
  <c r="F261" i="1"/>
  <c r="K260" i="1"/>
  <c r="Q258" i="1"/>
  <c r="S258" i="1"/>
  <c r="G258" i="1"/>
  <c r="I258" i="1"/>
  <c r="H259" i="1"/>
  <c r="Y256" i="1"/>
  <c r="AC257" i="1"/>
  <c r="AD257" i="1"/>
  <c r="L257" i="1"/>
  <c r="AA257" i="1"/>
  <c r="P257" i="1"/>
  <c r="J257" i="1"/>
  <c r="W257" i="1"/>
  <c r="X257" i="1"/>
  <c r="T258" i="1"/>
  <c r="U258" i="1"/>
  <c r="Z258" i="1"/>
  <c r="V258" i="1"/>
  <c r="Q259" i="1"/>
  <c r="S259" i="1"/>
  <c r="G259" i="1"/>
  <c r="H260" i="1"/>
  <c r="I259" i="1"/>
  <c r="Y257" i="1"/>
  <c r="AC258" i="1"/>
  <c r="AD258" i="1"/>
  <c r="L258" i="1"/>
  <c r="AA258" i="1"/>
  <c r="J258" i="1"/>
  <c r="P258" i="1"/>
  <c r="F262" i="1"/>
  <c r="K261" i="1"/>
  <c r="W258" i="1"/>
  <c r="X258" i="1"/>
  <c r="Y258" i="1"/>
  <c r="T259" i="1"/>
  <c r="U259" i="1"/>
  <c r="Z259" i="1"/>
  <c r="V259" i="1"/>
  <c r="AC259" i="1"/>
  <c r="AD259" i="1"/>
  <c r="L259" i="1"/>
  <c r="AA259" i="1"/>
  <c r="Q260" i="1"/>
  <c r="S260" i="1"/>
  <c r="G260" i="1"/>
  <c r="H261" i="1"/>
  <c r="I260" i="1"/>
  <c r="K262" i="1"/>
  <c r="F263" i="1"/>
  <c r="P259" i="1"/>
  <c r="J259" i="1"/>
  <c r="W259" i="1"/>
  <c r="X259" i="1"/>
  <c r="Y259" i="1"/>
  <c r="T260" i="1"/>
  <c r="U260" i="1"/>
  <c r="Z260" i="1"/>
  <c r="V260" i="1"/>
  <c r="K263" i="1"/>
  <c r="F264" i="1"/>
  <c r="J260" i="1"/>
  <c r="P260" i="1"/>
  <c r="H262" i="1"/>
  <c r="Q261" i="1"/>
  <c r="S261" i="1"/>
  <c r="I261" i="1"/>
  <c r="G261" i="1"/>
  <c r="L260" i="1"/>
  <c r="AA260" i="1"/>
  <c r="AC260" i="1"/>
  <c r="AD260" i="1"/>
  <c r="W260" i="1"/>
  <c r="X260" i="1"/>
  <c r="Y260" i="1"/>
  <c r="T261" i="1"/>
  <c r="U261" i="1"/>
  <c r="Z261" i="1"/>
  <c r="V261" i="1"/>
  <c r="G262" i="1"/>
  <c r="H263" i="1"/>
  <c r="I262" i="1"/>
  <c r="Q262" i="1"/>
  <c r="S262" i="1"/>
  <c r="P261" i="1"/>
  <c r="J261" i="1"/>
  <c r="AC261" i="1"/>
  <c r="AD261" i="1"/>
  <c r="L261" i="1"/>
  <c r="AA261" i="1"/>
  <c r="F265" i="1"/>
  <c r="K264" i="1"/>
  <c r="W261" i="1"/>
  <c r="X261" i="1"/>
  <c r="Y261" i="1"/>
  <c r="T262" i="1"/>
  <c r="U262" i="1"/>
  <c r="Z262" i="1"/>
  <c r="V262" i="1"/>
  <c r="P262" i="1"/>
  <c r="J262" i="1"/>
  <c r="AC262" i="1"/>
  <c r="AD262" i="1"/>
  <c r="L262" i="1"/>
  <c r="AA262" i="1"/>
  <c r="F266" i="1"/>
  <c r="K265" i="1"/>
  <c r="I263" i="1"/>
  <c r="Q263" i="1"/>
  <c r="S263" i="1"/>
  <c r="G263" i="1"/>
  <c r="H264" i="1"/>
  <c r="W262" i="1"/>
  <c r="X262" i="1"/>
  <c r="Y262" i="1"/>
  <c r="T263" i="1"/>
  <c r="U263" i="1"/>
  <c r="Z263" i="1"/>
  <c r="V263" i="1"/>
  <c r="J263" i="1"/>
  <c r="P263" i="1"/>
  <c r="K266" i="1"/>
  <c r="F267" i="1"/>
  <c r="H265" i="1"/>
  <c r="G264" i="1"/>
  <c r="I264" i="1"/>
  <c r="Q264" i="1"/>
  <c r="S264" i="1"/>
  <c r="L263" i="1"/>
  <c r="AA263" i="1"/>
  <c r="AC263" i="1"/>
  <c r="AD263" i="1"/>
  <c r="W263" i="1"/>
  <c r="X263" i="1"/>
  <c r="Y263" i="1"/>
  <c r="T264" i="1"/>
  <c r="U264" i="1"/>
  <c r="Z264" i="1"/>
  <c r="V264" i="1"/>
  <c r="J264" i="1"/>
  <c r="P264" i="1"/>
  <c r="G265" i="1"/>
  <c r="H266" i="1"/>
  <c r="Q265" i="1"/>
  <c r="S265" i="1"/>
  <c r="I265" i="1"/>
  <c r="L264" i="1"/>
  <c r="AA264" i="1"/>
  <c r="AC264" i="1"/>
  <c r="AD264" i="1"/>
  <c r="K267" i="1"/>
  <c r="F268" i="1"/>
  <c r="W264" i="1"/>
  <c r="X264" i="1"/>
  <c r="T265" i="1"/>
  <c r="U265" i="1"/>
  <c r="Z265" i="1"/>
  <c r="V265" i="1"/>
  <c r="F269" i="1"/>
  <c r="K268" i="1"/>
  <c r="Q266" i="1"/>
  <c r="S266" i="1"/>
  <c r="G266" i="1"/>
  <c r="I266" i="1"/>
  <c r="H267" i="1"/>
  <c r="Y264" i="1"/>
  <c r="P265" i="1"/>
  <c r="J265" i="1"/>
  <c r="AC265" i="1"/>
  <c r="AD265" i="1"/>
  <c r="L265" i="1"/>
  <c r="AA265" i="1"/>
  <c r="W265" i="1"/>
  <c r="X265" i="1"/>
  <c r="Y265" i="1"/>
  <c r="T266" i="1"/>
  <c r="U266" i="1"/>
  <c r="Z266" i="1"/>
  <c r="V266" i="1"/>
  <c r="K269" i="1"/>
  <c r="F270" i="1"/>
  <c r="H268" i="1"/>
  <c r="I267" i="1"/>
  <c r="G267" i="1"/>
  <c r="Q267" i="1"/>
  <c r="S267" i="1"/>
  <c r="L266" i="1"/>
  <c r="AA266" i="1"/>
  <c r="AC266" i="1"/>
  <c r="AD266" i="1"/>
  <c r="P266" i="1"/>
  <c r="J266" i="1"/>
  <c r="W266" i="1"/>
  <c r="X266" i="1"/>
  <c r="T267" i="1"/>
  <c r="U267" i="1"/>
  <c r="Z267" i="1"/>
  <c r="V267" i="1"/>
  <c r="Q268" i="1"/>
  <c r="S268" i="1"/>
  <c r="H269" i="1"/>
  <c r="G268" i="1"/>
  <c r="I268" i="1"/>
  <c r="F271" i="1"/>
  <c r="K270" i="1"/>
  <c r="Y266" i="1"/>
  <c r="J267" i="1"/>
  <c r="P267" i="1"/>
  <c r="L267" i="1"/>
  <c r="AA267" i="1"/>
  <c r="AC267" i="1"/>
  <c r="AD267" i="1"/>
  <c r="W267" i="1"/>
  <c r="X267" i="1"/>
  <c r="Y267" i="1"/>
  <c r="T268" i="1"/>
  <c r="U268" i="1"/>
  <c r="Z268" i="1"/>
  <c r="V268" i="1"/>
  <c r="AC268" i="1"/>
  <c r="AD268" i="1"/>
  <c r="L268" i="1"/>
  <c r="AA268" i="1"/>
  <c r="J268" i="1"/>
  <c r="P268" i="1"/>
  <c r="H270" i="1"/>
  <c r="Q269" i="1"/>
  <c r="S269" i="1"/>
  <c r="I269" i="1"/>
  <c r="G269" i="1"/>
  <c r="K271" i="1"/>
  <c r="F272" i="1"/>
  <c r="W268" i="1"/>
  <c r="X268" i="1"/>
  <c r="Y268" i="1"/>
  <c r="T269" i="1"/>
  <c r="U269" i="1"/>
  <c r="Z269" i="1"/>
  <c r="V269" i="1"/>
  <c r="F273" i="1"/>
  <c r="K272" i="1"/>
  <c r="P269" i="1"/>
  <c r="J269" i="1"/>
  <c r="L269" i="1"/>
  <c r="AA269" i="1"/>
  <c r="AC269" i="1"/>
  <c r="AD269" i="1"/>
  <c r="G270" i="1"/>
  <c r="I270" i="1"/>
  <c r="H271" i="1"/>
  <c r="Q270" i="1"/>
  <c r="S270" i="1"/>
  <c r="T270" i="1"/>
  <c r="U270" i="1"/>
  <c r="Z270" i="1"/>
  <c r="V270" i="1"/>
  <c r="Q271" i="1"/>
  <c r="S271" i="1"/>
  <c r="G271" i="1"/>
  <c r="H272" i="1"/>
  <c r="I271" i="1"/>
  <c r="W269" i="1"/>
  <c r="X269" i="1"/>
  <c r="Y269" i="1"/>
  <c r="AC270" i="1"/>
  <c r="AD270" i="1"/>
  <c r="L270" i="1"/>
  <c r="AA270" i="1"/>
  <c r="J270" i="1"/>
  <c r="P270" i="1"/>
  <c r="F274" i="1"/>
  <c r="K273" i="1"/>
  <c r="W270" i="1"/>
  <c r="X270" i="1"/>
  <c r="Y270" i="1"/>
  <c r="T271" i="1"/>
  <c r="U271" i="1"/>
  <c r="Z271" i="1"/>
  <c r="V271" i="1"/>
  <c r="L271" i="1"/>
  <c r="AA271" i="1"/>
  <c r="AC271" i="1"/>
  <c r="AD271" i="1"/>
  <c r="F275" i="1"/>
  <c r="K274" i="1"/>
  <c r="I272" i="1"/>
  <c r="Q272" i="1"/>
  <c r="S272" i="1"/>
  <c r="G272" i="1"/>
  <c r="H273" i="1"/>
  <c r="J271" i="1"/>
  <c r="P271" i="1"/>
  <c r="W271" i="1"/>
  <c r="X271" i="1"/>
  <c r="Y271" i="1"/>
  <c r="T272" i="1"/>
  <c r="U272" i="1"/>
  <c r="Z272" i="1"/>
  <c r="V272" i="1"/>
  <c r="J272" i="1"/>
  <c r="P272" i="1"/>
  <c r="AC272" i="1"/>
  <c r="AD272" i="1"/>
  <c r="L272" i="1"/>
  <c r="AA272" i="1"/>
  <c r="K275" i="1"/>
  <c r="F276" i="1"/>
  <c r="I273" i="1"/>
  <c r="Q273" i="1"/>
  <c r="S273" i="1"/>
  <c r="H274" i="1"/>
  <c r="G273" i="1"/>
  <c r="W272" i="1"/>
  <c r="X272" i="1"/>
  <c r="Y272" i="1"/>
  <c r="T273" i="1"/>
  <c r="U273" i="1"/>
  <c r="Z273" i="1"/>
  <c r="V273" i="1"/>
  <c r="Q274" i="1"/>
  <c r="S274" i="1"/>
  <c r="G274" i="1"/>
  <c r="H275" i="1"/>
  <c r="I274" i="1"/>
  <c r="K276" i="1"/>
  <c r="F277" i="1"/>
  <c r="P273" i="1"/>
  <c r="J273" i="1"/>
  <c r="L273" i="1"/>
  <c r="AA273" i="1"/>
  <c r="AC273" i="1"/>
  <c r="AD273" i="1"/>
  <c r="W273" i="1"/>
  <c r="X273" i="1"/>
  <c r="Y273" i="1"/>
  <c r="T274" i="1"/>
  <c r="U274" i="1"/>
  <c r="Z274" i="1"/>
  <c r="V274" i="1"/>
  <c r="L274" i="1"/>
  <c r="AA274" i="1"/>
  <c r="AC274" i="1"/>
  <c r="AD274" i="1"/>
  <c r="H276" i="1"/>
  <c r="I275" i="1"/>
  <c r="Q275" i="1"/>
  <c r="S275" i="1"/>
  <c r="G275" i="1"/>
  <c r="F278" i="1"/>
  <c r="K277" i="1"/>
  <c r="J274" i="1"/>
  <c r="P274" i="1"/>
  <c r="W274" i="1"/>
  <c r="X274" i="1"/>
  <c r="Y274" i="1"/>
  <c r="T275" i="1"/>
  <c r="U275" i="1"/>
  <c r="Z275" i="1"/>
  <c r="V275" i="1"/>
  <c r="AC275" i="1"/>
  <c r="AD275" i="1"/>
  <c r="L275" i="1"/>
  <c r="AA275" i="1"/>
  <c r="I276" i="1"/>
  <c r="Q276" i="1"/>
  <c r="S276" i="1"/>
  <c r="G276" i="1"/>
  <c r="H277" i="1"/>
  <c r="F279" i="1"/>
  <c r="K278" i="1"/>
  <c r="P275" i="1"/>
  <c r="J275" i="1"/>
  <c r="T276" i="1"/>
  <c r="U276" i="1"/>
  <c r="Z276" i="1"/>
  <c r="V276" i="1"/>
  <c r="F280" i="1"/>
  <c r="K279" i="1"/>
  <c r="Q277" i="1"/>
  <c r="S277" i="1"/>
  <c r="I277" i="1"/>
  <c r="G277" i="1"/>
  <c r="H278" i="1"/>
  <c r="AC276" i="1"/>
  <c r="AD276" i="1"/>
  <c r="L276" i="1"/>
  <c r="AA276" i="1"/>
  <c r="W275" i="1"/>
  <c r="X275" i="1"/>
  <c r="Y275" i="1"/>
  <c r="J276" i="1"/>
  <c r="P276" i="1"/>
  <c r="W276" i="1"/>
  <c r="X276" i="1"/>
  <c r="Y276" i="1"/>
  <c r="T277" i="1"/>
  <c r="U277" i="1"/>
  <c r="Z277" i="1"/>
  <c r="V277" i="1"/>
  <c r="F281" i="1"/>
  <c r="K280" i="1"/>
  <c r="Q278" i="1"/>
  <c r="S278" i="1"/>
  <c r="G278" i="1"/>
  <c r="I278" i="1"/>
  <c r="H279" i="1"/>
  <c r="P277" i="1"/>
  <c r="J277" i="1"/>
  <c r="L277" i="1"/>
  <c r="AA277" i="1"/>
  <c r="AC277" i="1"/>
  <c r="AD277" i="1"/>
  <c r="W277" i="1"/>
  <c r="X277" i="1"/>
  <c r="Y277" i="1"/>
  <c r="T278" i="1"/>
  <c r="U278" i="1"/>
  <c r="Z278" i="1"/>
  <c r="V278" i="1"/>
  <c r="G279" i="1"/>
  <c r="Q279" i="1"/>
  <c r="S279" i="1"/>
  <c r="H280" i="1"/>
  <c r="I279" i="1"/>
  <c r="AC278" i="1"/>
  <c r="AD278" i="1"/>
  <c r="L278" i="1"/>
  <c r="AA278" i="1"/>
  <c r="J278" i="1"/>
  <c r="P278" i="1"/>
  <c r="F282" i="1"/>
  <c r="K281" i="1"/>
  <c r="W278" i="1"/>
  <c r="X278" i="1"/>
  <c r="T279" i="1"/>
  <c r="U279" i="1"/>
  <c r="Z279" i="1"/>
  <c r="V279" i="1"/>
  <c r="K282" i="1"/>
  <c r="F283" i="1"/>
  <c r="AC279" i="1"/>
  <c r="AD279" i="1"/>
  <c r="L279" i="1"/>
  <c r="AA279" i="1"/>
  <c r="H281" i="1"/>
  <c r="G280" i="1"/>
  <c r="I280" i="1"/>
  <c r="Q280" i="1"/>
  <c r="S280" i="1"/>
  <c r="Y278" i="1"/>
  <c r="P279" i="1"/>
  <c r="J279" i="1"/>
  <c r="W279" i="1"/>
  <c r="X279" i="1"/>
  <c r="Y279" i="1"/>
  <c r="T280" i="1"/>
  <c r="U280" i="1"/>
  <c r="Z280" i="1"/>
  <c r="V280" i="1"/>
  <c r="F284" i="1"/>
  <c r="K283" i="1"/>
  <c r="AC280" i="1"/>
  <c r="AD280" i="1"/>
  <c r="L280" i="1"/>
  <c r="AA280" i="1"/>
  <c r="P280" i="1"/>
  <c r="J280" i="1"/>
  <c r="G281" i="1"/>
  <c r="H282" i="1"/>
  <c r="Q281" i="1"/>
  <c r="S281" i="1"/>
  <c r="I281" i="1"/>
  <c r="W280" i="1"/>
  <c r="X280" i="1"/>
  <c r="T281" i="1"/>
  <c r="U281" i="1"/>
  <c r="Z281" i="1"/>
  <c r="V281" i="1"/>
  <c r="L281" i="1"/>
  <c r="AA281" i="1"/>
  <c r="AC281" i="1"/>
  <c r="AD281" i="1"/>
  <c r="F285" i="1"/>
  <c r="K284" i="1"/>
  <c r="Y280" i="1"/>
  <c r="G282" i="1"/>
  <c r="H283" i="1"/>
  <c r="I282" i="1"/>
  <c r="Q282" i="1"/>
  <c r="S282" i="1"/>
  <c r="P281" i="1"/>
  <c r="J281" i="1"/>
  <c r="W281" i="1"/>
  <c r="X281" i="1"/>
  <c r="T282" i="1"/>
  <c r="U282" i="1"/>
  <c r="Z282" i="1"/>
  <c r="V282" i="1"/>
  <c r="G283" i="1"/>
  <c r="Q283" i="1"/>
  <c r="S283" i="1"/>
  <c r="H284" i="1"/>
  <c r="I283" i="1"/>
  <c r="P282" i="1"/>
  <c r="J282" i="1"/>
  <c r="Y281" i="1"/>
  <c r="F286" i="1"/>
  <c r="K285" i="1"/>
  <c r="AC282" i="1"/>
  <c r="AD282" i="1"/>
  <c r="L282" i="1"/>
  <c r="AA282" i="1"/>
  <c r="W282" i="1"/>
  <c r="X282" i="1"/>
  <c r="Y282" i="1"/>
  <c r="T283" i="1"/>
  <c r="U283" i="1"/>
  <c r="Z283" i="1"/>
  <c r="V283" i="1"/>
  <c r="H285" i="1"/>
  <c r="G284" i="1"/>
  <c r="I284" i="1"/>
  <c r="Q284" i="1"/>
  <c r="S284" i="1"/>
  <c r="K286" i="1"/>
  <c r="F287" i="1"/>
  <c r="L283" i="1"/>
  <c r="AA283" i="1"/>
  <c r="AC283" i="1"/>
  <c r="AD283" i="1"/>
  <c r="P283" i="1"/>
  <c r="J283" i="1"/>
  <c r="W283" i="1"/>
  <c r="X283" i="1"/>
  <c r="Y283" i="1"/>
  <c r="T284" i="1"/>
  <c r="U284" i="1"/>
  <c r="Z284" i="1"/>
  <c r="V284" i="1"/>
  <c r="G285" i="1"/>
  <c r="H286" i="1"/>
  <c r="Q285" i="1"/>
  <c r="S285" i="1"/>
  <c r="I285" i="1"/>
  <c r="L284" i="1"/>
  <c r="AA284" i="1"/>
  <c r="AC284" i="1"/>
  <c r="AD284" i="1"/>
  <c r="F288" i="1"/>
  <c r="K287" i="1"/>
  <c r="J284" i="1"/>
  <c r="P284" i="1"/>
  <c r="W284" i="1"/>
  <c r="X284" i="1"/>
  <c r="Y284" i="1"/>
  <c r="T285" i="1"/>
  <c r="U285" i="1"/>
  <c r="Z285" i="1"/>
  <c r="V285" i="1"/>
  <c r="F289" i="1"/>
  <c r="K288" i="1"/>
  <c r="L285" i="1"/>
  <c r="AA285" i="1"/>
  <c r="AC285" i="1"/>
  <c r="AD285" i="1"/>
  <c r="P285" i="1"/>
  <c r="J285" i="1"/>
  <c r="H287" i="1"/>
  <c r="I286" i="1"/>
  <c r="Q286" i="1"/>
  <c r="S286" i="1"/>
  <c r="G286" i="1"/>
  <c r="W285" i="1"/>
  <c r="X285" i="1"/>
  <c r="Y285" i="1"/>
  <c r="T286" i="1"/>
  <c r="U286" i="1"/>
  <c r="Z286" i="1"/>
  <c r="V286" i="1"/>
  <c r="AC286" i="1"/>
  <c r="AD286" i="1"/>
  <c r="L286" i="1"/>
  <c r="AA286" i="1"/>
  <c r="Q287" i="1"/>
  <c r="S287" i="1"/>
  <c r="H288" i="1"/>
  <c r="I287" i="1"/>
  <c r="G287" i="1"/>
  <c r="J286" i="1"/>
  <c r="P286" i="1"/>
  <c r="F290" i="1"/>
  <c r="K289" i="1"/>
  <c r="W286" i="1"/>
  <c r="X286" i="1"/>
  <c r="Y286" i="1"/>
  <c r="T287" i="1"/>
  <c r="U287" i="1"/>
  <c r="Z287" i="1"/>
  <c r="V287" i="1"/>
  <c r="H289" i="1"/>
  <c r="G288" i="1"/>
  <c r="I288" i="1"/>
  <c r="Q288" i="1"/>
  <c r="S288" i="1"/>
  <c r="F291" i="1"/>
  <c r="K290" i="1"/>
  <c r="J287" i="1"/>
  <c r="P287" i="1"/>
  <c r="L287" i="1"/>
  <c r="AA287" i="1"/>
  <c r="AC287" i="1"/>
  <c r="AD287" i="1"/>
  <c r="W287" i="1"/>
  <c r="X287" i="1"/>
  <c r="Y287" i="1"/>
  <c r="T288" i="1"/>
  <c r="U288" i="1"/>
  <c r="Z288" i="1"/>
  <c r="V288" i="1"/>
  <c r="G289" i="1"/>
  <c r="H290" i="1"/>
  <c r="Q289" i="1"/>
  <c r="S289" i="1"/>
  <c r="I289" i="1"/>
  <c r="L288" i="1"/>
  <c r="AA288" i="1"/>
  <c r="AC288" i="1"/>
  <c r="AD288" i="1"/>
  <c r="F292" i="1"/>
  <c r="K291" i="1"/>
  <c r="J288" i="1"/>
  <c r="P288" i="1"/>
  <c r="W288" i="1"/>
  <c r="X288" i="1"/>
  <c r="Y288" i="1"/>
  <c r="T289" i="1"/>
  <c r="U289" i="1"/>
  <c r="Z289" i="1"/>
  <c r="V289" i="1"/>
  <c r="F293" i="1"/>
  <c r="K292" i="1"/>
  <c r="J289" i="1"/>
  <c r="P289" i="1"/>
  <c r="AC289" i="1"/>
  <c r="AD289" i="1"/>
  <c r="L289" i="1"/>
  <c r="AA289" i="1"/>
  <c r="Q290" i="1"/>
  <c r="S290" i="1"/>
  <c r="G290" i="1"/>
  <c r="H291" i="1"/>
  <c r="I290" i="1"/>
  <c r="W289" i="1"/>
  <c r="X289" i="1"/>
  <c r="Y289" i="1"/>
  <c r="T290" i="1"/>
  <c r="U290" i="1"/>
  <c r="Z290" i="1"/>
  <c r="V290" i="1"/>
  <c r="F294" i="1"/>
  <c r="K293" i="1"/>
  <c r="H292" i="1"/>
  <c r="I291" i="1"/>
  <c r="Q291" i="1"/>
  <c r="S291" i="1"/>
  <c r="G291" i="1"/>
  <c r="P290" i="1"/>
  <c r="J290" i="1"/>
  <c r="L290" i="1"/>
  <c r="AA290" i="1"/>
  <c r="AC290" i="1"/>
  <c r="AD290" i="1"/>
  <c r="W290" i="1"/>
  <c r="X290" i="1"/>
  <c r="Y290" i="1"/>
  <c r="T291" i="1"/>
  <c r="U291" i="1"/>
  <c r="Z291" i="1"/>
  <c r="V291" i="1"/>
  <c r="H293" i="1"/>
  <c r="G292" i="1"/>
  <c r="I292" i="1"/>
  <c r="Q292" i="1"/>
  <c r="S292" i="1"/>
  <c r="K294" i="1"/>
  <c r="F295" i="1"/>
  <c r="P291" i="1"/>
  <c r="J291" i="1"/>
  <c r="L291" i="1"/>
  <c r="AA291" i="1"/>
  <c r="AC291" i="1"/>
  <c r="AD291" i="1"/>
  <c r="W291" i="1"/>
  <c r="X291" i="1"/>
  <c r="Y291" i="1"/>
  <c r="T292" i="1"/>
  <c r="U292" i="1"/>
  <c r="Z292" i="1"/>
  <c r="V292" i="1"/>
  <c r="H294" i="1"/>
  <c r="I293" i="1"/>
  <c r="G293" i="1"/>
  <c r="Q293" i="1"/>
  <c r="S293" i="1"/>
  <c r="L292" i="1"/>
  <c r="AA292" i="1"/>
  <c r="AC292" i="1"/>
  <c r="AD292" i="1"/>
  <c r="F296" i="1"/>
  <c r="K295" i="1"/>
  <c r="P292" i="1"/>
  <c r="J292" i="1"/>
  <c r="W292" i="1"/>
  <c r="X292" i="1"/>
  <c r="Y292" i="1"/>
  <c r="T293" i="1"/>
  <c r="U293" i="1"/>
  <c r="Z293" i="1"/>
  <c r="V293" i="1"/>
  <c r="H295" i="1"/>
  <c r="Q294" i="1"/>
  <c r="S294" i="1"/>
  <c r="V294" i="1"/>
  <c r="G294" i="1"/>
  <c r="I294" i="1"/>
  <c r="K296" i="1"/>
  <c r="F297" i="1"/>
  <c r="P293" i="1"/>
  <c r="J293" i="1"/>
  <c r="L293" i="1"/>
  <c r="AA293" i="1"/>
  <c r="AC293" i="1"/>
  <c r="AD293" i="1"/>
  <c r="W293" i="1"/>
  <c r="X293" i="1"/>
  <c r="Y293" i="1"/>
  <c r="K297" i="1"/>
  <c r="F298" i="1"/>
  <c r="J294" i="1"/>
  <c r="P294" i="1"/>
  <c r="T294" i="1"/>
  <c r="U294" i="1"/>
  <c r="Z294" i="1"/>
  <c r="Q295" i="1"/>
  <c r="S295" i="1"/>
  <c r="G295" i="1"/>
  <c r="H296" i="1"/>
  <c r="I295" i="1"/>
  <c r="L294" i="1"/>
  <c r="AA294" i="1"/>
  <c r="AC294" i="1"/>
  <c r="AD294" i="1"/>
  <c r="T295" i="1"/>
  <c r="U295" i="1"/>
  <c r="Z295" i="1"/>
  <c r="V295" i="1"/>
  <c r="P295" i="1"/>
  <c r="J295" i="1"/>
  <c r="F299" i="1"/>
  <c r="K298" i="1"/>
  <c r="L295" i="1"/>
  <c r="AA295" i="1"/>
  <c r="AC295" i="1"/>
  <c r="AD295" i="1"/>
  <c r="H297" i="1"/>
  <c r="I296" i="1"/>
  <c r="G296" i="1"/>
  <c r="Q296" i="1"/>
  <c r="S296" i="1"/>
  <c r="W294" i="1"/>
  <c r="X294" i="1"/>
  <c r="Y294" i="1"/>
  <c r="W295" i="1"/>
  <c r="X295" i="1"/>
  <c r="Y295" i="1"/>
  <c r="T296" i="1"/>
  <c r="U296" i="1"/>
  <c r="Z296" i="1"/>
  <c r="V296" i="1"/>
  <c r="W296" i="1"/>
  <c r="X296" i="1"/>
  <c r="J296" i="1"/>
  <c r="P296" i="1"/>
  <c r="Q297" i="1"/>
  <c r="S297" i="1"/>
  <c r="H298" i="1"/>
  <c r="I297" i="1"/>
  <c r="G297" i="1"/>
  <c r="K299" i="1"/>
  <c r="F300" i="1"/>
  <c r="AC296" i="1"/>
  <c r="AD296" i="1"/>
  <c r="L296" i="1"/>
  <c r="AA296" i="1"/>
  <c r="Y296" i="1"/>
  <c r="T297" i="1"/>
  <c r="U297" i="1"/>
  <c r="Z297" i="1"/>
  <c r="V297" i="1"/>
  <c r="G298" i="1"/>
  <c r="H299" i="1"/>
  <c r="Q298" i="1"/>
  <c r="S298" i="1"/>
  <c r="I298" i="1"/>
  <c r="P297" i="1"/>
  <c r="J297" i="1"/>
  <c r="F301" i="1"/>
  <c r="K300" i="1"/>
  <c r="L297" i="1"/>
  <c r="AA297" i="1"/>
  <c r="AC297" i="1"/>
  <c r="AD297" i="1"/>
  <c r="W297" i="1"/>
  <c r="X297" i="1"/>
  <c r="Y297" i="1"/>
  <c r="T298" i="1"/>
  <c r="U298" i="1"/>
  <c r="Z298" i="1"/>
  <c r="V298" i="1"/>
  <c r="K301" i="1"/>
  <c r="F302" i="1"/>
  <c r="AC298" i="1"/>
  <c r="AD298" i="1"/>
  <c r="L298" i="1"/>
  <c r="AA298" i="1"/>
  <c r="P298" i="1"/>
  <c r="J298" i="1"/>
  <c r="Q299" i="1"/>
  <c r="S299" i="1"/>
  <c r="G299" i="1"/>
  <c r="I299" i="1"/>
  <c r="H300" i="1"/>
  <c r="W298" i="1"/>
  <c r="X298" i="1"/>
  <c r="Y298" i="1"/>
  <c r="T299" i="1"/>
  <c r="U299" i="1"/>
  <c r="Z299" i="1"/>
  <c r="V299" i="1"/>
  <c r="J299" i="1"/>
  <c r="P299" i="1"/>
  <c r="Q300" i="1"/>
  <c r="S300" i="1"/>
  <c r="I300" i="1"/>
  <c r="H301" i="1"/>
  <c r="G300" i="1"/>
  <c r="AC299" i="1"/>
  <c r="AD299" i="1"/>
  <c r="L299" i="1"/>
  <c r="AA299" i="1"/>
  <c r="K302" i="1"/>
  <c r="F303" i="1"/>
  <c r="W299" i="1"/>
  <c r="X299" i="1"/>
  <c r="Y299" i="1"/>
  <c r="T300" i="1"/>
  <c r="U300" i="1"/>
  <c r="Z300" i="1"/>
  <c r="V300" i="1"/>
  <c r="K303" i="1"/>
  <c r="F304" i="1"/>
  <c r="Q301" i="1"/>
  <c r="S301" i="1"/>
  <c r="I301" i="1"/>
  <c r="H302" i="1"/>
  <c r="G301" i="1"/>
  <c r="L300" i="1"/>
  <c r="AA300" i="1"/>
  <c r="AC300" i="1"/>
  <c r="AD300" i="1"/>
  <c r="J300" i="1"/>
  <c r="P300" i="1"/>
  <c r="W300" i="1"/>
  <c r="X300" i="1"/>
  <c r="Y300" i="1"/>
  <c r="T301" i="1"/>
  <c r="U301" i="1"/>
  <c r="Z301" i="1"/>
  <c r="V301" i="1"/>
  <c r="I302" i="1"/>
  <c r="H303" i="1"/>
  <c r="Q302" i="1"/>
  <c r="S302" i="1"/>
  <c r="G302" i="1"/>
  <c r="P301" i="1"/>
  <c r="J301" i="1"/>
  <c r="F305" i="1"/>
  <c r="K304" i="1"/>
  <c r="AC301" i="1"/>
  <c r="AD301" i="1"/>
  <c r="L301" i="1"/>
  <c r="AA301" i="1"/>
  <c r="W301" i="1"/>
  <c r="X301" i="1"/>
  <c r="Y301" i="1"/>
  <c r="T302" i="1"/>
  <c r="U302" i="1"/>
  <c r="Z302" i="1"/>
  <c r="V302" i="1"/>
  <c r="K305" i="1"/>
  <c r="F306" i="1"/>
  <c r="P302" i="1"/>
  <c r="J302" i="1"/>
  <c r="AC302" i="1"/>
  <c r="AD302" i="1"/>
  <c r="L302" i="1"/>
  <c r="AA302" i="1"/>
  <c r="H304" i="1"/>
  <c r="I303" i="1"/>
  <c r="G303" i="1"/>
  <c r="Q303" i="1"/>
  <c r="S303" i="1"/>
  <c r="W302" i="1"/>
  <c r="X302" i="1"/>
  <c r="Y302" i="1"/>
  <c r="T303" i="1"/>
  <c r="U303" i="1"/>
  <c r="Z303" i="1"/>
  <c r="V303" i="1"/>
  <c r="H305" i="1"/>
  <c r="G304" i="1"/>
  <c r="Q304" i="1"/>
  <c r="S304" i="1"/>
  <c r="I304" i="1"/>
  <c r="L303" i="1"/>
  <c r="AA303" i="1"/>
  <c r="AC303" i="1"/>
  <c r="AD303" i="1"/>
  <c r="J303" i="1"/>
  <c r="P303" i="1"/>
  <c r="K306" i="1"/>
  <c r="F307" i="1"/>
  <c r="W303" i="1"/>
  <c r="X303" i="1"/>
  <c r="Y303" i="1"/>
  <c r="T304" i="1"/>
  <c r="U304" i="1"/>
  <c r="Z304" i="1"/>
  <c r="V304" i="1"/>
  <c r="I305" i="1"/>
  <c r="G305" i="1"/>
  <c r="H306" i="1"/>
  <c r="Q305" i="1"/>
  <c r="S305" i="1"/>
  <c r="K307" i="1"/>
  <c r="F308" i="1"/>
  <c r="L304" i="1"/>
  <c r="AA304" i="1"/>
  <c r="AC304" i="1"/>
  <c r="AD304" i="1"/>
  <c r="J304" i="1"/>
  <c r="P304" i="1"/>
  <c r="W304" i="1"/>
  <c r="X304" i="1"/>
  <c r="Y304" i="1"/>
  <c r="T305" i="1"/>
  <c r="U305" i="1"/>
  <c r="Z305" i="1"/>
  <c r="V305" i="1"/>
  <c r="L305" i="1"/>
  <c r="AA305" i="1"/>
  <c r="AC305" i="1"/>
  <c r="AD305" i="1"/>
  <c r="I306" i="1"/>
  <c r="Q306" i="1"/>
  <c r="S306" i="1"/>
  <c r="G306" i="1"/>
  <c r="H307" i="1"/>
  <c r="F309" i="1"/>
  <c r="K308" i="1"/>
  <c r="P305" i="1"/>
  <c r="J305" i="1"/>
  <c r="W305" i="1"/>
  <c r="X305" i="1"/>
  <c r="Y305" i="1"/>
  <c r="T306" i="1"/>
  <c r="U306" i="1"/>
  <c r="Z306" i="1"/>
  <c r="V306" i="1"/>
  <c r="G307" i="1"/>
  <c r="I307" i="1"/>
  <c r="Q307" i="1"/>
  <c r="S307" i="1"/>
  <c r="H308" i="1"/>
  <c r="L306" i="1"/>
  <c r="AA306" i="1"/>
  <c r="AC306" i="1"/>
  <c r="AD306" i="1"/>
  <c r="K309" i="1"/>
  <c r="F310" i="1"/>
  <c r="P306" i="1"/>
  <c r="J306" i="1"/>
  <c r="W306" i="1"/>
  <c r="X306" i="1"/>
  <c r="Y306" i="1"/>
  <c r="T307" i="1"/>
  <c r="U307" i="1"/>
  <c r="Z307" i="1"/>
  <c r="V307" i="1"/>
  <c r="J307" i="1"/>
  <c r="P307" i="1"/>
  <c r="I308" i="1"/>
  <c r="G308" i="1"/>
  <c r="H309" i="1"/>
  <c r="Q308" i="1"/>
  <c r="S308" i="1"/>
  <c r="K310" i="1"/>
  <c r="F311" i="1"/>
  <c r="L307" i="1"/>
  <c r="AA307" i="1"/>
  <c r="AC307" i="1"/>
  <c r="AD307" i="1"/>
  <c r="W307" i="1"/>
  <c r="X307" i="1"/>
  <c r="Y307" i="1"/>
  <c r="T308" i="1"/>
  <c r="U308" i="1"/>
  <c r="Z308" i="1"/>
  <c r="V308" i="1"/>
  <c r="AC308" i="1"/>
  <c r="AD308" i="1"/>
  <c r="L308" i="1"/>
  <c r="AA308" i="1"/>
  <c r="F312" i="1"/>
  <c r="K311" i="1"/>
  <c r="J308" i="1"/>
  <c r="P308" i="1"/>
  <c r="Q309" i="1"/>
  <c r="S309" i="1"/>
  <c r="G309" i="1"/>
  <c r="I309" i="1"/>
  <c r="H310" i="1"/>
  <c r="W308" i="1"/>
  <c r="X308" i="1"/>
  <c r="Y308" i="1"/>
  <c r="T309" i="1"/>
  <c r="U309" i="1"/>
  <c r="Z309" i="1"/>
  <c r="V309" i="1"/>
  <c r="P309" i="1"/>
  <c r="J309" i="1"/>
  <c r="G310" i="1"/>
  <c r="I310" i="1"/>
  <c r="H311" i="1"/>
  <c r="Q310" i="1"/>
  <c r="S310" i="1"/>
  <c r="L309" i="1"/>
  <c r="AA309" i="1"/>
  <c r="AC309" i="1"/>
  <c r="AD309" i="1"/>
  <c r="F313" i="1"/>
  <c r="K312" i="1"/>
  <c r="W309" i="1"/>
  <c r="X309" i="1"/>
  <c r="Y309" i="1"/>
  <c r="T310" i="1"/>
  <c r="U310" i="1"/>
  <c r="Z310" i="1"/>
  <c r="V310" i="1"/>
  <c r="H312" i="1"/>
  <c r="G311" i="1"/>
  <c r="I311" i="1"/>
  <c r="Q311" i="1"/>
  <c r="S311" i="1"/>
  <c r="AC310" i="1"/>
  <c r="AD310" i="1"/>
  <c r="L310" i="1"/>
  <c r="AA310" i="1"/>
  <c r="P310" i="1"/>
  <c r="J310" i="1"/>
  <c r="K313" i="1"/>
  <c r="F314" i="1"/>
  <c r="W310" i="1"/>
  <c r="X310" i="1"/>
  <c r="Y310" i="1"/>
  <c r="T311" i="1"/>
  <c r="U311" i="1"/>
  <c r="Z311" i="1"/>
  <c r="V311" i="1"/>
  <c r="F315" i="1"/>
  <c r="K314" i="1"/>
  <c r="I312" i="1"/>
  <c r="H313" i="1"/>
  <c r="G312" i="1"/>
  <c r="Q312" i="1"/>
  <c r="S312" i="1"/>
  <c r="L311" i="1"/>
  <c r="AA311" i="1"/>
  <c r="AC311" i="1"/>
  <c r="AD311" i="1"/>
  <c r="J311" i="1"/>
  <c r="P311" i="1"/>
  <c r="W311" i="1"/>
  <c r="X311" i="1"/>
  <c r="Y311" i="1"/>
  <c r="T312" i="1"/>
  <c r="U312" i="1"/>
  <c r="Z312" i="1"/>
  <c r="V312" i="1"/>
  <c r="AC312" i="1"/>
  <c r="AD312" i="1"/>
  <c r="L312" i="1"/>
  <c r="AA312" i="1"/>
  <c r="K315" i="1"/>
  <c r="F316" i="1"/>
  <c r="J312" i="1"/>
  <c r="P312" i="1"/>
  <c r="Q313" i="1"/>
  <c r="S313" i="1"/>
  <c r="G313" i="1"/>
  <c r="I313" i="1"/>
  <c r="H314" i="1"/>
  <c r="W312" i="1"/>
  <c r="X312" i="1"/>
  <c r="Y312" i="1"/>
  <c r="T313" i="1"/>
  <c r="U313" i="1"/>
  <c r="Z313" i="1"/>
  <c r="V313" i="1"/>
  <c r="J313" i="1"/>
  <c r="P313" i="1"/>
  <c r="I314" i="1"/>
  <c r="H315" i="1"/>
  <c r="Q314" i="1"/>
  <c r="S314" i="1"/>
  <c r="G314" i="1"/>
  <c r="F317" i="1"/>
  <c r="K316" i="1"/>
  <c r="AC313" i="1"/>
  <c r="AD313" i="1"/>
  <c r="L313" i="1"/>
  <c r="AA313" i="1"/>
  <c r="W313" i="1"/>
  <c r="X313" i="1"/>
  <c r="Y313" i="1"/>
  <c r="T314" i="1"/>
  <c r="U314" i="1"/>
  <c r="Z314" i="1"/>
  <c r="V314" i="1"/>
  <c r="F318" i="1"/>
  <c r="K317" i="1"/>
  <c r="Q315" i="1"/>
  <c r="S315" i="1"/>
  <c r="H316" i="1"/>
  <c r="G315" i="1"/>
  <c r="I315" i="1"/>
  <c r="P314" i="1"/>
  <c r="J314" i="1"/>
  <c r="L314" i="1"/>
  <c r="AA314" i="1"/>
  <c r="AC314" i="1"/>
  <c r="AD314" i="1"/>
  <c r="W314" i="1"/>
  <c r="X314" i="1"/>
  <c r="Y314" i="1"/>
  <c r="T315" i="1"/>
  <c r="U315" i="1"/>
  <c r="Z315" i="1"/>
  <c r="V315" i="1"/>
  <c r="AC315" i="1"/>
  <c r="AD315" i="1"/>
  <c r="L315" i="1"/>
  <c r="AA315" i="1"/>
  <c r="P315" i="1"/>
  <c r="J315" i="1"/>
  <c r="K318" i="1"/>
  <c r="F319" i="1"/>
  <c r="I316" i="1"/>
  <c r="G316" i="1"/>
  <c r="H317" i="1"/>
  <c r="Q316" i="1"/>
  <c r="S316" i="1"/>
  <c r="W315" i="1"/>
  <c r="X315" i="1"/>
  <c r="Y315" i="1"/>
  <c r="T316" i="1"/>
  <c r="U316" i="1"/>
  <c r="Z316" i="1"/>
  <c r="V316" i="1"/>
  <c r="P316" i="1"/>
  <c r="J316" i="1"/>
  <c r="AC316" i="1"/>
  <c r="AD316" i="1"/>
  <c r="L316" i="1"/>
  <c r="AA316" i="1"/>
  <c r="H318" i="1"/>
  <c r="Q317" i="1"/>
  <c r="S317" i="1"/>
  <c r="G317" i="1"/>
  <c r="I317" i="1"/>
  <c r="K319" i="1"/>
  <c r="F320" i="1"/>
  <c r="W316" i="1"/>
  <c r="X316" i="1"/>
  <c r="Y316" i="1"/>
  <c r="T317" i="1"/>
  <c r="U317" i="1"/>
  <c r="Z317" i="1"/>
  <c r="V317" i="1"/>
  <c r="I318" i="1"/>
  <c r="Q318" i="1"/>
  <c r="S318" i="1"/>
  <c r="G318" i="1"/>
  <c r="H319" i="1"/>
  <c r="P317" i="1"/>
  <c r="J317" i="1"/>
  <c r="AC317" i="1"/>
  <c r="AD317" i="1"/>
  <c r="L317" i="1"/>
  <c r="AA317" i="1"/>
  <c r="F321" i="1"/>
  <c r="K320" i="1"/>
  <c r="W317" i="1"/>
  <c r="X317" i="1"/>
  <c r="Y317" i="1"/>
  <c r="T318" i="1"/>
  <c r="U318" i="1"/>
  <c r="Z318" i="1"/>
  <c r="V318" i="1"/>
  <c r="G319" i="1"/>
  <c r="I319" i="1"/>
  <c r="Q319" i="1"/>
  <c r="S319" i="1"/>
  <c r="H320" i="1"/>
  <c r="L318" i="1"/>
  <c r="AA318" i="1"/>
  <c r="AC318" i="1"/>
  <c r="AD318" i="1"/>
  <c r="P318" i="1"/>
  <c r="J318" i="1"/>
  <c r="K321" i="1"/>
  <c r="F322" i="1"/>
  <c r="W318" i="1"/>
  <c r="X318" i="1"/>
  <c r="Y318" i="1"/>
  <c r="T319" i="1"/>
  <c r="U319" i="1"/>
  <c r="Z319" i="1"/>
  <c r="V319" i="1"/>
  <c r="I320" i="1"/>
  <c r="H321" i="1"/>
  <c r="G320" i="1"/>
  <c r="Q320" i="1"/>
  <c r="S320" i="1"/>
  <c r="P319" i="1"/>
  <c r="J319" i="1"/>
  <c r="K322" i="1"/>
  <c r="F323" i="1"/>
  <c r="AC319" i="1"/>
  <c r="AD319" i="1"/>
  <c r="L319" i="1"/>
  <c r="AA319" i="1"/>
  <c r="W319" i="1"/>
  <c r="X319" i="1"/>
  <c r="Y319" i="1"/>
  <c r="T320" i="1"/>
  <c r="U320" i="1"/>
  <c r="Z320" i="1"/>
  <c r="V320" i="1"/>
  <c r="AC320" i="1"/>
  <c r="AD320" i="1"/>
  <c r="L320" i="1"/>
  <c r="AA320" i="1"/>
  <c r="F324" i="1"/>
  <c r="K323" i="1"/>
  <c r="J320" i="1"/>
  <c r="P320" i="1"/>
  <c r="Q321" i="1"/>
  <c r="S321" i="1"/>
  <c r="G321" i="1"/>
  <c r="I321" i="1"/>
  <c r="H322" i="1"/>
  <c r="W320" i="1"/>
  <c r="X320" i="1"/>
  <c r="Y320" i="1"/>
  <c r="T321" i="1"/>
  <c r="U321" i="1"/>
  <c r="Z321" i="1"/>
  <c r="V321" i="1"/>
  <c r="H323" i="1"/>
  <c r="I322" i="1"/>
  <c r="Q322" i="1"/>
  <c r="S322" i="1"/>
  <c r="G322" i="1"/>
  <c r="P321" i="1"/>
  <c r="J321" i="1"/>
  <c r="L321" i="1"/>
  <c r="AA321" i="1"/>
  <c r="AC321" i="1"/>
  <c r="AD321" i="1"/>
  <c r="F325" i="1"/>
  <c r="K324" i="1"/>
  <c r="W321" i="1"/>
  <c r="X321" i="1"/>
  <c r="Y321" i="1"/>
  <c r="T322" i="1"/>
  <c r="U322" i="1"/>
  <c r="Z322" i="1"/>
  <c r="V322" i="1"/>
  <c r="G323" i="1"/>
  <c r="I323" i="1"/>
  <c r="Q323" i="1"/>
  <c r="S323" i="1"/>
  <c r="H324" i="1"/>
  <c r="J322" i="1"/>
  <c r="P322" i="1"/>
  <c r="K325" i="1"/>
  <c r="F326" i="1"/>
  <c r="L322" i="1"/>
  <c r="AA322" i="1"/>
  <c r="AC322" i="1"/>
  <c r="AD322" i="1"/>
  <c r="T323" i="1"/>
  <c r="U323" i="1"/>
  <c r="Z323" i="1"/>
  <c r="V323" i="1"/>
  <c r="Q324" i="1"/>
  <c r="S324" i="1"/>
  <c r="I324" i="1"/>
  <c r="G324" i="1"/>
  <c r="H325" i="1"/>
  <c r="J323" i="1"/>
  <c r="P323" i="1"/>
  <c r="W322" i="1"/>
  <c r="X322" i="1"/>
  <c r="Y322" i="1"/>
  <c r="F327" i="1"/>
  <c r="K326" i="1"/>
  <c r="L323" i="1"/>
  <c r="AA323" i="1"/>
  <c r="AC323" i="1"/>
  <c r="AD323" i="1"/>
  <c r="W323" i="1"/>
  <c r="X323" i="1"/>
  <c r="Y323" i="1"/>
  <c r="T324" i="1"/>
  <c r="U324" i="1"/>
  <c r="Z324" i="1"/>
  <c r="V324" i="1"/>
  <c r="Q325" i="1"/>
  <c r="S325" i="1"/>
  <c r="G325" i="1"/>
  <c r="I325" i="1"/>
  <c r="H326" i="1"/>
  <c r="F328" i="1"/>
  <c r="K327" i="1"/>
  <c r="J324" i="1"/>
  <c r="P324" i="1"/>
  <c r="AC324" i="1"/>
  <c r="AD324" i="1"/>
  <c r="L324" i="1"/>
  <c r="AA324" i="1"/>
  <c r="W324" i="1"/>
  <c r="X324" i="1"/>
  <c r="Y324" i="1"/>
  <c r="T325" i="1"/>
  <c r="U325" i="1"/>
  <c r="Z325" i="1"/>
  <c r="V325" i="1"/>
  <c r="G326" i="1"/>
  <c r="I326" i="1"/>
  <c r="H327" i="1"/>
  <c r="Q326" i="1"/>
  <c r="S326" i="1"/>
  <c r="AC325" i="1"/>
  <c r="AD325" i="1"/>
  <c r="L325" i="1"/>
  <c r="AA325" i="1"/>
  <c r="F329" i="1"/>
  <c r="K328" i="1"/>
  <c r="J325" i="1"/>
  <c r="P325" i="1"/>
  <c r="W325" i="1"/>
  <c r="X325" i="1"/>
  <c r="Y325" i="1"/>
  <c r="T326" i="1"/>
  <c r="U326" i="1"/>
  <c r="Z326" i="1"/>
  <c r="V326" i="1"/>
  <c r="G327" i="1"/>
  <c r="I327" i="1"/>
  <c r="Q327" i="1"/>
  <c r="S327" i="1"/>
  <c r="H328" i="1"/>
  <c r="P326" i="1"/>
  <c r="J326" i="1"/>
  <c r="L326" i="1"/>
  <c r="AA326" i="1"/>
  <c r="AC326" i="1"/>
  <c r="AD326" i="1"/>
  <c r="K329" i="1"/>
  <c r="F330" i="1"/>
  <c r="W326" i="1"/>
  <c r="X326" i="1"/>
  <c r="Y326" i="1"/>
  <c r="T327" i="1"/>
  <c r="U327" i="1"/>
  <c r="Z327" i="1"/>
  <c r="V327" i="1"/>
  <c r="P327" i="1"/>
  <c r="J327" i="1"/>
  <c r="I328" i="1"/>
  <c r="H329" i="1"/>
  <c r="G328" i="1"/>
  <c r="Q328" i="1"/>
  <c r="S328" i="1"/>
  <c r="K330" i="1"/>
  <c r="F331" i="1"/>
  <c r="L327" i="1"/>
  <c r="AA327" i="1"/>
  <c r="AC327" i="1"/>
  <c r="AD327" i="1"/>
  <c r="W327" i="1"/>
  <c r="X327" i="1"/>
  <c r="Y327" i="1"/>
  <c r="T328" i="1"/>
  <c r="U328" i="1"/>
  <c r="Z328" i="1"/>
  <c r="V328" i="1"/>
  <c r="P328" i="1"/>
  <c r="J328" i="1"/>
  <c r="H330" i="1"/>
  <c r="Q329" i="1"/>
  <c r="S329" i="1"/>
  <c r="G329" i="1"/>
  <c r="I329" i="1"/>
  <c r="K331" i="1"/>
  <c r="F332" i="1"/>
  <c r="AC328" i="1"/>
  <c r="AD328" i="1"/>
  <c r="L328" i="1"/>
  <c r="AA328" i="1"/>
  <c r="W328" i="1"/>
  <c r="X328" i="1"/>
  <c r="Y328" i="1"/>
  <c r="T329" i="1"/>
  <c r="U329" i="1"/>
  <c r="Z329" i="1"/>
  <c r="V329" i="1"/>
  <c r="AC329" i="1"/>
  <c r="AD329" i="1"/>
  <c r="L329" i="1"/>
  <c r="AA329" i="1"/>
  <c r="G330" i="1"/>
  <c r="I330" i="1"/>
  <c r="H331" i="1"/>
  <c r="Q330" i="1"/>
  <c r="S330" i="1"/>
  <c r="F333" i="1"/>
  <c r="K332" i="1"/>
  <c r="J329" i="1"/>
  <c r="P329" i="1"/>
  <c r="W329" i="1"/>
  <c r="X329" i="1"/>
  <c r="T330" i="1"/>
  <c r="U330" i="1"/>
  <c r="Z330" i="1"/>
  <c r="V330" i="1"/>
  <c r="K333" i="1"/>
  <c r="F334" i="1"/>
  <c r="L330" i="1"/>
  <c r="AA330" i="1"/>
  <c r="AC330" i="1"/>
  <c r="AD330" i="1"/>
  <c r="P330" i="1"/>
  <c r="J330" i="1"/>
  <c r="Y329" i="1"/>
  <c r="Q331" i="1"/>
  <c r="S331" i="1"/>
  <c r="H332" i="1"/>
  <c r="I331" i="1"/>
  <c r="G331" i="1"/>
  <c r="W330" i="1"/>
  <c r="X330" i="1"/>
  <c r="Y330" i="1"/>
  <c r="T331" i="1"/>
  <c r="U331" i="1"/>
  <c r="Z331" i="1"/>
  <c r="V331" i="1"/>
  <c r="L331" i="1"/>
  <c r="AA331" i="1"/>
  <c r="AC331" i="1"/>
  <c r="AD331" i="1"/>
  <c r="H333" i="1"/>
  <c r="Q332" i="1"/>
  <c r="S332" i="1"/>
  <c r="I332" i="1"/>
  <c r="G332" i="1"/>
  <c r="K334" i="1"/>
  <c r="F335" i="1"/>
  <c r="J331" i="1"/>
  <c r="P331" i="1"/>
  <c r="W331" i="1"/>
  <c r="X331" i="1"/>
  <c r="Y331" i="1"/>
  <c r="T332" i="1"/>
  <c r="U332" i="1"/>
  <c r="Z332" i="1"/>
  <c r="V332" i="1"/>
  <c r="Q333" i="1"/>
  <c r="S333" i="1"/>
  <c r="G333" i="1"/>
  <c r="I333" i="1"/>
  <c r="H334" i="1"/>
  <c r="K335" i="1"/>
  <c r="F336" i="1"/>
  <c r="P332" i="1"/>
  <c r="J332" i="1"/>
  <c r="AC332" i="1"/>
  <c r="AD332" i="1"/>
  <c r="L332" i="1"/>
  <c r="AA332" i="1"/>
  <c r="W332" i="1"/>
  <c r="X332" i="1"/>
  <c r="Y332" i="1"/>
  <c r="T333" i="1"/>
  <c r="U333" i="1"/>
  <c r="Z333" i="1"/>
  <c r="V333" i="1"/>
  <c r="F337" i="1"/>
  <c r="K336" i="1"/>
  <c r="I334" i="1"/>
  <c r="Q334" i="1"/>
  <c r="S334" i="1"/>
  <c r="G334" i="1"/>
  <c r="H335" i="1"/>
  <c r="AC333" i="1"/>
  <c r="AD333" i="1"/>
  <c r="L333" i="1"/>
  <c r="AA333" i="1"/>
  <c r="J333" i="1"/>
  <c r="P333" i="1"/>
  <c r="W333" i="1"/>
  <c r="X333" i="1"/>
  <c r="Y333" i="1"/>
  <c r="T334" i="1"/>
  <c r="U334" i="1"/>
  <c r="Z334" i="1"/>
  <c r="V334" i="1"/>
  <c r="AC334" i="1"/>
  <c r="AD334" i="1"/>
  <c r="L334" i="1"/>
  <c r="AA334" i="1"/>
  <c r="Q335" i="1"/>
  <c r="S335" i="1"/>
  <c r="H336" i="1"/>
  <c r="I335" i="1"/>
  <c r="G335" i="1"/>
  <c r="P334" i="1"/>
  <c r="J334" i="1"/>
  <c r="K337" i="1"/>
  <c r="F338" i="1"/>
  <c r="W334" i="1"/>
  <c r="X334" i="1"/>
  <c r="T335" i="1"/>
  <c r="U335" i="1"/>
  <c r="Z335" i="1"/>
  <c r="V335" i="1"/>
  <c r="H337" i="1"/>
  <c r="G336" i="1"/>
  <c r="Q336" i="1"/>
  <c r="S336" i="1"/>
  <c r="I336" i="1"/>
  <c r="Y334" i="1"/>
  <c r="K338" i="1"/>
  <c r="F339" i="1"/>
  <c r="P335" i="1"/>
  <c r="J335" i="1"/>
  <c r="AC335" i="1"/>
  <c r="AD335" i="1"/>
  <c r="L335" i="1"/>
  <c r="AA335" i="1"/>
  <c r="W335" i="1"/>
  <c r="X335" i="1"/>
  <c r="Y335" i="1"/>
  <c r="T336" i="1"/>
  <c r="U336" i="1"/>
  <c r="Z336" i="1"/>
  <c r="V336" i="1"/>
  <c r="H338" i="1"/>
  <c r="Q337" i="1"/>
  <c r="S337" i="1"/>
  <c r="G337" i="1"/>
  <c r="I337" i="1"/>
  <c r="AC336" i="1"/>
  <c r="AD336" i="1"/>
  <c r="L336" i="1"/>
  <c r="AA336" i="1"/>
  <c r="K339" i="1"/>
  <c r="F340" i="1"/>
  <c r="J336" i="1"/>
  <c r="P336" i="1"/>
  <c r="W336" i="1"/>
  <c r="X336" i="1"/>
  <c r="Y336" i="1"/>
  <c r="T337" i="1"/>
  <c r="U337" i="1"/>
  <c r="Z337" i="1"/>
  <c r="V337" i="1"/>
  <c r="I338" i="1"/>
  <c r="H339" i="1"/>
  <c r="Q338" i="1"/>
  <c r="S338" i="1"/>
  <c r="G338" i="1"/>
  <c r="L337" i="1"/>
  <c r="AA337" i="1"/>
  <c r="AC337" i="1"/>
  <c r="AD337" i="1"/>
  <c r="P337" i="1"/>
  <c r="J337" i="1"/>
  <c r="F341" i="1"/>
  <c r="K340" i="1"/>
  <c r="W337" i="1"/>
  <c r="X337" i="1"/>
  <c r="Y337" i="1"/>
  <c r="T338" i="1"/>
  <c r="U338" i="1"/>
  <c r="Z338" i="1"/>
  <c r="V338" i="1"/>
  <c r="P338" i="1"/>
  <c r="J338" i="1"/>
  <c r="K341" i="1"/>
  <c r="F342" i="1"/>
  <c r="G339" i="1"/>
  <c r="I339" i="1"/>
  <c r="Q339" i="1"/>
  <c r="S339" i="1"/>
  <c r="H340" i="1"/>
  <c r="L338" i="1"/>
  <c r="AA338" i="1"/>
  <c r="AC338" i="1"/>
  <c r="AD338" i="1"/>
  <c r="W338" i="1"/>
  <c r="X338" i="1"/>
  <c r="T339" i="1"/>
  <c r="U339" i="1"/>
  <c r="Z339" i="1"/>
  <c r="V339" i="1"/>
  <c r="K342" i="1"/>
  <c r="F343" i="1"/>
  <c r="L339" i="1"/>
  <c r="AA339" i="1"/>
  <c r="AC339" i="1"/>
  <c r="AD339" i="1"/>
  <c r="P339" i="1"/>
  <c r="J339" i="1"/>
  <c r="Y338" i="1"/>
  <c r="I340" i="1"/>
  <c r="G340" i="1"/>
  <c r="H341" i="1"/>
  <c r="Q340" i="1"/>
  <c r="S340" i="1"/>
  <c r="W339" i="1"/>
  <c r="X339" i="1"/>
  <c r="Y339" i="1"/>
  <c r="T340" i="1"/>
  <c r="U340" i="1"/>
  <c r="Z340" i="1"/>
  <c r="V340" i="1"/>
  <c r="I341" i="1"/>
  <c r="G341" i="1"/>
  <c r="H342" i="1"/>
  <c r="Q341" i="1"/>
  <c r="S341" i="1"/>
  <c r="P340" i="1"/>
  <c r="J340" i="1"/>
  <c r="K343" i="1"/>
  <c r="F344" i="1"/>
  <c r="AC340" i="1"/>
  <c r="AD340" i="1"/>
  <c r="L340" i="1"/>
  <c r="AA340" i="1"/>
  <c r="W340" i="1"/>
  <c r="X340" i="1"/>
  <c r="T341" i="1"/>
  <c r="U341" i="1"/>
  <c r="Z341" i="1"/>
  <c r="V341" i="1"/>
  <c r="AC341" i="1"/>
  <c r="AD341" i="1"/>
  <c r="L341" i="1"/>
  <c r="AA341" i="1"/>
  <c r="I342" i="1"/>
  <c r="Q342" i="1"/>
  <c r="S342" i="1"/>
  <c r="G342" i="1"/>
  <c r="H343" i="1"/>
  <c r="Y340" i="1"/>
  <c r="F345" i="1"/>
  <c r="K344" i="1"/>
  <c r="J341" i="1"/>
  <c r="P341" i="1"/>
  <c r="W341" i="1"/>
  <c r="X341" i="1"/>
  <c r="Y341" i="1"/>
  <c r="T342" i="1"/>
  <c r="U342" i="1"/>
  <c r="Z342" i="1"/>
  <c r="V342" i="1"/>
  <c r="F346" i="1"/>
  <c r="K345" i="1"/>
  <c r="P342" i="1"/>
  <c r="J342" i="1"/>
  <c r="H344" i="1"/>
  <c r="I343" i="1"/>
  <c r="G343" i="1"/>
  <c r="Q343" i="1"/>
  <c r="S343" i="1"/>
  <c r="AC342" i="1"/>
  <c r="AD342" i="1"/>
  <c r="L342" i="1"/>
  <c r="AA342" i="1"/>
  <c r="W342" i="1"/>
  <c r="X342" i="1"/>
  <c r="Y342" i="1"/>
  <c r="T343" i="1"/>
  <c r="U343" i="1"/>
  <c r="Z343" i="1"/>
  <c r="V343" i="1"/>
  <c r="K346" i="1"/>
  <c r="F347" i="1"/>
  <c r="L343" i="1"/>
  <c r="AA343" i="1"/>
  <c r="AC343" i="1"/>
  <c r="AD343" i="1"/>
  <c r="G344" i="1"/>
  <c r="Q344" i="1"/>
  <c r="S344" i="1"/>
  <c r="I344" i="1"/>
  <c r="H345" i="1"/>
  <c r="J343" i="1"/>
  <c r="P343" i="1"/>
  <c r="T344" i="1"/>
  <c r="U344" i="1"/>
  <c r="Z344" i="1"/>
  <c r="V344" i="1"/>
  <c r="K347" i="1"/>
  <c r="F348" i="1"/>
  <c r="W343" i="1"/>
  <c r="X343" i="1"/>
  <c r="Y343" i="1"/>
  <c r="G345" i="1"/>
  <c r="I345" i="1"/>
  <c r="H346" i="1"/>
  <c r="Q345" i="1"/>
  <c r="S345" i="1"/>
  <c r="P344" i="1"/>
  <c r="J344" i="1"/>
  <c r="L344" i="1"/>
  <c r="AA344" i="1"/>
  <c r="AC344" i="1"/>
  <c r="AD344" i="1"/>
  <c r="W344" i="1"/>
  <c r="X344" i="1"/>
  <c r="Y344" i="1"/>
  <c r="T345" i="1"/>
  <c r="U345" i="1"/>
  <c r="Z345" i="1"/>
  <c r="V345" i="1"/>
  <c r="G346" i="1"/>
  <c r="I346" i="1"/>
  <c r="H347" i="1"/>
  <c r="Q346" i="1"/>
  <c r="S346" i="1"/>
  <c r="V346" i="1"/>
  <c r="AC345" i="1"/>
  <c r="AD345" i="1"/>
  <c r="L345" i="1"/>
  <c r="AA345" i="1"/>
  <c r="J345" i="1"/>
  <c r="P345" i="1"/>
  <c r="F349" i="1"/>
  <c r="K348" i="1"/>
  <c r="W345" i="1"/>
  <c r="X345" i="1"/>
  <c r="Y345" i="1"/>
  <c r="Q347" i="1"/>
  <c r="S347" i="1"/>
  <c r="V347" i="1"/>
  <c r="H348" i="1"/>
  <c r="G347" i="1"/>
  <c r="I347" i="1"/>
  <c r="L346" i="1"/>
  <c r="AA346" i="1"/>
  <c r="AC346" i="1"/>
  <c r="AD346" i="1"/>
  <c r="K349" i="1"/>
  <c r="F350" i="1"/>
  <c r="P346" i="1"/>
  <c r="J346" i="1"/>
  <c r="T346" i="1"/>
  <c r="U346" i="1"/>
  <c r="Z346" i="1"/>
  <c r="I348" i="1"/>
  <c r="G348" i="1"/>
  <c r="H349" i="1"/>
  <c r="Q348" i="1"/>
  <c r="S348" i="1"/>
  <c r="K350" i="1"/>
  <c r="F351" i="1"/>
  <c r="AC347" i="1"/>
  <c r="AD347" i="1"/>
  <c r="L347" i="1"/>
  <c r="AA347" i="1"/>
  <c r="T347" i="1"/>
  <c r="U347" i="1"/>
  <c r="Z347" i="1"/>
  <c r="P347" i="1"/>
  <c r="J347" i="1"/>
  <c r="W346" i="1"/>
  <c r="X346" i="1"/>
  <c r="Y346" i="1"/>
  <c r="H350" i="1"/>
  <c r="Q349" i="1"/>
  <c r="S349" i="1"/>
  <c r="V349" i="1"/>
  <c r="G349" i="1"/>
  <c r="I349" i="1"/>
  <c r="J348" i="1"/>
  <c r="P348" i="1"/>
  <c r="AC348" i="1"/>
  <c r="AD348" i="1"/>
  <c r="L348" i="1"/>
  <c r="AA348" i="1"/>
  <c r="T348" i="1"/>
  <c r="U348" i="1"/>
  <c r="Z348" i="1"/>
  <c r="F352" i="1"/>
  <c r="K351" i="1"/>
  <c r="V348" i="1"/>
  <c r="W347" i="1"/>
  <c r="X347" i="1"/>
  <c r="Y347" i="1"/>
  <c r="W348" i="1"/>
  <c r="X348" i="1"/>
  <c r="Y348" i="1"/>
  <c r="T349" i="1"/>
  <c r="U349" i="1"/>
  <c r="Z349" i="1"/>
  <c r="P349" i="1"/>
  <c r="J349" i="1"/>
  <c r="F353" i="1"/>
  <c r="K352" i="1"/>
  <c r="L349" i="1"/>
  <c r="AA349" i="1"/>
  <c r="AC349" i="1"/>
  <c r="AD349" i="1"/>
  <c r="G350" i="1"/>
  <c r="I350" i="1"/>
  <c r="H351" i="1"/>
  <c r="Q350" i="1"/>
  <c r="S350" i="1"/>
  <c r="T350" i="1"/>
  <c r="U350" i="1"/>
  <c r="Z350" i="1"/>
  <c r="V350" i="1"/>
  <c r="P350" i="1"/>
  <c r="J350" i="1"/>
  <c r="G351" i="1"/>
  <c r="Q351" i="1"/>
  <c r="S351" i="1"/>
  <c r="H352" i="1"/>
  <c r="I351" i="1"/>
  <c r="L350" i="1"/>
  <c r="AA350" i="1"/>
  <c r="AC350" i="1"/>
  <c r="AD350" i="1"/>
  <c r="K353" i="1"/>
  <c r="F354" i="1"/>
  <c r="W349" i="1"/>
  <c r="X349" i="1"/>
  <c r="Y349" i="1"/>
  <c r="W350" i="1"/>
  <c r="X350" i="1"/>
  <c r="Y350" i="1"/>
  <c r="T351" i="1"/>
  <c r="U351" i="1"/>
  <c r="Z351" i="1"/>
  <c r="V351" i="1"/>
  <c r="K354" i="1"/>
  <c r="F355" i="1"/>
  <c r="L351" i="1"/>
  <c r="AA351" i="1"/>
  <c r="AC351" i="1"/>
  <c r="AD351" i="1"/>
  <c r="J351" i="1"/>
  <c r="P351" i="1"/>
  <c r="G352" i="1"/>
  <c r="Q352" i="1"/>
  <c r="S352" i="1"/>
  <c r="I352" i="1"/>
  <c r="H353" i="1"/>
  <c r="W351" i="1"/>
  <c r="X351" i="1"/>
  <c r="Y351" i="1"/>
  <c r="T352" i="1"/>
  <c r="U352" i="1"/>
  <c r="Z352" i="1"/>
  <c r="V352" i="1"/>
  <c r="Q353" i="1"/>
  <c r="S353" i="1"/>
  <c r="G353" i="1"/>
  <c r="I353" i="1"/>
  <c r="H354" i="1"/>
  <c r="F356" i="1"/>
  <c r="K355" i="1"/>
  <c r="J352" i="1"/>
  <c r="P352" i="1"/>
  <c r="AC352" i="1"/>
  <c r="AD352" i="1"/>
  <c r="L352" i="1"/>
  <c r="AA352" i="1"/>
  <c r="T353" i="1"/>
  <c r="U353" i="1"/>
  <c r="Z353" i="1"/>
  <c r="V353" i="1"/>
  <c r="G354" i="1"/>
  <c r="I354" i="1"/>
  <c r="H355" i="1"/>
  <c r="Q354" i="1"/>
  <c r="S354" i="1"/>
  <c r="W352" i="1"/>
  <c r="X352" i="1"/>
  <c r="Y352" i="1"/>
  <c r="AC353" i="1"/>
  <c r="AD353" i="1"/>
  <c r="L353" i="1"/>
  <c r="AA353" i="1"/>
  <c r="F357" i="1"/>
  <c r="K356" i="1"/>
  <c r="P353" i="1"/>
  <c r="J353" i="1"/>
  <c r="W353" i="1"/>
  <c r="X353" i="1"/>
  <c r="Y353" i="1"/>
  <c r="T354" i="1"/>
  <c r="U354" i="1"/>
  <c r="Z354" i="1"/>
  <c r="V354" i="1"/>
  <c r="K357" i="1"/>
  <c r="F358" i="1"/>
  <c r="J354" i="1"/>
  <c r="P354" i="1"/>
  <c r="Q355" i="1"/>
  <c r="S355" i="1"/>
  <c r="H356" i="1"/>
  <c r="G355" i="1"/>
  <c r="I355" i="1"/>
  <c r="AC354" i="1"/>
  <c r="AD354" i="1"/>
  <c r="L354" i="1"/>
  <c r="AA354" i="1"/>
  <c r="W354" i="1"/>
  <c r="X354" i="1"/>
  <c r="Y354" i="1"/>
  <c r="T355" i="1"/>
  <c r="U355" i="1"/>
  <c r="Z355" i="1"/>
  <c r="V355" i="1"/>
  <c r="L355" i="1"/>
  <c r="AA355" i="1"/>
  <c r="AC355" i="1"/>
  <c r="AD355" i="1"/>
  <c r="P355" i="1"/>
  <c r="J355" i="1"/>
  <c r="H357" i="1"/>
  <c r="Q356" i="1"/>
  <c r="S356" i="1"/>
  <c r="I356" i="1"/>
  <c r="G356" i="1"/>
  <c r="K358" i="1"/>
  <c r="F359" i="1"/>
  <c r="W355" i="1"/>
  <c r="X355" i="1"/>
  <c r="Y355" i="1"/>
  <c r="T356" i="1"/>
  <c r="U356" i="1"/>
  <c r="Z356" i="1"/>
  <c r="V356" i="1"/>
  <c r="K359" i="1"/>
  <c r="F360" i="1"/>
  <c r="AC356" i="1"/>
  <c r="AD356" i="1"/>
  <c r="L356" i="1"/>
  <c r="AA356" i="1"/>
  <c r="P356" i="1"/>
  <c r="J356" i="1"/>
  <c r="G357" i="1"/>
  <c r="I357" i="1"/>
  <c r="H358" i="1"/>
  <c r="Q357" i="1"/>
  <c r="S357" i="1"/>
  <c r="W356" i="1"/>
  <c r="X356" i="1"/>
  <c r="Y356" i="1"/>
  <c r="T357" i="1"/>
  <c r="U357" i="1"/>
  <c r="Z357" i="1"/>
  <c r="V357" i="1"/>
  <c r="J357" i="1"/>
  <c r="P357" i="1"/>
  <c r="Q358" i="1"/>
  <c r="S358" i="1"/>
  <c r="G358" i="1"/>
  <c r="H359" i="1"/>
  <c r="I358" i="1"/>
  <c r="AC357" i="1"/>
  <c r="AD357" i="1"/>
  <c r="L357" i="1"/>
  <c r="AA357" i="1"/>
  <c r="F361" i="1"/>
  <c r="K360" i="1"/>
  <c r="W357" i="1"/>
  <c r="X357" i="1"/>
  <c r="Y357" i="1"/>
  <c r="T358" i="1"/>
  <c r="U358" i="1"/>
  <c r="Z358" i="1"/>
  <c r="V358" i="1"/>
  <c r="P358" i="1"/>
  <c r="J358" i="1"/>
  <c r="K361" i="1"/>
  <c r="F362" i="1"/>
  <c r="L358" i="1"/>
  <c r="AA358" i="1"/>
  <c r="AC358" i="1"/>
  <c r="AD358" i="1"/>
  <c r="G359" i="1"/>
  <c r="I359" i="1"/>
  <c r="Q359" i="1"/>
  <c r="S359" i="1"/>
  <c r="H360" i="1"/>
  <c r="W358" i="1"/>
  <c r="X358" i="1"/>
  <c r="T359" i="1"/>
  <c r="U359" i="1"/>
  <c r="Z359" i="1"/>
  <c r="V359" i="1"/>
  <c r="J359" i="1"/>
  <c r="P359" i="1"/>
  <c r="Q360" i="1"/>
  <c r="S360" i="1"/>
  <c r="I360" i="1"/>
  <c r="H361" i="1"/>
  <c r="G360" i="1"/>
  <c r="Y358" i="1"/>
  <c r="L359" i="1"/>
  <c r="AA359" i="1"/>
  <c r="AC359" i="1"/>
  <c r="AD359" i="1"/>
  <c r="K362" i="1"/>
  <c r="F363" i="1"/>
  <c r="W359" i="1"/>
  <c r="X359" i="1"/>
  <c r="Y359" i="1"/>
  <c r="T360" i="1"/>
  <c r="U360" i="1"/>
  <c r="Z360" i="1"/>
  <c r="V360" i="1"/>
  <c r="K363" i="1"/>
  <c r="F364" i="1"/>
  <c r="L360" i="1"/>
  <c r="AA360" i="1"/>
  <c r="AC360" i="1"/>
  <c r="AD360" i="1"/>
  <c r="J360" i="1"/>
  <c r="P360" i="1"/>
  <c r="Q361" i="1"/>
  <c r="S361" i="1"/>
  <c r="G361" i="1"/>
  <c r="I361" i="1"/>
  <c r="H362" i="1"/>
  <c r="W360" i="1"/>
  <c r="X360" i="1"/>
  <c r="Y360" i="1"/>
  <c r="T361" i="1"/>
  <c r="U361" i="1"/>
  <c r="Z361" i="1"/>
  <c r="V361" i="1"/>
  <c r="F365" i="1"/>
  <c r="K364" i="1"/>
  <c r="G362" i="1"/>
  <c r="I362" i="1"/>
  <c r="H363" i="1"/>
  <c r="Q362" i="1"/>
  <c r="S362" i="1"/>
  <c r="AC361" i="1"/>
  <c r="AD361" i="1"/>
  <c r="L361" i="1"/>
  <c r="AA361" i="1"/>
  <c r="J361" i="1"/>
  <c r="P361" i="1"/>
  <c r="W361" i="1"/>
  <c r="X361" i="1"/>
  <c r="Y361" i="1"/>
  <c r="T362" i="1"/>
  <c r="U362" i="1"/>
  <c r="Z362" i="1"/>
  <c r="V362" i="1"/>
  <c r="G363" i="1"/>
  <c r="I363" i="1"/>
  <c r="Q363" i="1"/>
  <c r="S363" i="1"/>
  <c r="H364" i="1"/>
  <c r="L362" i="1"/>
  <c r="AA362" i="1"/>
  <c r="AC362" i="1"/>
  <c r="AD362" i="1"/>
  <c r="K365" i="1"/>
  <c r="F366" i="1"/>
  <c r="P362" i="1"/>
  <c r="J362" i="1"/>
  <c r="W362" i="1"/>
  <c r="X362" i="1"/>
  <c r="Y362" i="1"/>
  <c r="T363" i="1"/>
  <c r="U363" i="1"/>
  <c r="Z363" i="1"/>
  <c r="V363" i="1"/>
  <c r="I364" i="1"/>
  <c r="G364" i="1"/>
  <c r="H365" i="1"/>
  <c r="Q364" i="1"/>
  <c r="S364" i="1"/>
  <c r="P363" i="1"/>
  <c r="J363" i="1"/>
  <c r="K366" i="1"/>
  <c r="F367" i="1"/>
  <c r="L363" i="1"/>
  <c r="AA363" i="1"/>
  <c r="AC363" i="1"/>
  <c r="AD363" i="1"/>
  <c r="W363" i="1"/>
  <c r="X363" i="1"/>
  <c r="Y363" i="1"/>
  <c r="T364" i="1"/>
  <c r="U364" i="1"/>
  <c r="Z364" i="1"/>
  <c r="V364" i="1"/>
  <c r="L364" i="1"/>
  <c r="AA364" i="1"/>
  <c r="AC364" i="1"/>
  <c r="AD364" i="1"/>
  <c r="K367" i="1"/>
  <c r="F368" i="1"/>
  <c r="H366" i="1"/>
  <c r="Q365" i="1"/>
  <c r="S365" i="1"/>
  <c r="G365" i="1"/>
  <c r="I365" i="1"/>
  <c r="J364" i="1"/>
  <c r="P364" i="1"/>
  <c r="W364" i="1"/>
  <c r="X364" i="1"/>
  <c r="Y364" i="1"/>
  <c r="T365" i="1"/>
  <c r="U365" i="1"/>
  <c r="Z365" i="1"/>
  <c r="V365" i="1"/>
  <c r="F369" i="1"/>
  <c r="K368" i="1"/>
  <c r="G366" i="1"/>
  <c r="I366" i="1"/>
  <c r="H367" i="1"/>
  <c r="Q366" i="1"/>
  <c r="S366" i="1"/>
  <c r="J365" i="1"/>
  <c r="P365" i="1"/>
  <c r="AC365" i="1"/>
  <c r="AD365" i="1"/>
  <c r="L365" i="1"/>
  <c r="AA365" i="1"/>
  <c r="W365" i="1"/>
  <c r="X365" i="1"/>
  <c r="Y365" i="1"/>
  <c r="T366" i="1"/>
  <c r="U366" i="1"/>
  <c r="Z366" i="1"/>
  <c r="V366" i="1"/>
  <c r="G367" i="1"/>
  <c r="I367" i="1"/>
  <c r="Q367" i="1"/>
  <c r="S367" i="1"/>
  <c r="H368" i="1"/>
  <c r="L366" i="1"/>
  <c r="AA366" i="1"/>
  <c r="AC366" i="1"/>
  <c r="AD366" i="1"/>
  <c r="P366" i="1"/>
  <c r="J366" i="1"/>
  <c r="K369" i="1"/>
  <c r="F370" i="1"/>
  <c r="W366" i="1"/>
  <c r="X366" i="1"/>
  <c r="Y366" i="1"/>
  <c r="T367" i="1"/>
  <c r="U367" i="1"/>
  <c r="Z367" i="1"/>
  <c r="V367" i="1"/>
  <c r="H369" i="1"/>
  <c r="G368" i="1"/>
  <c r="Q368" i="1"/>
  <c r="S368" i="1"/>
  <c r="I368" i="1"/>
  <c r="J367" i="1"/>
  <c r="P367" i="1"/>
  <c r="K370" i="1"/>
  <c r="F371" i="1"/>
  <c r="L367" i="1"/>
  <c r="AA367" i="1"/>
  <c r="AC367" i="1"/>
  <c r="AD367" i="1"/>
  <c r="W367" i="1"/>
  <c r="X367" i="1"/>
  <c r="T368" i="1"/>
  <c r="U368" i="1"/>
  <c r="Z368" i="1"/>
  <c r="V368" i="1"/>
  <c r="G369" i="1"/>
  <c r="I369" i="1"/>
  <c r="H370" i="1"/>
  <c r="Q369" i="1"/>
  <c r="S369" i="1"/>
  <c r="AC368" i="1"/>
  <c r="AD368" i="1"/>
  <c r="L368" i="1"/>
  <c r="AA368" i="1"/>
  <c r="Y367" i="1"/>
  <c r="K371" i="1"/>
  <c r="F372" i="1"/>
  <c r="P368" i="1"/>
  <c r="J368" i="1"/>
  <c r="W368" i="1"/>
  <c r="X368" i="1"/>
  <c r="Y368" i="1"/>
  <c r="T369" i="1"/>
  <c r="U369" i="1"/>
  <c r="Z369" i="1"/>
  <c r="V369" i="1"/>
  <c r="P369" i="1"/>
  <c r="J369" i="1"/>
  <c r="F373" i="1"/>
  <c r="K372" i="1"/>
  <c r="I370" i="1"/>
  <c r="H371" i="1"/>
  <c r="Q370" i="1"/>
  <c r="S370" i="1"/>
  <c r="G370" i="1"/>
  <c r="L369" i="1"/>
  <c r="AA369" i="1"/>
  <c r="AC369" i="1"/>
  <c r="AD369" i="1"/>
  <c r="W369" i="1"/>
  <c r="X369" i="1"/>
  <c r="Y369" i="1"/>
  <c r="T370" i="1"/>
  <c r="U370" i="1"/>
  <c r="Z370" i="1"/>
  <c r="V370" i="1"/>
  <c r="G371" i="1"/>
  <c r="I371" i="1"/>
  <c r="Q371" i="1"/>
  <c r="S371" i="1"/>
  <c r="H372" i="1"/>
  <c r="K373" i="1"/>
  <c r="F374" i="1"/>
  <c r="AC370" i="1"/>
  <c r="AD370" i="1"/>
  <c r="L370" i="1"/>
  <c r="AA370" i="1"/>
  <c r="J370" i="1"/>
  <c r="P370" i="1"/>
  <c r="W370" i="1"/>
  <c r="X370" i="1"/>
  <c r="T371" i="1"/>
  <c r="U371" i="1"/>
  <c r="Z371" i="1"/>
  <c r="V371" i="1"/>
  <c r="H373" i="1"/>
  <c r="Q372" i="1"/>
  <c r="S372" i="1"/>
  <c r="G372" i="1"/>
  <c r="I372" i="1"/>
  <c r="Y370" i="1"/>
  <c r="K374" i="1"/>
  <c r="F375" i="1"/>
  <c r="L371" i="1"/>
  <c r="AA371" i="1"/>
  <c r="AC371" i="1"/>
  <c r="AD371" i="1"/>
  <c r="J371" i="1"/>
  <c r="P371" i="1"/>
  <c r="W371" i="1"/>
  <c r="X371" i="1"/>
  <c r="Y371" i="1"/>
  <c r="T372" i="1"/>
  <c r="U372" i="1"/>
  <c r="Z372" i="1"/>
  <c r="V372" i="1"/>
  <c r="I373" i="1"/>
  <c r="G373" i="1"/>
  <c r="H374" i="1"/>
  <c r="Q373" i="1"/>
  <c r="S373" i="1"/>
  <c r="K375" i="1"/>
  <c r="F376" i="1"/>
  <c r="J372" i="1"/>
  <c r="P372" i="1"/>
  <c r="AC372" i="1"/>
  <c r="AD372" i="1"/>
  <c r="L372" i="1"/>
  <c r="AA372" i="1"/>
  <c r="T373" i="1"/>
  <c r="U373" i="1"/>
  <c r="Z373" i="1"/>
  <c r="V373" i="1"/>
  <c r="AC373" i="1"/>
  <c r="AD373" i="1"/>
  <c r="L373" i="1"/>
  <c r="AA373" i="1"/>
  <c r="I374" i="1"/>
  <c r="H375" i="1"/>
  <c r="Q374" i="1"/>
  <c r="S374" i="1"/>
  <c r="G374" i="1"/>
  <c r="W372" i="1"/>
  <c r="X372" i="1"/>
  <c r="Y372" i="1"/>
  <c r="F377" i="1"/>
  <c r="K376" i="1"/>
  <c r="J373" i="1"/>
  <c r="P373" i="1"/>
  <c r="W373" i="1"/>
  <c r="X373" i="1"/>
  <c r="Y373" i="1"/>
  <c r="T374" i="1"/>
  <c r="U374" i="1"/>
  <c r="Z374" i="1"/>
  <c r="V374" i="1"/>
  <c r="G375" i="1"/>
  <c r="I375" i="1"/>
  <c r="Q375" i="1"/>
  <c r="S375" i="1"/>
  <c r="H376" i="1"/>
  <c r="K377" i="1"/>
  <c r="F378" i="1"/>
  <c r="L374" i="1"/>
  <c r="AA374" i="1"/>
  <c r="AC374" i="1"/>
  <c r="AD374" i="1"/>
  <c r="P374" i="1"/>
  <c r="J374" i="1"/>
  <c r="W374" i="1"/>
  <c r="X374" i="1"/>
  <c r="Y374" i="1"/>
  <c r="T375" i="1"/>
  <c r="U375" i="1"/>
  <c r="Z375" i="1"/>
  <c r="V375" i="1"/>
  <c r="H377" i="1"/>
  <c r="G376" i="1"/>
  <c r="Q376" i="1"/>
  <c r="S376" i="1"/>
  <c r="I376" i="1"/>
  <c r="P375" i="1"/>
  <c r="J375" i="1"/>
  <c r="K378" i="1"/>
  <c r="F379" i="1"/>
  <c r="L375" i="1"/>
  <c r="AA375" i="1"/>
  <c r="AC375" i="1"/>
  <c r="AD375" i="1"/>
  <c r="W375" i="1"/>
  <c r="X375" i="1"/>
  <c r="Y375" i="1"/>
  <c r="T376" i="1"/>
  <c r="U376" i="1"/>
  <c r="Z376" i="1"/>
  <c r="V376" i="1"/>
  <c r="G377" i="1"/>
  <c r="I377" i="1"/>
  <c r="H378" i="1"/>
  <c r="Q377" i="1"/>
  <c r="S377" i="1"/>
  <c r="K379" i="1"/>
  <c r="F380" i="1"/>
  <c r="AC376" i="1"/>
  <c r="AD376" i="1"/>
  <c r="L376" i="1"/>
  <c r="AA376" i="1"/>
  <c r="P376" i="1"/>
  <c r="J376" i="1"/>
  <c r="W376" i="1"/>
  <c r="X376" i="1"/>
  <c r="T377" i="1"/>
  <c r="U377" i="1"/>
  <c r="Z377" i="1"/>
  <c r="V377" i="1"/>
  <c r="F381" i="1"/>
  <c r="K380" i="1"/>
  <c r="J377" i="1"/>
  <c r="P377" i="1"/>
  <c r="G378" i="1"/>
  <c r="I378" i="1"/>
  <c r="H379" i="1"/>
  <c r="Q378" i="1"/>
  <c r="S378" i="1"/>
  <c r="Y376" i="1"/>
  <c r="AC377" i="1"/>
  <c r="AD377" i="1"/>
  <c r="L377" i="1"/>
  <c r="AA377" i="1"/>
  <c r="W377" i="1"/>
  <c r="X377" i="1"/>
  <c r="Y377" i="1"/>
  <c r="T378" i="1"/>
  <c r="U378" i="1"/>
  <c r="Z378" i="1"/>
  <c r="V378" i="1"/>
  <c r="AC378" i="1"/>
  <c r="AD378" i="1"/>
  <c r="L378" i="1"/>
  <c r="AA378" i="1"/>
  <c r="P378" i="1"/>
  <c r="J378" i="1"/>
  <c r="H380" i="1"/>
  <c r="G379" i="1"/>
  <c r="I379" i="1"/>
  <c r="Q379" i="1"/>
  <c r="S379" i="1"/>
  <c r="K381" i="1"/>
  <c r="F382" i="1"/>
  <c r="W378" i="1"/>
  <c r="X378" i="1"/>
  <c r="Y378" i="1"/>
  <c r="T379" i="1"/>
  <c r="U379" i="1"/>
  <c r="Z379" i="1"/>
  <c r="V379" i="1"/>
  <c r="K382" i="1"/>
  <c r="F383" i="1"/>
  <c r="AC379" i="1"/>
  <c r="AD379" i="1"/>
  <c r="L379" i="1"/>
  <c r="AA379" i="1"/>
  <c r="H381" i="1"/>
  <c r="Q380" i="1"/>
  <c r="S380" i="1"/>
  <c r="G380" i="1"/>
  <c r="I380" i="1"/>
  <c r="P379" i="1"/>
  <c r="J379" i="1"/>
  <c r="W379" i="1"/>
  <c r="X379" i="1"/>
  <c r="T380" i="1"/>
  <c r="U380" i="1"/>
  <c r="Z380" i="1"/>
  <c r="V380" i="1"/>
  <c r="H382" i="1"/>
  <c r="Q381" i="1"/>
  <c r="S381" i="1"/>
  <c r="G381" i="1"/>
  <c r="I381" i="1"/>
  <c r="Y379" i="1"/>
  <c r="L380" i="1"/>
  <c r="AA380" i="1"/>
  <c r="AC380" i="1"/>
  <c r="AD380" i="1"/>
  <c r="P380" i="1"/>
  <c r="J380" i="1"/>
  <c r="K383" i="1"/>
  <c r="F384" i="1"/>
  <c r="W380" i="1"/>
  <c r="X380" i="1"/>
  <c r="Y380" i="1"/>
  <c r="T381" i="1"/>
  <c r="U381" i="1"/>
  <c r="Z381" i="1"/>
  <c r="V381" i="1"/>
  <c r="AC381" i="1"/>
  <c r="AD381" i="1"/>
  <c r="L381" i="1"/>
  <c r="AA381" i="1"/>
  <c r="H383" i="1"/>
  <c r="I382" i="1"/>
  <c r="Q382" i="1"/>
  <c r="S382" i="1"/>
  <c r="G382" i="1"/>
  <c r="J381" i="1"/>
  <c r="P381" i="1"/>
  <c r="K384" i="1"/>
  <c r="F385" i="1"/>
  <c r="W381" i="1"/>
  <c r="X381" i="1"/>
  <c r="Y381" i="1"/>
  <c r="T382" i="1"/>
  <c r="U382" i="1"/>
  <c r="Z382" i="1"/>
  <c r="V382" i="1"/>
  <c r="K385" i="1"/>
  <c r="F386" i="1"/>
  <c r="AC382" i="1"/>
  <c r="AD382" i="1"/>
  <c r="L382" i="1"/>
  <c r="AA382" i="1"/>
  <c r="P382" i="1"/>
  <c r="J382" i="1"/>
  <c r="H384" i="1"/>
  <c r="G383" i="1"/>
  <c r="I383" i="1"/>
  <c r="Q383" i="1"/>
  <c r="S383" i="1"/>
  <c r="W382" i="1"/>
  <c r="X382" i="1"/>
  <c r="Y382" i="1"/>
  <c r="T383" i="1"/>
  <c r="U383" i="1"/>
  <c r="Z383" i="1"/>
  <c r="V383" i="1"/>
  <c r="L383" i="1"/>
  <c r="AA383" i="1"/>
  <c r="AC383" i="1"/>
  <c r="AD383" i="1"/>
  <c r="G384" i="1"/>
  <c r="Q384" i="1"/>
  <c r="S384" i="1"/>
  <c r="I384" i="1"/>
  <c r="H385" i="1"/>
  <c r="P383" i="1"/>
  <c r="J383" i="1"/>
  <c r="K386" i="1"/>
  <c r="F387" i="1"/>
  <c r="W383" i="1"/>
  <c r="X383" i="1"/>
  <c r="Y383" i="1"/>
  <c r="T384" i="1"/>
  <c r="U384" i="1"/>
  <c r="Z384" i="1"/>
  <c r="V384" i="1"/>
  <c r="Q385" i="1"/>
  <c r="S385" i="1"/>
  <c r="G385" i="1"/>
  <c r="I385" i="1"/>
  <c r="H386" i="1"/>
  <c r="P384" i="1"/>
  <c r="J384" i="1"/>
  <c r="K387" i="1"/>
  <c r="F388" i="1"/>
  <c r="L384" i="1"/>
  <c r="AA384" i="1"/>
  <c r="AC384" i="1"/>
  <c r="AD384" i="1"/>
  <c r="W384" i="1"/>
  <c r="X384" i="1"/>
  <c r="Y384" i="1"/>
  <c r="T385" i="1"/>
  <c r="U385" i="1"/>
  <c r="Z385" i="1"/>
  <c r="V385" i="1"/>
  <c r="I386" i="1"/>
  <c r="H387" i="1"/>
  <c r="Q386" i="1"/>
  <c r="S386" i="1"/>
  <c r="G386" i="1"/>
  <c r="AC385" i="1"/>
  <c r="AD385" i="1"/>
  <c r="L385" i="1"/>
  <c r="AA385" i="1"/>
  <c r="P385" i="1"/>
  <c r="J385" i="1"/>
  <c r="K388" i="1"/>
  <c r="F389" i="1"/>
  <c r="W385" i="1"/>
  <c r="X385" i="1"/>
  <c r="Y385" i="1"/>
  <c r="T386" i="1"/>
  <c r="U386" i="1"/>
  <c r="Z386" i="1"/>
  <c r="V386" i="1"/>
  <c r="K389" i="1"/>
  <c r="F390" i="1"/>
  <c r="P386" i="1"/>
  <c r="J386" i="1"/>
  <c r="L386" i="1"/>
  <c r="AA386" i="1"/>
  <c r="AC386" i="1"/>
  <c r="AD386" i="1"/>
  <c r="G387" i="1"/>
  <c r="I387" i="1"/>
  <c r="Q387" i="1"/>
  <c r="S387" i="1"/>
  <c r="H388" i="1"/>
  <c r="W386" i="1"/>
  <c r="X386" i="1"/>
  <c r="Y386" i="1"/>
  <c r="T387" i="1"/>
  <c r="U387" i="1"/>
  <c r="Z387" i="1"/>
  <c r="V387" i="1"/>
  <c r="K390" i="1"/>
  <c r="F391" i="1"/>
  <c r="AC387" i="1"/>
  <c r="AD387" i="1"/>
  <c r="L387" i="1"/>
  <c r="AA387" i="1"/>
  <c r="I388" i="1"/>
  <c r="G388" i="1"/>
  <c r="H389" i="1"/>
  <c r="Q388" i="1"/>
  <c r="S388" i="1"/>
  <c r="P387" i="1"/>
  <c r="J387" i="1"/>
  <c r="W387" i="1"/>
  <c r="X387" i="1"/>
  <c r="T388" i="1"/>
  <c r="U388" i="1"/>
  <c r="Z388" i="1"/>
  <c r="V388" i="1"/>
  <c r="J388" i="1"/>
  <c r="P388" i="1"/>
  <c r="L388" i="1"/>
  <c r="AA388" i="1"/>
  <c r="AC388" i="1"/>
  <c r="AD388" i="1"/>
  <c r="F392" i="1"/>
  <c r="K391" i="1"/>
  <c r="Y387" i="1"/>
  <c r="G389" i="1"/>
  <c r="I389" i="1"/>
  <c r="H390" i="1"/>
  <c r="Q389" i="1"/>
  <c r="S389" i="1"/>
  <c r="W388" i="1"/>
  <c r="X388" i="1"/>
  <c r="Y388" i="1"/>
  <c r="T389" i="1"/>
  <c r="U389" i="1"/>
  <c r="Z389" i="1"/>
  <c r="V389" i="1"/>
  <c r="F393" i="1"/>
  <c r="K392" i="1"/>
  <c r="H391" i="1"/>
  <c r="I390" i="1"/>
  <c r="Q390" i="1"/>
  <c r="S390" i="1"/>
  <c r="G390" i="1"/>
  <c r="AC389" i="1"/>
  <c r="AD389" i="1"/>
  <c r="L389" i="1"/>
  <c r="AA389" i="1"/>
  <c r="P389" i="1"/>
  <c r="J389" i="1"/>
  <c r="W389" i="1"/>
  <c r="X389" i="1"/>
  <c r="Y389" i="1"/>
  <c r="T390" i="1"/>
  <c r="U390" i="1"/>
  <c r="Z390" i="1"/>
  <c r="V390" i="1"/>
  <c r="K393" i="1"/>
  <c r="F394" i="1"/>
  <c r="P390" i="1"/>
  <c r="J390" i="1"/>
  <c r="L390" i="1"/>
  <c r="AA390" i="1"/>
  <c r="AC390" i="1"/>
  <c r="AD390" i="1"/>
  <c r="G391" i="1"/>
  <c r="I391" i="1"/>
  <c r="Q391" i="1"/>
  <c r="S391" i="1"/>
  <c r="H392" i="1"/>
  <c r="W390" i="1"/>
  <c r="X390" i="1"/>
  <c r="Y390" i="1"/>
  <c r="T391" i="1"/>
  <c r="U391" i="1"/>
  <c r="Z391" i="1"/>
  <c r="V391" i="1"/>
  <c r="I392" i="1"/>
  <c r="H393" i="1"/>
  <c r="G392" i="1"/>
  <c r="Q392" i="1"/>
  <c r="S392" i="1"/>
  <c r="L391" i="1"/>
  <c r="AA391" i="1"/>
  <c r="AC391" i="1"/>
  <c r="AD391" i="1"/>
  <c r="K394" i="1"/>
  <c r="F395" i="1"/>
  <c r="J391" i="1"/>
  <c r="P391" i="1"/>
  <c r="W391" i="1"/>
  <c r="X391" i="1"/>
  <c r="Y391" i="1"/>
  <c r="T392" i="1"/>
  <c r="U392" i="1"/>
  <c r="Z392" i="1"/>
  <c r="V392" i="1"/>
  <c r="K395" i="1"/>
  <c r="F396" i="1"/>
  <c r="L392" i="1"/>
  <c r="AA392" i="1"/>
  <c r="AC392" i="1"/>
  <c r="AD392" i="1"/>
  <c r="J392" i="1"/>
  <c r="P392" i="1"/>
  <c r="H394" i="1"/>
  <c r="Q393" i="1"/>
  <c r="S393" i="1"/>
  <c r="I393" i="1"/>
  <c r="G393" i="1"/>
  <c r="W392" i="1"/>
  <c r="X392" i="1"/>
  <c r="Y392" i="1"/>
  <c r="T393" i="1"/>
  <c r="U393" i="1"/>
  <c r="Z393" i="1"/>
  <c r="V393" i="1"/>
  <c r="P393" i="1"/>
  <c r="J393" i="1"/>
  <c r="F397" i="1"/>
  <c r="K396" i="1"/>
  <c r="G394" i="1"/>
  <c r="I394" i="1"/>
  <c r="H395" i="1"/>
  <c r="Q394" i="1"/>
  <c r="S394" i="1"/>
  <c r="AC393" i="1"/>
  <c r="AD393" i="1"/>
  <c r="L393" i="1"/>
  <c r="AA393" i="1"/>
  <c r="W393" i="1"/>
  <c r="X393" i="1"/>
  <c r="Y393" i="1"/>
  <c r="T394" i="1"/>
  <c r="U394" i="1"/>
  <c r="Z394" i="1"/>
  <c r="V394" i="1"/>
  <c r="AC394" i="1"/>
  <c r="AD394" i="1"/>
  <c r="L394" i="1"/>
  <c r="AA394" i="1"/>
  <c r="K397" i="1"/>
  <c r="F398" i="1"/>
  <c r="P394" i="1"/>
  <c r="J394" i="1"/>
  <c r="H396" i="1"/>
  <c r="G395" i="1"/>
  <c r="I395" i="1"/>
  <c r="Q395" i="1"/>
  <c r="S395" i="1"/>
  <c r="T395" i="1"/>
  <c r="U395" i="1"/>
  <c r="Z395" i="1"/>
  <c r="V395" i="1"/>
  <c r="K398" i="1"/>
  <c r="F399" i="1"/>
  <c r="L395" i="1"/>
  <c r="AA395" i="1"/>
  <c r="AC395" i="1"/>
  <c r="AD395" i="1"/>
  <c r="W394" i="1"/>
  <c r="X394" i="1"/>
  <c r="Y394" i="1"/>
  <c r="Q396" i="1"/>
  <c r="S396" i="1"/>
  <c r="I396" i="1"/>
  <c r="G396" i="1"/>
  <c r="H397" i="1"/>
  <c r="J395" i="1"/>
  <c r="P395" i="1"/>
  <c r="W395" i="1"/>
  <c r="X395" i="1"/>
  <c r="Y395" i="1"/>
  <c r="T396" i="1"/>
  <c r="U396" i="1"/>
  <c r="Z396" i="1"/>
  <c r="V396" i="1"/>
  <c r="Q397" i="1"/>
  <c r="S397" i="1"/>
  <c r="G397" i="1"/>
  <c r="I397" i="1"/>
  <c r="H398" i="1"/>
  <c r="K399" i="1"/>
  <c r="F400" i="1"/>
  <c r="L396" i="1"/>
  <c r="AA396" i="1"/>
  <c r="AC396" i="1"/>
  <c r="AD396" i="1"/>
  <c r="J396" i="1"/>
  <c r="P396" i="1"/>
  <c r="W396" i="1"/>
  <c r="X396" i="1"/>
  <c r="Y396" i="1"/>
  <c r="T397" i="1"/>
  <c r="U397" i="1"/>
  <c r="Z397" i="1"/>
  <c r="V397" i="1"/>
  <c r="G398" i="1"/>
  <c r="I398" i="1"/>
  <c r="H399" i="1"/>
  <c r="Q398" i="1"/>
  <c r="S398" i="1"/>
  <c r="F401" i="1"/>
  <c r="K400" i="1"/>
  <c r="AC397" i="1"/>
  <c r="AD397" i="1"/>
  <c r="L397" i="1"/>
  <c r="AA397" i="1"/>
  <c r="J397" i="1"/>
  <c r="P397" i="1"/>
  <c r="T398" i="1"/>
  <c r="U398" i="1"/>
  <c r="Z398" i="1"/>
  <c r="V398" i="1"/>
  <c r="P398" i="1"/>
  <c r="J398" i="1"/>
  <c r="W397" i="1"/>
  <c r="X397" i="1"/>
  <c r="Y397" i="1"/>
  <c r="Q399" i="1"/>
  <c r="S399" i="1"/>
  <c r="H400" i="1"/>
  <c r="I399" i="1"/>
  <c r="G399" i="1"/>
  <c r="K401" i="1"/>
  <c r="F402" i="1"/>
  <c r="L398" i="1"/>
  <c r="AA398" i="1"/>
  <c r="AC398" i="1"/>
  <c r="AD398" i="1"/>
  <c r="T399" i="1"/>
  <c r="U399" i="1"/>
  <c r="Z399" i="1"/>
  <c r="V399" i="1"/>
  <c r="H401" i="1"/>
  <c r="G400" i="1"/>
  <c r="Q400" i="1"/>
  <c r="S400" i="1"/>
  <c r="I400" i="1"/>
  <c r="F403" i="1"/>
  <c r="K402" i="1"/>
  <c r="W398" i="1"/>
  <c r="X398" i="1"/>
  <c r="Y398" i="1"/>
  <c r="J399" i="1"/>
  <c r="P399" i="1"/>
  <c r="L399" i="1"/>
  <c r="AA399" i="1"/>
  <c r="AC399" i="1"/>
  <c r="AD399" i="1"/>
  <c r="W399" i="1"/>
  <c r="X399" i="1"/>
  <c r="Y399" i="1"/>
  <c r="T400" i="1"/>
  <c r="U400" i="1"/>
  <c r="Z400" i="1"/>
  <c r="V400" i="1"/>
  <c r="Q401" i="1"/>
  <c r="S401" i="1"/>
  <c r="G401" i="1"/>
  <c r="I401" i="1"/>
  <c r="H402" i="1"/>
  <c r="AC400" i="1"/>
  <c r="AD400" i="1"/>
  <c r="L400" i="1"/>
  <c r="AA400" i="1"/>
  <c r="F404" i="1"/>
  <c r="K403" i="1"/>
  <c r="J400" i="1"/>
  <c r="P400" i="1"/>
  <c r="W400" i="1"/>
  <c r="X400" i="1"/>
  <c r="Y400" i="1"/>
  <c r="T401" i="1"/>
  <c r="U401" i="1"/>
  <c r="Z401" i="1"/>
  <c r="V401" i="1"/>
  <c r="G402" i="1"/>
  <c r="I402" i="1"/>
  <c r="H403" i="1"/>
  <c r="Q402" i="1"/>
  <c r="S402" i="1"/>
  <c r="L401" i="1"/>
  <c r="AA401" i="1"/>
  <c r="AC401" i="1"/>
  <c r="AD401" i="1"/>
  <c r="F405" i="1"/>
  <c r="K404" i="1"/>
  <c r="P401" i="1"/>
  <c r="J401" i="1"/>
  <c r="W401" i="1"/>
  <c r="X401" i="1"/>
  <c r="Y401" i="1"/>
  <c r="T402" i="1"/>
  <c r="U402" i="1"/>
  <c r="Z402" i="1"/>
  <c r="V402" i="1"/>
  <c r="P402" i="1"/>
  <c r="J402" i="1"/>
  <c r="K405" i="1"/>
  <c r="F406" i="1"/>
  <c r="H404" i="1"/>
  <c r="G403" i="1"/>
  <c r="I403" i="1"/>
  <c r="Q403" i="1"/>
  <c r="S403" i="1"/>
  <c r="AC402" i="1"/>
  <c r="AD402" i="1"/>
  <c r="L402" i="1"/>
  <c r="AA402" i="1"/>
  <c r="T403" i="1"/>
  <c r="U403" i="1"/>
  <c r="Z403" i="1"/>
  <c r="V403" i="1"/>
  <c r="P403" i="1"/>
  <c r="J403" i="1"/>
  <c r="K406" i="1"/>
  <c r="F407" i="1"/>
  <c r="W402" i="1"/>
  <c r="X402" i="1"/>
  <c r="Y402" i="1"/>
  <c r="Q404" i="1"/>
  <c r="S404" i="1"/>
  <c r="I404" i="1"/>
  <c r="G404" i="1"/>
  <c r="H405" i="1"/>
  <c r="L403" i="1"/>
  <c r="AA403" i="1"/>
  <c r="AC403" i="1"/>
  <c r="AD403" i="1"/>
  <c r="W403" i="1"/>
  <c r="X403" i="1"/>
  <c r="Y403" i="1"/>
  <c r="T404" i="1"/>
  <c r="U404" i="1"/>
  <c r="Z404" i="1"/>
  <c r="V404" i="1"/>
  <c r="AC404" i="1"/>
  <c r="AD404" i="1"/>
  <c r="L404" i="1"/>
  <c r="AA404" i="1"/>
  <c r="G405" i="1"/>
  <c r="I405" i="1"/>
  <c r="H406" i="1"/>
  <c r="Q405" i="1"/>
  <c r="S405" i="1"/>
  <c r="P404" i="1"/>
  <c r="J404" i="1"/>
  <c r="K407" i="1"/>
  <c r="F408" i="1"/>
  <c r="W404" i="1"/>
  <c r="X404" i="1"/>
  <c r="Y404" i="1"/>
  <c r="T405" i="1"/>
  <c r="U405" i="1"/>
  <c r="Z405" i="1"/>
  <c r="V405" i="1"/>
  <c r="K408" i="1"/>
  <c r="F409" i="1"/>
  <c r="I406" i="1"/>
  <c r="H407" i="1"/>
  <c r="Q406" i="1"/>
  <c r="S406" i="1"/>
  <c r="G406" i="1"/>
  <c r="L405" i="1"/>
  <c r="AA405" i="1"/>
  <c r="AC405" i="1"/>
  <c r="AD405" i="1"/>
  <c r="P405" i="1"/>
  <c r="J405" i="1"/>
  <c r="W405" i="1"/>
  <c r="X405" i="1"/>
  <c r="Y405" i="1"/>
  <c r="T406" i="1"/>
  <c r="U406" i="1"/>
  <c r="Z406" i="1"/>
  <c r="V406" i="1"/>
  <c r="AC406" i="1"/>
  <c r="AD406" i="1"/>
  <c r="L406" i="1"/>
  <c r="AA406" i="1"/>
  <c r="P406" i="1"/>
  <c r="J406" i="1"/>
  <c r="K409" i="1"/>
  <c r="F410" i="1"/>
  <c r="H408" i="1"/>
  <c r="G407" i="1"/>
  <c r="I407" i="1"/>
  <c r="Q407" i="1"/>
  <c r="S407" i="1"/>
  <c r="T407" i="1"/>
  <c r="U407" i="1"/>
  <c r="Z407" i="1"/>
  <c r="V407" i="1"/>
  <c r="I408" i="1"/>
  <c r="Q408" i="1"/>
  <c r="S408" i="1"/>
  <c r="H409" i="1"/>
  <c r="G408" i="1"/>
  <c r="P407" i="1"/>
  <c r="J407" i="1"/>
  <c r="W406" i="1"/>
  <c r="X406" i="1"/>
  <c r="Y406" i="1"/>
  <c r="L407" i="1"/>
  <c r="AA407" i="1"/>
  <c r="AC407" i="1"/>
  <c r="AD407" i="1"/>
  <c r="K410" i="1"/>
  <c r="F411" i="1"/>
  <c r="W407" i="1"/>
  <c r="X407" i="1"/>
  <c r="Y407" i="1"/>
  <c r="T408" i="1"/>
  <c r="U408" i="1"/>
  <c r="Z408" i="1"/>
  <c r="V408" i="1"/>
  <c r="AC408" i="1"/>
  <c r="AD408" i="1"/>
  <c r="L408" i="1"/>
  <c r="AA408" i="1"/>
  <c r="J408" i="1"/>
  <c r="P408" i="1"/>
  <c r="Q409" i="1"/>
  <c r="S409" i="1"/>
  <c r="I409" i="1"/>
  <c r="G409" i="1"/>
  <c r="H410" i="1"/>
  <c r="K411" i="1"/>
  <c r="F412" i="1"/>
  <c r="W408" i="1"/>
  <c r="X408" i="1"/>
  <c r="Y408" i="1"/>
  <c r="T409" i="1"/>
  <c r="U409" i="1"/>
  <c r="Z409" i="1"/>
  <c r="V409" i="1"/>
  <c r="F413" i="1"/>
  <c r="K412" i="1"/>
  <c r="L409" i="1"/>
  <c r="AA409" i="1"/>
  <c r="AC409" i="1"/>
  <c r="AD409" i="1"/>
  <c r="I410" i="1"/>
  <c r="H411" i="1"/>
  <c r="Q410" i="1"/>
  <c r="S410" i="1"/>
  <c r="G410" i="1"/>
  <c r="P409" i="1"/>
  <c r="J409" i="1"/>
  <c r="W409" i="1"/>
  <c r="X409" i="1"/>
  <c r="Y409" i="1"/>
  <c r="T410" i="1"/>
  <c r="U410" i="1"/>
  <c r="Z410" i="1"/>
  <c r="V410" i="1"/>
  <c r="Q411" i="1"/>
  <c r="S411" i="1"/>
  <c r="H412" i="1"/>
  <c r="I411" i="1"/>
  <c r="G411" i="1"/>
  <c r="K413" i="1"/>
  <c r="F414" i="1"/>
  <c r="J410" i="1"/>
  <c r="P410" i="1"/>
  <c r="L410" i="1"/>
  <c r="AA410" i="1"/>
  <c r="AC410" i="1"/>
  <c r="AD410" i="1"/>
  <c r="W410" i="1"/>
  <c r="X410" i="1"/>
  <c r="Y410" i="1"/>
  <c r="T411" i="1"/>
  <c r="U411" i="1"/>
  <c r="Z411" i="1"/>
  <c r="V411" i="1"/>
  <c r="P411" i="1"/>
  <c r="J411" i="1"/>
  <c r="K414" i="1"/>
  <c r="F415" i="1"/>
  <c r="L411" i="1"/>
  <c r="AA411" i="1"/>
  <c r="AC411" i="1"/>
  <c r="AD411" i="1"/>
  <c r="H413" i="1"/>
  <c r="Q412" i="1"/>
  <c r="S412" i="1"/>
  <c r="I412" i="1"/>
  <c r="G412" i="1"/>
  <c r="W411" i="1"/>
  <c r="X411" i="1"/>
  <c r="Y411" i="1"/>
  <c r="T412" i="1"/>
  <c r="U412" i="1"/>
  <c r="Z412" i="1"/>
  <c r="V412" i="1"/>
  <c r="AC412" i="1"/>
  <c r="AD412" i="1"/>
  <c r="L412" i="1"/>
  <c r="AA412" i="1"/>
  <c r="K415" i="1"/>
  <c r="F416" i="1"/>
  <c r="P412" i="1"/>
  <c r="J412" i="1"/>
  <c r="G413" i="1"/>
  <c r="I413" i="1"/>
  <c r="H414" i="1"/>
  <c r="Q413" i="1"/>
  <c r="S413" i="1"/>
  <c r="W412" i="1"/>
  <c r="X412" i="1"/>
  <c r="Y412" i="1"/>
  <c r="T413" i="1"/>
  <c r="U413" i="1"/>
  <c r="Z413" i="1"/>
  <c r="V413" i="1"/>
  <c r="F417" i="1"/>
  <c r="K416" i="1"/>
  <c r="AC413" i="1"/>
  <c r="AD413" i="1"/>
  <c r="L413" i="1"/>
  <c r="AA413" i="1"/>
  <c r="J413" i="1"/>
  <c r="P413" i="1"/>
  <c r="G414" i="1"/>
  <c r="I414" i="1"/>
  <c r="H415" i="1"/>
  <c r="Q414" i="1"/>
  <c r="S414" i="1"/>
  <c r="W413" i="1"/>
  <c r="X413" i="1"/>
  <c r="Y413" i="1"/>
  <c r="T414" i="1"/>
  <c r="U414" i="1"/>
  <c r="Z414" i="1"/>
  <c r="V414" i="1"/>
  <c r="F418" i="1"/>
  <c r="K417" i="1"/>
  <c r="J414" i="1"/>
  <c r="P414" i="1"/>
  <c r="Q415" i="1"/>
  <c r="S415" i="1"/>
  <c r="H416" i="1"/>
  <c r="G415" i="1"/>
  <c r="I415" i="1"/>
  <c r="L414" i="1"/>
  <c r="AA414" i="1"/>
  <c r="AC414" i="1"/>
  <c r="AD414" i="1"/>
  <c r="W414" i="1"/>
  <c r="X414" i="1"/>
  <c r="Y414" i="1"/>
  <c r="T415" i="1"/>
  <c r="U415" i="1"/>
  <c r="Z415" i="1"/>
  <c r="V415" i="1"/>
  <c r="F419" i="1"/>
  <c r="K418" i="1"/>
  <c r="AC415" i="1"/>
  <c r="AD415" i="1"/>
  <c r="L415" i="1"/>
  <c r="AA415" i="1"/>
  <c r="I416" i="1"/>
  <c r="G416" i="1"/>
  <c r="H417" i="1"/>
  <c r="Q416" i="1"/>
  <c r="S416" i="1"/>
  <c r="P415" i="1"/>
  <c r="J415" i="1"/>
  <c r="W415" i="1"/>
  <c r="X415" i="1"/>
  <c r="Y415" i="1"/>
  <c r="T416" i="1"/>
  <c r="U416" i="1"/>
  <c r="Z416" i="1"/>
  <c r="V416" i="1"/>
  <c r="AC416" i="1"/>
  <c r="AD416" i="1"/>
  <c r="L416" i="1"/>
  <c r="AA416" i="1"/>
  <c r="G417" i="1"/>
  <c r="I417" i="1"/>
  <c r="Q417" i="1"/>
  <c r="S417" i="1"/>
  <c r="H418" i="1"/>
  <c r="F420" i="1"/>
  <c r="K419" i="1"/>
  <c r="P416" i="1"/>
  <c r="J416" i="1"/>
  <c r="W416" i="1"/>
  <c r="X416" i="1"/>
  <c r="Y416" i="1"/>
  <c r="T417" i="1"/>
  <c r="U417" i="1"/>
  <c r="Z417" i="1"/>
  <c r="V417" i="1"/>
  <c r="F421" i="1"/>
  <c r="K420" i="1"/>
  <c r="AC417" i="1"/>
  <c r="AD417" i="1"/>
  <c r="L417" i="1"/>
  <c r="AA417" i="1"/>
  <c r="G418" i="1"/>
  <c r="H419" i="1"/>
  <c r="I418" i="1"/>
  <c r="Q418" i="1"/>
  <c r="S418" i="1"/>
  <c r="T418" i="1"/>
  <c r="U418" i="1"/>
  <c r="Z418" i="1"/>
  <c r="J417" i="1"/>
  <c r="P417" i="1"/>
  <c r="W417" i="1"/>
  <c r="X417" i="1"/>
  <c r="V418" i="1"/>
  <c r="W418" i="1"/>
  <c r="X418" i="1"/>
  <c r="F422" i="1"/>
  <c r="K421" i="1"/>
  <c r="P418" i="1"/>
  <c r="J418" i="1"/>
  <c r="L418" i="1"/>
  <c r="AA418" i="1"/>
  <c r="AC418" i="1"/>
  <c r="AD418" i="1"/>
  <c r="Y417" i="1"/>
  <c r="G419" i="1"/>
  <c r="I419" i="1"/>
  <c r="H420" i="1"/>
  <c r="Q419" i="1"/>
  <c r="S419" i="1"/>
  <c r="T419" i="1"/>
  <c r="U419" i="1"/>
  <c r="Z419" i="1"/>
  <c r="Y418" i="1"/>
  <c r="I420" i="1"/>
  <c r="G420" i="1"/>
  <c r="Q420" i="1"/>
  <c r="S420" i="1"/>
  <c r="T420" i="1"/>
  <c r="U420" i="1"/>
  <c r="Z420" i="1"/>
  <c r="H421" i="1"/>
  <c r="AC419" i="1"/>
  <c r="AD419" i="1"/>
  <c r="L419" i="1"/>
  <c r="AA419" i="1"/>
  <c r="F423" i="1"/>
  <c r="K422" i="1"/>
  <c r="V419" i="1"/>
  <c r="W419" i="1"/>
  <c r="X419" i="1"/>
  <c r="J419" i="1"/>
  <c r="P419" i="1"/>
  <c r="F424" i="1"/>
  <c r="K423" i="1"/>
  <c r="I421" i="1"/>
  <c r="H422" i="1"/>
  <c r="G421" i="1"/>
  <c r="Q421" i="1"/>
  <c r="S421" i="1"/>
  <c r="T421" i="1"/>
  <c r="U421" i="1"/>
  <c r="Z421" i="1"/>
  <c r="P420" i="1"/>
  <c r="J420" i="1"/>
  <c r="Y419" i="1"/>
  <c r="V420" i="1"/>
  <c r="W420" i="1"/>
  <c r="X420" i="1"/>
  <c r="AC420" i="1"/>
  <c r="AD420" i="1"/>
  <c r="L420" i="1"/>
  <c r="AA420" i="1"/>
  <c r="V421" i="1"/>
  <c r="W421" i="1"/>
  <c r="X421" i="1"/>
  <c r="Y420" i="1"/>
  <c r="L421" i="1"/>
  <c r="AA421" i="1"/>
  <c r="AC421" i="1"/>
  <c r="AD421" i="1"/>
  <c r="G422" i="1"/>
  <c r="Q422" i="1"/>
  <c r="S422" i="1"/>
  <c r="T422" i="1"/>
  <c r="U422" i="1"/>
  <c r="Z422" i="1"/>
  <c r="H423" i="1"/>
  <c r="I422" i="1"/>
  <c r="P421" i="1"/>
  <c r="J421" i="1"/>
  <c r="F425" i="1"/>
  <c r="K424" i="1"/>
  <c r="Y421" i="1"/>
  <c r="F426" i="1"/>
  <c r="K425" i="1"/>
  <c r="G423" i="1"/>
  <c r="Q423" i="1"/>
  <c r="S423" i="1"/>
  <c r="T423" i="1"/>
  <c r="U423" i="1"/>
  <c r="Z423" i="1"/>
  <c r="H424" i="1"/>
  <c r="I423" i="1"/>
  <c r="L422" i="1"/>
  <c r="AA422" i="1"/>
  <c r="AC422" i="1"/>
  <c r="AD422" i="1"/>
  <c r="V422" i="1"/>
  <c r="W422" i="1"/>
  <c r="X422" i="1"/>
  <c r="J422" i="1"/>
  <c r="P422" i="1"/>
  <c r="J423" i="1"/>
  <c r="P423" i="1"/>
  <c r="V423" i="1"/>
  <c r="W423" i="1"/>
  <c r="X423" i="1"/>
  <c r="Y422" i="1"/>
  <c r="AC423" i="1"/>
  <c r="AD423" i="1"/>
  <c r="L423" i="1"/>
  <c r="AA423" i="1"/>
  <c r="I424" i="1"/>
  <c r="Q424" i="1"/>
  <c r="S424" i="1"/>
  <c r="T424" i="1"/>
  <c r="U424" i="1"/>
  <c r="Z424" i="1"/>
  <c r="G424" i="1"/>
  <c r="H425" i="1"/>
  <c r="F427" i="1"/>
  <c r="K426" i="1"/>
  <c r="Y423" i="1"/>
  <c r="K427" i="1"/>
  <c r="F428" i="1"/>
  <c r="V424" i="1"/>
  <c r="W424" i="1"/>
  <c r="X424" i="1"/>
  <c r="L424" i="1"/>
  <c r="AA424" i="1"/>
  <c r="AC424" i="1"/>
  <c r="AD424" i="1"/>
  <c r="H426" i="1"/>
  <c r="Q425" i="1"/>
  <c r="S425" i="1"/>
  <c r="T425" i="1"/>
  <c r="U425" i="1"/>
  <c r="Z425" i="1"/>
  <c r="I425" i="1"/>
  <c r="G425" i="1"/>
  <c r="J424" i="1"/>
  <c r="P424" i="1"/>
  <c r="V425" i="1"/>
  <c r="W425" i="1"/>
  <c r="X425" i="1"/>
  <c r="F429" i="1"/>
  <c r="K428" i="1"/>
  <c r="P425" i="1"/>
  <c r="J425" i="1"/>
  <c r="I426" i="1"/>
  <c r="G426" i="1"/>
  <c r="H427" i="1"/>
  <c r="Q426" i="1"/>
  <c r="S426" i="1"/>
  <c r="T426" i="1"/>
  <c r="U426" i="1"/>
  <c r="Z426" i="1"/>
  <c r="L425" i="1"/>
  <c r="AA425" i="1"/>
  <c r="AC425" i="1"/>
  <c r="AD425" i="1"/>
  <c r="Y424" i="1"/>
  <c r="Y425" i="1"/>
  <c r="F430" i="1"/>
  <c r="K429" i="1"/>
  <c r="V426" i="1"/>
  <c r="W426" i="1"/>
  <c r="X426" i="1"/>
  <c r="L426" i="1"/>
  <c r="AA426" i="1"/>
  <c r="AC426" i="1"/>
  <c r="AD426" i="1"/>
  <c r="G427" i="1"/>
  <c r="I427" i="1"/>
  <c r="Q427" i="1"/>
  <c r="S427" i="1"/>
  <c r="T427" i="1"/>
  <c r="U427" i="1"/>
  <c r="Z427" i="1"/>
  <c r="H428" i="1"/>
  <c r="J426" i="1"/>
  <c r="P426" i="1"/>
  <c r="F431" i="1"/>
  <c r="K430" i="1"/>
  <c r="Y426" i="1"/>
  <c r="V427" i="1"/>
  <c r="W427" i="1"/>
  <c r="X427" i="1"/>
  <c r="P427" i="1"/>
  <c r="J427" i="1"/>
  <c r="I428" i="1"/>
  <c r="H429" i="1"/>
  <c r="G428" i="1"/>
  <c r="Q428" i="1"/>
  <c r="S428" i="1"/>
  <c r="T428" i="1"/>
  <c r="U428" i="1"/>
  <c r="Z428" i="1"/>
  <c r="L427" i="1"/>
  <c r="AA427" i="1"/>
  <c r="AC427" i="1"/>
  <c r="AD427" i="1"/>
  <c r="K431" i="1"/>
  <c r="F432" i="1"/>
  <c r="V428" i="1"/>
  <c r="W428" i="1"/>
  <c r="X428" i="1"/>
  <c r="Y427" i="1"/>
  <c r="AC428" i="1"/>
  <c r="AD428" i="1"/>
  <c r="L428" i="1"/>
  <c r="AA428" i="1"/>
  <c r="P428" i="1"/>
  <c r="J428" i="1"/>
  <c r="G429" i="1"/>
  <c r="H430" i="1"/>
  <c r="I429" i="1"/>
  <c r="Q429" i="1"/>
  <c r="S429" i="1"/>
  <c r="T429" i="1"/>
  <c r="U429" i="1"/>
  <c r="Z429" i="1"/>
  <c r="F433" i="1"/>
  <c r="K432" i="1"/>
  <c r="Y428" i="1"/>
  <c r="V429" i="1"/>
  <c r="W429" i="1"/>
  <c r="X429" i="1"/>
  <c r="AC429" i="1"/>
  <c r="AD429" i="1"/>
  <c r="L429" i="1"/>
  <c r="AA429" i="1"/>
  <c r="P429" i="1"/>
  <c r="J429" i="1"/>
  <c r="Q430" i="1"/>
  <c r="S430" i="1"/>
  <c r="T430" i="1"/>
  <c r="U430" i="1"/>
  <c r="Z430" i="1"/>
  <c r="G430" i="1"/>
  <c r="H431" i="1"/>
  <c r="H432" i="1"/>
  <c r="I430" i="1"/>
  <c r="K433" i="1"/>
  <c r="F434" i="1"/>
  <c r="Q432" i="1"/>
  <c r="G432" i="1"/>
  <c r="H433" i="1"/>
  <c r="I432" i="1"/>
  <c r="Y429" i="1"/>
  <c r="V430" i="1"/>
  <c r="W430" i="1"/>
  <c r="X430" i="1"/>
  <c r="P430" i="1"/>
  <c r="J430" i="1"/>
  <c r="G431" i="1"/>
  <c r="Q431" i="1"/>
  <c r="S431" i="1"/>
  <c r="T431" i="1"/>
  <c r="U431" i="1"/>
  <c r="Z431" i="1"/>
  <c r="I431" i="1"/>
  <c r="L430" i="1"/>
  <c r="AA430" i="1"/>
  <c r="AC430" i="1"/>
  <c r="AD430" i="1"/>
  <c r="K434" i="1"/>
  <c r="F435" i="1"/>
  <c r="AC432" i="1"/>
  <c r="AD432" i="1"/>
  <c r="L432" i="1"/>
  <c r="H434" i="1"/>
  <c r="G433" i="1"/>
  <c r="Q433" i="1"/>
  <c r="I433" i="1"/>
  <c r="P432" i="1"/>
  <c r="J432" i="1"/>
  <c r="S432" i="1"/>
  <c r="Y430" i="1"/>
  <c r="J431" i="1"/>
  <c r="P431" i="1"/>
  <c r="V431" i="1"/>
  <c r="W431" i="1"/>
  <c r="X431" i="1"/>
  <c r="AC431" i="1"/>
  <c r="AD431" i="1"/>
  <c r="L431" i="1"/>
  <c r="F436" i="1"/>
  <c r="K435" i="1"/>
  <c r="S433" i="1"/>
  <c r="T432" i="1"/>
  <c r="U432" i="1"/>
  <c r="Z432" i="1"/>
  <c r="V432" i="1"/>
  <c r="AA432" i="1"/>
  <c r="J433" i="1"/>
  <c r="P433" i="1"/>
  <c r="Q434" i="1"/>
  <c r="H435" i="1"/>
  <c r="G434" i="1"/>
  <c r="I434" i="1"/>
  <c r="AC433" i="1"/>
  <c r="AD433" i="1"/>
  <c r="L433" i="1"/>
  <c r="Y431" i="1"/>
  <c r="K436" i="1"/>
  <c r="F437" i="1"/>
  <c r="S434" i="1"/>
  <c r="T434" i="1"/>
  <c r="U434" i="1"/>
  <c r="Z434" i="1"/>
  <c r="W432" i="1"/>
  <c r="X432" i="1"/>
  <c r="Y432" i="1"/>
  <c r="J434" i="1"/>
  <c r="P434" i="1"/>
  <c r="AA433" i="1"/>
  <c r="L434" i="1"/>
  <c r="AA434" i="1"/>
  <c r="AC434" i="1"/>
  <c r="AD434" i="1"/>
  <c r="Q435" i="1"/>
  <c r="G435" i="1"/>
  <c r="I435" i="1"/>
  <c r="H436" i="1"/>
  <c r="T433" i="1"/>
  <c r="U433" i="1"/>
  <c r="Z433" i="1"/>
  <c r="V433" i="1"/>
  <c r="K437" i="1"/>
  <c r="F438" i="1"/>
  <c r="S435" i="1"/>
  <c r="V434" i="1"/>
  <c r="W434" i="1"/>
  <c r="X434" i="1"/>
  <c r="Y434" i="1"/>
  <c r="G436" i="1"/>
  <c r="Q436" i="1"/>
  <c r="I436" i="1"/>
  <c r="H437" i="1"/>
  <c r="H438" i="1"/>
  <c r="W433" i="1"/>
  <c r="X433" i="1"/>
  <c r="Y433" i="1"/>
  <c r="L435" i="1"/>
  <c r="AC435" i="1"/>
  <c r="AD435" i="1"/>
  <c r="J435" i="1"/>
  <c r="P435" i="1"/>
  <c r="Q438" i="1"/>
  <c r="H439" i="1"/>
  <c r="G438" i="1"/>
  <c r="F439" i="1"/>
  <c r="K438" i="1"/>
  <c r="I438" i="1"/>
  <c r="S436" i="1"/>
  <c r="T436" i="1"/>
  <c r="U436" i="1"/>
  <c r="Z436" i="1"/>
  <c r="T435" i="1"/>
  <c r="U435" i="1"/>
  <c r="Z435" i="1"/>
  <c r="V435" i="1"/>
  <c r="AC436" i="1"/>
  <c r="AD436" i="1"/>
  <c r="L436" i="1"/>
  <c r="J436" i="1"/>
  <c r="P436" i="1"/>
  <c r="AA435" i="1"/>
  <c r="AA436" i="1"/>
  <c r="G437" i="1"/>
  <c r="I437" i="1"/>
  <c r="Q437" i="1"/>
  <c r="S437" i="1"/>
  <c r="T437" i="1"/>
  <c r="U437" i="1"/>
  <c r="Z437" i="1"/>
  <c r="AC438" i="1"/>
  <c r="AD438" i="1"/>
  <c r="L438" i="1"/>
  <c r="J438" i="1"/>
  <c r="P438" i="1"/>
  <c r="H440" i="1"/>
  <c r="G439" i="1"/>
  <c r="Q439" i="1"/>
  <c r="K439" i="1"/>
  <c r="I439" i="1"/>
  <c r="F440" i="1"/>
  <c r="V436" i="1"/>
  <c r="W436" i="1"/>
  <c r="X436" i="1"/>
  <c r="Y436" i="1"/>
  <c r="W435" i="1"/>
  <c r="X435" i="1"/>
  <c r="Y435" i="1"/>
  <c r="AC437" i="1"/>
  <c r="AD437" i="1"/>
  <c r="L437" i="1"/>
  <c r="P437" i="1"/>
  <c r="J437" i="1"/>
  <c r="V437" i="1"/>
  <c r="W437" i="1"/>
  <c r="X437" i="1"/>
  <c r="Y437" i="1"/>
  <c r="S438" i="1"/>
  <c r="T438" i="1"/>
  <c r="U438" i="1"/>
  <c r="Z438" i="1"/>
  <c r="AA438" i="1"/>
  <c r="F441" i="1"/>
  <c r="K440" i="1"/>
  <c r="I440" i="1"/>
  <c r="J439" i="1"/>
  <c r="P439" i="1"/>
  <c r="L439" i="1"/>
  <c r="AC439" i="1"/>
  <c r="AD439" i="1"/>
  <c r="G440" i="1"/>
  <c r="H441" i="1"/>
  <c r="H442" i="1"/>
  <c r="H443" i="1"/>
  <c r="H444" i="1"/>
  <c r="Q440" i="1"/>
  <c r="H445" i="1"/>
  <c r="Q444" i="1"/>
  <c r="Q443" i="1"/>
  <c r="S439" i="1"/>
  <c r="S440" i="1"/>
  <c r="T440" i="1"/>
  <c r="U440" i="1"/>
  <c r="Z440" i="1"/>
  <c r="V438" i="1"/>
  <c r="W438" i="1"/>
  <c r="X438" i="1"/>
  <c r="Y438" i="1"/>
  <c r="Q442" i="1"/>
  <c r="K441" i="1"/>
  <c r="I441" i="1"/>
  <c r="F442" i="1"/>
  <c r="F443" i="1"/>
  <c r="AA439" i="1"/>
  <c r="AC440" i="1"/>
  <c r="AD440" i="1"/>
  <c r="L440" i="1"/>
  <c r="AA440" i="1"/>
  <c r="T439" i="1"/>
  <c r="U439" i="1"/>
  <c r="Z439" i="1"/>
  <c r="V439" i="1"/>
  <c r="G441" i="1"/>
  <c r="Q441" i="1"/>
  <c r="J440" i="1"/>
  <c r="P440" i="1"/>
  <c r="H446" i="1"/>
  <c r="Q445" i="1"/>
  <c r="K443" i="1"/>
  <c r="I443" i="1"/>
  <c r="AC443" i="1"/>
  <c r="AD443" i="1"/>
  <c r="F444" i="1"/>
  <c r="K444" i="1"/>
  <c r="I444" i="1"/>
  <c r="G443" i="1"/>
  <c r="V440" i="1"/>
  <c r="W440" i="1"/>
  <c r="X440" i="1"/>
  <c r="Y440" i="1"/>
  <c r="S441" i="1"/>
  <c r="T441" i="1"/>
  <c r="U441" i="1"/>
  <c r="Z441" i="1"/>
  <c r="G442" i="1"/>
  <c r="J442" i="1"/>
  <c r="K442" i="1"/>
  <c r="I442" i="1"/>
  <c r="W439" i="1"/>
  <c r="X439" i="1"/>
  <c r="Y439" i="1"/>
  <c r="P441" i="1"/>
  <c r="J441" i="1"/>
  <c r="AC441" i="1"/>
  <c r="AD441" i="1"/>
  <c r="L441" i="1"/>
  <c r="L443" i="1"/>
  <c r="Q446" i="1"/>
  <c r="H447" i="1"/>
  <c r="H448" i="1"/>
  <c r="H449" i="1"/>
  <c r="L444" i="1"/>
  <c r="AA444" i="1"/>
  <c r="AC444" i="1"/>
  <c r="AD444" i="1"/>
  <c r="G444" i="1"/>
  <c r="F445" i="1"/>
  <c r="F446" i="1"/>
  <c r="J443" i="1"/>
  <c r="P443" i="1"/>
  <c r="S442" i="1"/>
  <c r="V441" i="1"/>
  <c r="W441" i="1"/>
  <c r="X441" i="1"/>
  <c r="Y441" i="1"/>
  <c r="P442" i="1"/>
  <c r="L442" i="1"/>
  <c r="AC442" i="1"/>
  <c r="AD442" i="1"/>
  <c r="Q449" i="1"/>
  <c r="H450" i="1"/>
  <c r="Q448" i="1"/>
  <c r="K446" i="1"/>
  <c r="I446" i="1"/>
  <c r="AC446" i="1"/>
  <c r="AD446" i="1"/>
  <c r="F447" i="1"/>
  <c r="Q447" i="1"/>
  <c r="K445" i="1"/>
  <c r="I445" i="1"/>
  <c r="J444" i="1"/>
  <c r="P444" i="1"/>
  <c r="G445" i="1"/>
  <c r="T442" i="1"/>
  <c r="U442" i="1"/>
  <c r="Z442" i="1"/>
  <c r="S443" i="1"/>
  <c r="S444" i="1"/>
  <c r="V442" i="1"/>
  <c r="Q450" i="1"/>
  <c r="H451" i="1"/>
  <c r="K447" i="1"/>
  <c r="I447" i="1"/>
  <c r="AC447" i="1"/>
  <c r="AD447" i="1"/>
  <c r="F448" i="1"/>
  <c r="F449" i="1"/>
  <c r="F450" i="1"/>
  <c r="V444" i="1"/>
  <c r="T444" i="1"/>
  <c r="U444" i="1"/>
  <c r="Z444" i="1"/>
  <c r="S445" i="1"/>
  <c r="L445" i="1"/>
  <c r="AC445" i="1"/>
  <c r="AD445" i="1"/>
  <c r="L446" i="1"/>
  <c r="J445" i="1"/>
  <c r="P445" i="1"/>
  <c r="G446" i="1"/>
  <c r="G447" i="1"/>
  <c r="W442" i="1"/>
  <c r="X442" i="1"/>
  <c r="Y442" i="1"/>
  <c r="T443" i="1"/>
  <c r="U443" i="1"/>
  <c r="Z443" i="1"/>
  <c r="V443" i="1"/>
  <c r="K450" i="1"/>
  <c r="I450" i="1"/>
  <c r="AC450" i="1"/>
  <c r="AD450" i="1"/>
  <c r="F451" i="1"/>
  <c r="G451" i="1"/>
  <c r="G450" i="1"/>
  <c r="J450" i="1"/>
  <c r="K449" i="1"/>
  <c r="I449" i="1"/>
  <c r="G449" i="1"/>
  <c r="Q451" i="1"/>
  <c r="H452" i="1"/>
  <c r="L447" i="1"/>
  <c r="K448" i="1"/>
  <c r="I448" i="1"/>
  <c r="G448" i="1"/>
  <c r="W444" i="1"/>
  <c r="X444" i="1"/>
  <c r="Y444" i="1"/>
  <c r="V445" i="1"/>
  <c r="T445" i="1"/>
  <c r="U445" i="1"/>
  <c r="Z445" i="1"/>
  <c r="S446" i="1"/>
  <c r="AA445" i="1"/>
  <c r="AA446" i="1"/>
  <c r="J446" i="1"/>
  <c r="P446" i="1"/>
  <c r="J447" i="1"/>
  <c r="P447" i="1"/>
  <c r="W443" i="1"/>
  <c r="X443" i="1"/>
  <c r="Y443" i="1"/>
  <c r="P450" i="1"/>
  <c r="F452" i="1"/>
  <c r="K451" i="1"/>
  <c r="I451" i="1"/>
  <c r="L451" i="1"/>
  <c r="J451" i="1"/>
  <c r="P451" i="1"/>
  <c r="AC449" i="1"/>
  <c r="AD449" i="1"/>
  <c r="L449" i="1"/>
  <c r="AA449" i="1"/>
  <c r="AC451" i="1"/>
  <c r="AD451" i="1"/>
  <c r="H453" i="1"/>
  <c r="Q452" i="1"/>
  <c r="J449" i="1"/>
  <c r="P449" i="1"/>
  <c r="L450" i="1"/>
  <c r="P448" i="1"/>
  <c r="J448" i="1"/>
  <c r="AC448" i="1"/>
  <c r="AD448" i="1"/>
  <c r="L448" i="1"/>
  <c r="T446" i="1"/>
  <c r="U446" i="1"/>
  <c r="Z446" i="1"/>
  <c r="S447" i="1"/>
  <c r="S448" i="1"/>
  <c r="S449" i="1"/>
  <c r="V446" i="1"/>
  <c r="W445" i="1"/>
  <c r="X445" i="1"/>
  <c r="Y445" i="1"/>
  <c r="K452" i="1"/>
  <c r="I452" i="1"/>
  <c r="F453" i="1"/>
  <c r="K453" i="1"/>
  <c r="I453" i="1"/>
  <c r="G452" i="1"/>
  <c r="P452" i="1"/>
  <c r="AA450" i="1"/>
  <c r="Q453" i="1"/>
  <c r="H454" i="1"/>
  <c r="V449" i="1"/>
  <c r="T449" i="1"/>
  <c r="U449" i="1"/>
  <c r="Z449" i="1"/>
  <c r="S450" i="1"/>
  <c r="AA451" i="1"/>
  <c r="J452" i="1"/>
  <c r="AC452" i="1"/>
  <c r="AD452" i="1"/>
  <c r="L452" i="1"/>
  <c r="AA452" i="1"/>
  <c r="T448" i="1"/>
  <c r="U448" i="1"/>
  <c r="Z448" i="1"/>
  <c r="V448" i="1"/>
  <c r="W446" i="1"/>
  <c r="X446" i="1"/>
  <c r="Y446" i="1"/>
  <c r="T447" i="1"/>
  <c r="U447" i="1"/>
  <c r="Z447" i="1"/>
  <c r="V447" i="1"/>
  <c r="G453" i="1"/>
  <c r="P453" i="1"/>
  <c r="V450" i="1"/>
  <c r="S451" i="1"/>
  <c r="T450" i="1"/>
  <c r="U450" i="1"/>
  <c r="Z450" i="1"/>
  <c r="J453" i="1"/>
  <c r="I454" i="1"/>
  <c r="H455" i="1"/>
  <c r="Q454" i="1"/>
  <c r="G454" i="1"/>
  <c r="W449" i="1"/>
  <c r="X449" i="1"/>
  <c r="Y449" i="1"/>
  <c r="AC453" i="1"/>
  <c r="AD453" i="1"/>
  <c r="L453" i="1"/>
  <c r="AA453" i="1"/>
  <c r="W448" i="1"/>
  <c r="X448" i="1"/>
  <c r="Y448" i="1"/>
  <c r="W447" i="1"/>
  <c r="X447" i="1"/>
  <c r="Y447" i="1"/>
  <c r="Q455" i="1"/>
  <c r="G455" i="1"/>
  <c r="I455" i="1"/>
  <c r="L454" i="1"/>
  <c r="AA454" i="1"/>
  <c r="AC454" i="1"/>
  <c r="AD454" i="1"/>
  <c r="V451" i="1"/>
  <c r="T451" i="1"/>
  <c r="U451" i="1"/>
  <c r="Z451" i="1"/>
  <c r="S452" i="1"/>
  <c r="J454" i="1"/>
  <c r="P454" i="1"/>
  <c r="W450" i="1"/>
  <c r="X450" i="1"/>
  <c r="Y450" i="1"/>
  <c r="W451" i="1"/>
  <c r="X451" i="1"/>
  <c r="Y451" i="1"/>
  <c r="J455" i="1"/>
  <c r="P455" i="1"/>
  <c r="L455" i="1"/>
  <c r="AC455" i="1"/>
  <c r="AD455" i="1"/>
  <c r="T452" i="1"/>
  <c r="U452" i="1"/>
  <c r="Z452" i="1"/>
  <c r="V452" i="1"/>
  <c r="S453" i="1"/>
  <c r="W452" i="1"/>
  <c r="X452" i="1"/>
  <c r="Y452" i="1"/>
  <c r="T453" i="1"/>
  <c r="U453" i="1"/>
  <c r="Z453" i="1"/>
  <c r="V453" i="1"/>
  <c r="S454" i="1"/>
  <c r="AA448" i="1"/>
  <c r="AA431" i="1"/>
  <c r="AA255" i="1"/>
  <c r="AA437" i="1"/>
  <c r="AA447" i="1"/>
  <c r="AA441" i="1"/>
  <c r="AA442" i="1"/>
  <c r="AA443" i="1"/>
  <c r="AA455" i="1"/>
  <c r="T454" i="1"/>
  <c r="U454" i="1"/>
  <c r="Z454" i="1"/>
  <c r="V454" i="1"/>
  <c r="S455" i="1"/>
  <c r="W453" i="1"/>
  <c r="X453" i="1"/>
  <c r="Y453" i="1"/>
  <c r="T455" i="1"/>
  <c r="U455" i="1"/>
  <c r="Z455" i="1"/>
  <c r="V455" i="1"/>
  <c r="W454" i="1"/>
  <c r="X454" i="1"/>
  <c r="Y454" i="1"/>
  <c r="W455" i="1"/>
  <c r="X455" i="1"/>
  <c r="Y455" i="1"/>
  <c r="K120" i="9"/>
  <c r="S471" i="6"/>
  <c r="M600" i="6"/>
  <c r="K12" i="6"/>
  <c r="S470" i="6"/>
  <c r="N483" i="6"/>
  <c r="M470" i="6"/>
  <c r="K13" i="6"/>
  <c r="S653" i="6"/>
  <c r="S628" i="6"/>
  <c r="AQ32" i="14"/>
  <c r="M278" i="6"/>
  <c r="AQ31" i="14"/>
  <c r="K105" i="9"/>
  <c r="M105" i="9" s="1"/>
  <c r="K327" i="9"/>
  <c r="M327" i="9" s="1"/>
  <c r="K169" i="9"/>
  <c r="M169" i="9" s="1"/>
  <c r="I188" i="9"/>
  <c r="Q238" i="9"/>
  <c r="K238" i="9"/>
  <c r="M238" i="9" s="1"/>
  <c r="I222" i="9"/>
  <c r="K308" i="9"/>
  <c r="M308" i="9" s="1"/>
  <c r="AQ5" i="14"/>
  <c r="K153" i="9"/>
  <c r="M153" i="9" s="1"/>
  <c r="K249" i="9"/>
  <c r="M249" i="9" s="1"/>
  <c r="H102" i="9"/>
  <c r="I102" i="9" s="1"/>
  <c r="K102" i="9" s="1"/>
  <c r="M102" i="9" s="1"/>
  <c r="K302" i="9"/>
  <c r="M302" i="9" s="1"/>
  <c r="I276" i="9"/>
  <c r="K240" i="9"/>
  <c r="M240" i="9" s="1"/>
  <c r="Q240" i="9"/>
  <c r="H280" i="9"/>
  <c r="I280" i="9" s="1"/>
  <c r="I30" i="9"/>
  <c r="K30" i="9" s="1"/>
  <c r="I53" i="9"/>
  <c r="I161" i="9"/>
  <c r="Q161" i="9" s="1"/>
  <c r="I51" i="9"/>
  <c r="K51" i="9" s="1"/>
  <c r="I65" i="9"/>
  <c r="K65" i="9" s="1"/>
  <c r="K322" i="9"/>
  <c r="M322" i="9" s="1"/>
  <c r="K331" i="9"/>
  <c r="M331" i="9" s="1"/>
  <c r="H62" i="9"/>
  <c r="I62" i="9" s="1"/>
  <c r="I305" i="9"/>
  <c r="K305" i="9" s="1"/>
  <c r="I172" i="9"/>
  <c r="K172" i="9" s="1"/>
  <c r="M172" i="9" s="1"/>
  <c r="K176" i="9"/>
  <c r="M176" i="9" s="1"/>
  <c r="I258" i="9"/>
  <c r="K258" i="9" s="1"/>
  <c r="I118" i="9"/>
  <c r="K118" i="9" s="1"/>
  <c r="M118" i="9" s="1"/>
  <c r="I58" i="9"/>
  <c r="I104" i="9"/>
  <c r="K104" i="9" s="1"/>
  <c r="M104" i="9" s="1"/>
  <c r="I277" i="9"/>
  <c r="K277" i="9" s="1"/>
  <c r="M277" i="9" s="1"/>
  <c r="H284" i="9"/>
  <c r="I284" i="9" s="1"/>
  <c r="Q284" i="9" s="1"/>
  <c r="I306" i="9"/>
  <c r="K306" i="9" s="1"/>
  <c r="AQ28" i="14"/>
  <c r="I275" i="9"/>
  <c r="Q275" i="9" s="1"/>
  <c r="K304" i="9"/>
  <c r="M304" i="9" s="1"/>
  <c r="I314" i="9"/>
  <c r="K314" i="9" s="1"/>
  <c r="M314" i="9" s="1"/>
  <c r="I321" i="9"/>
  <c r="K321" i="9" s="1"/>
  <c r="M321" i="9" s="1"/>
  <c r="I32" i="9"/>
  <c r="K32" i="9" s="1"/>
  <c r="I139" i="9"/>
  <c r="I281" i="9"/>
  <c r="Q281" i="9" s="1"/>
  <c r="AQ9" i="14"/>
  <c r="I234" i="9"/>
  <c r="Q234" i="9" s="1"/>
  <c r="I114" i="9"/>
  <c r="K114" i="9" s="1"/>
  <c r="M114" i="9" s="1"/>
  <c r="K262" i="9"/>
  <c r="I83" i="9"/>
  <c r="I282" i="9"/>
  <c r="H291" i="9"/>
  <c r="I291" i="9" s="1"/>
  <c r="Q291" i="9" s="1"/>
  <c r="I309" i="9"/>
  <c r="K309" i="9" s="1"/>
  <c r="I313" i="9"/>
  <c r="K313" i="9" s="1"/>
  <c r="M313" i="9" s="1"/>
  <c r="AQ7" i="14"/>
  <c r="Q169" i="9"/>
  <c r="K267" i="9"/>
  <c r="M267" i="9" s="1"/>
  <c r="Q267" i="9"/>
  <c r="K251" i="9"/>
  <c r="M251" i="9" s="1"/>
  <c r="Q251" i="9"/>
  <c r="I184" i="9"/>
  <c r="Q184" i="9" s="1"/>
  <c r="I229" i="9"/>
  <c r="I192" i="9"/>
  <c r="Q192" i="9" s="1"/>
  <c r="H254" i="9"/>
  <c r="I254" i="9" s="1"/>
  <c r="Q254" i="9" s="1"/>
  <c r="I40" i="9"/>
  <c r="K40" i="9" s="1"/>
  <c r="I74" i="9"/>
  <c r="K74" i="9" s="1"/>
  <c r="M74" i="9" s="1"/>
  <c r="I230" i="9"/>
  <c r="K230" i="9" s="1"/>
  <c r="M230" i="9" s="1"/>
  <c r="H168" i="9"/>
  <c r="I168" i="9" s="1"/>
  <c r="I220" i="9"/>
  <c r="I187" i="9"/>
  <c r="H159" i="9"/>
  <c r="I159" i="9" s="1"/>
  <c r="H210" i="9"/>
  <c r="I210" i="9" s="1"/>
  <c r="H137" i="9"/>
  <c r="I137" i="9" s="1"/>
  <c r="K137" i="9" s="1"/>
  <c r="H246" i="9"/>
  <c r="I246" i="9" s="1"/>
  <c r="Q246" i="9" s="1"/>
  <c r="H266" i="9"/>
  <c r="I266" i="9" s="1"/>
  <c r="H31" i="9"/>
  <c r="I31" i="9" s="1"/>
  <c r="K31" i="9" s="1"/>
  <c r="M31" i="9" s="1"/>
  <c r="H49" i="9"/>
  <c r="I49" i="9" s="1"/>
  <c r="H59" i="9"/>
  <c r="I59" i="9" s="1"/>
  <c r="K59" i="9" s="1"/>
  <c r="H103" i="9"/>
  <c r="I103" i="9" s="1"/>
  <c r="H135" i="9"/>
  <c r="I135" i="9" s="1"/>
  <c r="H157" i="9"/>
  <c r="I157" i="9" s="1"/>
  <c r="K157" i="9" s="1"/>
  <c r="H279" i="9"/>
  <c r="I279" i="9" s="1"/>
  <c r="Q279" i="9" s="1"/>
  <c r="H285" i="9"/>
  <c r="I285" i="9" s="1"/>
  <c r="Q285" i="9" s="1"/>
  <c r="I287" i="9"/>
  <c r="K287" i="9" s="1"/>
  <c r="I290" i="9"/>
  <c r="K290" i="9" s="1"/>
  <c r="M290" i="9" s="1"/>
  <c r="AQ18" i="14"/>
  <c r="AQ19" i="14"/>
  <c r="AQ20" i="14"/>
  <c r="AQ21" i="14"/>
  <c r="AQ29" i="14"/>
  <c r="Q297" i="9"/>
  <c r="K297" i="9"/>
  <c r="M297" i="9" s="1"/>
  <c r="AQ10" i="14"/>
  <c r="AQ13" i="14"/>
  <c r="AQ15" i="14"/>
  <c r="AQ27" i="14"/>
  <c r="AQ26" i="14"/>
  <c r="AQ30" i="14"/>
  <c r="I292" i="9"/>
  <c r="Q292" i="9" s="1"/>
  <c r="I294" i="9"/>
  <c r="K294" i="9" s="1"/>
  <c r="AQ12" i="14"/>
  <c r="AQ17" i="14"/>
  <c r="AQ25" i="14"/>
  <c r="AQ24" i="14"/>
  <c r="I286" i="9"/>
  <c r="Q286" i="9" s="1"/>
  <c r="AQ8" i="14"/>
  <c r="AQ14" i="14"/>
  <c r="AQ16" i="14"/>
  <c r="AQ23" i="14"/>
  <c r="I300" i="9"/>
  <c r="Q300" i="9" s="1"/>
  <c r="H311" i="9"/>
  <c r="I311" i="9" s="1"/>
  <c r="K311" i="9" s="1"/>
  <c r="I312" i="9"/>
  <c r="K312" i="9" s="1"/>
  <c r="H317" i="9"/>
  <c r="I317" i="9" s="1"/>
  <c r="K317" i="9" s="1"/>
  <c r="I303" i="9"/>
  <c r="K303" i="9" s="1"/>
  <c r="H310" i="9"/>
  <c r="I310" i="9" s="1"/>
  <c r="K310" i="9" s="1"/>
  <c r="I319" i="9"/>
  <c r="K319" i="9" s="1"/>
  <c r="K233" i="9"/>
  <c r="M233" i="9" s="1"/>
  <c r="K283" i="9"/>
  <c r="M283" i="9" s="1"/>
  <c r="K212" i="9"/>
  <c r="M212" i="9" s="1"/>
  <c r="Q160" i="9"/>
  <c r="M160" i="9"/>
  <c r="P56" i="17"/>
  <c r="R13" i="17"/>
  <c r="R36" i="17"/>
  <c r="R75" i="17"/>
  <c r="R46" i="17"/>
  <c r="R73" i="17"/>
  <c r="R47" i="17"/>
  <c r="R10" i="17"/>
  <c r="R63" i="17"/>
  <c r="R34" i="17"/>
  <c r="R45" i="17"/>
  <c r="R68" i="17"/>
  <c r="R8" i="17"/>
  <c r="R19" i="17"/>
  <c r="R50" i="17"/>
  <c r="R22" i="17"/>
  <c r="R23" i="17"/>
  <c r="R5" i="17"/>
  <c r="R66" i="17"/>
  <c r="M56" i="17"/>
  <c r="R15" i="17"/>
  <c r="R33" i="17"/>
  <c r="R40" i="17"/>
  <c r="R3" i="17"/>
  <c r="R44" i="17"/>
  <c r="R54" i="17"/>
  <c r="R74" i="17"/>
  <c r="R62" i="17"/>
  <c r="R11" i="17"/>
  <c r="R6" i="17"/>
  <c r="R65" i="17"/>
  <c r="R72" i="17"/>
  <c r="R39" i="17"/>
  <c r="R12" i="17"/>
  <c r="R35" i="17"/>
  <c r="R42" i="17"/>
  <c r="R69" i="17"/>
  <c r="R27" i="17"/>
  <c r="R28" i="17"/>
  <c r="R38" i="17"/>
  <c r="R55" i="17"/>
  <c r="R21" i="17"/>
  <c r="R41" i="17"/>
  <c r="R32" i="17"/>
  <c r="R52" i="17"/>
  <c r="R56" i="17"/>
  <c r="R25" i="17"/>
  <c r="R60" i="17"/>
  <c r="R70" i="17"/>
  <c r="R26" i="17"/>
  <c r="R53" i="17"/>
  <c r="R18" i="17"/>
  <c r="R64" i="17"/>
  <c r="R20" i="17"/>
  <c r="R43" i="17"/>
  <c r="R30" i="17"/>
  <c r="R9" i="17"/>
  <c r="R16" i="17"/>
  <c r="R67" i="17"/>
  <c r="R58" i="17"/>
  <c r="R31" i="17"/>
  <c r="R57" i="17"/>
  <c r="R29" i="17"/>
  <c r="R49" i="17"/>
  <c r="R37" i="17"/>
  <c r="R71" i="17"/>
  <c r="R48" i="17"/>
  <c r="R4" i="17"/>
  <c r="R7" i="17"/>
  <c r="R14" i="17"/>
  <c r="R59" i="17"/>
  <c r="R61" i="17"/>
  <c r="R17" i="17"/>
  <c r="R24" i="17"/>
  <c r="R51" i="17"/>
  <c r="I193" i="9" l="1"/>
  <c r="Q193" i="9" s="1"/>
  <c r="I177" i="9"/>
  <c r="Q177" i="9" s="1"/>
  <c r="K187" i="9"/>
  <c r="M187" i="9" s="1"/>
  <c r="I197" i="9"/>
  <c r="Q197" i="9" s="1"/>
  <c r="I138" i="9"/>
  <c r="K140" i="9"/>
  <c r="M140" i="9" s="1"/>
  <c r="I78" i="9"/>
  <c r="K78" i="9" s="1"/>
  <c r="Q3" i="18"/>
  <c r="G3" i="19"/>
  <c r="J3" i="19" s="1"/>
  <c r="G3" i="18"/>
  <c r="J3" i="18" s="1"/>
  <c r="I3" i="18"/>
  <c r="L3" i="18" s="1"/>
  <c r="I3" i="19"/>
  <c r="L3" i="19" s="1"/>
  <c r="H240" i="21"/>
  <c r="Q239" i="21"/>
  <c r="K90" i="9"/>
  <c r="M90" i="9" s="1"/>
  <c r="K76" i="9"/>
  <c r="M76" i="9" s="1"/>
  <c r="K49" i="9"/>
  <c r="K69" i="9"/>
  <c r="M69" i="9" s="1"/>
  <c r="I181" i="9"/>
  <c r="K181" i="9" s="1"/>
  <c r="M181" i="9" s="1"/>
  <c r="K138" i="9"/>
  <c r="M138" i="9" s="1"/>
  <c r="K195" i="9"/>
  <c r="K4" i="17"/>
  <c r="F5" i="17"/>
  <c r="F167" i="21"/>
  <c r="K166" i="21"/>
  <c r="I166" i="21" s="1"/>
  <c r="L166" i="21" s="1"/>
  <c r="G166" i="21"/>
  <c r="J166" i="21" s="1"/>
  <c r="K130" i="9"/>
  <c r="M130" i="9" s="1"/>
  <c r="I46" i="9"/>
  <c r="K46" i="9" s="1"/>
  <c r="M46" i="9" s="1"/>
  <c r="I134" i="9"/>
  <c r="K134" i="9" s="1"/>
  <c r="M134" i="9" s="1"/>
  <c r="I107" i="9"/>
  <c r="K107" i="9" s="1"/>
  <c r="M107" i="9" s="1"/>
  <c r="K151" i="9"/>
  <c r="M151" i="9" s="1"/>
  <c r="K135" i="9"/>
  <c r="M135" i="9" s="1"/>
  <c r="K80" i="9"/>
  <c r="K220" i="9"/>
  <c r="M220" i="9" s="1"/>
  <c r="K183" i="9"/>
  <c r="M183" i="9" s="1"/>
  <c r="S480" i="6"/>
  <c r="M479" i="6"/>
  <c r="H3" i="17"/>
  <c r="H4" i="17" s="1"/>
  <c r="H5" i="17" s="1"/>
  <c r="H6" i="17" s="1"/>
  <c r="H7" i="17" s="1"/>
  <c r="H8" i="17" s="1"/>
  <c r="H9" i="17" s="1"/>
  <c r="H10" i="17" s="1"/>
  <c r="H11" i="17" s="1"/>
  <c r="H12" i="17" s="1"/>
  <c r="H13" i="17" s="1"/>
  <c r="H14" i="17" s="1"/>
  <c r="H15" i="17" s="1"/>
  <c r="H16" i="17" s="1"/>
  <c r="H17" i="17" s="1"/>
  <c r="H18" i="17" s="1"/>
  <c r="H19" i="17" s="1"/>
  <c r="H20" i="17" s="1"/>
  <c r="H21" i="17" s="1"/>
  <c r="H22" i="17" s="1"/>
  <c r="H23" i="17" s="1"/>
  <c r="H24" i="17" s="1"/>
  <c r="H25" i="17" s="1"/>
  <c r="H26" i="17" s="1"/>
  <c r="H27" i="17" s="1"/>
  <c r="H28" i="17" s="1"/>
  <c r="H29" i="17" s="1"/>
  <c r="H30" i="17" s="1"/>
  <c r="H31" i="17" s="1"/>
  <c r="H32" i="17" s="1"/>
  <c r="H33" i="17" s="1"/>
  <c r="H34" i="17" s="1"/>
  <c r="H35" i="17" s="1"/>
  <c r="H36" i="17" s="1"/>
  <c r="H37" i="17" s="1"/>
  <c r="H38" i="17" s="1"/>
  <c r="H39" i="17" s="1"/>
  <c r="H40" i="17" s="1"/>
  <c r="H41" i="17" s="1"/>
  <c r="H42" i="17" s="1"/>
  <c r="H43" i="17" s="1"/>
  <c r="H44" i="17" s="1"/>
  <c r="H45" i="17" s="1"/>
  <c r="H46" i="17" s="1"/>
  <c r="H47" i="17" s="1"/>
  <c r="H48" i="17" s="1"/>
  <c r="H49" i="17" s="1"/>
  <c r="H50" i="17" s="1"/>
  <c r="H51" i="17" s="1"/>
  <c r="H52" i="17" s="1"/>
  <c r="H53" i="17" s="1"/>
  <c r="H54" i="17" s="1"/>
  <c r="H55" i="17" s="1"/>
  <c r="H56" i="17" s="1"/>
  <c r="H57" i="17" s="1"/>
  <c r="H58" i="17" s="1"/>
  <c r="H59" i="17" s="1"/>
  <c r="H60" i="17" s="1"/>
  <c r="H61" i="17" s="1"/>
  <c r="H62" i="17" s="1"/>
  <c r="H63" i="17" s="1"/>
  <c r="H64" i="17" s="1"/>
  <c r="H65" i="17" s="1"/>
  <c r="H66" i="17" s="1"/>
  <c r="H67" i="17" s="1"/>
  <c r="H68" i="17" s="1"/>
  <c r="H69" i="17" s="1"/>
  <c r="H70" i="17" s="1"/>
  <c r="H71" i="17" s="1"/>
  <c r="H72" i="17" s="1"/>
  <c r="H73" i="17" s="1"/>
  <c r="H74" i="17" s="1"/>
  <c r="H75" i="17" s="1"/>
  <c r="H76" i="17" s="1"/>
  <c r="H78" i="19"/>
  <c r="Q77" i="19"/>
  <c r="H77" i="18"/>
  <c r="Q4" i="19"/>
  <c r="I4" i="19"/>
  <c r="G4" i="19"/>
  <c r="J4" i="19" s="1"/>
  <c r="F8" i="19"/>
  <c r="K7" i="19"/>
  <c r="G4" i="18"/>
  <c r="J4" i="18" s="1"/>
  <c r="I4" i="18"/>
  <c r="Q4" i="18"/>
  <c r="F6" i="18"/>
  <c r="K5" i="18"/>
  <c r="I231" i="9"/>
  <c r="K231" i="9" s="1"/>
  <c r="K103" i="9"/>
  <c r="M103" i="9" s="1"/>
  <c r="I93" i="9"/>
  <c r="K93" i="9" s="1"/>
  <c r="M93" i="9" s="1"/>
  <c r="K83" i="9"/>
  <c r="M83" i="9" s="1"/>
  <c r="K139" i="9"/>
  <c r="M139" i="9" s="1"/>
  <c r="I225" i="9"/>
  <c r="K225" i="9" s="1"/>
  <c r="I99" i="9"/>
  <c r="K99" i="9" s="1"/>
  <c r="M99" i="9" s="1"/>
  <c r="K227" i="9"/>
  <c r="M227" i="9" s="1"/>
  <c r="K148" i="9"/>
  <c r="M148" i="9" s="1"/>
  <c r="K73" i="9"/>
  <c r="M73" i="9" s="1"/>
  <c r="I143" i="9"/>
  <c r="K143" i="9" s="1"/>
  <c r="M143" i="9" s="1"/>
  <c r="I57" i="9"/>
  <c r="K57" i="9" s="1"/>
  <c r="M57" i="9" s="1"/>
  <c r="K247" i="9"/>
  <c r="M247" i="9" s="1"/>
  <c r="K58" i="9"/>
  <c r="L59" i="9" s="1"/>
  <c r="K109" i="9"/>
  <c r="L110" i="9" s="1"/>
  <c r="K141" i="9"/>
  <c r="M141" i="9" s="1"/>
  <c r="K125" i="9"/>
  <c r="M125" i="9" s="1"/>
  <c r="K166" i="9"/>
  <c r="M166" i="9" s="1"/>
  <c r="Q166" i="9"/>
  <c r="K323" i="9"/>
  <c r="M323" i="9" s="1"/>
  <c r="K56" i="9"/>
  <c r="M56" i="9" s="1"/>
  <c r="K296" i="9"/>
  <c r="L297" i="9" s="1"/>
  <c r="Q277" i="9"/>
  <c r="K291" i="9"/>
  <c r="M291" i="9" s="1"/>
  <c r="K146" i="9"/>
  <c r="M146" i="9" s="1"/>
  <c r="K61" i="9"/>
  <c r="M61" i="9" s="1"/>
  <c r="K177" i="9"/>
  <c r="M177" i="9" s="1"/>
  <c r="I207" i="9"/>
  <c r="Q207" i="9" s="1"/>
  <c r="K62" i="9"/>
  <c r="M62" i="9" s="1"/>
  <c r="Q172" i="9"/>
  <c r="I132" i="9"/>
  <c r="K132" i="9" s="1"/>
  <c r="L132" i="9" s="1"/>
  <c r="I119" i="9"/>
  <c r="K119" i="9" s="1"/>
  <c r="L120" i="9" s="1"/>
  <c r="K204" i="9"/>
  <c r="M204" i="9" s="1"/>
  <c r="K206" i="9"/>
  <c r="M206" i="9" s="1"/>
  <c r="K150" i="9"/>
  <c r="M150" i="9" s="1"/>
  <c r="K29" i="9"/>
  <c r="L30" i="9" s="1"/>
  <c r="K286" i="9"/>
  <c r="L287" i="9" s="1"/>
  <c r="K281" i="9"/>
  <c r="M281" i="9" s="1"/>
  <c r="K60" i="9"/>
  <c r="L60" i="9" s="1"/>
  <c r="K182" i="9"/>
  <c r="M182" i="9" s="1"/>
  <c r="K171" i="9"/>
  <c r="M171" i="9" s="1"/>
  <c r="I89" i="9"/>
  <c r="K89" i="9" s="1"/>
  <c r="M89" i="9" s="1"/>
  <c r="K255" i="9"/>
  <c r="M255" i="9" s="1"/>
  <c r="AQ3" i="14"/>
  <c r="AQ4" i="14"/>
  <c r="M258" i="9"/>
  <c r="L258" i="9"/>
  <c r="K196" i="9"/>
  <c r="M196" i="9" s="1"/>
  <c r="Q196" i="9"/>
  <c r="K156" i="9"/>
  <c r="M156" i="9" s="1"/>
  <c r="Q258" i="9"/>
  <c r="Q287" i="9"/>
  <c r="K197" i="9"/>
  <c r="L198" i="9" s="1"/>
  <c r="Q206" i="9"/>
  <c r="K47" i="9"/>
  <c r="L48" i="9" s="1"/>
  <c r="K53" i="9"/>
  <c r="L53" i="9" s="1"/>
  <c r="K330" i="9"/>
  <c r="M330" i="9" s="1"/>
  <c r="Q175" i="9"/>
  <c r="K175" i="9"/>
  <c r="L176" i="9" s="1"/>
  <c r="K265" i="9"/>
  <c r="M265" i="9" s="1"/>
  <c r="Q265" i="9"/>
  <c r="K234" i="9"/>
  <c r="M234" i="9" s="1"/>
  <c r="Q230" i="9"/>
  <c r="Q247" i="9"/>
  <c r="K284" i="9"/>
  <c r="M284" i="9" s="1"/>
  <c r="K70" i="9"/>
  <c r="L71" i="9" s="1"/>
  <c r="K328" i="9"/>
  <c r="M328" i="9" s="1"/>
  <c r="K96" i="9"/>
  <c r="L96" i="9" s="1"/>
  <c r="K203" i="9"/>
  <c r="M203" i="9" s="1"/>
  <c r="K50" i="9"/>
  <c r="M50" i="9" s="1"/>
  <c r="K122" i="9"/>
  <c r="M122" i="9" s="1"/>
  <c r="K77" i="9"/>
  <c r="M77" i="9" s="1"/>
  <c r="Q211" i="9"/>
  <c r="K43" i="9"/>
  <c r="M43" i="9" s="1"/>
  <c r="Q190" i="9"/>
  <c r="K190" i="9"/>
  <c r="M190" i="9" s="1"/>
  <c r="K174" i="9"/>
  <c r="M174" i="9" s="1"/>
  <c r="Q174" i="9"/>
  <c r="M260" i="9"/>
  <c r="K259" i="9"/>
  <c r="L260" i="9" s="1"/>
  <c r="Q259" i="9"/>
  <c r="Q280" i="9"/>
  <c r="K280" i="9"/>
  <c r="M280" i="9" s="1"/>
  <c r="K219" i="9"/>
  <c r="M219" i="9" s="1"/>
  <c r="Q219" i="9"/>
  <c r="K226" i="9"/>
  <c r="Q226" i="9"/>
  <c r="K254" i="9"/>
  <c r="K292" i="9"/>
  <c r="M292" i="9" s="1"/>
  <c r="M30" i="9"/>
  <c r="K253" i="9"/>
  <c r="M253" i="9" s="1"/>
  <c r="K28" i="9"/>
  <c r="K121" i="9"/>
  <c r="M121" i="9" s="1"/>
  <c r="L105" i="9"/>
  <c r="Q260" i="9"/>
  <c r="K243" i="9"/>
  <c r="M243" i="9" s="1"/>
  <c r="K161" i="9"/>
  <c r="M161" i="9" s="1"/>
  <c r="L309" i="9"/>
  <c r="I213" i="9"/>
  <c r="I165" i="9"/>
  <c r="K86" i="9"/>
  <c r="M86" i="9" s="1"/>
  <c r="AQ22" i="14"/>
  <c r="K67" i="9"/>
  <c r="M67" i="9" s="1"/>
  <c r="K85" i="9"/>
  <c r="I315" i="9"/>
  <c r="K315" i="9" s="1"/>
  <c r="L315" i="9" s="1"/>
  <c r="K332" i="9"/>
  <c r="L332" i="9" s="1"/>
  <c r="Q293" i="9"/>
  <c r="K293" i="9"/>
  <c r="L294" i="9" s="1"/>
  <c r="M80" i="9"/>
  <c r="L80" i="9"/>
  <c r="L32" i="9"/>
  <c r="M78" i="9"/>
  <c r="Q203" i="9"/>
  <c r="Q245" i="9"/>
  <c r="K245" i="9"/>
  <c r="M245" i="9" s="1"/>
  <c r="M214" i="9"/>
  <c r="K300" i="9"/>
  <c r="M300" i="9" s="1"/>
  <c r="Q290" i="9"/>
  <c r="Q220" i="9"/>
  <c r="L31" i="9"/>
  <c r="K193" i="9"/>
  <c r="M193" i="9" s="1"/>
  <c r="Q266" i="9"/>
  <c r="K266" i="9"/>
  <c r="L267" i="9" s="1"/>
  <c r="L52" i="9"/>
  <c r="K221" i="9"/>
  <c r="M221" i="9" s="1"/>
  <c r="Q221" i="9"/>
  <c r="K209" i="9"/>
  <c r="M209" i="9" s="1"/>
  <c r="K217" i="9"/>
  <c r="Q217" i="9"/>
  <c r="M49" i="9"/>
  <c r="M262" i="9"/>
  <c r="K261" i="9"/>
  <c r="L262" i="9" s="1"/>
  <c r="Q261" i="9"/>
  <c r="Q263" i="9"/>
  <c r="K263" i="9"/>
  <c r="K210" i="9"/>
  <c r="L211" i="9" s="1"/>
  <c r="Q210" i="9"/>
  <c r="K184" i="9"/>
  <c r="M184" i="9" s="1"/>
  <c r="M32" i="9"/>
  <c r="L49" i="9"/>
  <c r="Q229" i="9"/>
  <c r="K229" i="9"/>
  <c r="M229" i="9" s="1"/>
  <c r="M51" i="9"/>
  <c r="K235" i="9"/>
  <c r="M235" i="9" s="1"/>
  <c r="Q235" i="9"/>
  <c r="K158" i="9"/>
  <c r="M158" i="9" s="1"/>
  <c r="Q158" i="9"/>
  <c r="AQ11" i="14"/>
  <c r="I97" i="9"/>
  <c r="K97" i="9" s="1"/>
  <c r="L310" i="9"/>
  <c r="K202" i="9"/>
  <c r="K199" i="9"/>
  <c r="I116" i="9"/>
  <c r="K116" i="9" s="1"/>
  <c r="M116" i="9" s="1"/>
  <c r="I136" i="9"/>
  <c r="K136" i="9" s="1"/>
  <c r="L137" i="9" s="1"/>
  <c r="I179" i="9"/>
  <c r="K64" i="9"/>
  <c r="M64" i="9" s="1"/>
  <c r="K117" i="9"/>
  <c r="K129" i="9"/>
  <c r="L129" i="9" s="1"/>
  <c r="K33" i="9"/>
  <c r="M317" i="9"/>
  <c r="L41" i="9"/>
  <c r="M40" i="9"/>
  <c r="M41" i="9"/>
  <c r="M305" i="9"/>
  <c r="L305" i="9"/>
  <c r="M312" i="9"/>
  <c r="L313" i="9"/>
  <c r="M294" i="9"/>
  <c r="M59" i="9"/>
  <c r="K159" i="9"/>
  <c r="Q159" i="9"/>
  <c r="M306" i="9"/>
  <c r="L306" i="9"/>
  <c r="M303" i="9"/>
  <c r="L304" i="9"/>
  <c r="L303" i="9"/>
  <c r="M137" i="9"/>
  <c r="K180" i="9"/>
  <c r="Q180" i="9"/>
  <c r="M82" i="9"/>
  <c r="M106" i="9"/>
  <c r="L106" i="9"/>
  <c r="K192" i="9"/>
  <c r="M192" i="9" s="1"/>
  <c r="Q296" i="9"/>
  <c r="Q294" i="9"/>
  <c r="K285" i="9"/>
  <c r="M285" i="9" s="1"/>
  <c r="L212" i="9"/>
  <c r="K275" i="9"/>
  <c r="M275" i="9" s="1"/>
  <c r="L322" i="9"/>
  <c r="Q272" i="9"/>
  <c r="Q195" i="9"/>
  <c r="Q270" i="9"/>
  <c r="Q257" i="9"/>
  <c r="K178" i="9"/>
  <c r="K246" i="9"/>
  <c r="M246" i="9" s="1"/>
  <c r="M65" i="9"/>
  <c r="K237" i="9"/>
  <c r="L314" i="9"/>
  <c r="K244" i="9"/>
  <c r="K224" i="9"/>
  <c r="M224" i="9" s="1"/>
  <c r="Q224" i="9"/>
  <c r="H63" i="9"/>
  <c r="I63" i="9" s="1"/>
  <c r="K63" i="9" s="1"/>
  <c r="M309" i="9"/>
  <c r="K268" i="9"/>
  <c r="H147" i="9"/>
  <c r="I147" i="9" s="1"/>
  <c r="K147" i="9" s="1"/>
  <c r="H239" i="9"/>
  <c r="I239" i="9" s="1"/>
  <c r="H149" i="9"/>
  <c r="I149" i="9" s="1"/>
  <c r="K149" i="9" s="1"/>
  <c r="K42" i="9"/>
  <c r="I36" i="9"/>
  <c r="K36" i="9" s="1"/>
  <c r="L37" i="9" s="1"/>
  <c r="I111" i="9"/>
  <c r="K111" i="9" s="1"/>
  <c r="I250" i="9"/>
  <c r="I35" i="9"/>
  <c r="K35" i="9" s="1"/>
  <c r="H75" i="9"/>
  <c r="I75" i="9" s="1"/>
  <c r="K75" i="9" s="1"/>
  <c r="H87" i="9"/>
  <c r="I87" i="9" s="1"/>
  <c r="K87" i="9" s="1"/>
  <c r="I92" i="9"/>
  <c r="K92" i="9" s="1"/>
  <c r="M92" i="9" s="1"/>
  <c r="I112" i="9"/>
  <c r="K112" i="9" s="1"/>
  <c r="M112" i="9" s="1"/>
  <c r="I170" i="9"/>
  <c r="I295" i="9"/>
  <c r="I299" i="9"/>
  <c r="I318" i="9"/>
  <c r="K318" i="9" s="1"/>
  <c r="L319" i="9" s="1"/>
  <c r="H324" i="9"/>
  <c r="I324" i="9" s="1"/>
  <c r="K324" i="9" s="1"/>
  <c r="I326" i="9"/>
  <c r="K326" i="9" s="1"/>
  <c r="M326" i="9" s="1"/>
  <c r="I289" i="9"/>
  <c r="I316" i="9"/>
  <c r="K316" i="9" s="1"/>
  <c r="I329" i="9"/>
  <c r="K329" i="9" s="1"/>
  <c r="I144" i="9"/>
  <c r="K144" i="9" s="1"/>
  <c r="M144" i="9" s="1"/>
  <c r="I127" i="9"/>
  <c r="K127" i="9" s="1"/>
  <c r="L128" i="9" s="1"/>
  <c r="I208" i="9"/>
  <c r="I163" i="9"/>
  <c r="I252" i="9"/>
  <c r="I288" i="9"/>
  <c r="I298" i="9"/>
  <c r="I320" i="9"/>
  <c r="K320" i="9" s="1"/>
  <c r="I194" i="9"/>
  <c r="I307" i="9"/>
  <c r="K307" i="9" s="1"/>
  <c r="L311" i="9"/>
  <c r="L312" i="9"/>
  <c r="M311" i="9"/>
  <c r="M157" i="9"/>
  <c r="M287" i="9"/>
  <c r="Q168" i="9"/>
  <c r="K168" i="9"/>
  <c r="Q187" i="9"/>
  <c r="M310" i="9"/>
  <c r="K279" i="9"/>
  <c r="M319" i="9"/>
  <c r="L115" i="9"/>
  <c r="M178" i="9"/>
  <c r="K222" i="9"/>
  <c r="Q222" i="9"/>
  <c r="M120" i="9"/>
  <c r="Q273" i="9"/>
  <c r="K273" i="9"/>
  <c r="M195" i="9"/>
  <c r="K201" i="9"/>
  <c r="Q201" i="9"/>
  <c r="Q256" i="9"/>
  <c r="K256" i="9"/>
  <c r="Q241" i="9"/>
  <c r="K241" i="9"/>
  <c r="K186" i="9"/>
  <c r="K282" i="9"/>
  <c r="Q282" i="9"/>
  <c r="M68" i="9"/>
  <c r="Q189" i="9"/>
  <c r="K189" i="9"/>
  <c r="M162" i="9"/>
  <c r="M100" i="9"/>
  <c r="H142" i="9"/>
  <c r="I142" i="9" s="1"/>
  <c r="K142" i="9" s="1"/>
  <c r="K232" i="9"/>
  <c r="Q232" i="9"/>
  <c r="M79" i="9"/>
  <c r="L79" i="9"/>
  <c r="K236" i="9"/>
  <c r="Q236" i="9"/>
  <c r="Q188" i="9"/>
  <c r="K188" i="9"/>
  <c r="I98" i="9"/>
  <c r="K98" i="9" s="1"/>
  <c r="Q173" i="9"/>
  <c r="K173" i="9"/>
  <c r="K276" i="9"/>
  <c r="Q276" i="9"/>
  <c r="I145" i="9"/>
  <c r="K145" i="9" s="1"/>
  <c r="K164" i="9"/>
  <c r="Q164" i="9"/>
  <c r="M88" i="9"/>
  <c r="I154" i="9"/>
  <c r="K154" i="9" s="1"/>
  <c r="I94" i="9"/>
  <c r="K94" i="9" s="1"/>
  <c r="I205" i="9"/>
  <c r="AQ33" i="14"/>
  <c r="I108" i="9"/>
  <c r="K108" i="9" s="1"/>
  <c r="I191" i="9"/>
  <c r="I215" i="9"/>
  <c r="I223" i="9"/>
  <c r="I81" i="9"/>
  <c r="K81" i="9" s="1"/>
  <c r="I55" i="9"/>
  <c r="K55" i="9" s="1"/>
  <c r="I123" i="9"/>
  <c r="K123" i="9" s="1"/>
  <c r="I66" i="9"/>
  <c r="K66" i="9" s="1"/>
  <c r="I101" i="9"/>
  <c r="K101" i="9" s="1"/>
  <c r="I39" i="9"/>
  <c r="K39" i="9" s="1"/>
  <c r="AQ34" i="14"/>
  <c r="I45" i="9"/>
  <c r="K45" i="9" s="1"/>
  <c r="I167" i="9"/>
  <c r="I185" i="9"/>
  <c r="I200" i="9"/>
  <c r="I218" i="9"/>
  <c r="I228" i="9"/>
  <c r="I242" i="9"/>
  <c r="I152" i="9"/>
  <c r="K152" i="9" s="1"/>
  <c r="I271" i="9"/>
  <c r="I269" i="9"/>
  <c r="I264" i="9"/>
  <c r="I248" i="9"/>
  <c r="H38" i="9"/>
  <c r="I38" i="9" s="1"/>
  <c r="K38" i="9" s="1"/>
  <c r="I274" i="9"/>
  <c r="I54" i="9"/>
  <c r="K54" i="9" s="1"/>
  <c r="I72" i="9"/>
  <c r="K72" i="9" s="1"/>
  <c r="I91" i="9"/>
  <c r="K91" i="9" s="1"/>
  <c r="I113" i="9"/>
  <c r="K113" i="9" s="1"/>
  <c r="I278" i="9"/>
  <c r="I301" i="9"/>
  <c r="I325" i="9"/>
  <c r="K325" i="9" s="1"/>
  <c r="S483" i="6"/>
  <c r="H12" i="6"/>
  <c r="H13" i="6" s="1"/>
  <c r="S629" i="6"/>
  <c r="S484" i="6"/>
  <c r="N479" i="6"/>
  <c r="N628" i="6"/>
  <c r="F15" i="6"/>
  <c r="K14" i="6"/>
  <c r="S652" i="6"/>
  <c r="M652" i="6"/>
  <c r="S601" i="6"/>
  <c r="N600" i="6"/>
  <c r="N701" i="6"/>
  <c r="M701" i="6"/>
  <c r="E702" i="6"/>
  <c r="Q181" i="9" l="1"/>
  <c r="L90" i="9"/>
  <c r="M175" i="9"/>
  <c r="L4" i="18"/>
  <c r="L4" i="19"/>
  <c r="H241" i="21"/>
  <c r="Q240" i="21"/>
  <c r="I3" i="17"/>
  <c r="L4" i="17" s="1"/>
  <c r="G3" i="17"/>
  <c r="J3" i="17" s="1"/>
  <c r="H77" i="17"/>
  <c r="Q76" i="17"/>
  <c r="Q3" i="17"/>
  <c r="Q4" i="17"/>
  <c r="G4" i="17"/>
  <c r="J4" i="17" s="1"/>
  <c r="L69" i="9"/>
  <c r="M296" i="9"/>
  <c r="L104" i="9"/>
  <c r="L68" i="9"/>
  <c r="M70" i="9"/>
  <c r="L138" i="9"/>
  <c r="M47" i="9"/>
  <c r="L70" i="9"/>
  <c r="M286" i="9"/>
  <c r="L103" i="9"/>
  <c r="L107" i="9"/>
  <c r="L125" i="9"/>
  <c r="L291" i="9"/>
  <c r="L119" i="9"/>
  <c r="M332" i="9"/>
  <c r="L89" i="9"/>
  <c r="L131" i="9"/>
  <c r="F6" i="17"/>
  <c r="K5" i="17"/>
  <c r="K167" i="21"/>
  <c r="I167" i="21" s="1"/>
  <c r="L167" i="21" s="1"/>
  <c r="F168" i="21"/>
  <c r="G167" i="21"/>
  <c r="J167" i="21" s="1"/>
  <c r="Q231" i="9"/>
  <c r="L184" i="9"/>
  <c r="L140" i="9"/>
  <c r="L323" i="9"/>
  <c r="L157" i="9"/>
  <c r="L156" i="9"/>
  <c r="M60" i="9"/>
  <c r="L328" i="9"/>
  <c r="M129" i="9"/>
  <c r="L84" i="9"/>
  <c r="L178" i="9"/>
  <c r="L139" i="9"/>
  <c r="M119" i="9"/>
  <c r="K207" i="9"/>
  <c r="M207" i="9" s="1"/>
  <c r="L316" i="9"/>
  <c r="L97" i="9"/>
  <c r="M97" i="9"/>
  <c r="L285" i="9"/>
  <c r="Q225" i="9"/>
  <c r="L226" i="9"/>
  <c r="M225" i="9"/>
  <c r="L116" i="9"/>
  <c r="M29" i="9"/>
  <c r="L77" i="9"/>
  <c r="L126" i="9"/>
  <c r="L225" i="9"/>
  <c r="M315" i="9"/>
  <c r="L162" i="9"/>
  <c r="L100" i="9"/>
  <c r="L284" i="9"/>
  <c r="L172" i="9"/>
  <c r="L193" i="9"/>
  <c r="L158" i="9"/>
  <c r="M58" i="9"/>
  <c r="L58" i="9"/>
  <c r="L230" i="9"/>
  <c r="L161" i="9"/>
  <c r="L61" i="9"/>
  <c r="Q12" i="6"/>
  <c r="S12" i="6" s="1"/>
  <c r="G12" i="6"/>
  <c r="H79" i="19"/>
  <c r="Q78" i="19"/>
  <c r="I4" i="17"/>
  <c r="I5" i="17"/>
  <c r="L5" i="17" s="1"/>
  <c r="H78" i="18"/>
  <c r="Q77" i="18"/>
  <c r="F9" i="19"/>
  <c r="K8" i="19"/>
  <c r="Q5" i="19"/>
  <c r="I5" i="19"/>
  <c r="L5" i="19" s="1"/>
  <c r="G5" i="19"/>
  <c r="J5" i="19" s="1"/>
  <c r="G5" i="18"/>
  <c r="J5" i="18" s="1"/>
  <c r="I5" i="18"/>
  <c r="L5" i="18" s="1"/>
  <c r="Q5" i="18"/>
  <c r="F7" i="18"/>
  <c r="K6" i="18"/>
  <c r="G5" i="17"/>
  <c r="J5" i="17" s="1"/>
  <c r="L3" i="17"/>
  <c r="M266" i="9"/>
  <c r="L47" i="9"/>
  <c r="L134" i="9"/>
  <c r="L83" i="9"/>
  <c r="M132" i="9"/>
  <c r="M109" i="9"/>
  <c r="L292" i="9"/>
  <c r="M316" i="9"/>
  <c r="L196" i="9"/>
  <c r="L266" i="9"/>
  <c r="L246" i="9"/>
  <c r="L74" i="9"/>
  <c r="L220" i="9"/>
  <c r="L51" i="9"/>
  <c r="L44" i="9"/>
  <c r="L175" i="9"/>
  <c r="L141" i="9"/>
  <c r="L151" i="9"/>
  <c r="L255" i="9"/>
  <c r="L286" i="9"/>
  <c r="L133" i="9"/>
  <c r="L177" i="9"/>
  <c r="M96" i="9"/>
  <c r="L331" i="9"/>
  <c r="L78" i="9"/>
  <c r="L135" i="9"/>
  <c r="L86" i="9"/>
  <c r="M85" i="9"/>
  <c r="L29" i="9"/>
  <c r="L204" i="9"/>
  <c r="L197" i="9"/>
  <c r="L182" i="9"/>
  <c r="L57" i="9"/>
  <c r="L234" i="9"/>
  <c r="L85" i="9"/>
  <c r="L62" i="9"/>
  <c r="M197" i="9"/>
  <c r="L121" i="9"/>
  <c r="L281" i="9"/>
  <c r="L183" i="9"/>
  <c r="L36" i="9"/>
  <c r="M127" i="9"/>
  <c r="M36" i="9"/>
  <c r="M53" i="9"/>
  <c r="L221" i="9"/>
  <c r="L65" i="9"/>
  <c r="L122" i="9"/>
  <c r="L50" i="9"/>
  <c r="Q213" i="9"/>
  <c r="K213" i="9"/>
  <c r="L28" i="9"/>
  <c r="M28" i="9"/>
  <c r="L112" i="9"/>
  <c r="M226" i="9"/>
  <c r="L227" i="9"/>
  <c r="Q165" i="9"/>
  <c r="K165" i="9"/>
  <c r="L165" i="9" s="1"/>
  <c r="M254" i="9"/>
  <c r="L254" i="9"/>
  <c r="M259" i="9"/>
  <c r="L259" i="9"/>
  <c r="L130" i="9"/>
  <c r="M293" i="9"/>
  <c r="L293" i="9"/>
  <c r="L33" i="9"/>
  <c r="L34" i="9"/>
  <c r="M33" i="9"/>
  <c r="M199" i="9"/>
  <c r="L199" i="9"/>
  <c r="L235" i="9"/>
  <c r="M217" i="9"/>
  <c r="L217" i="9"/>
  <c r="Q179" i="9"/>
  <c r="K179" i="9"/>
  <c r="L180" i="9" s="1"/>
  <c r="L203" i="9"/>
  <c r="M202" i="9"/>
  <c r="M261" i="9"/>
  <c r="L261" i="9"/>
  <c r="M117" i="9"/>
  <c r="L117" i="9"/>
  <c r="L118" i="9"/>
  <c r="M136" i="9"/>
  <c r="L136" i="9"/>
  <c r="L210" i="9"/>
  <c r="M210" i="9"/>
  <c r="L263" i="9"/>
  <c r="M263" i="9"/>
  <c r="M147" i="9"/>
  <c r="L147" i="9"/>
  <c r="L148" i="9"/>
  <c r="M149" i="9"/>
  <c r="L149" i="9"/>
  <c r="L150" i="9"/>
  <c r="M87" i="9"/>
  <c r="L87" i="9"/>
  <c r="L88" i="9"/>
  <c r="M63" i="9"/>
  <c r="L63" i="9"/>
  <c r="L64" i="9"/>
  <c r="M324" i="9"/>
  <c r="L324" i="9"/>
  <c r="L75" i="9"/>
  <c r="M75" i="9"/>
  <c r="L76" i="9"/>
  <c r="Q170" i="9"/>
  <c r="K170" i="9"/>
  <c r="L327" i="9"/>
  <c r="L247" i="9"/>
  <c r="L160" i="9"/>
  <c r="M159" i="9"/>
  <c r="L159" i="9"/>
  <c r="L321" i="9"/>
  <c r="M320" i="9"/>
  <c r="Q163" i="9"/>
  <c r="K163" i="9"/>
  <c r="L164" i="9" s="1"/>
  <c r="M329" i="9"/>
  <c r="L329" i="9"/>
  <c r="L127" i="9"/>
  <c r="K298" i="9"/>
  <c r="Q298" i="9"/>
  <c r="K208" i="9"/>
  <c r="Q208" i="9"/>
  <c r="M318" i="9"/>
  <c r="L318" i="9"/>
  <c r="M35" i="9"/>
  <c r="L35" i="9"/>
  <c r="M42" i="9"/>
  <c r="L43" i="9"/>
  <c r="M237" i="9"/>
  <c r="L238" i="9"/>
  <c r="L330" i="9"/>
  <c r="L320" i="9"/>
  <c r="L307" i="9"/>
  <c r="M307" i="9"/>
  <c r="L308" i="9"/>
  <c r="Q288" i="9"/>
  <c r="K288" i="9"/>
  <c r="K289" i="9"/>
  <c r="Q289" i="9"/>
  <c r="Q299" i="9"/>
  <c r="K299" i="9"/>
  <c r="Q250" i="9"/>
  <c r="K250" i="9"/>
  <c r="K239" i="9"/>
  <c r="Q239" i="9"/>
  <c r="M268" i="9"/>
  <c r="L268" i="9"/>
  <c r="L93" i="9"/>
  <c r="L144" i="9"/>
  <c r="Q194" i="9"/>
  <c r="K194" i="9"/>
  <c r="Q252" i="9"/>
  <c r="K252" i="9"/>
  <c r="Q295" i="9"/>
  <c r="K295" i="9"/>
  <c r="M111" i="9"/>
  <c r="L111" i="9"/>
  <c r="M244" i="9"/>
  <c r="L245" i="9"/>
  <c r="L244" i="9"/>
  <c r="L181" i="9"/>
  <c r="M180" i="9"/>
  <c r="L42" i="9"/>
  <c r="L317" i="9"/>
  <c r="L38" i="9"/>
  <c r="M38" i="9"/>
  <c r="M142" i="9"/>
  <c r="L142" i="9"/>
  <c r="L143" i="9"/>
  <c r="K274" i="9"/>
  <c r="Q274" i="9"/>
  <c r="Q228" i="9"/>
  <c r="K228" i="9"/>
  <c r="M39" i="9"/>
  <c r="L40" i="9"/>
  <c r="L39" i="9"/>
  <c r="K191" i="9"/>
  <c r="Q191" i="9"/>
  <c r="M164" i="9"/>
  <c r="M236" i="9"/>
  <c r="L237" i="9"/>
  <c r="L236" i="9"/>
  <c r="M91" i="9"/>
  <c r="L92" i="9"/>
  <c r="L91" i="9"/>
  <c r="K301" i="9"/>
  <c r="Q301" i="9"/>
  <c r="L72" i="9"/>
  <c r="M72" i="9"/>
  <c r="L73" i="9"/>
  <c r="K248" i="9"/>
  <c r="Q248" i="9"/>
  <c r="M152" i="9"/>
  <c r="L152" i="9"/>
  <c r="Q200" i="9"/>
  <c r="K200" i="9"/>
  <c r="L201" i="9" s="1"/>
  <c r="L66" i="9"/>
  <c r="M66" i="9"/>
  <c r="L67" i="9"/>
  <c r="K223" i="9"/>
  <c r="Q223" i="9"/>
  <c r="L153" i="9"/>
  <c r="M282" i="9"/>
  <c r="L283" i="9"/>
  <c r="L282" i="9"/>
  <c r="M201" i="9"/>
  <c r="L202" i="9"/>
  <c r="M113" i="9"/>
  <c r="L113" i="9"/>
  <c r="L114" i="9"/>
  <c r="Q269" i="9"/>
  <c r="K269" i="9"/>
  <c r="K167" i="9"/>
  <c r="L168" i="9" s="1"/>
  <c r="Q167" i="9"/>
  <c r="L55" i="9"/>
  <c r="M55" i="9"/>
  <c r="L56" i="9"/>
  <c r="M94" i="9"/>
  <c r="L95" i="9"/>
  <c r="L94" i="9"/>
  <c r="M232" i="9"/>
  <c r="L232" i="9"/>
  <c r="L233" i="9"/>
  <c r="M325" i="9"/>
  <c r="L326" i="9"/>
  <c r="L325" i="9"/>
  <c r="Q278" i="9"/>
  <c r="K278" i="9"/>
  <c r="L54" i="9"/>
  <c r="M54" i="9"/>
  <c r="Q264" i="9"/>
  <c r="K264" i="9"/>
  <c r="K242" i="9"/>
  <c r="Q242" i="9"/>
  <c r="Q185" i="9"/>
  <c r="K185" i="9"/>
  <c r="M123" i="9"/>
  <c r="L124" i="9"/>
  <c r="L123" i="9"/>
  <c r="K215" i="9"/>
  <c r="Q215" i="9"/>
  <c r="Q205" i="9"/>
  <c r="K205" i="9"/>
  <c r="L276" i="9"/>
  <c r="M276" i="9"/>
  <c r="L277" i="9"/>
  <c r="M173" i="9"/>
  <c r="L173" i="9"/>
  <c r="M189" i="9"/>
  <c r="L190" i="9"/>
  <c r="L189" i="9"/>
  <c r="L186" i="9"/>
  <c r="L187" i="9"/>
  <c r="M256" i="9"/>
  <c r="L256" i="9"/>
  <c r="L257" i="9"/>
  <c r="M279" i="9"/>
  <c r="L280" i="9"/>
  <c r="L169" i="9"/>
  <c r="M168" i="9"/>
  <c r="M186" i="9"/>
  <c r="M222" i="9"/>
  <c r="L222" i="9"/>
  <c r="K271" i="9"/>
  <c r="Q271" i="9"/>
  <c r="K218" i="9"/>
  <c r="Q218" i="9"/>
  <c r="M45" i="9"/>
  <c r="L45" i="9"/>
  <c r="L46" i="9"/>
  <c r="L102" i="9"/>
  <c r="L101" i="9"/>
  <c r="M101" i="9"/>
  <c r="M81" i="9"/>
  <c r="L81" i="9"/>
  <c r="L82" i="9"/>
  <c r="M108" i="9"/>
  <c r="L109" i="9"/>
  <c r="L108" i="9"/>
  <c r="L154" i="9"/>
  <c r="M154" i="9"/>
  <c r="L155" i="9"/>
  <c r="M145" i="9"/>
  <c r="L145" i="9"/>
  <c r="L146" i="9"/>
  <c r="L98" i="9"/>
  <c r="M98" i="9"/>
  <c r="L99" i="9"/>
  <c r="M188" i="9"/>
  <c r="L188" i="9"/>
  <c r="M231" i="9"/>
  <c r="L231" i="9"/>
  <c r="M241" i="9"/>
  <c r="L241" i="9"/>
  <c r="M273" i="9"/>
  <c r="L273" i="9"/>
  <c r="L174" i="9"/>
  <c r="I12" i="6"/>
  <c r="L12" i="6" s="1"/>
  <c r="H14" i="6"/>
  <c r="G13" i="6"/>
  <c r="I13" i="6"/>
  <c r="Q13" i="6"/>
  <c r="S13" i="6" s="1"/>
  <c r="J12" i="6"/>
  <c r="P12" i="6"/>
  <c r="F16" i="6"/>
  <c r="K15" i="6"/>
  <c r="T12" i="6"/>
  <c r="U12" i="6" s="1"/>
  <c r="Z12" i="6" s="1"/>
  <c r="N702" i="6"/>
  <c r="M702" i="6"/>
  <c r="E703" i="6"/>
  <c r="V12" i="6"/>
  <c r="W12" i="6" s="1"/>
  <c r="X12" i="6" s="1"/>
  <c r="Y12" i="6" s="1"/>
  <c r="Q241" i="21" l="1"/>
  <c r="H242" i="21"/>
  <c r="H78" i="17"/>
  <c r="Q77" i="17"/>
  <c r="L207" i="9"/>
  <c r="F7" i="17"/>
  <c r="K6" i="17"/>
  <c r="F169" i="21"/>
  <c r="K168" i="21"/>
  <c r="I168" i="21" s="1"/>
  <c r="L168" i="21" s="1"/>
  <c r="G168" i="21"/>
  <c r="J168" i="21" s="1"/>
  <c r="AC12" i="6"/>
  <c r="AD12" i="6" s="1"/>
  <c r="H80" i="19"/>
  <c r="Q79" i="19"/>
  <c r="Q5" i="17"/>
  <c r="H79" i="18"/>
  <c r="Q78" i="18"/>
  <c r="G6" i="19"/>
  <c r="J6" i="19" s="1"/>
  <c r="I6" i="19"/>
  <c r="L6" i="19" s="1"/>
  <c r="Q6" i="19"/>
  <c r="F10" i="19"/>
  <c r="K9" i="19"/>
  <c r="Q6" i="18"/>
  <c r="I6" i="18"/>
  <c r="L6" i="18" s="1"/>
  <c r="G6" i="18"/>
  <c r="J6" i="18" s="1"/>
  <c r="F8" i="18"/>
  <c r="K7" i="18"/>
  <c r="M213" i="9"/>
  <c r="L213" i="9"/>
  <c r="L214" i="9"/>
  <c r="M165" i="9"/>
  <c r="L166" i="9"/>
  <c r="M179" i="9"/>
  <c r="L179" i="9"/>
  <c r="M295" i="9"/>
  <c r="L296" i="9"/>
  <c r="L295" i="9"/>
  <c r="L194" i="9"/>
  <c r="L195" i="9"/>
  <c r="M194" i="9"/>
  <c r="L250" i="9"/>
  <c r="M250" i="9"/>
  <c r="L251" i="9"/>
  <c r="M298" i="9"/>
  <c r="L298" i="9"/>
  <c r="M163" i="9"/>
  <c r="L163" i="9"/>
  <c r="M289" i="9"/>
  <c r="L289" i="9"/>
  <c r="L290" i="9"/>
  <c r="M170" i="9"/>
  <c r="L170" i="9"/>
  <c r="L171" i="9"/>
  <c r="M252" i="9"/>
  <c r="L252" i="9"/>
  <c r="L253" i="9"/>
  <c r="L299" i="9"/>
  <c r="M299" i="9"/>
  <c r="L300" i="9"/>
  <c r="M288" i="9"/>
  <c r="L288" i="9"/>
  <c r="M208" i="9"/>
  <c r="L208" i="9"/>
  <c r="L209" i="9"/>
  <c r="L240" i="9"/>
  <c r="M239" i="9"/>
  <c r="L239" i="9"/>
  <c r="L249" i="9"/>
  <c r="M248" i="9"/>
  <c r="L248" i="9"/>
  <c r="L219" i="9"/>
  <c r="M218" i="9"/>
  <c r="L218" i="9"/>
  <c r="L242" i="9"/>
  <c r="M242" i="9"/>
  <c r="L243" i="9"/>
  <c r="M167" i="9"/>
  <c r="L167" i="9"/>
  <c r="L302" i="9"/>
  <c r="M301" i="9"/>
  <c r="L301" i="9"/>
  <c r="L216" i="9"/>
  <c r="L215" i="9"/>
  <c r="M215" i="9"/>
  <c r="M185" i="9"/>
  <c r="L185" i="9"/>
  <c r="M264" i="9"/>
  <c r="L264" i="9"/>
  <c r="L265" i="9"/>
  <c r="M278" i="9"/>
  <c r="L278" i="9"/>
  <c r="M269" i="9"/>
  <c r="L269" i="9"/>
  <c r="L270" i="9"/>
  <c r="L274" i="9"/>
  <c r="M274" i="9"/>
  <c r="L275" i="9"/>
  <c r="L272" i="9"/>
  <c r="L271" i="9"/>
  <c r="M271" i="9"/>
  <c r="L279" i="9"/>
  <c r="M205" i="9"/>
  <c r="L205" i="9"/>
  <c r="L206" i="9"/>
  <c r="M223" i="9"/>
  <c r="L223" i="9"/>
  <c r="L224" i="9"/>
  <c r="M200" i="9"/>
  <c r="L200" i="9"/>
  <c r="L191" i="9"/>
  <c r="M191" i="9"/>
  <c r="L192" i="9"/>
  <c r="M228" i="9"/>
  <c r="L228" i="9"/>
  <c r="L229" i="9"/>
  <c r="T13" i="6"/>
  <c r="U13" i="6" s="1"/>
  <c r="Z13" i="6" s="1"/>
  <c r="V13" i="6"/>
  <c r="E704" i="6"/>
  <c r="N703" i="6"/>
  <c r="M703" i="6"/>
  <c r="K16" i="6"/>
  <c r="F17" i="6"/>
  <c r="L13" i="6"/>
  <c r="AA13" i="6" s="1"/>
  <c r="AC13" i="6"/>
  <c r="AD13" i="6" s="1"/>
  <c r="J13" i="6"/>
  <c r="P13" i="6"/>
  <c r="AA12" i="6"/>
  <c r="I14" i="6"/>
  <c r="H15" i="6"/>
  <c r="G14" i="6"/>
  <c r="Q14" i="6"/>
  <c r="S14" i="6" s="1"/>
  <c r="H243" i="21" l="1"/>
  <c r="Q242" i="21"/>
  <c r="H79" i="17"/>
  <c r="Q78" i="17"/>
  <c r="K7" i="17"/>
  <c r="F8" i="17"/>
  <c r="K169" i="21"/>
  <c r="I169" i="21" s="1"/>
  <c r="L169" i="21" s="1"/>
  <c r="F170" i="21"/>
  <c r="G169" i="21"/>
  <c r="J169" i="21" s="1"/>
  <c r="W13" i="6"/>
  <c r="X13" i="6" s="1"/>
  <c r="H81" i="19"/>
  <c r="Q80" i="19"/>
  <c r="I6" i="17"/>
  <c r="L6" i="17" s="1"/>
  <c r="Q6" i="17"/>
  <c r="G6" i="17"/>
  <c r="J6" i="17" s="1"/>
  <c r="H80" i="18"/>
  <c r="Q79" i="18"/>
  <c r="G7" i="19"/>
  <c r="J7" i="19" s="1"/>
  <c r="Q7" i="19"/>
  <c r="I7" i="19"/>
  <c r="L7" i="19" s="1"/>
  <c r="F11" i="19"/>
  <c r="K10" i="19"/>
  <c r="F9" i="18"/>
  <c r="K8" i="18"/>
  <c r="Q7" i="18"/>
  <c r="I7" i="18"/>
  <c r="L7" i="18" s="1"/>
  <c r="G7" i="18"/>
  <c r="J7" i="18" s="1"/>
  <c r="Y13" i="6"/>
  <c r="T14" i="6"/>
  <c r="U14" i="6" s="1"/>
  <c r="Z14" i="6" s="1"/>
  <c r="V14" i="6"/>
  <c r="W14" i="6" s="1"/>
  <c r="X14" i="6" s="1"/>
  <c r="L14" i="6"/>
  <c r="AC14" i="6"/>
  <c r="AD14" i="6" s="1"/>
  <c r="E705" i="6"/>
  <c r="N704" i="6"/>
  <c r="M704" i="6"/>
  <c r="P14" i="6"/>
  <c r="J14" i="6"/>
  <c r="K17" i="6"/>
  <c r="F18" i="6"/>
  <c r="H16" i="6"/>
  <c r="G15" i="6"/>
  <c r="I15" i="6"/>
  <c r="Q15" i="6"/>
  <c r="S15" i="6" s="1"/>
  <c r="H244" i="21" l="1"/>
  <c r="Q243" i="21"/>
  <c r="H80" i="17"/>
  <c r="Q79" i="17"/>
  <c r="K8" i="17"/>
  <c r="F9" i="17"/>
  <c r="F171" i="21"/>
  <c r="K170" i="21"/>
  <c r="I170" i="21" s="1"/>
  <c r="L170" i="21" s="1"/>
  <c r="G170" i="21"/>
  <c r="J170" i="21" s="1"/>
  <c r="H82" i="19"/>
  <c r="Q81" i="19"/>
  <c r="G7" i="17"/>
  <c r="J7" i="17" s="1"/>
  <c r="Q7" i="17"/>
  <c r="I7" i="17"/>
  <c r="L7" i="17" s="1"/>
  <c r="H81" i="18"/>
  <c r="Q80" i="18"/>
  <c r="Q8" i="19"/>
  <c r="I8" i="19"/>
  <c r="L8" i="19" s="1"/>
  <c r="G8" i="19"/>
  <c r="J8" i="19" s="1"/>
  <c r="F12" i="19"/>
  <c r="K11" i="19"/>
  <c r="G8" i="18"/>
  <c r="J8" i="18" s="1"/>
  <c r="Q8" i="18"/>
  <c r="I8" i="18"/>
  <c r="L8" i="18" s="1"/>
  <c r="F10" i="18"/>
  <c r="K9" i="18"/>
  <c r="T15" i="6"/>
  <c r="U15" i="6" s="1"/>
  <c r="Z15" i="6" s="1"/>
  <c r="V15" i="6"/>
  <c r="W15" i="6" s="1"/>
  <c r="X15" i="6" s="1"/>
  <c r="AA14" i="6"/>
  <c r="K18" i="6"/>
  <c r="F19" i="6"/>
  <c r="Y14" i="6"/>
  <c r="AC15" i="6"/>
  <c r="AD15" i="6" s="1"/>
  <c r="L15" i="6"/>
  <c r="P15" i="6"/>
  <c r="J15" i="6"/>
  <c r="E706" i="6"/>
  <c r="N705" i="6"/>
  <c r="M705" i="6"/>
  <c r="I16" i="6"/>
  <c r="Q16" i="6"/>
  <c r="S16" i="6" s="1"/>
  <c r="G16" i="6"/>
  <c r="H17" i="6"/>
  <c r="Q244" i="21" l="1"/>
  <c r="H245" i="21"/>
  <c r="Q80" i="17"/>
  <c r="H81" i="17"/>
  <c r="K9" i="17"/>
  <c r="F10" i="17"/>
  <c r="K171" i="21"/>
  <c r="I171" i="21" s="1"/>
  <c r="L171" i="21" s="1"/>
  <c r="F172" i="21"/>
  <c r="G171" i="21"/>
  <c r="J171" i="21" s="1"/>
  <c r="H83" i="19"/>
  <c r="Q82" i="19"/>
  <c r="G8" i="17"/>
  <c r="J8" i="17" s="1"/>
  <c r="I8" i="17"/>
  <c r="L8" i="17" s="1"/>
  <c r="Q8" i="17"/>
  <c r="H82" i="18"/>
  <c r="Q81" i="18"/>
  <c r="K12" i="19"/>
  <c r="F13" i="19"/>
  <c r="Q9" i="19"/>
  <c r="I9" i="19"/>
  <c r="L9" i="19" s="1"/>
  <c r="G9" i="19"/>
  <c r="J9" i="19" s="1"/>
  <c r="G9" i="18"/>
  <c r="J9" i="18" s="1"/>
  <c r="Q9" i="18"/>
  <c r="I9" i="18"/>
  <c r="L9" i="18" s="1"/>
  <c r="K10" i="18"/>
  <c r="F11" i="18"/>
  <c r="T16" i="6"/>
  <c r="U16" i="6" s="1"/>
  <c r="Z16" i="6" s="1"/>
  <c r="V16" i="6"/>
  <c r="I17" i="6"/>
  <c r="G17" i="6"/>
  <c r="Q17" i="6"/>
  <c r="S17" i="6" s="1"/>
  <c r="H18" i="6"/>
  <c r="F20" i="6"/>
  <c r="K19" i="6"/>
  <c r="Y15" i="6"/>
  <c r="N706" i="6"/>
  <c r="M706" i="6"/>
  <c r="E707" i="6"/>
  <c r="AA15" i="6"/>
  <c r="AC16" i="6"/>
  <c r="AD16" i="6" s="1"/>
  <c r="L16" i="6"/>
  <c r="P16" i="6"/>
  <c r="J16" i="6"/>
  <c r="H246" i="21" l="1"/>
  <c r="Q245" i="21"/>
  <c r="Q81" i="17"/>
  <c r="H82" i="17"/>
  <c r="F11" i="17"/>
  <c r="K10" i="17"/>
  <c r="F173" i="21"/>
  <c r="K172" i="21"/>
  <c r="I172" i="21" s="1"/>
  <c r="L172" i="21" s="1"/>
  <c r="G172" i="21"/>
  <c r="J172" i="21" s="1"/>
  <c r="H84" i="19"/>
  <c r="Q83" i="19"/>
  <c r="G9" i="17"/>
  <c r="J9" i="17" s="1"/>
  <c r="Q9" i="17"/>
  <c r="I9" i="17"/>
  <c r="L9" i="17" s="1"/>
  <c r="H83" i="18"/>
  <c r="Q82" i="18"/>
  <c r="G10" i="19"/>
  <c r="J10" i="19" s="1"/>
  <c r="Q10" i="19"/>
  <c r="I10" i="19"/>
  <c r="L10" i="19" s="1"/>
  <c r="F14" i="19"/>
  <c r="K13" i="19"/>
  <c r="Q10" i="18"/>
  <c r="I10" i="18"/>
  <c r="L10" i="18" s="1"/>
  <c r="G10" i="18"/>
  <c r="J10" i="18" s="1"/>
  <c r="K11" i="18"/>
  <c r="F12" i="18"/>
  <c r="T17" i="6"/>
  <c r="U17" i="6" s="1"/>
  <c r="Z17" i="6" s="1"/>
  <c r="V17" i="6"/>
  <c r="E708" i="6"/>
  <c r="N707" i="6"/>
  <c r="M707" i="6"/>
  <c r="W16" i="6"/>
  <c r="X16" i="6" s="1"/>
  <c r="Y16" i="6" s="1"/>
  <c r="P17" i="6"/>
  <c r="J17" i="6"/>
  <c r="AA16" i="6"/>
  <c r="F21" i="6"/>
  <c r="K20" i="6"/>
  <c r="G18" i="6"/>
  <c r="H19" i="6"/>
  <c r="I18" i="6"/>
  <c r="Q18" i="6"/>
  <c r="S18" i="6" s="1"/>
  <c r="AC17" i="6"/>
  <c r="AD17" i="6" s="1"/>
  <c r="L17" i="6"/>
  <c r="H247" i="21" l="1"/>
  <c r="Q246" i="21"/>
  <c r="Q82" i="17"/>
  <c r="H83" i="17"/>
  <c r="F12" i="17"/>
  <c r="K11" i="17"/>
  <c r="K173" i="21"/>
  <c r="I173" i="21" s="1"/>
  <c r="L173" i="21" s="1"/>
  <c r="F174" i="21"/>
  <c r="G173" i="21"/>
  <c r="J173" i="21" s="1"/>
  <c r="H85" i="19"/>
  <c r="Q84" i="19"/>
  <c r="G10" i="17"/>
  <c r="J10" i="17" s="1"/>
  <c r="I10" i="17"/>
  <c r="L10" i="17" s="1"/>
  <c r="Q10" i="17"/>
  <c r="H84" i="18"/>
  <c r="Q83" i="18"/>
  <c r="G11" i="19"/>
  <c r="J11" i="19" s="1"/>
  <c r="Q11" i="19"/>
  <c r="I11" i="19"/>
  <c r="L11" i="19" s="1"/>
  <c r="F15" i="19"/>
  <c r="K14" i="19"/>
  <c r="F13" i="18"/>
  <c r="K12" i="18"/>
  <c r="Q11" i="18"/>
  <c r="I11" i="18"/>
  <c r="L11" i="18" s="1"/>
  <c r="G11" i="18"/>
  <c r="J11" i="18" s="1"/>
  <c r="W17" i="6"/>
  <c r="X17" i="6" s="1"/>
  <c r="T18" i="6"/>
  <c r="U18" i="6" s="1"/>
  <c r="Z18" i="6" s="1"/>
  <c r="V18" i="6"/>
  <c r="L18" i="6"/>
  <c r="AA18" i="6" s="1"/>
  <c r="AC18" i="6"/>
  <c r="AD18" i="6" s="1"/>
  <c r="F22" i="6"/>
  <c r="K21" i="6"/>
  <c r="Y17" i="6"/>
  <c r="I19" i="6"/>
  <c r="H20" i="6"/>
  <c r="G19" i="6"/>
  <c r="Q19" i="6"/>
  <c r="S19" i="6" s="1"/>
  <c r="J18" i="6"/>
  <c r="P18" i="6"/>
  <c r="AA17" i="6"/>
  <c r="E709" i="6"/>
  <c r="N708" i="6"/>
  <c r="M708" i="6"/>
  <c r="Q247" i="21" l="1"/>
  <c r="H248" i="21"/>
  <c r="Q83" i="17"/>
  <c r="H84" i="17"/>
  <c r="K12" i="17"/>
  <c r="F13" i="17"/>
  <c r="F175" i="21"/>
  <c r="K174" i="21"/>
  <c r="I174" i="21" s="1"/>
  <c r="L174" i="21" s="1"/>
  <c r="G174" i="21"/>
  <c r="J174" i="21" s="1"/>
  <c r="H86" i="19"/>
  <c r="Q85" i="19"/>
  <c r="G11" i="17"/>
  <c r="J11" i="17" s="1"/>
  <c r="Q11" i="17"/>
  <c r="I11" i="17"/>
  <c r="L11" i="17" s="1"/>
  <c r="H85" i="18"/>
  <c r="Q84" i="18"/>
  <c r="Q12" i="19"/>
  <c r="I12" i="19"/>
  <c r="L12" i="19" s="1"/>
  <c r="G12" i="19"/>
  <c r="J12" i="19" s="1"/>
  <c r="F16" i="19"/>
  <c r="K15" i="19"/>
  <c r="G12" i="18"/>
  <c r="J12" i="18" s="1"/>
  <c r="Q12" i="18"/>
  <c r="I12" i="18"/>
  <c r="L12" i="18" s="1"/>
  <c r="F14" i="18"/>
  <c r="K13" i="18"/>
  <c r="T19" i="6"/>
  <c r="U19" i="6" s="1"/>
  <c r="Z19" i="6" s="1"/>
  <c r="V19" i="6"/>
  <c r="I20" i="6"/>
  <c r="Q20" i="6"/>
  <c r="S20" i="6" s="1"/>
  <c r="G20" i="6"/>
  <c r="H21" i="6"/>
  <c r="AC19" i="6"/>
  <c r="AD19" i="6" s="1"/>
  <c r="L19" i="6"/>
  <c r="W18" i="6"/>
  <c r="X18" i="6" s="1"/>
  <c r="Y18" i="6" s="1"/>
  <c r="E710" i="6"/>
  <c r="N709" i="6"/>
  <c r="M709" i="6"/>
  <c r="J19" i="6"/>
  <c r="P19" i="6"/>
  <c r="F23" i="6"/>
  <c r="K22" i="6"/>
  <c r="Q248" i="21" l="1"/>
  <c r="H249" i="21"/>
  <c r="Q84" i="17"/>
  <c r="H85" i="17"/>
  <c r="F14" i="17"/>
  <c r="K13" i="17"/>
  <c r="K175" i="21"/>
  <c r="I175" i="21" s="1"/>
  <c r="L175" i="21" s="1"/>
  <c r="F176" i="21"/>
  <c r="G175" i="21"/>
  <c r="J175" i="21" s="1"/>
  <c r="H87" i="19"/>
  <c r="Q86" i="19"/>
  <c r="Q12" i="17"/>
  <c r="G12" i="17"/>
  <c r="J12" i="17" s="1"/>
  <c r="I12" i="17"/>
  <c r="L12" i="17" s="1"/>
  <c r="H86" i="18"/>
  <c r="Q85" i="18"/>
  <c r="F17" i="19"/>
  <c r="K16" i="19"/>
  <c r="Q13" i="19"/>
  <c r="I13" i="19"/>
  <c r="L13" i="19" s="1"/>
  <c r="G13" i="19"/>
  <c r="J13" i="19" s="1"/>
  <c r="G13" i="18"/>
  <c r="J13" i="18" s="1"/>
  <c r="I13" i="18"/>
  <c r="L13" i="18" s="1"/>
  <c r="Q13" i="18"/>
  <c r="F15" i="18"/>
  <c r="K14" i="18"/>
  <c r="T20" i="6"/>
  <c r="U20" i="6" s="1"/>
  <c r="Z20" i="6" s="1"/>
  <c r="V20" i="6"/>
  <c r="W20" i="6" s="1"/>
  <c r="X20" i="6" s="1"/>
  <c r="M710" i="6"/>
  <c r="N710" i="6"/>
  <c r="E711" i="6"/>
  <c r="G21" i="6"/>
  <c r="H22" i="6"/>
  <c r="I21" i="6"/>
  <c r="Q21" i="6"/>
  <c r="S21" i="6" s="1"/>
  <c r="AC20" i="6"/>
  <c r="AD20" i="6" s="1"/>
  <c r="L20" i="6"/>
  <c r="K23" i="6"/>
  <c r="F24" i="6"/>
  <c r="W19" i="6"/>
  <c r="X19" i="6" s="1"/>
  <c r="Y19" i="6" s="1"/>
  <c r="AA20" i="6"/>
  <c r="AA19" i="6"/>
  <c r="J20" i="6"/>
  <c r="P20" i="6"/>
  <c r="Q249" i="21" l="1"/>
  <c r="H250" i="21"/>
  <c r="H86" i="17"/>
  <c r="Q85" i="17"/>
  <c r="K14" i="17"/>
  <c r="F15" i="17"/>
  <c r="F177" i="21"/>
  <c r="K176" i="21"/>
  <c r="I176" i="21" s="1"/>
  <c r="L176" i="21" s="1"/>
  <c r="G176" i="21"/>
  <c r="J176" i="21" s="1"/>
  <c r="H88" i="19"/>
  <c r="Q87" i="19"/>
  <c r="Q13" i="17"/>
  <c r="I13" i="17"/>
  <c r="L13" i="17" s="1"/>
  <c r="G13" i="17"/>
  <c r="J13" i="17" s="1"/>
  <c r="H87" i="18"/>
  <c r="Q86" i="18"/>
  <c r="G14" i="19"/>
  <c r="J14" i="19" s="1"/>
  <c r="Q14" i="19"/>
  <c r="I14" i="19"/>
  <c r="L14" i="19" s="1"/>
  <c r="F18" i="19"/>
  <c r="K17" i="19"/>
  <c r="F16" i="18"/>
  <c r="K15" i="18"/>
  <c r="Q14" i="18"/>
  <c r="I14" i="18"/>
  <c r="L14" i="18" s="1"/>
  <c r="G14" i="18"/>
  <c r="J14" i="18" s="1"/>
  <c r="T21" i="6"/>
  <c r="U21" i="6" s="1"/>
  <c r="Z21" i="6" s="1"/>
  <c r="V21" i="6"/>
  <c r="W21" i="6" s="1"/>
  <c r="X21" i="6" s="1"/>
  <c r="L21" i="6"/>
  <c r="AA21" i="6" s="1"/>
  <c r="AC21" i="6"/>
  <c r="AD21" i="6" s="1"/>
  <c r="Y20" i="6"/>
  <c r="K24" i="6"/>
  <c r="F25" i="6"/>
  <c r="Q22" i="6"/>
  <c r="S22" i="6" s="1"/>
  <c r="H23" i="6"/>
  <c r="I22" i="6"/>
  <c r="G22" i="6"/>
  <c r="E712" i="6"/>
  <c r="N711" i="6"/>
  <c r="M711" i="6"/>
  <c r="J21" i="6"/>
  <c r="P21" i="6"/>
  <c r="H251" i="21" l="1"/>
  <c r="Q250" i="21"/>
  <c r="H87" i="17"/>
  <c r="Q86" i="17"/>
  <c r="F16" i="17"/>
  <c r="K15" i="17"/>
  <c r="K177" i="21"/>
  <c r="I177" i="21" s="1"/>
  <c r="L177" i="21" s="1"/>
  <c r="F178" i="21"/>
  <c r="G177" i="21"/>
  <c r="J177" i="21" s="1"/>
  <c r="H89" i="19"/>
  <c r="Q88" i="19"/>
  <c r="I14" i="17"/>
  <c r="L14" i="17" s="1"/>
  <c r="Q14" i="17"/>
  <c r="G14" i="17"/>
  <c r="J14" i="17" s="1"/>
  <c r="H88" i="18"/>
  <c r="Q87" i="18"/>
  <c r="G15" i="19"/>
  <c r="J15" i="19" s="1"/>
  <c r="Q15" i="19"/>
  <c r="I15" i="19"/>
  <c r="L15" i="19" s="1"/>
  <c r="F19" i="19"/>
  <c r="K18" i="19"/>
  <c r="Q15" i="18"/>
  <c r="I15" i="18"/>
  <c r="L15" i="18" s="1"/>
  <c r="G15" i="18"/>
  <c r="J15" i="18" s="1"/>
  <c r="F17" i="18"/>
  <c r="K16" i="18"/>
  <c r="Y21" i="6"/>
  <c r="T22" i="6"/>
  <c r="U22" i="6" s="1"/>
  <c r="Z22" i="6" s="1"/>
  <c r="V22" i="6"/>
  <c r="W22" i="6" s="1"/>
  <c r="X22" i="6" s="1"/>
  <c r="K25" i="6"/>
  <c r="F26" i="6"/>
  <c r="Q23" i="6"/>
  <c r="S23" i="6" s="1"/>
  <c r="I23" i="6"/>
  <c r="H24" i="6"/>
  <c r="G23" i="6"/>
  <c r="N712" i="6"/>
  <c r="M712" i="6"/>
  <c r="E713" i="6"/>
  <c r="J22" i="6"/>
  <c r="P22" i="6"/>
  <c r="L22" i="6"/>
  <c r="AA22" i="6" s="1"/>
  <c r="AC22" i="6"/>
  <c r="AD22" i="6" s="1"/>
  <c r="Q251" i="21" l="1"/>
  <c r="H252" i="21"/>
  <c r="H88" i="17"/>
  <c r="Q87" i="17"/>
  <c r="K16" i="17"/>
  <c r="F17" i="17"/>
  <c r="F179" i="21"/>
  <c r="K178" i="21"/>
  <c r="I178" i="21" s="1"/>
  <c r="L178" i="21" s="1"/>
  <c r="G178" i="21"/>
  <c r="J178" i="21" s="1"/>
  <c r="H90" i="19"/>
  <c r="Q89" i="19"/>
  <c r="G15" i="17"/>
  <c r="J15" i="17" s="1"/>
  <c r="I15" i="17"/>
  <c r="L15" i="17" s="1"/>
  <c r="Q15" i="17"/>
  <c r="H89" i="18"/>
  <c r="Q88" i="18"/>
  <c r="Q16" i="19"/>
  <c r="I16" i="19"/>
  <c r="L16" i="19" s="1"/>
  <c r="G16" i="19"/>
  <c r="J16" i="19" s="1"/>
  <c r="F20" i="19"/>
  <c r="K19" i="19"/>
  <c r="F18" i="18"/>
  <c r="K17" i="18"/>
  <c r="G16" i="18"/>
  <c r="J16" i="18" s="1"/>
  <c r="Q16" i="18"/>
  <c r="I16" i="18"/>
  <c r="L16" i="18" s="1"/>
  <c r="T23" i="6"/>
  <c r="U23" i="6" s="1"/>
  <c r="Z23" i="6" s="1"/>
  <c r="V23" i="6"/>
  <c r="W23" i="6" s="1"/>
  <c r="X23" i="6" s="1"/>
  <c r="P23" i="6"/>
  <c r="J23" i="6"/>
  <c r="N713" i="6"/>
  <c r="M713" i="6"/>
  <c r="E714" i="6"/>
  <c r="Y22" i="6"/>
  <c r="H25" i="6"/>
  <c r="I24" i="6"/>
  <c r="G24" i="6"/>
  <c r="Q24" i="6"/>
  <c r="S24" i="6" s="1"/>
  <c r="L23" i="6"/>
  <c r="AA23" i="6" s="1"/>
  <c r="AC23" i="6"/>
  <c r="AD23" i="6" s="1"/>
  <c r="K26" i="6"/>
  <c r="F27" i="6"/>
  <c r="Q252" i="21" l="1"/>
  <c r="H253" i="21"/>
  <c r="Q88" i="17"/>
  <c r="H89" i="17"/>
  <c r="F18" i="17"/>
  <c r="K17" i="17"/>
  <c r="K179" i="21"/>
  <c r="I179" i="21" s="1"/>
  <c r="L179" i="21" s="1"/>
  <c r="F180" i="21"/>
  <c r="G179" i="21"/>
  <c r="J179" i="21" s="1"/>
  <c r="H91" i="19"/>
  <c r="Q90" i="19"/>
  <c r="I16" i="17"/>
  <c r="L16" i="17" s="1"/>
  <c r="Q16" i="17"/>
  <c r="G16" i="17"/>
  <c r="J16" i="17" s="1"/>
  <c r="H90" i="18"/>
  <c r="Q89" i="18"/>
  <c r="K20" i="19"/>
  <c r="F21" i="19"/>
  <c r="Q17" i="19"/>
  <c r="I17" i="19"/>
  <c r="L17" i="19" s="1"/>
  <c r="G17" i="19"/>
  <c r="J17" i="19" s="1"/>
  <c r="G17" i="18"/>
  <c r="J17" i="18" s="1"/>
  <c r="Q17" i="18"/>
  <c r="I17" i="18"/>
  <c r="L17" i="18" s="1"/>
  <c r="K18" i="18"/>
  <c r="F19" i="18"/>
  <c r="T24" i="6"/>
  <c r="U24" i="6" s="1"/>
  <c r="Z24" i="6" s="1"/>
  <c r="V24" i="6"/>
  <c r="H26" i="6"/>
  <c r="G25" i="6"/>
  <c r="I25" i="6"/>
  <c r="Q25" i="6"/>
  <c r="S25" i="6" s="1"/>
  <c r="N714" i="6"/>
  <c r="E715" i="6"/>
  <c r="M714" i="6"/>
  <c r="Y23" i="6"/>
  <c r="P24" i="6"/>
  <c r="J24" i="6"/>
  <c r="K27" i="6"/>
  <c r="F28" i="6"/>
  <c r="L24" i="6"/>
  <c r="AA24" i="6" s="1"/>
  <c r="AC24" i="6"/>
  <c r="AD24" i="6" s="1"/>
  <c r="Q253" i="21" l="1"/>
  <c r="Q89" i="17"/>
  <c r="H90" i="17"/>
  <c r="K18" i="17"/>
  <c r="F19" i="17"/>
  <c r="F181" i="21"/>
  <c r="K180" i="21"/>
  <c r="I180" i="21" s="1"/>
  <c r="L180" i="21" s="1"/>
  <c r="G180" i="21"/>
  <c r="J180" i="21" s="1"/>
  <c r="H92" i="19"/>
  <c r="Q91" i="19"/>
  <c r="G17" i="17"/>
  <c r="J17" i="17" s="1"/>
  <c r="Q17" i="17"/>
  <c r="I17" i="17"/>
  <c r="L17" i="17" s="1"/>
  <c r="H91" i="18"/>
  <c r="Q90" i="18"/>
  <c r="G18" i="19"/>
  <c r="J18" i="19" s="1"/>
  <c r="Q18" i="19"/>
  <c r="I18" i="19"/>
  <c r="L18" i="19" s="1"/>
  <c r="F22" i="19"/>
  <c r="K21" i="19"/>
  <c r="Q18" i="18"/>
  <c r="I18" i="18"/>
  <c r="L18" i="18" s="1"/>
  <c r="G18" i="18"/>
  <c r="J18" i="18" s="1"/>
  <c r="K19" i="18"/>
  <c r="F20" i="18"/>
  <c r="W24" i="6"/>
  <c r="X24" i="6" s="1"/>
  <c r="T25" i="6"/>
  <c r="U25" i="6" s="1"/>
  <c r="Z25" i="6" s="1"/>
  <c r="V25" i="6"/>
  <c r="W25" i="6" s="1"/>
  <c r="X25" i="6" s="1"/>
  <c r="I26" i="6"/>
  <c r="Q26" i="6"/>
  <c r="S26" i="6" s="1"/>
  <c r="G26" i="6"/>
  <c r="H27" i="6"/>
  <c r="F29" i="6"/>
  <c r="K28" i="6"/>
  <c r="AC25" i="6"/>
  <c r="AD25" i="6" s="1"/>
  <c r="L25" i="6"/>
  <c r="AA25" i="6" s="1"/>
  <c r="Y24" i="6"/>
  <c r="E716" i="6"/>
  <c r="M715" i="6"/>
  <c r="N715" i="6"/>
  <c r="P25" i="6"/>
  <c r="J25" i="6"/>
  <c r="H91" i="17" l="1"/>
  <c r="Q90" i="17"/>
  <c r="F20" i="17"/>
  <c r="K19" i="17"/>
  <c r="K181" i="21"/>
  <c r="I181" i="21" s="1"/>
  <c r="L181" i="21" s="1"/>
  <c r="F182" i="21"/>
  <c r="G181" i="21"/>
  <c r="J181" i="21" s="1"/>
  <c r="H93" i="19"/>
  <c r="Q92" i="19"/>
  <c r="G18" i="17"/>
  <c r="J18" i="17" s="1"/>
  <c r="I18" i="17"/>
  <c r="L18" i="17" s="1"/>
  <c r="Q18" i="17"/>
  <c r="H92" i="18"/>
  <c r="Q91" i="18"/>
  <c r="G19" i="19"/>
  <c r="J19" i="19" s="1"/>
  <c r="Q19" i="19"/>
  <c r="I19" i="19"/>
  <c r="L19" i="19" s="1"/>
  <c r="F23" i="19"/>
  <c r="K22" i="19"/>
  <c r="F21" i="18"/>
  <c r="K20" i="18"/>
  <c r="Q19" i="18"/>
  <c r="I19" i="18"/>
  <c r="L19" i="18" s="1"/>
  <c r="G19" i="18"/>
  <c r="J19" i="18" s="1"/>
  <c r="T26" i="6"/>
  <c r="U26" i="6" s="1"/>
  <c r="Z26" i="6" s="1"/>
  <c r="V26" i="6"/>
  <c r="W26" i="6" s="1"/>
  <c r="X26" i="6" s="1"/>
  <c r="E717" i="6"/>
  <c r="M716" i="6"/>
  <c r="N716" i="6"/>
  <c r="Q27" i="6"/>
  <c r="S27" i="6" s="1"/>
  <c r="H28" i="6"/>
  <c r="I27" i="6"/>
  <c r="G27" i="6"/>
  <c r="L26" i="6"/>
  <c r="AA26" i="6" s="1"/>
  <c r="AC26" i="6"/>
  <c r="AD26" i="6" s="1"/>
  <c r="K29" i="6"/>
  <c r="F30" i="6"/>
  <c r="J26" i="6"/>
  <c r="P26" i="6"/>
  <c r="Y25" i="6"/>
  <c r="H92" i="17" l="1"/>
  <c r="Q91" i="17"/>
  <c r="K20" i="17"/>
  <c r="F21" i="17"/>
  <c r="F183" i="21"/>
  <c r="K182" i="21"/>
  <c r="I182" i="21" s="1"/>
  <c r="L182" i="21" s="1"/>
  <c r="G182" i="21"/>
  <c r="J182" i="21" s="1"/>
  <c r="H94" i="19"/>
  <c r="Q93" i="19"/>
  <c r="G19" i="17"/>
  <c r="J19" i="17" s="1"/>
  <c r="Q19" i="17"/>
  <c r="I19" i="17"/>
  <c r="L19" i="17" s="1"/>
  <c r="H93" i="18"/>
  <c r="Q92" i="18"/>
  <c r="Q20" i="19"/>
  <c r="I20" i="19"/>
  <c r="L20" i="19" s="1"/>
  <c r="G20" i="19"/>
  <c r="J20" i="19" s="1"/>
  <c r="F24" i="19"/>
  <c r="K23" i="19"/>
  <c r="G20" i="18"/>
  <c r="J20" i="18" s="1"/>
  <c r="Q20" i="18"/>
  <c r="I20" i="18"/>
  <c r="L20" i="18" s="1"/>
  <c r="F22" i="18"/>
  <c r="K21" i="18"/>
  <c r="T27" i="6"/>
  <c r="U27" i="6" s="1"/>
  <c r="Z27" i="6" s="1"/>
  <c r="V27" i="6"/>
  <c r="L27" i="6"/>
  <c r="AA27" i="6" s="1"/>
  <c r="AC27" i="6"/>
  <c r="AD27" i="6" s="1"/>
  <c r="N717" i="6"/>
  <c r="M717" i="6"/>
  <c r="E718" i="6"/>
  <c r="G28" i="6"/>
  <c r="H29" i="6"/>
  <c r="I28" i="6"/>
  <c r="Q28" i="6"/>
  <c r="S28" i="6" s="1"/>
  <c r="Y26" i="6"/>
  <c r="K30" i="6"/>
  <c r="F31" i="6"/>
  <c r="J27" i="6"/>
  <c r="P27" i="6"/>
  <c r="H93" i="17" l="1"/>
  <c r="Q92" i="17"/>
  <c r="K21" i="17"/>
  <c r="F22" i="17"/>
  <c r="K183" i="21"/>
  <c r="I183" i="21" s="1"/>
  <c r="L183" i="21" s="1"/>
  <c r="F184" i="21"/>
  <c r="G183" i="21"/>
  <c r="J183" i="21" s="1"/>
  <c r="H95" i="19"/>
  <c r="Q94" i="19"/>
  <c r="Q20" i="17"/>
  <c r="I20" i="17"/>
  <c r="L20" i="17" s="1"/>
  <c r="G20" i="17"/>
  <c r="J20" i="17" s="1"/>
  <c r="H94" i="18"/>
  <c r="Q93" i="18"/>
  <c r="F25" i="19"/>
  <c r="K24" i="19"/>
  <c r="Q21" i="19"/>
  <c r="I21" i="19"/>
  <c r="L21" i="19" s="1"/>
  <c r="G21" i="19"/>
  <c r="J21" i="19" s="1"/>
  <c r="G21" i="18"/>
  <c r="J21" i="18" s="1"/>
  <c r="I21" i="18"/>
  <c r="L21" i="18" s="1"/>
  <c r="Q21" i="18"/>
  <c r="K22" i="18"/>
  <c r="F23" i="18"/>
  <c r="T28" i="6"/>
  <c r="U28" i="6" s="1"/>
  <c r="Z28" i="6" s="1"/>
  <c r="V28" i="6"/>
  <c r="W28" i="6" s="1"/>
  <c r="X28" i="6" s="1"/>
  <c r="H30" i="6"/>
  <c r="G29" i="6"/>
  <c r="I29" i="6"/>
  <c r="Q29" i="6"/>
  <c r="S29" i="6" s="1"/>
  <c r="M718" i="6"/>
  <c r="N718" i="6"/>
  <c r="E719" i="6"/>
  <c r="J28" i="6"/>
  <c r="P28" i="6"/>
  <c r="W27" i="6"/>
  <c r="X27" i="6" s="1"/>
  <c r="Y27" i="6" s="1"/>
  <c r="K31" i="6"/>
  <c r="F32" i="6"/>
  <c r="AC28" i="6"/>
  <c r="AD28" i="6" s="1"/>
  <c r="L28" i="6"/>
  <c r="AA28" i="6" s="1"/>
  <c r="Q93" i="17" l="1"/>
  <c r="H94" i="17"/>
  <c r="K22" i="17"/>
  <c r="F23" i="17"/>
  <c r="F185" i="21"/>
  <c r="K184" i="21"/>
  <c r="I184" i="21" s="1"/>
  <c r="L184" i="21" s="1"/>
  <c r="G184" i="21"/>
  <c r="J184" i="21" s="1"/>
  <c r="H96" i="19"/>
  <c r="Q95" i="19"/>
  <c r="Q21" i="17"/>
  <c r="G21" i="17"/>
  <c r="J21" i="17" s="1"/>
  <c r="I21" i="17"/>
  <c r="L21" i="17" s="1"/>
  <c r="H95" i="18"/>
  <c r="Q94" i="18"/>
  <c r="G22" i="19"/>
  <c r="J22" i="19" s="1"/>
  <c r="I22" i="19"/>
  <c r="L22" i="19" s="1"/>
  <c r="Q22" i="19"/>
  <c r="F26" i="19"/>
  <c r="K25" i="19"/>
  <c r="Q22" i="18"/>
  <c r="I22" i="18"/>
  <c r="L22" i="18" s="1"/>
  <c r="G22" i="18"/>
  <c r="J22" i="18" s="1"/>
  <c r="F24" i="18"/>
  <c r="K23" i="18"/>
  <c r="T29" i="6"/>
  <c r="U29" i="6" s="1"/>
  <c r="Z29" i="6" s="1"/>
  <c r="V29" i="6"/>
  <c r="W29" i="6" s="1"/>
  <c r="X29" i="6" s="1"/>
  <c r="E720" i="6"/>
  <c r="N719" i="6"/>
  <c r="M719" i="6"/>
  <c r="L29" i="6"/>
  <c r="AA29" i="6" s="1"/>
  <c r="AC29" i="6"/>
  <c r="AD29" i="6" s="1"/>
  <c r="Y28" i="6"/>
  <c r="F33" i="6"/>
  <c r="K32" i="6"/>
  <c r="P29" i="6"/>
  <c r="J29" i="6"/>
  <c r="G30" i="6"/>
  <c r="Q30" i="6"/>
  <c r="S30" i="6" s="1"/>
  <c r="I30" i="6"/>
  <c r="H31" i="6"/>
  <c r="H95" i="17" l="1"/>
  <c r="Q94" i="17"/>
  <c r="K23" i="17"/>
  <c r="F24" i="17"/>
  <c r="K185" i="21"/>
  <c r="I185" i="21" s="1"/>
  <c r="L185" i="21" s="1"/>
  <c r="F186" i="21"/>
  <c r="G185" i="21"/>
  <c r="J185" i="21" s="1"/>
  <c r="H97" i="19"/>
  <c r="Q96" i="19"/>
  <c r="Q22" i="17"/>
  <c r="I22" i="17"/>
  <c r="L22" i="17" s="1"/>
  <c r="G22" i="17"/>
  <c r="J22" i="17" s="1"/>
  <c r="H96" i="18"/>
  <c r="Q95" i="18"/>
  <c r="G23" i="19"/>
  <c r="J23" i="19" s="1"/>
  <c r="Q23" i="19"/>
  <c r="I23" i="19"/>
  <c r="L23" i="19" s="1"/>
  <c r="F27" i="19"/>
  <c r="K26" i="19"/>
  <c r="F25" i="18"/>
  <c r="K24" i="18"/>
  <c r="Q23" i="18"/>
  <c r="I23" i="18"/>
  <c r="L23" i="18" s="1"/>
  <c r="G23" i="18"/>
  <c r="J23" i="18" s="1"/>
  <c r="T30" i="6"/>
  <c r="U30" i="6" s="1"/>
  <c r="Z30" i="6" s="1"/>
  <c r="V30" i="6"/>
  <c r="W30" i="6" s="1"/>
  <c r="X30" i="6" s="1"/>
  <c r="F34" i="6"/>
  <c r="K33" i="6"/>
  <c r="E721" i="6"/>
  <c r="N720" i="6"/>
  <c r="M720" i="6"/>
  <c r="Y29" i="6"/>
  <c r="G31" i="6"/>
  <c r="I31" i="6"/>
  <c r="H32" i="6"/>
  <c r="Q31" i="6"/>
  <c r="S31" i="6" s="1"/>
  <c r="J30" i="6"/>
  <c r="P30" i="6"/>
  <c r="AC30" i="6"/>
  <c r="AD30" i="6" s="1"/>
  <c r="L30" i="6"/>
  <c r="AA30" i="6" s="1"/>
  <c r="Q95" i="17" l="1"/>
  <c r="H96" i="17"/>
  <c r="K24" i="17"/>
  <c r="F25" i="17"/>
  <c r="F187" i="21"/>
  <c r="K186" i="21"/>
  <c r="I186" i="21" s="1"/>
  <c r="L186" i="21" s="1"/>
  <c r="G186" i="21"/>
  <c r="J186" i="21" s="1"/>
  <c r="H98" i="19"/>
  <c r="Q97" i="19"/>
  <c r="G23" i="17"/>
  <c r="J23" i="17" s="1"/>
  <c r="Q23" i="17"/>
  <c r="I23" i="17"/>
  <c r="L23" i="17" s="1"/>
  <c r="H97" i="18"/>
  <c r="Q96" i="18"/>
  <c r="Q24" i="19"/>
  <c r="I24" i="19"/>
  <c r="L24" i="19" s="1"/>
  <c r="G24" i="19"/>
  <c r="J24" i="19" s="1"/>
  <c r="F28" i="19"/>
  <c r="K27" i="19"/>
  <c r="G24" i="18"/>
  <c r="J24" i="18" s="1"/>
  <c r="I24" i="18"/>
  <c r="L24" i="18" s="1"/>
  <c r="Q24" i="18"/>
  <c r="F26" i="18"/>
  <c r="K25" i="18"/>
  <c r="T31" i="6"/>
  <c r="U31" i="6" s="1"/>
  <c r="Z31" i="6" s="1"/>
  <c r="V31" i="6"/>
  <c r="W31" i="6" s="1"/>
  <c r="X31" i="6" s="1"/>
  <c r="AC31" i="6"/>
  <c r="AD31" i="6" s="1"/>
  <c r="L31" i="6"/>
  <c r="AA31" i="6" s="1"/>
  <c r="E722" i="6"/>
  <c r="N721" i="6"/>
  <c r="M721" i="6"/>
  <c r="Y30" i="6"/>
  <c r="G32" i="6"/>
  <c r="I32" i="6"/>
  <c r="H33" i="6"/>
  <c r="Q32" i="6"/>
  <c r="S32" i="6" s="1"/>
  <c r="J31" i="6"/>
  <c r="P31" i="6"/>
  <c r="F35" i="6"/>
  <c r="K34" i="6"/>
  <c r="Q97" i="17" l="1"/>
  <c r="Q96" i="17"/>
  <c r="K25" i="17"/>
  <c r="F26" i="17"/>
  <c r="K187" i="21"/>
  <c r="I187" i="21" s="1"/>
  <c r="L187" i="21" s="1"/>
  <c r="F188" i="21"/>
  <c r="G187" i="21"/>
  <c r="J187" i="21" s="1"/>
  <c r="H99" i="19"/>
  <c r="Q98" i="19"/>
  <c r="I24" i="17"/>
  <c r="L24" i="17" s="1"/>
  <c r="Q24" i="17"/>
  <c r="G24" i="17"/>
  <c r="J24" i="17" s="1"/>
  <c r="H98" i="18"/>
  <c r="Q97" i="18"/>
  <c r="K28" i="19"/>
  <c r="F29" i="19"/>
  <c r="Q25" i="19"/>
  <c r="I25" i="19"/>
  <c r="L25" i="19" s="1"/>
  <c r="G25" i="19"/>
  <c r="J25" i="19" s="1"/>
  <c r="G25" i="18"/>
  <c r="J25" i="18" s="1"/>
  <c r="Q25" i="18"/>
  <c r="I25" i="18"/>
  <c r="L25" i="18" s="1"/>
  <c r="K26" i="18"/>
  <c r="F27" i="18"/>
  <c r="T32" i="6"/>
  <c r="U32" i="6" s="1"/>
  <c r="Z32" i="6" s="1"/>
  <c r="V32" i="6"/>
  <c r="W32" i="6" s="1"/>
  <c r="X32" i="6" s="1"/>
  <c r="P32" i="6"/>
  <c r="J32" i="6"/>
  <c r="G33" i="6"/>
  <c r="Q33" i="6"/>
  <c r="S33" i="6" s="1"/>
  <c r="I33" i="6"/>
  <c r="H34" i="6"/>
  <c r="Y31" i="6"/>
  <c r="N722" i="6"/>
  <c r="M722" i="6"/>
  <c r="E723" i="6"/>
  <c r="F36" i="6"/>
  <c r="K35" i="6"/>
  <c r="AC32" i="6"/>
  <c r="AD32" i="6" s="1"/>
  <c r="L32" i="6"/>
  <c r="AA32" i="6" s="1"/>
  <c r="K26" i="17" l="1"/>
  <c r="F27" i="17"/>
  <c r="F189" i="21"/>
  <c r="K188" i="21"/>
  <c r="I188" i="21" s="1"/>
  <c r="L188" i="21" s="1"/>
  <c r="G188" i="21"/>
  <c r="J188" i="21" s="1"/>
  <c r="Y32" i="6"/>
  <c r="H100" i="19"/>
  <c r="Q99" i="19"/>
  <c r="G25" i="17"/>
  <c r="J25" i="17" s="1"/>
  <c r="I25" i="17"/>
  <c r="L25" i="17" s="1"/>
  <c r="Q25" i="17"/>
  <c r="H99" i="18"/>
  <c r="Q98" i="18"/>
  <c r="G26" i="19"/>
  <c r="J26" i="19" s="1"/>
  <c r="I26" i="19"/>
  <c r="L26" i="19" s="1"/>
  <c r="Q26" i="19"/>
  <c r="F30" i="19"/>
  <c r="K29" i="19"/>
  <c r="Q26" i="18"/>
  <c r="I26" i="18"/>
  <c r="L26" i="18" s="1"/>
  <c r="G26" i="18"/>
  <c r="J26" i="18" s="1"/>
  <c r="K27" i="18"/>
  <c r="F28" i="18"/>
  <c r="T33" i="6"/>
  <c r="U33" i="6" s="1"/>
  <c r="Z33" i="6" s="1"/>
  <c r="V33" i="6"/>
  <c r="L33" i="6"/>
  <c r="AA33" i="6" s="1"/>
  <c r="AC33" i="6"/>
  <c r="AD33" i="6" s="1"/>
  <c r="F37" i="6"/>
  <c r="K36" i="6"/>
  <c r="E724" i="6"/>
  <c r="N723" i="6"/>
  <c r="M723" i="6"/>
  <c r="P33" i="6"/>
  <c r="J33" i="6"/>
  <c r="I34" i="6"/>
  <c r="G34" i="6"/>
  <c r="Q34" i="6"/>
  <c r="S34" i="6" s="1"/>
  <c r="H35" i="6"/>
  <c r="K27" i="17" l="1"/>
  <c r="F28" i="17"/>
  <c r="K189" i="21"/>
  <c r="I189" i="21" s="1"/>
  <c r="L189" i="21" s="1"/>
  <c r="F190" i="21"/>
  <c r="G189" i="21"/>
  <c r="J189" i="21" s="1"/>
  <c r="H101" i="19"/>
  <c r="Q100" i="19"/>
  <c r="Q26" i="17"/>
  <c r="G26" i="17"/>
  <c r="J26" i="17" s="1"/>
  <c r="I26" i="17"/>
  <c r="L26" i="17" s="1"/>
  <c r="H100" i="18"/>
  <c r="Q99" i="18"/>
  <c r="G27" i="19"/>
  <c r="J27" i="19" s="1"/>
  <c r="Q27" i="19"/>
  <c r="I27" i="19"/>
  <c r="L27" i="19" s="1"/>
  <c r="F31" i="19"/>
  <c r="K30" i="19"/>
  <c r="F29" i="18"/>
  <c r="K28" i="18"/>
  <c r="Q27" i="18"/>
  <c r="I27" i="18"/>
  <c r="L27" i="18" s="1"/>
  <c r="G27" i="18"/>
  <c r="J27" i="18" s="1"/>
  <c r="T34" i="6"/>
  <c r="U34" i="6" s="1"/>
  <c r="Z34" i="6" s="1"/>
  <c r="V34" i="6"/>
  <c r="W34" i="6" s="1"/>
  <c r="X34" i="6" s="1"/>
  <c r="F38" i="6"/>
  <c r="K37" i="6"/>
  <c r="W33" i="6"/>
  <c r="X33" i="6" s="1"/>
  <c r="Y33" i="6" s="1"/>
  <c r="J34" i="6"/>
  <c r="P34" i="6"/>
  <c r="E725" i="6"/>
  <c r="N724" i="6"/>
  <c r="M724" i="6"/>
  <c r="I35" i="6"/>
  <c r="Q35" i="6"/>
  <c r="S35" i="6" s="1"/>
  <c r="G35" i="6"/>
  <c r="H36" i="6"/>
  <c r="AC34" i="6"/>
  <c r="AD34" i="6" s="1"/>
  <c r="L34" i="6"/>
  <c r="AA34" i="6" s="1"/>
  <c r="F29" i="17" l="1"/>
  <c r="K28" i="17"/>
  <c r="F191" i="21"/>
  <c r="K190" i="21"/>
  <c r="I190" i="21" s="1"/>
  <c r="L190" i="21" s="1"/>
  <c r="G190" i="21"/>
  <c r="J190" i="21" s="1"/>
  <c r="H102" i="19"/>
  <c r="Q101" i="19"/>
  <c r="G27" i="17"/>
  <c r="J27" i="17" s="1"/>
  <c r="Q27" i="17"/>
  <c r="I27" i="17"/>
  <c r="L27" i="17" s="1"/>
  <c r="H101" i="18"/>
  <c r="Q100" i="18"/>
  <c r="Q28" i="19"/>
  <c r="I28" i="19"/>
  <c r="L28" i="19" s="1"/>
  <c r="G28" i="19"/>
  <c r="J28" i="19" s="1"/>
  <c r="F32" i="19"/>
  <c r="K31" i="19"/>
  <c r="G28" i="18"/>
  <c r="J28" i="18" s="1"/>
  <c r="I28" i="18"/>
  <c r="L28" i="18" s="1"/>
  <c r="Q28" i="18"/>
  <c r="F30" i="18"/>
  <c r="K29" i="18"/>
  <c r="Y34" i="6"/>
  <c r="T35" i="6"/>
  <c r="U35" i="6" s="1"/>
  <c r="Z35" i="6" s="1"/>
  <c r="V35" i="6"/>
  <c r="G36" i="6"/>
  <c r="Q36" i="6"/>
  <c r="S36" i="6" s="1"/>
  <c r="I36" i="6"/>
  <c r="H37" i="6"/>
  <c r="K38" i="6"/>
  <c r="F39" i="6"/>
  <c r="L35" i="6"/>
  <c r="AA35" i="6" s="1"/>
  <c r="AC35" i="6"/>
  <c r="AD35" i="6" s="1"/>
  <c r="J35" i="6"/>
  <c r="P35" i="6"/>
  <c r="E726" i="6"/>
  <c r="N725" i="6"/>
  <c r="M725" i="6"/>
  <c r="K29" i="17" l="1"/>
  <c r="F30" i="17"/>
  <c r="K191" i="21"/>
  <c r="I191" i="21" s="1"/>
  <c r="L191" i="21" s="1"/>
  <c r="F192" i="21"/>
  <c r="G191" i="21"/>
  <c r="J191" i="21" s="1"/>
  <c r="H103" i="19"/>
  <c r="Q102" i="19"/>
  <c r="I28" i="17"/>
  <c r="L28" i="17" s="1"/>
  <c r="G28" i="17"/>
  <c r="J28" i="17" s="1"/>
  <c r="Q28" i="17"/>
  <c r="H102" i="18"/>
  <c r="Q101" i="18"/>
  <c r="F33" i="19"/>
  <c r="K32" i="19"/>
  <c r="Q29" i="19"/>
  <c r="I29" i="19"/>
  <c r="L29" i="19" s="1"/>
  <c r="G29" i="19"/>
  <c r="J29" i="19" s="1"/>
  <c r="G29" i="18"/>
  <c r="J29" i="18" s="1"/>
  <c r="I29" i="18"/>
  <c r="L29" i="18" s="1"/>
  <c r="Q29" i="18"/>
  <c r="K30" i="18"/>
  <c r="F31" i="18"/>
  <c r="T36" i="6"/>
  <c r="U36" i="6" s="1"/>
  <c r="Z36" i="6" s="1"/>
  <c r="V36" i="6"/>
  <c r="Q37" i="6"/>
  <c r="S37" i="6" s="1"/>
  <c r="G37" i="6"/>
  <c r="H38" i="6"/>
  <c r="I37" i="6"/>
  <c r="J36" i="6"/>
  <c r="P36" i="6"/>
  <c r="AC36" i="6"/>
  <c r="AD36" i="6" s="1"/>
  <c r="L36" i="6"/>
  <c r="AA36" i="6" s="1"/>
  <c r="W35" i="6"/>
  <c r="X35" i="6" s="1"/>
  <c r="Y35" i="6" s="1"/>
  <c r="F40" i="6"/>
  <c r="K39" i="6"/>
  <c r="M726" i="6"/>
  <c r="N726" i="6"/>
  <c r="E727" i="6"/>
  <c r="K30" i="17" l="1"/>
  <c r="F31" i="17"/>
  <c r="F193" i="21"/>
  <c r="K192" i="21"/>
  <c r="I192" i="21" s="1"/>
  <c r="L192" i="21" s="1"/>
  <c r="G192" i="21"/>
  <c r="J192" i="21" s="1"/>
  <c r="H104" i="19"/>
  <c r="Q103" i="19"/>
  <c r="G29" i="17"/>
  <c r="J29" i="17" s="1"/>
  <c r="I29" i="17"/>
  <c r="L29" i="17" s="1"/>
  <c r="Q29" i="17"/>
  <c r="H103" i="18"/>
  <c r="Q102" i="18"/>
  <c r="G30" i="19"/>
  <c r="J30" i="19" s="1"/>
  <c r="Q30" i="19"/>
  <c r="I30" i="19"/>
  <c r="L30" i="19" s="1"/>
  <c r="F34" i="19"/>
  <c r="K33" i="19"/>
  <c r="F32" i="18"/>
  <c r="K31" i="18"/>
  <c r="Q30" i="18"/>
  <c r="I30" i="18"/>
  <c r="L30" i="18" s="1"/>
  <c r="G30" i="18"/>
  <c r="J30" i="18" s="1"/>
  <c r="W36" i="6"/>
  <c r="X36" i="6" s="1"/>
  <c r="Y36" i="6" s="1"/>
  <c r="T37" i="6"/>
  <c r="U37" i="6" s="1"/>
  <c r="Z37" i="6" s="1"/>
  <c r="V37" i="6"/>
  <c r="W37" i="6" s="1"/>
  <c r="X37" i="6" s="1"/>
  <c r="L37" i="6"/>
  <c r="AA37" i="6" s="1"/>
  <c r="AC37" i="6"/>
  <c r="AD37" i="6" s="1"/>
  <c r="E728" i="6"/>
  <c r="N727" i="6"/>
  <c r="M727" i="6"/>
  <c r="Q38" i="6"/>
  <c r="S38" i="6" s="1"/>
  <c r="G38" i="6"/>
  <c r="I38" i="6"/>
  <c r="H39" i="6"/>
  <c r="K40" i="6"/>
  <c r="F41" i="6"/>
  <c r="J37" i="6"/>
  <c r="P37" i="6"/>
  <c r="K31" i="17" l="1"/>
  <c r="F32" i="17"/>
  <c r="K193" i="21"/>
  <c r="I193" i="21" s="1"/>
  <c r="L193" i="21" s="1"/>
  <c r="F194" i="21"/>
  <c r="G193" i="21"/>
  <c r="J193" i="21" s="1"/>
  <c r="H105" i="19"/>
  <c r="Q104" i="19"/>
  <c r="G30" i="17"/>
  <c r="J30" i="17" s="1"/>
  <c r="Q30" i="17"/>
  <c r="I30" i="17"/>
  <c r="L30" i="17" s="1"/>
  <c r="H104" i="18"/>
  <c r="Q103" i="18"/>
  <c r="G31" i="19"/>
  <c r="J31" i="19" s="1"/>
  <c r="Q31" i="19"/>
  <c r="I31" i="19"/>
  <c r="L31" i="19" s="1"/>
  <c r="F35" i="19"/>
  <c r="K34" i="19"/>
  <c r="Q31" i="18"/>
  <c r="I31" i="18"/>
  <c r="L31" i="18" s="1"/>
  <c r="G31" i="18"/>
  <c r="J31" i="18" s="1"/>
  <c r="F33" i="18"/>
  <c r="K32" i="18"/>
  <c r="T38" i="6"/>
  <c r="U38" i="6" s="1"/>
  <c r="Z38" i="6" s="1"/>
  <c r="V38" i="6"/>
  <c r="W38" i="6" s="1"/>
  <c r="X38" i="6" s="1"/>
  <c r="Y37" i="6"/>
  <c r="H40" i="6"/>
  <c r="I39" i="6"/>
  <c r="Q39" i="6"/>
  <c r="S39" i="6" s="1"/>
  <c r="G39" i="6"/>
  <c r="AC38" i="6"/>
  <c r="AD38" i="6" s="1"/>
  <c r="L38" i="6"/>
  <c r="AA38" i="6" s="1"/>
  <c r="N728" i="6"/>
  <c r="M728" i="6"/>
  <c r="E729" i="6"/>
  <c r="F42" i="6"/>
  <c r="K41" i="6"/>
  <c r="J38" i="6"/>
  <c r="P38" i="6"/>
  <c r="K32" i="17" l="1"/>
  <c r="F33" i="17"/>
  <c r="F195" i="21"/>
  <c r="K194" i="21"/>
  <c r="I194" i="21" s="1"/>
  <c r="L194" i="21" s="1"/>
  <c r="G194" i="21"/>
  <c r="J194" i="21" s="1"/>
  <c r="H106" i="19"/>
  <c r="Q105" i="19"/>
  <c r="G31" i="17"/>
  <c r="J31" i="17" s="1"/>
  <c r="I31" i="17"/>
  <c r="L31" i="17" s="1"/>
  <c r="Q31" i="17"/>
  <c r="H105" i="18"/>
  <c r="Q104" i="18"/>
  <c r="Q32" i="19"/>
  <c r="I32" i="19"/>
  <c r="L32" i="19" s="1"/>
  <c r="G32" i="19"/>
  <c r="J32" i="19" s="1"/>
  <c r="K35" i="19"/>
  <c r="F36" i="19"/>
  <c r="F34" i="18"/>
  <c r="K33" i="18"/>
  <c r="G32" i="18"/>
  <c r="J32" i="18" s="1"/>
  <c r="I32" i="18"/>
  <c r="L32" i="18" s="1"/>
  <c r="Q32" i="18"/>
  <c r="T39" i="6"/>
  <c r="U39" i="6" s="1"/>
  <c r="Z39" i="6" s="1"/>
  <c r="V39" i="6"/>
  <c r="W39" i="6" s="1"/>
  <c r="X39" i="6" s="1"/>
  <c r="Y38" i="6"/>
  <c r="N729" i="6"/>
  <c r="M729" i="6"/>
  <c r="E730" i="6"/>
  <c r="AC39" i="6"/>
  <c r="AD39" i="6" s="1"/>
  <c r="L39" i="6"/>
  <c r="AA39" i="6" s="1"/>
  <c r="K42" i="6"/>
  <c r="F43" i="6"/>
  <c r="P39" i="6"/>
  <c r="J39" i="6"/>
  <c r="H41" i="6"/>
  <c r="I40" i="6"/>
  <c r="Q40" i="6"/>
  <c r="S40" i="6" s="1"/>
  <c r="G40" i="6"/>
  <c r="K33" i="17" l="1"/>
  <c r="F34" i="17"/>
  <c r="K195" i="21"/>
  <c r="I195" i="21" s="1"/>
  <c r="L195" i="21" s="1"/>
  <c r="F196" i="21"/>
  <c r="G195" i="21"/>
  <c r="J195" i="21" s="1"/>
  <c r="H107" i="19"/>
  <c r="Q106" i="19"/>
  <c r="I32" i="17"/>
  <c r="L32" i="17" s="1"/>
  <c r="G32" i="17"/>
  <c r="J32" i="17" s="1"/>
  <c r="Q32" i="17"/>
  <c r="H106" i="18"/>
  <c r="Q105" i="18"/>
  <c r="F37" i="19"/>
  <c r="K36" i="19"/>
  <c r="Q33" i="19"/>
  <c r="I33" i="19"/>
  <c r="L33" i="19" s="1"/>
  <c r="G33" i="19"/>
  <c r="J33" i="19" s="1"/>
  <c r="G33" i="18"/>
  <c r="J33" i="18" s="1"/>
  <c r="Q33" i="18"/>
  <c r="I33" i="18"/>
  <c r="L33" i="18" s="1"/>
  <c r="K34" i="18"/>
  <c r="F35" i="18"/>
  <c r="T40" i="6"/>
  <c r="U40" i="6" s="1"/>
  <c r="Z40" i="6" s="1"/>
  <c r="V40" i="6"/>
  <c r="W40" i="6" s="1"/>
  <c r="X40" i="6" s="1"/>
  <c r="M730" i="6"/>
  <c r="N730" i="6"/>
  <c r="Y39" i="6"/>
  <c r="AC40" i="6"/>
  <c r="AD40" i="6" s="1"/>
  <c r="L40" i="6"/>
  <c r="AA40" i="6" s="1"/>
  <c r="P40" i="6"/>
  <c r="J40" i="6"/>
  <c r="I41" i="6"/>
  <c r="Q41" i="6"/>
  <c r="S41" i="6" s="1"/>
  <c r="G41" i="6"/>
  <c r="H42" i="6"/>
  <c r="F44" i="6"/>
  <c r="K43" i="6"/>
  <c r="K34" i="17" l="1"/>
  <c r="F35" i="17"/>
  <c r="F197" i="21"/>
  <c r="K196" i="21"/>
  <c r="I196" i="21" s="1"/>
  <c r="L196" i="21" s="1"/>
  <c r="G196" i="21"/>
  <c r="J196" i="21" s="1"/>
  <c r="H108" i="19"/>
  <c r="Q107" i="19"/>
  <c r="I33" i="17"/>
  <c r="L33" i="17" s="1"/>
  <c r="Q33" i="17"/>
  <c r="G33" i="17"/>
  <c r="J33" i="17" s="1"/>
  <c r="H107" i="18"/>
  <c r="Q106" i="18"/>
  <c r="G34" i="19"/>
  <c r="J34" i="19" s="1"/>
  <c r="Q34" i="19"/>
  <c r="I34" i="19"/>
  <c r="L34" i="19" s="1"/>
  <c r="F38" i="19"/>
  <c r="K37" i="19"/>
  <c r="Q34" i="18"/>
  <c r="I34" i="18"/>
  <c r="L34" i="18" s="1"/>
  <c r="G34" i="18"/>
  <c r="J34" i="18" s="1"/>
  <c r="F36" i="18"/>
  <c r="K35" i="18"/>
  <c r="T41" i="6"/>
  <c r="U41" i="6" s="1"/>
  <c r="Z41" i="6" s="1"/>
  <c r="V41" i="6"/>
  <c r="W41" i="6" s="1"/>
  <c r="X41" i="6" s="1"/>
  <c r="P41" i="6"/>
  <c r="J41" i="6"/>
  <c r="Y40" i="6"/>
  <c r="I42" i="6"/>
  <c r="H43" i="6"/>
  <c r="G42" i="6"/>
  <c r="Q42" i="6"/>
  <c r="S42" i="6" s="1"/>
  <c r="F45" i="6"/>
  <c r="K44" i="6"/>
  <c r="L41" i="6"/>
  <c r="AA41" i="6" s="1"/>
  <c r="AC41" i="6"/>
  <c r="AD41" i="6" s="1"/>
  <c r="F36" i="17" l="1"/>
  <c r="K35" i="17"/>
  <c r="K197" i="21"/>
  <c r="I197" i="21" s="1"/>
  <c r="L197" i="21" s="1"/>
  <c r="F198" i="21"/>
  <c r="G197" i="21"/>
  <c r="J197" i="21" s="1"/>
  <c r="Y41" i="6"/>
  <c r="H109" i="19"/>
  <c r="Q108" i="19"/>
  <c r="I34" i="17"/>
  <c r="L34" i="17" s="1"/>
  <c r="G34" i="17"/>
  <c r="J34" i="17" s="1"/>
  <c r="Q34" i="17"/>
  <c r="H108" i="18"/>
  <c r="Q107" i="18"/>
  <c r="G35" i="19"/>
  <c r="J35" i="19" s="1"/>
  <c r="Q35" i="19"/>
  <c r="I35" i="19"/>
  <c r="L35" i="19" s="1"/>
  <c r="F39" i="19"/>
  <c r="K38" i="19"/>
  <c r="F37" i="18"/>
  <c r="K36" i="18"/>
  <c r="Q35" i="18"/>
  <c r="I35" i="18"/>
  <c r="L35" i="18" s="1"/>
  <c r="G35" i="18"/>
  <c r="J35" i="18" s="1"/>
  <c r="T42" i="6"/>
  <c r="U42" i="6" s="1"/>
  <c r="Z42" i="6" s="1"/>
  <c r="V42" i="6"/>
  <c r="Q43" i="6"/>
  <c r="S43" i="6" s="1"/>
  <c r="G43" i="6"/>
  <c r="I43" i="6"/>
  <c r="H44" i="6"/>
  <c r="K45" i="6"/>
  <c r="F46" i="6"/>
  <c r="AC42" i="6"/>
  <c r="AD42" i="6" s="1"/>
  <c r="L42" i="6"/>
  <c r="AA42" i="6" s="1"/>
  <c r="J42" i="6"/>
  <c r="P42" i="6"/>
  <c r="K36" i="17" l="1"/>
  <c r="F37" i="17"/>
  <c r="K198" i="21"/>
  <c r="I198" i="21" s="1"/>
  <c r="L198" i="21" s="1"/>
  <c r="F199" i="21"/>
  <c r="G198" i="21"/>
  <c r="J198" i="21" s="1"/>
  <c r="H110" i="19"/>
  <c r="Q109" i="19"/>
  <c r="I35" i="17"/>
  <c r="L35" i="17" s="1"/>
  <c r="Q35" i="17"/>
  <c r="G35" i="17"/>
  <c r="J35" i="17" s="1"/>
  <c r="H109" i="18"/>
  <c r="Q108" i="18"/>
  <c r="Q36" i="19"/>
  <c r="I36" i="19"/>
  <c r="L36" i="19" s="1"/>
  <c r="G36" i="19"/>
  <c r="J36" i="19" s="1"/>
  <c r="K39" i="19"/>
  <c r="F40" i="19"/>
  <c r="G36" i="18"/>
  <c r="J36" i="18" s="1"/>
  <c r="I36" i="18"/>
  <c r="L36" i="18" s="1"/>
  <c r="Q36" i="18"/>
  <c r="K37" i="18"/>
  <c r="F38" i="18"/>
  <c r="W42" i="6"/>
  <c r="X42" i="6" s="1"/>
  <c r="T43" i="6"/>
  <c r="U43" i="6" s="1"/>
  <c r="Z43" i="6" s="1"/>
  <c r="V43" i="6"/>
  <c r="W43" i="6" s="1"/>
  <c r="X43" i="6" s="1"/>
  <c r="G44" i="6"/>
  <c r="I44" i="6"/>
  <c r="H45" i="6"/>
  <c r="Q44" i="6"/>
  <c r="S44" i="6" s="1"/>
  <c r="Y42" i="6"/>
  <c r="L43" i="6"/>
  <c r="AA43" i="6" s="1"/>
  <c r="AC43" i="6"/>
  <c r="AD43" i="6" s="1"/>
  <c r="F47" i="6"/>
  <c r="K46" i="6"/>
  <c r="J43" i="6"/>
  <c r="P43" i="6"/>
  <c r="F38" i="17" l="1"/>
  <c r="K37" i="17"/>
  <c r="K199" i="21"/>
  <c r="I199" i="21" s="1"/>
  <c r="L199" i="21" s="1"/>
  <c r="F200" i="21"/>
  <c r="G199" i="21"/>
  <c r="J199" i="21" s="1"/>
  <c r="H111" i="19"/>
  <c r="Q110" i="19"/>
  <c r="I36" i="17"/>
  <c r="L36" i="17" s="1"/>
  <c r="Q36" i="17"/>
  <c r="G36" i="17"/>
  <c r="J36" i="17" s="1"/>
  <c r="H110" i="18"/>
  <c r="Q109" i="18"/>
  <c r="F41" i="19"/>
  <c r="K40" i="19"/>
  <c r="G37" i="19"/>
  <c r="J37" i="19" s="1"/>
  <c r="Q37" i="19"/>
  <c r="I37" i="19"/>
  <c r="L37" i="19" s="1"/>
  <c r="Q37" i="18"/>
  <c r="I37" i="18"/>
  <c r="L37" i="18" s="1"/>
  <c r="G37" i="18"/>
  <c r="J37" i="18" s="1"/>
  <c r="F39" i="18"/>
  <c r="K38" i="18"/>
  <c r="Y43" i="6"/>
  <c r="T44" i="6"/>
  <c r="U44" i="6" s="1"/>
  <c r="Z44" i="6" s="1"/>
  <c r="V44" i="6"/>
  <c r="W44" i="6" s="1"/>
  <c r="X44" i="6" s="1"/>
  <c r="F48" i="6"/>
  <c r="K47" i="6"/>
  <c r="J44" i="6"/>
  <c r="P44" i="6"/>
  <c r="G45" i="6"/>
  <c r="I45" i="6"/>
  <c r="Q45" i="6"/>
  <c r="S45" i="6" s="1"/>
  <c r="H46" i="6"/>
  <c r="AC44" i="6"/>
  <c r="AD44" i="6" s="1"/>
  <c r="L44" i="6"/>
  <c r="AA44" i="6" s="1"/>
  <c r="K38" i="17" l="1"/>
  <c r="F39" i="17"/>
  <c r="F201" i="21"/>
  <c r="K200" i="21"/>
  <c r="I200" i="21" s="1"/>
  <c r="L200" i="21" s="1"/>
  <c r="G200" i="21"/>
  <c r="J200" i="21" s="1"/>
  <c r="H112" i="19"/>
  <c r="Q111" i="19"/>
  <c r="I37" i="17"/>
  <c r="L37" i="17" s="1"/>
  <c r="G37" i="17"/>
  <c r="J37" i="17" s="1"/>
  <c r="Q37" i="17"/>
  <c r="H111" i="18"/>
  <c r="Q110" i="18"/>
  <c r="G38" i="19"/>
  <c r="J38" i="19" s="1"/>
  <c r="Q38" i="19"/>
  <c r="I38" i="19"/>
  <c r="L38" i="19" s="1"/>
  <c r="F42" i="19"/>
  <c r="K41" i="19"/>
  <c r="F40" i="18"/>
  <c r="K39" i="18"/>
  <c r="Q38" i="18"/>
  <c r="I38" i="18"/>
  <c r="L38" i="18" s="1"/>
  <c r="G38" i="18"/>
  <c r="J38" i="18" s="1"/>
  <c r="T45" i="6"/>
  <c r="U45" i="6" s="1"/>
  <c r="Z45" i="6" s="1"/>
  <c r="V45" i="6"/>
  <c r="AC45" i="6"/>
  <c r="AD45" i="6" s="1"/>
  <c r="L45" i="6"/>
  <c r="AA45" i="6" s="1"/>
  <c r="Y44" i="6"/>
  <c r="K48" i="6"/>
  <c r="F49" i="6"/>
  <c r="Q46" i="6"/>
  <c r="S46" i="6" s="1"/>
  <c r="H47" i="6"/>
  <c r="I46" i="6"/>
  <c r="G46" i="6"/>
  <c r="J45" i="6"/>
  <c r="P45" i="6"/>
  <c r="K39" i="17" l="1"/>
  <c r="F40" i="17"/>
  <c r="K201" i="21"/>
  <c r="I201" i="21" s="1"/>
  <c r="L201" i="21" s="1"/>
  <c r="F202" i="21"/>
  <c r="G201" i="21"/>
  <c r="J201" i="21" s="1"/>
  <c r="H113" i="19"/>
  <c r="Q112" i="19"/>
  <c r="Q38" i="17"/>
  <c r="G38" i="17"/>
  <c r="J38" i="17" s="1"/>
  <c r="I38" i="17"/>
  <c r="L38" i="17" s="1"/>
  <c r="H112" i="18"/>
  <c r="Q111" i="18"/>
  <c r="Q39" i="19"/>
  <c r="I39" i="19"/>
  <c r="L39" i="19" s="1"/>
  <c r="G39" i="19"/>
  <c r="J39" i="19" s="1"/>
  <c r="F43" i="19"/>
  <c r="K42" i="19"/>
  <c r="G39" i="18"/>
  <c r="J39" i="18" s="1"/>
  <c r="Q39" i="18"/>
  <c r="I39" i="18"/>
  <c r="L39" i="18" s="1"/>
  <c r="F41" i="18"/>
  <c r="K40" i="18"/>
  <c r="T46" i="6"/>
  <c r="U46" i="6" s="1"/>
  <c r="Z46" i="6" s="1"/>
  <c r="V46" i="6"/>
  <c r="W46" i="6" s="1"/>
  <c r="X46" i="6" s="1"/>
  <c r="Q47" i="6"/>
  <c r="S47" i="6" s="1"/>
  <c r="G47" i="6"/>
  <c r="H48" i="6"/>
  <c r="I47" i="6"/>
  <c r="W45" i="6"/>
  <c r="X45" i="6" s="1"/>
  <c r="Y45" i="6" s="1"/>
  <c r="J46" i="6"/>
  <c r="P46" i="6"/>
  <c r="K49" i="6"/>
  <c r="F50" i="6"/>
  <c r="AC46" i="6"/>
  <c r="AD46" i="6" s="1"/>
  <c r="L46" i="6"/>
  <c r="AA46" i="6" s="1"/>
  <c r="K40" i="17" l="1"/>
  <c r="F41" i="17"/>
  <c r="K202" i="21"/>
  <c r="I202" i="21" s="1"/>
  <c r="L202" i="21" s="1"/>
  <c r="F203" i="21"/>
  <c r="G202" i="21"/>
  <c r="J202" i="21" s="1"/>
  <c r="H114" i="19"/>
  <c r="Q113" i="19"/>
  <c r="G39" i="17"/>
  <c r="J39" i="17" s="1"/>
  <c r="I39" i="17"/>
  <c r="L39" i="17" s="1"/>
  <c r="Q39" i="17"/>
  <c r="H113" i="18"/>
  <c r="Q112" i="18"/>
  <c r="F44" i="19"/>
  <c r="K43" i="19"/>
  <c r="Q40" i="19"/>
  <c r="I40" i="19"/>
  <c r="L40" i="19" s="1"/>
  <c r="G40" i="19"/>
  <c r="J40" i="19" s="1"/>
  <c r="G40" i="18"/>
  <c r="J40" i="18" s="1"/>
  <c r="Q40" i="18"/>
  <c r="I40" i="18"/>
  <c r="L40" i="18" s="1"/>
  <c r="K41" i="18"/>
  <c r="F42" i="18"/>
  <c r="T47" i="6"/>
  <c r="U47" i="6" s="1"/>
  <c r="Z47" i="6" s="1"/>
  <c r="V47" i="6"/>
  <c r="AC47" i="6"/>
  <c r="AD47" i="6" s="1"/>
  <c r="L47" i="6"/>
  <c r="AA47" i="6" s="1"/>
  <c r="H49" i="6"/>
  <c r="G48" i="6"/>
  <c r="I48" i="6"/>
  <c r="Q48" i="6"/>
  <c r="S48" i="6" s="1"/>
  <c r="Y46" i="6"/>
  <c r="F51" i="6"/>
  <c r="K50" i="6"/>
  <c r="J47" i="6"/>
  <c r="P47" i="6"/>
  <c r="K41" i="17" l="1"/>
  <c r="F42" i="17"/>
  <c r="K203" i="21"/>
  <c r="I203" i="21" s="1"/>
  <c r="L203" i="21" s="1"/>
  <c r="F204" i="21"/>
  <c r="G203" i="21"/>
  <c r="J203" i="21" s="1"/>
  <c r="W47" i="6"/>
  <c r="X47" i="6" s="1"/>
  <c r="H115" i="19"/>
  <c r="Q114" i="19"/>
  <c r="I40" i="17"/>
  <c r="L40" i="17" s="1"/>
  <c r="Q40" i="17"/>
  <c r="G40" i="17"/>
  <c r="J40" i="17" s="1"/>
  <c r="H114" i="18"/>
  <c r="Q113" i="18"/>
  <c r="G41" i="19"/>
  <c r="J41" i="19" s="1"/>
  <c r="I41" i="19"/>
  <c r="L41" i="19" s="1"/>
  <c r="Q41" i="19"/>
  <c r="F45" i="19"/>
  <c r="K44" i="19"/>
  <c r="Q41" i="18"/>
  <c r="I41" i="18"/>
  <c r="L41" i="18" s="1"/>
  <c r="G41" i="18"/>
  <c r="J41" i="18" s="1"/>
  <c r="F43" i="18"/>
  <c r="K42" i="18"/>
  <c r="T48" i="6"/>
  <c r="U48" i="6" s="1"/>
  <c r="Z48" i="6" s="1"/>
  <c r="V48" i="6"/>
  <c r="W48" i="6" s="1"/>
  <c r="X48" i="6" s="1"/>
  <c r="K51" i="6"/>
  <c r="F52" i="6"/>
  <c r="P48" i="6"/>
  <c r="J48" i="6"/>
  <c r="Y47" i="6"/>
  <c r="I49" i="6"/>
  <c r="Q49" i="6"/>
  <c r="S49" i="6" s="1"/>
  <c r="G49" i="6"/>
  <c r="H50" i="6"/>
  <c r="L48" i="6"/>
  <c r="AA48" i="6" s="1"/>
  <c r="AC48" i="6"/>
  <c r="AD48" i="6" s="1"/>
  <c r="K42" i="17" l="1"/>
  <c r="F43" i="17"/>
  <c r="F205" i="21"/>
  <c r="K204" i="21"/>
  <c r="I204" i="21" s="1"/>
  <c r="L204" i="21" s="1"/>
  <c r="G204" i="21"/>
  <c r="J204" i="21" s="1"/>
  <c r="H116" i="19"/>
  <c r="Q115" i="19"/>
  <c r="Q41" i="17"/>
  <c r="G41" i="17"/>
  <c r="J41" i="17" s="1"/>
  <c r="I41" i="17"/>
  <c r="L41" i="17" s="1"/>
  <c r="H115" i="18"/>
  <c r="Q114" i="18"/>
  <c r="G42" i="19"/>
  <c r="J42" i="19" s="1"/>
  <c r="Q42" i="19"/>
  <c r="I42" i="19"/>
  <c r="L42" i="19" s="1"/>
  <c r="F46" i="19"/>
  <c r="K45" i="19"/>
  <c r="F44" i="18"/>
  <c r="K43" i="18"/>
  <c r="Q42" i="18"/>
  <c r="I42" i="18"/>
  <c r="L42" i="18" s="1"/>
  <c r="G42" i="18"/>
  <c r="J42" i="18" s="1"/>
  <c r="T49" i="6"/>
  <c r="U49" i="6" s="1"/>
  <c r="Z49" i="6" s="1"/>
  <c r="V49" i="6"/>
  <c r="W49" i="6" s="1"/>
  <c r="X49" i="6" s="1"/>
  <c r="Y48" i="6"/>
  <c r="I50" i="6"/>
  <c r="H51" i="6"/>
  <c r="G50" i="6"/>
  <c r="Q50" i="6"/>
  <c r="S50" i="6" s="1"/>
  <c r="L49" i="6"/>
  <c r="AA49" i="6" s="1"/>
  <c r="AC49" i="6"/>
  <c r="AD49" i="6" s="1"/>
  <c r="J49" i="6"/>
  <c r="P49" i="6"/>
  <c r="F53" i="6"/>
  <c r="K52" i="6"/>
  <c r="K43" i="17" l="1"/>
  <c r="F44" i="17"/>
  <c r="K205" i="21"/>
  <c r="I205" i="21" s="1"/>
  <c r="L205" i="21" s="1"/>
  <c r="F206" i="21"/>
  <c r="G205" i="21"/>
  <c r="J205" i="21" s="1"/>
  <c r="Y49" i="6"/>
  <c r="H117" i="19"/>
  <c r="Q116" i="19"/>
  <c r="Q42" i="17"/>
  <c r="G42" i="17"/>
  <c r="J42" i="17" s="1"/>
  <c r="I42" i="17"/>
  <c r="L42" i="17" s="1"/>
  <c r="H116" i="18"/>
  <c r="Q115" i="18"/>
  <c r="Q43" i="19"/>
  <c r="I43" i="19"/>
  <c r="L43" i="19" s="1"/>
  <c r="G43" i="19"/>
  <c r="J43" i="19" s="1"/>
  <c r="F47" i="19"/>
  <c r="K46" i="19"/>
  <c r="G43" i="18"/>
  <c r="J43" i="18" s="1"/>
  <c r="I43" i="18"/>
  <c r="L43" i="18" s="1"/>
  <c r="Q43" i="18"/>
  <c r="F45" i="18"/>
  <c r="K44" i="18"/>
  <c r="T50" i="6"/>
  <c r="U50" i="6" s="1"/>
  <c r="Z50" i="6" s="1"/>
  <c r="V50" i="6"/>
  <c r="W50" i="6" s="1"/>
  <c r="X50" i="6" s="1"/>
  <c r="F54" i="6"/>
  <c r="K53" i="6"/>
  <c r="P50" i="6"/>
  <c r="J50" i="6"/>
  <c r="G51" i="6"/>
  <c r="H52" i="6"/>
  <c r="I51" i="6"/>
  <c r="Q51" i="6"/>
  <c r="S51" i="6" s="1"/>
  <c r="L50" i="6"/>
  <c r="AA50" i="6" s="1"/>
  <c r="AC50" i="6"/>
  <c r="AD50" i="6" s="1"/>
  <c r="K44" i="17" l="1"/>
  <c r="F45" i="17"/>
  <c r="K206" i="21"/>
  <c r="I206" i="21" s="1"/>
  <c r="L206" i="21" s="1"/>
  <c r="F207" i="21"/>
  <c r="G206" i="21"/>
  <c r="J206" i="21" s="1"/>
  <c r="H118" i="19"/>
  <c r="Q117" i="19"/>
  <c r="G43" i="17"/>
  <c r="J43" i="17" s="1"/>
  <c r="Q43" i="17"/>
  <c r="I43" i="17"/>
  <c r="L43" i="17" s="1"/>
  <c r="H117" i="18"/>
  <c r="Q116" i="18"/>
  <c r="K47" i="19"/>
  <c r="F48" i="19"/>
  <c r="Q44" i="19"/>
  <c r="I44" i="19"/>
  <c r="L44" i="19" s="1"/>
  <c r="G44" i="19"/>
  <c r="J44" i="19" s="1"/>
  <c r="G44" i="18"/>
  <c r="J44" i="18" s="1"/>
  <c r="Q44" i="18"/>
  <c r="I44" i="18"/>
  <c r="L44" i="18" s="1"/>
  <c r="K45" i="18"/>
  <c r="F46" i="18"/>
  <c r="T51" i="6"/>
  <c r="U51" i="6" s="1"/>
  <c r="Z51" i="6" s="1"/>
  <c r="V51" i="6"/>
  <c r="W51" i="6" s="1"/>
  <c r="X51" i="6" s="1"/>
  <c r="K54" i="6"/>
  <c r="F55" i="6"/>
  <c r="H53" i="6"/>
  <c r="Q52" i="6"/>
  <c r="S52" i="6" s="1"/>
  <c r="I52" i="6"/>
  <c r="G52" i="6"/>
  <c r="Y50" i="6"/>
  <c r="P51" i="6"/>
  <c r="J51" i="6"/>
  <c r="AC51" i="6"/>
  <c r="AD51" i="6" s="1"/>
  <c r="L51" i="6"/>
  <c r="AA51" i="6" s="1"/>
  <c r="F46" i="17" l="1"/>
  <c r="K45" i="17"/>
  <c r="K207" i="21"/>
  <c r="I207" i="21" s="1"/>
  <c r="L207" i="21" s="1"/>
  <c r="F208" i="21"/>
  <c r="G207" i="21"/>
  <c r="J207" i="21" s="1"/>
  <c r="H119" i="19"/>
  <c r="Q118" i="19"/>
  <c r="I44" i="17"/>
  <c r="L44" i="17" s="1"/>
  <c r="G44" i="17"/>
  <c r="J44" i="17" s="1"/>
  <c r="Q44" i="17"/>
  <c r="H118" i="18"/>
  <c r="Q117" i="18"/>
  <c r="G45" i="19"/>
  <c r="J45" i="19" s="1"/>
  <c r="I45" i="19"/>
  <c r="L45" i="19" s="1"/>
  <c r="Q45" i="19"/>
  <c r="F49" i="19"/>
  <c r="K48" i="19"/>
  <c r="Q45" i="18"/>
  <c r="I45" i="18"/>
  <c r="L45" i="18" s="1"/>
  <c r="G45" i="18"/>
  <c r="J45" i="18" s="1"/>
  <c r="F47" i="18"/>
  <c r="K46" i="18"/>
  <c r="T52" i="6"/>
  <c r="U52" i="6" s="1"/>
  <c r="Z52" i="6" s="1"/>
  <c r="V52" i="6"/>
  <c r="W52" i="6" s="1"/>
  <c r="X52" i="6" s="1"/>
  <c r="J52" i="6"/>
  <c r="P52" i="6"/>
  <c r="I53" i="6"/>
  <c r="H54" i="6"/>
  <c r="G53" i="6"/>
  <c r="Q53" i="6"/>
  <c r="S53" i="6" s="1"/>
  <c r="Y51" i="6"/>
  <c r="AC52" i="6"/>
  <c r="AD52" i="6" s="1"/>
  <c r="L52" i="6"/>
  <c r="AA52" i="6" s="1"/>
  <c r="F56" i="6"/>
  <c r="K55" i="6"/>
  <c r="K46" i="17" l="1"/>
  <c r="F47" i="17"/>
  <c r="K208" i="21"/>
  <c r="I208" i="21" s="1"/>
  <c r="L208" i="21" s="1"/>
  <c r="F209" i="21"/>
  <c r="G208" i="21"/>
  <c r="J208" i="21" s="1"/>
  <c r="Y52" i="6"/>
  <c r="H120" i="19"/>
  <c r="Q119" i="19"/>
  <c r="G45" i="17"/>
  <c r="J45" i="17" s="1"/>
  <c r="Q45" i="17"/>
  <c r="I45" i="17"/>
  <c r="L45" i="17" s="1"/>
  <c r="H119" i="18"/>
  <c r="Q118" i="18"/>
  <c r="G46" i="19"/>
  <c r="J46" i="19" s="1"/>
  <c r="Q46" i="19"/>
  <c r="I46" i="19"/>
  <c r="L46" i="19" s="1"/>
  <c r="F50" i="19"/>
  <c r="K49" i="19"/>
  <c r="F48" i="18"/>
  <c r="K47" i="18"/>
  <c r="Q46" i="18"/>
  <c r="I46" i="18"/>
  <c r="L46" i="18" s="1"/>
  <c r="G46" i="18"/>
  <c r="J46" i="18" s="1"/>
  <c r="T53" i="6"/>
  <c r="U53" i="6" s="1"/>
  <c r="Z53" i="6" s="1"/>
  <c r="V53" i="6"/>
  <c r="W53" i="6" s="1"/>
  <c r="X53" i="6" s="1"/>
  <c r="P53" i="6"/>
  <c r="J53" i="6"/>
  <c r="Q54" i="6"/>
  <c r="S54" i="6" s="1"/>
  <c r="H55" i="6"/>
  <c r="I54" i="6"/>
  <c r="G54" i="6"/>
  <c r="F57" i="6"/>
  <c r="K56" i="6"/>
  <c r="AC53" i="6"/>
  <c r="AD53" i="6" s="1"/>
  <c r="L53" i="6"/>
  <c r="AA53" i="6" s="1"/>
  <c r="K47" i="17" l="1"/>
  <c r="F48" i="17"/>
  <c r="K209" i="21"/>
  <c r="I209" i="21" s="1"/>
  <c r="L209" i="21" s="1"/>
  <c r="F210" i="21"/>
  <c r="G209" i="21"/>
  <c r="J209" i="21" s="1"/>
  <c r="Y53" i="6"/>
  <c r="H121" i="19"/>
  <c r="Q120" i="19"/>
  <c r="I46" i="17"/>
  <c r="L46" i="17" s="1"/>
  <c r="Q46" i="17"/>
  <c r="G46" i="17"/>
  <c r="J46" i="17" s="1"/>
  <c r="H120" i="18"/>
  <c r="Q119" i="18"/>
  <c r="Q47" i="19"/>
  <c r="I47" i="19"/>
  <c r="L47" i="19" s="1"/>
  <c r="G47" i="19"/>
  <c r="J47" i="19" s="1"/>
  <c r="F51" i="19"/>
  <c r="K50" i="19"/>
  <c r="G47" i="18"/>
  <c r="J47" i="18" s="1"/>
  <c r="Q47" i="18"/>
  <c r="I47" i="18"/>
  <c r="L47" i="18" s="1"/>
  <c r="F49" i="18"/>
  <c r="K48" i="18"/>
  <c r="T54" i="6"/>
  <c r="U54" i="6" s="1"/>
  <c r="Z54" i="6" s="1"/>
  <c r="V54" i="6"/>
  <c r="W54" i="6" s="1"/>
  <c r="X54" i="6" s="1"/>
  <c r="Q55" i="6"/>
  <c r="S55" i="6" s="1"/>
  <c r="H56" i="6"/>
  <c r="G55" i="6"/>
  <c r="I55" i="6"/>
  <c r="K57" i="6"/>
  <c r="F58" i="6"/>
  <c r="P54" i="6"/>
  <c r="J54" i="6"/>
  <c r="L54" i="6"/>
  <c r="AA54" i="6" s="1"/>
  <c r="AC54" i="6"/>
  <c r="AD54" i="6" s="1"/>
  <c r="F49" i="17" l="1"/>
  <c r="K48" i="17"/>
  <c r="F211" i="21"/>
  <c r="K210" i="21"/>
  <c r="I210" i="21" s="1"/>
  <c r="L210" i="21" s="1"/>
  <c r="G210" i="21"/>
  <c r="J210" i="21" s="1"/>
  <c r="H122" i="19"/>
  <c r="Q121" i="19"/>
  <c r="G47" i="17"/>
  <c r="J47" i="17" s="1"/>
  <c r="I47" i="17"/>
  <c r="L47" i="17" s="1"/>
  <c r="Q47" i="17"/>
  <c r="H121" i="18"/>
  <c r="Q120" i="18"/>
  <c r="F52" i="19"/>
  <c r="K51" i="19"/>
  <c r="Q48" i="19"/>
  <c r="I48" i="19"/>
  <c r="L48" i="19" s="1"/>
  <c r="G48" i="19"/>
  <c r="J48" i="19" s="1"/>
  <c r="G48" i="18"/>
  <c r="J48" i="18" s="1"/>
  <c r="Q48" i="18"/>
  <c r="I48" i="18"/>
  <c r="L48" i="18" s="1"/>
  <c r="F50" i="18"/>
  <c r="K49" i="18"/>
  <c r="T55" i="6"/>
  <c r="U55" i="6" s="1"/>
  <c r="Z55" i="6" s="1"/>
  <c r="V55" i="6"/>
  <c r="W55" i="6" s="1"/>
  <c r="X55" i="6" s="1"/>
  <c r="K58" i="6"/>
  <c r="F59" i="6"/>
  <c r="AC55" i="6"/>
  <c r="AD55" i="6" s="1"/>
  <c r="L55" i="6"/>
  <c r="AA55" i="6" s="1"/>
  <c r="J55" i="6"/>
  <c r="P55" i="6"/>
  <c r="Y54" i="6"/>
  <c r="I56" i="6"/>
  <c r="H57" i="6"/>
  <c r="Q56" i="6"/>
  <c r="S56" i="6" s="1"/>
  <c r="G56" i="6"/>
  <c r="F50" i="17" l="1"/>
  <c r="K49" i="17"/>
  <c r="K211" i="21"/>
  <c r="I211" i="21" s="1"/>
  <c r="L211" i="21" s="1"/>
  <c r="F212" i="21"/>
  <c r="G211" i="21"/>
  <c r="J211" i="21" s="1"/>
  <c r="H123" i="19"/>
  <c r="Q122" i="19"/>
  <c r="I48" i="17"/>
  <c r="L48" i="17" s="1"/>
  <c r="Q48" i="17"/>
  <c r="G48" i="17"/>
  <c r="J48" i="17" s="1"/>
  <c r="H122" i="18"/>
  <c r="Q121" i="18"/>
  <c r="G49" i="19"/>
  <c r="J49" i="19" s="1"/>
  <c r="I49" i="19"/>
  <c r="L49" i="19" s="1"/>
  <c r="Q49" i="19"/>
  <c r="F53" i="19"/>
  <c r="K52" i="19"/>
  <c r="I49" i="18"/>
  <c r="L49" i="18" s="1"/>
  <c r="Q49" i="18"/>
  <c r="G49" i="18"/>
  <c r="J49" i="18" s="1"/>
  <c r="K50" i="18"/>
  <c r="F51" i="18"/>
  <c r="T56" i="6"/>
  <c r="U56" i="6" s="1"/>
  <c r="Z56" i="6" s="1"/>
  <c r="V56" i="6"/>
  <c r="Q57" i="6"/>
  <c r="S57" i="6" s="1"/>
  <c r="H58" i="6"/>
  <c r="I57" i="6"/>
  <c r="G57" i="6"/>
  <c r="Y55" i="6"/>
  <c r="F60" i="6"/>
  <c r="K59" i="6"/>
  <c r="J56" i="6"/>
  <c r="P56" i="6"/>
  <c r="L56" i="6"/>
  <c r="AA56" i="6" s="1"/>
  <c r="AC56" i="6"/>
  <c r="AD56" i="6" s="1"/>
  <c r="K50" i="17" l="1"/>
  <c r="F51" i="17"/>
  <c r="F213" i="21"/>
  <c r="K212" i="21"/>
  <c r="I212" i="21" s="1"/>
  <c r="L212" i="21" s="1"/>
  <c r="G212" i="21"/>
  <c r="J212" i="21" s="1"/>
  <c r="W56" i="6"/>
  <c r="X56" i="6" s="1"/>
  <c r="H124" i="19"/>
  <c r="Q123" i="19"/>
  <c r="G49" i="17"/>
  <c r="J49" i="17" s="1"/>
  <c r="Q49" i="17"/>
  <c r="I49" i="17"/>
  <c r="L49" i="17" s="1"/>
  <c r="H123" i="18"/>
  <c r="Q122" i="18"/>
  <c r="G50" i="19"/>
  <c r="J50" i="19" s="1"/>
  <c r="Q50" i="19"/>
  <c r="I50" i="19"/>
  <c r="L50" i="19" s="1"/>
  <c r="F54" i="19"/>
  <c r="K53" i="19"/>
  <c r="G50" i="18"/>
  <c r="J50" i="18" s="1"/>
  <c r="I50" i="18"/>
  <c r="L50" i="18" s="1"/>
  <c r="Q50" i="18"/>
  <c r="K51" i="18"/>
  <c r="F52" i="18"/>
  <c r="T57" i="6"/>
  <c r="U57" i="6" s="1"/>
  <c r="Z57" i="6" s="1"/>
  <c r="V57" i="6"/>
  <c r="W57" i="6" s="1"/>
  <c r="X57" i="6" s="1"/>
  <c r="J57" i="6"/>
  <c r="P57" i="6"/>
  <c r="Y56" i="6"/>
  <c r="F61" i="6"/>
  <c r="K60" i="6"/>
  <c r="AC57" i="6"/>
  <c r="AD57" i="6" s="1"/>
  <c r="L57" i="6"/>
  <c r="AA57" i="6" s="1"/>
  <c r="H59" i="6"/>
  <c r="I58" i="6"/>
  <c r="Q58" i="6"/>
  <c r="S58" i="6" s="1"/>
  <c r="G58" i="6"/>
  <c r="F52" i="17" l="1"/>
  <c r="K51" i="17"/>
  <c r="K213" i="21"/>
  <c r="I213" i="21" s="1"/>
  <c r="L213" i="21" s="1"/>
  <c r="F214" i="21"/>
  <c r="G213" i="21"/>
  <c r="J213" i="21" s="1"/>
  <c r="H125" i="19"/>
  <c r="Q124" i="19"/>
  <c r="G50" i="17"/>
  <c r="J50" i="17" s="1"/>
  <c r="Q50" i="17"/>
  <c r="I50" i="17"/>
  <c r="L50" i="17" s="1"/>
  <c r="H124" i="18"/>
  <c r="Q123" i="18"/>
  <c r="Q51" i="19"/>
  <c r="I51" i="19"/>
  <c r="L51" i="19" s="1"/>
  <c r="G51" i="19"/>
  <c r="J51" i="19" s="1"/>
  <c r="F55" i="19"/>
  <c r="K54" i="19"/>
  <c r="F53" i="18"/>
  <c r="K52" i="18"/>
  <c r="Q51" i="18"/>
  <c r="I51" i="18"/>
  <c r="L51" i="18" s="1"/>
  <c r="G51" i="18"/>
  <c r="J51" i="18" s="1"/>
  <c r="Y57" i="6"/>
  <c r="T58" i="6"/>
  <c r="U58" i="6" s="1"/>
  <c r="Z58" i="6" s="1"/>
  <c r="V58" i="6"/>
  <c r="L58" i="6"/>
  <c r="AA58" i="6" s="1"/>
  <c r="AC58" i="6"/>
  <c r="AD58" i="6" s="1"/>
  <c r="K61" i="6"/>
  <c r="F62" i="6"/>
  <c r="J58" i="6"/>
  <c r="P58" i="6"/>
  <c r="I59" i="6"/>
  <c r="Q59" i="6"/>
  <c r="S59" i="6" s="1"/>
  <c r="G59" i="6"/>
  <c r="H60" i="6"/>
  <c r="F53" i="17" l="1"/>
  <c r="K52" i="17"/>
  <c r="K214" i="21"/>
  <c r="I214" i="21" s="1"/>
  <c r="L214" i="21" s="1"/>
  <c r="F215" i="21"/>
  <c r="G214" i="21"/>
  <c r="J214" i="21" s="1"/>
  <c r="H126" i="19"/>
  <c r="Q125" i="19"/>
  <c r="I51" i="17"/>
  <c r="L51" i="17" s="1"/>
  <c r="G51" i="17"/>
  <c r="J51" i="17" s="1"/>
  <c r="Q51" i="17"/>
  <c r="H125" i="18"/>
  <c r="Q124" i="18"/>
  <c r="F56" i="19"/>
  <c r="K55" i="19"/>
  <c r="Q52" i="19"/>
  <c r="I52" i="19"/>
  <c r="L52" i="19" s="1"/>
  <c r="G52" i="19"/>
  <c r="J52" i="19" s="1"/>
  <c r="I52" i="18"/>
  <c r="L52" i="18" s="1"/>
  <c r="Q52" i="18"/>
  <c r="G52" i="18"/>
  <c r="J52" i="18" s="1"/>
  <c r="F54" i="18"/>
  <c r="K53" i="18"/>
  <c r="W58" i="6"/>
  <c r="X58" i="6" s="1"/>
  <c r="Y58" i="6" s="1"/>
  <c r="T59" i="6"/>
  <c r="U59" i="6" s="1"/>
  <c r="Z59" i="6" s="1"/>
  <c r="V59" i="6"/>
  <c r="H61" i="6"/>
  <c r="G60" i="6"/>
  <c r="I60" i="6"/>
  <c r="Q60" i="6"/>
  <c r="S60" i="6" s="1"/>
  <c r="L59" i="6"/>
  <c r="AA59" i="6" s="1"/>
  <c r="AC59" i="6"/>
  <c r="AD59" i="6" s="1"/>
  <c r="P59" i="6"/>
  <c r="J59" i="6"/>
  <c r="K62" i="6"/>
  <c r="F63" i="6"/>
  <c r="K53" i="17" l="1"/>
  <c r="F54" i="17"/>
  <c r="K215" i="21"/>
  <c r="I215" i="21" s="1"/>
  <c r="L215" i="21" s="1"/>
  <c r="F216" i="21"/>
  <c r="G215" i="21"/>
  <c r="J215" i="21" s="1"/>
  <c r="H127" i="19"/>
  <c r="Q126" i="19"/>
  <c r="I52" i="17"/>
  <c r="L52" i="17" s="1"/>
  <c r="G52" i="17"/>
  <c r="J52" i="17" s="1"/>
  <c r="Q52" i="17"/>
  <c r="H126" i="18"/>
  <c r="Q125" i="18"/>
  <c r="G53" i="19"/>
  <c r="J53" i="19" s="1"/>
  <c r="Q53" i="19"/>
  <c r="I53" i="19"/>
  <c r="L53" i="19" s="1"/>
  <c r="F57" i="19"/>
  <c r="K56" i="19"/>
  <c r="G53" i="18"/>
  <c r="J53" i="18" s="1"/>
  <c r="I53" i="18"/>
  <c r="L53" i="18" s="1"/>
  <c r="Q53" i="18"/>
  <c r="K54" i="18"/>
  <c r="F55" i="18"/>
  <c r="W59" i="6"/>
  <c r="X59" i="6" s="1"/>
  <c r="T60" i="6"/>
  <c r="U60" i="6" s="1"/>
  <c r="Z60" i="6" s="1"/>
  <c r="V60" i="6"/>
  <c r="AC60" i="6"/>
  <c r="AD60" i="6" s="1"/>
  <c r="L60" i="6"/>
  <c r="AA60" i="6" s="1"/>
  <c r="Y59" i="6"/>
  <c r="Q61" i="6"/>
  <c r="S61" i="6" s="1"/>
  <c r="I61" i="6"/>
  <c r="G61" i="6"/>
  <c r="H62" i="6"/>
  <c r="F64" i="6"/>
  <c r="K63" i="6"/>
  <c r="P60" i="6"/>
  <c r="J60" i="6"/>
  <c r="K54" i="17" l="1"/>
  <c r="F55" i="17"/>
  <c r="K216" i="21"/>
  <c r="I216" i="21" s="1"/>
  <c r="L216" i="21" s="1"/>
  <c r="F217" i="21"/>
  <c r="G216" i="21"/>
  <c r="J216" i="21" s="1"/>
  <c r="H128" i="19"/>
  <c r="Q127" i="19"/>
  <c r="Q53" i="17"/>
  <c r="I53" i="17"/>
  <c r="L53" i="17" s="1"/>
  <c r="G53" i="17"/>
  <c r="J53" i="17" s="1"/>
  <c r="H127" i="18"/>
  <c r="Q126" i="18"/>
  <c r="G54" i="19"/>
  <c r="J54" i="19" s="1"/>
  <c r="Q54" i="19"/>
  <c r="I54" i="19"/>
  <c r="L54" i="19" s="1"/>
  <c r="F58" i="19"/>
  <c r="K57" i="19"/>
  <c r="F56" i="18"/>
  <c r="K55" i="18"/>
  <c r="Q54" i="18"/>
  <c r="G54" i="18"/>
  <c r="J54" i="18" s="1"/>
  <c r="I54" i="18"/>
  <c r="L54" i="18" s="1"/>
  <c r="W60" i="6"/>
  <c r="X60" i="6" s="1"/>
  <c r="T61" i="6"/>
  <c r="U61" i="6" s="1"/>
  <c r="Z61" i="6" s="1"/>
  <c r="V61" i="6"/>
  <c r="W61" i="6" s="1"/>
  <c r="X61" i="6" s="1"/>
  <c r="L61" i="6"/>
  <c r="AA61" i="6" s="1"/>
  <c r="AC61" i="6"/>
  <c r="AD61" i="6" s="1"/>
  <c r="Y60" i="6"/>
  <c r="J61" i="6"/>
  <c r="P61" i="6"/>
  <c r="G62" i="6"/>
  <c r="I62" i="6"/>
  <c r="H63" i="6"/>
  <c r="Q62" i="6"/>
  <c r="S62" i="6" s="1"/>
  <c r="F65" i="6"/>
  <c r="K64" i="6"/>
  <c r="K55" i="17" l="1"/>
  <c r="F56" i="17"/>
  <c r="K217" i="21"/>
  <c r="I217" i="21" s="1"/>
  <c r="L217" i="21" s="1"/>
  <c r="F218" i="21"/>
  <c r="G217" i="21"/>
  <c r="J217" i="21" s="1"/>
  <c r="H129" i="19"/>
  <c r="Q128" i="19"/>
  <c r="I54" i="17"/>
  <c r="L54" i="17" s="1"/>
  <c r="Q54" i="17"/>
  <c r="G54" i="17"/>
  <c r="J54" i="17" s="1"/>
  <c r="H128" i="18"/>
  <c r="Q127" i="18"/>
  <c r="Q55" i="19"/>
  <c r="I55" i="19"/>
  <c r="L55" i="19" s="1"/>
  <c r="G55" i="19"/>
  <c r="J55" i="19" s="1"/>
  <c r="F59" i="19"/>
  <c r="K58" i="19"/>
  <c r="Q55" i="18"/>
  <c r="I55" i="18"/>
  <c r="L55" i="18" s="1"/>
  <c r="G55" i="18"/>
  <c r="J55" i="18" s="1"/>
  <c r="F57" i="18"/>
  <c r="K56" i="18"/>
  <c r="Y61" i="6"/>
  <c r="T62" i="6"/>
  <c r="U62" i="6" s="1"/>
  <c r="Z62" i="6" s="1"/>
  <c r="V62" i="6"/>
  <c r="W62" i="6" s="1"/>
  <c r="X62" i="6" s="1"/>
  <c r="Q63" i="6"/>
  <c r="S63" i="6" s="1"/>
  <c r="G63" i="6"/>
  <c r="I63" i="6"/>
  <c r="H64" i="6"/>
  <c r="AC62" i="6"/>
  <c r="AD62" i="6" s="1"/>
  <c r="L62" i="6"/>
  <c r="AA62" i="6" s="1"/>
  <c r="K65" i="6"/>
  <c r="F66" i="6"/>
  <c r="J62" i="6"/>
  <c r="P62" i="6"/>
  <c r="K56" i="17" l="1"/>
  <c r="F57" i="17"/>
  <c r="K218" i="21"/>
  <c r="I218" i="21" s="1"/>
  <c r="L218" i="21" s="1"/>
  <c r="F219" i="21"/>
  <c r="G218" i="21"/>
  <c r="J218" i="21" s="1"/>
  <c r="H130" i="19"/>
  <c r="Q129" i="19"/>
  <c r="G55" i="17"/>
  <c r="J55" i="17" s="1"/>
  <c r="I55" i="17"/>
  <c r="L55" i="17" s="1"/>
  <c r="Q55" i="17"/>
  <c r="H129" i="18"/>
  <c r="Q128" i="18"/>
  <c r="F60" i="19"/>
  <c r="K59" i="19"/>
  <c r="I56" i="19"/>
  <c r="L56" i="19" s="1"/>
  <c r="Q56" i="19"/>
  <c r="G56" i="19"/>
  <c r="J56" i="19" s="1"/>
  <c r="K57" i="18"/>
  <c r="F58" i="18"/>
  <c r="Q56" i="18"/>
  <c r="I56" i="18"/>
  <c r="L56" i="18" s="1"/>
  <c r="G56" i="18"/>
  <c r="J56" i="18" s="1"/>
  <c r="T63" i="6"/>
  <c r="U63" i="6" s="1"/>
  <c r="Z63" i="6" s="1"/>
  <c r="V63" i="6"/>
  <c r="W63" i="6" s="1"/>
  <c r="X63" i="6" s="1"/>
  <c r="Q64" i="6"/>
  <c r="S64" i="6" s="1"/>
  <c r="H65" i="6"/>
  <c r="I64" i="6"/>
  <c r="G64" i="6"/>
  <c r="AC63" i="6"/>
  <c r="AD63" i="6" s="1"/>
  <c r="L63" i="6"/>
  <c r="AA63" i="6" s="1"/>
  <c r="Y62" i="6"/>
  <c r="P63" i="6"/>
  <c r="J63" i="6"/>
  <c r="K66" i="6"/>
  <c r="F67" i="6"/>
  <c r="F58" i="17" l="1"/>
  <c r="K57" i="17"/>
  <c r="K219" i="21"/>
  <c r="I219" i="21" s="1"/>
  <c r="L219" i="21" s="1"/>
  <c r="F220" i="21"/>
  <c r="G219" i="21"/>
  <c r="J219" i="21" s="1"/>
  <c r="H131" i="19"/>
  <c r="Q130" i="19"/>
  <c r="G56" i="17"/>
  <c r="J56" i="17" s="1"/>
  <c r="Q56" i="17"/>
  <c r="I56" i="17"/>
  <c r="L56" i="17" s="1"/>
  <c r="H130" i="18"/>
  <c r="Q129" i="18"/>
  <c r="Q57" i="19"/>
  <c r="I57" i="19"/>
  <c r="L57" i="19" s="1"/>
  <c r="G57" i="19"/>
  <c r="J57" i="19" s="1"/>
  <c r="F61" i="19"/>
  <c r="K60" i="19"/>
  <c r="Q57" i="18"/>
  <c r="I57" i="18"/>
  <c r="L57" i="18" s="1"/>
  <c r="G57" i="18"/>
  <c r="J57" i="18" s="1"/>
  <c r="K58" i="18"/>
  <c r="F59" i="18"/>
  <c r="T64" i="6"/>
  <c r="U64" i="6" s="1"/>
  <c r="Z64" i="6" s="1"/>
  <c r="V64" i="6"/>
  <c r="W64" i="6" s="1"/>
  <c r="X64" i="6" s="1"/>
  <c r="P64" i="6"/>
  <c r="J64" i="6"/>
  <c r="Y63" i="6"/>
  <c r="G65" i="6"/>
  <c r="I65" i="6"/>
  <c r="Q65" i="6"/>
  <c r="S65" i="6" s="1"/>
  <c r="H66" i="6"/>
  <c r="AC64" i="6"/>
  <c r="AD64" i="6" s="1"/>
  <c r="L64" i="6"/>
  <c r="AA64" i="6" s="1"/>
  <c r="K67" i="6"/>
  <c r="F68" i="6"/>
  <c r="K58" i="17" l="1"/>
  <c r="F59" i="17"/>
  <c r="F221" i="21"/>
  <c r="K220" i="21"/>
  <c r="I220" i="21" s="1"/>
  <c r="L220" i="21" s="1"/>
  <c r="G220" i="21"/>
  <c r="J220" i="21" s="1"/>
  <c r="H132" i="19"/>
  <c r="Q131" i="19"/>
  <c r="Q57" i="17"/>
  <c r="G57" i="17"/>
  <c r="J57" i="17" s="1"/>
  <c r="I57" i="17"/>
  <c r="L57" i="17" s="1"/>
  <c r="H131" i="18"/>
  <c r="Q130" i="18"/>
  <c r="F62" i="19"/>
  <c r="K61" i="19"/>
  <c r="Q58" i="19"/>
  <c r="I58" i="19"/>
  <c r="L58" i="19" s="1"/>
  <c r="G58" i="19"/>
  <c r="J58" i="19" s="1"/>
  <c r="F60" i="18"/>
  <c r="K59" i="18"/>
  <c r="Q58" i="18"/>
  <c r="G58" i="18"/>
  <c r="J58" i="18" s="1"/>
  <c r="I58" i="18"/>
  <c r="L58" i="18" s="1"/>
  <c r="T65" i="6"/>
  <c r="U65" i="6" s="1"/>
  <c r="Z65" i="6" s="1"/>
  <c r="V65" i="6"/>
  <c r="W65" i="6" s="1"/>
  <c r="X65" i="6" s="1"/>
  <c r="H67" i="6"/>
  <c r="G66" i="6"/>
  <c r="Q66" i="6"/>
  <c r="S66" i="6" s="1"/>
  <c r="I66" i="6"/>
  <c r="P65" i="6"/>
  <c r="J65" i="6"/>
  <c r="Y64" i="6"/>
  <c r="F69" i="6"/>
  <c r="K68" i="6"/>
  <c r="L65" i="6"/>
  <c r="AA65" i="6" s="1"/>
  <c r="AC65" i="6"/>
  <c r="AD65" i="6" s="1"/>
  <c r="K59" i="17" l="1"/>
  <c r="F60" i="17"/>
  <c r="K221" i="21"/>
  <c r="I221" i="21" s="1"/>
  <c r="L221" i="21" s="1"/>
  <c r="F222" i="21"/>
  <c r="G221" i="21"/>
  <c r="J221" i="21" s="1"/>
  <c r="H133" i="19"/>
  <c r="Q132" i="19"/>
  <c r="I58" i="17"/>
  <c r="L58" i="17" s="1"/>
  <c r="Q58" i="17"/>
  <c r="G58" i="17"/>
  <c r="J58" i="17" s="1"/>
  <c r="H132" i="18"/>
  <c r="Q131" i="18"/>
  <c r="G59" i="19"/>
  <c r="J59" i="19" s="1"/>
  <c r="Q59" i="19"/>
  <c r="I59" i="19"/>
  <c r="L59" i="19" s="1"/>
  <c r="F63" i="19"/>
  <c r="K62" i="19"/>
  <c r="G59" i="18"/>
  <c r="J59" i="18" s="1"/>
  <c r="I59" i="18"/>
  <c r="L59" i="18" s="1"/>
  <c r="Q59" i="18"/>
  <c r="F61" i="18"/>
  <c r="K60" i="18"/>
  <c r="Y65" i="6"/>
  <c r="T66" i="6"/>
  <c r="U66" i="6" s="1"/>
  <c r="Z66" i="6" s="1"/>
  <c r="V66" i="6"/>
  <c r="W66" i="6" s="1"/>
  <c r="X66" i="6" s="1"/>
  <c r="F70" i="6"/>
  <c r="K69" i="6"/>
  <c r="L66" i="6"/>
  <c r="AA66" i="6" s="1"/>
  <c r="AC66" i="6"/>
  <c r="AD66" i="6" s="1"/>
  <c r="H68" i="6"/>
  <c r="I67" i="6"/>
  <c r="Q67" i="6"/>
  <c r="S67" i="6" s="1"/>
  <c r="G67" i="6"/>
  <c r="P66" i="6"/>
  <c r="J66" i="6"/>
  <c r="K60" i="17" l="1"/>
  <c r="F61" i="17"/>
  <c r="K222" i="21"/>
  <c r="I222" i="21" s="1"/>
  <c r="L222" i="21" s="1"/>
  <c r="F223" i="21"/>
  <c r="G222" i="21"/>
  <c r="J222" i="21" s="1"/>
  <c r="H134" i="19"/>
  <c r="Q133" i="19"/>
  <c r="I59" i="17"/>
  <c r="L59" i="17" s="1"/>
  <c r="G59" i="17"/>
  <c r="J59" i="17" s="1"/>
  <c r="Q59" i="17"/>
  <c r="H133" i="18"/>
  <c r="Q132" i="18"/>
  <c r="F64" i="19"/>
  <c r="K63" i="19"/>
  <c r="G60" i="19"/>
  <c r="J60" i="19" s="1"/>
  <c r="Q60" i="19"/>
  <c r="I60" i="19"/>
  <c r="L60" i="19" s="1"/>
  <c r="I60" i="18"/>
  <c r="L60" i="18" s="1"/>
  <c r="Q60" i="18"/>
  <c r="G60" i="18"/>
  <c r="J60" i="18" s="1"/>
  <c r="F62" i="18"/>
  <c r="K61" i="18"/>
  <c r="Y66" i="6"/>
  <c r="T67" i="6"/>
  <c r="U67" i="6" s="1"/>
  <c r="Z67" i="6" s="1"/>
  <c r="V67" i="6"/>
  <c r="W67" i="6" s="1"/>
  <c r="X67" i="6" s="1"/>
  <c r="G68" i="6"/>
  <c r="I68" i="6"/>
  <c r="Q68" i="6"/>
  <c r="S68" i="6" s="1"/>
  <c r="H69" i="6"/>
  <c r="F71" i="6"/>
  <c r="K70" i="6"/>
  <c r="L67" i="6"/>
  <c r="AA67" i="6" s="1"/>
  <c r="AC67" i="6"/>
  <c r="AD67" i="6" s="1"/>
  <c r="P67" i="6"/>
  <c r="J67" i="6"/>
  <c r="K61" i="17" l="1"/>
  <c r="F62" i="17"/>
  <c r="K223" i="21"/>
  <c r="I223" i="21" s="1"/>
  <c r="L223" i="21" s="1"/>
  <c r="F224" i="21"/>
  <c r="G223" i="21"/>
  <c r="J223" i="21" s="1"/>
  <c r="H135" i="19"/>
  <c r="Q134" i="19"/>
  <c r="I60" i="17"/>
  <c r="L60" i="17" s="1"/>
  <c r="Q60" i="17"/>
  <c r="G60" i="17"/>
  <c r="J60" i="17" s="1"/>
  <c r="H134" i="18"/>
  <c r="Q133" i="18"/>
  <c r="G61" i="19"/>
  <c r="J61" i="19" s="1"/>
  <c r="I61" i="19"/>
  <c r="L61" i="19" s="1"/>
  <c r="Q61" i="19"/>
  <c r="F65" i="19"/>
  <c r="K64" i="19"/>
  <c r="F63" i="18"/>
  <c r="K62" i="18"/>
  <c r="Q61" i="18"/>
  <c r="I61" i="18"/>
  <c r="L61" i="18" s="1"/>
  <c r="G61" i="18"/>
  <c r="J61" i="18" s="1"/>
  <c r="T68" i="6"/>
  <c r="U68" i="6" s="1"/>
  <c r="Z68" i="6" s="1"/>
  <c r="V68" i="6"/>
  <c r="P68" i="6"/>
  <c r="J68" i="6"/>
  <c r="Q69" i="6"/>
  <c r="S69" i="6" s="1"/>
  <c r="G69" i="6"/>
  <c r="H70" i="6"/>
  <c r="I69" i="6"/>
  <c r="Y67" i="6"/>
  <c r="K71" i="6"/>
  <c r="F72" i="6"/>
  <c r="L68" i="6"/>
  <c r="AA68" i="6" s="1"/>
  <c r="AC68" i="6"/>
  <c r="AD68" i="6" s="1"/>
  <c r="K62" i="17" l="1"/>
  <c r="F63" i="17"/>
  <c r="K224" i="21"/>
  <c r="I224" i="21" s="1"/>
  <c r="L224" i="21" s="1"/>
  <c r="F225" i="21"/>
  <c r="G224" i="21"/>
  <c r="J224" i="21" s="1"/>
  <c r="H136" i="19"/>
  <c r="Q135" i="19"/>
  <c r="Q61" i="17"/>
  <c r="G61" i="17"/>
  <c r="J61" i="17" s="1"/>
  <c r="I61" i="17"/>
  <c r="L61" i="17" s="1"/>
  <c r="H135" i="18"/>
  <c r="Q134" i="18"/>
  <c r="F66" i="19"/>
  <c r="K65" i="19"/>
  <c r="G62" i="19"/>
  <c r="J62" i="19" s="1"/>
  <c r="I62" i="19"/>
  <c r="L62" i="19" s="1"/>
  <c r="Q62" i="19"/>
  <c r="Q62" i="18"/>
  <c r="I62" i="18"/>
  <c r="L62" i="18" s="1"/>
  <c r="G62" i="18"/>
  <c r="J62" i="18" s="1"/>
  <c r="F64" i="18"/>
  <c r="K63" i="18"/>
  <c r="W68" i="6"/>
  <c r="X68" i="6" s="1"/>
  <c r="T69" i="6"/>
  <c r="U69" i="6" s="1"/>
  <c r="Z69" i="6" s="1"/>
  <c r="V69" i="6"/>
  <c r="W69" i="6" s="1"/>
  <c r="X69" i="6" s="1"/>
  <c r="Y68" i="6"/>
  <c r="H71" i="6"/>
  <c r="Q70" i="6"/>
  <c r="S70" i="6" s="1"/>
  <c r="G70" i="6"/>
  <c r="I70" i="6"/>
  <c r="K72" i="6"/>
  <c r="F73" i="6"/>
  <c r="J69" i="6"/>
  <c r="P69" i="6"/>
  <c r="L69" i="6"/>
  <c r="AA69" i="6" s="1"/>
  <c r="AC69" i="6"/>
  <c r="AD69" i="6" s="1"/>
  <c r="K63" i="17" l="1"/>
  <c r="F64" i="17"/>
  <c r="K225" i="21"/>
  <c r="I225" i="21" s="1"/>
  <c r="L225" i="21" s="1"/>
  <c r="F226" i="21"/>
  <c r="G225" i="21"/>
  <c r="J225" i="21" s="1"/>
  <c r="H137" i="19"/>
  <c r="Q136" i="19"/>
  <c r="I62" i="17"/>
  <c r="L62" i="17" s="1"/>
  <c r="Q62" i="17"/>
  <c r="G62" i="17"/>
  <c r="J62" i="17" s="1"/>
  <c r="H136" i="18"/>
  <c r="Q135" i="18"/>
  <c r="G63" i="19"/>
  <c r="J63" i="19" s="1"/>
  <c r="Q63" i="19"/>
  <c r="I63" i="19"/>
  <c r="L63" i="19" s="1"/>
  <c r="F67" i="19"/>
  <c r="K66" i="19"/>
  <c r="F65" i="18"/>
  <c r="K64" i="18"/>
  <c r="G63" i="18"/>
  <c r="J63" i="18" s="1"/>
  <c r="Q63" i="18"/>
  <c r="I63" i="18"/>
  <c r="L63" i="18" s="1"/>
  <c r="Y69" i="6"/>
  <c r="T70" i="6"/>
  <c r="U70" i="6" s="1"/>
  <c r="Z70" i="6" s="1"/>
  <c r="V70" i="6"/>
  <c r="W70" i="6" s="1"/>
  <c r="X70" i="6" s="1"/>
  <c r="K73" i="6"/>
  <c r="F74" i="6"/>
  <c r="AC70" i="6"/>
  <c r="AD70" i="6" s="1"/>
  <c r="L70" i="6"/>
  <c r="AA70" i="6" s="1"/>
  <c r="J70" i="6"/>
  <c r="P70" i="6"/>
  <c r="G71" i="6"/>
  <c r="I71" i="6"/>
  <c r="Q71" i="6"/>
  <c r="S71" i="6" s="1"/>
  <c r="H72" i="6"/>
  <c r="K64" i="17" l="1"/>
  <c r="F65" i="17"/>
  <c r="K226" i="21"/>
  <c r="I226" i="21" s="1"/>
  <c r="L226" i="21" s="1"/>
  <c r="F227" i="21"/>
  <c r="G226" i="21"/>
  <c r="J226" i="21" s="1"/>
  <c r="H138" i="19"/>
  <c r="Q137" i="19"/>
  <c r="Q63" i="17"/>
  <c r="I63" i="17"/>
  <c r="L63" i="17" s="1"/>
  <c r="G63" i="17"/>
  <c r="J63" i="17" s="1"/>
  <c r="H137" i="18"/>
  <c r="Q136" i="18"/>
  <c r="Q64" i="19"/>
  <c r="I64" i="19"/>
  <c r="L64" i="19" s="1"/>
  <c r="G64" i="19"/>
  <c r="J64" i="19" s="1"/>
  <c r="F68" i="19"/>
  <c r="K67" i="19"/>
  <c r="G64" i="18"/>
  <c r="J64" i="18" s="1"/>
  <c r="Q64" i="18"/>
  <c r="I64" i="18"/>
  <c r="L64" i="18" s="1"/>
  <c r="K65" i="18"/>
  <c r="F66" i="18"/>
  <c r="Y70" i="6"/>
  <c r="T71" i="6"/>
  <c r="U71" i="6" s="1"/>
  <c r="Z71" i="6" s="1"/>
  <c r="V71" i="6"/>
  <c r="W71" i="6" s="1"/>
  <c r="X71" i="6" s="1"/>
  <c r="G72" i="6"/>
  <c r="I72" i="6"/>
  <c r="Q72" i="6"/>
  <c r="S72" i="6" s="1"/>
  <c r="H73" i="6"/>
  <c r="P71" i="6"/>
  <c r="J71" i="6"/>
  <c r="AC71" i="6"/>
  <c r="AD71" i="6" s="1"/>
  <c r="L71" i="6"/>
  <c r="AA71" i="6" s="1"/>
  <c r="F75" i="6"/>
  <c r="K74" i="6"/>
  <c r="F66" i="17" l="1"/>
  <c r="K65" i="17"/>
  <c r="K227" i="21"/>
  <c r="I227" i="21" s="1"/>
  <c r="L227" i="21" s="1"/>
  <c r="F228" i="21"/>
  <c r="G227" i="21"/>
  <c r="J227" i="21" s="1"/>
  <c r="H139" i="19"/>
  <c r="Q138" i="19"/>
  <c r="I64" i="17"/>
  <c r="L64" i="17" s="1"/>
  <c r="Q64" i="17"/>
  <c r="G64" i="17"/>
  <c r="J64" i="17" s="1"/>
  <c r="H138" i="18"/>
  <c r="Q137" i="18"/>
  <c r="F69" i="19"/>
  <c r="K68" i="19"/>
  <c r="Q65" i="19"/>
  <c r="I65" i="19"/>
  <c r="L65" i="19" s="1"/>
  <c r="G65" i="19"/>
  <c r="J65" i="19" s="1"/>
  <c r="Q65" i="18"/>
  <c r="I65" i="18"/>
  <c r="L65" i="18" s="1"/>
  <c r="G65" i="18"/>
  <c r="J65" i="18" s="1"/>
  <c r="K66" i="18"/>
  <c r="F67" i="18"/>
  <c r="Y71" i="6"/>
  <c r="T72" i="6"/>
  <c r="U72" i="6" s="1"/>
  <c r="Z72" i="6" s="1"/>
  <c r="V72" i="6"/>
  <c r="W72" i="6" s="1"/>
  <c r="X72" i="6" s="1"/>
  <c r="Y72" i="6" s="1"/>
  <c r="J72" i="6"/>
  <c r="P72" i="6"/>
  <c r="G73" i="6"/>
  <c r="Q73" i="6"/>
  <c r="S73" i="6" s="1"/>
  <c r="H74" i="6"/>
  <c r="I73" i="6"/>
  <c r="K75" i="6"/>
  <c r="F76" i="6"/>
  <c r="AC72" i="6"/>
  <c r="AD72" i="6" s="1"/>
  <c r="L72" i="6"/>
  <c r="AA72" i="6" s="1"/>
  <c r="K66" i="17" l="1"/>
  <c r="F67" i="17"/>
  <c r="F229" i="21"/>
  <c r="K228" i="21"/>
  <c r="I228" i="21" s="1"/>
  <c r="L228" i="21" s="1"/>
  <c r="G228" i="21"/>
  <c r="J228" i="21" s="1"/>
  <c r="H140" i="19"/>
  <c r="Q139" i="19"/>
  <c r="Q65" i="17"/>
  <c r="I65" i="17"/>
  <c r="L65" i="17" s="1"/>
  <c r="G65" i="17"/>
  <c r="J65" i="17" s="1"/>
  <c r="H139" i="18"/>
  <c r="Q138" i="18"/>
  <c r="G66" i="19"/>
  <c r="J66" i="19" s="1"/>
  <c r="Q66" i="19"/>
  <c r="I66" i="19"/>
  <c r="L66" i="19" s="1"/>
  <c r="F70" i="19"/>
  <c r="K69" i="19"/>
  <c r="F68" i="18"/>
  <c r="K67" i="18"/>
  <c r="Q66" i="18"/>
  <c r="I66" i="18"/>
  <c r="L66" i="18" s="1"/>
  <c r="G66" i="18"/>
  <c r="J66" i="18" s="1"/>
  <c r="T73" i="6"/>
  <c r="U73" i="6" s="1"/>
  <c r="Z73" i="6" s="1"/>
  <c r="V73" i="6"/>
  <c r="W73" i="6" s="1"/>
  <c r="X73" i="6" s="1"/>
  <c r="F77" i="6"/>
  <c r="K76" i="6"/>
  <c r="AC73" i="6"/>
  <c r="AD73" i="6" s="1"/>
  <c r="L73" i="6"/>
  <c r="AA73" i="6" s="1"/>
  <c r="J73" i="6"/>
  <c r="P73" i="6"/>
  <c r="I74" i="6"/>
  <c r="G74" i="6"/>
  <c r="H75" i="6"/>
  <c r="Q74" i="6"/>
  <c r="S74" i="6" s="1"/>
  <c r="K67" i="17" l="1"/>
  <c r="F68" i="17"/>
  <c r="K229" i="21"/>
  <c r="I229" i="21" s="1"/>
  <c r="L229" i="21" s="1"/>
  <c r="F230" i="21"/>
  <c r="G229" i="21"/>
  <c r="J229" i="21" s="1"/>
  <c r="H141" i="19"/>
  <c r="Q140" i="19"/>
  <c r="I66" i="17"/>
  <c r="L66" i="17" s="1"/>
  <c r="Q66" i="17"/>
  <c r="G66" i="17"/>
  <c r="J66" i="17" s="1"/>
  <c r="H140" i="18"/>
  <c r="Q139" i="18"/>
  <c r="G67" i="19"/>
  <c r="J67" i="19" s="1"/>
  <c r="Q67" i="19"/>
  <c r="I67" i="19"/>
  <c r="L67" i="19" s="1"/>
  <c r="F71" i="19"/>
  <c r="K70" i="19"/>
  <c r="G67" i="18"/>
  <c r="J67" i="18" s="1"/>
  <c r="I67" i="18"/>
  <c r="L67" i="18" s="1"/>
  <c r="Q67" i="18"/>
  <c r="F69" i="18"/>
  <c r="K68" i="18"/>
  <c r="T74" i="6"/>
  <c r="U74" i="6" s="1"/>
  <c r="Z74" i="6" s="1"/>
  <c r="V74" i="6"/>
  <c r="W74" i="6" s="1"/>
  <c r="X74" i="6" s="1"/>
  <c r="Y73" i="6"/>
  <c r="I75" i="6"/>
  <c r="Q75" i="6"/>
  <c r="S75" i="6" s="1"/>
  <c r="G75" i="6"/>
  <c r="H76" i="6"/>
  <c r="L74" i="6"/>
  <c r="AA74" i="6" s="1"/>
  <c r="AC74" i="6"/>
  <c r="AD74" i="6" s="1"/>
  <c r="P74" i="6"/>
  <c r="J74" i="6"/>
  <c r="F78" i="6"/>
  <c r="K77" i="6"/>
  <c r="K68" i="17" l="1"/>
  <c r="F69" i="17"/>
  <c r="K230" i="21"/>
  <c r="I230" i="21" s="1"/>
  <c r="L230" i="21" s="1"/>
  <c r="F231" i="21"/>
  <c r="G230" i="21"/>
  <c r="J230" i="21" s="1"/>
  <c r="H142" i="19"/>
  <c r="Q141" i="19"/>
  <c r="G67" i="17"/>
  <c r="J67" i="17" s="1"/>
  <c r="Q67" i="17"/>
  <c r="I67" i="17"/>
  <c r="L67" i="17" s="1"/>
  <c r="H141" i="18"/>
  <c r="Q140" i="18"/>
  <c r="Q68" i="19"/>
  <c r="I68" i="19"/>
  <c r="L68" i="19" s="1"/>
  <c r="G68" i="19"/>
  <c r="J68" i="19" s="1"/>
  <c r="F72" i="19"/>
  <c r="K71" i="19"/>
  <c r="G68" i="18"/>
  <c r="J68" i="18" s="1"/>
  <c r="I68" i="18"/>
  <c r="L68" i="18" s="1"/>
  <c r="Q68" i="18"/>
  <c r="F70" i="18"/>
  <c r="K69" i="18"/>
  <c r="T75" i="6"/>
  <c r="U75" i="6" s="1"/>
  <c r="Z75" i="6" s="1"/>
  <c r="V75" i="6"/>
  <c r="P75" i="6"/>
  <c r="J75" i="6"/>
  <c r="Y74" i="6"/>
  <c r="F79" i="6"/>
  <c r="K78" i="6"/>
  <c r="H77" i="6"/>
  <c r="Q76" i="6"/>
  <c r="S76" i="6" s="1"/>
  <c r="G76" i="6"/>
  <c r="I76" i="6"/>
  <c r="L75" i="6"/>
  <c r="AA75" i="6" s="1"/>
  <c r="AC75" i="6"/>
  <c r="AD75" i="6" s="1"/>
  <c r="K69" i="17" l="1"/>
  <c r="F70" i="17"/>
  <c r="K231" i="21"/>
  <c r="I231" i="21" s="1"/>
  <c r="L231" i="21" s="1"/>
  <c r="F232" i="21"/>
  <c r="G231" i="21"/>
  <c r="J231" i="21" s="1"/>
  <c r="W75" i="6"/>
  <c r="X75" i="6" s="1"/>
  <c r="Y75" i="6" s="1"/>
  <c r="H143" i="19"/>
  <c r="Q142" i="19"/>
  <c r="I68" i="17"/>
  <c r="L68" i="17" s="1"/>
  <c r="Q68" i="17"/>
  <c r="G68" i="17"/>
  <c r="J68" i="17" s="1"/>
  <c r="H142" i="18"/>
  <c r="Q141" i="18"/>
  <c r="K72" i="19"/>
  <c r="F73" i="19"/>
  <c r="Q69" i="19"/>
  <c r="I69" i="19"/>
  <c r="L69" i="19" s="1"/>
  <c r="G69" i="19"/>
  <c r="J69" i="19" s="1"/>
  <c r="Q69" i="18"/>
  <c r="I69" i="18"/>
  <c r="L69" i="18" s="1"/>
  <c r="G69" i="18"/>
  <c r="J69" i="18" s="1"/>
  <c r="F71" i="18"/>
  <c r="K70" i="18"/>
  <c r="T76" i="6"/>
  <c r="U76" i="6" s="1"/>
  <c r="Z76" i="6" s="1"/>
  <c r="V76" i="6"/>
  <c r="K79" i="6"/>
  <c r="F80" i="6"/>
  <c r="I77" i="6"/>
  <c r="G77" i="6"/>
  <c r="Q77" i="6"/>
  <c r="S77" i="6" s="1"/>
  <c r="H78" i="6"/>
  <c r="L76" i="6"/>
  <c r="AA76" i="6" s="1"/>
  <c r="AC76" i="6"/>
  <c r="AD76" i="6" s="1"/>
  <c r="J76" i="6"/>
  <c r="P76" i="6"/>
  <c r="F71" i="17" l="1"/>
  <c r="K70" i="17"/>
  <c r="K232" i="21"/>
  <c r="I232" i="21" s="1"/>
  <c r="L232" i="21" s="1"/>
  <c r="F233" i="21"/>
  <c r="G232" i="21"/>
  <c r="J232" i="21" s="1"/>
  <c r="H144" i="19"/>
  <c r="Q143" i="19"/>
  <c r="G69" i="17"/>
  <c r="J69" i="17" s="1"/>
  <c r="Q69" i="17"/>
  <c r="I69" i="17"/>
  <c r="L69" i="17" s="1"/>
  <c r="H143" i="18"/>
  <c r="Q142" i="18"/>
  <c r="G70" i="19"/>
  <c r="J70" i="19" s="1"/>
  <c r="Q70" i="19"/>
  <c r="I70" i="19"/>
  <c r="L70" i="19" s="1"/>
  <c r="F74" i="19"/>
  <c r="K73" i="19"/>
  <c r="F72" i="18"/>
  <c r="K71" i="18"/>
  <c r="Q70" i="18"/>
  <c r="I70" i="18"/>
  <c r="L70" i="18" s="1"/>
  <c r="G70" i="18"/>
  <c r="J70" i="18" s="1"/>
  <c r="W76" i="6"/>
  <c r="X76" i="6" s="1"/>
  <c r="T77" i="6"/>
  <c r="U77" i="6" s="1"/>
  <c r="Z77" i="6" s="1"/>
  <c r="V77" i="6"/>
  <c r="H79" i="6"/>
  <c r="I78" i="6"/>
  <c r="Q78" i="6"/>
  <c r="S78" i="6" s="1"/>
  <c r="G78" i="6"/>
  <c r="L77" i="6"/>
  <c r="AA77" i="6" s="1"/>
  <c r="AC77" i="6"/>
  <c r="AD77" i="6" s="1"/>
  <c r="Y76" i="6"/>
  <c r="K80" i="6"/>
  <c r="F81" i="6"/>
  <c r="P77" i="6"/>
  <c r="J77" i="6"/>
  <c r="F72" i="17" l="1"/>
  <c r="K71" i="17"/>
  <c r="K233" i="21"/>
  <c r="I233" i="21" s="1"/>
  <c r="L233" i="21" s="1"/>
  <c r="F234" i="21"/>
  <c r="F235" i="21" s="1"/>
  <c r="F236" i="21" s="1"/>
  <c r="G233" i="21"/>
  <c r="J233" i="21" s="1"/>
  <c r="H145" i="19"/>
  <c r="Q144" i="19"/>
  <c r="G70" i="17"/>
  <c r="J70" i="17" s="1"/>
  <c r="Q70" i="17"/>
  <c r="I70" i="17"/>
  <c r="L70" i="17" s="1"/>
  <c r="H144" i="18"/>
  <c r="Q143" i="18"/>
  <c r="G71" i="19"/>
  <c r="J71" i="19" s="1"/>
  <c r="Q71" i="19"/>
  <c r="I71" i="19"/>
  <c r="L71" i="19" s="1"/>
  <c r="F75" i="19"/>
  <c r="K74" i="19"/>
  <c r="G71" i="18"/>
  <c r="J71" i="18" s="1"/>
  <c r="Q71" i="18"/>
  <c r="I71" i="18"/>
  <c r="L71" i="18" s="1"/>
  <c r="F73" i="18"/>
  <c r="K72" i="18"/>
  <c r="W77" i="6"/>
  <c r="X77" i="6" s="1"/>
  <c r="T78" i="6"/>
  <c r="U78" i="6" s="1"/>
  <c r="Z78" i="6" s="1"/>
  <c r="V78" i="6"/>
  <c r="W78" i="6" s="1"/>
  <c r="X78" i="6" s="1"/>
  <c r="Y78" i="6" s="1"/>
  <c r="J78" i="6"/>
  <c r="P78" i="6"/>
  <c r="Q79" i="6"/>
  <c r="S79" i="6" s="1"/>
  <c r="G79" i="6"/>
  <c r="I79" i="6"/>
  <c r="H80" i="6"/>
  <c r="Y77" i="6"/>
  <c r="F82" i="6"/>
  <c r="K81" i="6"/>
  <c r="AC78" i="6"/>
  <c r="AD78" i="6" s="1"/>
  <c r="L78" i="6"/>
  <c r="AA78" i="6" s="1"/>
  <c r="P56" i="21"/>
  <c r="O75" i="20"/>
  <c r="O75" i="21"/>
  <c r="P56" i="20"/>
  <c r="Z236" i="21" l="1"/>
  <c r="F237" i="21"/>
  <c r="K236" i="21"/>
  <c r="I236" i="21" s="1"/>
  <c r="AC236" i="21" s="1"/>
  <c r="AD236" i="21" s="1"/>
  <c r="G236" i="21"/>
  <c r="J236" i="21" s="1"/>
  <c r="K235" i="21"/>
  <c r="I235" i="21" s="1"/>
  <c r="Z235" i="21"/>
  <c r="G235" i="21"/>
  <c r="J235" i="21" s="1"/>
  <c r="K72" i="17"/>
  <c r="F73" i="17"/>
  <c r="K234" i="21"/>
  <c r="I234" i="21" s="1"/>
  <c r="L234" i="21" s="1"/>
  <c r="G234" i="21"/>
  <c r="J234" i="21" s="1"/>
  <c r="K75" i="19"/>
  <c r="F76" i="19"/>
  <c r="G76" i="19" s="1"/>
  <c r="J76" i="19" s="1"/>
  <c r="H146" i="19"/>
  <c r="Q145" i="19"/>
  <c r="I71" i="17"/>
  <c r="L71" i="17" s="1"/>
  <c r="G71" i="17"/>
  <c r="J71" i="17" s="1"/>
  <c r="Q71" i="17"/>
  <c r="H145" i="18"/>
  <c r="Q144" i="18"/>
  <c r="Q72" i="19"/>
  <c r="I72" i="19"/>
  <c r="L72" i="19" s="1"/>
  <c r="G72" i="19"/>
  <c r="J72" i="19" s="1"/>
  <c r="G72" i="18"/>
  <c r="J72" i="18" s="1"/>
  <c r="Q72" i="18"/>
  <c r="I72" i="18"/>
  <c r="L72" i="18" s="1"/>
  <c r="K73" i="18"/>
  <c r="F74" i="18"/>
  <c r="T79" i="6"/>
  <c r="U79" i="6" s="1"/>
  <c r="Z79" i="6" s="1"/>
  <c r="V79" i="6"/>
  <c r="W79" i="6" s="1"/>
  <c r="X79" i="6" s="1"/>
  <c r="L79" i="6"/>
  <c r="AA79" i="6" s="1"/>
  <c r="AC79" i="6"/>
  <c r="AD79" i="6" s="1"/>
  <c r="J79" i="6"/>
  <c r="P79" i="6"/>
  <c r="K82" i="6"/>
  <c r="F83" i="6"/>
  <c r="G80" i="6"/>
  <c r="Q80" i="6"/>
  <c r="S80" i="6" s="1"/>
  <c r="I80" i="6"/>
  <c r="H81" i="6"/>
  <c r="M56" i="20"/>
  <c r="M75" i="21"/>
  <c r="M75" i="20"/>
  <c r="M56" i="21"/>
  <c r="Z237" i="21" l="1"/>
  <c r="K237" i="21"/>
  <c r="I237" i="21" s="1"/>
  <c r="F238" i="21"/>
  <c r="G237" i="21"/>
  <c r="J237" i="21" s="1"/>
  <c r="L235" i="21"/>
  <c r="AC235" i="21"/>
  <c r="AD235" i="21" s="1"/>
  <c r="L236" i="21"/>
  <c r="F74" i="17"/>
  <c r="K73" i="17"/>
  <c r="K76" i="19"/>
  <c r="I76" i="19" s="1"/>
  <c r="F77" i="19"/>
  <c r="G77" i="19" s="1"/>
  <c r="J77" i="19" s="1"/>
  <c r="H147" i="19"/>
  <c r="Q146" i="19"/>
  <c r="I72" i="17"/>
  <c r="L72" i="17" s="1"/>
  <c r="Q72" i="17"/>
  <c r="G72" i="17"/>
  <c r="J72" i="17" s="1"/>
  <c r="H146" i="18"/>
  <c r="Q145" i="18"/>
  <c r="Q73" i="19"/>
  <c r="I73" i="19"/>
  <c r="L73" i="19" s="1"/>
  <c r="G73" i="19"/>
  <c r="J73" i="19" s="1"/>
  <c r="Q73" i="18"/>
  <c r="I73" i="18"/>
  <c r="L73" i="18" s="1"/>
  <c r="G73" i="18"/>
  <c r="J73" i="18" s="1"/>
  <c r="K74" i="18"/>
  <c r="F75" i="18"/>
  <c r="T80" i="6"/>
  <c r="U80" i="6" s="1"/>
  <c r="Z80" i="6" s="1"/>
  <c r="V80" i="6"/>
  <c r="P80" i="6"/>
  <c r="J80" i="6"/>
  <c r="Y79" i="6"/>
  <c r="AC80" i="6"/>
  <c r="AD80" i="6" s="1"/>
  <c r="L80" i="6"/>
  <c r="AA80" i="6" s="1"/>
  <c r="G81" i="6"/>
  <c r="Q81" i="6"/>
  <c r="S81" i="6" s="1"/>
  <c r="H82" i="6"/>
  <c r="I81" i="6"/>
  <c r="K83" i="6"/>
  <c r="F84" i="6"/>
  <c r="K238" i="21" l="1"/>
  <c r="I238" i="21" s="1"/>
  <c r="F239" i="21"/>
  <c r="Z238" i="21"/>
  <c r="G238" i="21"/>
  <c r="J238" i="21" s="1"/>
  <c r="AC237" i="21"/>
  <c r="AD237" i="21" s="1"/>
  <c r="L237" i="21"/>
  <c r="F75" i="17"/>
  <c r="K74" i="17"/>
  <c r="K77" i="19"/>
  <c r="I77" i="19" s="1"/>
  <c r="L77" i="19" s="1"/>
  <c r="F78" i="19"/>
  <c r="G78" i="19" s="1"/>
  <c r="J78" i="19" s="1"/>
  <c r="K75" i="18"/>
  <c r="F76" i="18"/>
  <c r="G76" i="18" s="1"/>
  <c r="J76" i="18" s="1"/>
  <c r="W80" i="6"/>
  <c r="X80" i="6" s="1"/>
  <c r="H148" i="19"/>
  <c r="Q147" i="19"/>
  <c r="G73" i="17"/>
  <c r="J73" i="17" s="1"/>
  <c r="Q73" i="17"/>
  <c r="I73" i="17"/>
  <c r="L73" i="17" s="1"/>
  <c r="H147" i="18"/>
  <c r="Q146" i="18"/>
  <c r="G74" i="19"/>
  <c r="J74" i="19" s="1"/>
  <c r="I74" i="19"/>
  <c r="L74" i="19" s="1"/>
  <c r="Q74" i="19"/>
  <c r="Q74" i="18"/>
  <c r="I74" i="18"/>
  <c r="L74" i="18" s="1"/>
  <c r="G74" i="18"/>
  <c r="J74" i="18" s="1"/>
  <c r="T81" i="6"/>
  <c r="U81" i="6" s="1"/>
  <c r="Z81" i="6" s="1"/>
  <c r="V81" i="6"/>
  <c r="Y80" i="6"/>
  <c r="I82" i="6"/>
  <c r="H83" i="6"/>
  <c r="Q82" i="6"/>
  <c r="S82" i="6" s="1"/>
  <c r="G82" i="6"/>
  <c r="F85" i="6"/>
  <c r="K84" i="6"/>
  <c r="L81" i="6"/>
  <c r="AA81" i="6" s="1"/>
  <c r="AC81" i="6"/>
  <c r="AD81" i="6" s="1"/>
  <c r="J81" i="6"/>
  <c r="P81" i="6"/>
  <c r="F240" i="21" l="1"/>
  <c r="K239" i="21"/>
  <c r="I239" i="21" s="1"/>
  <c r="Z239" i="21"/>
  <c r="G239" i="21"/>
  <c r="J239" i="21" s="1"/>
  <c r="L238" i="21"/>
  <c r="AC238" i="21"/>
  <c r="AD238" i="21" s="1"/>
  <c r="K75" i="17"/>
  <c r="F76" i="17"/>
  <c r="K78" i="19"/>
  <c r="I78" i="19" s="1"/>
  <c r="L78" i="19" s="1"/>
  <c r="F79" i="19"/>
  <c r="G79" i="19" s="1"/>
  <c r="J79" i="19" s="1"/>
  <c r="K76" i="18"/>
  <c r="I76" i="18" s="1"/>
  <c r="F77" i="18"/>
  <c r="G77" i="18" s="1"/>
  <c r="J77" i="18" s="1"/>
  <c r="W81" i="6"/>
  <c r="X81" i="6" s="1"/>
  <c r="Y81" i="6"/>
  <c r="H149" i="19"/>
  <c r="Q148" i="19"/>
  <c r="Q74" i="17"/>
  <c r="I74" i="17"/>
  <c r="L74" i="17" s="1"/>
  <c r="G74" i="17"/>
  <c r="J74" i="17" s="1"/>
  <c r="H148" i="18"/>
  <c r="Q147" i="18"/>
  <c r="Q75" i="19"/>
  <c r="G75" i="19"/>
  <c r="J75" i="19" s="1"/>
  <c r="Q76" i="19"/>
  <c r="I75" i="19"/>
  <c r="Q75" i="18"/>
  <c r="G75" i="18"/>
  <c r="J75" i="18" s="1"/>
  <c r="Q76" i="18"/>
  <c r="I75" i="18"/>
  <c r="T82" i="6"/>
  <c r="U82" i="6" s="1"/>
  <c r="Z82" i="6" s="1"/>
  <c r="V82" i="6"/>
  <c r="H84" i="6"/>
  <c r="I83" i="6"/>
  <c r="G83" i="6"/>
  <c r="Q83" i="6"/>
  <c r="S83" i="6" s="1"/>
  <c r="K85" i="6"/>
  <c r="F86" i="6"/>
  <c r="P82" i="6"/>
  <c r="J82" i="6"/>
  <c r="AC82" i="6"/>
  <c r="AD82" i="6" s="1"/>
  <c r="L82" i="6"/>
  <c r="AA82" i="6" s="1"/>
  <c r="L239" i="21" l="1"/>
  <c r="AC239" i="21"/>
  <c r="AD239" i="21" s="1"/>
  <c r="F241" i="21"/>
  <c r="K240" i="21"/>
  <c r="I240" i="21" s="1"/>
  <c r="Z240" i="21"/>
  <c r="G240" i="21"/>
  <c r="J240" i="21" s="1"/>
  <c r="K76" i="17"/>
  <c r="I76" i="17" s="1"/>
  <c r="Z76" i="17"/>
  <c r="F77" i="17"/>
  <c r="G76" i="17"/>
  <c r="J76" i="17" s="1"/>
  <c r="K79" i="19"/>
  <c r="I79" i="19" s="1"/>
  <c r="L79" i="19" s="1"/>
  <c r="F80" i="19"/>
  <c r="G80" i="19" s="1"/>
  <c r="J80" i="19" s="1"/>
  <c r="F78" i="18"/>
  <c r="G78" i="18" s="1"/>
  <c r="J78" i="18" s="1"/>
  <c r="K77" i="18"/>
  <c r="I77" i="18" s="1"/>
  <c r="L77" i="18" s="1"/>
  <c r="W82" i="6"/>
  <c r="X82" i="6" s="1"/>
  <c r="Y82" i="6" s="1"/>
  <c r="H150" i="19"/>
  <c r="Q149" i="19"/>
  <c r="G75" i="17"/>
  <c r="J75" i="17" s="1"/>
  <c r="I75" i="17"/>
  <c r="Q75" i="17"/>
  <c r="H149" i="18"/>
  <c r="Q148" i="18"/>
  <c r="L76" i="19"/>
  <c r="L75" i="19"/>
  <c r="L75" i="18"/>
  <c r="L76" i="18"/>
  <c r="T83" i="6"/>
  <c r="U83" i="6" s="1"/>
  <c r="Z83" i="6" s="1"/>
  <c r="V83" i="6"/>
  <c r="W83" i="6" s="1"/>
  <c r="X83" i="6" s="1"/>
  <c r="Y83" i="6" s="1"/>
  <c r="G84" i="6"/>
  <c r="Q84" i="6"/>
  <c r="S84" i="6" s="1"/>
  <c r="I84" i="6"/>
  <c r="H85" i="6"/>
  <c r="K86" i="6"/>
  <c r="F87" i="6"/>
  <c r="P83" i="6"/>
  <c r="J83" i="6"/>
  <c r="L83" i="6"/>
  <c r="AA83" i="6" s="1"/>
  <c r="AC83" i="6"/>
  <c r="AD83" i="6" s="1"/>
  <c r="K241" i="21" l="1"/>
  <c r="I241" i="21" s="1"/>
  <c r="F242" i="21"/>
  <c r="Z241" i="21"/>
  <c r="G241" i="21"/>
  <c r="J241" i="21" s="1"/>
  <c r="AC240" i="21"/>
  <c r="AD240" i="21" s="1"/>
  <c r="L240" i="21"/>
  <c r="Z77" i="17"/>
  <c r="F78" i="17"/>
  <c r="K77" i="17"/>
  <c r="I77" i="17" s="1"/>
  <c r="G77" i="17"/>
  <c r="J77" i="17" s="1"/>
  <c r="L76" i="17"/>
  <c r="AC76" i="17"/>
  <c r="AD76" i="17" s="1"/>
  <c r="K80" i="19"/>
  <c r="I80" i="19" s="1"/>
  <c r="L80" i="19" s="1"/>
  <c r="F81" i="19"/>
  <c r="G81" i="19" s="1"/>
  <c r="J81" i="19" s="1"/>
  <c r="F79" i="18"/>
  <c r="G79" i="18" s="1"/>
  <c r="J79" i="18" s="1"/>
  <c r="K78" i="18"/>
  <c r="I78" i="18" s="1"/>
  <c r="L78" i="18" s="1"/>
  <c r="H151" i="19"/>
  <c r="Q150" i="19"/>
  <c r="L75" i="17"/>
  <c r="H150" i="18"/>
  <c r="Q149" i="18"/>
  <c r="T84" i="6"/>
  <c r="U84" i="6" s="1"/>
  <c r="Z84" i="6" s="1"/>
  <c r="V84" i="6"/>
  <c r="H86" i="6"/>
  <c r="G85" i="6"/>
  <c r="I85" i="6"/>
  <c r="Q85" i="6"/>
  <c r="S85" i="6" s="1"/>
  <c r="J84" i="6"/>
  <c r="P84" i="6"/>
  <c r="F88" i="6"/>
  <c r="K87" i="6"/>
  <c r="L84" i="6"/>
  <c r="AA84" i="6" s="1"/>
  <c r="AC84" i="6"/>
  <c r="AD84" i="6" s="1"/>
  <c r="K242" i="21" l="1"/>
  <c r="I242" i="21" s="1"/>
  <c r="Z242" i="21"/>
  <c r="F243" i="21"/>
  <c r="G242" i="21"/>
  <c r="J242" i="21" s="1"/>
  <c r="L241" i="21"/>
  <c r="AC241" i="21"/>
  <c r="AD241" i="21" s="1"/>
  <c r="AC77" i="17"/>
  <c r="AD77" i="17" s="1"/>
  <c r="L77" i="17"/>
  <c r="F79" i="17"/>
  <c r="K78" i="17"/>
  <c r="I78" i="17" s="1"/>
  <c r="Z78" i="17"/>
  <c r="G78" i="17"/>
  <c r="J78" i="17" s="1"/>
  <c r="F82" i="19"/>
  <c r="G82" i="19" s="1"/>
  <c r="J82" i="19" s="1"/>
  <c r="K81" i="19"/>
  <c r="I81" i="19" s="1"/>
  <c r="L81" i="19" s="1"/>
  <c r="F80" i="18"/>
  <c r="G80" i="18" s="1"/>
  <c r="J80" i="18" s="1"/>
  <c r="K79" i="18"/>
  <c r="I79" i="18" s="1"/>
  <c r="L79" i="18" s="1"/>
  <c r="W84" i="6"/>
  <c r="X84" i="6" s="1"/>
  <c r="Y84" i="6" s="1"/>
  <c r="H152" i="19"/>
  <c r="Q151" i="19"/>
  <c r="H151" i="18"/>
  <c r="Q150" i="18"/>
  <c r="T85" i="6"/>
  <c r="U85" i="6" s="1"/>
  <c r="Z85" i="6" s="1"/>
  <c r="V85" i="6"/>
  <c r="K88" i="6"/>
  <c r="F89" i="6"/>
  <c r="G86" i="6"/>
  <c r="Q86" i="6"/>
  <c r="S86" i="6" s="1"/>
  <c r="H87" i="6"/>
  <c r="I86" i="6"/>
  <c r="AC85" i="6"/>
  <c r="AD85" i="6" s="1"/>
  <c r="L85" i="6"/>
  <c r="AA85" i="6" s="1"/>
  <c r="J85" i="6"/>
  <c r="P85" i="6"/>
  <c r="F244" i="21" l="1"/>
  <c r="Z243" i="21"/>
  <c r="K243" i="21"/>
  <c r="I243" i="21" s="1"/>
  <c r="G243" i="21"/>
  <c r="J243" i="21" s="1"/>
  <c r="L242" i="21"/>
  <c r="AC242" i="21"/>
  <c r="AD242" i="21" s="1"/>
  <c r="L78" i="17"/>
  <c r="AC78" i="17"/>
  <c r="AD78" i="17" s="1"/>
  <c r="F80" i="17"/>
  <c r="K79" i="17"/>
  <c r="I79" i="17" s="1"/>
  <c r="Z79" i="17"/>
  <c r="G79" i="17"/>
  <c r="J79" i="17" s="1"/>
  <c r="K82" i="19"/>
  <c r="I82" i="19" s="1"/>
  <c r="L82" i="19" s="1"/>
  <c r="F83" i="19"/>
  <c r="G83" i="19" s="1"/>
  <c r="J83" i="19" s="1"/>
  <c r="F81" i="18"/>
  <c r="G81" i="18" s="1"/>
  <c r="J81" i="18" s="1"/>
  <c r="K80" i="18"/>
  <c r="I80" i="18" s="1"/>
  <c r="L80" i="18" s="1"/>
  <c r="H153" i="19"/>
  <c r="Q152" i="19"/>
  <c r="H152" i="18"/>
  <c r="Q151" i="18"/>
  <c r="W85" i="6"/>
  <c r="X85" i="6" s="1"/>
  <c r="T86" i="6"/>
  <c r="U86" i="6" s="1"/>
  <c r="Z86" i="6" s="1"/>
  <c r="V86" i="6"/>
  <c r="W86" i="6" s="1"/>
  <c r="X86" i="6" s="1"/>
  <c r="AC86" i="6"/>
  <c r="AD86" i="6" s="1"/>
  <c r="L86" i="6"/>
  <c r="AA86" i="6" s="1"/>
  <c r="K89" i="6"/>
  <c r="F90" i="6"/>
  <c r="Y85" i="6"/>
  <c r="J86" i="6"/>
  <c r="P86" i="6"/>
  <c r="I87" i="6"/>
  <c r="G87" i="6"/>
  <c r="H88" i="6"/>
  <c r="Q87" i="6"/>
  <c r="S87" i="6" s="1"/>
  <c r="AC243" i="21" l="1"/>
  <c r="AD243" i="21" s="1"/>
  <c r="L243" i="21"/>
  <c r="K244" i="21"/>
  <c r="I244" i="21" s="1"/>
  <c r="F245" i="21"/>
  <c r="Z244" i="21"/>
  <c r="G244" i="21"/>
  <c r="J244" i="21" s="1"/>
  <c r="L79" i="17"/>
  <c r="AC79" i="17"/>
  <c r="AD79" i="17" s="1"/>
  <c r="F81" i="17"/>
  <c r="K80" i="17"/>
  <c r="I80" i="17" s="1"/>
  <c r="Z80" i="17"/>
  <c r="G80" i="17"/>
  <c r="J80" i="17" s="1"/>
  <c r="K81" i="18"/>
  <c r="I81" i="18" s="1"/>
  <c r="L81" i="18" s="1"/>
  <c r="F82" i="18"/>
  <c r="G82" i="18" s="1"/>
  <c r="J82" i="18" s="1"/>
  <c r="K83" i="19"/>
  <c r="I83" i="19" s="1"/>
  <c r="L83" i="19" s="1"/>
  <c r="F84" i="19"/>
  <c r="G84" i="19" s="1"/>
  <c r="J84" i="19" s="1"/>
  <c r="H154" i="19"/>
  <c r="Q153" i="19"/>
  <c r="H153" i="18"/>
  <c r="Q152" i="18"/>
  <c r="T87" i="6"/>
  <c r="U87" i="6" s="1"/>
  <c r="Z87" i="6" s="1"/>
  <c r="V87" i="6"/>
  <c r="W87" i="6" s="1"/>
  <c r="X87" i="6" s="1"/>
  <c r="Y86" i="6"/>
  <c r="I88" i="6"/>
  <c r="H89" i="6"/>
  <c r="Q88" i="6"/>
  <c r="S88" i="6" s="1"/>
  <c r="G88" i="6"/>
  <c r="P87" i="6"/>
  <c r="J87" i="6"/>
  <c r="L87" i="6"/>
  <c r="AA87" i="6" s="1"/>
  <c r="AC87" i="6"/>
  <c r="AD87" i="6" s="1"/>
  <c r="F91" i="6"/>
  <c r="K90" i="6"/>
  <c r="L244" i="21" l="1"/>
  <c r="AC244" i="21"/>
  <c r="AD244" i="21" s="1"/>
  <c r="F246" i="21"/>
  <c r="K245" i="21"/>
  <c r="I245" i="21" s="1"/>
  <c r="Z245" i="21"/>
  <c r="G245" i="21"/>
  <c r="J245" i="21" s="1"/>
  <c r="L80" i="17"/>
  <c r="AC80" i="17"/>
  <c r="AD80" i="17" s="1"/>
  <c r="Z81" i="17"/>
  <c r="F82" i="17"/>
  <c r="K81" i="17"/>
  <c r="I81" i="17" s="1"/>
  <c r="G81" i="17"/>
  <c r="J81" i="17" s="1"/>
  <c r="K84" i="19"/>
  <c r="I84" i="19" s="1"/>
  <c r="L84" i="19" s="1"/>
  <c r="F85" i="19"/>
  <c r="G85" i="19" s="1"/>
  <c r="J85" i="19" s="1"/>
  <c r="F83" i="18"/>
  <c r="G83" i="18" s="1"/>
  <c r="J83" i="18" s="1"/>
  <c r="K82" i="18"/>
  <c r="I82" i="18" s="1"/>
  <c r="L82" i="18" s="1"/>
  <c r="Y87" i="6"/>
  <c r="H155" i="19"/>
  <c r="Q154" i="19"/>
  <c r="H154" i="18"/>
  <c r="Q153" i="18"/>
  <c r="T88" i="6"/>
  <c r="U88" i="6" s="1"/>
  <c r="Z88" i="6" s="1"/>
  <c r="V88" i="6"/>
  <c r="W88" i="6" s="1"/>
  <c r="X88" i="6" s="1"/>
  <c r="G89" i="6"/>
  <c r="I89" i="6"/>
  <c r="H90" i="6"/>
  <c r="Q89" i="6"/>
  <c r="S89" i="6" s="1"/>
  <c r="K91" i="6"/>
  <c r="F92" i="6"/>
  <c r="P88" i="6"/>
  <c r="J88" i="6"/>
  <c r="L88" i="6"/>
  <c r="AA88" i="6" s="1"/>
  <c r="AC88" i="6"/>
  <c r="AD88" i="6" s="1"/>
  <c r="K246" i="21" l="1"/>
  <c r="I246" i="21" s="1"/>
  <c r="F247" i="21"/>
  <c r="Z246" i="21"/>
  <c r="G246" i="21"/>
  <c r="J246" i="21" s="1"/>
  <c r="AC245" i="21"/>
  <c r="AD245" i="21" s="1"/>
  <c r="L245" i="21"/>
  <c r="K82" i="17"/>
  <c r="I82" i="17" s="1"/>
  <c r="Z82" i="17"/>
  <c r="F83" i="17"/>
  <c r="G82" i="17"/>
  <c r="J82" i="17" s="1"/>
  <c r="AC81" i="17"/>
  <c r="AD81" i="17" s="1"/>
  <c r="L81" i="17"/>
  <c r="F84" i="18"/>
  <c r="G84" i="18" s="1"/>
  <c r="J84" i="18" s="1"/>
  <c r="K83" i="18"/>
  <c r="I83" i="18" s="1"/>
  <c r="L83" i="18" s="1"/>
  <c r="F86" i="19"/>
  <c r="G86" i="19" s="1"/>
  <c r="J86" i="19" s="1"/>
  <c r="K85" i="19"/>
  <c r="I85" i="19" s="1"/>
  <c r="L85" i="19" s="1"/>
  <c r="H156" i="19"/>
  <c r="Q155" i="19"/>
  <c r="H155" i="18"/>
  <c r="Q154" i="18"/>
  <c r="Y88" i="6"/>
  <c r="T89" i="6"/>
  <c r="U89" i="6" s="1"/>
  <c r="Z89" i="6" s="1"/>
  <c r="V89" i="6"/>
  <c r="W89" i="6" s="1"/>
  <c r="X89" i="6" s="1"/>
  <c r="I90" i="6"/>
  <c r="Q90" i="6"/>
  <c r="S90" i="6" s="1"/>
  <c r="G90" i="6"/>
  <c r="H91" i="6"/>
  <c r="K92" i="6"/>
  <c r="F93" i="6"/>
  <c r="P89" i="6"/>
  <c r="J89" i="6"/>
  <c r="AC89" i="6"/>
  <c r="AD89" i="6" s="1"/>
  <c r="L89" i="6"/>
  <c r="AA89" i="6" s="1"/>
  <c r="K247" i="21" l="1"/>
  <c r="I247" i="21" s="1"/>
  <c r="F248" i="21"/>
  <c r="Z247" i="21"/>
  <c r="G247" i="21"/>
  <c r="J247" i="21" s="1"/>
  <c r="AC246" i="21"/>
  <c r="AD246" i="21" s="1"/>
  <c r="L246" i="21"/>
  <c r="F84" i="17"/>
  <c r="Z83" i="17"/>
  <c r="K83" i="17"/>
  <c r="I83" i="17" s="1"/>
  <c r="G83" i="17"/>
  <c r="J83" i="17" s="1"/>
  <c r="L82" i="17"/>
  <c r="AC82" i="17"/>
  <c r="AD82" i="17" s="1"/>
  <c r="K86" i="19"/>
  <c r="I86" i="19" s="1"/>
  <c r="L86" i="19" s="1"/>
  <c r="F87" i="19"/>
  <c r="G87" i="19" s="1"/>
  <c r="J87" i="19" s="1"/>
  <c r="K84" i="18"/>
  <c r="I84" i="18" s="1"/>
  <c r="L84" i="18" s="1"/>
  <c r="F85" i="18"/>
  <c r="G85" i="18" s="1"/>
  <c r="J85" i="18" s="1"/>
  <c r="H157" i="19"/>
  <c r="Q156" i="19"/>
  <c r="H156" i="18"/>
  <c r="Q155" i="18"/>
  <c r="Y89" i="6"/>
  <c r="T90" i="6"/>
  <c r="U90" i="6" s="1"/>
  <c r="Z90" i="6" s="1"/>
  <c r="V90" i="6"/>
  <c r="W90" i="6" s="1"/>
  <c r="X90" i="6" s="1"/>
  <c r="H92" i="6"/>
  <c r="I91" i="6"/>
  <c r="G91" i="6"/>
  <c r="Q91" i="6"/>
  <c r="S91" i="6" s="1"/>
  <c r="AC90" i="6"/>
  <c r="AD90" i="6" s="1"/>
  <c r="L90" i="6"/>
  <c r="AA90" i="6" s="1"/>
  <c r="K93" i="6"/>
  <c r="F94" i="6"/>
  <c r="J90" i="6"/>
  <c r="P90" i="6"/>
  <c r="K248" i="21" l="1"/>
  <c r="I248" i="21" s="1"/>
  <c r="F249" i="21"/>
  <c r="Z248" i="21"/>
  <c r="G248" i="21"/>
  <c r="J248" i="21" s="1"/>
  <c r="L247" i="21"/>
  <c r="AC247" i="21"/>
  <c r="AD247" i="21" s="1"/>
  <c r="L83" i="17"/>
  <c r="AC83" i="17"/>
  <c r="AD83" i="17" s="1"/>
  <c r="Z84" i="17"/>
  <c r="K84" i="17"/>
  <c r="I84" i="17" s="1"/>
  <c r="F85" i="17"/>
  <c r="G84" i="17"/>
  <c r="J84" i="17" s="1"/>
  <c r="F86" i="18"/>
  <c r="G86" i="18" s="1"/>
  <c r="J86" i="18" s="1"/>
  <c r="K85" i="18"/>
  <c r="I85" i="18" s="1"/>
  <c r="L85" i="18" s="1"/>
  <c r="K87" i="19"/>
  <c r="I87" i="19" s="1"/>
  <c r="L87" i="19" s="1"/>
  <c r="F88" i="19"/>
  <c r="G88" i="19" s="1"/>
  <c r="J88" i="19" s="1"/>
  <c r="H158" i="19"/>
  <c r="Q157" i="19"/>
  <c r="H157" i="18"/>
  <c r="Q156" i="18"/>
  <c r="T91" i="6"/>
  <c r="U91" i="6" s="1"/>
  <c r="Z91" i="6" s="1"/>
  <c r="V91" i="6"/>
  <c r="W91" i="6" s="1"/>
  <c r="X91" i="6" s="1"/>
  <c r="Y90" i="6"/>
  <c r="P91" i="6"/>
  <c r="J91" i="6"/>
  <c r="Q92" i="6"/>
  <c r="S92" i="6" s="1"/>
  <c r="I92" i="6"/>
  <c r="H93" i="6"/>
  <c r="G92" i="6"/>
  <c r="F95" i="6"/>
  <c r="K94" i="6"/>
  <c r="AC91" i="6"/>
  <c r="AD91" i="6" s="1"/>
  <c r="L91" i="6"/>
  <c r="AA91" i="6" s="1"/>
  <c r="Z249" i="21" l="1"/>
  <c r="K249" i="21"/>
  <c r="I249" i="21" s="1"/>
  <c r="F250" i="21"/>
  <c r="G249" i="21"/>
  <c r="J249" i="21" s="1"/>
  <c r="AC248" i="21"/>
  <c r="AD248" i="21" s="1"/>
  <c r="L248" i="21"/>
  <c r="L84" i="17"/>
  <c r="AC84" i="17"/>
  <c r="AD84" i="17" s="1"/>
  <c r="F86" i="17"/>
  <c r="K85" i="17"/>
  <c r="I85" i="17" s="1"/>
  <c r="Z85" i="17"/>
  <c r="G85" i="17"/>
  <c r="J85" i="17" s="1"/>
  <c r="K88" i="19"/>
  <c r="I88" i="19" s="1"/>
  <c r="L88" i="19" s="1"/>
  <c r="F89" i="19"/>
  <c r="G89" i="19" s="1"/>
  <c r="J89" i="19" s="1"/>
  <c r="F87" i="18"/>
  <c r="G87" i="18" s="1"/>
  <c r="J87" i="18" s="1"/>
  <c r="K86" i="18"/>
  <c r="I86" i="18" s="1"/>
  <c r="L86" i="18" s="1"/>
  <c r="Y91" i="6"/>
  <c r="H159" i="19"/>
  <c r="Q158" i="19"/>
  <c r="H158" i="18"/>
  <c r="Q157" i="18"/>
  <c r="T92" i="6"/>
  <c r="U92" i="6" s="1"/>
  <c r="Z92" i="6" s="1"/>
  <c r="V92" i="6"/>
  <c r="W92" i="6" s="1"/>
  <c r="X92" i="6" s="1"/>
  <c r="P92" i="6"/>
  <c r="J92" i="6"/>
  <c r="G93" i="6"/>
  <c r="Q93" i="6"/>
  <c r="S93" i="6" s="1"/>
  <c r="H94" i="6"/>
  <c r="I93" i="6"/>
  <c r="F96" i="6"/>
  <c r="K95" i="6"/>
  <c r="AC92" i="6"/>
  <c r="AD92" i="6" s="1"/>
  <c r="L92" i="6"/>
  <c r="AA92" i="6" s="1"/>
  <c r="K250" i="21" l="1"/>
  <c r="I250" i="21" s="1"/>
  <c r="F251" i="21"/>
  <c r="Z250" i="21"/>
  <c r="G250" i="21"/>
  <c r="J250" i="21" s="1"/>
  <c r="L249" i="21"/>
  <c r="AC249" i="21"/>
  <c r="AD249" i="21" s="1"/>
  <c r="L85" i="17"/>
  <c r="AC85" i="17"/>
  <c r="AD85" i="17" s="1"/>
  <c r="K86" i="17"/>
  <c r="I86" i="17" s="1"/>
  <c r="F87" i="17"/>
  <c r="Z86" i="17"/>
  <c r="G86" i="17"/>
  <c r="J86" i="17" s="1"/>
  <c r="F88" i="18"/>
  <c r="G88" i="18" s="1"/>
  <c r="J88" i="18" s="1"/>
  <c r="K87" i="18"/>
  <c r="I87" i="18" s="1"/>
  <c r="L87" i="18" s="1"/>
  <c r="K89" i="19"/>
  <c r="I89" i="19" s="1"/>
  <c r="L89" i="19" s="1"/>
  <c r="F90" i="19"/>
  <c r="G90" i="19" s="1"/>
  <c r="J90" i="19" s="1"/>
  <c r="H160" i="19"/>
  <c r="Q159" i="19"/>
  <c r="H159" i="18"/>
  <c r="Q158" i="18"/>
  <c r="T93" i="6"/>
  <c r="U93" i="6" s="1"/>
  <c r="Z93" i="6" s="1"/>
  <c r="V93" i="6"/>
  <c r="W93" i="6" s="1"/>
  <c r="X93" i="6" s="1"/>
  <c r="Y92" i="6"/>
  <c r="L93" i="6"/>
  <c r="AA93" i="6" s="1"/>
  <c r="AC93" i="6"/>
  <c r="AD93" i="6" s="1"/>
  <c r="K96" i="6"/>
  <c r="F97" i="6"/>
  <c r="P93" i="6"/>
  <c r="J93" i="6"/>
  <c r="H95" i="6"/>
  <c r="G94" i="6"/>
  <c r="I94" i="6"/>
  <c r="Q94" i="6"/>
  <c r="S94" i="6" s="1"/>
  <c r="F252" i="21" l="1"/>
  <c r="Z251" i="21"/>
  <c r="K251" i="21"/>
  <c r="I251" i="21" s="1"/>
  <c r="G251" i="21"/>
  <c r="J251" i="21" s="1"/>
  <c r="L250" i="21"/>
  <c r="AC250" i="21"/>
  <c r="AD250" i="21" s="1"/>
  <c r="Z87" i="17"/>
  <c r="K87" i="17"/>
  <c r="I87" i="17" s="1"/>
  <c r="F88" i="17"/>
  <c r="G87" i="17"/>
  <c r="J87" i="17" s="1"/>
  <c r="L86" i="17"/>
  <c r="AC86" i="17"/>
  <c r="AD86" i="17" s="1"/>
  <c r="K90" i="19"/>
  <c r="I90" i="19" s="1"/>
  <c r="L90" i="19" s="1"/>
  <c r="F91" i="19"/>
  <c r="G91" i="19" s="1"/>
  <c r="J91" i="19" s="1"/>
  <c r="F89" i="18"/>
  <c r="G89" i="18" s="1"/>
  <c r="J89" i="18" s="1"/>
  <c r="K88" i="18"/>
  <c r="I88" i="18" s="1"/>
  <c r="L88" i="18" s="1"/>
  <c r="H161" i="19"/>
  <c r="Q160" i="19"/>
  <c r="H160" i="18"/>
  <c r="Q159" i="18"/>
  <c r="Y93" i="6"/>
  <c r="T94" i="6"/>
  <c r="U94" i="6" s="1"/>
  <c r="Z94" i="6" s="1"/>
  <c r="V94" i="6"/>
  <c r="W94" i="6" s="1"/>
  <c r="X94" i="6" s="1"/>
  <c r="F98" i="6"/>
  <c r="K97" i="6"/>
  <c r="L94" i="6"/>
  <c r="AA94" i="6" s="1"/>
  <c r="AC94" i="6"/>
  <c r="AD94" i="6" s="1"/>
  <c r="P94" i="6"/>
  <c r="J94" i="6"/>
  <c r="I95" i="6"/>
  <c r="H96" i="6"/>
  <c r="G95" i="6"/>
  <c r="Q95" i="6"/>
  <c r="S95" i="6" s="1"/>
  <c r="L251" i="21" l="1"/>
  <c r="AC251" i="21"/>
  <c r="AD251" i="21" s="1"/>
  <c r="Z252" i="21"/>
  <c r="F253" i="21"/>
  <c r="K252" i="21"/>
  <c r="I252" i="21" s="1"/>
  <c r="G252" i="21"/>
  <c r="J252" i="21" s="1"/>
  <c r="F89" i="17"/>
  <c r="Z88" i="17"/>
  <c r="K88" i="17"/>
  <c r="I88" i="17" s="1"/>
  <c r="G88" i="17"/>
  <c r="J88" i="17" s="1"/>
  <c r="L87" i="17"/>
  <c r="AC87" i="17"/>
  <c r="AD87" i="17" s="1"/>
  <c r="K89" i="18"/>
  <c r="I89" i="18" s="1"/>
  <c r="L89" i="18" s="1"/>
  <c r="F90" i="18"/>
  <c r="G90" i="18" s="1"/>
  <c r="J90" i="18" s="1"/>
  <c r="K91" i="19"/>
  <c r="I91" i="19" s="1"/>
  <c r="L91" i="19" s="1"/>
  <c r="F92" i="19"/>
  <c r="G92" i="19" s="1"/>
  <c r="J92" i="19" s="1"/>
  <c r="H162" i="19"/>
  <c r="Q161" i="19"/>
  <c r="H161" i="18"/>
  <c r="Q160" i="18"/>
  <c r="Y94" i="6"/>
  <c r="T95" i="6"/>
  <c r="U95" i="6" s="1"/>
  <c r="Z95" i="6" s="1"/>
  <c r="V95" i="6"/>
  <c r="J95" i="6"/>
  <c r="P95" i="6"/>
  <c r="AC95" i="6"/>
  <c r="AD95" i="6" s="1"/>
  <c r="L95" i="6"/>
  <c r="AA95" i="6" s="1"/>
  <c r="F99" i="6"/>
  <c r="K98" i="6"/>
  <c r="Q96" i="6"/>
  <c r="S96" i="6" s="1"/>
  <c r="I96" i="6"/>
  <c r="G96" i="6"/>
  <c r="H97" i="6"/>
  <c r="K253" i="21" l="1"/>
  <c r="I253" i="21" s="1"/>
  <c r="Z253" i="21"/>
  <c r="G253" i="21"/>
  <c r="J253" i="21" s="1"/>
  <c r="AC252" i="21"/>
  <c r="AD252" i="21" s="1"/>
  <c r="L252" i="21"/>
  <c r="L88" i="17"/>
  <c r="AC88" i="17"/>
  <c r="AD88" i="17" s="1"/>
  <c r="K89" i="17"/>
  <c r="I89" i="17" s="1"/>
  <c r="Z89" i="17"/>
  <c r="F90" i="17"/>
  <c r="G89" i="17"/>
  <c r="J89" i="17" s="1"/>
  <c r="K92" i="19"/>
  <c r="I92" i="19" s="1"/>
  <c r="L92" i="19" s="1"/>
  <c r="F93" i="19"/>
  <c r="G93" i="19" s="1"/>
  <c r="J93" i="19" s="1"/>
  <c r="F91" i="18"/>
  <c r="G91" i="18" s="1"/>
  <c r="J91" i="18" s="1"/>
  <c r="K90" i="18"/>
  <c r="I90" i="18" s="1"/>
  <c r="L90" i="18" s="1"/>
  <c r="H163" i="19"/>
  <c r="Q162" i="19"/>
  <c r="H162" i="18"/>
  <c r="Q161" i="18"/>
  <c r="W95" i="6"/>
  <c r="X95" i="6" s="1"/>
  <c r="Y95" i="6" s="1"/>
  <c r="T96" i="6"/>
  <c r="U96" i="6" s="1"/>
  <c r="Z96" i="6" s="1"/>
  <c r="V96" i="6"/>
  <c r="W96" i="6" s="1"/>
  <c r="X96" i="6" s="1"/>
  <c r="Q97" i="6"/>
  <c r="S97" i="6" s="1"/>
  <c r="I97" i="6"/>
  <c r="G97" i="6"/>
  <c r="H98" i="6"/>
  <c r="F100" i="6"/>
  <c r="K99" i="6"/>
  <c r="J96" i="6"/>
  <c r="P96" i="6"/>
  <c r="AC96" i="6"/>
  <c r="AD96" i="6" s="1"/>
  <c r="L96" i="6"/>
  <c r="AA96" i="6" s="1"/>
  <c r="L253" i="21" l="1"/>
  <c r="AC253" i="21"/>
  <c r="AD253" i="21" s="1"/>
  <c r="AC89" i="17"/>
  <c r="AD89" i="17" s="1"/>
  <c r="L89" i="17"/>
  <c r="K90" i="17"/>
  <c r="I90" i="17" s="1"/>
  <c r="Z90" i="17"/>
  <c r="F91" i="17"/>
  <c r="G90" i="17"/>
  <c r="J90" i="17" s="1"/>
  <c r="F92" i="18"/>
  <c r="G92" i="18" s="1"/>
  <c r="J92" i="18" s="1"/>
  <c r="K91" i="18"/>
  <c r="I91" i="18" s="1"/>
  <c r="L91" i="18" s="1"/>
  <c r="K93" i="19"/>
  <c r="I93" i="19" s="1"/>
  <c r="L93" i="19" s="1"/>
  <c r="F94" i="19"/>
  <c r="G94" i="19" s="1"/>
  <c r="J94" i="19" s="1"/>
  <c r="H164" i="19"/>
  <c r="Q163" i="19"/>
  <c r="H163" i="18"/>
  <c r="Q162" i="18"/>
  <c r="Y96" i="6"/>
  <c r="T97" i="6"/>
  <c r="U97" i="6" s="1"/>
  <c r="Z97" i="6" s="1"/>
  <c r="V97" i="6"/>
  <c r="I98" i="6"/>
  <c r="Q98" i="6"/>
  <c r="S98" i="6" s="1"/>
  <c r="G98" i="6"/>
  <c r="H99" i="6"/>
  <c r="P97" i="6"/>
  <c r="J97" i="6"/>
  <c r="K100" i="6"/>
  <c r="F101" i="6"/>
  <c r="L97" i="6"/>
  <c r="AA97" i="6" s="1"/>
  <c r="AC97" i="6"/>
  <c r="AD97" i="6" s="1"/>
  <c r="L90" i="17" l="1"/>
  <c r="AC90" i="17"/>
  <c r="AD90" i="17" s="1"/>
  <c r="F92" i="17"/>
  <c r="Z91" i="17"/>
  <c r="K91" i="17"/>
  <c r="I91" i="17" s="1"/>
  <c r="G91" i="17"/>
  <c r="J91" i="17" s="1"/>
  <c r="K94" i="19"/>
  <c r="I94" i="19" s="1"/>
  <c r="L94" i="19" s="1"/>
  <c r="F95" i="19"/>
  <c r="G95" i="19" s="1"/>
  <c r="J95" i="19" s="1"/>
  <c r="K92" i="18"/>
  <c r="I92" i="18" s="1"/>
  <c r="L92" i="18" s="1"/>
  <c r="F93" i="18"/>
  <c r="G93" i="18" s="1"/>
  <c r="J93" i="18" s="1"/>
  <c r="H165" i="19"/>
  <c r="Q164" i="19"/>
  <c r="H164" i="18"/>
  <c r="Q163" i="18"/>
  <c r="W97" i="6"/>
  <c r="X97" i="6" s="1"/>
  <c r="Y97" i="6" s="1"/>
  <c r="T98" i="6"/>
  <c r="U98" i="6" s="1"/>
  <c r="Z98" i="6" s="1"/>
  <c r="V98" i="6"/>
  <c r="F102" i="6"/>
  <c r="K101" i="6"/>
  <c r="AC98" i="6"/>
  <c r="AD98" i="6" s="1"/>
  <c r="L98" i="6"/>
  <c r="AA98" i="6" s="1"/>
  <c r="I99" i="6"/>
  <c r="Q99" i="6"/>
  <c r="S99" i="6" s="1"/>
  <c r="H100" i="6"/>
  <c r="G99" i="6"/>
  <c r="J98" i="6"/>
  <c r="P98" i="6"/>
  <c r="K92" i="17" l="1"/>
  <c r="I92" i="17" s="1"/>
  <c r="Z92" i="17"/>
  <c r="F93" i="17"/>
  <c r="G92" i="17"/>
  <c r="J92" i="17" s="1"/>
  <c r="L91" i="17"/>
  <c r="AC91" i="17"/>
  <c r="AD91" i="17" s="1"/>
  <c r="F94" i="18"/>
  <c r="G94" i="18" s="1"/>
  <c r="J94" i="18" s="1"/>
  <c r="K93" i="18"/>
  <c r="I93" i="18" s="1"/>
  <c r="L93" i="18" s="1"/>
  <c r="F96" i="19"/>
  <c r="G96" i="19" s="1"/>
  <c r="J96" i="19" s="1"/>
  <c r="K95" i="19"/>
  <c r="I95" i="19" s="1"/>
  <c r="L95" i="19" s="1"/>
  <c r="H166" i="19"/>
  <c r="Q165" i="19"/>
  <c r="H165" i="18"/>
  <c r="Q164" i="18"/>
  <c r="W98" i="6"/>
  <c r="X98" i="6" s="1"/>
  <c r="T99" i="6"/>
  <c r="U99" i="6" s="1"/>
  <c r="Z99" i="6" s="1"/>
  <c r="V99" i="6"/>
  <c r="W99" i="6" s="1"/>
  <c r="X99" i="6" s="1"/>
  <c r="Y99" i="6" s="1"/>
  <c r="Y98" i="6"/>
  <c r="I100" i="6"/>
  <c r="H101" i="6"/>
  <c r="Q100" i="6"/>
  <c r="S100" i="6" s="1"/>
  <c r="G100" i="6"/>
  <c r="P99" i="6"/>
  <c r="J99" i="6"/>
  <c r="AC99" i="6"/>
  <c r="AD99" i="6" s="1"/>
  <c r="L99" i="6"/>
  <c r="AA99" i="6" s="1"/>
  <c r="K102" i="6"/>
  <c r="F103" i="6"/>
  <c r="Z93" i="17" l="1"/>
  <c r="F94" i="17"/>
  <c r="K93" i="17"/>
  <c r="I93" i="17" s="1"/>
  <c r="G93" i="17"/>
  <c r="J93" i="17" s="1"/>
  <c r="AC92" i="17"/>
  <c r="AD92" i="17" s="1"/>
  <c r="L92" i="17"/>
  <c r="K96" i="19"/>
  <c r="I96" i="19" s="1"/>
  <c r="L96" i="19" s="1"/>
  <c r="F97" i="19"/>
  <c r="G97" i="19" s="1"/>
  <c r="J97" i="19" s="1"/>
  <c r="K94" i="18"/>
  <c r="I94" i="18" s="1"/>
  <c r="L94" i="18" s="1"/>
  <c r="F95" i="18"/>
  <c r="G95" i="18" s="1"/>
  <c r="J95" i="18" s="1"/>
  <c r="H167" i="19"/>
  <c r="Q166" i="19"/>
  <c r="H166" i="18"/>
  <c r="Q165" i="18"/>
  <c r="T100" i="6"/>
  <c r="U100" i="6" s="1"/>
  <c r="Z100" i="6" s="1"/>
  <c r="V100" i="6"/>
  <c r="W100" i="6" s="1"/>
  <c r="X100" i="6" s="1"/>
  <c r="G101" i="6"/>
  <c r="I101" i="6"/>
  <c r="H102" i="6"/>
  <c r="Q101" i="6"/>
  <c r="S101" i="6" s="1"/>
  <c r="F104" i="6"/>
  <c r="K103" i="6"/>
  <c r="P100" i="6"/>
  <c r="J100" i="6"/>
  <c r="AC100" i="6"/>
  <c r="AD100" i="6" s="1"/>
  <c r="L100" i="6"/>
  <c r="AA100" i="6" s="1"/>
  <c r="AC93" i="17" l="1"/>
  <c r="AD93" i="17" s="1"/>
  <c r="L93" i="17"/>
  <c r="K94" i="17"/>
  <c r="I94" i="17" s="1"/>
  <c r="F95" i="17"/>
  <c r="Z94" i="17"/>
  <c r="G94" i="17"/>
  <c r="J94" i="17" s="1"/>
  <c r="F96" i="18"/>
  <c r="G96" i="18" s="1"/>
  <c r="J96" i="18" s="1"/>
  <c r="K95" i="18"/>
  <c r="I95" i="18" s="1"/>
  <c r="L95" i="18" s="1"/>
  <c r="F98" i="19"/>
  <c r="G98" i="19" s="1"/>
  <c r="J98" i="19" s="1"/>
  <c r="K97" i="19"/>
  <c r="I97" i="19" s="1"/>
  <c r="L97" i="19" s="1"/>
  <c r="H168" i="19"/>
  <c r="Q167" i="19"/>
  <c r="H167" i="18"/>
  <c r="Q166" i="18"/>
  <c r="Y100" i="6"/>
  <c r="T101" i="6"/>
  <c r="U101" i="6" s="1"/>
  <c r="Z101" i="6" s="1"/>
  <c r="V101" i="6"/>
  <c r="AC101" i="6"/>
  <c r="AD101" i="6" s="1"/>
  <c r="L101" i="6"/>
  <c r="AA101" i="6" s="1"/>
  <c r="J101" i="6"/>
  <c r="P101" i="6"/>
  <c r="G102" i="6"/>
  <c r="I102" i="6"/>
  <c r="H103" i="6"/>
  <c r="Q102" i="6"/>
  <c r="S102" i="6" s="1"/>
  <c r="K104" i="6"/>
  <c r="F105" i="6"/>
  <c r="F96" i="17" l="1"/>
  <c r="Z95" i="17"/>
  <c r="K95" i="17"/>
  <c r="I95" i="17" s="1"/>
  <c r="G95" i="17"/>
  <c r="J95" i="17" s="1"/>
  <c r="L94" i="17"/>
  <c r="AC94" i="17"/>
  <c r="AD94" i="17" s="1"/>
  <c r="K98" i="19"/>
  <c r="I98" i="19" s="1"/>
  <c r="L98" i="19" s="1"/>
  <c r="F99" i="19"/>
  <c r="G99" i="19" s="1"/>
  <c r="J99" i="19" s="1"/>
  <c r="F97" i="18"/>
  <c r="G97" i="18" s="1"/>
  <c r="J97" i="18" s="1"/>
  <c r="K96" i="18"/>
  <c r="I96" i="18" s="1"/>
  <c r="L96" i="18" s="1"/>
  <c r="H169" i="19"/>
  <c r="Q168" i="19"/>
  <c r="H168" i="18"/>
  <c r="Q167" i="18"/>
  <c r="W101" i="6"/>
  <c r="X101" i="6" s="1"/>
  <c r="Y101" i="6" s="1"/>
  <c r="T102" i="6"/>
  <c r="U102" i="6" s="1"/>
  <c r="Z102" i="6" s="1"/>
  <c r="V102" i="6"/>
  <c r="W102" i="6" s="1"/>
  <c r="X102" i="6" s="1"/>
  <c r="P102" i="6"/>
  <c r="J102" i="6"/>
  <c r="F106" i="6"/>
  <c r="K105" i="6"/>
  <c r="I103" i="6"/>
  <c r="G103" i="6"/>
  <c r="H104" i="6"/>
  <c r="Q103" i="6"/>
  <c r="S103" i="6" s="1"/>
  <c r="AC102" i="6"/>
  <c r="AD102" i="6" s="1"/>
  <c r="L102" i="6"/>
  <c r="AA102" i="6" s="1"/>
  <c r="L95" i="17" l="1"/>
  <c r="AC95" i="17"/>
  <c r="AD95" i="17" s="1"/>
  <c r="K96" i="17"/>
  <c r="I96" i="17" s="1"/>
  <c r="Z96" i="17"/>
  <c r="G96" i="17"/>
  <c r="J96" i="17" s="1"/>
  <c r="F98" i="18"/>
  <c r="G98" i="18" s="1"/>
  <c r="J98" i="18" s="1"/>
  <c r="K97" i="18"/>
  <c r="I97" i="18" s="1"/>
  <c r="L97" i="18" s="1"/>
  <c r="K99" i="19"/>
  <c r="I99" i="19" s="1"/>
  <c r="L99" i="19" s="1"/>
  <c r="F100" i="19"/>
  <c r="G100" i="19" s="1"/>
  <c r="J100" i="19" s="1"/>
  <c r="H170" i="19"/>
  <c r="Q169" i="19"/>
  <c r="H169" i="18"/>
  <c r="Q168" i="18"/>
  <c r="T103" i="6"/>
  <c r="U103" i="6" s="1"/>
  <c r="Z103" i="6" s="1"/>
  <c r="V103" i="6"/>
  <c r="W103" i="6" s="1"/>
  <c r="X103" i="6" s="1"/>
  <c r="Y102" i="6"/>
  <c r="K106" i="6"/>
  <c r="F107" i="6"/>
  <c r="AC103" i="6"/>
  <c r="AD103" i="6" s="1"/>
  <c r="L103" i="6"/>
  <c r="AA103" i="6" s="1"/>
  <c r="P103" i="6"/>
  <c r="J103" i="6"/>
  <c r="I104" i="6"/>
  <c r="H105" i="6"/>
  <c r="Q104" i="6"/>
  <c r="S104" i="6" s="1"/>
  <c r="G104" i="6"/>
  <c r="AC96" i="17" l="1"/>
  <c r="AD96" i="17" s="1"/>
  <c r="L96" i="17"/>
  <c r="L97" i="17"/>
  <c r="K100" i="19"/>
  <c r="I100" i="19" s="1"/>
  <c r="L100" i="19" s="1"/>
  <c r="F101" i="19"/>
  <c r="G101" i="19" s="1"/>
  <c r="J101" i="19" s="1"/>
  <c r="K98" i="18"/>
  <c r="I98" i="18" s="1"/>
  <c r="L98" i="18" s="1"/>
  <c r="F99" i="18"/>
  <c r="G99" i="18" s="1"/>
  <c r="J99" i="18" s="1"/>
  <c r="Y103" i="6"/>
  <c r="H171" i="19"/>
  <c r="Q170" i="19"/>
  <c r="H170" i="18"/>
  <c r="Q169" i="18"/>
  <c r="T104" i="6"/>
  <c r="U104" i="6" s="1"/>
  <c r="Z104" i="6" s="1"/>
  <c r="V104" i="6"/>
  <c r="W104" i="6" s="1"/>
  <c r="X104" i="6" s="1"/>
  <c r="G105" i="6"/>
  <c r="I105" i="6"/>
  <c r="H106" i="6"/>
  <c r="Q105" i="6"/>
  <c r="S105" i="6" s="1"/>
  <c r="F108" i="6"/>
  <c r="K107" i="6"/>
  <c r="J104" i="6"/>
  <c r="P104" i="6"/>
  <c r="L104" i="6"/>
  <c r="AA104" i="6" s="1"/>
  <c r="AC104" i="6"/>
  <c r="AD104" i="6" s="1"/>
  <c r="F100" i="18" l="1"/>
  <c r="G100" i="18" s="1"/>
  <c r="J100" i="18" s="1"/>
  <c r="K99" i="18"/>
  <c r="I99" i="18" s="1"/>
  <c r="L99" i="18" s="1"/>
  <c r="K101" i="19"/>
  <c r="I101" i="19" s="1"/>
  <c r="L101" i="19" s="1"/>
  <c r="F102" i="19"/>
  <c r="G102" i="19" s="1"/>
  <c r="J102" i="19" s="1"/>
  <c r="H172" i="19"/>
  <c r="Q171" i="19"/>
  <c r="H171" i="18"/>
  <c r="Q170" i="18"/>
  <c r="Y104" i="6"/>
  <c r="T105" i="6"/>
  <c r="U105" i="6" s="1"/>
  <c r="Z105" i="6" s="1"/>
  <c r="V105" i="6"/>
  <c r="P105" i="6"/>
  <c r="J105" i="6"/>
  <c r="I106" i="6"/>
  <c r="G106" i="6"/>
  <c r="Q106" i="6"/>
  <c r="S106" i="6" s="1"/>
  <c r="H107" i="6"/>
  <c r="L105" i="6"/>
  <c r="AA105" i="6" s="1"/>
  <c r="AC105" i="6"/>
  <c r="AD105" i="6" s="1"/>
  <c r="F109" i="6"/>
  <c r="K108" i="6"/>
  <c r="K102" i="19" l="1"/>
  <c r="I102" i="19" s="1"/>
  <c r="L102" i="19" s="1"/>
  <c r="F103" i="19"/>
  <c r="G103" i="19" s="1"/>
  <c r="J103" i="19" s="1"/>
  <c r="K100" i="18"/>
  <c r="I100" i="18" s="1"/>
  <c r="L100" i="18" s="1"/>
  <c r="F101" i="18"/>
  <c r="G101" i="18" s="1"/>
  <c r="J101" i="18" s="1"/>
  <c r="H173" i="19"/>
  <c r="Q172" i="19"/>
  <c r="H172" i="18"/>
  <c r="Q171" i="18"/>
  <c r="W105" i="6"/>
  <c r="X105" i="6" s="1"/>
  <c r="T106" i="6"/>
  <c r="U106" i="6" s="1"/>
  <c r="Z106" i="6" s="1"/>
  <c r="V106" i="6"/>
  <c r="W106" i="6" s="1"/>
  <c r="X106" i="6" s="1"/>
  <c r="Y106" i="6" s="1"/>
  <c r="J106" i="6"/>
  <c r="P106" i="6"/>
  <c r="Y105" i="6"/>
  <c r="H108" i="6"/>
  <c r="I107" i="6"/>
  <c r="G107" i="6"/>
  <c r="Q107" i="6"/>
  <c r="S107" i="6" s="1"/>
  <c r="L106" i="6"/>
  <c r="AA106" i="6" s="1"/>
  <c r="AC106" i="6"/>
  <c r="AD106" i="6" s="1"/>
  <c r="K109" i="6"/>
  <c r="F110" i="6"/>
  <c r="F102" i="18" l="1"/>
  <c r="G102" i="18" s="1"/>
  <c r="J102" i="18" s="1"/>
  <c r="K101" i="18"/>
  <c r="I101" i="18" s="1"/>
  <c r="L101" i="18" s="1"/>
  <c r="K103" i="19"/>
  <c r="I103" i="19" s="1"/>
  <c r="L103" i="19" s="1"/>
  <c r="F104" i="19"/>
  <c r="G104" i="19" s="1"/>
  <c r="J104" i="19" s="1"/>
  <c r="H174" i="19"/>
  <c r="Q173" i="19"/>
  <c r="H173" i="18"/>
  <c r="Q172" i="18"/>
  <c r="T107" i="6"/>
  <c r="U107" i="6" s="1"/>
  <c r="Z107" i="6" s="1"/>
  <c r="V107" i="6"/>
  <c r="W107" i="6" s="1"/>
  <c r="X107" i="6" s="1"/>
  <c r="AC107" i="6"/>
  <c r="AD107" i="6" s="1"/>
  <c r="L107" i="6"/>
  <c r="AA107" i="6" s="1"/>
  <c r="K110" i="6"/>
  <c r="F111" i="6"/>
  <c r="J107" i="6"/>
  <c r="P107" i="6"/>
  <c r="Q108" i="6"/>
  <c r="S108" i="6" s="1"/>
  <c r="G108" i="6"/>
  <c r="H109" i="6"/>
  <c r="I108" i="6"/>
  <c r="K104" i="19" l="1"/>
  <c r="I104" i="19" s="1"/>
  <c r="L104" i="19" s="1"/>
  <c r="F105" i="19"/>
  <c r="G105" i="19" s="1"/>
  <c r="J105" i="19" s="1"/>
  <c r="K102" i="18"/>
  <c r="I102" i="18" s="1"/>
  <c r="L102" i="18" s="1"/>
  <c r="F103" i="18"/>
  <c r="G103" i="18" s="1"/>
  <c r="J103" i="18" s="1"/>
  <c r="H175" i="19"/>
  <c r="Q174" i="19"/>
  <c r="H174" i="18"/>
  <c r="Q173" i="18"/>
  <c r="T108" i="6"/>
  <c r="U108" i="6" s="1"/>
  <c r="Z108" i="6" s="1"/>
  <c r="V108" i="6"/>
  <c r="W108" i="6" s="1"/>
  <c r="X108" i="6" s="1"/>
  <c r="Y107" i="6"/>
  <c r="AC108" i="6"/>
  <c r="AD108" i="6" s="1"/>
  <c r="L108" i="6"/>
  <c r="AA108" i="6" s="1"/>
  <c r="H110" i="6"/>
  <c r="I109" i="6"/>
  <c r="Q109" i="6"/>
  <c r="S109" i="6" s="1"/>
  <c r="G109" i="6"/>
  <c r="P108" i="6"/>
  <c r="J108" i="6"/>
  <c r="F112" i="6"/>
  <c r="K111" i="6"/>
  <c r="K103" i="18" l="1"/>
  <c r="I103" i="18" s="1"/>
  <c r="L103" i="18" s="1"/>
  <c r="F104" i="18"/>
  <c r="G104" i="18" s="1"/>
  <c r="J104" i="18" s="1"/>
  <c r="K105" i="19"/>
  <c r="I105" i="19" s="1"/>
  <c r="L105" i="19" s="1"/>
  <c r="F106" i="19"/>
  <c r="G106" i="19" s="1"/>
  <c r="J106" i="19" s="1"/>
  <c r="H176" i="19"/>
  <c r="Q175" i="19"/>
  <c r="H175" i="18"/>
  <c r="Q174" i="18"/>
  <c r="T109" i="6"/>
  <c r="U109" i="6" s="1"/>
  <c r="Z109" i="6" s="1"/>
  <c r="V109" i="6"/>
  <c r="W109" i="6" s="1"/>
  <c r="X109" i="6" s="1"/>
  <c r="Y109" i="6" s="1"/>
  <c r="Y108" i="6"/>
  <c r="I110" i="6"/>
  <c r="G110" i="6"/>
  <c r="H111" i="6"/>
  <c r="Q110" i="6"/>
  <c r="S110" i="6" s="1"/>
  <c r="J109" i="6"/>
  <c r="P109" i="6"/>
  <c r="K112" i="6"/>
  <c r="F113" i="6"/>
  <c r="AC109" i="6"/>
  <c r="AD109" i="6" s="1"/>
  <c r="L109" i="6"/>
  <c r="AA109" i="6" s="1"/>
  <c r="H188" i="19" l="1"/>
  <c r="H177" i="19"/>
  <c r="Q177" i="19" s="1"/>
  <c r="K106" i="19"/>
  <c r="I106" i="19" s="1"/>
  <c r="L106" i="19" s="1"/>
  <c r="F107" i="19"/>
  <c r="G107" i="19" s="1"/>
  <c r="J107" i="19" s="1"/>
  <c r="K104" i="18"/>
  <c r="I104" i="18" s="1"/>
  <c r="L104" i="18" s="1"/>
  <c r="F105" i="18"/>
  <c r="G105" i="18" s="1"/>
  <c r="J105" i="18" s="1"/>
  <c r="Q176" i="19"/>
  <c r="H176" i="18"/>
  <c r="Q175" i="18"/>
  <c r="T110" i="6"/>
  <c r="U110" i="6" s="1"/>
  <c r="Z110" i="6" s="1"/>
  <c r="V110" i="6"/>
  <c r="W110" i="6" s="1"/>
  <c r="X110" i="6" s="1"/>
  <c r="Y110" i="6" s="1"/>
  <c r="F114" i="6"/>
  <c r="K113" i="6"/>
  <c r="J110" i="6"/>
  <c r="P110" i="6"/>
  <c r="Q111" i="6"/>
  <c r="S111" i="6" s="1"/>
  <c r="I111" i="6"/>
  <c r="G111" i="6"/>
  <c r="H112" i="6"/>
  <c r="L110" i="6"/>
  <c r="AA110" i="6" s="1"/>
  <c r="AC110" i="6"/>
  <c r="AD110" i="6" s="1"/>
  <c r="Q188" i="19" l="1"/>
  <c r="H178" i="19"/>
  <c r="Q178" i="19" s="1"/>
  <c r="F106" i="18"/>
  <c r="G106" i="18" s="1"/>
  <c r="J106" i="18" s="1"/>
  <c r="K105" i="18"/>
  <c r="I105" i="18" s="1"/>
  <c r="L105" i="18" s="1"/>
  <c r="K107" i="19"/>
  <c r="I107" i="19" s="1"/>
  <c r="L107" i="19" s="1"/>
  <c r="F108" i="19"/>
  <c r="G108" i="19" s="1"/>
  <c r="J108" i="19" s="1"/>
  <c r="H177" i="18"/>
  <c r="Q176" i="18"/>
  <c r="T111" i="6"/>
  <c r="U111" i="6" s="1"/>
  <c r="Z111" i="6" s="1"/>
  <c r="V111" i="6"/>
  <c r="P111" i="6"/>
  <c r="J111" i="6"/>
  <c r="K114" i="6"/>
  <c r="F115" i="6"/>
  <c r="L111" i="6"/>
  <c r="AA111" i="6" s="1"/>
  <c r="AC111" i="6"/>
  <c r="AD111" i="6" s="1"/>
  <c r="G112" i="6"/>
  <c r="Q112" i="6"/>
  <c r="S112" i="6" s="1"/>
  <c r="H113" i="6"/>
  <c r="I112" i="6"/>
  <c r="H179" i="19" l="1"/>
  <c r="Q179" i="19" s="1"/>
  <c r="K108" i="19"/>
  <c r="I108" i="19" s="1"/>
  <c r="L108" i="19" s="1"/>
  <c r="F109" i="19"/>
  <c r="G109" i="19" s="1"/>
  <c r="J109" i="19" s="1"/>
  <c r="K106" i="18"/>
  <c r="I106" i="18" s="1"/>
  <c r="L106" i="18" s="1"/>
  <c r="F107" i="18"/>
  <c r="G107" i="18" s="1"/>
  <c r="J107" i="18" s="1"/>
  <c r="H178" i="18"/>
  <c r="Q177" i="18"/>
  <c r="W111" i="6"/>
  <c r="X111" i="6" s="1"/>
  <c r="T112" i="6"/>
  <c r="U112" i="6" s="1"/>
  <c r="Z112" i="6" s="1"/>
  <c r="V112" i="6"/>
  <c r="J112" i="6"/>
  <c r="P112" i="6"/>
  <c r="Y111" i="6"/>
  <c r="G113" i="6"/>
  <c r="Q113" i="6"/>
  <c r="S113" i="6" s="1"/>
  <c r="H114" i="6"/>
  <c r="I113" i="6"/>
  <c r="AC112" i="6"/>
  <c r="AD112" i="6" s="1"/>
  <c r="L112" i="6"/>
  <c r="AA112" i="6" s="1"/>
  <c r="K115" i="6"/>
  <c r="F116" i="6"/>
  <c r="H180" i="19" l="1"/>
  <c r="Q180" i="19" s="1"/>
  <c r="F108" i="18"/>
  <c r="G108" i="18" s="1"/>
  <c r="J108" i="18" s="1"/>
  <c r="K107" i="18"/>
  <c r="I107" i="18" s="1"/>
  <c r="L107" i="18" s="1"/>
  <c r="K109" i="19"/>
  <c r="I109" i="19" s="1"/>
  <c r="L109" i="19" s="1"/>
  <c r="F110" i="19"/>
  <c r="G110" i="19" s="1"/>
  <c r="J110" i="19" s="1"/>
  <c r="H179" i="18"/>
  <c r="Q178" i="18"/>
  <c r="W112" i="6"/>
  <c r="X112" i="6" s="1"/>
  <c r="Y112" i="6" s="1"/>
  <c r="T113" i="6"/>
  <c r="U113" i="6" s="1"/>
  <c r="Z113" i="6" s="1"/>
  <c r="V113" i="6"/>
  <c r="W113" i="6" s="1"/>
  <c r="X113" i="6" s="1"/>
  <c r="K116" i="6"/>
  <c r="F117" i="6"/>
  <c r="L113" i="6"/>
  <c r="AA113" i="6" s="1"/>
  <c r="AC113" i="6"/>
  <c r="AD113" i="6" s="1"/>
  <c r="P113" i="6"/>
  <c r="J113" i="6"/>
  <c r="G114" i="6"/>
  <c r="Q114" i="6"/>
  <c r="S114" i="6" s="1"/>
  <c r="I114" i="6"/>
  <c r="H115" i="6"/>
  <c r="H181" i="19" l="1"/>
  <c r="Q181" i="19" s="1"/>
  <c r="F111" i="19"/>
  <c r="G111" i="19" s="1"/>
  <c r="J111" i="19" s="1"/>
  <c r="K110" i="19"/>
  <c r="I110" i="19" s="1"/>
  <c r="L110" i="19" s="1"/>
  <c r="K108" i="18"/>
  <c r="I108" i="18" s="1"/>
  <c r="L108" i="18" s="1"/>
  <c r="F109" i="18"/>
  <c r="G109" i="18" s="1"/>
  <c r="J109" i="18" s="1"/>
  <c r="Y113" i="6"/>
  <c r="H180" i="18"/>
  <c r="Q179" i="18"/>
  <c r="T114" i="6"/>
  <c r="U114" i="6" s="1"/>
  <c r="Z114" i="6" s="1"/>
  <c r="V114" i="6"/>
  <c r="W114" i="6" s="1"/>
  <c r="X114" i="6" s="1"/>
  <c r="Y114" i="6" s="1"/>
  <c r="J114" i="6"/>
  <c r="P114" i="6"/>
  <c r="AC114" i="6"/>
  <c r="AD114" i="6" s="1"/>
  <c r="L114" i="6"/>
  <c r="AA114" i="6" s="1"/>
  <c r="I115" i="6"/>
  <c r="G115" i="6"/>
  <c r="H116" i="6"/>
  <c r="Q115" i="6"/>
  <c r="S115" i="6" s="1"/>
  <c r="K117" i="6"/>
  <c r="F118" i="6"/>
  <c r="H182" i="19" l="1"/>
  <c r="Q182" i="19" s="1"/>
  <c r="F110" i="18"/>
  <c r="G110" i="18" s="1"/>
  <c r="J110" i="18" s="1"/>
  <c r="K109" i="18"/>
  <c r="I109" i="18" s="1"/>
  <c r="L109" i="18" s="1"/>
  <c r="K111" i="19"/>
  <c r="I111" i="19" s="1"/>
  <c r="L111" i="19" s="1"/>
  <c r="F112" i="19"/>
  <c r="G112" i="19" s="1"/>
  <c r="J112" i="19" s="1"/>
  <c r="H181" i="18"/>
  <c r="Q180" i="18"/>
  <c r="T115" i="6"/>
  <c r="U115" i="6" s="1"/>
  <c r="Z115" i="6" s="1"/>
  <c r="V115" i="6"/>
  <c r="W115" i="6" s="1"/>
  <c r="X115" i="6" s="1"/>
  <c r="F119" i="6"/>
  <c r="K118" i="6"/>
  <c r="L115" i="6"/>
  <c r="AA115" i="6" s="1"/>
  <c r="AC115" i="6"/>
  <c r="AD115" i="6" s="1"/>
  <c r="Q116" i="6"/>
  <c r="S116" i="6" s="1"/>
  <c r="I116" i="6"/>
  <c r="G116" i="6"/>
  <c r="H117" i="6"/>
  <c r="P115" i="6"/>
  <c r="J115" i="6"/>
  <c r="H183" i="19" l="1"/>
  <c r="Q183" i="19" s="1"/>
  <c r="K112" i="19"/>
  <c r="I112" i="19" s="1"/>
  <c r="L112" i="19" s="1"/>
  <c r="F113" i="19"/>
  <c r="G113" i="19" s="1"/>
  <c r="J113" i="19" s="1"/>
  <c r="K110" i="18"/>
  <c r="I110" i="18" s="1"/>
  <c r="L110" i="18" s="1"/>
  <c r="F111" i="18"/>
  <c r="G111" i="18" s="1"/>
  <c r="J111" i="18" s="1"/>
  <c r="H182" i="18"/>
  <c r="Q181" i="18"/>
  <c r="Y115" i="6"/>
  <c r="T116" i="6"/>
  <c r="U116" i="6" s="1"/>
  <c r="Z116" i="6" s="1"/>
  <c r="V116" i="6"/>
  <c r="W116" i="6" s="1"/>
  <c r="X116" i="6" s="1"/>
  <c r="Y116" i="6" s="1"/>
  <c r="L116" i="6"/>
  <c r="AA116" i="6" s="1"/>
  <c r="AC116" i="6"/>
  <c r="AD116" i="6" s="1"/>
  <c r="K119" i="6"/>
  <c r="F120" i="6"/>
  <c r="J116" i="6"/>
  <c r="P116" i="6"/>
  <c r="Q117" i="6"/>
  <c r="S117" i="6" s="1"/>
  <c r="H118" i="6"/>
  <c r="I117" i="6"/>
  <c r="G117" i="6"/>
  <c r="H184" i="19" l="1"/>
  <c r="Q184" i="19" s="1"/>
  <c r="F112" i="18"/>
  <c r="G112" i="18" s="1"/>
  <c r="J112" i="18" s="1"/>
  <c r="K111" i="18"/>
  <c r="I111" i="18" s="1"/>
  <c r="L111" i="18" s="1"/>
  <c r="K113" i="19"/>
  <c r="I113" i="19" s="1"/>
  <c r="L113" i="19" s="1"/>
  <c r="F114" i="19"/>
  <c r="G114" i="19" s="1"/>
  <c r="J114" i="19" s="1"/>
  <c r="H183" i="18"/>
  <c r="Q182" i="18"/>
  <c r="T117" i="6"/>
  <c r="U117" i="6" s="1"/>
  <c r="Z117" i="6" s="1"/>
  <c r="V117" i="6"/>
  <c r="W117" i="6" s="1"/>
  <c r="X117" i="6" s="1"/>
  <c r="P117" i="6"/>
  <c r="J117" i="6"/>
  <c r="AC117" i="6"/>
  <c r="AD117" i="6" s="1"/>
  <c r="L117" i="6"/>
  <c r="AA117" i="6" s="1"/>
  <c r="H119" i="6"/>
  <c r="G118" i="6"/>
  <c r="I118" i="6"/>
  <c r="Q118" i="6"/>
  <c r="S118" i="6" s="1"/>
  <c r="K120" i="6"/>
  <c r="F121" i="6"/>
  <c r="H185" i="19" l="1"/>
  <c r="Q185" i="19" s="1"/>
  <c r="K114" i="19"/>
  <c r="I114" i="19" s="1"/>
  <c r="L114" i="19" s="1"/>
  <c r="F115" i="19"/>
  <c r="G115" i="19" s="1"/>
  <c r="J115" i="19" s="1"/>
  <c r="K112" i="18"/>
  <c r="I112" i="18" s="1"/>
  <c r="L112" i="18" s="1"/>
  <c r="F113" i="18"/>
  <c r="G113" i="18" s="1"/>
  <c r="J113" i="18" s="1"/>
  <c r="H184" i="18"/>
  <c r="Q183" i="18"/>
  <c r="T118" i="6"/>
  <c r="U118" i="6" s="1"/>
  <c r="Z118" i="6" s="1"/>
  <c r="V118" i="6"/>
  <c r="W118" i="6" s="1"/>
  <c r="X118" i="6" s="1"/>
  <c r="Y118" i="6" s="1"/>
  <c r="Q119" i="6"/>
  <c r="S119" i="6" s="1"/>
  <c r="I119" i="6"/>
  <c r="G119" i="6"/>
  <c r="H120" i="6"/>
  <c r="Y117" i="6"/>
  <c r="J118" i="6"/>
  <c r="P118" i="6"/>
  <c r="K121" i="6"/>
  <c r="F122" i="6"/>
  <c r="L118" i="6"/>
  <c r="AA118" i="6" s="1"/>
  <c r="AC118" i="6"/>
  <c r="AD118" i="6" s="1"/>
  <c r="H186" i="19" l="1"/>
  <c r="Q186" i="19" s="1"/>
  <c r="F114" i="18"/>
  <c r="G114" i="18" s="1"/>
  <c r="J114" i="18" s="1"/>
  <c r="K113" i="18"/>
  <c r="I113" i="18" s="1"/>
  <c r="L113" i="18" s="1"/>
  <c r="K115" i="19"/>
  <c r="I115" i="19" s="1"/>
  <c r="L115" i="19" s="1"/>
  <c r="F116" i="19"/>
  <c r="G116" i="19" s="1"/>
  <c r="J116" i="19" s="1"/>
  <c r="H185" i="18"/>
  <c r="Q184" i="18"/>
  <c r="T119" i="6"/>
  <c r="U119" i="6" s="1"/>
  <c r="Z119" i="6" s="1"/>
  <c r="V119" i="6"/>
  <c r="W119" i="6" s="1"/>
  <c r="X119" i="6" s="1"/>
  <c r="K122" i="6"/>
  <c r="F123" i="6"/>
  <c r="P119" i="6"/>
  <c r="J119" i="6"/>
  <c r="G120" i="6"/>
  <c r="H121" i="6"/>
  <c r="Q120" i="6"/>
  <c r="S120" i="6" s="1"/>
  <c r="I120" i="6"/>
  <c r="AC119" i="6"/>
  <c r="AD119" i="6" s="1"/>
  <c r="L119" i="6"/>
  <c r="AA119" i="6" s="1"/>
  <c r="H187" i="19" l="1"/>
  <c r="Q187" i="19" s="1"/>
  <c r="K116" i="19"/>
  <c r="I116" i="19" s="1"/>
  <c r="L116" i="19" s="1"/>
  <c r="F117" i="19"/>
  <c r="G117" i="19" s="1"/>
  <c r="J117" i="19" s="1"/>
  <c r="K114" i="18"/>
  <c r="I114" i="18" s="1"/>
  <c r="L114" i="18" s="1"/>
  <c r="F115" i="18"/>
  <c r="G115" i="18" s="1"/>
  <c r="J115" i="18" s="1"/>
  <c r="H186" i="18"/>
  <c r="Q185" i="18"/>
  <c r="T120" i="6"/>
  <c r="U120" i="6" s="1"/>
  <c r="Z120" i="6" s="1"/>
  <c r="V120" i="6"/>
  <c r="W120" i="6" s="1"/>
  <c r="X120" i="6" s="1"/>
  <c r="G121" i="6"/>
  <c r="I121" i="6"/>
  <c r="Q121" i="6"/>
  <c r="S121" i="6" s="1"/>
  <c r="H122" i="6"/>
  <c r="F124" i="6"/>
  <c r="K123" i="6"/>
  <c r="Y119" i="6"/>
  <c r="P120" i="6"/>
  <c r="J120" i="6"/>
  <c r="L120" i="6"/>
  <c r="AA120" i="6" s="1"/>
  <c r="AC120" i="6"/>
  <c r="AD120" i="6" s="1"/>
  <c r="F116" i="18" l="1"/>
  <c r="G116" i="18" s="1"/>
  <c r="J116" i="18" s="1"/>
  <c r="K115" i="18"/>
  <c r="I115" i="18" s="1"/>
  <c r="L115" i="18" s="1"/>
  <c r="K117" i="19"/>
  <c r="I117" i="19" s="1"/>
  <c r="L117" i="19" s="1"/>
  <c r="F118" i="19"/>
  <c r="G118" i="19" s="1"/>
  <c r="J118" i="19" s="1"/>
  <c r="H187" i="18"/>
  <c r="Q186" i="18"/>
  <c r="Y120" i="6"/>
  <c r="T121" i="6"/>
  <c r="U121" i="6" s="1"/>
  <c r="Z121" i="6" s="1"/>
  <c r="V121" i="6"/>
  <c r="P121" i="6"/>
  <c r="J121" i="6"/>
  <c r="Q122" i="6"/>
  <c r="S122" i="6" s="1"/>
  <c r="H123" i="6"/>
  <c r="I122" i="6"/>
  <c r="G122" i="6"/>
  <c r="F125" i="6"/>
  <c r="K124" i="6"/>
  <c r="L121" i="6"/>
  <c r="AA121" i="6" s="1"/>
  <c r="AC121" i="6"/>
  <c r="AD121" i="6" s="1"/>
  <c r="K118" i="19" l="1"/>
  <c r="I118" i="19" s="1"/>
  <c r="L118" i="19" s="1"/>
  <c r="F119" i="19"/>
  <c r="G119" i="19" s="1"/>
  <c r="J119" i="19" s="1"/>
  <c r="K116" i="18"/>
  <c r="I116" i="18" s="1"/>
  <c r="L116" i="18" s="1"/>
  <c r="F117" i="18"/>
  <c r="G117" i="18" s="1"/>
  <c r="J117" i="18" s="1"/>
  <c r="H188" i="18"/>
  <c r="Q187" i="18"/>
  <c r="W121" i="6"/>
  <c r="X121" i="6" s="1"/>
  <c r="T122" i="6"/>
  <c r="U122" i="6" s="1"/>
  <c r="Z122" i="6" s="1"/>
  <c r="V122" i="6"/>
  <c r="Y121" i="6"/>
  <c r="K125" i="6"/>
  <c r="F126" i="6"/>
  <c r="H124" i="6"/>
  <c r="G123" i="6"/>
  <c r="I123" i="6"/>
  <c r="Q123" i="6"/>
  <c r="S123" i="6" s="1"/>
  <c r="P122" i="6"/>
  <c r="J122" i="6"/>
  <c r="AC122" i="6"/>
  <c r="AD122" i="6" s="1"/>
  <c r="L122" i="6"/>
  <c r="AA122" i="6" s="1"/>
  <c r="F118" i="18" l="1"/>
  <c r="G118" i="18" s="1"/>
  <c r="J118" i="18" s="1"/>
  <c r="K117" i="18"/>
  <c r="I117" i="18" s="1"/>
  <c r="L117" i="18" s="1"/>
  <c r="F120" i="19"/>
  <c r="G120" i="19" s="1"/>
  <c r="J120" i="19" s="1"/>
  <c r="K119" i="19"/>
  <c r="I119" i="19" s="1"/>
  <c r="L119" i="19" s="1"/>
  <c r="H189" i="18"/>
  <c r="Q188" i="18"/>
  <c r="W122" i="6"/>
  <c r="X122" i="6" s="1"/>
  <c r="Y122" i="6" s="1"/>
  <c r="T123" i="6"/>
  <c r="U123" i="6" s="1"/>
  <c r="Z123" i="6" s="1"/>
  <c r="V123" i="6"/>
  <c r="F127" i="6"/>
  <c r="K126" i="6"/>
  <c r="L123" i="6"/>
  <c r="AA123" i="6" s="1"/>
  <c r="AC123" i="6"/>
  <c r="AD123" i="6" s="1"/>
  <c r="P123" i="6"/>
  <c r="J123" i="6"/>
  <c r="Q124" i="6"/>
  <c r="S124" i="6" s="1"/>
  <c r="I124" i="6"/>
  <c r="G124" i="6"/>
  <c r="H125" i="6"/>
  <c r="K120" i="19" l="1"/>
  <c r="I120" i="19" s="1"/>
  <c r="L120" i="19" s="1"/>
  <c r="F121" i="19"/>
  <c r="G121" i="19" s="1"/>
  <c r="J121" i="19" s="1"/>
  <c r="K118" i="18"/>
  <c r="I118" i="18" s="1"/>
  <c r="L118" i="18" s="1"/>
  <c r="F119" i="18"/>
  <c r="G119" i="18" s="1"/>
  <c r="J119" i="18" s="1"/>
  <c r="H190" i="18"/>
  <c r="Q189" i="18"/>
  <c r="W123" i="6"/>
  <c r="X123" i="6" s="1"/>
  <c r="Y123" i="6" s="1"/>
  <c r="T124" i="6"/>
  <c r="U124" i="6" s="1"/>
  <c r="Z124" i="6" s="1"/>
  <c r="V124" i="6"/>
  <c r="W124" i="6" s="1"/>
  <c r="X124" i="6" s="1"/>
  <c r="G125" i="6"/>
  <c r="Q125" i="6"/>
  <c r="S125" i="6" s="1"/>
  <c r="V125" i="6" s="1"/>
  <c r="H126" i="6"/>
  <c r="I125" i="6"/>
  <c r="J124" i="6"/>
  <c r="P124" i="6"/>
  <c r="L124" i="6"/>
  <c r="AA124" i="6" s="1"/>
  <c r="AC124" i="6"/>
  <c r="AD124" i="6" s="1"/>
  <c r="F128" i="6"/>
  <c r="K127" i="6"/>
  <c r="K119" i="18" l="1"/>
  <c r="I119" i="18" s="1"/>
  <c r="L119" i="18" s="1"/>
  <c r="F120" i="18"/>
  <c r="G120" i="18" s="1"/>
  <c r="J120" i="18" s="1"/>
  <c r="K121" i="19"/>
  <c r="I121" i="19" s="1"/>
  <c r="L121" i="19" s="1"/>
  <c r="F122" i="19"/>
  <c r="G122" i="19" s="1"/>
  <c r="J122" i="19" s="1"/>
  <c r="Y124" i="6"/>
  <c r="H191" i="18"/>
  <c r="Q190" i="18"/>
  <c r="AC125" i="6"/>
  <c r="AD125" i="6" s="1"/>
  <c r="L125" i="6"/>
  <c r="AA125" i="6" s="1"/>
  <c r="J125" i="6"/>
  <c r="P125" i="6"/>
  <c r="T125" i="6"/>
  <c r="U125" i="6" s="1"/>
  <c r="Z125" i="6" s="1"/>
  <c r="G126" i="6"/>
  <c r="I126" i="6"/>
  <c r="H127" i="6"/>
  <c r="Q126" i="6"/>
  <c r="S126" i="6" s="1"/>
  <c r="K128" i="6"/>
  <c r="F129" i="6"/>
  <c r="K122" i="19" l="1"/>
  <c r="I122" i="19" s="1"/>
  <c r="L122" i="19" s="1"/>
  <c r="F123" i="19"/>
  <c r="G123" i="19" s="1"/>
  <c r="J123" i="19" s="1"/>
  <c r="K120" i="18"/>
  <c r="I120" i="18" s="1"/>
  <c r="L120" i="18" s="1"/>
  <c r="F121" i="18"/>
  <c r="G121" i="18" s="1"/>
  <c r="J121" i="18" s="1"/>
  <c r="H192" i="18"/>
  <c r="Q191" i="18"/>
  <c r="T126" i="6"/>
  <c r="U126" i="6" s="1"/>
  <c r="Z126" i="6" s="1"/>
  <c r="V126" i="6"/>
  <c r="P126" i="6"/>
  <c r="J126" i="6"/>
  <c r="I127" i="6"/>
  <c r="G127" i="6"/>
  <c r="Q127" i="6"/>
  <c r="S127" i="6" s="1"/>
  <c r="H128" i="6"/>
  <c r="K129" i="6"/>
  <c r="F130" i="6"/>
  <c r="L126" i="6"/>
  <c r="AA126" i="6" s="1"/>
  <c r="AC126" i="6"/>
  <c r="AD126" i="6" s="1"/>
  <c r="W125" i="6"/>
  <c r="X125" i="6" s="1"/>
  <c r="Y125" i="6" s="1"/>
  <c r="F122" i="18" l="1"/>
  <c r="G122" i="18" s="1"/>
  <c r="J122" i="18" s="1"/>
  <c r="K121" i="18"/>
  <c r="I121" i="18" s="1"/>
  <c r="L121" i="18" s="1"/>
  <c r="K123" i="19"/>
  <c r="I123" i="19" s="1"/>
  <c r="L123" i="19" s="1"/>
  <c r="F124" i="19"/>
  <c r="G124" i="19" s="1"/>
  <c r="J124" i="19" s="1"/>
  <c r="H193" i="18"/>
  <c r="Q192" i="18"/>
  <c r="T127" i="6"/>
  <c r="U127" i="6" s="1"/>
  <c r="Z127" i="6" s="1"/>
  <c r="V127" i="6"/>
  <c r="W127" i="6" s="1"/>
  <c r="X127" i="6" s="1"/>
  <c r="P127" i="6"/>
  <c r="J127" i="6"/>
  <c r="W126" i="6"/>
  <c r="X126" i="6" s="1"/>
  <c r="Y126" i="6" s="1"/>
  <c r="Q128" i="6"/>
  <c r="S128" i="6" s="1"/>
  <c r="H129" i="6"/>
  <c r="G128" i="6"/>
  <c r="I128" i="6"/>
  <c r="L127" i="6"/>
  <c r="AA127" i="6" s="1"/>
  <c r="AC127" i="6"/>
  <c r="AD127" i="6" s="1"/>
  <c r="F131" i="6"/>
  <c r="K130" i="6"/>
  <c r="K124" i="19" l="1"/>
  <c r="I124" i="19" s="1"/>
  <c r="L124" i="19" s="1"/>
  <c r="F125" i="19"/>
  <c r="G125" i="19" s="1"/>
  <c r="J125" i="19" s="1"/>
  <c r="K122" i="18"/>
  <c r="I122" i="18" s="1"/>
  <c r="L122" i="18" s="1"/>
  <c r="F123" i="18"/>
  <c r="G123" i="18" s="1"/>
  <c r="J123" i="18" s="1"/>
  <c r="H194" i="18"/>
  <c r="Q193" i="18"/>
  <c r="T128" i="6"/>
  <c r="U128" i="6" s="1"/>
  <c r="Z128" i="6" s="1"/>
  <c r="V128" i="6"/>
  <c r="W128" i="6" s="1"/>
  <c r="X128" i="6" s="1"/>
  <c r="Q129" i="6"/>
  <c r="S129" i="6" s="1"/>
  <c r="I129" i="6"/>
  <c r="H130" i="6"/>
  <c r="G129" i="6"/>
  <c r="Y127" i="6"/>
  <c r="AC128" i="6"/>
  <c r="AD128" i="6" s="1"/>
  <c r="L128" i="6"/>
  <c r="AA128" i="6" s="1"/>
  <c r="F132" i="6"/>
  <c r="K131" i="6"/>
  <c r="P128" i="6"/>
  <c r="J128" i="6"/>
  <c r="F124" i="18" l="1"/>
  <c r="G124" i="18" s="1"/>
  <c r="J124" i="18" s="1"/>
  <c r="K123" i="18"/>
  <c r="I123" i="18" s="1"/>
  <c r="L123" i="18" s="1"/>
  <c r="K125" i="19"/>
  <c r="I125" i="19" s="1"/>
  <c r="L125" i="19" s="1"/>
  <c r="F126" i="19"/>
  <c r="G126" i="19" s="1"/>
  <c r="J126" i="19" s="1"/>
  <c r="H195" i="18"/>
  <c r="Q194" i="18"/>
  <c r="T129" i="6"/>
  <c r="U129" i="6" s="1"/>
  <c r="Z129" i="6" s="1"/>
  <c r="V129" i="6"/>
  <c r="W129" i="6" s="1"/>
  <c r="X129" i="6" s="1"/>
  <c r="J129" i="6"/>
  <c r="P129" i="6"/>
  <c r="H131" i="6"/>
  <c r="Q130" i="6"/>
  <c r="S130" i="6" s="1"/>
  <c r="G130" i="6"/>
  <c r="I130" i="6"/>
  <c r="Y128" i="6"/>
  <c r="F133" i="6"/>
  <c r="K132" i="6"/>
  <c r="L129" i="6"/>
  <c r="AA129" i="6" s="1"/>
  <c r="AC129" i="6"/>
  <c r="AD129" i="6" s="1"/>
  <c r="K126" i="19" l="1"/>
  <c r="I126" i="19" s="1"/>
  <c r="L126" i="19" s="1"/>
  <c r="F127" i="19"/>
  <c r="G127" i="19" s="1"/>
  <c r="J127" i="19" s="1"/>
  <c r="K124" i="18"/>
  <c r="I124" i="18" s="1"/>
  <c r="L124" i="18" s="1"/>
  <c r="F125" i="18"/>
  <c r="G125" i="18" s="1"/>
  <c r="J125" i="18" s="1"/>
  <c r="Y129" i="6"/>
  <c r="H196" i="18"/>
  <c r="Q195" i="18"/>
  <c r="T130" i="6"/>
  <c r="U130" i="6" s="1"/>
  <c r="Z130" i="6" s="1"/>
  <c r="V130" i="6"/>
  <c r="W130" i="6" s="1"/>
  <c r="X130" i="6" s="1"/>
  <c r="G131" i="6"/>
  <c r="I131" i="6"/>
  <c r="Q131" i="6"/>
  <c r="S131" i="6" s="1"/>
  <c r="H132" i="6"/>
  <c r="F134" i="6"/>
  <c r="K133" i="6"/>
  <c r="L130" i="6"/>
  <c r="AA130" i="6" s="1"/>
  <c r="AC130" i="6"/>
  <c r="AD130" i="6" s="1"/>
  <c r="P130" i="6"/>
  <c r="J130" i="6"/>
  <c r="K125" i="18" l="1"/>
  <c r="I125" i="18" s="1"/>
  <c r="L125" i="18" s="1"/>
  <c r="F126" i="18"/>
  <c r="G126" i="18" s="1"/>
  <c r="J126" i="18" s="1"/>
  <c r="F128" i="19"/>
  <c r="G128" i="19" s="1"/>
  <c r="J128" i="19" s="1"/>
  <c r="K127" i="19"/>
  <c r="I127" i="19" s="1"/>
  <c r="L127" i="19" s="1"/>
  <c r="H197" i="18"/>
  <c r="Q196" i="18"/>
  <c r="T131" i="6"/>
  <c r="U131" i="6" s="1"/>
  <c r="Z131" i="6" s="1"/>
  <c r="V131" i="6"/>
  <c r="W131" i="6" s="1"/>
  <c r="X131" i="6" s="1"/>
  <c r="Q132" i="6"/>
  <c r="S132" i="6" s="1"/>
  <c r="H133" i="6"/>
  <c r="I132" i="6"/>
  <c r="G132" i="6"/>
  <c r="J131" i="6"/>
  <c r="P131" i="6"/>
  <c r="Y130" i="6"/>
  <c r="F135" i="6"/>
  <c r="K134" i="6"/>
  <c r="AC131" i="6"/>
  <c r="AD131" i="6" s="1"/>
  <c r="L131" i="6"/>
  <c r="AA131" i="6" s="1"/>
  <c r="K128" i="19" l="1"/>
  <c r="I128" i="19" s="1"/>
  <c r="L128" i="19" s="1"/>
  <c r="F129" i="19"/>
  <c r="G129" i="19" s="1"/>
  <c r="J129" i="19" s="1"/>
  <c r="K126" i="18"/>
  <c r="I126" i="18" s="1"/>
  <c r="L126" i="18" s="1"/>
  <c r="F127" i="18"/>
  <c r="G127" i="18" s="1"/>
  <c r="J127" i="18" s="1"/>
  <c r="H198" i="18"/>
  <c r="Q197" i="18"/>
  <c r="Y131" i="6"/>
  <c r="T132" i="6"/>
  <c r="U132" i="6" s="1"/>
  <c r="Z132" i="6" s="1"/>
  <c r="V132" i="6"/>
  <c r="G133" i="6"/>
  <c r="I133" i="6"/>
  <c r="Q133" i="6"/>
  <c r="S133" i="6" s="1"/>
  <c r="H134" i="6"/>
  <c r="J132" i="6"/>
  <c r="P132" i="6"/>
  <c r="AC132" i="6"/>
  <c r="AD132" i="6" s="1"/>
  <c r="L132" i="6"/>
  <c r="AA132" i="6" s="1"/>
  <c r="F136" i="6"/>
  <c r="K135" i="6"/>
  <c r="F128" i="18" l="1"/>
  <c r="G128" i="18" s="1"/>
  <c r="J128" i="18" s="1"/>
  <c r="K127" i="18"/>
  <c r="I127" i="18" s="1"/>
  <c r="L127" i="18" s="1"/>
  <c r="K129" i="19"/>
  <c r="I129" i="19" s="1"/>
  <c r="L129" i="19" s="1"/>
  <c r="F130" i="19"/>
  <c r="G130" i="19" s="1"/>
  <c r="J130" i="19" s="1"/>
  <c r="H199" i="18"/>
  <c r="Q198" i="18"/>
  <c r="W132" i="6"/>
  <c r="X132" i="6" s="1"/>
  <c r="Y132" i="6" s="1"/>
  <c r="T133" i="6"/>
  <c r="U133" i="6" s="1"/>
  <c r="Z133" i="6" s="1"/>
  <c r="V133" i="6"/>
  <c r="J133" i="6"/>
  <c r="P133" i="6"/>
  <c r="K136" i="6"/>
  <c r="F137" i="6"/>
  <c r="H135" i="6"/>
  <c r="G134" i="6"/>
  <c r="I134" i="6"/>
  <c r="Q134" i="6"/>
  <c r="S134" i="6" s="1"/>
  <c r="L133" i="6"/>
  <c r="AA133" i="6" s="1"/>
  <c r="AC133" i="6"/>
  <c r="AD133" i="6" s="1"/>
  <c r="K130" i="19" l="1"/>
  <c r="I130" i="19" s="1"/>
  <c r="L130" i="19" s="1"/>
  <c r="F131" i="19"/>
  <c r="G131" i="19" s="1"/>
  <c r="J131" i="19" s="1"/>
  <c r="K128" i="18"/>
  <c r="I128" i="18" s="1"/>
  <c r="L128" i="18" s="1"/>
  <c r="F129" i="18"/>
  <c r="G129" i="18" s="1"/>
  <c r="J129" i="18" s="1"/>
  <c r="H200" i="18"/>
  <c r="Q199" i="18"/>
  <c r="W133" i="6"/>
  <c r="X133" i="6" s="1"/>
  <c r="Y133" i="6" s="1"/>
  <c r="T134" i="6"/>
  <c r="U134" i="6" s="1"/>
  <c r="Z134" i="6" s="1"/>
  <c r="V134" i="6"/>
  <c r="K137" i="6"/>
  <c r="F138" i="6"/>
  <c r="Q135" i="6"/>
  <c r="S135" i="6" s="1"/>
  <c r="G135" i="6"/>
  <c r="I135" i="6"/>
  <c r="H136" i="6"/>
  <c r="J134" i="6"/>
  <c r="P134" i="6"/>
  <c r="L134" i="6"/>
  <c r="AA134" i="6" s="1"/>
  <c r="AC134" i="6"/>
  <c r="AD134" i="6" s="1"/>
  <c r="K129" i="18" l="1"/>
  <c r="I129" i="18" s="1"/>
  <c r="L129" i="18" s="1"/>
  <c r="F130" i="18"/>
  <c r="G130" i="18" s="1"/>
  <c r="J130" i="18" s="1"/>
  <c r="F132" i="19"/>
  <c r="G132" i="19" s="1"/>
  <c r="J132" i="19" s="1"/>
  <c r="K131" i="19"/>
  <c r="I131" i="19" s="1"/>
  <c r="L131" i="19" s="1"/>
  <c r="H201" i="18"/>
  <c r="Q200" i="18"/>
  <c r="W134" i="6"/>
  <c r="X134" i="6" s="1"/>
  <c r="Y134" i="6" s="1"/>
  <c r="T135" i="6"/>
  <c r="U135" i="6" s="1"/>
  <c r="Z135" i="6" s="1"/>
  <c r="V135" i="6"/>
  <c r="K138" i="6"/>
  <c r="F139" i="6"/>
  <c r="H137" i="6"/>
  <c r="I136" i="6"/>
  <c r="Q136" i="6"/>
  <c r="S136" i="6" s="1"/>
  <c r="G136" i="6"/>
  <c r="AC135" i="6"/>
  <c r="AD135" i="6" s="1"/>
  <c r="L135" i="6"/>
  <c r="AA135" i="6" s="1"/>
  <c r="J135" i="6"/>
  <c r="P135" i="6"/>
  <c r="K132" i="19" l="1"/>
  <c r="I132" i="19" s="1"/>
  <c r="L132" i="19" s="1"/>
  <c r="F133" i="19"/>
  <c r="G133" i="19" s="1"/>
  <c r="J133" i="19" s="1"/>
  <c r="F131" i="18"/>
  <c r="G131" i="18" s="1"/>
  <c r="J131" i="18" s="1"/>
  <c r="K130" i="18"/>
  <c r="I130" i="18" s="1"/>
  <c r="L130" i="18" s="1"/>
  <c r="H202" i="18"/>
  <c r="Q201" i="18"/>
  <c r="W135" i="6"/>
  <c r="X135" i="6" s="1"/>
  <c r="T136" i="6"/>
  <c r="U136" i="6" s="1"/>
  <c r="Z136" i="6" s="1"/>
  <c r="V136" i="6"/>
  <c r="J136" i="6"/>
  <c r="P136" i="6"/>
  <c r="Y135" i="6"/>
  <c r="H138" i="6"/>
  <c r="I137" i="6"/>
  <c r="G137" i="6"/>
  <c r="Q137" i="6"/>
  <c r="S137" i="6" s="1"/>
  <c r="K139" i="6"/>
  <c r="F140" i="6"/>
  <c r="L136" i="6"/>
  <c r="AA136" i="6" s="1"/>
  <c r="AC136" i="6"/>
  <c r="AD136" i="6" s="1"/>
  <c r="F132" i="18" l="1"/>
  <c r="G132" i="18" s="1"/>
  <c r="J132" i="18" s="1"/>
  <c r="K131" i="18"/>
  <c r="I131" i="18" s="1"/>
  <c r="L131" i="18" s="1"/>
  <c r="K133" i="19"/>
  <c r="I133" i="19" s="1"/>
  <c r="L133" i="19" s="1"/>
  <c r="F134" i="19"/>
  <c r="G134" i="19" s="1"/>
  <c r="J134" i="19" s="1"/>
  <c r="H203" i="18"/>
  <c r="Q202" i="18"/>
  <c r="W136" i="6"/>
  <c r="X136" i="6" s="1"/>
  <c r="Y136" i="6" s="1"/>
  <c r="T137" i="6"/>
  <c r="U137" i="6" s="1"/>
  <c r="Z137" i="6" s="1"/>
  <c r="V137" i="6"/>
  <c r="W137" i="6" s="1"/>
  <c r="X137" i="6" s="1"/>
  <c r="AC137" i="6"/>
  <c r="AD137" i="6" s="1"/>
  <c r="L137" i="6"/>
  <c r="AA137" i="6" s="1"/>
  <c r="I138" i="6"/>
  <c r="H139" i="6"/>
  <c r="Q138" i="6"/>
  <c r="S138" i="6" s="1"/>
  <c r="G138" i="6"/>
  <c r="P137" i="6"/>
  <c r="J137" i="6"/>
  <c r="F141" i="6"/>
  <c r="K140" i="6"/>
  <c r="K134" i="19" l="1"/>
  <c r="I134" i="19" s="1"/>
  <c r="L134" i="19" s="1"/>
  <c r="F135" i="19"/>
  <c r="G135" i="19" s="1"/>
  <c r="J135" i="19" s="1"/>
  <c r="K132" i="18"/>
  <c r="I132" i="18" s="1"/>
  <c r="L132" i="18" s="1"/>
  <c r="F133" i="18"/>
  <c r="G133" i="18" s="1"/>
  <c r="J133" i="18" s="1"/>
  <c r="H204" i="18"/>
  <c r="Q203" i="18"/>
  <c r="T138" i="6"/>
  <c r="U138" i="6" s="1"/>
  <c r="Z138" i="6" s="1"/>
  <c r="V138" i="6"/>
  <c r="W138" i="6" s="1"/>
  <c r="X138" i="6" s="1"/>
  <c r="Q139" i="6"/>
  <c r="S139" i="6" s="1"/>
  <c r="G139" i="6"/>
  <c r="I139" i="6"/>
  <c r="H140" i="6"/>
  <c r="Y137" i="6"/>
  <c r="P138" i="6"/>
  <c r="J138" i="6"/>
  <c r="L138" i="6"/>
  <c r="AA138" i="6" s="1"/>
  <c r="AC138" i="6"/>
  <c r="AD138" i="6" s="1"/>
  <c r="K141" i="6"/>
  <c r="F142" i="6"/>
  <c r="F134" i="18" l="1"/>
  <c r="G134" i="18" s="1"/>
  <c r="J134" i="18" s="1"/>
  <c r="K133" i="18"/>
  <c r="I133" i="18" s="1"/>
  <c r="L133" i="18" s="1"/>
  <c r="K135" i="19"/>
  <c r="I135" i="19" s="1"/>
  <c r="L135" i="19" s="1"/>
  <c r="F136" i="19"/>
  <c r="G136" i="19" s="1"/>
  <c r="J136" i="19" s="1"/>
  <c r="Y138" i="6"/>
  <c r="H205" i="18"/>
  <c r="Q204" i="18"/>
  <c r="T139" i="6"/>
  <c r="U139" i="6" s="1"/>
  <c r="Z139" i="6" s="1"/>
  <c r="V139" i="6"/>
  <c r="W139" i="6" s="1"/>
  <c r="X139" i="6" s="1"/>
  <c r="G140" i="6"/>
  <c r="I140" i="6"/>
  <c r="H141" i="6"/>
  <c r="Q140" i="6"/>
  <c r="S140" i="6" s="1"/>
  <c r="AC139" i="6"/>
  <c r="AD139" i="6" s="1"/>
  <c r="L139" i="6"/>
  <c r="AA139" i="6" s="1"/>
  <c r="F143" i="6"/>
  <c r="K142" i="6"/>
  <c r="P139" i="6"/>
  <c r="J139" i="6"/>
  <c r="K136" i="19" l="1"/>
  <c r="I136" i="19" s="1"/>
  <c r="L136" i="19" s="1"/>
  <c r="F137" i="19"/>
  <c r="G137" i="19" s="1"/>
  <c r="J137" i="19" s="1"/>
  <c r="K134" i="18"/>
  <c r="I134" i="18" s="1"/>
  <c r="L134" i="18" s="1"/>
  <c r="F135" i="18"/>
  <c r="G135" i="18" s="1"/>
  <c r="J135" i="18" s="1"/>
  <c r="H206" i="18"/>
  <c r="Q205" i="18"/>
  <c r="T140" i="6"/>
  <c r="U140" i="6" s="1"/>
  <c r="Z140" i="6" s="1"/>
  <c r="V140" i="6"/>
  <c r="W140" i="6" s="1"/>
  <c r="X140" i="6" s="1"/>
  <c r="Y140" i="6" s="1"/>
  <c r="F144" i="6"/>
  <c r="K143" i="6"/>
  <c r="P140" i="6"/>
  <c r="J140" i="6"/>
  <c r="Q141" i="6"/>
  <c r="S141" i="6" s="1"/>
  <c r="G141" i="6"/>
  <c r="H142" i="6"/>
  <c r="I141" i="6"/>
  <c r="Y139" i="6"/>
  <c r="AC140" i="6"/>
  <c r="AD140" i="6" s="1"/>
  <c r="L140" i="6"/>
  <c r="AA140" i="6" s="1"/>
  <c r="K135" i="18" l="1"/>
  <c r="I135" i="18" s="1"/>
  <c r="L135" i="18" s="1"/>
  <c r="F136" i="18"/>
  <c r="G136" i="18" s="1"/>
  <c r="J136" i="18" s="1"/>
  <c r="K137" i="19"/>
  <c r="I137" i="19" s="1"/>
  <c r="L137" i="19" s="1"/>
  <c r="F138" i="19"/>
  <c r="G138" i="19" s="1"/>
  <c r="J138" i="19" s="1"/>
  <c r="H207" i="18"/>
  <c r="Q206" i="18"/>
  <c r="T141" i="6"/>
  <c r="U141" i="6" s="1"/>
  <c r="Z141" i="6" s="1"/>
  <c r="V141" i="6"/>
  <c r="H143" i="6"/>
  <c r="G142" i="6"/>
  <c r="I142" i="6"/>
  <c r="Q142" i="6"/>
  <c r="S142" i="6" s="1"/>
  <c r="F145" i="6"/>
  <c r="K144" i="6"/>
  <c r="J141" i="6"/>
  <c r="P141" i="6"/>
  <c r="AC141" i="6"/>
  <c r="AD141" i="6" s="1"/>
  <c r="L141" i="6"/>
  <c r="AA141" i="6" s="1"/>
  <c r="K138" i="19" l="1"/>
  <c r="I138" i="19" s="1"/>
  <c r="L138" i="19" s="1"/>
  <c r="F139" i="19"/>
  <c r="G139" i="19" s="1"/>
  <c r="J139" i="19" s="1"/>
  <c r="F137" i="18"/>
  <c r="G137" i="18" s="1"/>
  <c r="J137" i="18" s="1"/>
  <c r="K136" i="18"/>
  <c r="I136" i="18" s="1"/>
  <c r="L136" i="18" s="1"/>
  <c r="H208" i="18"/>
  <c r="Q207" i="18"/>
  <c r="T142" i="6"/>
  <c r="U142" i="6" s="1"/>
  <c r="Z142" i="6" s="1"/>
  <c r="V142" i="6"/>
  <c r="Q143" i="6"/>
  <c r="S143" i="6" s="1"/>
  <c r="H144" i="6"/>
  <c r="I143" i="6"/>
  <c r="G143" i="6"/>
  <c r="W141" i="6"/>
  <c r="X141" i="6" s="1"/>
  <c r="Y141" i="6" s="1"/>
  <c r="F146" i="6"/>
  <c r="K145" i="6"/>
  <c r="J142" i="6"/>
  <c r="P142" i="6"/>
  <c r="AC142" i="6"/>
  <c r="AD142" i="6" s="1"/>
  <c r="L142" i="6"/>
  <c r="AA142" i="6" s="1"/>
  <c r="K137" i="18" l="1"/>
  <c r="I137" i="18" s="1"/>
  <c r="L137" i="18" s="1"/>
  <c r="F138" i="18"/>
  <c r="G138" i="18" s="1"/>
  <c r="J138" i="18" s="1"/>
  <c r="K139" i="19"/>
  <c r="I139" i="19" s="1"/>
  <c r="L139" i="19" s="1"/>
  <c r="F140" i="19"/>
  <c r="G140" i="19" s="1"/>
  <c r="J140" i="19" s="1"/>
  <c r="H209" i="18"/>
  <c r="Q208" i="18"/>
  <c r="T143" i="6"/>
  <c r="U143" i="6" s="1"/>
  <c r="Z143" i="6" s="1"/>
  <c r="V143" i="6"/>
  <c r="P143" i="6"/>
  <c r="J143" i="6"/>
  <c r="L143" i="6"/>
  <c r="AA143" i="6" s="1"/>
  <c r="AC143" i="6"/>
  <c r="AD143" i="6" s="1"/>
  <c r="W142" i="6"/>
  <c r="X142" i="6" s="1"/>
  <c r="Y142" i="6" s="1"/>
  <c r="K146" i="6"/>
  <c r="F147" i="6"/>
  <c r="Q144" i="6"/>
  <c r="S144" i="6" s="1"/>
  <c r="I144" i="6"/>
  <c r="G144" i="6"/>
  <c r="H145" i="6"/>
  <c r="F141" i="19" l="1"/>
  <c r="G141" i="19" s="1"/>
  <c r="J141" i="19" s="1"/>
  <c r="K140" i="19"/>
  <c r="I140" i="19" s="1"/>
  <c r="L140" i="19" s="1"/>
  <c r="K138" i="18"/>
  <c r="I138" i="18" s="1"/>
  <c r="L138" i="18" s="1"/>
  <c r="F139" i="18"/>
  <c r="G139" i="18" s="1"/>
  <c r="J139" i="18" s="1"/>
  <c r="W143" i="6"/>
  <c r="X143" i="6" s="1"/>
  <c r="Y143" i="6" s="1"/>
  <c r="H210" i="18"/>
  <c r="Q209" i="18"/>
  <c r="T144" i="6"/>
  <c r="U144" i="6" s="1"/>
  <c r="Z144" i="6" s="1"/>
  <c r="V144" i="6"/>
  <c r="L144" i="6"/>
  <c r="AA144" i="6" s="1"/>
  <c r="AC144" i="6"/>
  <c r="AD144" i="6" s="1"/>
  <c r="J144" i="6"/>
  <c r="P144" i="6"/>
  <c r="K147" i="6"/>
  <c r="F148" i="6"/>
  <c r="G145" i="6"/>
  <c r="Q145" i="6"/>
  <c r="S145" i="6" s="1"/>
  <c r="I145" i="6"/>
  <c r="H146" i="6"/>
  <c r="F140" i="18" l="1"/>
  <c r="G140" i="18" s="1"/>
  <c r="J140" i="18" s="1"/>
  <c r="K139" i="18"/>
  <c r="I139" i="18" s="1"/>
  <c r="L139" i="18" s="1"/>
  <c r="K141" i="19"/>
  <c r="I141" i="19" s="1"/>
  <c r="L141" i="19" s="1"/>
  <c r="F142" i="19"/>
  <c r="G142" i="19" s="1"/>
  <c r="J142" i="19" s="1"/>
  <c r="H211" i="18"/>
  <c r="Q210" i="18"/>
  <c r="W144" i="6"/>
  <c r="X144" i="6" s="1"/>
  <c r="Y144" i="6" s="1"/>
  <c r="T145" i="6"/>
  <c r="U145" i="6" s="1"/>
  <c r="Z145" i="6" s="1"/>
  <c r="V145" i="6"/>
  <c r="I146" i="6"/>
  <c r="G146" i="6"/>
  <c r="H147" i="6"/>
  <c r="Q146" i="6"/>
  <c r="S146" i="6" s="1"/>
  <c r="K148" i="6"/>
  <c r="F149" i="6"/>
  <c r="J145" i="6"/>
  <c r="P145" i="6"/>
  <c r="L145" i="6"/>
  <c r="AA145" i="6" s="1"/>
  <c r="AC145" i="6"/>
  <c r="AD145" i="6" s="1"/>
  <c r="K142" i="19" l="1"/>
  <c r="I142" i="19" s="1"/>
  <c r="L142" i="19" s="1"/>
  <c r="F143" i="19"/>
  <c r="G143" i="19" s="1"/>
  <c r="J143" i="19" s="1"/>
  <c r="F141" i="18"/>
  <c r="G141" i="18" s="1"/>
  <c r="J141" i="18" s="1"/>
  <c r="K140" i="18"/>
  <c r="I140" i="18" s="1"/>
  <c r="L140" i="18" s="1"/>
  <c r="H212" i="18"/>
  <c r="Q211" i="18"/>
  <c r="T146" i="6"/>
  <c r="U146" i="6" s="1"/>
  <c r="Z146" i="6" s="1"/>
  <c r="V146" i="6"/>
  <c r="W146" i="6" s="1"/>
  <c r="X146" i="6" s="1"/>
  <c r="F150" i="6"/>
  <c r="K149" i="6"/>
  <c r="L146" i="6"/>
  <c r="AA146" i="6" s="1"/>
  <c r="AC146" i="6"/>
  <c r="AD146" i="6" s="1"/>
  <c r="W145" i="6"/>
  <c r="X145" i="6" s="1"/>
  <c r="Y145" i="6" s="1"/>
  <c r="Q147" i="6"/>
  <c r="S147" i="6" s="1"/>
  <c r="H148" i="6"/>
  <c r="G147" i="6"/>
  <c r="I147" i="6"/>
  <c r="J146" i="6"/>
  <c r="P146" i="6"/>
  <c r="K141" i="18" l="1"/>
  <c r="I141" i="18" s="1"/>
  <c r="L141" i="18" s="1"/>
  <c r="F142" i="18"/>
  <c r="G142" i="18" s="1"/>
  <c r="J142" i="18" s="1"/>
  <c r="F144" i="19"/>
  <c r="G144" i="19" s="1"/>
  <c r="J144" i="19" s="1"/>
  <c r="K143" i="19"/>
  <c r="I143" i="19" s="1"/>
  <c r="L143" i="19" s="1"/>
  <c r="H213" i="18"/>
  <c r="Q212" i="18"/>
  <c r="Y146" i="6"/>
  <c r="T147" i="6"/>
  <c r="U147" i="6" s="1"/>
  <c r="Z147" i="6" s="1"/>
  <c r="V147" i="6"/>
  <c r="W147" i="6" s="1"/>
  <c r="X147" i="6" s="1"/>
  <c r="F151" i="6"/>
  <c r="K150" i="6"/>
  <c r="AC147" i="6"/>
  <c r="AD147" i="6" s="1"/>
  <c r="L147" i="6"/>
  <c r="AA147" i="6" s="1"/>
  <c r="G148" i="6"/>
  <c r="I148" i="6"/>
  <c r="Q148" i="6"/>
  <c r="S148" i="6" s="1"/>
  <c r="H149" i="6"/>
  <c r="P147" i="6"/>
  <c r="J147" i="6"/>
  <c r="K144" i="19" l="1"/>
  <c r="I144" i="19" s="1"/>
  <c r="L144" i="19" s="1"/>
  <c r="F145" i="19"/>
  <c r="G145" i="19" s="1"/>
  <c r="J145" i="19" s="1"/>
  <c r="K142" i="18"/>
  <c r="I142" i="18" s="1"/>
  <c r="L142" i="18" s="1"/>
  <c r="F143" i="18"/>
  <c r="G143" i="18" s="1"/>
  <c r="J143" i="18" s="1"/>
  <c r="H214" i="18"/>
  <c r="Q213" i="18"/>
  <c r="T148" i="6"/>
  <c r="U148" i="6" s="1"/>
  <c r="Z148" i="6" s="1"/>
  <c r="V148" i="6"/>
  <c r="W148" i="6" s="1"/>
  <c r="X148" i="6" s="1"/>
  <c r="K151" i="6"/>
  <c r="F152" i="6"/>
  <c r="Y147" i="6"/>
  <c r="L148" i="6"/>
  <c r="AA148" i="6" s="1"/>
  <c r="AC148" i="6"/>
  <c r="AD148" i="6" s="1"/>
  <c r="Q149" i="6"/>
  <c r="S149" i="6" s="1"/>
  <c r="H150" i="6"/>
  <c r="I149" i="6"/>
  <c r="G149" i="6"/>
  <c r="J148" i="6"/>
  <c r="P148" i="6"/>
  <c r="K143" i="18" l="1"/>
  <c r="I143" i="18" s="1"/>
  <c r="L143" i="18" s="1"/>
  <c r="F144" i="18"/>
  <c r="G144" i="18" s="1"/>
  <c r="J144" i="18" s="1"/>
  <c r="K145" i="19"/>
  <c r="I145" i="19" s="1"/>
  <c r="L145" i="19" s="1"/>
  <c r="F146" i="19"/>
  <c r="G146" i="19" s="1"/>
  <c r="J146" i="19" s="1"/>
  <c r="H215" i="18"/>
  <c r="Q214" i="18"/>
  <c r="T149" i="6"/>
  <c r="U149" i="6" s="1"/>
  <c r="Z149" i="6" s="1"/>
  <c r="V149" i="6"/>
  <c r="H151" i="6"/>
  <c r="Q150" i="6"/>
  <c r="S150" i="6" s="1"/>
  <c r="G150" i="6"/>
  <c r="I150" i="6"/>
  <c r="Y148" i="6"/>
  <c r="J149" i="6"/>
  <c r="P149" i="6"/>
  <c r="L149" i="6"/>
  <c r="AA149" i="6" s="1"/>
  <c r="AC149" i="6"/>
  <c r="AD149" i="6" s="1"/>
  <c r="K152" i="6"/>
  <c r="F153" i="6"/>
  <c r="K146" i="19" l="1"/>
  <c r="I146" i="19" s="1"/>
  <c r="L146" i="19" s="1"/>
  <c r="F147" i="19"/>
  <c r="G147" i="19" s="1"/>
  <c r="J147" i="19" s="1"/>
  <c r="F145" i="18"/>
  <c r="G145" i="18" s="1"/>
  <c r="J145" i="18" s="1"/>
  <c r="K144" i="18"/>
  <c r="I144" i="18" s="1"/>
  <c r="L144" i="18" s="1"/>
  <c r="H216" i="18"/>
  <c r="Q215" i="18"/>
  <c r="W149" i="6"/>
  <c r="X149" i="6" s="1"/>
  <c r="Y149" i="6" s="1"/>
  <c r="T150" i="6"/>
  <c r="U150" i="6" s="1"/>
  <c r="Z150" i="6" s="1"/>
  <c r="V150" i="6"/>
  <c r="W150" i="6" s="1"/>
  <c r="X150" i="6" s="1"/>
  <c r="G151" i="6"/>
  <c r="H152" i="6"/>
  <c r="Q151" i="6"/>
  <c r="S151" i="6" s="1"/>
  <c r="I151" i="6"/>
  <c r="P150" i="6"/>
  <c r="J150" i="6"/>
  <c r="AC150" i="6"/>
  <c r="AD150" i="6" s="1"/>
  <c r="L150" i="6"/>
  <c r="AA150" i="6" s="1"/>
  <c r="K153" i="6"/>
  <c r="F154" i="6"/>
  <c r="K145" i="18" l="1"/>
  <c r="I145" i="18" s="1"/>
  <c r="L145" i="18" s="1"/>
  <c r="F146" i="18"/>
  <c r="G146" i="18" s="1"/>
  <c r="J146" i="18" s="1"/>
  <c r="K147" i="19"/>
  <c r="I147" i="19" s="1"/>
  <c r="L147" i="19" s="1"/>
  <c r="F148" i="19"/>
  <c r="G148" i="19" s="1"/>
  <c r="J148" i="19" s="1"/>
  <c r="H217" i="18"/>
  <c r="Q216" i="18"/>
  <c r="Y150" i="6"/>
  <c r="T151" i="6"/>
  <c r="U151" i="6" s="1"/>
  <c r="Z151" i="6" s="1"/>
  <c r="V151" i="6"/>
  <c r="W151" i="6" s="1"/>
  <c r="X151" i="6" s="1"/>
  <c r="K154" i="6"/>
  <c r="F155" i="6"/>
  <c r="AC151" i="6"/>
  <c r="AD151" i="6" s="1"/>
  <c r="L151" i="6"/>
  <c r="AA151" i="6" s="1"/>
  <c r="I152" i="6"/>
  <c r="H153" i="6"/>
  <c r="G152" i="6"/>
  <c r="Q152" i="6"/>
  <c r="S152" i="6" s="1"/>
  <c r="P151" i="6"/>
  <c r="J151" i="6"/>
  <c r="K148" i="19" l="1"/>
  <c r="I148" i="19" s="1"/>
  <c r="L148" i="19" s="1"/>
  <c r="F149" i="19"/>
  <c r="G149" i="19" s="1"/>
  <c r="J149" i="19" s="1"/>
  <c r="K146" i="18"/>
  <c r="I146" i="18" s="1"/>
  <c r="L146" i="18" s="1"/>
  <c r="F147" i="18"/>
  <c r="G147" i="18" s="1"/>
  <c r="J147" i="18" s="1"/>
  <c r="H218" i="18"/>
  <c r="Q217" i="18"/>
  <c r="T152" i="6"/>
  <c r="U152" i="6" s="1"/>
  <c r="Z152" i="6" s="1"/>
  <c r="V152" i="6"/>
  <c r="J152" i="6"/>
  <c r="P152" i="6"/>
  <c r="K155" i="6"/>
  <c r="F156" i="6"/>
  <c r="Y151" i="6"/>
  <c r="Q153" i="6"/>
  <c r="S153" i="6" s="1"/>
  <c r="H154" i="6"/>
  <c r="G153" i="6"/>
  <c r="I153" i="6"/>
  <c r="AC152" i="6"/>
  <c r="AD152" i="6" s="1"/>
  <c r="L152" i="6"/>
  <c r="AA152" i="6" s="1"/>
  <c r="F148" i="18" l="1"/>
  <c r="G148" i="18" s="1"/>
  <c r="J148" i="18" s="1"/>
  <c r="K147" i="18"/>
  <c r="I147" i="18" s="1"/>
  <c r="L147" i="18" s="1"/>
  <c r="K149" i="19"/>
  <c r="I149" i="19" s="1"/>
  <c r="L149" i="19" s="1"/>
  <c r="F150" i="19"/>
  <c r="G150" i="19" s="1"/>
  <c r="J150" i="19" s="1"/>
  <c r="H219" i="18"/>
  <c r="Q218" i="18"/>
  <c r="W152" i="6"/>
  <c r="X152" i="6" s="1"/>
  <c r="Y152" i="6" s="1"/>
  <c r="T153" i="6"/>
  <c r="U153" i="6" s="1"/>
  <c r="Z153" i="6" s="1"/>
  <c r="V153" i="6"/>
  <c r="W153" i="6" s="1"/>
  <c r="X153" i="6" s="1"/>
  <c r="Q154" i="6"/>
  <c r="S154" i="6" s="1"/>
  <c r="H155" i="6"/>
  <c r="I154" i="6"/>
  <c r="G154" i="6"/>
  <c r="K156" i="6"/>
  <c r="F157" i="6"/>
  <c r="L153" i="6"/>
  <c r="AA153" i="6" s="1"/>
  <c r="AC153" i="6"/>
  <c r="AD153" i="6" s="1"/>
  <c r="P153" i="6"/>
  <c r="J153" i="6"/>
  <c r="F151" i="19" l="1"/>
  <c r="G151" i="19" s="1"/>
  <c r="J151" i="19" s="1"/>
  <c r="K150" i="19"/>
  <c r="I150" i="19" s="1"/>
  <c r="L150" i="19" s="1"/>
  <c r="K148" i="18"/>
  <c r="I148" i="18" s="1"/>
  <c r="L148" i="18" s="1"/>
  <c r="F149" i="18"/>
  <c r="G149" i="18" s="1"/>
  <c r="J149" i="18" s="1"/>
  <c r="H220" i="18"/>
  <c r="Q219" i="18"/>
  <c r="T154" i="6"/>
  <c r="U154" i="6" s="1"/>
  <c r="Z154" i="6" s="1"/>
  <c r="V154" i="6"/>
  <c r="W154" i="6" s="1"/>
  <c r="X154" i="6" s="1"/>
  <c r="P154" i="6"/>
  <c r="J154" i="6"/>
  <c r="AC154" i="6"/>
  <c r="AD154" i="6" s="1"/>
  <c r="L154" i="6"/>
  <c r="AA154" i="6" s="1"/>
  <c r="Y153" i="6"/>
  <c r="F158" i="6"/>
  <c r="K157" i="6"/>
  <c r="Q155" i="6"/>
  <c r="S155" i="6" s="1"/>
  <c r="H156" i="6"/>
  <c r="G155" i="6"/>
  <c r="I155" i="6"/>
  <c r="K149" i="18" l="1"/>
  <c r="I149" i="18" s="1"/>
  <c r="L149" i="18" s="1"/>
  <c r="F150" i="18"/>
  <c r="G150" i="18" s="1"/>
  <c r="J150" i="18" s="1"/>
  <c r="K151" i="19"/>
  <c r="I151" i="19" s="1"/>
  <c r="L151" i="19" s="1"/>
  <c r="F152" i="19"/>
  <c r="G152" i="19" s="1"/>
  <c r="J152" i="19" s="1"/>
  <c r="H221" i="18"/>
  <c r="Q220" i="18"/>
  <c r="Y154" i="6"/>
  <c r="T155" i="6"/>
  <c r="U155" i="6" s="1"/>
  <c r="Z155" i="6" s="1"/>
  <c r="V155" i="6"/>
  <c r="W155" i="6" s="1"/>
  <c r="X155" i="6" s="1"/>
  <c r="Y155" i="6" s="1"/>
  <c r="J155" i="6"/>
  <c r="P155" i="6"/>
  <c r="Q156" i="6"/>
  <c r="S156" i="6" s="1"/>
  <c r="I156" i="6"/>
  <c r="H157" i="6"/>
  <c r="G156" i="6"/>
  <c r="AC155" i="6"/>
  <c r="AD155" i="6" s="1"/>
  <c r="L155" i="6"/>
  <c r="AA155" i="6" s="1"/>
  <c r="F159" i="6"/>
  <c r="K158" i="6"/>
  <c r="F153" i="19" l="1"/>
  <c r="G153" i="19" s="1"/>
  <c r="J153" i="19" s="1"/>
  <c r="K152" i="19"/>
  <c r="I152" i="19" s="1"/>
  <c r="L152" i="19" s="1"/>
  <c r="K150" i="18"/>
  <c r="I150" i="18" s="1"/>
  <c r="L150" i="18" s="1"/>
  <c r="F151" i="18"/>
  <c r="G151" i="18" s="1"/>
  <c r="J151" i="18" s="1"/>
  <c r="H222" i="18"/>
  <c r="Q221" i="18"/>
  <c r="T156" i="6"/>
  <c r="U156" i="6" s="1"/>
  <c r="Z156" i="6" s="1"/>
  <c r="V156" i="6"/>
  <c r="L156" i="6"/>
  <c r="AA156" i="6" s="1"/>
  <c r="AC156" i="6"/>
  <c r="AD156" i="6" s="1"/>
  <c r="F160" i="6"/>
  <c r="K159" i="6"/>
  <c r="P156" i="6"/>
  <c r="J156" i="6"/>
  <c r="Q157" i="6"/>
  <c r="S157" i="6" s="1"/>
  <c r="I157" i="6"/>
  <c r="G157" i="6"/>
  <c r="H158" i="6"/>
  <c r="K151" i="18" l="1"/>
  <c r="I151" i="18" s="1"/>
  <c r="L151" i="18" s="1"/>
  <c r="F152" i="18"/>
  <c r="G152" i="18" s="1"/>
  <c r="J152" i="18" s="1"/>
  <c r="K153" i="19"/>
  <c r="I153" i="19" s="1"/>
  <c r="L153" i="19" s="1"/>
  <c r="F154" i="19"/>
  <c r="G154" i="19" s="1"/>
  <c r="J154" i="19" s="1"/>
  <c r="H223" i="18"/>
  <c r="Q222" i="18"/>
  <c r="T157" i="6"/>
  <c r="U157" i="6" s="1"/>
  <c r="Z157" i="6" s="1"/>
  <c r="V157" i="6"/>
  <c r="W157" i="6" s="1"/>
  <c r="X157" i="6" s="1"/>
  <c r="Q158" i="6"/>
  <c r="S158" i="6" s="1"/>
  <c r="I158" i="6"/>
  <c r="H159" i="6"/>
  <c r="G158" i="6"/>
  <c r="W156" i="6"/>
  <c r="X156" i="6" s="1"/>
  <c r="Y156" i="6" s="1"/>
  <c r="J157" i="6"/>
  <c r="P157" i="6"/>
  <c r="K160" i="6"/>
  <c r="F161" i="6"/>
  <c r="AC157" i="6"/>
  <c r="AD157" i="6" s="1"/>
  <c r="L157" i="6"/>
  <c r="AA157" i="6" s="1"/>
  <c r="K154" i="19" l="1"/>
  <c r="I154" i="19" s="1"/>
  <c r="L154" i="19" s="1"/>
  <c r="F155" i="19"/>
  <c r="G155" i="19" s="1"/>
  <c r="J155" i="19" s="1"/>
  <c r="F153" i="18"/>
  <c r="G153" i="18" s="1"/>
  <c r="J153" i="18" s="1"/>
  <c r="K152" i="18"/>
  <c r="I152" i="18" s="1"/>
  <c r="L152" i="18" s="1"/>
  <c r="H224" i="18"/>
  <c r="Q223" i="18"/>
  <c r="T158" i="6"/>
  <c r="U158" i="6" s="1"/>
  <c r="Z158" i="6" s="1"/>
  <c r="V158" i="6"/>
  <c r="W158" i="6" s="1"/>
  <c r="X158" i="6" s="1"/>
  <c r="P158" i="6"/>
  <c r="J158" i="6"/>
  <c r="Q159" i="6"/>
  <c r="S159" i="6" s="1"/>
  <c r="I159" i="6"/>
  <c r="G159" i="6"/>
  <c r="H160" i="6"/>
  <c r="Y157" i="6"/>
  <c r="L158" i="6"/>
  <c r="AA158" i="6" s="1"/>
  <c r="AC158" i="6"/>
  <c r="AD158" i="6" s="1"/>
  <c r="F162" i="6"/>
  <c r="K161" i="6"/>
  <c r="K153" i="18" l="1"/>
  <c r="I153" i="18" s="1"/>
  <c r="L153" i="18" s="1"/>
  <c r="F154" i="18"/>
  <c r="G154" i="18" s="1"/>
  <c r="J154" i="18" s="1"/>
  <c r="K155" i="19"/>
  <c r="I155" i="19" s="1"/>
  <c r="L155" i="19" s="1"/>
  <c r="F156" i="19"/>
  <c r="G156" i="19" s="1"/>
  <c r="J156" i="19" s="1"/>
  <c r="H225" i="18"/>
  <c r="Q224" i="18"/>
  <c r="Y158" i="6"/>
  <c r="T159" i="6"/>
  <c r="U159" i="6" s="1"/>
  <c r="Z159" i="6" s="1"/>
  <c r="V159" i="6"/>
  <c r="W159" i="6" s="1"/>
  <c r="X159" i="6" s="1"/>
  <c r="Y159" i="6" s="1"/>
  <c r="J159" i="6"/>
  <c r="P159" i="6"/>
  <c r="L159" i="6"/>
  <c r="AA159" i="6" s="1"/>
  <c r="AC159" i="6"/>
  <c r="AD159" i="6" s="1"/>
  <c r="K162" i="6"/>
  <c r="F163" i="6"/>
  <c r="G160" i="6"/>
  <c r="I160" i="6"/>
  <c r="H161" i="6"/>
  <c r="Q160" i="6"/>
  <c r="S160" i="6" s="1"/>
  <c r="F157" i="19" l="1"/>
  <c r="G157" i="19" s="1"/>
  <c r="J157" i="19" s="1"/>
  <c r="K156" i="19"/>
  <c r="I156" i="19" s="1"/>
  <c r="L156" i="19" s="1"/>
  <c r="F155" i="18"/>
  <c r="G155" i="18" s="1"/>
  <c r="J155" i="18" s="1"/>
  <c r="K154" i="18"/>
  <c r="I154" i="18" s="1"/>
  <c r="L154" i="18" s="1"/>
  <c r="H226" i="18"/>
  <c r="Q225" i="18"/>
  <c r="T160" i="6"/>
  <c r="U160" i="6" s="1"/>
  <c r="Z160" i="6" s="1"/>
  <c r="V160" i="6"/>
  <c r="W160" i="6" s="1"/>
  <c r="X160" i="6" s="1"/>
  <c r="P160" i="6"/>
  <c r="J160" i="6"/>
  <c r="Q161" i="6"/>
  <c r="S161" i="6" s="1"/>
  <c r="H162" i="6"/>
  <c r="I161" i="6"/>
  <c r="G161" i="6"/>
  <c r="F164" i="6"/>
  <c r="K163" i="6"/>
  <c r="L160" i="6"/>
  <c r="AA160" i="6" s="1"/>
  <c r="AC160" i="6"/>
  <c r="AD160" i="6" s="1"/>
  <c r="K155" i="18" l="1"/>
  <c r="I155" i="18" s="1"/>
  <c r="L155" i="18" s="1"/>
  <c r="F156" i="18"/>
  <c r="G156" i="18" s="1"/>
  <c r="J156" i="18" s="1"/>
  <c r="K157" i="19"/>
  <c r="I157" i="19" s="1"/>
  <c r="L157" i="19" s="1"/>
  <c r="F158" i="19"/>
  <c r="G158" i="19" s="1"/>
  <c r="J158" i="19" s="1"/>
  <c r="H227" i="18"/>
  <c r="Q226" i="18"/>
  <c r="Y160" i="6"/>
  <c r="T161" i="6"/>
  <c r="U161" i="6" s="1"/>
  <c r="Z161" i="6" s="1"/>
  <c r="V161" i="6"/>
  <c r="W161" i="6" s="1"/>
  <c r="X161" i="6" s="1"/>
  <c r="L161" i="6"/>
  <c r="AA161" i="6" s="1"/>
  <c r="AC161" i="6"/>
  <c r="AD161" i="6" s="1"/>
  <c r="F165" i="6"/>
  <c r="K164" i="6"/>
  <c r="I162" i="6"/>
  <c r="H163" i="6"/>
  <c r="G162" i="6"/>
  <c r="Q162" i="6"/>
  <c r="S162" i="6" s="1"/>
  <c r="J161" i="6"/>
  <c r="P161" i="6"/>
  <c r="F159" i="19" l="1"/>
  <c r="G159" i="19" s="1"/>
  <c r="J159" i="19" s="1"/>
  <c r="K158" i="19"/>
  <c r="I158" i="19" s="1"/>
  <c r="L158" i="19" s="1"/>
  <c r="K156" i="18"/>
  <c r="I156" i="18" s="1"/>
  <c r="L156" i="18" s="1"/>
  <c r="F157" i="18"/>
  <c r="G157" i="18" s="1"/>
  <c r="J157" i="18" s="1"/>
  <c r="H228" i="18"/>
  <c r="Q227" i="18"/>
  <c r="T162" i="6"/>
  <c r="U162" i="6" s="1"/>
  <c r="Z162" i="6" s="1"/>
  <c r="V162" i="6"/>
  <c r="W162" i="6" s="1"/>
  <c r="X162" i="6" s="1"/>
  <c r="Q163" i="6"/>
  <c r="S163" i="6" s="1"/>
  <c r="G163" i="6"/>
  <c r="I163" i="6"/>
  <c r="H164" i="6"/>
  <c r="K165" i="6"/>
  <c r="F166" i="6"/>
  <c r="J162" i="6"/>
  <c r="P162" i="6"/>
  <c r="Y161" i="6"/>
  <c r="AC162" i="6"/>
  <c r="AD162" i="6" s="1"/>
  <c r="L162" i="6"/>
  <c r="AA162" i="6" s="1"/>
  <c r="K157" i="18" l="1"/>
  <c r="I157" i="18" s="1"/>
  <c r="L157" i="18" s="1"/>
  <c r="F158" i="18"/>
  <c r="G158" i="18" s="1"/>
  <c r="J158" i="18" s="1"/>
  <c r="K159" i="19"/>
  <c r="I159" i="19" s="1"/>
  <c r="L159" i="19" s="1"/>
  <c r="F160" i="19"/>
  <c r="G160" i="19" s="1"/>
  <c r="J160" i="19" s="1"/>
  <c r="H229" i="18"/>
  <c r="Q228" i="18"/>
  <c r="T163" i="6"/>
  <c r="U163" i="6" s="1"/>
  <c r="Z163" i="6" s="1"/>
  <c r="V163" i="6"/>
  <c r="W163" i="6" s="1"/>
  <c r="X163" i="6" s="1"/>
  <c r="AC163" i="6"/>
  <c r="AD163" i="6" s="1"/>
  <c r="L163" i="6"/>
  <c r="AA163" i="6" s="1"/>
  <c r="Y162" i="6"/>
  <c r="Q164" i="6"/>
  <c r="S164" i="6" s="1"/>
  <c r="H165" i="6"/>
  <c r="I164" i="6"/>
  <c r="G164" i="6"/>
  <c r="F167" i="6"/>
  <c r="K166" i="6"/>
  <c r="J163" i="6"/>
  <c r="P163" i="6"/>
  <c r="K160" i="19" l="1"/>
  <c r="I160" i="19" s="1"/>
  <c r="L160" i="19" s="1"/>
  <c r="F161" i="19"/>
  <c r="G161" i="19" s="1"/>
  <c r="J161" i="19" s="1"/>
  <c r="K158" i="18"/>
  <c r="I158" i="18" s="1"/>
  <c r="L158" i="18" s="1"/>
  <c r="F159" i="18"/>
  <c r="G159" i="18" s="1"/>
  <c r="J159" i="18" s="1"/>
  <c r="H230" i="18"/>
  <c r="Q229" i="18"/>
  <c r="T164" i="6"/>
  <c r="U164" i="6" s="1"/>
  <c r="Z164" i="6" s="1"/>
  <c r="V164" i="6"/>
  <c r="Y163" i="6"/>
  <c r="K167" i="6"/>
  <c r="F168" i="6"/>
  <c r="P164" i="6"/>
  <c r="J164" i="6"/>
  <c r="AC164" i="6"/>
  <c r="AD164" i="6" s="1"/>
  <c r="L164" i="6"/>
  <c r="AA164" i="6" s="1"/>
  <c r="G165" i="6"/>
  <c r="H166" i="6"/>
  <c r="I165" i="6"/>
  <c r="Q165" i="6"/>
  <c r="S165" i="6" s="1"/>
  <c r="K159" i="18" l="1"/>
  <c r="I159" i="18" s="1"/>
  <c r="L159" i="18" s="1"/>
  <c r="F160" i="18"/>
  <c r="G160" i="18" s="1"/>
  <c r="J160" i="18" s="1"/>
  <c r="K161" i="19"/>
  <c r="I161" i="19" s="1"/>
  <c r="L161" i="19" s="1"/>
  <c r="F162" i="19"/>
  <c r="G162" i="19" s="1"/>
  <c r="J162" i="19" s="1"/>
  <c r="H231" i="18"/>
  <c r="Q230" i="18"/>
  <c r="W164" i="6"/>
  <c r="X164" i="6" s="1"/>
  <c r="Y164" i="6" s="1"/>
  <c r="T165" i="6"/>
  <c r="U165" i="6" s="1"/>
  <c r="Z165" i="6" s="1"/>
  <c r="V165" i="6"/>
  <c r="W165" i="6" s="1"/>
  <c r="X165" i="6" s="1"/>
  <c r="AC165" i="6"/>
  <c r="AD165" i="6" s="1"/>
  <c r="L165" i="6"/>
  <c r="AA165" i="6" s="1"/>
  <c r="Q166" i="6"/>
  <c r="S166" i="6" s="1"/>
  <c r="H167" i="6"/>
  <c r="I166" i="6"/>
  <c r="G166" i="6"/>
  <c r="K168" i="6"/>
  <c r="F169" i="6"/>
  <c r="P165" i="6"/>
  <c r="J165" i="6"/>
  <c r="F163" i="19" l="1"/>
  <c r="G163" i="19" s="1"/>
  <c r="J163" i="19" s="1"/>
  <c r="K162" i="19"/>
  <c r="I162" i="19" s="1"/>
  <c r="L162" i="19" s="1"/>
  <c r="F161" i="18"/>
  <c r="G161" i="18" s="1"/>
  <c r="J161" i="18" s="1"/>
  <c r="K160" i="18"/>
  <c r="I160" i="18" s="1"/>
  <c r="L160" i="18" s="1"/>
  <c r="H232" i="18"/>
  <c r="Q231" i="18"/>
  <c r="T166" i="6"/>
  <c r="U166" i="6" s="1"/>
  <c r="Z166" i="6" s="1"/>
  <c r="V166" i="6"/>
  <c r="W166" i="6" s="1"/>
  <c r="X166" i="6" s="1"/>
  <c r="Q167" i="6"/>
  <c r="S167" i="6" s="1"/>
  <c r="I167" i="6"/>
  <c r="G167" i="6"/>
  <c r="H168" i="6"/>
  <c r="Y165" i="6"/>
  <c r="F170" i="6"/>
  <c r="K169" i="6"/>
  <c r="AC166" i="6"/>
  <c r="AD166" i="6" s="1"/>
  <c r="L166" i="6"/>
  <c r="AA166" i="6" s="1"/>
  <c r="P166" i="6"/>
  <c r="J166" i="6"/>
  <c r="K161" i="18" l="1"/>
  <c r="I161" i="18" s="1"/>
  <c r="L161" i="18" s="1"/>
  <c r="F162" i="18"/>
  <c r="G162" i="18" s="1"/>
  <c r="J162" i="18" s="1"/>
  <c r="K163" i="19"/>
  <c r="I163" i="19" s="1"/>
  <c r="L163" i="19" s="1"/>
  <c r="F164" i="19"/>
  <c r="G164" i="19" s="1"/>
  <c r="J164" i="19" s="1"/>
  <c r="H233" i="18"/>
  <c r="Q232" i="18"/>
  <c r="T167" i="6"/>
  <c r="U167" i="6" s="1"/>
  <c r="Z167" i="6" s="1"/>
  <c r="V167" i="6"/>
  <c r="H169" i="6"/>
  <c r="G168" i="6"/>
  <c r="I168" i="6"/>
  <c r="Q168" i="6"/>
  <c r="S168" i="6" s="1"/>
  <c r="Y166" i="6"/>
  <c r="K170" i="6"/>
  <c r="F171" i="6"/>
  <c r="J167" i="6"/>
  <c r="P167" i="6"/>
  <c r="AC167" i="6"/>
  <c r="AD167" i="6" s="1"/>
  <c r="L167" i="6"/>
  <c r="AA167" i="6" s="1"/>
  <c r="F165" i="19" l="1"/>
  <c r="G165" i="19" s="1"/>
  <c r="J165" i="19" s="1"/>
  <c r="K164" i="19"/>
  <c r="I164" i="19" s="1"/>
  <c r="L164" i="19" s="1"/>
  <c r="F163" i="18"/>
  <c r="G163" i="18" s="1"/>
  <c r="J163" i="18" s="1"/>
  <c r="K162" i="18"/>
  <c r="I162" i="18" s="1"/>
  <c r="L162" i="18" s="1"/>
  <c r="W167" i="6"/>
  <c r="X167" i="6" s="1"/>
  <c r="H234" i="18"/>
  <c r="Q233" i="18"/>
  <c r="Y167" i="6"/>
  <c r="T168" i="6"/>
  <c r="U168" i="6" s="1"/>
  <c r="Z168" i="6" s="1"/>
  <c r="V168" i="6"/>
  <c r="G169" i="6"/>
  <c r="H170" i="6"/>
  <c r="Q169" i="6"/>
  <c r="S169" i="6" s="1"/>
  <c r="I169" i="6"/>
  <c r="K171" i="6"/>
  <c r="F172" i="6"/>
  <c r="AC168" i="6"/>
  <c r="AD168" i="6" s="1"/>
  <c r="L168" i="6"/>
  <c r="AA168" i="6" s="1"/>
  <c r="P168" i="6"/>
  <c r="J168" i="6"/>
  <c r="K163" i="18" l="1"/>
  <c r="I163" i="18" s="1"/>
  <c r="L163" i="18" s="1"/>
  <c r="F164" i="18"/>
  <c r="G164" i="18" s="1"/>
  <c r="J164" i="18" s="1"/>
  <c r="K165" i="19"/>
  <c r="I165" i="19" s="1"/>
  <c r="L165" i="19" s="1"/>
  <c r="F166" i="19"/>
  <c r="G166" i="19" s="1"/>
  <c r="J166" i="19" s="1"/>
  <c r="W168" i="6"/>
  <c r="X168" i="6" s="1"/>
  <c r="Y168" i="6" s="1"/>
  <c r="H235" i="18"/>
  <c r="Q234" i="18"/>
  <c r="T169" i="6"/>
  <c r="U169" i="6" s="1"/>
  <c r="Z169" i="6" s="1"/>
  <c r="V169" i="6"/>
  <c r="W169" i="6" s="1"/>
  <c r="X169" i="6" s="1"/>
  <c r="Y169" i="6" s="1"/>
  <c r="L169" i="6"/>
  <c r="AA169" i="6" s="1"/>
  <c r="AC169" i="6"/>
  <c r="AD169" i="6" s="1"/>
  <c r="P169" i="6"/>
  <c r="J169" i="6"/>
  <c r="K172" i="6"/>
  <c r="F173" i="6"/>
  <c r="I170" i="6"/>
  <c r="G170" i="6"/>
  <c r="H171" i="6"/>
  <c r="Q170" i="6"/>
  <c r="S170" i="6" s="1"/>
  <c r="F167" i="19" l="1"/>
  <c r="G167" i="19" s="1"/>
  <c r="J167" i="19" s="1"/>
  <c r="K166" i="19"/>
  <c r="I166" i="19" s="1"/>
  <c r="L166" i="19" s="1"/>
  <c r="K164" i="18"/>
  <c r="I164" i="18" s="1"/>
  <c r="L164" i="18" s="1"/>
  <c r="F165" i="18"/>
  <c r="G165" i="18" s="1"/>
  <c r="J165" i="18" s="1"/>
  <c r="H236" i="18"/>
  <c r="Q235" i="18"/>
  <c r="T170" i="6"/>
  <c r="U170" i="6" s="1"/>
  <c r="Z170" i="6" s="1"/>
  <c r="V170" i="6"/>
  <c r="W170" i="6" s="1"/>
  <c r="X170" i="6" s="1"/>
  <c r="I171" i="6"/>
  <c r="G171" i="6"/>
  <c r="H172" i="6"/>
  <c r="Q171" i="6"/>
  <c r="S171" i="6" s="1"/>
  <c r="F174" i="6"/>
  <c r="K173" i="6"/>
  <c r="P170" i="6"/>
  <c r="J170" i="6"/>
  <c r="L170" i="6"/>
  <c r="AA170" i="6" s="1"/>
  <c r="AC170" i="6"/>
  <c r="AD170" i="6" s="1"/>
  <c r="K165" i="18" l="1"/>
  <c r="I165" i="18" s="1"/>
  <c r="L165" i="18" s="1"/>
  <c r="F166" i="18"/>
  <c r="G166" i="18" s="1"/>
  <c r="J166" i="18" s="1"/>
  <c r="K167" i="19"/>
  <c r="I167" i="19" s="1"/>
  <c r="L167" i="19" s="1"/>
  <c r="F168" i="19"/>
  <c r="G168" i="19" s="1"/>
  <c r="J168" i="19" s="1"/>
  <c r="H237" i="18"/>
  <c r="Q236" i="18"/>
  <c r="T171" i="6"/>
  <c r="U171" i="6" s="1"/>
  <c r="Z171" i="6" s="1"/>
  <c r="V171" i="6"/>
  <c r="W171" i="6" s="1"/>
  <c r="X171" i="6" s="1"/>
  <c r="AC171" i="6"/>
  <c r="AD171" i="6" s="1"/>
  <c r="L171" i="6"/>
  <c r="AA171" i="6" s="1"/>
  <c r="Y170" i="6"/>
  <c r="I172" i="6"/>
  <c r="G172" i="6"/>
  <c r="H173" i="6"/>
  <c r="Q172" i="6"/>
  <c r="S172" i="6" s="1"/>
  <c r="K174" i="6"/>
  <c r="F175" i="6"/>
  <c r="J171" i="6"/>
  <c r="P171" i="6"/>
  <c r="F169" i="19" l="1"/>
  <c r="G169" i="19" s="1"/>
  <c r="J169" i="19" s="1"/>
  <c r="K168" i="19"/>
  <c r="I168" i="19" s="1"/>
  <c r="L168" i="19" s="1"/>
  <c r="F167" i="18"/>
  <c r="G167" i="18" s="1"/>
  <c r="J167" i="18" s="1"/>
  <c r="K166" i="18"/>
  <c r="I166" i="18" s="1"/>
  <c r="L166" i="18" s="1"/>
  <c r="H238" i="18"/>
  <c r="Q237" i="18"/>
  <c r="T172" i="6"/>
  <c r="U172" i="6" s="1"/>
  <c r="Z172" i="6" s="1"/>
  <c r="V172" i="6"/>
  <c r="L172" i="6"/>
  <c r="AA172" i="6" s="1"/>
  <c r="AC172" i="6"/>
  <c r="AD172" i="6" s="1"/>
  <c r="Y171" i="6"/>
  <c r="Q173" i="6"/>
  <c r="S173" i="6" s="1"/>
  <c r="G173" i="6"/>
  <c r="H174" i="6"/>
  <c r="I173" i="6"/>
  <c r="F176" i="6"/>
  <c r="K175" i="6"/>
  <c r="P172" i="6"/>
  <c r="J172" i="6"/>
  <c r="K167" i="18" l="1"/>
  <c r="I167" i="18" s="1"/>
  <c r="L167" i="18" s="1"/>
  <c r="F168" i="18"/>
  <c r="G168" i="18" s="1"/>
  <c r="J168" i="18" s="1"/>
  <c r="K169" i="19"/>
  <c r="I169" i="19" s="1"/>
  <c r="L169" i="19" s="1"/>
  <c r="F170" i="19"/>
  <c r="G170" i="19" s="1"/>
  <c r="J170" i="19" s="1"/>
  <c r="W172" i="6"/>
  <c r="X172" i="6" s="1"/>
  <c r="H239" i="18"/>
  <c r="Q238" i="18"/>
  <c r="T173" i="6"/>
  <c r="U173" i="6" s="1"/>
  <c r="Z173" i="6" s="1"/>
  <c r="V173" i="6"/>
  <c r="L173" i="6"/>
  <c r="AA173" i="6" s="1"/>
  <c r="AC173" i="6"/>
  <c r="AD173" i="6" s="1"/>
  <c r="Y172" i="6"/>
  <c r="J173" i="6"/>
  <c r="P173" i="6"/>
  <c r="H175" i="6"/>
  <c r="Q174" i="6"/>
  <c r="S174" i="6" s="1"/>
  <c r="G174" i="6"/>
  <c r="I174" i="6"/>
  <c r="K176" i="6"/>
  <c r="F177" i="6"/>
  <c r="F171" i="19" l="1"/>
  <c r="G171" i="19" s="1"/>
  <c r="J171" i="19" s="1"/>
  <c r="K170" i="19"/>
  <c r="I170" i="19" s="1"/>
  <c r="L170" i="19" s="1"/>
  <c r="F169" i="18"/>
  <c r="G169" i="18" s="1"/>
  <c r="J169" i="18" s="1"/>
  <c r="K168" i="18"/>
  <c r="I168" i="18" s="1"/>
  <c r="L168" i="18" s="1"/>
  <c r="W173" i="6"/>
  <c r="X173" i="6" s="1"/>
  <c r="H240" i="18"/>
  <c r="Q239" i="18"/>
  <c r="T174" i="6"/>
  <c r="U174" i="6" s="1"/>
  <c r="Z174" i="6" s="1"/>
  <c r="V174" i="6"/>
  <c r="W174" i="6" s="1"/>
  <c r="X174" i="6" s="1"/>
  <c r="Y174" i="6" s="1"/>
  <c r="Y173" i="6"/>
  <c r="J174" i="6"/>
  <c r="P174" i="6"/>
  <c r="K177" i="6"/>
  <c r="F178" i="6"/>
  <c r="L174" i="6"/>
  <c r="AA174" i="6" s="1"/>
  <c r="AC174" i="6"/>
  <c r="AD174" i="6" s="1"/>
  <c r="G175" i="6"/>
  <c r="Q175" i="6"/>
  <c r="S175" i="6" s="1"/>
  <c r="I175" i="6"/>
  <c r="H176" i="6"/>
  <c r="K169" i="18" l="1"/>
  <c r="I169" i="18" s="1"/>
  <c r="L169" i="18" s="1"/>
  <c r="F170" i="18"/>
  <c r="G170" i="18" s="1"/>
  <c r="J170" i="18" s="1"/>
  <c r="K171" i="19"/>
  <c r="I171" i="19" s="1"/>
  <c r="L171" i="19" s="1"/>
  <c r="F172" i="19"/>
  <c r="G172" i="19" s="1"/>
  <c r="J172" i="19" s="1"/>
  <c r="H241" i="18"/>
  <c r="Q240" i="18"/>
  <c r="T175" i="6"/>
  <c r="U175" i="6" s="1"/>
  <c r="Z175" i="6" s="1"/>
  <c r="V175" i="6"/>
  <c r="W175" i="6" s="1"/>
  <c r="X175" i="6" s="1"/>
  <c r="AC175" i="6"/>
  <c r="AD175" i="6" s="1"/>
  <c r="L175" i="6"/>
  <c r="AA175" i="6" s="1"/>
  <c r="Q176" i="6"/>
  <c r="S176" i="6" s="1"/>
  <c r="G176" i="6"/>
  <c r="H177" i="6"/>
  <c r="I176" i="6"/>
  <c r="P175" i="6"/>
  <c r="J175" i="6"/>
  <c r="K178" i="6"/>
  <c r="F179" i="6"/>
  <c r="F173" i="19" l="1"/>
  <c r="G173" i="19" s="1"/>
  <c r="J173" i="19" s="1"/>
  <c r="K172" i="19"/>
  <c r="I172" i="19" s="1"/>
  <c r="L172" i="19" s="1"/>
  <c r="K170" i="18"/>
  <c r="I170" i="18" s="1"/>
  <c r="L170" i="18" s="1"/>
  <c r="F171" i="18"/>
  <c r="G171" i="18" s="1"/>
  <c r="J171" i="18" s="1"/>
  <c r="H242" i="18"/>
  <c r="Q241" i="18"/>
  <c r="T176" i="6"/>
  <c r="U176" i="6" s="1"/>
  <c r="Z176" i="6" s="1"/>
  <c r="V176" i="6"/>
  <c r="I177" i="6"/>
  <c r="G177" i="6"/>
  <c r="H178" i="6"/>
  <c r="Q177" i="6"/>
  <c r="S177" i="6" s="1"/>
  <c r="P176" i="6"/>
  <c r="J176" i="6"/>
  <c r="Y175" i="6"/>
  <c r="F180" i="6"/>
  <c r="K179" i="6"/>
  <c r="AC176" i="6"/>
  <c r="AD176" i="6" s="1"/>
  <c r="L176" i="6"/>
  <c r="AA176" i="6" s="1"/>
  <c r="K171" i="18" l="1"/>
  <c r="I171" i="18" s="1"/>
  <c r="L171" i="18" s="1"/>
  <c r="F172" i="18"/>
  <c r="G172" i="18" s="1"/>
  <c r="J172" i="18" s="1"/>
  <c r="K173" i="19"/>
  <c r="I173" i="19" s="1"/>
  <c r="L173" i="19" s="1"/>
  <c r="F174" i="19"/>
  <c r="G174" i="19" s="1"/>
  <c r="J174" i="19" s="1"/>
  <c r="W176" i="6"/>
  <c r="X176" i="6" s="1"/>
  <c r="Y176" i="6" s="1"/>
  <c r="H243" i="18"/>
  <c r="Q242" i="18"/>
  <c r="T177" i="6"/>
  <c r="U177" i="6" s="1"/>
  <c r="Z177" i="6" s="1"/>
  <c r="V177" i="6"/>
  <c r="W177" i="6" s="1"/>
  <c r="X177" i="6" s="1"/>
  <c r="K180" i="6"/>
  <c r="F181" i="6"/>
  <c r="L177" i="6"/>
  <c r="AA177" i="6" s="1"/>
  <c r="AC177" i="6"/>
  <c r="AD177" i="6" s="1"/>
  <c r="H179" i="6"/>
  <c r="G178" i="6"/>
  <c r="Q178" i="6"/>
  <c r="S178" i="6" s="1"/>
  <c r="I178" i="6"/>
  <c r="J177" i="6"/>
  <c r="P177" i="6"/>
  <c r="F175" i="19" l="1"/>
  <c r="K174" i="19"/>
  <c r="I174" i="19" s="1"/>
  <c r="L174" i="19" s="1"/>
  <c r="K172" i="18"/>
  <c r="I172" i="18" s="1"/>
  <c r="L172" i="18" s="1"/>
  <c r="F173" i="18"/>
  <c r="G173" i="18" s="1"/>
  <c r="J173" i="18" s="1"/>
  <c r="H244" i="18"/>
  <c r="Q243" i="18"/>
  <c r="T178" i="6"/>
  <c r="U178" i="6" s="1"/>
  <c r="Z178" i="6" s="1"/>
  <c r="V178" i="6"/>
  <c r="W178" i="6" s="1"/>
  <c r="X178" i="6" s="1"/>
  <c r="Y178" i="6" s="1"/>
  <c r="P178" i="6"/>
  <c r="J178" i="6"/>
  <c r="Y177" i="6"/>
  <c r="AC178" i="6"/>
  <c r="AD178" i="6" s="1"/>
  <c r="L178" i="6"/>
  <c r="AA178" i="6" s="1"/>
  <c r="K181" i="6"/>
  <c r="F182" i="6"/>
  <c r="I179" i="6"/>
  <c r="Q179" i="6"/>
  <c r="S179" i="6" s="1"/>
  <c r="G179" i="6"/>
  <c r="H180" i="6"/>
  <c r="O75" i="19"/>
  <c r="P56" i="19"/>
  <c r="G175" i="19" l="1"/>
  <c r="J175" i="19" s="1"/>
  <c r="K173" i="18"/>
  <c r="I173" i="18" s="1"/>
  <c r="L173" i="18" s="1"/>
  <c r="F174" i="18"/>
  <c r="G174" i="18" s="1"/>
  <c r="J174" i="18" s="1"/>
  <c r="K175" i="19"/>
  <c r="I175" i="19" s="1"/>
  <c r="L175" i="19" s="1"/>
  <c r="F176" i="19"/>
  <c r="H245" i="18"/>
  <c r="Q244" i="18"/>
  <c r="T179" i="6"/>
  <c r="U179" i="6" s="1"/>
  <c r="Z179" i="6" s="1"/>
  <c r="V179" i="6"/>
  <c r="W179" i="6" s="1"/>
  <c r="X179" i="6" s="1"/>
  <c r="J179" i="6"/>
  <c r="P179" i="6"/>
  <c r="K182" i="6"/>
  <c r="F183" i="6"/>
  <c r="H181" i="6"/>
  <c r="Q180" i="6"/>
  <c r="S180" i="6" s="1"/>
  <c r="G180" i="6"/>
  <c r="I180" i="6"/>
  <c r="AC179" i="6"/>
  <c r="AD179" i="6" s="1"/>
  <c r="L179" i="6"/>
  <c r="AA179" i="6" s="1"/>
  <c r="M75" i="19"/>
  <c r="M56" i="19"/>
  <c r="F177" i="19" l="1"/>
  <c r="F188" i="19"/>
  <c r="K176" i="19"/>
  <c r="I176" i="19" s="1"/>
  <c r="G176" i="19"/>
  <c r="J176" i="19" s="1"/>
  <c r="F175" i="18"/>
  <c r="G175" i="18" s="1"/>
  <c r="J175" i="18" s="1"/>
  <c r="K174" i="18"/>
  <c r="I174" i="18" s="1"/>
  <c r="L174" i="18" s="1"/>
  <c r="H246" i="18"/>
  <c r="Q245" i="18"/>
  <c r="Y179" i="6"/>
  <c r="T180" i="6"/>
  <c r="U180" i="6" s="1"/>
  <c r="Z180" i="6" s="1"/>
  <c r="V180" i="6"/>
  <c r="W180" i="6" s="1"/>
  <c r="X180" i="6" s="1"/>
  <c r="P180" i="6"/>
  <c r="J180" i="6"/>
  <c r="F184" i="6"/>
  <c r="K183" i="6"/>
  <c r="G181" i="6"/>
  <c r="H182" i="6"/>
  <c r="Q181" i="6"/>
  <c r="S181" i="6" s="1"/>
  <c r="I181" i="6"/>
  <c r="AC180" i="6"/>
  <c r="AD180" i="6" s="1"/>
  <c r="L180" i="6"/>
  <c r="AA180" i="6" s="1"/>
  <c r="K188" i="19" l="1"/>
  <c r="I188" i="19" s="1"/>
  <c r="L188" i="19" s="1"/>
  <c r="G188" i="19"/>
  <c r="J188" i="19" s="1"/>
  <c r="K177" i="19"/>
  <c r="I177" i="19" s="1"/>
  <c r="F178" i="19"/>
  <c r="G177" i="19"/>
  <c r="J177" i="19" s="1"/>
  <c r="L176" i="19"/>
  <c r="F176" i="18"/>
  <c r="G176" i="18" s="1"/>
  <c r="J176" i="18" s="1"/>
  <c r="K175" i="18"/>
  <c r="I175" i="18" s="1"/>
  <c r="L175" i="18" s="1"/>
  <c r="Y180" i="6"/>
  <c r="H247" i="18"/>
  <c r="Q246" i="18"/>
  <c r="T181" i="6"/>
  <c r="U181" i="6" s="1"/>
  <c r="Z181" i="6" s="1"/>
  <c r="V181" i="6"/>
  <c r="W181" i="6" s="1"/>
  <c r="X181" i="6" s="1"/>
  <c r="Y181" i="6" s="1"/>
  <c r="K184" i="6"/>
  <c r="F185" i="6"/>
  <c r="Q182" i="6"/>
  <c r="S182" i="6" s="1"/>
  <c r="I182" i="6"/>
  <c r="G182" i="6"/>
  <c r="H183" i="6"/>
  <c r="P181" i="6"/>
  <c r="J181" i="6"/>
  <c r="AC181" i="6"/>
  <c r="AD181" i="6" s="1"/>
  <c r="L181" i="6"/>
  <c r="AA181" i="6" s="1"/>
  <c r="L177" i="19" l="1"/>
  <c r="AC177" i="19"/>
  <c r="AD177" i="19" s="1"/>
  <c r="F179" i="19"/>
  <c r="K178" i="19"/>
  <c r="I178" i="19" s="1"/>
  <c r="G178" i="19"/>
  <c r="J178" i="19" s="1"/>
  <c r="F177" i="18"/>
  <c r="G177" i="18" s="1"/>
  <c r="J177" i="18" s="1"/>
  <c r="K176" i="18"/>
  <c r="I176" i="18" s="1"/>
  <c r="L176" i="18" s="1"/>
  <c r="H248" i="18"/>
  <c r="Q247" i="18"/>
  <c r="T182" i="6"/>
  <c r="U182" i="6" s="1"/>
  <c r="Z182" i="6" s="1"/>
  <c r="V182" i="6"/>
  <c r="W182" i="6" s="1"/>
  <c r="X182" i="6" s="1"/>
  <c r="I183" i="6"/>
  <c r="H184" i="6"/>
  <c r="G183" i="6"/>
  <c r="Q183" i="6"/>
  <c r="S183" i="6" s="1"/>
  <c r="P182" i="6"/>
  <c r="J182" i="6"/>
  <c r="K185" i="6"/>
  <c r="F186" i="6"/>
  <c r="L182" i="6"/>
  <c r="AA182" i="6" s="1"/>
  <c r="AC182" i="6"/>
  <c r="AD182" i="6" s="1"/>
  <c r="L178" i="19" l="1"/>
  <c r="AC178" i="19"/>
  <c r="AD178" i="19" s="1"/>
  <c r="F180" i="19"/>
  <c r="K179" i="19"/>
  <c r="I179" i="19" s="1"/>
  <c r="G179" i="19"/>
  <c r="J179" i="19" s="1"/>
  <c r="K177" i="18"/>
  <c r="I177" i="18" s="1"/>
  <c r="L177" i="18" s="1"/>
  <c r="F178" i="18"/>
  <c r="G178" i="18" s="1"/>
  <c r="J178" i="18" s="1"/>
  <c r="H249" i="18"/>
  <c r="Q248" i="18"/>
  <c r="T183" i="6"/>
  <c r="U183" i="6" s="1"/>
  <c r="Z183" i="6" s="1"/>
  <c r="V183" i="6"/>
  <c r="W183" i="6" s="1"/>
  <c r="X183" i="6" s="1"/>
  <c r="AC183" i="6"/>
  <c r="AD183" i="6" s="1"/>
  <c r="L183" i="6"/>
  <c r="AA183" i="6" s="1"/>
  <c r="Y182" i="6"/>
  <c r="P183" i="6"/>
  <c r="J183" i="6"/>
  <c r="K186" i="6"/>
  <c r="F187" i="6"/>
  <c r="I184" i="6"/>
  <c r="Q184" i="6"/>
  <c r="S184" i="6" s="1"/>
  <c r="H185" i="6"/>
  <c r="G184" i="6"/>
  <c r="L179" i="19" l="1"/>
  <c r="AC179" i="19"/>
  <c r="AD179" i="19" s="1"/>
  <c r="K180" i="19"/>
  <c r="I180" i="19" s="1"/>
  <c r="F181" i="19"/>
  <c r="G180" i="19"/>
  <c r="J180" i="19" s="1"/>
  <c r="F179" i="18"/>
  <c r="G179" i="18" s="1"/>
  <c r="J179" i="18" s="1"/>
  <c r="K178" i="18"/>
  <c r="I178" i="18" s="1"/>
  <c r="L178" i="18" s="1"/>
  <c r="H250" i="18"/>
  <c r="Q249" i="18"/>
  <c r="T184" i="6"/>
  <c r="U184" i="6" s="1"/>
  <c r="Z184" i="6" s="1"/>
  <c r="V184" i="6"/>
  <c r="W184" i="6" s="1"/>
  <c r="X184" i="6" s="1"/>
  <c r="AC184" i="6"/>
  <c r="AD184" i="6" s="1"/>
  <c r="L184" i="6"/>
  <c r="AA184" i="6" s="1"/>
  <c r="Q185" i="6"/>
  <c r="S185" i="6" s="1"/>
  <c r="I185" i="6"/>
  <c r="G185" i="6"/>
  <c r="H186" i="6"/>
  <c r="Y183" i="6"/>
  <c r="J184" i="6"/>
  <c r="P184" i="6"/>
  <c r="F188" i="6"/>
  <c r="K187" i="6"/>
  <c r="L180" i="19" l="1"/>
  <c r="AC180" i="19"/>
  <c r="AD180" i="19" s="1"/>
  <c r="K181" i="19"/>
  <c r="I181" i="19" s="1"/>
  <c r="F182" i="19"/>
  <c r="G181" i="19"/>
  <c r="J181" i="19" s="1"/>
  <c r="K179" i="18"/>
  <c r="I179" i="18" s="1"/>
  <c r="L179" i="18" s="1"/>
  <c r="F180" i="18"/>
  <c r="G180" i="18" s="1"/>
  <c r="J180" i="18" s="1"/>
  <c r="H251" i="18"/>
  <c r="Q250" i="18"/>
  <c r="T185" i="6"/>
  <c r="U185" i="6" s="1"/>
  <c r="Z185" i="6" s="1"/>
  <c r="V185" i="6"/>
  <c r="W185" i="6" s="1"/>
  <c r="X185" i="6" s="1"/>
  <c r="Y185" i="6" s="1"/>
  <c r="L185" i="6"/>
  <c r="AA185" i="6" s="1"/>
  <c r="AC185" i="6"/>
  <c r="AD185" i="6" s="1"/>
  <c r="P185" i="6"/>
  <c r="J185" i="6"/>
  <c r="Y184" i="6"/>
  <c r="K188" i="6"/>
  <c r="F189" i="6"/>
  <c r="G186" i="6"/>
  <c r="Q186" i="6"/>
  <c r="S186" i="6" s="1"/>
  <c r="I186" i="6"/>
  <c r="H187" i="6"/>
  <c r="L181" i="19" l="1"/>
  <c r="AC181" i="19"/>
  <c r="AD181" i="19" s="1"/>
  <c r="F183" i="19"/>
  <c r="K182" i="19"/>
  <c r="I182" i="19" s="1"/>
  <c r="G182" i="19"/>
  <c r="J182" i="19" s="1"/>
  <c r="K180" i="18"/>
  <c r="I180" i="18" s="1"/>
  <c r="L180" i="18" s="1"/>
  <c r="F181" i="18"/>
  <c r="G181" i="18" s="1"/>
  <c r="J181" i="18" s="1"/>
  <c r="H252" i="18"/>
  <c r="Q251" i="18"/>
  <c r="T186" i="6"/>
  <c r="U186" i="6" s="1"/>
  <c r="Z186" i="6" s="1"/>
  <c r="V186" i="6"/>
  <c r="W186" i="6" s="1"/>
  <c r="X186" i="6" s="1"/>
  <c r="F190" i="6"/>
  <c r="K189" i="6"/>
  <c r="P186" i="6"/>
  <c r="J186" i="6"/>
  <c r="L186" i="6"/>
  <c r="AA186" i="6" s="1"/>
  <c r="AC186" i="6"/>
  <c r="AD186" i="6" s="1"/>
  <c r="G187" i="6"/>
  <c r="Q187" i="6"/>
  <c r="S187" i="6" s="1"/>
  <c r="I187" i="6"/>
  <c r="H188" i="6"/>
  <c r="L182" i="19" l="1"/>
  <c r="AC182" i="19"/>
  <c r="AD182" i="19" s="1"/>
  <c r="F184" i="19"/>
  <c r="K183" i="19"/>
  <c r="I183" i="19" s="1"/>
  <c r="G183" i="19"/>
  <c r="J183" i="19" s="1"/>
  <c r="K181" i="18"/>
  <c r="I181" i="18" s="1"/>
  <c r="L181" i="18" s="1"/>
  <c r="F182" i="18"/>
  <c r="G182" i="18" s="1"/>
  <c r="J182" i="18" s="1"/>
  <c r="H253" i="18"/>
  <c r="Q252" i="18"/>
  <c r="T187" i="6"/>
  <c r="U187" i="6" s="1"/>
  <c r="Z187" i="6" s="1"/>
  <c r="V187" i="6"/>
  <c r="W187" i="6" s="1"/>
  <c r="X187" i="6" s="1"/>
  <c r="J187" i="6"/>
  <c r="P187" i="6"/>
  <c r="K190" i="6"/>
  <c r="F191" i="6"/>
  <c r="Q188" i="6"/>
  <c r="S188" i="6" s="1"/>
  <c r="G188" i="6"/>
  <c r="H189" i="6"/>
  <c r="I188" i="6"/>
  <c r="L187" i="6"/>
  <c r="AA187" i="6" s="1"/>
  <c r="AC187" i="6"/>
  <c r="AD187" i="6" s="1"/>
  <c r="Y186" i="6"/>
  <c r="L183" i="19" l="1"/>
  <c r="AC183" i="19"/>
  <c r="AD183" i="19" s="1"/>
  <c r="F185" i="19"/>
  <c r="K184" i="19"/>
  <c r="I184" i="19" s="1"/>
  <c r="G184" i="19"/>
  <c r="J184" i="19" s="1"/>
  <c r="K182" i="18"/>
  <c r="I182" i="18" s="1"/>
  <c r="L182" i="18" s="1"/>
  <c r="F183" i="18"/>
  <c r="G183" i="18" s="1"/>
  <c r="J183" i="18" s="1"/>
  <c r="H254" i="18"/>
  <c r="Q253" i="18"/>
  <c r="Y187" i="6"/>
  <c r="T188" i="6"/>
  <c r="U188" i="6" s="1"/>
  <c r="Z188" i="6" s="1"/>
  <c r="V188" i="6"/>
  <c r="W188" i="6" s="1"/>
  <c r="X188" i="6" s="1"/>
  <c r="Y188" i="6" s="1"/>
  <c r="F192" i="6"/>
  <c r="K191" i="6"/>
  <c r="P188" i="6"/>
  <c r="J188" i="6"/>
  <c r="AC188" i="6"/>
  <c r="AD188" i="6" s="1"/>
  <c r="L188" i="6"/>
  <c r="AA188" i="6" s="1"/>
  <c r="H190" i="6"/>
  <c r="Q189" i="6"/>
  <c r="S189" i="6" s="1"/>
  <c r="I189" i="6"/>
  <c r="G189" i="6"/>
  <c r="L184" i="19" l="1"/>
  <c r="AC184" i="19"/>
  <c r="AD184" i="19" s="1"/>
  <c r="K185" i="19"/>
  <c r="I185" i="19" s="1"/>
  <c r="F186" i="19"/>
  <c r="G185" i="19"/>
  <c r="J185" i="19" s="1"/>
  <c r="F184" i="18"/>
  <c r="G184" i="18" s="1"/>
  <c r="J184" i="18" s="1"/>
  <c r="K183" i="18"/>
  <c r="I183" i="18" s="1"/>
  <c r="L183" i="18" s="1"/>
  <c r="H255" i="18"/>
  <c r="Q254" i="18"/>
  <c r="T189" i="6"/>
  <c r="U189" i="6" s="1"/>
  <c r="Z189" i="6" s="1"/>
  <c r="V189" i="6"/>
  <c r="W189" i="6" s="1"/>
  <c r="X189" i="6" s="1"/>
  <c r="I190" i="6"/>
  <c r="H191" i="6"/>
  <c r="G190" i="6"/>
  <c r="Q190" i="6"/>
  <c r="S190" i="6" s="1"/>
  <c r="J189" i="6"/>
  <c r="P189" i="6"/>
  <c r="AC189" i="6"/>
  <c r="AD189" i="6" s="1"/>
  <c r="L189" i="6"/>
  <c r="AA189" i="6" s="1"/>
  <c r="K192" i="6"/>
  <c r="F193" i="6"/>
  <c r="L185" i="19" l="1"/>
  <c r="AC185" i="19"/>
  <c r="AD185" i="19" s="1"/>
  <c r="F187" i="19"/>
  <c r="K186" i="19"/>
  <c r="I186" i="19" s="1"/>
  <c r="G186" i="19"/>
  <c r="J186" i="19" s="1"/>
  <c r="K184" i="18"/>
  <c r="I184" i="18" s="1"/>
  <c r="L184" i="18" s="1"/>
  <c r="F185" i="18"/>
  <c r="G185" i="18" s="1"/>
  <c r="J185" i="18" s="1"/>
  <c r="H256" i="18"/>
  <c r="Q255" i="18"/>
  <c r="Y189" i="6"/>
  <c r="T190" i="6"/>
  <c r="U190" i="6" s="1"/>
  <c r="Z190" i="6" s="1"/>
  <c r="V190" i="6"/>
  <c r="W190" i="6" s="1"/>
  <c r="X190" i="6" s="1"/>
  <c r="AC190" i="6"/>
  <c r="AD190" i="6" s="1"/>
  <c r="L190" i="6"/>
  <c r="AA190" i="6" s="1"/>
  <c r="F194" i="6"/>
  <c r="K193" i="6"/>
  <c r="J190" i="6"/>
  <c r="P190" i="6"/>
  <c r="G191" i="6"/>
  <c r="Q191" i="6"/>
  <c r="S191" i="6" s="1"/>
  <c r="H192" i="6"/>
  <c r="I191" i="6"/>
  <c r="L186" i="19" l="1"/>
  <c r="AC186" i="19"/>
  <c r="AD186" i="19" s="1"/>
  <c r="K187" i="19"/>
  <c r="I187" i="19" s="1"/>
  <c r="G187" i="19"/>
  <c r="J187" i="19" s="1"/>
  <c r="K185" i="18"/>
  <c r="I185" i="18" s="1"/>
  <c r="L185" i="18" s="1"/>
  <c r="F186" i="18"/>
  <c r="G186" i="18" s="1"/>
  <c r="J186" i="18" s="1"/>
  <c r="H257" i="18"/>
  <c r="Q256" i="18"/>
  <c r="T191" i="6"/>
  <c r="U191" i="6" s="1"/>
  <c r="Z191" i="6" s="1"/>
  <c r="V191" i="6"/>
  <c r="W191" i="6" s="1"/>
  <c r="X191" i="6" s="1"/>
  <c r="L191" i="6"/>
  <c r="AA191" i="6" s="1"/>
  <c r="AC191" i="6"/>
  <c r="AD191" i="6" s="1"/>
  <c r="J191" i="6"/>
  <c r="P191" i="6"/>
  <c r="K194" i="6"/>
  <c r="F195" i="6"/>
  <c r="Y190" i="6"/>
  <c r="I192" i="6"/>
  <c r="Q192" i="6"/>
  <c r="S192" i="6" s="1"/>
  <c r="G192" i="6"/>
  <c r="H193" i="6"/>
  <c r="L187" i="19" l="1"/>
  <c r="AC187" i="19"/>
  <c r="AD187" i="19" s="1"/>
  <c r="K186" i="18"/>
  <c r="I186" i="18" s="1"/>
  <c r="L186" i="18" s="1"/>
  <c r="F187" i="18"/>
  <c r="G187" i="18" s="1"/>
  <c r="J187" i="18" s="1"/>
  <c r="H258" i="18"/>
  <c r="Q257" i="18"/>
  <c r="T192" i="6"/>
  <c r="U192" i="6" s="1"/>
  <c r="Z192" i="6" s="1"/>
  <c r="V192" i="6"/>
  <c r="Y191" i="6"/>
  <c r="P192" i="6"/>
  <c r="J192" i="6"/>
  <c r="F196" i="6"/>
  <c r="K195" i="6"/>
  <c r="H194" i="6"/>
  <c r="G193" i="6"/>
  <c r="I193" i="6"/>
  <c r="Q193" i="6"/>
  <c r="S193" i="6" s="1"/>
  <c r="L192" i="6"/>
  <c r="AA192" i="6" s="1"/>
  <c r="AC192" i="6"/>
  <c r="AD192" i="6" s="1"/>
  <c r="K187" i="18" l="1"/>
  <c r="I187" i="18" s="1"/>
  <c r="L187" i="18" s="1"/>
  <c r="F188" i="18"/>
  <c r="G188" i="18" s="1"/>
  <c r="J188" i="18" s="1"/>
  <c r="W192" i="6"/>
  <c r="X192" i="6" s="1"/>
  <c r="Y192" i="6" s="1"/>
  <c r="H259" i="18"/>
  <c r="Q258" i="18"/>
  <c r="T193" i="6"/>
  <c r="U193" i="6" s="1"/>
  <c r="Z193" i="6" s="1"/>
  <c r="V193" i="6"/>
  <c r="W193" i="6" s="1"/>
  <c r="X193" i="6" s="1"/>
  <c r="P193" i="6"/>
  <c r="J193" i="6"/>
  <c r="K196" i="6"/>
  <c r="F197" i="6"/>
  <c r="G194" i="6"/>
  <c r="I194" i="6"/>
  <c r="H195" i="6"/>
  <c r="Q194" i="6"/>
  <c r="S194" i="6" s="1"/>
  <c r="AC193" i="6"/>
  <c r="AD193" i="6" s="1"/>
  <c r="L193" i="6"/>
  <c r="AA193" i="6" s="1"/>
  <c r="F189" i="18" l="1"/>
  <c r="G189" i="18" s="1"/>
  <c r="J189" i="18" s="1"/>
  <c r="K188" i="18"/>
  <c r="I188" i="18" s="1"/>
  <c r="L188" i="18" s="1"/>
  <c r="Y193" i="6"/>
  <c r="H260" i="18"/>
  <c r="Q259" i="18"/>
  <c r="T194" i="6"/>
  <c r="U194" i="6" s="1"/>
  <c r="Z194" i="6" s="1"/>
  <c r="V194" i="6"/>
  <c r="W194" i="6" s="1"/>
  <c r="X194" i="6" s="1"/>
  <c r="Q195" i="6"/>
  <c r="S195" i="6" s="1"/>
  <c r="H196" i="6"/>
  <c r="I195" i="6"/>
  <c r="G195" i="6"/>
  <c r="AC194" i="6"/>
  <c r="AD194" i="6" s="1"/>
  <c r="L194" i="6"/>
  <c r="AA194" i="6" s="1"/>
  <c r="P194" i="6"/>
  <c r="J194" i="6"/>
  <c r="F198" i="6"/>
  <c r="K197" i="6"/>
  <c r="K189" i="18" l="1"/>
  <c r="I189" i="18" s="1"/>
  <c r="L189" i="18" s="1"/>
  <c r="F190" i="18"/>
  <c r="G190" i="18" s="1"/>
  <c r="J190" i="18" s="1"/>
  <c r="H261" i="18"/>
  <c r="Q260" i="18"/>
  <c r="T195" i="6"/>
  <c r="U195" i="6" s="1"/>
  <c r="Z195" i="6" s="1"/>
  <c r="V195" i="6"/>
  <c r="W195" i="6" s="1"/>
  <c r="X195" i="6" s="1"/>
  <c r="P195" i="6"/>
  <c r="J195" i="6"/>
  <c r="AC195" i="6"/>
  <c r="AD195" i="6" s="1"/>
  <c r="L195" i="6"/>
  <c r="AA195" i="6" s="1"/>
  <c r="Y194" i="6"/>
  <c r="K198" i="6"/>
  <c r="F199" i="6"/>
  <c r="Q196" i="6"/>
  <c r="S196" i="6" s="1"/>
  <c r="H197" i="6"/>
  <c r="I196" i="6"/>
  <c r="G196" i="6"/>
  <c r="F191" i="18" l="1"/>
  <c r="G191" i="18" s="1"/>
  <c r="J191" i="18" s="1"/>
  <c r="K190" i="18"/>
  <c r="I190" i="18" s="1"/>
  <c r="L190" i="18" s="1"/>
  <c r="H262" i="18"/>
  <c r="Q261" i="18"/>
  <c r="T196" i="6"/>
  <c r="U196" i="6" s="1"/>
  <c r="Z196" i="6" s="1"/>
  <c r="V196" i="6"/>
  <c r="W196" i="6" s="1"/>
  <c r="X196" i="6" s="1"/>
  <c r="Y195" i="6"/>
  <c r="F200" i="6"/>
  <c r="K199" i="6"/>
  <c r="AC196" i="6"/>
  <c r="AD196" i="6" s="1"/>
  <c r="L196" i="6"/>
  <c r="AA196" i="6" s="1"/>
  <c r="G197" i="6"/>
  <c r="I197" i="6"/>
  <c r="H198" i="6"/>
  <c r="Q197" i="6"/>
  <c r="S197" i="6" s="1"/>
  <c r="P196" i="6"/>
  <c r="J196" i="6"/>
  <c r="F192" i="18" l="1"/>
  <c r="G192" i="18" s="1"/>
  <c r="J192" i="18" s="1"/>
  <c r="K191" i="18"/>
  <c r="I191" i="18" s="1"/>
  <c r="L191" i="18" s="1"/>
  <c r="H263" i="18"/>
  <c r="Q262" i="18"/>
  <c r="T197" i="6"/>
  <c r="U197" i="6" s="1"/>
  <c r="Z197" i="6" s="1"/>
  <c r="V197" i="6"/>
  <c r="W197" i="6" s="1"/>
  <c r="X197" i="6" s="1"/>
  <c r="Y197" i="6" s="1"/>
  <c r="AC197" i="6"/>
  <c r="AD197" i="6" s="1"/>
  <c r="L197" i="6"/>
  <c r="AA197" i="6" s="1"/>
  <c r="P197" i="6"/>
  <c r="J197" i="6"/>
  <c r="Y196" i="6"/>
  <c r="Q198" i="6"/>
  <c r="S198" i="6" s="1"/>
  <c r="G198" i="6"/>
  <c r="I198" i="6"/>
  <c r="H199" i="6"/>
  <c r="K200" i="6"/>
  <c r="F201" i="6"/>
  <c r="K192" i="18" l="1"/>
  <c r="I192" i="18" s="1"/>
  <c r="L192" i="18" s="1"/>
  <c r="F193" i="18"/>
  <c r="G193" i="18" s="1"/>
  <c r="J193" i="18" s="1"/>
  <c r="H264" i="18"/>
  <c r="Q263" i="18"/>
  <c r="T198" i="6"/>
  <c r="U198" i="6" s="1"/>
  <c r="Z198" i="6" s="1"/>
  <c r="V198" i="6"/>
  <c r="W198" i="6" s="1"/>
  <c r="X198" i="6" s="1"/>
  <c r="G199" i="6"/>
  <c r="H200" i="6"/>
  <c r="I199" i="6"/>
  <c r="Q199" i="6"/>
  <c r="S199" i="6" s="1"/>
  <c r="F202" i="6"/>
  <c r="K201" i="6"/>
  <c r="AC198" i="6"/>
  <c r="AD198" i="6" s="1"/>
  <c r="L198" i="6"/>
  <c r="AA198" i="6" s="1"/>
  <c r="J198" i="6"/>
  <c r="P198" i="6"/>
  <c r="K193" i="18" l="1"/>
  <c r="I193" i="18" s="1"/>
  <c r="L193" i="18" s="1"/>
  <c r="F194" i="18"/>
  <c r="G194" i="18" s="1"/>
  <c r="J194" i="18" s="1"/>
  <c r="H265" i="18"/>
  <c r="Q264" i="18"/>
  <c r="T199" i="6"/>
  <c r="U199" i="6" s="1"/>
  <c r="Z199" i="6" s="1"/>
  <c r="V199" i="6"/>
  <c r="W199" i="6" s="1"/>
  <c r="X199" i="6" s="1"/>
  <c r="Y199" i="6" s="1"/>
  <c r="P199" i="6"/>
  <c r="J199" i="6"/>
  <c r="L199" i="6"/>
  <c r="AA199" i="6" s="1"/>
  <c r="AC199" i="6"/>
  <c r="AD199" i="6" s="1"/>
  <c r="Y198" i="6"/>
  <c r="K202" i="6"/>
  <c r="F203" i="6"/>
  <c r="G200" i="6"/>
  <c r="H201" i="6"/>
  <c r="Q200" i="6"/>
  <c r="S200" i="6" s="1"/>
  <c r="I200" i="6"/>
  <c r="K194" i="18" l="1"/>
  <c r="I194" i="18" s="1"/>
  <c r="L194" i="18" s="1"/>
  <c r="F195" i="18"/>
  <c r="G195" i="18" s="1"/>
  <c r="J195" i="18" s="1"/>
  <c r="H266" i="18"/>
  <c r="Q265" i="18"/>
  <c r="T200" i="6"/>
  <c r="U200" i="6" s="1"/>
  <c r="Z200" i="6" s="1"/>
  <c r="V200" i="6"/>
  <c r="W200" i="6" s="1"/>
  <c r="X200" i="6" s="1"/>
  <c r="F204" i="6"/>
  <c r="K203" i="6"/>
  <c r="G201" i="6"/>
  <c r="H202" i="6"/>
  <c r="Q201" i="6"/>
  <c r="S201" i="6" s="1"/>
  <c r="I201" i="6"/>
  <c r="L200" i="6"/>
  <c r="AA200" i="6" s="1"/>
  <c r="AC200" i="6"/>
  <c r="AD200" i="6" s="1"/>
  <c r="J200" i="6"/>
  <c r="P200" i="6"/>
  <c r="K195" i="18" l="1"/>
  <c r="I195" i="18" s="1"/>
  <c r="L195" i="18" s="1"/>
  <c r="F196" i="18"/>
  <c r="G196" i="18" s="1"/>
  <c r="J196" i="18" s="1"/>
  <c r="H267" i="18"/>
  <c r="Q266" i="18"/>
  <c r="T201" i="6"/>
  <c r="U201" i="6" s="1"/>
  <c r="Z201" i="6" s="1"/>
  <c r="V201" i="6"/>
  <c r="K204" i="6"/>
  <c r="F205" i="6"/>
  <c r="Y200" i="6"/>
  <c r="P201" i="6"/>
  <c r="J201" i="6"/>
  <c r="AC201" i="6"/>
  <c r="AD201" i="6" s="1"/>
  <c r="L201" i="6"/>
  <c r="AA201" i="6" s="1"/>
  <c r="G202" i="6"/>
  <c r="H203" i="6"/>
  <c r="Q202" i="6"/>
  <c r="S202" i="6" s="1"/>
  <c r="I202" i="6"/>
  <c r="K196" i="18" l="1"/>
  <c r="I196" i="18" s="1"/>
  <c r="L196" i="18" s="1"/>
  <c r="F197" i="18"/>
  <c r="G197" i="18" s="1"/>
  <c r="J197" i="18" s="1"/>
  <c r="W201" i="6"/>
  <c r="X201" i="6" s="1"/>
  <c r="H268" i="18"/>
  <c r="Q267" i="18"/>
  <c r="Y201" i="6"/>
  <c r="T202" i="6"/>
  <c r="U202" i="6" s="1"/>
  <c r="Z202" i="6" s="1"/>
  <c r="V202" i="6"/>
  <c r="W202" i="6" s="1"/>
  <c r="X202" i="6" s="1"/>
  <c r="F206" i="6"/>
  <c r="K205" i="6"/>
  <c r="I203" i="6"/>
  <c r="H204" i="6"/>
  <c r="G203" i="6"/>
  <c r="Q203" i="6"/>
  <c r="S203" i="6" s="1"/>
  <c r="L202" i="6"/>
  <c r="AA202" i="6" s="1"/>
  <c r="AC202" i="6"/>
  <c r="AD202" i="6" s="1"/>
  <c r="P202" i="6"/>
  <c r="J202" i="6"/>
  <c r="F198" i="18" l="1"/>
  <c r="G198" i="18" s="1"/>
  <c r="J198" i="18" s="1"/>
  <c r="K197" i="18"/>
  <c r="I197" i="18" s="1"/>
  <c r="L197" i="18" s="1"/>
  <c r="H269" i="18"/>
  <c r="Q268" i="18"/>
  <c r="T203" i="6"/>
  <c r="U203" i="6" s="1"/>
  <c r="Z203" i="6" s="1"/>
  <c r="V203" i="6"/>
  <c r="W203" i="6" s="1"/>
  <c r="X203" i="6" s="1"/>
  <c r="L203" i="6"/>
  <c r="AA203" i="6" s="1"/>
  <c r="AC203" i="6"/>
  <c r="AD203" i="6" s="1"/>
  <c r="J203" i="6"/>
  <c r="P203" i="6"/>
  <c r="Y202" i="6"/>
  <c r="G204" i="6"/>
  <c r="H205" i="6"/>
  <c r="I204" i="6"/>
  <c r="Q204" i="6"/>
  <c r="S204" i="6" s="1"/>
  <c r="F207" i="6"/>
  <c r="K206" i="6"/>
  <c r="K198" i="18" l="1"/>
  <c r="I198" i="18" s="1"/>
  <c r="L198" i="18" s="1"/>
  <c r="F199" i="18"/>
  <c r="G199" i="18" s="1"/>
  <c r="J199" i="18" s="1"/>
  <c r="H270" i="18"/>
  <c r="Q269" i="18"/>
  <c r="T204" i="6"/>
  <c r="U204" i="6" s="1"/>
  <c r="Z204" i="6" s="1"/>
  <c r="V204" i="6"/>
  <c r="W204" i="6" s="1"/>
  <c r="X204" i="6" s="1"/>
  <c r="AC204" i="6"/>
  <c r="AD204" i="6" s="1"/>
  <c r="L204" i="6"/>
  <c r="AA204" i="6" s="1"/>
  <c r="Y203" i="6"/>
  <c r="K207" i="6"/>
  <c r="F208" i="6"/>
  <c r="Q205" i="6"/>
  <c r="S205" i="6" s="1"/>
  <c r="H206" i="6"/>
  <c r="I205" i="6"/>
  <c r="G205" i="6"/>
  <c r="P204" i="6"/>
  <c r="J204" i="6"/>
  <c r="F200" i="18" l="1"/>
  <c r="G200" i="18" s="1"/>
  <c r="J200" i="18" s="1"/>
  <c r="K199" i="18"/>
  <c r="I199" i="18" s="1"/>
  <c r="L199" i="18" s="1"/>
  <c r="H271" i="18"/>
  <c r="Q270" i="18"/>
  <c r="T205" i="6"/>
  <c r="U205" i="6" s="1"/>
  <c r="Z205" i="6" s="1"/>
  <c r="V205" i="6"/>
  <c r="W205" i="6" s="1"/>
  <c r="X205" i="6" s="1"/>
  <c r="H207" i="6"/>
  <c r="Q206" i="6"/>
  <c r="S206" i="6" s="1"/>
  <c r="G206" i="6"/>
  <c r="I206" i="6"/>
  <c r="P205" i="6"/>
  <c r="J205" i="6"/>
  <c r="Y204" i="6"/>
  <c r="F209" i="6"/>
  <c r="K208" i="6"/>
  <c r="AC205" i="6"/>
  <c r="AD205" i="6" s="1"/>
  <c r="L205" i="6"/>
  <c r="AA205" i="6" s="1"/>
  <c r="K200" i="18" l="1"/>
  <c r="I200" i="18" s="1"/>
  <c r="L200" i="18" s="1"/>
  <c r="F201" i="18"/>
  <c r="G201" i="18" s="1"/>
  <c r="J201" i="18" s="1"/>
  <c r="H272" i="18"/>
  <c r="Q271" i="18"/>
  <c r="Y205" i="6"/>
  <c r="T206" i="6"/>
  <c r="U206" i="6" s="1"/>
  <c r="Z206" i="6" s="1"/>
  <c r="V206" i="6"/>
  <c r="G207" i="6"/>
  <c r="I207" i="6"/>
  <c r="Q207" i="6"/>
  <c r="S207" i="6" s="1"/>
  <c r="H208" i="6"/>
  <c r="AC206" i="6"/>
  <c r="AD206" i="6" s="1"/>
  <c r="L206" i="6"/>
  <c r="AA206" i="6" s="1"/>
  <c r="P206" i="6"/>
  <c r="J206" i="6"/>
  <c r="K209" i="6"/>
  <c r="F210" i="6"/>
  <c r="K201" i="18" l="1"/>
  <c r="I201" i="18" s="1"/>
  <c r="L201" i="18" s="1"/>
  <c r="F202" i="18"/>
  <c r="G202" i="18" s="1"/>
  <c r="J202" i="18" s="1"/>
  <c r="W206" i="6"/>
  <c r="X206" i="6" s="1"/>
  <c r="H273" i="18"/>
  <c r="Q272" i="18"/>
  <c r="T207" i="6"/>
  <c r="U207" i="6" s="1"/>
  <c r="Z207" i="6" s="1"/>
  <c r="V207" i="6"/>
  <c r="W207" i="6" s="1"/>
  <c r="X207" i="6" s="1"/>
  <c r="Q208" i="6"/>
  <c r="S208" i="6" s="1"/>
  <c r="G208" i="6"/>
  <c r="H209" i="6"/>
  <c r="I208" i="6"/>
  <c r="J207" i="6"/>
  <c r="P207" i="6"/>
  <c r="F211" i="6"/>
  <c r="K210" i="6"/>
  <c r="Y206" i="6"/>
  <c r="AC207" i="6"/>
  <c r="AD207" i="6" s="1"/>
  <c r="L207" i="6"/>
  <c r="AA207" i="6" s="1"/>
  <c r="K202" i="18" l="1"/>
  <c r="I202" i="18" s="1"/>
  <c r="L202" i="18" s="1"/>
  <c r="F203" i="18"/>
  <c r="G203" i="18" s="1"/>
  <c r="J203" i="18" s="1"/>
  <c r="H274" i="18"/>
  <c r="Q273" i="18"/>
  <c r="T208" i="6"/>
  <c r="U208" i="6" s="1"/>
  <c r="Z208" i="6" s="1"/>
  <c r="V208" i="6"/>
  <c r="W208" i="6" s="1"/>
  <c r="X208" i="6" s="1"/>
  <c r="F212" i="6"/>
  <c r="K211" i="6"/>
  <c r="L208" i="6"/>
  <c r="AA208" i="6" s="1"/>
  <c r="AC208" i="6"/>
  <c r="AD208" i="6" s="1"/>
  <c r="Y207" i="6"/>
  <c r="H210" i="6"/>
  <c r="I209" i="6"/>
  <c r="G209" i="6"/>
  <c r="Q209" i="6"/>
  <c r="S209" i="6" s="1"/>
  <c r="J208" i="6"/>
  <c r="P208" i="6"/>
  <c r="K203" i="18" l="1"/>
  <c r="I203" i="18" s="1"/>
  <c r="L203" i="18" s="1"/>
  <c r="F204" i="18"/>
  <c r="G204" i="18" s="1"/>
  <c r="J204" i="18" s="1"/>
  <c r="H275" i="18"/>
  <c r="Q274" i="18"/>
  <c r="Y208" i="6"/>
  <c r="T209" i="6"/>
  <c r="U209" i="6" s="1"/>
  <c r="Z209" i="6" s="1"/>
  <c r="V209" i="6"/>
  <c r="W209" i="6" s="1"/>
  <c r="X209" i="6" s="1"/>
  <c r="L209" i="6"/>
  <c r="AA209" i="6" s="1"/>
  <c r="AC209" i="6"/>
  <c r="AD209" i="6" s="1"/>
  <c r="K212" i="6"/>
  <c r="F213" i="6"/>
  <c r="Q210" i="6"/>
  <c r="S210" i="6" s="1"/>
  <c r="G210" i="6"/>
  <c r="H211" i="6"/>
  <c r="I210" i="6"/>
  <c r="J209" i="6"/>
  <c r="P209" i="6"/>
  <c r="K204" i="18" l="1"/>
  <c r="I204" i="18" s="1"/>
  <c r="L204" i="18" s="1"/>
  <c r="F205" i="18"/>
  <c r="G205" i="18" s="1"/>
  <c r="J205" i="18" s="1"/>
  <c r="H276" i="18"/>
  <c r="Q275" i="18"/>
  <c r="T210" i="6"/>
  <c r="U210" i="6" s="1"/>
  <c r="Z210" i="6" s="1"/>
  <c r="V210" i="6"/>
  <c r="W210" i="6" s="1"/>
  <c r="X210" i="6" s="1"/>
  <c r="Y210" i="6" s="1"/>
  <c r="P210" i="6"/>
  <c r="J210" i="6"/>
  <c r="Y209" i="6"/>
  <c r="AC210" i="6"/>
  <c r="AD210" i="6" s="1"/>
  <c r="L210" i="6"/>
  <c r="AA210" i="6" s="1"/>
  <c r="G211" i="6"/>
  <c r="Q211" i="6"/>
  <c r="S211" i="6" s="1"/>
  <c r="H212" i="6"/>
  <c r="I211" i="6"/>
  <c r="F214" i="6"/>
  <c r="K213" i="6"/>
  <c r="K205" i="18" l="1"/>
  <c r="I205" i="18" s="1"/>
  <c r="L205" i="18" s="1"/>
  <c r="F206" i="18"/>
  <c r="G206" i="18" s="1"/>
  <c r="J206" i="18" s="1"/>
  <c r="H277" i="18"/>
  <c r="Q276" i="18"/>
  <c r="T211" i="6"/>
  <c r="U211" i="6" s="1"/>
  <c r="Z211" i="6" s="1"/>
  <c r="V211" i="6"/>
  <c r="W211" i="6" s="1"/>
  <c r="X211" i="6" s="1"/>
  <c r="F215" i="6"/>
  <c r="K214" i="6"/>
  <c r="Q212" i="6"/>
  <c r="S212" i="6" s="1"/>
  <c r="G212" i="6"/>
  <c r="I212" i="6"/>
  <c r="H213" i="6"/>
  <c r="L211" i="6"/>
  <c r="AA211" i="6" s="1"/>
  <c r="AC211" i="6"/>
  <c r="AD211" i="6" s="1"/>
  <c r="P211" i="6"/>
  <c r="J211" i="6"/>
  <c r="F207" i="18" l="1"/>
  <c r="G207" i="18" s="1"/>
  <c r="J207" i="18" s="1"/>
  <c r="K206" i="18"/>
  <c r="I206" i="18" s="1"/>
  <c r="L206" i="18" s="1"/>
  <c r="H278" i="18"/>
  <c r="Q277" i="18"/>
  <c r="T212" i="6"/>
  <c r="U212" i="6" s="1"/>
  <c r="Z212" i="6" s="1"/>
  <c r="V212" i="6"/>
  <c r="W212" i="6" s="1"/>
  <c r="X212" i="6" s="1"/>
  <c r="F216" i="6"/>
  <c r="K215" i="6"/>
  <c r="L212" i="6"/>
  <c r="AA212" i="6" s="1"/>
  <c r="AC212" i="6"/>
  <c r="AD212" i="6" s="1"/>
  <c r="Y211" i="6"/>
  <c r="Q213" i="6"/>
  <c r="S213" i="6" s="1"/>
  <c r="I213" i="6"/>
  <c r="H214" i="6"/>
  <c r="G213" i="6"/>
  <c r="P212" i="6"/>
  <c r="J212" i="6"/>
  <c r="F208" i="18" l="1"/>
  <c r="G208" i="18" s="1"/>
  <c r="J208" i="18" s="1"/>
  <c r="K207" i="18"/>
  <c r="I207" i="18" s="1"/>
  <c r="L207" i="18" s="1"/>
  <c r="H279" i="18"/>
  <c r="Q278" i="18"/>
  <c r="T213" i="6"/>
  <c r="U213" i="6" s="1"/>
  <c r="Z213" i="6" s="1"/>
  <c r="V213" i="6"/>
  <c r="W213" i="6" s="1"/>
  <c r="X213" i="6" s="1"/>
  <c r="F217" i="6"/>
  <c r="K216" i="6"/>
  <c r="Y212" i="6"/>
  <c r="H215" i="6"/>
  <c r="I214" i="6"/>
  <c r="Q214" i="6"/>
  <c r="S214" i="6" s="1"/>
  <c r="G214" i="6"/>
  <c r="J213" i="6"/>
  <c r="P213" i="6"/>
  <c r="AC213" i="6"/>
  <c r="AD213" i="6" s="1"/>
  <c r="L213" i="6"/>
  <c r="AA213" i="6" s="1"/>
  <c r="K208" i="18" l="1"/>
  <c r="I208" i="18" s="1"/>
  <c r="L208" i="18" s="1"/>
  <c r="F209" i="18"/>
  <c r="G209" i="18" s="1"/>
  <c r="J209" i="18" s="1"/>
  <c r="H280" i="18"/>
  <c r="Q279" i="18"/>
  <c r="T214" i="6"/>
  <c r="U214" i="6" s="1"/>
  <c r="Z214" i="6" s="1"/>
  <c r="V214" i="6"/>
  <c r="W214" i="6" s="1"/>
  <c r="X214" i="6" s="1"/>
  <c r="Y214" i="6" s="1"/>
  <c r="K217" i="6"/>
  <c r="F218" i="6"/>
  <c r="Y213" i="6"/>
  <c r="L214" i="6"/>
  <c r="AA214" i="6" s="1"/>
  <c r="AC214" i="6"/>
  <c r="AD214" i="6" s="1"/>
  <c r="J214" i="6"/>
  <c r="P214" i="6"/>
  <c r="Q215" i="6"/>
  <c r="S215" i="6" s="1"/>
  <c r="I215" i="6"/>
  <c r="G215" i="6"/>
  <c r="H216" i="6"/>
  <c r="F210" i="18" l="1"/>
  <c r="G210" i="18" s="1"/>
  <c r="J210" i="18" s="1"/>
  <c r="K209" i="18"/>
  <c r="I209" i="18" s="1"/>
  <c r="L209" i="18" s="1"/>
  <c r="H281" i="18"/>
  <c r="Q280" i="18"/>
  <c r="T215" i="6"/>
  <c r="U215" i="6" s="1"/>
  <c r="Z215" i="6" s="1"/>
  <c r="V215" i="6"/>
  <c r="W215" i="6" s="1"/>
  <c r="X215" i="6" s="1"/>
  <c r="H217" i="6"/>
  <c r="G216" i="6"/>
  <c r="Q216" i="6"/>
  <c r="S216" i="6" s="1"/>
  <c r="I216" i="6"/>
  <c r="P215" i="6"/>
  <c r="J215" i="6"/>
  <c r="K218" i="6"/>
  <c r="F219" i="6"/>
  <c r="AC215" i="6"/>
  <c r="AD215" i="6" s="1"/>
  <c r="L215" i="6"/>
  <c r="AA215" i="6" s="1"/>
  <c r="K210" i="18" l="1"/>
  <c r="I210" i="18" s="1"/>
  <c r="L210" i="18" s="1"/>
  <c r="F211" i="18"/>
  <c r="G211" i="18" s="1"/>
  <c r="J211" i="18" s="1"/>
  <c r="H282" i="18"/>
  <c r="Q281" i="18"/>
  <c r="Y215" i="6"/>
  <c r="T216" i="6"/>
  <c r="U216" i="6" s="1"/>
  <c r="Z216" i="6" s="1"/>
  <c r="V216" i="6"/>
  <c r="W216" i="6" s="1"/>
  <c r="X216" i="6" s="1"/>
  <c r="H218" i="6"/>
  <c r="I217" i="6"/>
  <c r="G217" i="6"/>
  <c r="Q217" i="6"/>
  <c r="S217" i="6" s="1"/>
  <c r="AC216" i="6"/>
  <c r="AD216" i="6" s="1"/>
  <c r="L216" i="6"/>
  <c r="AA216" i="6" s="1"/>
  <c r="J216" i="6"/>
  <c r="P216" i="6"/>
  <c r="F220" i="6"/>
  <c r="K219" i="6"/>
  <c r="K211" i="18" l="1"/>
  <c r="I211" i="18" s="1"/>
  <c r="L211" i="18" s="1"/>
  <c r="F212" i="18"/>
  <c r="G212" i="18" s="1"/>
  <c r="J212" i="18" s="1"/>
  <c r="H283" i="18"/>
  <c r="Q282" i="18"/>
  <c r="T217" i="6"/>
  <c r="U217" i="6" s="1"/>
  <c r="Z217" i="6" s="1"/>
  <c r="V217" i="6"/>
  <c r="W217" i="6" s="1"/>
  <c r="X217" i="6" s="1"/>
  <c r="H219" i="6"/>
  <c r="I218" i="6"/>
  <c r="G218" i="6"/>
  <c r="Q218" i="6"/>
  <c r="S218" i="6" s="1"/>
  <c r="Y216" i="6"/>
  <c r="P217" i="6"/>
  <c r="J217" i="6"/>
  <c r="K220" i="6"/>
  <c r="F221" i="6"/>
  <c r="L217" i="6"/>
  <c r="AA217" i="6" s="1"/>
  <c r="AC217" i="6"/>
  <c r="AD217" i="6" s="1"/>
  <c r="K212" i="18" l="1"/>
  <c r="I212" i="18" s="1"/>
  <c r="L212" i="18" s="1"/>
  <c r="F213" i="18"/>
  <c r="G213" i="18" s="1"/>
  <c r="J213" i="18" s="1"/>
  <c r="Y217" i="6"/>
  <c r="H284" i="18"/>
  <c r="Q283" i="18"/>
  <c r="T218" i="6"/>
  <c r="U218" i="6" s="1"/>
  <c r="Z218" i="6" s="1"/>
  <c r="V218" i="6"/>
  <c r="W218" i="6" s="1"/>
  <c r="X218" i="6" s="1"/>
  <c r="Q219" i="6"/>
  <c r="S219" i="6" s="1"/>
  <c r="H220" i="6"/>
  <c r="I219" i="6"/>
  <c r="G219" i="6"/>
  <c r="F222" i="6"/>
  <c r="K221" i="6"/>
  <c r="J218" i="6"/>
  <c r="P218" i="6"/>
  <c r="AC218" i="6"/>
  <c r="AD218" i="6" s="1"/>
  <c r="L218" i="6"/>
  <c r="AA218" i="6" s="1"/>
  <c r="K213" i="18" l="1"/>
  <c r="I213" i="18" s="1"/>
  <c r="L213" i="18" s="1"/>
  <c r="F214" i="18"/>
  <c r="G214" i="18" s="1"/>
  <c r="J214" i="18" s="1"/>
  <c r="H285" i="18"/>
  <c r="Q284" i="18"/>
  <c r="T219" i="6"/>
  <c r="U219" i="6" s="1"/>
  <c r="Z219" i="6" s="1"/>
  <c r="V219" i="6"/>
  <c r="W219" i="6" s="1"/>
  <c r="X219" i="6" s="1"/>
  <c r="J219" i="6"/>
  <c r="P219" i="6"/>
  <c r="Y218" i="6"/>
  <c r="F223" i="6"/>
  <c r="K222" i="6"/>
  <c r="L219" i="6"/>
  <c r="AA219" i="6" s="1"/>
  <c r="AC219" i="6"/>
  <c r="AD219" i="6" s="1"/>
  <c r="Q220" i="6"/>
  <c r="S220" i="6" s="1"/>
  <c r="G220" i="6"/>
  <c r="I220" i="6"/>
  <c r="H221" i="6"/>
  <c r="F215" i="18" l="1"/>
  <c r="G215" i="18" s="1"/>
  <c r="J215" i="18" s="1"/>
  <c r="K214" i="18"/>
  <c r="I214" i="18" s="1"/>
  <c r="L214" i="18" s="1"/>
  <c r="H286" i="18"/>
  <c r="Q285" i="18"/>
  <c r="Y219" i="6"/>
  <c r="T220" i="6"/>
  <c r="U220" i="6" s="1"/>
  <c r="Z220" i="6" s="1"/>
  <c r="V220" i="6"/>
  <c r="AC220" i="6"/>
  <c r="AD220" i="6" s="1"/>
  <c r="L220" i="6"/>
  <c r="AA220" i="6" s="1"/>
  <c r="K223" i="6"/>
  <c r="F224" i="6"/>
  <c r="J220" i="6"/>
  <c r="P220" i="6"/>
  <c r="H222" i="6"/>
  <c r="Q221" i="6"/>
  <c r="S221" i="6" s="1"/>
  <c r="I221" i="6"/>
  <c r="G221" i="6"/>
  <c r="K215" i="18" l="1"/>
  <c r="I215" i="18" s="1"/>
  <c r="L215" i="18" s="1"/>
  <c r="F216" i="18"/>
  <c r="G216" i="18" s="1"/>
  <c r="J216" i="18" s="1"/>
  <c r="W220" i="6"/>
  <c r="X220" i="6" s="1"/>
  <c r="H287" i="18"/>
  <c r="Q286" i="18"/>
  <c r="T221" i="6"/>
  <c r="U221" i="6" s="1"/>
  <c r="Z221" i="6" s="1"/>
  <c r="V221" i="6"/>
  <c r="W221" i="6" s="1"/>
  <c r="X221" i="6" s="1"/>
  <c r="F225" i="6"/>
  <c r="K224" i="6"/>
  <c r="Q222" i="6"/>
  <c r="S222" i="6" s="1"/>
  <c r="I222" i="6"/>
  <c r="H223" i="6"/>
  <c r="G222" i="6"/>
  <c r="AC221" i="6"/>
  <c r="AD221" i="6" s="1"/>
  <c r="L221" i="6"/>
  <c r="AA221" i="6" s="1"/>
  <c r="Y220" i="6"/>
  <c r="P221" i="6"/>
  <c r="J221" i="6"/>
  <c r="K216" i="18" l="1"/>
  <c r="I216" i="18" s="1"/>
  <c r="L216" i="18" s="1"/>
  <c r="F217" i="18"/>
  <c r="G217" i="18" s="1"/>
  <c r="J217" i="18" s="1"/>
  <c r="H288" i="18"/>
  <c r="Q287" i="18"/>
  <c r="T222" i="6"/>
  <c r="U222" i="6" s="1"/>
  <c r="Z222" i="6" s="1"/>
  <c r="V222" i="6"/>
  <c r="W222" i="6" s="1"/>
  <c r="X222" i="6" s="1"/>
  <c r="J222" i="6"/>
  <c r="P222" i="6"/>
  <c r="K225" i="6"/>
  <c r="F226" i="6"/>
  <c r="I223" i="6"/>
  <c r="H224" i="6"/>
  <c r="G223" i="6"/>
  <c r="Q223" i="6"/>
  <c r="S223" i="6" s="1"/>
  <c r="Y221" i="6"/>
  <c r="L222" i="6"/>
  <c r="AA222" i="6" s="1"/>
  <c r="AC222" i="6"/>
  <c r="AD222" i="6" s="1"/>
  <c r="K217" i="18" l="1"/>
  <c r="I217" i="18" s="1"/>
  <c r="L217" i="18" s="1"/>
  <c r="F218" i="18"/>
  <c r="G218" i="18" s="1"/>
  <c r="J218" i="18" s="1"/>
  <c r="H289" i="18"/>
  <c r="Q288" i="18"/>
  <c r="Y222" i="6"/>
  <c r="T223" i="6"/>
  <c r="U223" i="6" s="1"/>
  <c r="Z223" i="6" s="1"/>
  <c r="V223" i="6"/>
  <c r="W223" i="6" s="1"/>
  <c r="X223" i="6" s="1"/>
  <c r="H225" i="6"/>
  <c r="G224" i="6"/>
  <c r="I224" i="6"/>
  <c r="Q224" i="6"/>
  <c r="S224" i="6" s="1"/>
  <c r="L223" i="6"/>
  <c r="AA223" i="6" s="1"/>
  <c r="AC223" i="6"/>
  <c r="AD223" i="6" s="1"/>
  <c r="K226" i="6"/>
  <c r="F227" i="6"/>
  <c r="J223" i="6"/>
  <c r="P223" i="6"/>
  <c r="K218" i="18" l="1"/>
  <c r="I218" i="18" s="1"/>
  <c r="L218" i="18" s="1"/>
  <c r="F219" i="18"/>
  <c r="G219" i="18" s="1"/>
  <c r="J219" i="18" s="1"/>
  <c r="H290" i="18"/>
  <c r="Q289" i="18"/>
  <c r="T224" i="6"/>
  <c r="U224" i="6" s="1"/>
  <c r="Z224" i="6" s="1"/>
  <c r="V224" i="6"/>
  <c r="W224" i="6" s="1"/>
  <c r="X224" i="6" s="1"/>
  <c r="H226" i="6"/>
  <c r="G225" i="6"/>
  <c r="Q225" i="6"/>
  <c r="S225" i="6" s="1"/>
  <c r="I225" i="6"/>
  <c r="Y223" i="6"/>
  <c r="AC224" i="6"/>
  <c r="AD224" i="6" s="1"/>
  <c r="L224" i="6"/>
  <c r="AA224" i="6" s="1"/>
  <c r="K227" i="6"/>
  <c r="F228" i="6"/>
  <c r="J224" i="6"/>
  <c r="P224" i="6"/>
  <c r="K219" i="18" l="1"/>
  <c r="I219" i="18" s="1"/>
  <c r="L219" i="18" s="1"/>
  <c r="F220" i="18"/>
  <c r="G220" i="18" s="1"/>
  <c r="J220" i="18" s="1"/>
  <c r="H291" i="18"/>
  <c r="Q290" i="18"/>
  <c r="Y224" i="6"/>
  <c r="T225" i="6"/>
  <c r="U225" i="6" s="1"/>
  <c r="Z225" i="6" s="1"/>
  <c r="V225" i="6"/>
  <c r="W225" i="6" s="1"/>
  <c r="X225" i="6" s="1"/>
  <c r="AC225" i="6"/>
  <c r="AD225" i="6" s="1"/>
  <c r="L225" i="6"/>
  <c r="AA225" i="6" s="1"/>
  <c r="Q226" i="6"/>
  <c r="S226" i="6" s="1"/>
  <c r="H227" i="6"/>
  <c r="I226" i="6"/>
  <c r="G226" i="6"/>
  <c r="K228" i="6"/>
  <c r="F229" i="6"/>
  <c r="J225" i="6"/>
  <c r="P225" i="6"/>
  <c r="F221" i="18" l="1"/>
  <c r="G221" i="18" s="1"/>
  <c r="J221" i="18" s="1"/>
  <c r="K220" i="18"/>
  <c r="I220" i="18" s="1"/>
  <c r="L220" i="18" s="1"/>
  <c r="H292" i="18"/>
  <c r="Q291" i="18"/>
  <c r="T226" i="6"/>
  <c r="U226" i="6" s="1"/>
  <c r="Z226" i="6" s="1"/>
  <c r="V226" i="6"/>
  <c r="W226" i="6" s="1"/>
  <c r="X226" i="6" s="1"/>
  <c r="L226" i="6"/>
  <c r="AA226" i="6" s="1"/>
  <c r="AC226" i="6"/>
  <c r="AD226" i="6" s="1"/>
  <c r="F230" i="6"/>
  <c r="K229" i="6"/>
  <c r="Y225" i="6"/>
  <c r="H228" i="6"/>
  <c r="I227" i="6"/>
  <c r="G227" i="6"/>
  <c r="Q227" i="6"/>
  <c r="S227" i="6" s="1"/>
  <c r="P226" i="6"/>
  <c r="J226" i="6"/>
  <c r="K221" i="18" l="1"/>
  <c r="I221" i="18" s="1"/>
  <c r="L221" i="18" s="1"/>
  <c r="F222" i="18"/>
  <c r="G222" i="18" s="1"/>
  <c r="J222" i="18" s="1"/>
  <c r="H293" i="18"/>
  <c r="Q292" i="18"/>
  <c r="T227" i="6"/>
  <c r="U227" i="6" s="1"/>
  <c r="Z227" i="6" s="1"/>
  <c r="V227" i="6"/>
  <c r="W227" i="6" s="1"/>
  <c r="X227" i="6" s="1"/>
  <c r="Y227" i="6" s="1"/>
  <c r="L227" i="6"/>
  <c r="AA227" i="6" s="1"/>
  <c r="AC227" i="6"/>
  <c r="AD227" i="6" s="1"/>
  <c r="Y226" i="6"/>
  <c r="K230" i="6"/>
  <c r="F231" i="6"/>
  <c r="Q228" i="6"/>
  <c r="S228" i="6" s="1"/>
  <c r="I228" i="6"/>
  <c r="H229" i="6"/>
  <c r="G228" i="6"/>
  <c r="J227" i="6"/>
  <c r="P227" i="6"/>
  <c r="F223" i="18" l="1"/>
  <c r="G223" i="18" s="1"/>
  <c r="J223" i="18" s="1"/>
  <c r="K222" i="18"/>
  <c r="I222" i="18" s="1"/>
  <c r="L222" i="18" s="1"/>
  <c r="H294" i="18"/>
  <c r="Q293" i="18"/>
  <c r="T228" i="6"/>
  <c r="U228" i="6" s="1"/>
  <c r="Z228" i="6" s="1"/>
  <c r="V228" i="6"/>
  <c r="W228" i="6" s="1"/>
  <c r="X228" i="6" s="1"/>
  <c r="Y228" i="6" s="1"/>
  <c r="P228" i="6"/>
  <c r="J228" i="6"/>
  <c r="Q229" i="6"/>
  <c r="S229" i="6" s="1"/>
  <c r="I229" i="6"/>
  <c r="G229" i="6"/>
  <c r="H230" i="6"/>
  <c r="L228" i="6"/>
  <c r="AA228" i="6" s="1"/>
  <c r="AC228" i="6"/>
  <c r="AD228" i="6" s="1"/>
  <c r="F232" i="6"/>
  <c r="K231" i="6"/>
  <c r="K223" i="18" l="1"/>
  <c r="I223" i="18" s="1"/>
  <c r="L223" i="18" s="1"/>
  <c r="F224" i="18"/>
  <c r="G224" i="18" s="1"/>
  <c r="J224" i="18" s="1"/>
  <c r="H295" i="18"/>
  <c r="Q294" i="18"/>
  <c r="T229" i="6"/>
  <c r="U229" i="6" s="1"/>
  <c r="Z229" i="6" s="1"/>
  <c r="V229" i="6"/>
  <c r="W229" i="6" s="1"/>
  <c r="X229" i="6" s="1"/>
  <c r="L229" i="6"/>
  <c r="AA229" i="6" s="1"/>
  <c r="AC229" i="6"/>
  <c r="AD229" i="6" s="1"/>
  <c r="I230" i="6"/>
  <c r="Q230" i="6"/>
  <c r="S230" i="6" s="1"/>
  <c r="H231" i="6"/>
  <c r="G230" i="6"/>
  <c r="K232" i="6"/>
  <c r="F233" i="6"/>
  <c r="J229" i="6"/>
  <c r="P229" i="6"/>
  <c r="K224" i="18" l="1"/>
  <c r="I224" i="18" s="1"/>
  <c r="L224" i="18" s="1"/>
  <c r="F225" i="18"/>
  <c r="G225" i="18" s="1"/>
  <c r="J225" i="18" s="1"/>
  <c r="H296" i="18"/>
  <c r="Q295" i="18"/>
  <c r="T230" i="6"/>
  <c r="U230" i="6" s="1"/>
  <c r="Z230" i="6" s="1"/>
  <c r="V230" i="6"/>
  <c r="W230" i="6" s="1"/>
  <c r="X230" i="6" s="1"/>
  <c r="Y229" i="6"/>
  <c r="G231" i="6"/>
  <c r="H232" i="6"/>
  <c r="I231" i="6"/>
  <c r="Q231" i="6"/>
  <c r="S231" i="6" s="1"/>
  <c r="L230" i="6"/>
  <c r="AA230" i="6" s="1"/>
  <c r="AC230" i="6"/>
  <c r="AD230" i="6" s="1"/>
  <c r="F234" i="6"/>
  <c r="K233" i="6"/>
  <c r="P230" i="6"/>
  <c r="J230" i="6"/>
  <c r="K225" i="18" l="1"/>
  <c r="I225" i="18" s="1"/>
  <c r="L225" i="18" s="1"/>
  <c r="F226" i="18"/>
  <c r="G226" i="18" s="1"/>
  <c r="J226" i="18" s="1"/>
  <c r="H297" i="18"/>
  <c r="Q296" i="18"/>
  <c r="T231" i="6"/>
  <c r="U231" i="6" s="1"/>
  <c r="Z231" i="6" s="1"/>
  <c r="V231" i="6"/>
  <c r="W231" i="6" s="1"/>
  <c r="X231" i="6" s="1"/>
  <c r="K234" i="6"/>
  <c r="F235" i="6"/>
  <c r="L231" i="6"/>
  <c r="AA231" i="6" s="1"/>
  <c r="AC231" i="6"/>
  <c r="AD231" i="6" s="1"/>
  <c r="Y230" i="6"/>
  <c r="Q232" i="6"/>
  <c r="S232" i="6" s="1"/>
  <c r="H233" i="6"/>
  <c r="G232" i="6"/>
  <c r="I232" i="6"/>
  <c r="J231" i="6"/>
  <c r="P231" i="6"/>
  <c r="K226" i="18" l="1"/>
  <c r="I226" i="18" s="1"/>
  <c r="L226" i="18" s="1"/>
  <c r="F227" i="18"/>
  <c r="G227" i="18" s="1"/>
  <c r="J227" i="18" s="1"/>
  <c r="H298" i="18"/>
  <c r="Q297" i="18"/>
  <c r="Y231" i="6"/>
  <c r="T232" i="6"/>
  <c r="U232" i="6" s="1"/>
  <c r="Z232" i="6" s="1"/>
  <c r="V232" i="6"/>
  <c r="W232" i="6" s="1"/>
  <c r="X232" i="6" s="1"/>
  <c r="Q233" i="6"/>
  <c r="S233" i="6" s="1"/>
  <c r="I233" i="6"/>
  <c r="H234" i="6"/>
  <c r="G233" i="6"/>
  <c r="L232" i="6"/>
  <c r="AA232" i="6" s="1"/>
  <c r="AC232" i="6"/>
  <c r="AD232" i="6" s="1"/>
  <c r="J232" i="6"/>
  <c r="P232" i="6"/>
  <c r="K235" i="6"/>
  <c r="F236" i="6"/>
  <c r="K227" i="18" l="1"/>
  <c r="I227" i="18" s="1"/>
  <c r="L227" i="18" s="1"/>
  <c r="F228" i="18"/>
  <c r="G228" i="18" s="1"/>
  <c r="J228" i="18" s="1"/>
  <c r="H299" i="18"/>
  <c r="Q298" i="18"/>
  <c r="Y232" i="6"/>
  <c r="T233" i="6"/>
  <c r="U233" i="6" s="1"/>
  <c r="Z233" i="6" s="1"/>
  <c r="V233" i="6"/>
  <c r="W233" i="6" s="1"/>
  <c r="X233" i="6" s="1"/>
  <c r="P233" i="6"/>
  <c r="J233" i="6"/>
  <c r="K236" i="6"/>
  <c r="F237" i="6"/>
  <c r="I234" i="6"/>
  <c r="G234" i="6"/>
  <c r="H235" i="6"/>
  <c r="Q234" i="6"/>
  <c r="S234" i="6" s="1"/>
  <c r="L233" i="6"/>
  <c r="AA233" i="6" s="1"/>
  <c r="AC233" i="6"/>
  <c r="AD233" i="6" s="1"/>
  <c r="K228" i="18" l="1"/>
  <c r="I228" i="18" s="1"/>
  <c r="L228" i="18" s="1"/>
  <c r="F229" i="18"/>
  <c r="G229" i="18" s="1"/>
  <c r="J229" i="18" s="1"/>
  <c r="Y233" i="6"/>
  <c r="H300" i="18"/>
  <c r="Q299" i="18"/>
  <c r="T234" i="6"/>
  <c r="U234" i="6" s="1"/>
  <c r="Z234" i="6" s="1"/>
  <c r="V234" i="6"/>
  <c r="W234" i="6" s="1"/>
  <c r="X234" i="6" s="1"/>
  <c r="I235" i="6"/>
  <c r="H236" i="6"/>
  <c r="G235" i="6"/>
  <c r="Q235" i="6"/>
  <c r="S235" i="6" s="1"/>
  <c r="F238" i="6"/>
  <c r="K237" i="6"/>
  <c r="J234" i="6"/>
  <c r="P234" i="6"/>
  <c r="L234" i="6"/>
  <c r="AA234" i="6" s="1"/>
  <c r="AC234" i="6"/>
  <c r="AD234" i="6" s="1"/>
  <c r="K229" i="18" l="1"/>
  <c r="I229" i="18" s="1"/>
  <c r="L229" i="18" s="1"/>
  <c r="F230" i="18"/>
  <c r="G230" i="18" s="1"/>
  <c r="J230" i="18" s="1"/>
  <c r="H301" i="18"/>
  <c r="Q300" i="18"/>
  <c r="Y234" i="6"/>
  <c r="T235" i="6"/>
  <c r="U235" i="6" s="1"/>
  <c r="Z235" i="6" s="1"/>
  <c r="V235" i="6"/>
  <c r="W235" i="6" s="1"/>
  <c r="X235" i="6" s="1"/>
  <c r="Y235" i="6" s="1"/>
  <c r="AC235" i="6"/>
  <c r="AD235" i="6" s="1"/>
  <c r="L235" i="6"/>
  <c r="AA235" i="6" s="1"/>
  <c r="P235" i="6"/>
  <c r="J235" i="6"/>
  <c r="F239" i="6"/>
  <c r="K238" i="6"/>
  <c r="Q236" i="6"/>
  <c r="S236" i="6" s="1"/>
  <c r="G236" i="6"/>
  <c r="I236" i="6"/>
  <c r="H237" i="6"/>
  <c r="F231" i="18" l="1"/>
  <c r="G231" i="18" s="1"/>
  <c r="J231" i="18" s="1"/>
  <c r="K230" i="18"/>
  <c r="I230" i="18" s="1"/>
  <c r="L230" i="18" s="1"/>
  <c r="H302" i="18"/>
  <c r="Q301" i="18"/>
  <c r="T236" i="6"/>
  <c r="U236" i="6" s="1"/>
  <c r="Z236" i="6" s="1"/>
  <c r="V236" i="6"/>
  <c r="W236" i="6" s="1"/>
  <c r="X236" i="6" s="1"/>
  <c r="I237" i="6"/>
  <c r="G237" i="6"/>
  <c r="H238" i="6"/>
  <c r="Q237" i="6"/>
  <c r="S237" i="6" s="1"/>
  <c r="K239" i="6"/>
  <c r="F240" i="6"/>
  <c r="AC236" i="6"/>
  <c r="AD236" i="6" s="1"/>
  <c r="L236" i="6"/>
  <c r="AA236" i="6" s="1"/>
  <c r="J236" i="6"/>
  <c r="P236" i="6"/>
  <c r="K231" i="18" l="1"/>
  <c r="I231" i="18" s="1"/>
  <c r="L231" i="18" s="1"/>
  <c r="F232" i="18"/>
  <c r="G232" i="18" s="1"/>
  <c r="J232" i="18" s="1"/>
  <c r="H303" i="18"/>
  <c r="Q302" i="18"/>
  <c r="Y236" i="6"/>
  <c r="T237" i="6"/>
  <c r="U237" i="6" s="1"/>
  <c r="Z237" i="6" s="1"/>
  <c r="V237" i="6"/>
  <c r="W237" i="6" s="1"/>
  <c r="X237" i="6" s="1"/>
  <c r="Q238" i="6"/>
  <c r="S238" i="6" s="1"/>
  <c r="I238" i="6"/>
  <c r="H239" i="6"/>
  <c r="G238" i="6"/>
  <c r="AC237" i="6"/>
  <c r="AD237" i="6" s="1"/>
  <c r="L237" i="6"/>
  <c r="AA237" i="6" s="1"/>
  <c r="P237" i="6"/>
  <c r="J237" i="6"/>
  <c r="K240" i="6"/>
  <c r="F241" i="6"/>
  <c r="K232" i="18" l="1"/>
  <c r="I232" i="18" s="1"/>
  <c r="L232" i="18" s="1"/>
  <c r="F233" i="18"/>
  <c r="G233" i="18" s="1"/>
  <c r="J233" i="18" s="1"/>
  <c r="H304" i="18"/>
  <c r="Q303" i="18"/>
  <c r="T238" i="6"/>
  <c r="U238" i="6" s="1"/>
  <c r="Z238" i="6" s="1"/>
  <c r="V238" i="6"/>
  <c r="W238" i="6" s="1"/>
  <c r="X238" i="6" s="1"/>
  <c r="Y238" i="6" s="1"/>
  <c r="F242" i="6"/>
  <c r="K241" i="6"/>
  <c r="P238" i="6"/>
  <c r="J238" i="6"/>
  <c r="Y237" i="6"/>
  <c r="L238" i="6"/>
  <c r="AA238" i="6" s="1"/>
  <c r="AC238" i="6"/>
  <c r="AD238" i="6" s="1"/>
  <c r="H240" i="6"/>
  <c r="I239" i="6"/>
  <c r="Q239" i="6"/>
  <c r="S239" i="6" s="1"/>
  <c r="G239" i="6"/>
  <c r="F234" i="18" l="1"/>
  <c r="G234" i="18" s="1"/>
  <c r="J234" i="18" s="1"/>
  <c r="K233" i="18"/>
  <c r="I233" i="18" s="1"/>
  <c r="L233" i="18" s="1"/>
  <c r="H305" i="18"/>
  <c r="Q304" i="18"/>
  <c r="T239" i="6"/>
  <c r="U239" i="6" s="1"/>
  <c r="Z239" i="6" s="1"/>
  <c r="V239" i="6"/>
  <c r="W239" i="6" s="1"/>
  <c r="X239" i="6" s="1"/>
  <c r="K242" i="6"/>
  <c r="F243" i="6"/>
  <c r="AC239" i="6"/>
  <c r="AD239" i="6" s="1"/>
  <c r="L239" i="6"/>
  <c r="AA239" i="6" s="1"/>
  <c r="G240" i="6"/>
  <c r="H241" i="6"/>
  <c r="Q240" i="6"/>
  <c r="S240" i="6" s="1"/>
  <c r="I240" i="6"/>
  <c r="J239" i="6"/>
  <c r="P239" i="6"/>
  <c r="K234" i="18" l="1"/>
  <c r="I234" i="18" s="1"/>
  <c r="L234" i="18" s="1"/>
  <c r="F235" i="18"/>
  <c r="G235" i="18" s="1"/>
  <c r="J235" i="18" s="1"/>
  <c r="H306" i="18"/>
  <c r="Q305" i="18"/>
  <c r="T240" i="6"/>
  <c r="U240" i="6" s="1"/>
  <c r="Z240" i="6" s="1"/>
  <c r="V240" i="6"/>
  <c r="W240" i="6" s="1"/>
  <c r="X240" i="6" s="1"/>
  <c r="AC240" i="6"/>
  <c r="AD240" i="6" s="1"/>
  <c r="L240" i="6"/>
  <c r="AA240" i="6" s="1"/>
  <c r="I241" i="6"/>
  <c r="G241" i="6"/>
  <c r="H242" i="6"/>
  <c r="Q241" i="6"/>
  <c r="S241" i="6" s="1"/>
  <c r="Y239" i="6"/>
  <c r="J240" i="6"/>
  <c r="P240" i="6"/>
  <c r="F244" i="6"/>
  <c r="K243" i="6"/>
  <c r="K235" i="18" l="1"/>
  <c r="I235" i="18" s="1"/>
  <c r="L235" i="18" s="1"/>
  <c r="F236" i="18"/>
  <c r="G236" i="18" s="1"/>
  <c r="J236" i="18" s="1"/>
  <c r="H307" i="18"/>
  <c r="Q306" i="18"/>
  <c r="T241" i="6"/>
  <c r="U241" i="6" s="1"/>
  <c r="Z241" i="6" s="1"/>
  <c r="V241" i="6"/>
  <c r="W241" i="6" s="1"/>
  <c r="X241" i="6" s="1"/>
  <c r="H243" i="6"/>
  <c r="Q242" i="6"/>
  <c r="S242" i="6" s="1"/>
  <c r="G242" i="6"/>
  <c r="I242" i="6"/>
  <c r="Y240" i="6"/>
  <c r="F245" i="6"/>
  <c r="K244" i="6"/>
  <c r="P241" i="6"/>
  <c r="J241" i="6"/>
  <c r="AC241" i="6"/>
  <c r="AD241" i="6" s="1"/>
  <c r="L241" i="6"/>
  <c r="AA241" i="6" s="1"/>
  <c r="K236" i="18" l="1"/>
  <c r="I236" i="18" s="1"/>
  <c r="L236" i="18" s="1"/>
  <c r="F237" i="18"/>
  <c r="G237" i="18" s="1"/>
  <c r="J237" i="18" s="1"/>
  <c r="H308" i="18"/>
  <c r="Q307" i="18"/>
  <c r="T242" i="6"/>
  <c r="U242" i="6" s="1"/>
  <c r="Z242" i="6" s="1"/>
  <c r="V242" i="6"/>
  <c r="W242" i="6" s="1"/>
  <c r="X242" i="6" s="1"/>
  <c r="AC242" i="6"/>
  <c r="AD242" i="6" s="1"/>
  <c r="L242" i="6"/>
  <c r="AA242" i="6" s="1"/>
  <c r="Q243" i="6"/>
  <c r="S243" i="6" s="1"/>
  <c r="H244" i="6"/>
  <c r="G243" i="6"/>
  <c r="I243" i="6"/>
  <c r="P242" i="6"/>
  <c r="J242" i="6"/>
  <c r="Y241" i="6"/>
  <c r="K245" i="6"/>
  <c r="F246" i="6"/>
  <c r="K237" i="18" l="1"/>
  <c r="I237" i="18" s="1"/>
  <c r="L237" i="18" s="1"/>
  <c r="F238" i="18"/>
  <c r="G238" i="18" s="1"/>
  <c r="J238" i="18" s="1"/>
  <c r="H309" i="18"/>
  <c r="Q308" i="18"/>
  <c r="T243" i="6"/>
  <c r="U243" i="6" s="1"/>
  <c r="Z243" i="6" s="1"/>
  <c r="V243" i="6"/>
  <c r="F247" i="6"/>
  <c r="K246" i="6"/>
  <c r="P243" i="6"/>
  <c r="J243" i="6"/>
  <c r="Y242" i="6"/>
  <c r="I244" i="6"/>
  <c r="G244" i="6"/>
  <c r="Q244" i="6"/>
  <c r="S244" i="6" s="1"/>
  <c r="H245" i="6"/>
  <c r="AC243" i="6"/>
  <c r="AD243" i="6" s="1"/>
  <c r="L243" i="6"/>
  <c r="AA243" i="6" s="1"/>
  <c r="K238" i="18" l="1"/>
  <c r="I238" i="18" s="1"/>
  <c r="L238" i="18" s="1"/>
  <c r="F239" i="18"/>
  <c r="G239" i="18" s="1"/>
  <c r="J239" i="18" s="1"/>
  <c r="W243" i="6"/>
  <c r="X243" i="6" s="1"/>
  <c r="H310" i="18"/>
  <c r="Q309" i="18"/>
  <c r="T244" i="6"/>
  <c r="U244" i="6" s="1"/>
  <c r="Z244" i="6" s="1"/>
  <c r="V244" i="6"/>
  <c r="W244" i="6" s="1"/>
  <c r="X244" i="6" s="1"/>
  <c r="F248" i="6"/>
  <c r="K247" i="6"/>
  <c r="G245" i="6"/>
  <c r="Q245" i="6"/>
  <c r="S245" i="6" s="1"/>
  <c r="H246" i="6"/>
  <c r="I245" i="6"/>
  <c r="L244" i="6"/>
  <c r="AA244" i="6" s="1"/>
  <c r="AC244" i="6"/>
  <c r="AD244" i="6" s="1"/>
  <c r="Y243" i="6"/>
  <c r="P244" i="6"/>
  <c r="J244" i="6"/>
  <c r="K239" i="18" l="1"/>
  <c r="I239" i="18" s="1"/>
  <c r="L239" i="18" s="1"/>
  <c r="F240" i="18"/>
  <c r="G240" i="18" s="1"/>
  <c r="J240" i="18" s="1"/>
  <c r="H311" i="18"/>
  <c r="Q310" i="18"/>
  <c r="T245" i="6"/>
  <c r="U245" i="6" s="1"/>
  <c r="Z245" i="6" s="1"/>
  <c r="V245" i="6"/>
  <c r="W245" i="6" s="1"/>
  <c r="X245" i="6" s="1"/>
  <c r="J245" i="6"/>
  <c r="P245" i="6"/>
  <c r="K248" i="6"/>
  <c r="F249" i="6"/>
  <c r="L245" i="6"/>
  <c r="AA245" i="6" s="1"/>
  <c r="AC245" i="6"/>
  <c r="AD245" i="6" s="1"/>
  <c r="Y244" i="6"/>
  <c r="I246" i="6"/>
  <c r="H247" i="6"/>
  <c r="Q246" i="6"/>
  <c r="S246" i="6" s="1"/>
  <c r="G246" i="6"/>
  <c r="K240" i="18" l="1"/>
  <c r="I240" i="18" s="1"/>
  <c r="L240" i="18" s="1"/>
  <c r="F241" i="18"/>
  <c r="G241" i="18" s="1"/>
  <c r="J241" i="18" s="1"/>
  <c r="Y245" i="6"/>
  <c r="H312" i="18"/>
  <c r="Q311" i="18"/>
  <c r="T246" i="6"/>
  <c r="U246" i="6" s="1"/>
  <c r="Z246" i="6" s="1"/>
  <c r="V246" i="6"/>
  <c r="W246" i="6" s="1"/>
  <c r="X246" i="6" s="1"/>
  <c r="Y246" i="6" s="1"/>
  <c r="J246" i="6"/>
  <c r="P246" i="6"/>
  <c r="F250" i="6"/>
  <c r="K249" i="6"/>
  <c r="I247" i="6"/>
  <c r="G247" i="6"/>
  <c r="Q247" i="6"/>
  <c r="S247" i="6" s="1"/>
  <c r="H248" i="6"/>
  <c r="AC246" i="6"/>
  <c r="AD246" i="6" s="1"/>
  <c r="L246" i="6"/>
  <c r="AA246" i="6" s="1"/>
  <c r="K241" i="18" l="1"/>
  <c r="I241" i="18" s="1"/>
  <c r="L241" i="18" s="1"/>
  <c r="F242" i="18"/>
  <c r="G242" i="18" s="1"/>
  <c r="J242" i="18" s="1"/>
  <c r="H313" i="18"/>
  <c r="Q312" i="18"/>
  <c r="T247" i="6"/>
  <c r="U247" i="6" s="1"/>
  <c r="Z247" i="6" s="1"/>
  <c r="V247" i="6"/>
  <c r="W247" i="6" s="1"/>
  <c r="X247" i="6" s="1"/>
  <c r="J247" i="6"/>
  <c r="P247" i="6"/>
  <c r="Q248" i="6"/>
  <c r="S248" i="6" s="1"/>
  <c r="H249" i="6"/>
  <c r="I248" i="6"/>
  <c r="G248" i="6"/>
  <c r="AC247" i="6"/>
  <c r="AD247" i="6" s="1"/>
  <c r="L247" i="6"/>
  <c r="AA247" i="6" s="1"/>
  <c r="F251" i="6"/>
  <c r="K250" i="6"/>
  <c r="K242" i="18" l="1"/>
  <c r="I242" i="18" s="1"/>
  <c r="L242" i="18" s="1"/>
  <c r="F243" i="18"/>
  <c r="G243" i="18" s="1"/>
  <c r="J243" i="18" s="1"/>
  <c r="H314" i="18"/>
  <c r="Q313" i="18"/>
  <c r="Y247" i="6"/>
  <c r="T248" i="6"/>
  <c r="U248" i="6" s="1"/>
  <c r="Z248" i="6" s="1"/>
  <c r="V248" i="6"/>
  <c r="W248" i="6" s="1"/>
  <c r="X248" i="6" s="1"/>
  <c r="Y248" i="6" s="1"/>
  <c r="Q249" i="6"/>
  <c r="S249" i="6" s="1"/>
  <c r="H250" i="6"/>
  <c r="I249" i="6"/>
  <c r="G249" i="6"/>
  <c r="J248" i="6"/>
  <c r="P248" i="6"/>
  <c r="F252" i="6"/>
  <c r="K251" i="6"/>
  <c r="L248" i="6"/>
  <c r="AA248" i="6" s="1"/>
  <c r="AC248" i="6"/>
  <c r="AD248" i="6" s="1"/>
  <c r="K243" i="18" l="1"/>
  <c r="I243" i="18" s="1"/>
  <c r="L243" i="18" s="1"/>
  <c r="F244" i="18"/>
  <c r="G244" i="18" s="1"/>
  <c r="J244" i="18" s="1"/>
  <c r="H315" i="18"/>
  <c r="Q314" i="18"/>
  <c r="T249" i="6"/>
  <c r="U249" i="6" s="1"/>
  <c r="Z249" i="6" s="1"/>
  <c r="V249" i="6"/>
  <c r="W249" i="6" s="1"/>
  <c r="X249" i="6" s="1"/>
  <c r="Y249" i="6" s="1"/>
  <c r="K252" i="6"/>
  <c r="F253" i="6"/>
  <c r="J249" i="6"/>
  <c r="P249" i="6"/>
  <c r="H251" i="6"/>
  <c r="G250" i="6"/>
  <c r="I250" i="6"/>
  <c r="Q250" i="6"/>
  <c r="S250" i="6" s="1"/>
  <c r="L249" i="6"/>
  <c r="AA249" i="6" s="1"/>
  <c r="AC249" i="6"/>
  <c r="AD249" i="6" s="1"/>
  <c r="K244" i="18" l="1"/>
  <c r="I244" i="18" s="1"/>
  <c r="L244" i="18" s="1"/>
  <c r="F245" i="18"/>
  <c r="G245" i="18" s="1"/>
  <c r="J245" i="18" s="1"/>
  <c r="H316" i="18"/>
  <c r="Q315" i="18"/>
  <c r="T250" i="6"/>
  <c r="U250" i="6" s="1"/>
  <c r="Z250" i="6" s="1"/>
  <c r="V250" i="6"/>
  <c r="W250" i="6" s="1"/>
  <c r="X250" i="6" s="1"/>
  <c r="J250" i="6"/>
  <c r="P250" i="6"/>
  <c r="K253" i="6"/>
  <c r="F254" i="6"/>
  <c r="H252" i="6"/>
  <c r="G251" i="6"/>
  <c r="Q251" i="6"/>
  <c r="S251" i="6" s="1"/>
  <c r="I251" i="6"/>
  <c r="AC250" i="6"/>
  <c r="AD250" i="6" s="1"/>
  <c r="L250" i="6"/>
  <c r="AA250" i="6" s="1"/>
  <c r="K245" i="18" l="1"/>
  <c r="I245" i="18" s="1"/>
  <c r="L245" i="18" s="1"/>
  <c r="F246" i="18"/>
  <c r="G246" i="18" s="1"/>
  <c r="J246" i="18" s="1"/>
  <c r="Y250" i="6"/>
  <c r="H317" i="18"/>
  <c r="Q316" i="18"/>
  <c r="T251" i="6"/>
  <c r="U251" i="6" s="1"/>
  <c r="Z251" i="6" s="1"/>
  <c r="V251" i="6"/>
  <c r="W251" i="6" s="1"/>
  <c r="X251" i="6" s="1"/>
  <c r="P251" i="6"/>
  <c r="J251" i="6"/>
  <c r="AC251" i="6"/>
  <c r="AD251" i="6" s="1"/>
  <c r="L251" i="6"/>
  <c r="AA251" i="6" s="1"/>
  <c r="I252" i="6"/>
  <c r="H253" i="6"/>
  <c r="Q252" i="6"/>
  <c r="S252" i="6" s="1"/>
  <c r="G252" i="6"/>
  <c r="K254" i="6"/>
  <c r="F255" i="6"/>
  <c r="K246" i="18" l="1"/>
  <c r="I246" i="18" s="1"/>
  <c r="L246" i="18" s="1"/>
  <c r="F247" i="18"/>
  <c r="G247" i="18" s="1"/>
  <c r="J247" i="18" s="1"/>
  <c r="Y251" i="6"/>
  <c r="H318" i="18"/>
  <c r="Q317" i="18"/>
  <c r="T252" i="6"/>
  <c r="U252" i="6" s="1"/>
  <c r="Z252" i="6" s="1"/>
  <c r="V252" i="6"/>
  <c r="W252" i="6" s="1"/>
  <c r="X252" i="6" s="1"/>
  <c r="AC252" i="6"/>
  <c r="AD252" i="6" s="1"/>
  <c r="L252" i="6"/>
  <c r="AA252" i="6" s="1"/>
  <c r="F256" i="6"/>
  <c r="K255" i="6"/>
  <c r="P252" i="6"/>
  <c r="J252" i="6"/>
  <c r="Q253" i="6"/>
  <c r="S253" i="6" s="1"/>
  <c r="H254" i="6"/>
  <c r="I253" i="6"/>
  <c r="G253" i="6"/>
  <c r="K247" i="18" l="1"/>
  <c r="I247" i="18" s="1"/>
  <c r="L247" i="18" s="1"/>
  <c r="F248" i="18"/>
  <c r="G248" i="18" s="1"/>
  <c r="J248" i="18" s="1"/>
  <c r="H319" i="18"/>
  <c r="Q318" i="18"/>
  <c r="Y252" i="6"/>
  <c r="T253" i="6"/>
  <c r="U253" i="6" s="1"/>
  <c r="Z253" i="6" s="1"/>
  <c r="V253" i="6"/>
  <c r="W253" i="6" s="1"/>
  <c r="X253" i="6" s="1"/>
  <c r="P253" i="6"/>
  <c r="J253" i="6"/>
  <c r="Q254" i="6"/>
  <c r="S254" i="6" s="1"/>
  <c r="H255" i="6"/>
  <c r="G254" i="6"/>
  <c r="I254" i="6"/>
  <c r="AC253" i="6"/>
  <c r="AD253" i="6" s="1"/>
  <c r="L253" i="6"/>
  <c r="AA253" i="6" s="1"/>
  <c r="K256" i="6"/>
  <c r="F257" i="6"/>
  <c r="K248" i="18" l="1"/>
  <c r="I248" i="18" s="1"/>
  <c r="L248" i="18" s="1"/>
  <c r="F249" i="18"/>
  <c r="G249" i="18" s="1"/>
  <c r="J249" i="18" s="1"/>
  <c r="Y253" i="6"/>
  <c r="H320" i="18"/>
  <c r="Q319" i="18"/>
  <c r="T254" i="6"/>
  <c r="U254" i="6" s="1"/>
  <c r="Z254" i="6" s="1"/>
  <c r="V254" i="6"/>
  <c r="W254" i="6" s="1"/>
  <c r="X254" i="6" s="1"/>
  <c r="Y254" i="6" s="1"/>
  <c r="J254" i="6"/>
  <c r="P254" i="6"/>
  <c r="K257" i="6"/>
  <c r="F258" i="6"/>
  <c r="I255" i="6"/>
  <c r="Q255" i="6"/>
  <c r="S255" i="6" s="1"/>
  <c r="G255" i="6"/>
  <c r="H256" i="6"/>
  <c r="L254" i="6"/>
  <c r="AA254" i="6" s="1"/>
  <c r="AC254" i="6"/>
  <c r="AD254" i="6" s="1"/>
  <c r="K249" i="18" l="1"/>
  <c r="I249" i="18" s="1"/>
  <c r="L249" i="18" s="1"/>
  <c r="F250" i="18"/>
  <c r="G250" i="18" s="1"/>
  <c r="J250" i="18" s="1"/>
  <c r="H321" i="18"/>
  <c r="Q320" i="18"/>
  <c r="T255" i="6"/>
  <c r="U255" i="6" s="1"/>
  <c r="Z255" i="6" s="1"/>
  <c r="V255" i="6"/>
  <c r="W255" i="6" s="1"/>
  <c r="X255" i="6" s="1"/>
  <c r="J255" i="6"/>
  <c r="P255" i="6"/>
  <c r="AC255" i="6"/>
  <c r="AD255" i="6" s="1"/>
  <c r="L255" i="6"/>
  <c r="AA255" i="6" s="1"/>
  <c r="G256" i="6"/>
  <c r="H257" i="6"/>
  <c r="Q256" i="6"/>
  <c r="S256" i="6" s="1"/>
  <c r="I256" i="6"/>
  <c r="K258" i="6"/>
  <c r="F259" i="6"/>
  <c r="K250" i="18" l="1"/>
  <c r="I250" i="18" s="1"/>
  <c r="L250" i="18" s="1"/>
  <c r="F251" i="18"/>
  <c r="G251" i="18" s="1"/>
  <c r="J251" i="18" s="1"/>
  <c r="Y255" i="6"/>
  <c r="H322" i="18"/>
  <c r="Q321" i="18"/>
  <c r="T256" i="6"/>
  <c r="U256" i="6" s="1"/>
  <c r="Z256" i="6" s="1"/>
  <c r="V256" i="6"/>
  <c r="W256" i="6" s="1"/>
  <c r="X256" i="6" s="1"/>
  <c r="F260" i="6"/>
  <c r="K259" i="6"/>
  <c r="L256" i="6"/>
  <c r="AA256" i="6" s="1"/>
  <c r="AC256" i="6"/>
  <c r="AD256" i="6" s="1"/>
  <c r="J256" i="6"/>
  <c r="P256" i="6"/>
  <c r="I257" i="6"/>
  <c r="H258" i="6"/>
  <c r="Q257" i="6"/>
  <c r="S257" i="6" s="1"/>
  <c r="G257" i="6"/>
  <c r="K251" i="18" l="1"/>
  <c r="I251" i="18" s="1"/>
  <c r="L251" i="18" s="1"/>
  <c r="F252" i="18"/>
  <c r="G252" i="18" s="1"/>
  <c r="J252" i="18" s="1"/>
  <c r="Y256" i="6"/>
  <c r="H323" i="18"/>
  <c r="Q322" i="18"/>
  <c r="T257" i="6"/>
  <c r="U257" i="6" s="1"/>
  <c r="Z257" i="6" s="1"/>
  <c r="V257" i="6"/>
  <c r="W257" i="6" s="1"/>
  <c r="X257" i="6" s="1"/>
  <c r="Y257" i="6" s="1"/>
  <c r="K260" i="6"/>
  <c r="F261" i="6"/>
  <c r="P257" i="6"/>
  <c r="J257" i="6"/>
  <c r="L257" i="6"/>
  <c r="AA257" i="6" s="1"/>
  <c r="AC257" i="6"/>
  <c r="AD257" i="6" s="1"/>
  <c r="H259" i="6"/>
  <c r="G258" i="6"/>
  <c r="Q258" i="6"/>
  <c r="S258" i="6" s="1"/>
  <c r="I258" i="6"/>
  <c r="K252" i="18" l="1"/>
  <c r="I252" i="18" s="1"/>
  <c r="L252" i="18" s="1"/>
  <c r="F253" i="18"/>
  <c r="G253" i="18" s="1"/>
  <c r="J253" i="18" s="1"/>
  <c r="H324" i="18"/>
  <c r="Q323" i="18"/>
  <c r="T258" i="6"/>
  <c r="U258" i="6" s="1"/>
  <c r="Z258" i="6" s="1"/>
  <c r="V258" i="6"/>
  <c r="W258" i="6" s="1"/>
  <c r="X258" i="6" s="1"/>
  <c r="H260" i="6"/>
  <c r="G259" i="6"/>
  <c r="Q259" i="6"/>
  <c r="S259" i="6" s="1"/>
  <c r="I259" i="6"/>
  <c r="F262" i="6"/>
  <c r="K261" i="6"/>
  <c r="L258" i="6"/>
  <c r="AA258" i="6" s="1"/>
  <c r="AC258" i="6"/>
  <c r="AD258" i="6" s="1"/>
  <c r="P258" i="6"/>
  <c r="J258" i="6"/>
  <c r="K253" i="18" l="1"/>
  <c r="I253" i="18" s="1"/>
  <c r="L253" i="18" s="1"/>
  <c r="F254" i="18"/>
  <c r="G254" i="18" s="1"/>
  <c r="J254" i="18" s="1"/>
  <c r="H325" i="18"/>
  <c r="Q324" i="18"/>
  <c r="Y258" i="6"/>
  <c r="T259" i="6"/>
  <c r="U259" i="6" s="1"/>
  <c r="Z259" i="6" s="1"/>
  <c r="V259" i="6"/>
  <c r="W259" i="6" s="1"/>
  <c r="X259" i="6" s="1"/>
  <c r="I260" i="6"/>
  <c r="G260" i="6"/>
  <c r="H261" i="6"/>
  <c r="Q260" i="6"/>
  <c r="S260" i="6" s="1"/>
  <c r="AC259" i="6"/>
  <c r="AD259" i="6" s="1"/>
  <c r="L259" i="6"/>
  <c r="AA259" i="6" s="1"/>
  <c r="F263" i="6"/>
  <c r="K262" i="6"/>
  <c r="J259" i="6"/>
  <c r="P259" i="6"/>
  <c r="K254" i="18" l="1"/>
  <c r="I254" i="18" s="1"/>
  <c r="L254" i="18" s="1"/>
  <c r="F255" i="18"/>
  <c r="G255" i="18" s="1"/>
  <c r="J255" i="18" s="1"/>
  <c r="H326" i="18"/>
  <c r="Q325" i="18"/>
  <c r="T260" i="6"/>
  <c r="U260" i="6" s="1"/>
  <c r="Z260" i="6" s="1"/>
  <c r="V260" i="6"/>
  <c r="W260" i="6" s="1"/>
  <c r="X260" i="6" s="1"/>
  <c r="F264" i="6"/>
  <c r="K263" i="6"/>
  <c r="AC260" i="6"/>
  <c r="AD260" i="6" s="1"/>
  <c r="L260" i="6"/>
  <c r="AA260" i="6" s="1"/>
  <c r="Q261" i="6"/>
  <c r="S261" i="6" s="1"/>
  <c r="I261" i="6"/>
  <c r="H262" i="6"/>
  <c r="G261" i="6"/>
  <c r="Y259" i="6"/>
  <c r="J260" i="6"/>
  <c r="P260" i="6"/>
  <c r="K255" i="18" l="1"/>
  <c r="I255" i="18" s="1"/>
  <c r="L255" i="18" s="1"/>
  <c r="F256" i="18"/>
  <c r="G256" i="18" s="1"/>
  <c r="J256" i="18" s="1"/>
  <c r="H327" i="18"/>
  <c r="Q326" i="18"/>
  <c r="T261" i="6"/>
  <c r="U261" i="6" s="1"/>
  <c r="Z261" i="6" s="1"/>
  <c r="V261" i="6"/>
  <c r="W261" i="6" s="1"/>
  <c r="X261" i="6" s="1"/>
  <c r="H263" i="6"/>
  <c r="G262" i="6"/>
  <c r="I262" i="6"/>
  <c r="Q262" i="6"/>
  <c r="S262" i="6" s="1"/>
  <c r="Y260" i="6"/>
  <c r="AC261" i="6"/>
  <c r="AD261" i="6" s="1"/>
  <c r="L261" i="6"/>
  <c r="AA261" i="6" s="1"/>
  <c r="J261" i="6"/>
  <c r="P261" i="6"/>
  <c r="K264" i="6"/>
  <c r="F265" i="6"/>
  <c r="K256" i="18" l="1"/>
  <c r="I256" i="18" s="1"/>
  <c r="L256" i="18" s="1"/>
  <c r="F257" i="18"/>
  <c r="G257" i="18" s="1"/>
  <c r="J257" i="18" s="1"/>
  <c r="H328" i="18"/>
  <c r="Q327" i="18"/>
  <c r="Y261" i="6"/>
  <c r="T262" i="6"/>
  <c r="U262" i="6" s="1"/>
  <c r="Z262" i="6" s="1"/>
  <c r="V262" i="6"/>
  <c r="W262" i="6" s="1"/>
  <c r="X262" i="6" s="1"/>
  <c r="I263" i="6"/>
  <c r="Q263" i="6"/>
  <c r="S263" i="6" s="1"/>
  <c r="H264" i="6"/>
  <c r="G263" i="6"/>
  <c r="AC262" i="6"/>
  <c r="AD262" i="6" s="1"/>
  <c r="L262" i="6"/>
  <c r="AA262" i="6" s="1"/>
  <c r="F266" i="6"/>
  <c r="K265" i="6"/>
  <c r="J262" i="6"/>
  <c r="P262" i="6"/>
  <c r="K257" i="18" l="1"/>
  <c r="I257" i="18" s="1"/>
  <c r="L257" i="18" s="1"/>
  <c r="F258" i="18"/>
  <c r="G258" i="18" s="1"/>
  <c r="J258" i="18" s="1"/>
  <c r="H329" i="18"/>
  <c r="Q328" i="18"/>
  <c r="T263" i="6"/>
  <c r="U263" i="6" s="1"/>
  <c r="Z263" i="6" s="1"/>
  <c r="V263" i="6"/>
  <c r="W263" i="6" s="1"/>
  <c r="X263" i="6" s="1"/>
  <c r="F267" i="6"/>
  <c r="K266" i="6"/>
  <c r="J263" i="6"/>
  <c r="P263" i="6"/>
  <c r="AC263" i="6"/>
  <c r="AD263" i="6" s="1"/>
  <c r="L263" i="6"/>
  <c r="AA263" i="6" s="1"/>
  <c r="Y262" i="6"/>
  <c r="H265" i="6"/>
  <c r="Q264" i="6"/>
  <c r="S264" i="6" s="1"/>
  <c r="G264" i="6"/>
  <c r="I264" i="6"/>
  <c r="K258" i="18" l="1"/>
  <c r="I258" i="18" s="1"/>
  <c r="L258" i="18" s="1"/>
  <c r="F259" i="18"/>
  <c r="G259" i="18" s="1"/>
  <c r="J259" i="18" s="1"/>
  <c r="H330" i="18"/>
  <c r="Q329" i="18"/>
  <c r="Y263" i="6"/>
  <c r="T264" i="6"/>
  <c r="U264" i="6" s="1"/>
  <c r="Z264" i="6" s="1"/>
  <c r="V264" i="6"/>
  <c r="W264" i="6" s="1"/>
  <c r="X264" i="6" s="1"/>
  <c r="Y264" i="6" s="1"/>
  <c r="J264" i="6"/>
  <c r="P264" i="6"/>
  <c r="K267" i="6"/>
  <c r="F268" i="6"/>
  <c r="AC264" i="6"/>
  <c r="AD264" i="6" s="1"/>
  <c r="L264" i="6"/>
  <c r="AA264" i="6" s="1"/>
  <c r="Q265" i="6"/>
  <c r="S265" i="6" s="1"/>
  <c r="H266" i="6"/>
  <c r="I265" i="6"/>
  <c r="G265" i="6"/>
  <c r="K259" i="18" l="1"/>
  <c r="I259" i="18" s="1"/>
  <c r="L259" i="18" s="1"/>
  <c r="F260" i="18"/>
  <c r="G260" i="18" s="1"/>
  <c r="J260" i="18" s="1"/>
  <c r="H331" i="18"/>
  <c r="Q330" i="18"/>
  <c r="T265" i="6"/>
  <c r="U265" i="6" s="1"/>
  <c r="Z265" i="6" s="1"/>
  <c r="V265" i="6"/>
  <c r="W265" i="6" s="1"/>
  <c r="X265" i="6" s="1"/>
  <c r="Y265" i="6" s="1"/>
  <c r="P265" i="6"/>
  <c r="J265" i="6"/>
  <c r="AC265" i="6"/>
  <c r="AD265" i="6" s="1"/>
  <c r="L265" i="6"/>
  <c r="AA265" i="6" s="1"/>
  <c r="I266" i="6"/>
  <c r="H267" i="6"/>
  <c r="Q266" i="6"/>
  <c r="S266" i="6" s="1"/>
  <c r="G266" i="6"/>
  <c r="K268" i="6"/>
  <c r="F269" i="6"/>
  <c r="K260" i="18" l="1"/>
  <c r="I260" i="18" s="1"/>
  <c r="L260" i="18" s="1"/>
  <c r="F261" i="18"/>
  <c r="G261" i="18" s="1"/>
  <c r="J261" i="18" s="1"/>
  <c r="H332" i="18"/>
  <c r="Q331" i="18"/>
  <c r="T266" i="6"/>
  <c r="U266" i="6" s="1"/>
  <c r="Z266" i="6" s="1"/>
  <c r="V266" i="6"/>
  <c r="W266" i="6" s="1"/>
  <c r="X266" i="6" s="1"/>
  <c r="J266" i="6"/>
  <c r="P266" i="6"/>
  <c r="AC266" i="6"/>
  <c r="AD266" i="6" s="1"/>
  <c r="L266" i="6"/>
  <c r="AA266" i="6" s="1"/>
  <c r="F270" i="6"/>
  <c r="K269" i="6"/>
  <c r="G267" i="6"/>
  <c r="I267" i="6"/>
  <c r="Q267" i="6"/>
  <c r="S267" i="6" s="1"/>
  <c r="H268" i="6"/>
  <c r="K261" i="18" l="1"/>
  <c r="I261" i="18" s="1"/>
  <c r="L261" i="18" s="1"/>
  <c r="F262" i="18"/>
  <c r="G262" i="18" s="1"/>
  <c r="J262" i="18" s="1"/>
  <c r="Y266" i="6"/>
  <c r="H333" i="18"/>
  <c r="Q332" i="18"/>
  <c r="T267" i="6"/>
  <c r="U267" i="6" s="1"/>
  <c r="Z267" i="6" s="1"/>
  <c r="V267" i="6"/>
  <c r="W267" i="6" s="1"/>
  <c r="X267" i="6" s="1"/>
  <c r="Y267" i="6" s="1"/>
  <c r="K270" i="6"/>
  <c r="F271" i="6"/>
  <c r="J267" i="6"/>
  <c r="P267" i="6"/>
  <c r="I268" i="6"/>
  <c r="Q268" i="6"/>
  <c r="S268" i="6" s="1"/>
  <c r="G268" i="6"/>
  <c r="H269" i="6"/>
  <c r="L267" i="6"/>
  <c r="AA267" i="6" s="1"/>
  <c r="AC267" i="6"/>
  <c r="AD267" i="6" s="1"/>
  <c r="F263" i="18" l="1"/>
  <c r="G263" i="18" s="1"/>
  <c r="J263" i="18" s="1"/>
  <c r="K262" i="18"/>
  <c r="I262" i="18" s="1"/>
  <c r="L262" i="18" s="1"/>
  <c r="H334" i="18"/>
  <c r="Q333" i="18"/>
  <c r="T268" i="6"/>
  <c r="U268" i="6" s="1"/>
  <c r="Z268" i="6" s="1"/>
  <c r="V268" i="6"/>
  <c r="W268" i="6" s="1"/>
  <c r="X268" i="6" s="1"/>
  <c r="Q269" i="6"/>
  <c r="S269" i="6" s="1"/>
  <c r="G269" i="6"/>
  <c r="I269" i="6"/>
  <c r="H270" i="6"/>
  <c r="L268" i="6"/>
  <c r="AA268" i="6" s="1"/>
  <c r="AC268" i="6"/>
  <c r="AD268" i="6" s="1"/>
  <c r="F272" i="6"/>
  <c r="K271" i="6"/>
  <c r="J268" i="6"/>
  <c r="P268" i="6"/>
  <c r="K263" i="18" l="1"/>
  <c r="I263" i="18" s="1"/>
  <c r="L263" i="18" s="1"/>
  <c r="F264" i="18"/>
  <c r="G264" i="18" s="1"/>
  <c r="J264" i="18" s="1"/>
  <c r="H335" i="18"/>
  <c r="Q334" i="18"/>
  <c r="T269" i="6"/>
  <c r="U269" i="6" s="1"/>
  <c r="Z269" i="6" s="1"/>
  <c r="V269" i="6"/>
  <c r="W269" i="6" s="1"/>
  <c r="X269" i="6" s="1"/>
  <c r="G270" i="6"/>
  <c r="I270" i="6"/>
  <c r="Q270" i="6"/>
  <c r="S270" i="6" s="1"/>
  <c r="H271" i="6"/>
  <c r="Y268" i="6"/>
  <c r="F273" i="6"/>
  <c r="K272" i="6"/>
  <c r="L269" i="6"/>
  <c r="AA269" i="6" s="1"/>
  <c r="AC269" i="6"/>
  <c r="AD269" i="6" s="1"/>
  <c r="P269" i="6"/>
  <c r="J269" i="6"/>
  <c r="K264" i="18" l="1"/>
  <c r="I264" i="18" s="1"/>
  <c r="L264" i="18" s="1"/>
  <c r="F265" i="18"/>
  <c r="G265" i="18" s="1"/>
  <c r="J265" i="18" s="1"/>
  <c r="H336" i="18"/>
  <c r="Q335" i="18"/>
  <c r="T270" i="6"/>
  <c r="U270" i="6" s="1"/>
  <c r="Z270" i="6" s="1"/>
  <c r="V270" i="6"/>
  <c r="W270" i="6" s="1"/>
  <c r="X270" i="6" s="1"/>
  <c r="H272" i="6"/>
  <c r="G271" i="6"/>
  <c r="Q271" i="6"/>
  <c r="S271" i="6" s="1"/>
  <c r="I271" i="6"/>
  <c r="P270" i="6"/>
  <c r="J270" i="6"/>
  <c r="K273" i="6"/>
  <c r="F274" i="6"/>
  <c r="Y269" i="6"/>
  <c r="L270" i="6"/>
  <c r="AA270" i="6" s="1"/>
  <c r="AC270" i="6"/>
  <c r="AD270" i="6" s="1"/>
  <c r="F266" i="18" l="1"/>
  <c r="G266" i="18" s="1"/>
  <c r="J266" i="18" s="1"/>
  <c r="K265" i="18"/>
  <c r="I265" i="18" s="1"/>
  <c r="L265" i="18" s="1"/>
  <c r="Y270" i="6"/>
  <c r="H337" i="18"/>
  <c r="Q336" i="18"/>
  <c r="T271" i="6"/>
  <c r="U271" i="6" s="1"/>
  <c r="Z271" i="6" s="1"/>
  <c r="V271" i="6"/>
  <c r="W271" i="6" s="1"/>
  <c r="X271" i="6" s="1"/>
  <c r="H273" i="6"/>
  <c r="I272" i="6"/>
  <c r="G272" i="6"/>
  <c r="Q272" i="6"/>
  <c r="S272" i="6" s="1"/>
  <c r="AC271" i="6"/>
  <c r="AD271" i="6" s="1"/>
  <c r="L271" i="6"/>
  <c r="AA271" i="6" s="1"/>
  <c r="K274" i="6"/>
  <c r="F275" i="6"/>
  <c r="J271" i="6"/>
  <c r="P271" i="6"/>
  <c r="K266" i="18" l="1"/>
  <c r="I266" i="18" s="1"/>
  <c r="L266" i="18" s="1"/>
  <c r="F267" i="18"/>
  <c r="G267" i="18" s="1"/>
  <c r="J267" i="18" s="1"/>
  <c r="H338" i="18"/>
  <c r="Q337" i="18"/>
  <c r="T272" i="6"/>
  <c r="U272" i="6" s="1"/>
  <c r="Z272" i="6" s="1"/>
  <c r="V272" i="6"/>
  <c r="W272" i="6" s="1"/>
  <c r="X272" i="6" s="1"/>
  <c r="Q273" i="6"/>
  <c r="S273" i="6" s="1"/>
  <c r="H274" i="6"/>
  <c r="G273" i="6"/>
  <c r="I273" i="6"/>
  <c r="P272" i="6"/>
  <c r="J272" i="6"/>
  <c r="Y271" i="6"/>
  <c r="F276" i="6"/>
  <c r="K275" i="6"/>
  <c r="L272" i="6"/>
  <c r="AA272" i="6" s="1"/>
  <c r="AC272" i="6"/>
  <c r="AD272" i="6" s="1"/>
  <c r="K267" i="18" l="1"/>
  <c r="I267" i="18" s="1"/>
  <c r="L267" i="18" s="1"/>
  <c r="F268" i="18"/>
  <c r="G268" i="18" s="1"/>
  <c r="J268" i="18" s="1"/>
  <c r="Y272" i="6"/>
  <c r="H339" i="18"/>
  <c r="Q338" i="18"/>
  <c r="T273" i="6"/>
  <c r="U273" i="6" s="1"/>
  <c r="Z273" i="6" s="1"/>
  <c r="V273" i="6"/>
  <c r="W273" i="6" s="1"/>
  <c r="X273" i="6" s="1"/>
  <c r="F277" i="6"/>
  <c r="K276" i="6"/>
  <c r="L273" i="6"/>
  <c r="AA273" i="6" s="1"/>
  <c r="AC273" i="6"/>
  <c r="AD273" i="6" s="1"/>
  <c r="J273" i="6"/>
  <c r="P273" i="6"/>
  <c r="G274" i="6"/>
  <c r="H275" i="6"/>
  <c r="Q274" i="6"/>
  <c r="S274" i="6" s="1"/>
  <c r="I274" i="6"/>
  <c r="K268" i="18" l="1"/>
  <c r="I268" i="18" s="1"/>
  <c r="L268" i="18" s="1"/>
  <c r="F269" i="18"/>
  <c r="G269" i="18" s="1"/>
  <c r="J269" i="18" s="1"/>
  <c r="H340" i="18"/>
  <c r="Q339" i="18"/>
  <c r="T274" i="6"/>
  <c r="U274" i="6" s="1"/>
  <c r="Z274" i="6" s="1"/>
  <c r="V274" i="6"/>
  <c r="W274" i="6" s="1"/>
  <c r="X274" i="6" s="1"/>
  <c r="AC274" i="6"/>
  <c r="AD274" i="6" s="1"/>
  <c r="L274" i="6"/>
  <c r="AA274" i="6" s="1"/>
  <c r="K277" i="6"/>
  <c r="F278" i="6"/>
  <c r="Y273" i="6"/>
  <c r="H276" i="6"/>
  <c r="G275" i="6"/>
  <c r="Q275" i="6"/>
  <c r="S275" i="6" s="1"/>
  <c r="I275" i="6"/>
  <c r="P274" i="6"/>
  <c r="J274" i="6"/>
  <c r="K269" i="18" l="1"/>
  <c r="I269" i="18" s="1"/>
  <c r="L269" i="18" s="1"/>
  <c r="F270" i="18"/>
  <c r="G270" i="18" s="1"/>
  <c r="J270" i="18" s="1"/>
  <c r="H341" i="18"/>
  <c r="Q340" i="18"/>
  <c r="T275" i="6"/>
  <c r="U275" i="6" s="1"/>
  <c r="Z275" i="6" s="1"/>
  <c r="V275" i="6"/>
  <c r="W275" i="6" s="1"/>
  <c r="X275" i="6" s="1"/>
  <c r="J275" i="6"/>
  <c r="P275" i="6"/>
  <c r="F279" i="6"/>
  <c r="K278" i="6"/>
  <c r="L275" i="6"/>
  <c r="AA275" i="6" s="1"/>
  <c r="AC275" i="6"/>
  <c r="AD275" i="6" s="1"/>
  <c r="Y274" i="6"/>
  <c r="Q276" i="6"/>
  <c r="S276" i="6" s="1"/>
  <c r="H277" i="6"/>
  <c r="G276" i="6"/>
  <c r="I276" i="6"/>
  <c r="K270" i="18" l="1"/>
  <c r="I270" i="18" s="1"/>
  <c r="L270" i="18" s="1"/>
  <c r="F271" i="18"/>
  <c r="G271" i="18" s="1"/>
  <c r="J271" i="18" s="1"/>
  <c r="H342" i="18"/>
  <c r="Q341" i="18"/>
  <c r="Y275" i="6"/>
  <c r="T276" i="6"/>
  <c r="U276" i="6" s="1"/>
  <c r="Z276" i="6" s="1"/>
  <c r="V276" i="6"/>
  <c r="W276" i="6" s="1"/>
  <c r="X276" i="6" s="1"/>
  <c r="P276" i="6"/>
  <c r="J276" i="6"/>
  <c r="F280" i="6"/>
  <c r="K279" i="6"/>
  <c r="Q277" i="6"/>
  <c r="S277" i="6" s="1"/>
  <c r="I277" i="6"/>
  <c r="H278" i="6"/>
  <c r="G277" i="6"/>
  <c r="AC276" i="6"/>
  <c r="AD276" i="6" s="1"/>
  <c r="L276" i="6"/>
  <c r="AA276" i="6" s="1"/>
  <c r="K271" i="18" l="1"/>
  <c r="I271" i="18" s="1"/>
  <c r="L271" i="18" s="1"/>
  <c r="F272" i="18"/>
  <c r="G272" i="18" s="1"/>
  <c r="J272" i="18" s="1"/>
  <c r="H343" i="18"/>
  <c r="Q342" i="18"/>
  <c r="Y276" i="6"/>
  <c r="T277" i="6"/>
  <c r="U277" i="6" s="1"/>
  <c r="Z277" i="6" s="1"/>
  <c r="V277" i="6"/>
  <c r="W277" i="6" s="1"/>
  <c r="X277" i="6" s="1"/>
  <c r="L277" i="6"/>
  <c r="AA277" i="6" s="1"/>
  <c r="AC277" i="6"/>
  <c r="AD277" i="6" s="1"/>
  <c r="F281" i="6"/>
  <c r="K280" i="6"/>
  <c r="J277" i="6"/>
  <c r="P277" i="6"/>
  <c r="G278" i="6"/>
  <c r="I278" i="6"/>
  <c r="H279" i="6"/>
  <c r="Q278" i="6"/>
  <c r="S278" i="6" s="1"/>
  <c r="K272" i="18" l="1"/>
  <c r="I272" i="18" s="1"/>
  <c r="L272" i="18" s="1"/>
  <c r="F273" i="18"/>
  <c r="G273" i="18" s="1"/>
  <c r="J273" i="18" s="1"/>
  <c r="H344" i="18"/>
  <c r="Q343" i="18"/>
  <c r="T278" i="6"/>
  <c r="U278" i="6" s="1"/>
  <c r="Z278" i="6" s="1"/>
  <c r="V278" i="6"/>
  <c r="W278" i="6" s="1"/>
  <c r="X278" i="6" s="1"/>
  <c r="I279" i="6"/>
  <c r="G279" i="6"/>
  <c r="Q279" i="6"/>
  <c r="S279" i="6" s="1"/>
  <c r="H280" i="6"/>
  <c r="Y277" i="6"/>
  <c r="P278" i="6"/>
  <c r="J278" i="6"/>
  <c r="L278" i="6"/>
  <c r="AA278" i="6" s="1"/>
  <c r="AC278" i="6"/>
  <c r="AD278" i="6" s="1"/>
  <c r="F282" i="6"/>
  <c r="K281" i="6"/>
  <c r="K273" i="18" l="1"/>
  <c r="I273" i="18" s="1"/>
  <c r="L273" i="18" s="1"/>
  <c r="F274" i="18"/>
  <c r="G274" i="18" s="1"/>
  <c r="J274" i="18" s="1"/>
  <c r="Y278" i="6"/>
  <c r="H345" i="18"/>
  <c r="Q344" i="18"/>
  <c r="T279" i="6"/>
  <c r="U279" i="6" s="1"/>
  <c r="Z279" i="6" s="1"/>
  <c r="V279" i="6"/>
  <c r="W279" i="6" s="1"/>
  <c r="X279" i="6" s="1"/>
  <c r="K282" i="6"/>
  <c r="F283" i="6"/>
  <c r="J279" i="6"/>
  <c r="P279" i="6"/>
  <c r="Q280" i="6"/>
  <c r="S280" i="6" s="1"/>
  <c r="H281" i="6"/>
  <c r="I280" i="6"/>
  <c r="G280" i="6"/>
  <c r="AC279" i="6"/>
  <c r="AD279" i="6" s="1"/>
  <c r="L279" i="6"/>
  <c r="AA279" i="6" s="1"/>
  <c r="K274" i="18" l="1"/>
  <c r="I274" i="18" s="1"/>
  <c r="L274" i="18" s="1"/>
  <c r="F275" i="18"/>
  <c r="G275" i="18" s="1"/>
  <c r="J275" i="18" s="1"/>
  <c r="H346" i="18"/>
  <c r="Q345" i="18"/>
  <c r="Y279" i="6"/>
  <c r="T280" i="6"/>
  <c r="U280" i="6" s="1"/>
  <c r="Z280" i="6" s="1"/>
  <c r="V280" i="6"/>
  <c r="W280" i="6" s="1"/>
  <c r="X280" i="6" s="1"/>
  <c r="Q281" i="6"/>
  <c r="S281" i="6" s="1"/>
  <c r="V281" i="6" s="1"/>
  <c r="G281" i="6"/>
  <c r="I281" i="6"/>
  <c r="H282" i="6"/>
  <c r="K283" i="6"/>
  <c r="F284" i="6"/>
  <c r="P280" i="6"/>
  <c r="J280" i="6"/>
  <c r="L280" i="6"/>
  <c r="AA280" i="6" s="1"/>
  <c r="AC280" i="6"/>
  <c r="AD280" i="6" s="1"/>
  <c r="K275" i="18" l="1"/>
  <c r="I275" i="18" s="1"/>
  <c r="L275" i="18" s="1"/>
  <c r="F276" i="18"/>
  <c r="G276" i="18" s="1"/>
  <c r="J276" i="18" s="1"/>
  <c r="H347" i="18"/>
  <c r="Q346" i="18"/>
  <c r="Y280" i="6"/>
  <c r="H283" i="6"/>
  <c r="Q282" i="6"/>
  <c r="S282" i="6" s="1"/>
  <c r="V282" i="6" s="1"/>
  <c r="I282" i="6"/>
  <c r="G282" i="6"/>
  <c r="K284" i="6"/>
  <c r="F285" i="6"/>
  <c r="J281" i="6"/>
  <c r="P281" i="6"/>
  <c r="T281" i="6"/>
  <c r="U281" i="6" s="1"/>
  <c r="Z281" i="6" s="1"/>
  <c r="L281" i="6"/>
  <c r="AA281" i="6" s="1"/>
  <c r="AC281" i="6"/>
  <c r="AD281" i="6" s="1"/>
  <c r="K276" i="18" l="1"/>
  <c r="I276" i="18" s="1"/>
  <c r="L276" i="18" s="1"/>
  <c r="F277" i="18"/>
  <c r="G277" i="18" s="1"/>
  <c r="J277" i="18" s="1"/>
  <c r="H348" i="18"/>
  <c r="Q347" i="18"/>
  <c r="AC282" i="6"/>
  <c r="AD282" i="6" s="1"/>
  <c r="L282" i="6"/>
  <c r="AA282" i="6" s="1"/>
  <c r="F286" i="6"/>
  <c r="K285" i="6"/>
  <c r="W281" i="6"/>
  <c r="X281" i="6" s="1"/>
  <c r="Y281" i="6" s="1"/>
  <c r="T282" i="6"/>
  <c r="U282" i="6" s="1"/>
  <c r="Z282" i="6" s="1"/>
  <c r="S283" i="6"/>
  <c r="V283" i="6" s="1"/>
  <c r="P282" i="6"/>
  <c r="J282" i="6"/>
  <c r="Q283" i="6"/>
  <c r="H284" i="6"/>
  <c r="I283" i="6"/>
  <c r="G283" i="6"/>
  <c r="F278" i="18" l="1"/>
  <c r="G278" i="18" s="1"/>
  <c r="J278" i="18" s="1"/>
  <c r="K277" i="18"/>
  <c r="I277" i="18" s="1"/>
  <c r="L277" i="18" s="1"/>
  <c r="H349" i="18"/>
  <c r="Q348" i="18"/>
  <c r="K286" i="6"/>
  <c r="F287" i="6"/>
  <c r="H285" i="6"/>
  <c r="G284" i="6"/>
  <c r="Q284" i="6"/>
  <c r="S284" i="6" s="1"/>
  <c r="I284" i="6"/>
  <c r="T283" i="6"/>
  <c r="U283" i="6" s="1"/>
  <c r="Z283" i="6" s="1"/>
  <c r="AC283" i="6"/>
  <c r="AD283" i="6" s="1"/>
  <c r="L283" i="6"/>
  <c r="AA283" i="6" s="1"/>
  <c r="P283" i="6"/>
  <c r="J283" i="6"/>
  <c r="W282" i="6"/>
  <c r="X282" i="6" s="1"/>
  <c r="Y282" i="6" s="1"/>
  <c r="K278" i="18" l="1"/>
  <c r="I278" i="18" s="1"/>
  <c r="L278" i="18" s="1"/>
  <c r="F279" i="18"/>
  <c r="G279" i="18" s="1"/>
  <c r="J279" i="18" s="1"/>
  <c r="H350" i="18"/>
  <c r="Q349" i="18"/>
  <c r="T284" i="6"/>
  <c r="U284" i="6" s="1"/>
  <c r="Z284" i="6" s="1"/>
  <c r="V284" i="6"/>
  <c r="W284" i="6" s="1"/>
  <c r="X284" i="6" s="1"/>
  <c r="Y284" i="6" s="1"/>
  <c r="F288" i="6"/>
  <c r="K287" i="6"/>
  <c r="J284" i="6"/>
  <c r="P284" i="6"/>
  <c r="L284" i="6"/>
  <c r="AA284" i="6" s="1"/>
  <c r="AC284" i="6"/>
  <c r="AD284" i="6" s="1"/>
  <c r="I285" i="6"/>
  <c r="Q285" i="6"/>
  <c r="S285" i="6" s="1"/>
  <c r="H286" i="6"/>
  <c r="G285" i="6"/>
  <c r="W283" i="6"/>
  <c r="X283" i="6" s="1"/>
  <c r="Y283" i="6" s="1"/>
  <c r="K279" i="18" l="1"/>
  <c r="I279" i="18" s="1"/>
  <c r="L279" i="18" s="1"/>
  <c r="F280" i="18"/>
  <c r="G280" i="18" s="1"/>
  <c r="J280" i="18" s="1"/>
  <c r="H351" i="18"/>
  <c r="Q350" i="18"/>
  <c r="T285" i="6"/>
  <c r="U285" i="6" s="1"/>
  <c r="Z285" i="6" s="1"/>
  <c r="V285" i="6"/>
  <c r="W285" i="6" s="1"/>
  <c r="X285" i="6" s="1"/>
  <c r="Y285" i="6" s="1"/>
  <c r="J285" i="6"/>
  <c r="P285" i="6"/>
  <c r="AC285" i="6"/>
  <c r="AD285" i="6" s="1"/>
  <c r="L285" i="6"/>
  <c r="AA285" i="6" s="1"/>
  <c r="K288" i="6"/>
  <c r="F289" i="6"/>
  <c r="Q286" i="6"/>
  <c r="S286" i="6" s="1"/>
  <c r="H287" i="6"/>
  <c r="I286" i="6"/>
  <c r="G286" i="6"/>
  <c r="K280" i="18" l="1"/>
  <c r="I280" i="18" s="1"/>
  <c r="L280" i="18" s="1"/>
  <c r="F281" i="18"/>
  <c r="G281" i="18" s="1"/>
  <c r="J281" i="18" s="1"/>
  <c r="H352" i="18"/>
  <c r="Q351" i="18"/>
  <c r="T286" i="6"/>
  <c r="U286" i="6" s="1"/>
  <c r="Z286" i="6" s="1"/>
  <c r="V286" i="6"/>
  <c r="W286" i="6" s="1"/>
  <c r="X286" i="6" s="1"/>
  <c r="L286" i="6"/>
  <c r="AA286" i="6" s="1"/>
  <c r="AC286" i="6"/>
  <c r="AD286" i="6" s="1"/>
  <c r="K289" i="6"/>
  <c r="F290" i="6"/>
  <c r="P286" i="6"/>
  <c r="J286" i="6"/>
  <c r="I287" i="6"/>
  <c r="H288" i="6"/>
  <c r="Q287" i="6"/>
  <c r="S287" i="6" s="1"/>
  <c r="G287" i="6"/>
  <c r="K281" i="18" l="1"/>
  <c r="I281" i="18" s="1"/>
  <c r="L281" i="18" s="1"/>
  <c r="F282" i="18"/>
  <c r="G282" i="18" s="1"/>
  <c r="J282" i="18" s="1"/>
  <c r="H353" i="18"/>
  <c r="Q352" i="18"/>
  <c r="Y286" i="6"/>
  <c r="T287" i="6"/>
  <c r="U287" i="6" s="1"/>
  <c r="Z287" i="6" s="1"/>
  <c r="V287" i="6"/>
  <c r="W287" i="6" s="1"/>
  <c r="X287" i="6" s="1"/>
  <c r="Y287" i="6" s="1"/>
  <c r="K290" i="6"/>
  <c r="F291" i="6"/>
  <c r="I288" i="6"/>
  <c r="G288" i="6"/>
  <c r="Q288" i="6"/>
  <c r="S288" i="6" s="1"/>
  <c r="H289" i="6"/>
  <c r="P287" i="6"/>
  <c r="J287" i="6"/>
  <c r="AC287" i="6"/>
  <c r="AD287" i="6" s="1"/>
  <c r="L287" i="6"/>
  <c r="AA287" i="6" s="1"/>
  <c r="K282" i="18" l="1"/>
  <c r="I282" i="18" s="1"/>
  <c r="L282" i="18" s="1"/>
  <c r="F283" i="18"/>
  <c r="G283" i="18" s="1"/>
  <c r="J283" i="18" s="1"/>
  <c r="H354" i="18"/>
  <c r="Q353" i="18"/>
  <c r="T288" i="6"/>
  <c r="U288" i="6" s="1"/>
  <c r="Z288" i="6" s="1"/>
  <c r="V288" i="6"/>
  <c r="W288" i="6" s="1"/>
  <c r="X288" i="6" s="1"/>
  <c r="I289" i="6"/>
  <c r="H290" i="6"/>
  <c r="G289" i="6"/>
  <c r="Q289" i="6"/>
  <c r="S289" i="6" s="1"/>
  <c r="AC288" i="6"/>
  <c r="AD288" i="6" s="1"/>
  <c r="L288" i="6"/>
  <c r="AA288" i="6" s="1"/>
  <c r="K291" i="6"/>
  <c r="F292" i="6"/>
  <c r="P288" i="6"/>
  <c r="J288" i="6"/>
  <c r="K283" i="18" l="1"/>
  <c r="I283" i="18" s="1"/>
  <c r="L283" i="18" s="1"/>
  <c r="F284" i="18"/>
  <c r="G284" i="18" s="1"/>
  <c r="J284" i="18" s="1"/>
  <c r="H355" i="18"/>
  <c r="Q354" i="18"/>
  <c r="T289" i="6"/>
  <c r="U289" i="6" s="1"/>
  <c r="Z289" i="6" s="1"/>
  <c r="V289" i="6"/>
  <c r="W289" i="6" s="1"/>
  <c r="X289" i="6" s="1"/>
  <c r="Y289" i="6" s="1"/>
  <c r="L289" i="6"/>
  <c r="AA289" i="6" s="1"/>
  <c r="AC289" i="6"/>
  <c r="AD289" i="6" s="1"/>
  <c r="P289" i="6"/>
  <c r="J289" i="6"/>
  <c r="Y288" i="6"/>
  <c r="Q290" i="6"/>
  <c r="S290" i="6" s="1"/>
  <c r="H291" i="6"/>
  <c r="G290" i="6"/>
  <c r="I290" i="6"/>
  <c r="K292" i="6"/>
  <c r="F293" i="6"/>
  <c r="K284" i="18" l="1"/>
  <c r="I284" i="18" s="1"/>
  <c r="L284" i="18" s="1"/>
  <c r="F285" i="18"/>
  <c r="G285" i="18" s="1"/>
  <c r="J285" i="18" s="1"/>
  <c r="H356" i="18"/>
  <c r="Q355" i="18"/>
  <c r="T290" i="6"/>
  <c r="U290" i="6" s="1"/>
  <c r="Z290" i="6" s="1"/>
  <c r="V290" i="6"/>
  <c r="W290" i="6" s="1"/>
  <c r="X290" i="6" s="1"/>
  <c r="J290" i="6"/>
  <c r="P290" i="6"/>
  <c r="I291" i="6"/>
  <c r="G291" i="6"/>
  <c r="H292" i="6"/>
  <c r="Q291" i="6"/>
  <c r="S291" i="6" s="1"/>
  <c r="K293" i="6"/>
  <c r="F294" i="6"/>
  <c r="AC290" i="6"/>
  <c r="AD290" i="6" s="1"/>
  <c r="L290" i="6"/>
  <c r="AA290" i="6" s="1"/>
  <c r="K285" i="18" l="1"/>
  <c r="I285" i="18" s="1"/>
  <c r="L285" i="18" s="1"/>
  <c r="F286" i="18"/>
  <c r="G286" i="18" s="1"/>
  <c r="J286" i="18" s="1"/>
  <c r="Y290" i="6"/>
  <c r="H357" i="18"/>
  <c r="Q356" i="18"/>
  <c r="T291" i="6"/>
  <c r="U291" i="6" s="1"/>
  <c r="Z291" i="6" s="1"/>
  <c r="V291" i="6"/>
  <c r="W291" i="6" s="1"/>
  <c r="X291" i="6" s="1"/>
  <c r="P291" i="6"/>
  <c r="J291" i="6"/>
  <c r="K294" i="6"/>
  <c r="F295" i="6"/>
  <c r="AC291" i="6"/>
  <c r="AD291" i="6" s="1"/>
  <c r="L291" i="6"/>
  <c r="AA291" i="6" s="1"/>
  <c r="H293" i="6"/>
  <c r="G292" i="6"/>
  <c r="I292" i="6"/>
  <c r="Q292" i="6"/>
  <c r="S292" i="6" s="1"/>
  <c r="K286" i="18" l="1"/>
  <c r="I286" i="18" s="1"/>
  <c r="L286" i="18" s="1"/>
  <c r="F287" i="18"/>
  <c r="G287" i="18" s="1"/>
  <c r="J287" i="18" s="1"/>
  <c r="Y291" i="6"/>
  <c r="H358" i="18"/>
  <c r="Q357" i="18"/>
  <c r="T292" i="6"/>
  <c r="U292" i="6" s="1"/>
  <c r="Z292" i="6" s="1"/>
  <c r="V292" i="6"/>
  <c r="W292" i="6" s="1"/>
  <c r="X292" i="6" s="1"/>
  <c r="G293" i="6"/>
  <c r="H294" i="6"/>
  <c r="I293" i="6"/>
  <c r="Q293" i="6"/>
  <c r="S293" i="6" s="1"/>
  <c r="L292" i="6"/>
  <c r="AA292" i="6" s="1"/>
  <c r="AC292" i="6"/>
  <c r="AD292" i="6" s="1"/>
  <c r="P292" i="6"/>
  <c r="J292" i="6"/>
  <c r="F296" i="6"/>
  <c r="K295" i="6"/>
  <c r="K287" i="18" l="1"/>
  <c r="I287" i="18" s="1"/>
  <c r="L287" i="18" s="1"/>
  <c r="F288" i="18"/>
  <c r="G288" i="18" s="1"/>
  <c r="J288" i="18" s="1"/>
  <c r="H359" i="18"/>
  <c r="Q358" i="18"/>
  <c r="T293" i="6"/>
  <c r="U293" i="6" s="1"/>
  <c r="Z293" i="6" s="1"/>
  <c r="V293" i="6"/>
  <c r="W293" i="6" s="1"/>
  <c r="X293" i="6" s="1"/>
  <c r="Y293" i="6" s="1"/>
  <c r="F297" i="6"/>
  <c r="K296" i="6"/>
  <c r="P293" i="6"/>
  <c r="J293" i="6"/>
  <c r="Y292" i="6"/>
  <c r="AC293" i="6"/>
  <c r="AD293" i="6" s="1"/>
  <c r="L293" i="6"/>
  <c r="AA293" i="6" s="1"/>
  <c r="G294" i="6"/>
  <c r="H295" i="6"/>
  <c r="I294" i="6"/>
  <c r="Q294" i="6"/>
  <c r="S294" i="6" s="1"/>
  <c r="K288" i="18" l="1"/>
  <c r="I288" i="18" s="1"/>
  <c r="L288" i="18" s="1"/>
  <c r="F289" i="18"/>
  <c r="G289" i="18" s="1"/>
  <c r="J289" i="18" s="1"/>
  <c r="H360" i="18"/>
  <c r="Q359" i="18"/>
  <c r="T294" i="6"/>
  <c r="U294" i="6" s="1"/>
  <c r="Z294" i="6" s="1"/>
  <c r="V294" i="6"/>
  <c r="W294" i="6" s="1"/>
  <c r="X294" i="6" s="1"/>
  <c r="F298" i="6"/>
  <c r="K297" i="6"/>
  <c r="AC294" i="6"/>
  <c r="AD294" i="6" s="1"/>
  <c r="L294" i="6"/>
  <c r="AA294" i="6" s="1"/>
  <c r="G295" i="6"/>
  <c r="Q295" i="6"/>
  <c r="S295" i="6" s="1"/>
  <c r="I295" i="6"/>
  <c r="H296" i="6"/>
  <c r="J294" i="6"/>
  <c r="P294" i="6"/>
  <c r="K289" i="18" l="1"/>
  <c r="I289" i="18" s="1"/>
  <c r="L289" i="18" s="1"/>
  <c r="F290" i="18"/>
  <c r="G290" i="18" s="1"/>
  <c r="J290" i="18" s="1"/>
  <c r="H361" i="18"/>
  <c r="Q360" i="18"/>
  <c r="T295" i="6"/>
  <c r="U295" i="6" s="1"/>
  <c r="Z295" i="6" s="1"/>
  <c r="V295" i="6"/>
  <c r="W295" i="6" s="1"/>
  <c r="X295" i="6" s="1"/>
  <c r="Y295" i="6" s="1"/>
  <c r="K298" i="6"/>
  <c r="F299" i="6"/>
  <c r="I296" i="6"/>
  <c r="G296" i="6"/>
  <c r="H297" i="6"/>
  <c r="Q296" i="6"/>
  <c r="S296" i="6" s="1"/>
  <c r="Y294" i="6"/>
  <c r="AC295" i="6"/>
  <c r="AD295" i="6" s="1"/>
  <c r="L295" i="6"/>
  <c r="AA295" i="6" s="1"/>
  <c r="J295" i="6"/>
  <c r="P295" i="6"/>
  <c r="K290" i="18" l="1"/>
  <c r="I290" i="18" s="1"/>
  <c r="L290" i="18" s="1"/>
  <c r="F291" i="18"/>
  <c r="G291" i="18" s="1"/>
  <c r="J291" i="18" s="1"/>
  <c r="H362" i="18"/>
  <c r="Q361" i="18"/>
  <c r="T296" i="6"/>
  <c r="U296" i="6" s="1"/>
  <c r="Z296" i="6" s="1"/>
  <c r="V296" i="6"/>
  <c r="W296" i="6" s="1"/>
  <c r="X296" i="6" s="1"/>
  <c r="AC296" i="6"/>
  <c r="AD296" i="6" s="1"/>
  <c r="L296" i="6"/>
  <c r="AA296" i="6" s="1"/>
  <c r="Q297" i="6"/>
  <c r="S297" i="6" s="1"/>
  <c r="I297" i="6"/>
  <c r="H298" i="6"/>
  <c r="G297" i="6"/>
  <c r="J296" i="6"/>
  <c r="P296" i="6"/>
  <c r="F300" i="6"/>
  <c r="K299" i="6"/>
  <c r="K291" i="18" l="1"/>
  <c r="I291" i="18" s="1"/>
  <c r="L291" i="18" s="1"/>
  <c r="F292" i="18"/>
  <c r="G292" i="18" s="1"/>
  <c r="J292" i="18" s="1"/>
  <c r="H363" i="18"/>
  <c r="Q362" i="18"/>
  <c r="T297" i="6"/>
  <c r="U297" i="6" s="1"/>
  <c r="Z297" i="6" s="1"/>
  <c r="V297" i="6"/>
  <c r="W297" i="6" s="1"/>
  <c r="X297" i="6" s="1"/>
  <c r="I298" i="6"/>
  <c r="G298" i="6"/>
  <c r="H299" i="6"/>
  <c r="Q298" i="6"/>
  <c r="S298" i="6" s="1"/>
  <c r="Y296" i="6"/>
  <c r="K300" i="6"/>
  <c r="F301" i="6"/>
  <c r="AC297" i="6"/>
  <c r="AD297" i="6" s="1"/>
  <c r="L297" i="6"/>
  <c r="AA297" i="6" s="1"/>
  <c r="J297" i="6"/>
  <c r="P297" i="6"/>
  <c r="K292" i="18" l="1"/>
  <c r="I292" i="18" s="1"/>
  <c r="L292" i="18" s="1"/>
  <c r="F293" i="18"/>
  <c r="G293" i="18" s="1"/>
  <c r="J293" i="18" s="1"/>
  <c r="H364" i="18"/>
  <c r="Q363" i="18"/>
  <c r="T298" i="6"/>
  <c r="U298" i="6" s="1"/>
  <c r="Z298" i="6" s="1"/>
  <c r="V298" i="6"/>
  <c r="W298" i="6" s="1"/>
  <c r="X298" i="6" s="1"/>
  <c r="L298" i="6"/>
  <c r="AA298" i="6" s="1"/>
  <c r="AC298" i="6"/>
  <c r="AD298" i="6" s="1"/>
  <c r="Y297" i="6"/>
  <c r="Q299" i="6"/>
  <c r="S299" i="6" s="1"/>
  <c r="G299" i="6"/>
  <c r="I299" i="6"/>
  <c r="H300" i="6"/>
  <c r="K301" i="6"/>
  <c r="F302" i="6"/>
  <c r="J298" i="6"/>
  <c r="P298" i="6"/>
  <c r="K293" i="18" l="1"/>
  <c r="I293" i="18" s="1"/>
  <c r="L293" i="18" s="1"/>
  <c r="F294" i="18"/>
  <c r="G294" i="18" s="1"/>
  <c r="J294" i="18" s="1"/>
  <c r="Y298" i="6"/>
  <c r="H365" i="18"/>
  <c r="Q364" i="18"/>
  <c r="T299" i="6"/>
  <c r="U299" i="6" s="1"/>
  <c r="Z299" i="6" s="1"/>
  <c r="V299" i="6"/>
  <c r="W299" i="6" s="1"/>
  <c r="X299" i="6" s="1"/>
  <c r="J299" i="6"/>
  <c r="P299" i="6"/>
  <c r="K302" i="6"/>
  <c r="F303" i="6"/>
  <c r="L299" i="6"/>
  <c r="AA299" i="6" s="1"/>
  <c r="AC299" i="6"/>
  <c r="AD299" i="6" s="1"/>
  <c r="G300" i="6"/>
  <c r="Q300" i="6"/>
  <c r="S300" i="6" s="1"/>
  <c r="H301" i="6"/>
  <c r="I300" i="6"/>
  <c r="K294" i="18" l="1"/>
  <c r="I294" i="18" s="1"/>
  <c r="L294" i="18" s="1"/>
  <c r="F295" i="18"/>
  <c r="G295" i="18" s="1"/>
  <c r="J295" i="18" s="1"/>
  <c r="Y299" i="6"/>
  <c r="H366" i="18"/>
  <c r="Q365" i="18"/>
  <c r="T300" i="6"/>
  <c r="U300" i="6" s="1"/>
  <c r="Z300" i="6" s="1"/>
  <c r="V300" i="6"/>
  <c r="W300" i="6" s="1"/>
  <c r="X300" i="6" s="1"/>
  <c r="Y300" i="6" s="1"/>
  <c r="L300" i="6"/>
  <c r="AA300" i="6" s="1"/>
  <c r="AC300" i="6"/>
  <c r="AD300" i="6" s="1"/>
  <c r="P300" i="6"/>
  <c r="J300" i="6"/>
  <c r="G301" i="6"/>
  <c r="Q301" i="6"/>
  <c r="S301" i="6" s="1"/>
  <c r="I301" i="6"/>
  <c r="H302" i="6"/>
  <c r="F304" i="6"/>
  <c r="K303" i="6"/>
  <c r="K295" i="18" l="1"/>
  <c r="I295" i="18" s="1"/>
  <c r="L295" i="18" s="1"/>
  <c r="F296" i="18"/>
  <c r="G296" i="18" s="1"/>
  <c r="J296" i="18" s="1"/>
  <c r="H367" i="18"/>
  <c r="Q366" i="18"/>
  <c r="T301" i="6"/>
  <c r="U301" i="6" s="1"/>
  <c r="Z301" i="6" s="1"/>
  <c r="V301" i="6"/>
  <c r="W301" i="6" s="1"/>
  <c r="X301" i="6" s="1"/>
  <c r="I302" i="6"/>
  <c r="H303" i="6"/>
  <c r="G302" i="6"/>
  <c r="Q302" i="6"/>
  <c r="S302" i="6" s="1"/>
  <c r="L301" i="6"/>
  <c r="AA301" i="6" s="1"/>
  <c r="AC301" i="6"/>
  <c r="AD301" i="6" s="1"/>
  <c r="P301" i="6"/>
  <c r="J301" i="6"/>
  <c r="K304" i="6"/>
  <c r="F305" i="6"/>
  <c r="K296" i="18" l="1"/>
  <c r="I296" i="18" s="1"/>
  <c r="L296" i="18" s="1"/>
  <c r="F297" i="18"/>
  <c r="G297" i="18" s="1"/>
  <c r="J297" i="18" s="1"/>
  <c r="H368" i="18"/>
  <c r="Q367" i="18"/>
  <c r="T302" i="6"/>
  <c r="U302" i="6" s="1"/>
  <c r="Z302" i="6" s="1"/>
  <c r="V302" i="6"/>
  <c r="W302" i="6" s="1"/>
  <c r="X302" i="6" s="1"/>
  <c r="AC302" i="6"/>
  <c r="AD302" i="6" s="1"/>
  <c r="L302" i="6"/>
  <c r="AA302" i="6" s="1"/>
  <c r="K305" i="6"/>
  <c r="F306" i="6"/>
  <c r="J302" i="6"/>
  <c r="P302" i="6"/>
  <c r="Y301" i="6"/>
  <c r="G303" i="6"/>
  <c r="Q303" i="6"/>
  <c r="S303" i="6" s="1"/>
  <c r="H304" i="6"/>
  <c r="I303" i="6"/>
  <c r="K297" i="18" l="1"/>
  <c r="I297" i="18" s="1"/>
  <c r="L297" i="18" s="1"/>
  <c r="F298" i="18"/>
  <c r="G298" i="18" s="1"/>
  <c r="J298" i="18" s="1"/>
  <c r="H369" i="18"/>
  <c r="Q368" i="18"/>
  <c r="T303" i="6"/>
  <c r="U303" i="6" s="1"/>
  <c r="Z303" i="6" s="1"/>
  <c r="V303" i="6"/>
  <c r="W303" i="6" s="1"/>
  <c r="X303" i="6" s="1"/>
  <c r="Y303" i="6" s="1"/>
  <c r="F307" i="6"/>
  <c r="K306" i="6"/>
  <c r="Q304" i="6"/>
  <c r="S304" i="6" s="1"/>
  <c r="H305" i="6"/>
  <c r="I304" i="6"/>
  <c r="G304" i="6"/>
  <c r="Y302" i="6"/>
  <c r="AC303" i="6"/>
  <c r="AD303" i="6" s="1"/>
  <c r="L303" i="6"/>
  <c r="AA303" i="6" s="1"/>
  <c r="J303" i="6"/>
  <c r="P303" i="6"/>
  <c r="K298" i="18" l="1"/>
  <c r="I298" i="18" s="1"/>
  <c r="L298" i="18" s="1"/>
  <c r="F299" i="18"/>
  <c r="G299" i="18" s="1"/>
  <c r="J299" i="18" s="1"/>
  <c r="H370" i="18"/>
  <c r="Q369" i="18"/>
  <c r="T304" i="6"/>
  <c r="U304" i="6" s="1"/>
  <c r="Z304" i="6" s="1"/>
  <c r="V304" i="6"/>
  <c r="W304" i="6" s="1"/>
  <c r="X304" i="6" s="1"/>
  <c r="Y304" i="6" s="1"/>
  <c r="L304" i="6"/>
  <c r="AA304" i="6" s="1"/>
  <c r="AC304" i="6"/>
  <c r="AD304" i="6" s="1"/>
  <c r="P304" i="6"/>
  <c r="J304" i="6"/>
  <c r="Q305" i="6"/>
  <c r="S305" i="6" s="1"/>
  <c r="H306" i="6"/>
  <c r="I305" i="6"/>
  <c r="G305" i="6"/>
  <c r="K307" i="6"/>
  <c r="F308" i="6"/>
  <c r="K299" i="18" l="1"/>
  <c r="I299" i="18" s="1"/>
  <c r="L299" i="18" s="1"/>
  <c r="F300" i="18"/>
  <c r="G300" i="18" s="1"/>
  <c r="J300" i="18" s="1"/>
  <c r="H371" i="18"/>
  <c r="Q370" i="18"/>
  <c r="T305" i="6"/>
  <c r="U305" i="6" s="1"/>
  <c r="Z305" i="6" s="1"/>
  <c r="V305" i="6"/>
  <c r="W305" i="6" s="1"/>
  <c r="X305" i="6" s="1"/>
  <c r="Y305" i="6" s="1"/>
  <c r="P305" i="6"/>
  <c r="J305" i="6"/>
  <c r="L305" i="6"/>
  <c r="AA305" i="6" s="1"/>
  <c r="AC305" i="6"/>
  <c r="AD305" i="6" s="1"/>
  <c r="G306" i="6"/>
  <c r="H307" i="6"/>
  <c r="Q306" i="6"/>
  <c r="S306" i="6" s="1"/>
  <c r="I306" i="6"/>
  <c r="F309" i="6"/>
  <c r="K308" i="6"/>
  <c r="K300" i="18" l="1"/>
  <c r="I300" i="18" s="1"/>
  <c r="L300" i="18" s="1"/>
  <c r="F301" i="18"/>
  <c r="G301" i="18" s="1"/>
  <c r="J301" i="18" s="1"/>
  <c r="H372" i="18"/>
  <c r="Q371" i="18"/>
  <c r="T306" i="6"/>
  <c r="U306" i="6" s="1"/>
  <c r="Z306" i="6" s="1"/>
  <c r="V306" i="6"/>
  <c r="W306" i="6" s="1"/>
  <c r="X306" i="6" s="1"/>
  <c r="Y306" i="6" s="1"/>
  <c r="L306" i="6"/>
  <c r="AA306" i="6" s="1"/>
  <c r="AC306" i="6"/>
  <c r="AD306" i="6" s="1"/>
  <c r="P306" i="6"/>
  <c r="J306" i="6"/>
  <c r="F310" i="6"/>
  <c r="K309" i="6"/>
  <c r="G307" i="6"/>
  <c r="I307" i="6"/>
  <c r="Q307" i="6"/>
  <c r="S307" i="6" s="1"/>
  <c r="H308" i="6"/>
  <c r="K301" i="18" l="1"/>
  <c r="I301" i="18" s="1"/>
  <c r="L301" i="18" s="1"/>
  <c r="F302" i="18"/>
  <c r="G302" i="18" s="1"/>
  <c r="J302" i="18" s="1"/>
  <c r="H373" i="18"/>
  <c r="Q372" i="18"/>
  <c r="T307" i="6"/>
  <c r="U307" i="6" s="1"/>
  <c r="Z307" i="6" s="1"/>
  <c r="V307" i="6"/>
  <c r="K310" i="6"/>
  <c r="F311" i="6"/>
  <c r="I308" i="6"/>
  <c r="Q308" i="6"/>
  <c r="S308" i="6" s="1"/>
  <c r="G308" i="6"/>
  <c r="H309" i="6"/>
  <c r="J307" i="6"/>
  <c r="P307" i="6"/>
  <c r="L307" i="6"/>
  <c r="AA307" i="6" s="1"/>
  <c r="AC307" i="6"/>
  <c r="AD307" i="6" s="1"/>
  <c r="K302" i="18" l="1"/>
  <c r="I302" i="18" s="1"/>
  <c r="L302" i="18" s="1"/>
  <c r="F303" i="18"/>
  <c r="G303" i="18" s="1"/>
  <c r="J303" i="18" s="1"/>
  <c r="H374" i="18"/>
  <c r="Q373" i="18"/>
  <c r="W307" i="6"/>
  <c r="X307" i="6" s="1"/>
  <c r="Y307" i="6" s="1"/>
  <c r="T308" i="6"/>
  <c r="U308" i="6" s="1"/>
  <c r="Z308" i="6" s="1"/>
  <c r="V308" i="6"/>
  <c r="W308" i="6" s="1"/>
  <c r="X308" i="6" s="1"/>
  <c r="I309" i="6"/>
  <c r="H310" i="6"/>
  <c r="Q309" i="6"/>
  <c r="S309" i="6" s="1"/>
  <c r="G309" i="6"/>
  <c r="L308" i="6"/>
  <c r="AA308" i="6" s="1"/>
  <c r="AC308" i="6"/>
  <c r="AD308" i="6" s="1"/>
  <c r="K311" i="6"/>
  <c r="F312" i="6"/>
  <c r="P308" i="6"/>
  <c r="J308" i="6"/>
  <c r="F304" i="18" l="1"/>
  <c r="G304" i="18" s="1"/>
  <c r="J304" i="18" s="1"/>
  <c r="K303" i="18"/>
  <c r="I303" i="18" s="1"/>
  <c r="L303" i="18" s="1"/>
  <c r="H375" i="18"/>
  <c r="Q374" i="18"/>
  <c r="Y308" i="6"/>
  <c r="T309" i="6"/>
  <c r="U309" i="6" s="1"/>
  <c r="Z309" i="6" s="1"/>
  <c r="V309" i="6"/>
  <c r="W309" i="6" s="1"/>
  <c r="X309" i="6" s="1"/>
  <c r="Y309" i="6" s="1"/>
  <c r="F313" i="6"/>
  <c r="K312" i="6"/>
  <c r="P309" i="6"/>
  <c r="J309" i="6"/>
  <c r="L309" i="6"/>
  <c r="AA309" i="6" s="1"/>
  <c r="AC309" i="6"/>
  <c r="AD309" i="6" s="1"/>
  <c r="G310" i="6"/>
  <c r="H311" i="6"/>
  <c r="I310" i="6"/>
  <c r="Q310" i="6"/>
  <c r="S310" i="6" s="1"/>
  <c r="K304" i="18" l="1"/>
  <c r="I304" i="18" s="1"/>
  <c r="L304" i="18" s="1"/>
  <c r="F305" i="18"/>
  <c r="G305" i="18" s="1"/>
  <c r="J305" i="18" s="1"/>
  <c r="H376" i="18"/>
  <c r="Q375" i="18"/>
  <c r="T310" i="6"/>
  <c r="U310" i="6" s="1"/>
  <c r="Z310" i="6" s="1"/>
  <c r="V310" i="6"/>
  <c r="J310" i="6"/>
  <c r="P310" i="6"/>
  <c r="L310" i="6"/>
  <c r="AA310" i="6" s="1"/>
  <c r="AC310" i="6"/>
  <c r="AD310" i="6" s="1"/>
  <c r="H312" i="6"/>
  <c r="G311" i="6"/>
  <c r="I311" i="6"/>
  <c r="Q311" i="6"/>
  <c r="S311" i="6" s="1"/>
  <c r="F314" i="6"/>
  <c r="K313" i="6"/>
  <c r="K305" i="18" l="1"/>
  <c r="I305" i="18" s="1"/>
  <c r="L305" i="18" s="1"/>
  <c r="F306" i="18"/>
  <c r="G306" i="18" s="1"/>
  <c r="J306" i="18" s="1"/>
  <c r="H377" i="18"/>
  <c r="Q376" i="18"/>
  <c r="W310" i="6"/>
  <c r="X310" i="6" s="1"/>
  <c r="Y310" i="6" s="1"/>
  <c r="T311" i="6"/>
  <c r="U311" i="6" s="1"/>
  <c r="Z311" i="6" s="1"/>
  <c r="V311" i="6"/>
  <c r="W311" i="6" s="1"/>
  <c r="X311" i="6" s="1"/>
  <c r="I312" i="6"/>
  <c r="G312" i="6"/>
  <c r="H313" i="6"/>
  <c r="Q312" i="6"/>
  <c r="S312" i="6" s="1"/>
  <c r="AC311" i="6"/>
  <c r="AD311" i="6" s="1"/>
  <c r="L311" i="6"/>
  <c r="AA311" i="6" s="1"/>
  <c r="J311" i="6"/>
  <c r="P311" i="6"/>
  <c r="F315" i="6"/>
  <c r="K314" i="6"/>
  <c r="K306" i="18" l="1"/>
  <c r="I306" i="18" s="1"/>
  <c r="L306" i="18" s="1"/>
  <c r="F307" i="18"/>
  <c r="G307" i="18" s="1"/>
  <c r="J307" i="18" s="1"/>
  <c r="H378" i="18"/>
  <c r="Q377" i="18"/>
  <c r="Y311" i="6"/>
  <c r="T312" i="6"/>
  <c r="U312" i="6" s="1"/>
  <c r="Z312" i="6" s="1"/>
  <c r="V312" i="6"/>
  <c r="W312" i="6" s="1"/>
  <c r="X312" i="6" s="1"/>
  <c r="Q313" i="6"/>
  <c r="S313" i="6" s="1"/>
  <c r="G313" i="6"/>
  <c r="I313" i="6"/>
  <c r="H314" i="6"/>
  <c r="AC312" i="6"/>
  <c r="AD312" i="6" s="1"/>
  <c r="L312" i="6"/>
  <c r="AA312" i="6" s="1"/>
  <c r="J312" i="6"/>
  <c r="P312" i="6"/>
  <c r="F316" i="6"/>
  <c r="K315" i="6"/>
  <c r="K307" i="18" l="1"/>
  <c r="I307" i="18" s="1"/>
  <c r="L307" i="18" s="1"/>
  <c r="F308" i="18"/>
  <c r="G308" i="18" s="1"/>
  <c r="J308" i="18" s="1"/>
  <c r="H379" i="18"/>
  <c r="Q378" i="18"/>
  <c r="T313" i="6"/>
  <c r="U313" i="6" s="1"/>
  <c r="Z313" i="6" s="1"/>
  <c r="V313" i="6"/>
  <c r="W313" i="6" s="1"/>
  <c r="X313" i="6" s="1"/>
  <c r="Q314" i="6"/>
  <c r="S314" i="6" s="1"/>
  <c r="G314" i="6"/>
  <c r="I314" i="6"/>
  <c r="H315" i="6"/>
  <c r="L313" i="6"/>
  <c r="AA313" i="6" s="1"/>
  <c r="AC313" i="6"/>
  <c r="AD313" i="6" s="1"/>
  <c r="Y312" i="6"/>
  <c r="P313" i="6"/>
  <c r="J313" i="6"/>
  <c r="F317" i="6"/>
  <c r="K316" i="6"/>
  <c r="K308" i="18" l="1"/>
  <c r="I308" i="18" s="1"/>
  <c r="L308" i="18" s="1"/>
  <c r="F309" i="18"/>
  <c r="G309" i="18" s="1"/>
  <c r="J309" i="18" s="1"/>
  <c r="H380" i="18"/>
  <c r="Q379" i="18"/>
  <c r="T314" i="6"/>
  <c r="U314" i="6" s="1"/>
  <c r="Z314" i="6" s="1"/>
  <c r="V314" i="6"/>
  <c r="W314" i="6" s="1"/>
  <c r="X314" i="6" s="1"/>
  <c r="I315" i="6"/>
  <c r="H316" i="6"/>
  <c r="Q315" i="6"/>
  <c r="S315" i="6" s="1"/>
  <c r="G315" i="6"/>
  <c r="L314" i="6"/>
  <c r="AA314" i="6" s="1"/>
  <c r="AC314" i="6"/>
  <c r="AD314" i="6" s="1"/>
  <c r="Y313" i="6"/>
  <c r="K317" i="6"/>
  <c r="F318" i="6"/>
  <c r="J314" i="6"/>
  <c r="P314" i="6"/>
  <c r="K309" i="18" l="1"/>
  <c r="I309" i="18" s="1"/>
  <c r="L309" i="18" s="1"/>
  <c r="F310" i="18"/>
  <c r="G310" i="18" s="1"/>
  <c r="J310" i="18" s="1"/>
  <c r="H381" i="18"/>
  <c r="Q380" i="18"/>
  <c r="T315" i="6"/>
  <c r="U315" i="6" s="1"/>
  <c r="Z315" i="6" s="1"/>
  <c r="V315" i="6"/>
  <c r="W315" i="6" s="1"/>
  <c r="X315" i="6" s="1"/>
  <c r="Y315" i="6" s="1"/>
  <c r="P315" i="6"/>
  <c r="J315" i="6"/>
  <c r="L315" i="6"/>
  <c r="AA315" i="6" s="1"/>
  <c r="AC315" i="6"/>
  <c r="AD315" i="6" s="1"/>
  <c r="Y314" i="6"/>
  <c r="K318" i="6"/>
  <c r="F319" i="6"/>
  <c r="H317" i="6"/>
  <c r="G316" i="6"/>
  <c r="I316" i="6"/>
  <c r="Q316" i="6"/>
  <c r="S316" i="6" s="1"/>
  <c r="K310" i="18" l="1"/>
  <c r="I310" i="18" s="1"/>
  <c r="L310" i="18" s="1"/>
  <c r="F311" i="18"/>
  <c r="G311" i="18" s="1"/>
  <c r="J311" i="18" s="1"/>
  <c r="H382" i="18"/>
  <c r="Q381" i="18"/>
  <c r="T316" i="6"/>
  <c r="U316" i="6" s="1"/>
  <c r="Z316" i="6" s="1"/>
  <c r="V316" i="6"/>
  <c r="W316" i="6" s="1"/>
  <c r="X316" i="6" s="1"/>
  <c r="P316" i="6"/>
  <c r="J316" i="6"/>
  <c r="L316" i="6"/>
  <c r="AA316" i="6" s="1"/>
  <c r="AC316" i="6"/>
  <c r="AD316" i="6" s="1"/>
  <c r="K319" i="6"/>
  <c r="F320" i="6"/>
  <c r="Q317" i="6"/>
  <c r="S317" i="6" s="1"/>
  <c r="G317" i="6"/>
  <c r="I317" i="6"/>
  <c r="H318" i="6"/>
  <c r="K311" i="18" l="1"/>
  <c r="I311" i="18" s="1"/>
  <c r="L311" i="18" s="1"/>
  <c r="F312" i="18"/>
  <c r="G312" i="18" s="1"/>
  <c r="J312" i="18" s="1"/>
  <c r="Y316" i="6"/>
  <c r="H383" i="18"/>
  <c r="Q382" i="18"/>
  <c r="T317" i="6"/>
  <c r="U317" i="6" s="1"/>
  <c r="Z317" i="6" s="1"/>
  <c r="V317" i="6"/>
  <c r="W317" i="6" s="1"/>
  <c r="X317" i="6" s="1"/>
  <c r="I318" i="6"/>
  <c r="Q318" i="6"/>
  <c r="S318" i="6" s="1"/>
  <c r="V318" i="6" s="1"/>
  <c r="G318" i="6"/>
  <c r="H319" i="6"/>
  <c r="L317" i="6"/>
  <c r="AA317" i="6" s="1"/>
  <c r="AC317" i="6"/>
  <c r="AD317" i="6" s="1"/>
  <c r="J317" i="6"/>
  <c r="P317" i="6"/>
  <c r="K320" i="6"/>
  <c r="F321" i="6"/>
  <c r="F313" i="18" l="1"/>
  <c r="G313" i="18" s="1"/>
  <c r="J313" i="18" s="1"/>
  <c r="K312" i="18"/>
  <c r="I312" i="18" s="1"/>
  <c r="L312" i="18" s="1"/>
  <c r="H384" i="18"/>
  <c r="Q383" i="18"/>
  <c r="Y317" i="6"/>
  <c r="G319" i="6"/>
  <c r="H320" i="6"/>
  <c r="Q319" i="6"/>
  <c r="I319" i="6"/>
  <c r="L318" i="6"/>
  <c r="AA318" i="6" s="1"/>
  <c r="AC318" i="6"/>
  <c r="AD318" i="6" s="1"/>
  <c r="K321" i="6"/>
  <c r="F322" i="6"/>
  <c r="J318" i="6"/>
  <c r="P318" i="6"/>
  <c r="S319" i="6"/>
  <c r="T318" i="6"/>
  <c r="U318" i="6" s="1"/>
  <c r="Z318" i="6" s="1"/>
  <c r="K313" i="18" l="1"/>
  <c r="I313" i="18" s="1"/>
  <c r="L313" i="18" s="1"/>
  <c r="F314" i="18"/>
  <c r="G314" i="18" s="1"/>
  <c r="J314" i="18" s="1"/>
  <c r="H385" i="18"/>
  <c r="Q384" i="18"/>
  <c r="T319" i="6"/>
  <c r="U319" i="6" s="1"/>
  <c r="Z319" i="6" s="1"/>
  <c r="G320" i="6"/>
  <c r="I320" i="6"/>
  <c r="H321" i="6"/>
  <c r="Q320" i="6"/>
  <c r="S320" i="6" s="1"/>
  <c r="V319" i="6"/>
  <c r="W319" i="6" s="1"/>
  <c r="X319" i="6" s="1"/>
  <c r="W318" i="6"/>
  <c r="X318" i="6" s="1"/>
  <c r="Y318" i="6" s="1"/>
  <c r="F323" i="6"/>
  <c r="K322" i="6"/>
  <c r="L319" i="6"/>
  <c r="AA319" i="6" s="1"/>
  <c r="AC319" i="6"/>
  <c r="AD319" i="6" s="1"/>
  <c r="P319" i="6"/>
  <c r="J319" i="6"/>
  <c r="K314" i="18" l="1"/>
  <c r="I314" i="18" s="1"/>
  <c r="L314" i="18" s="1"/>
  <c r="F315" i="18"/>
  <c r="G315" i="18" s="1"/>
  <c r="J315" i="18" s="1"/>
  <c r="H386" i="18"/>
  <c r="Q385" i="18"/>
  <c r="Y319" i="6"/>
  <c r="T320" i="6"/>
  <c r="U320" i="6" s="1"/>
  <c r="Z320" i="6" s="1"/>
  <c r="V320" i="6"/>
  <c r="W320" i="6" s="1"/>
  <c r="X320" i="6" s="1"/>
  <c r="Y320" i="6" s="1"/>
  <c r="AC320" i="6"/>
  <c r="AD320" i="6" s="1"/>
  <c r="L320" i="6"/>
  <c r="AA320" i="6" s="1"/>
  <c r="P320" i="6"/>
  <c r="J320" i="6"/>
  <c r="Q321" i="6"/>
  <c r="S321" i="6" s="1"/>
  <c r="H322" i="6"/>
  <c r="I321" i="6"/>
  <c r="G321" i="6"/>
  <c r="F324" i="6"/>
  <c r="K323" i="6"/>
  <c r="K315" i="18" l="1"/>
  <c r="I315" i="18" s="1"/>
  <c r="L315" i="18" s="1"/>
  <c r="F316" i="18"/>
  <c r="G316" i="18" s="1"/>
  <c r="J316" i="18" s="1"/>
  <c r="H387" i="18"/>
  <c r="Q386" i="18"/>
  <c r="T321" i="6"/>
  <c r="U321" i="6" s="1"/>
  <c r="Z321" i="6" s="1"/>
  <c r="V321" i="6"/>
  <c r="W321" i="6" s="1"/>
  <c r="X321" i="6" s="1"/>
  <c r="Q322" i="6"/>
  <c r="S322" i="6" s="1"/>
  <c r="H323" i="6"/>
  <c r="G322" i="6"/>
  <c r="I322" i="6"/>
  <c r="P321" i="6"/>
  <c r="J321" i="6"/>
  <c r="F325" i="6"/>
  <c r="K324" i="6"/>
  <c r="L321" i="6"/>
  <c r="AA321" i="6" s="1"/>
  <c r="AC321" i="6"/>
  <c r="AD321" i="6" s="1"/>
  <c r="K316" i="18" l="1"/>
  <c r="I316" i="18" s="1"/>
  <c r="L316" i="18" s="1"/>
  <c r="F317" i="18"/>
  <c r="G317" i="18" s="1"/>
  <c r="J317" i="18" s="1"/>
  <c r="H388" i="18"/>
  <c r="Q387" i="18"/>
  <c r="Y321" i="6"/>
  <c r="T322" i="6"/>
  <c r="U322" i="6" s="1"/>
  <c r="Z322" i="6" s="1"/>
  <c r="V322" i="6"/>
  <c r="W322" i="6" s="1"/>
  <c r="X322" i="6" s="1"/>
  <c r="AC322" i="6"/>
  <c r="AD322" i="6" s="1"/>
  <c r="L322" i="6"/>
  <c r="AA322" i="6" s="1"/>
  <c r="J322" i="6"/>
  <c r="P322" i="6"/>
  <c r="K325" i="6"/>
  <c r="F326" i="6"/>
  <c r="Q323" i="6"/>
  <c r="S323" i="6" s="1"/>
  <c r="I323" i="6"/>
  <c r="H324" i="6"/>
  <c r="G323" i="6"/>
  <c r="K317" i="18" l="1"/>
  <c r="I317" i="18" s="1"/>
  <c r="L317" i="18" s="1"/>
  <c r="F318" i="18"/>
  <c r="G318" i="18" s="1"/>
  <c r="J318" i="18" s="1"/>
  <c r="H389" i="18"/>
  <c r="Q388" i="18"/>
  <c r="T323" i="6"/>
  <c r="U323" i="6" s="1"/>
  <c r="Z323" i="6" s="1"/>
  <c r="V323" i="6"/>
  <c r="W323" i="6" s="1"/>
  <c r="X323" i="6" s="1"/>
  <c r="Y323" i="6" s="1"/>
  <c r="AC323" i="6"/>
  <c r="AD323" i="6" s="1"/>
  <c r="L323" i="6"/>
  <c r="AA323" i="6" s="1"/>
  <c r="P323" i="6"/>
  <c r="J323" i="6"/>
  <c r="Y322" i="6"/>
  <c r="F327" i="6"/>
  <c r="K326" i="6"/>
  <c r="Q324" i="6"/>
  <c r="S324" i="6" s="1"/>
  <c r="G324" i="6"/>
  <c r="I324" i="6"/>
  <c r="H325" i="6"/>
  <c r="K318" i="18" l="1"/>
  <c r="I318" i="18" s="1"/>
  <c r="L318" i="18" s="1"/>
  <c r="F319" i="18"/>
  <c r="G319" i="18" s="1"/>
  <c r="J319" i="18" s="1"/>
  <c r="H390" i="18"/>
  <c r="Q389" i="18"/>
  <c r="T324" i="6"/>
  <c r="U324" i="6" s="1"/>
  <c r="Z324" i="6" s="1"/>
  <c r="V324" i="6"/>
  <c r="W324" i="6" s="1"/>
  <c r="X324" i="6" s="1"/>
  <c r="AC324" i="6"/>
  <c r="AD324" i="6" s="1"/>
  <c r="L324" i="6"/>
  <c r="AA324" i="6" s="1"/>
  <c r="G325" i="6"/>
  <c r="H326" i="6"/>
  <c r="I325" i="6"/>
  <c r="Q325" i="6"/>
  <c r="S325" i="6" s="1"/>
  <c r="P324" i="6"/>
  <c r="J324" i="6"/>
  <c r="F328" i="6"/>
  <c r="K327" i="6"/>
  <c r="K319" i="18" l="1"/>
  <c r="I319" i="18" s="1"/>
  <c r="L319" i="18" s="1"/>
  <c r="F320" i="18"/>
  <c r="G320" i="18" s="1"/>
  <c r="J320" i="18" s="1"/>
  <c r="H391" i="18"/>
  <c r="Q390" i="18"/>
  <c r="T325" i="6"/>
  <c r="U325" i="6" s="1"/>
  <c r="Z325" i="6" s="1"/>
  <c r="V325" i="6"/>
  <c r="F329" i="6"/>
  <c r="K328" i="6"/>
  <c r="L325" i="6"/>
  <c r="AA325" i="6" s="1"/>
  <c r="AC325" i="6"/>
  <c r="AD325" i="6" s="1"/>
  <c r="Y324" i="6"/>
  <c r="G326" i="6"/>
  <c r="I326" i="6"/>
  <c r="Q326" i="6"/>
  <c r="S326" i="6" s="1"/>
  <c r="H327" i="6"/>
  <c r="J325" i="6"/>
  <c r="P325" i="6"/>
  <c r="K320" i="18" l="1"/>
  <c r="I320" i="18" s="1"/>
  <c r="L320" i="18" s="1"/>
  <c r="F321" i="18"/>
  <c r="G321" i="18" s="1"/>
  <c r="J321" i="18" s="1"/>
  <c r="W325" i="6"/>
  <c r="X325" i="6" s="1"/>
  <c r="Y325" i="6" s="1"/>
  <c r="H392" i="18"/>
  <c r="Q391" i="18"/>
  <c r="T326" i="6"/>
  <c r="U326" i="6" s="1"/>
  <c r="Z326" i="6" s="1"/>
  <c r="V326" i="6"/>
  <c r="W326" i="6" s="1"/>
  <c r="X326" i="6" s="1"/>
  <c r="K329" i="6"/>
  <c r="F330" i="6"/>
  <c r="AC326" i="6"/>
  <c r="AD326" i="6" s="1"/>
  <c r="L326" i="6"/>
  <c r="AA326" i="6" s="1"/>
  <c r="G327" i="6"/>
  <c r="Q327" i="6"/>
  <c r="S327" i="6" s="1"/>
  <c r="I327" i="6"/>
  <c r="H328" i="6"/>
  <c r="J326" i="6"/>
  <c r="P326" i="6"/>
  <c r="K321" i="18" l="1"/>
  <c r="I321" i="18" s="1"/>
  <c r="L321" i="18" s="1"/>
  <c r="F322" i="18"/>
  <c r="G322" i="18" s="1"/>
  <c r="J322" i="18" s="1"/>
  <c r="H393" i="18"/>
  <c r="Q392" i="18"/>
  <c r="T327" i="6"/>
  <c r="U327" i="6" s="1"/>
  <c r="Z327" i="6" s="1"/>
  <c r="V327" i="6"/>
  <c r="W327" i="6" s="1"/>
  <c r="X327" i="6" s="1"/>
  <c r="Q328" i="6"/>
  <c r="S328" i="6" s="1"/>
  <c r="H329" i="6"/>
  <c r="G328" i="6"/>
  <c r="I328" i="6"/>
  <c r="AC327" i="6"/>
  <c r="AD327" i="6" s="1"/>
  <c r="L327" i="6"/>
  <c r="AA327" i="6" s="1"/>
  <c r="Y326" i="6"/>
  <c r="F331" i="6"/>
  <c r="K330" i="6"/>
  <c r="J327" i="6"/>
  <c r="P327" i="6"/>
  <c r="K322" i="18" l="1"/>
  <c r="I322" i="18" s="1"/>
  <c r="L322" i="18" s="1"/>
  <c r="F323" i="18"/>
  <c r="G323" i="18" s="1"/>
  <c r="J323" i="18" s="1"/>
  <c r="H394" i="18"/>
  <c r="Q393" i="18"/>
  <c r="T328" i="6"/>
  <c r="U328" i="6" s="1"/>
  <c r="Z328" i="6" s="1"/>
  <c r="V328" i="6"/>
  <c r="W328" i="6" s="1"/>
  <c r="X328" i="6" s="1"/>
  <c r="L328" i="6"/>
  <c r="AA328" i="6" s="1"/>
  <c r="AC328" i="6"/>
  <c r="AD328" i="6" s="1"/>
  <c r="Y327" i="6"/>
  <c r="J328" i="6"/>
  <c r="P328" i="6"/>
  <c r="K331" i="6"/>
  <c r="F332" i="6"/>
  <c r="Q329" i="6"/>
  <c r="S329" i="6" s="1"/>
  <c r="I329" i="6"/>
  <c r="G329" i="6"/>
  <c r="H330" i="6"/>
  <c r="F324" i="18" l="1"/>
  <c r="G324" i="18" s="1"/>
  <c r="J324" i="18" s="1"/>
  <c r="K323" i="18"/>
  <c r="I323" i="18" s="1"/>
  <c r="L323" i="18" s="1"/>
  <c r="H395" i="18"/>
  <c r="Q394" i="18"/>
  <c r="T329" i="6"/>
  <c r="U329" i="6" s="1"/>
  <c r="Z329" i="6" s="1"/>
  <c r="V329" i="6"/>
  <c r="W329" i="6" s="1"/>
  <c r="X329" i="6" s="1"/>
  <c r="Q330" i="6"/>
  <c r="S330" i="6" s="1"/>
  <c r="G330" i="6"/>
  <c r="H331" i="6"/>
  <c r="I330" i="6"/>
  <c r="Y328" i="6"/>
  <c r="F333" i="6"/>
  <c r="K332" i="6"/>
  <c r="J329" i="6"/>
  <c r="P329" i="6"/>
  <c r="AC329" i="6"/>
  <c r="AD329" i="6" s="1"/>
  <c r="L329" i="6"/>
  <c r="AA329" i="6" s="1"/>
  <c r="K324" i="18" l="1"/>
  <c r="I324" i="18" s="1"/>
  <c r="L324" i="18" s="1"/>
  <c r="F325" i="18"/>
  <c r="G325" i="18" s="1"/>
  <c r="J325" i="18" s="1"/>
  <c r="H396" i="18"/>
  <c r="Q395" i="18"/>
  <c r="T330" i="6"/>
  <c r="U330" i="6" s="1"/>
  <c r="Z330" i="6" s="1"/>
  <c r="V330" i="6"/>
  <c r="W330" i="6" s="1"/>
  <c r="X330" i="6" s="1"/>
  <c r="AC330" i="6"/>
  <c r="AD330" i="6" s="1"/>
  <c r="L330" i="6"/>
  <c r="AA330" i="6" s="1"/>
  <c r="Y329" i="6"/>
  <c r="F334" i="6"/>
  <c r="K333" i="6"/>
  <c r="H332" i="6"/>
  <c r="I331" i="6"/>
  <c r="Q331" i="6"/>
  <c r="S331" i="6" s="1"/>
  <c r="G331" i="6"/>
  <c r="J330" i="6"/>
  <c r="P330" i="6"/>
  <c r="K325" i="18" l="1"/>
  <c r="I325" i="18" s="1"/>
  <c r="L325" i="18" s="1"/>
  <c r="F326" i="18"/>
  <c r="G326" i="18" s="1"/>
  <c r="J326" i="18" s="1"/>
  <c r="H397" i="18"/>
  <c r="Q396" i="18"/>
  <c r="T331" i="6"/>
  <c r="U331" i="6" s="1"/>
  <c r="Z331" i="6" s="1"/>
  <c r="V331" i="6"/>
  <c r="W331" i="6" s="1"/>
  <c r="X331" i="6" s="1"/>
  <c r="L331" i="6"/>
  <c r="AA331" i="6" s="1"/>
  <c r="AC331" i="6"/>
  <c r="AD331" i="6" s="1"/>
  <c r="G332" i="6"/>
  <c r="H333" i="6"/>
  <c r="I332" i="6"/>
  <c r="Q332" i="6"/>
  <c r="S332" i="6" s="1"/>
  <c r="Y330" i="6"/>
  <c r="K334" i="6"/>
  <c r="F335" i="6"/>
  <c r="P331" i="6"/>
  <c r="J331" i="6"/>
  <c r="K326" i="18" l="1"/>
  <c r="I326" i="18" s="1"/>
  <c r="L326" i="18" s="1"/>
  <c r="F327" i="18"/>
  <c r="G327" i="18" s="1"/>
  <c r="J327" i="18" s="1"/>
  <c r="H398" i="18"/>
  <c r="Q397" i="18"/>
  <c r="T332" i="6"/>
  <c r="U332" i="6" s="1"/>
  <c r="Z332" i="6" s="1"/>
  <c r="V332" i="6"/>
  <c r="W332" i="6" s="1"/>
  <c r="X332" i="6" s="1"/>
  <c r="Q333" i="6"/>
  <c r="S333" i="6" s="1"/>
  <c r="G333" i="6"/>
  <c r="I333" i="6"/>
  <c r="H334" i="6"/>
  <c r="Y331" i="6"/>
  <c r="K335" i="6"/>
  <c r="F336" i="6"/>
  <c r="J332" i="6"/>
  <c r="P332" i="6"/>
  <c r="AC332" i="6"/>
  <c r="AD332" i="6" s="1"/>
  <c r="L332" i="6"/>
  <c r="AA332" i="6" s="1"/>
  <c r="K327" i="18" l="1"/>
  <c r="I327" i="18" s="1"/>
  <c r="L327" i="18" s="1"/>
  <c r="F328" i="18"/>
  <c r="G328" i="18" s="1"/>
  <c r="J328" i="18" s="1"/>
  <c r="H399" i="18"/>
  <c r="Q398" i="18"/>
  <c r="T333" i="6"/>
  <c r="U333" i="6" s="1"/>
  <c r="Z333" i="6" s="1"/>
  <c r="V333" i="6"/>
  <c r="W333" i="6" s="1"/>
  <c r="X333" i="6" s="1"/>
  <c r="I334" i="6"/>
  <c r="Q334" i="6"/>
  <c r="S334" i="6" s="1"/>
  <c r="H335" i="6"/>
  <c r="G334" i="6"/>
  <c r="AC333" i="6"/>
  <c r="AD333" i="6" s="1"/>
  <c r="L333" i="6"/>
  <c r="AA333" i="6" s="1"/>
  <c r="Y332" i="6"/>
  <c r="K336" i="6"/>
  <c r="F337" i="6"/>
  <c r="J333" i="6"/>
  <c r="P333" i="6"/>
  <c r="K328" i="18" l="1"/>
  <c r="I328" i="18" s="1"/>
  <c r="L328" i="18" s="1"/>
  <c r="F329" i="18"/>
  <c r="G329" i="18" s="1"/>
  <c r="J329" i="18" s="1"/>
  <c r="H400" i="18"/>
  <c r="Q399" i="18"/>
  <c r="Y333" i="6"/>
  <c r="T334" i="6"/>
  <c r="U334" i="6" s="1"/>
  <c r="Z334" i="6" s="1"/>
  <c r="V334" i="6"/>
  <c r="W334" i="6" s="1"/>
  <c r="X334" i="6" s="1"/>
  <c r="F338" i="6"/>
  <c r="K337" i="6"/>
  <c r="P334" i="6"/>
  <c r="J334" i="6"/>
  <c r="L334" i="6"/>
  <c r="AA334" i="6" s="1"/>
  <c r="AC334" i="6"/>
  <c r="AD334" i="6" s="1"/>
  <c r="I335" i="6"/>
  <c r="G335" i="6"/>
  <c r="H336" i="6"/>
  <c r="Q335" i="6"/>
  <c r="S335" i="6" s="1"/>
  <c r="K329" i="18" l="1"/>
  <c r="I329" i="18" s="1"/>
  <c r="L329" i="18" s="1"/>
  <c r="F330" i="18"/>
  <c r="G330" i="18" s="1"/>
  <c r="J330" i="18" s="1"/>
  <c r="H401" i="18"/>
  <c r="Q400" i="18"/>
  <c r="T335" i="6"/>
  <c r="U335" i="6" s="1"/>
  <c r="Z335" i="6" s="1"/>
  <c r="V335" i="6"/>
  <c r="W335" i="6" s="1"/>
  <c r="X335" i="6" s="1"/>
  <c r="AC335" i="6"/>
  <c r="AD335" i="6" s="1"/>
  <c r="L335" i="6"/>
  <c r="AA335" i="6" s="1"/>
  <c r="K338" i="6"/>
  <c r="F339" i="6"/>
  <c r="Y334" i="6"/>
  <c r="G336" i="6"/>
  <c r="H337" i="6"/>
  <c r="I336" i="6"/>
  <c r="Q336" i="6"/>
  <c r="S336" i="6" s="1"/>
  <c r="P335" i="6"/>
  <c r="J335" i="6"/>
  <c r="K330" i="18" l="1"/>
  <c r="I330" i="18" s="1"/>
  <c r="L330" i="18" s="1"/>
  <c r="F331" i="18"/>
  <c r="G331" i="18" s="1"/>
  <c r="J331" i="18" s="1"/>
  <c r="H402" i="18"/>
  <c r="Q401" i="18"/>
  <c r="T336" i="6"/>
  <c r="U336" i="6" s="1"/>
  <c r="Z336" i="6" s="1"/>
  <c r="V336" i="6"/>
  <c r="W336" i="6" s="1"/>
  <c r="X336" i="6" s="1"/>
  <c r="F340" i="6"/>
  <c r="K339" i="6"/>
  <c r="AC336" i="6"/>
  <c r="AD336" i="6" s="1"/>
  <c r="L336" i="6"/>
  <c r="AA336" i="6" s="1"/>
  <c r="Y335" i="6"/>
  <c r="I337" i="6"/>
  <c r="H338" i="6"/>
  <c r="G337" i="6"/>
  <c r="Q337" i="6"/>
  <c r="S337" i="6" s="1"/>
  <c r="P336" i="6"/>
  <c r="J336" i="6"/>
  <c r="K331" i="18" l="1"/>
  <c r="I331" i="18" s="1"/>
  <c r="L331" i="18" s="1"/>
  <c r="F332" i="18"/>
  <c r="G332" i="18" s="1"/>
  <c r="J332" i="18" s="1"/>
  <c r="H403" i="18"/>
  <c r="Q402" i="18"/>
  <c r="Y336" i="6"/>
  <c r="T337" i="6"/>
  <c r="U337" i="6" s="1"/>
  <c r="Z337" i="6" s="1"/>
  <c r="V337" i="6"/>
  <c r="W337" i="6" s="1"/>
  <c r="X337" i="6" s="1"/>
  <c r="L337" i="6"/>
  <c r="AA337" i="6" s="1"/>
  <c r="AC337" i="6"/>
  <c r="AD337" i="6" s="1"/>
  <c r="J337" i="6"/>
  <c r="P337" i="6"/>
  <c r="I338" i="6"/>
  <c r="H339" i="6"/>
  <c r="Q338" i="6"/>
  <c r="S338" i="6" s="1"/>
  <c r="G338" i="6"/>
  <c r="F341" i="6"/>
  <c r="K340" i="6"/>
  <c r="K332" i="18" l="1"/>
  <c r="I332" i="18" s="1"/>
  <c r="L332" i="18" s="1"/>
  <c r="F333" i="18"/>
  <c r="G333" i="18" s="1"/>
  <c r="J333" i="18" s="1"/>
  <c r="Y337" i="6"/>
  <c r="H404" i="18"/>
  <c r="Q403" i="18"/>
  <c r="T338" i="6"/>
  <c r="U338" i="6" s="1"/>
  <c r="Z338" i="6" s="1"/>
  <c r="V338" i="6"/>
  <c r="W338" i="6" s="1"/>
  <c r="X338" i="6" s="1"/>
  <c r="J338" i="6"/>
  <c r="P338" i="6"/>
  <c r="L338" i="6"/>
  <c r="AA338" i="6" s="1"/>
  <c r="AC338" i="6"/>
  <c r="AD338" i="6" s="1"/>
  <c r="F342" i="6"/>
  <c r="K341" i="6"/>
  <c r="H340" i="6"/>
  <c r="G339" i="6"/>
  <c r="Q339" i="6"/>
  <c r="S339" i="6" s="1"/>
  <c r="I339" i="6"/>
  <c r="K333" i="18" l="1"/>
  <c r="I333" i="18" s="1"/>
  <c r="L333" i="18" s="1"/>
  <c r="F334" i="18"/>
  <c r="G334" i="18" s="1"/>
  <c r="J334" i="18" s="1"/>
  <c r="Y338" i="6"/>
  <c r="H405" i="18"/>
  <c r="Q404" i="18"/>
  <c r="T339" i="6"/>
  <c r="U339" i="6" s="1"/>
  <c r="Z339" i="6" s="1"/>
  <c r="V339" i="6"/>
  <c r="W339" i="6" s="1"/>
  <c r="X339" i="6" s="1"/>
  <c r="Q340" i="6"/>
  <c r="S340" i="6" s="1"/>
  <c r="G340" i="6"/>
  <c r="H341" i="6"/>
  <c r="I340" i="6"/>
  <c r="K342" i="6"/>
  <c r="F343" i="6"/>
  <c r="L339" i="6"/>
  <c r="AA339" i="6" s="1"/>
  <c r="AC339" i="6"/>
  <c r="AD339" i="6" s="1"/>
  <c r="P339" i="6"/>
  <c r="J339" i="6"/>
  <c r="K334" i="18" l="1"/>
  <c r="I334" i="18" s="1"/>
  <c r="L334" i="18" s="1"/>
  <c r="F335" i="18"/>
  <c r="G335" i="18" s="1"/>
  <c r="J335" i="18" s="1"/>
  <c r="H406" i="18"/>
  <c r="Q405" i="18"/>
  <c r="Y339" i="6"/>
  <c r="T340" i="6"/>
  <c r="U340" i="6" s="1"/>
  <c r="Z340" i="6" s="1"/>
  <c r="V340" i="6"/>
  <c r="W340" i="6" s="1"/>
  <c r="X340" i="6" s="1"/>
  <c r="K343" i="6"/>
  <c r="F344" i="6"/>
  <c r="L340" i="6"/>
  <c r="AA340" i="6" s="1"/>
  <c r="AC340" i="6"/>
  <c r="AD340" i="6" s="1"/>
  <c r="I341" i="6"/>
  <c r="Q341" i="6"/>
  <c r="S341" i="6" s="1"/>
  <c r="H342" i="6"/>
  <c r="G341" i="6"/>
  <c r="J340" i="6"/>
  <c r="P340" i="6"/>
  <c r="K335" i="18" l="1"/>
  <c r="I335" i="18" s="1"/>
  <c r="L335" i="18" s="1"/>
  <c r="F336" i="18"/>
  <c r="G336" i="18" s="1"/>
  <c r="J336" i="18" s="1"/>
  <c r="H407" i="18"/>
  <c r="Q406" i="18"/>
  <c r="T341" i="6"/>
  <c r="U341" i="6" s="1"/>
  <c r="Z341" i="6" s="1"/>
  <c r="V341" i="6"/>
  <c r="W341" i="6" s="1"/>
  <c r="X341" i="6" s="1"/>
  <c r="Y341" i="6" s="1"/>
  <c r="Y340" i="6"/>
  <c r="K344" i="6"/>
  <c r="F345" i="6"/>
  <c r="J341" i="6"/>
  <c r="P341" i="6"/>
  <c r="L341" i="6"/>
  <c r="AA341" i="6" s="1"/>
  <c r="AC341" i="6"/>
  <c r="AD341" i="6" s="1"/>
  <c r="H343" i="6"/>
  <c r="Q342" i="6"/>
  <c r="S342" i="6" s="1"/>
  <c r="I342" i="6"/>
  <c r="G342" i="6"/>
  <c r="K336" i="18" l="1"/>
  <c r="I336" i="18" s="1"/>
  <c r="L336" i="18" s="1"/>
  <c r="F337" i="18"/>
  <c r="G337" i="18" s="1"/>
  <c r="J337" i="18" s="1"/>
  <c r="H408" i="18"/>
  <c r="Q407" i="18"/>
  <c r="T342" i="6"/>
  <c r="U342" i="6" s="1"/>
  <c r="Z342" i="6" s="1"/>
  <c r="V342" i="6"/>
  <c r="W342" i="6" s="1"/>
  <c r="X342" i="6" s="1"/>
  <c r="L342" i="6"/>
  <c r="AA342" i="6" s="1"/>
  <c r="AC342" i="6"/>
  <c r="AD342" i="6" s="1"/>
  <c r="F346" i="6"/>
  <c r="K345" i="6"/>
  <c r="J342" i="6"/>
  <c r="P342" i="6"/>
  <c r="G343" i="6"/>
  <c r="Q343" i="6"/>
  <c r="S343" i="6" s="1"/>
  <c r="I343" i="6"/>
  <c r="H344" i="6"/>
  <c r="K337" i="18" l="1"/>
  <c r="I337" i="18" s="1"/>
  <c r="L337" i="18" s="1"/>
  <c r="F338" i="18"/>
  <c r="G338" i="18" s="1"/>
  <c r="J338" i="18" s="1"/>
  <c r="H409" i="18"/>
  <c r="Q408" i="18"/>
  <c r="T343" i="6"/>
  <c r="U343" i="6" s="1"/>
  <c r="Z343" i="6" s="1"/>
  <c r="V343" i="6"/>
  <c r="W343" i="6" s="1"/>
  <c r="X343" i="6" s="1"/>
  <c r="Y343" i="6" s="1"/>
  <c r="G344" i="6"/>
  <c r="H345" i="6"/>
  <c r="I344" i="6"/>
  <c r="Q344" i="6"/>
  <c r="S344" i="6" s="1"/>
  <c r="Y342" i="6"/>
  <c r="J343" i="6"/>
  <c r="P343" i="6"/>
  <c r="L343" i="6"/>
  <c r="AA343" i="6" s="1"/>
  <c r="AC343" i="6"/>
  <c r="AD343" i="6" s="1"/>
  <c r="F347" i="6"/>
  <c r="K346" i="6"/>
  <c r="K338" i="18" l="1"/>
  <c r="I338" i="18" s="1"/>
  <c r="L338" i="18" s="1"/>
  <c r="F339" i="18"/>
  <c r="G339" i="18" s="1"/>
  <c r="J339" i="18" s="1"/>
  <c r="H410" i="18"/>
  <c r="Q409" i="18"/>
  <c r="T344" i="6"/>
  <c r="U344" i="6" s="1"/>
  <c r="Z344" i="6" s="1"/>
  <c r="V344" i="6"/>
  <c r="W344" i="6" s="1"/>
  <c r="X344" i="6" s="1"/>
  <c r="P344" i="6"/>
  <c r="J344" i="6"/>
  <c r="F348" i="6"/>
  <c r="K347" i="6"/>
  <c r="AC344" i="6"/>
  <c r="AD344" i="6" s="1"/>
  <c r="L344" i="6"/>
  <c r="AA344" i="6" s="1"/>
  <c r="H346" i="6"/>
  <c r="G345" i="6"/>
  <c r="Q345" i="6"/>
  <c r="S345" i="6" s="1"/>
  <c r="I345" i="6"/>
  <c r="K339" i="18" l="1"/>
  <c r="I339" i="18" s="1"/>
  <c r="L339" i="18" s="1"/>
  <c r="F340" i="18"/>
  <c r="G340" i="18" s="1"/>
  <c r="J340" i="18" s="1"/>
  <c r="H411" i="18"/>
  <c r="Q410" i="18"/>
  <c r="T345" i="6"/>
  <c r="U345" i="6" s="1"/>
  <c r="Z345" i="6" s="1"/>
  <c r="V345" i="6"/>
  <c r="W345" i="6" s="1"/>
  <c r="X345" i="6" s="1"/>
  <c r="Y345" i="6" s="1"/>
  <c r="Q346" i="6"/>
  <c r="S346" i="6" s="1"/>
  <c r="H347" i="6"/>
  <c r="I346" i="6"/>
  <c r="G346" i="6"/>
  <c r="F349" i="6"/>
  <c r="K348" i="6"/>
  <c r="AC345" i="6"/>
  <c r="AD345" i="6" s="1"/>
  <c r="L345" i="6"/>
  <c r="AA345" i="6" s="1"/>
  <c r="Y344" i="6"/>
  <c r="J345" i="6"/>
  <c r="P345" i="6"/>
  <c r="K340" i="18" l="1"/>
  <c r="I340" i="18" s="1"/>
  <c r="L340" i="18" s="1"/>
  <c r="F341" i="18"/>
  <c r="G341" i="18" s="1"/>
  <c r="J341" i="18" s="1"/>
  <c r="H412" i="18"/>
  <c r="Q411" i="18"/>
  <c r="T346" i="6"/>
  <c r="U346" i="6" s="1"/>
  <c r="Z346" i="6" s="1"/>
  <c r="V346" i="6"/>
  <c r="W346" i="6" s="1"/>
  <c r="X346" i="6" s="1"/>
  <c r="L346" i="6"/>
  <c r="AA346" i="6" s="1"/>
  <c r="AC346" i="6"/>
  <c r="AD346" i="6" s="1"/>
  <c r="J346" i="6"/>
  <c r="P346" i="6"/>
  <c r="K349" i="6"/>
  <c r="F350" i="6"/>
  <c r="Q347" i="6"/>
  <c r="S347" i="6" s="1"/>
  <c r="G347" i="6"/>
  <c r="H348" i="6"/>
  <c r="I347" i="6"/>
  <c r="K341" i="18" l="1"/>
  <c r="I341" i="18" s="1"/>
  <c r="L341" i="18" s="1"/>
  <c r="F342" i="18"/>
  <c r="G342" i="18" s="1"/>
  <c r="J342" i="18" s="1"/>
  <c r="H413" i="18"/>
  <c r="Q412" i="18"/>
  <c r="Y346" i="6"/>
  <c r="T347" i="6"/>
  <c r="U347" i="6" s="1"/>
  <c r="Z347" i="6" s="1"/>
  <c r="V347" i="6"/>
  <c r="W347" i="6" s="1"/>
  <c r="X347" i="6" s="1"/>
  <c r="Y347" i="6" s="1"/>
  <c r="K350" i="6"/>
  <c r="F351" i="6"/>
  <c r="L347" i="6"/>
  <c r="AA347" i="6" s="1"/>
  <c r="AC347" i="6"/>
  <c r="AD347" i="6" s="1"/>
  <c r="H349" i="6"/>
  <c r="Q348" i="6"/>
  <c r="S348" i="6" s="1"/>
  <c r="G348" i="6"/>
  <c r="I348" i="6"/>
  <c r="J347" i="6"/>
  <c r="P347" i="6"/>
  <c r="K342" i="18" l="1"/>
  <c r="I342" i="18" s="1"/>
  <c r="L342" i="18" s="1"/>
  <c r="F343" i="18"/>
  <c r="G343" i="18" s="1"/>
  <c r="J343" i="18" s="1"/>
  <c r="H414" i="18"/>
  <c r="Q413" i="18"/>
  <c r="T348" i="6"/>
  <c r="U348" i="6" s="1"/>
  <c r="Z348" i="6" s="1"/>
  <c r="V348" i="6"/>
  <c r="W348" i="6" s="1"/>
  <c r="X348" i="6" s="1"/>
  <c r="G349" i="6"/>
  <c r="Q349" i="6"/>
  <c r="S349" i="6" s="1"/>
  <c r="I349" i="6"/>
  <c r="H350" i="6"/>
  <c r="F352" i="6"/>
  <c r="K351" i="6"/>
  <c r="L348" i="6"/>
  <c r="AA348" i="6" s="1"/>
  <c r="AC348" i="6"/>
  <c r="AD348" i="6" s="1"/>
  <c r="P348" i="6"/>
  <c r="J348" i="6"/>
  <c r="K343" i="18" l="1"/>
  <c r="I343" i="18" s="1"/>
  <c r="L343" i="18" s="1"/>
  <c r="F344" i="18"/>
  <c r="G344" i="18" s="1"/>
  <c r="J344" i="18" s="1"/>
  <c r="H415" i="18"/>
  <c r="Q414" i="18"/>
  <c r="Y348" i="6"/>
  <c r="T349" i="6"/>
  <c r="U349" i="6" s="1"/>
  <c r="Z349" i="6" s="1"/>
  <c r="V349" i="6"/>
  <c r="P349" i="6"/>
  <c r="J349" i="6"/>
  <c r="I350" i="6"/>
  <c r="G350" i="6"/>
  <c r="H351" i="6"/>
  <c r="Q350" i="6"/>
  <c r="S350" i="6" s="1"/>
  <c r="L349" i="6"/>
  <c r="AA349" i="6" s="1"/>
  <c r="AC349" i="6"/>
  <c r="AD349" i="6" s="1"/>
  <c r="K352" i="6"/>
  <c r="F353" i="6"/>
  <c r="K344" i="18" l="1"/>
  <c r="I344" i="18" s="1"/>
  <c r="L344" i="18" s="1"/>
  <c r="F345" i="18"/>
  <c r="G345" i="18" s="1"/>
  <c r="J345" i="18" s="1"/>
  <c r="W349" i="6"/>
  <c r="X349" i="6" s="1"/>
  <c r="Y349" i="6" s="1"/>
  <c r="H416" i="18"/>
  <c r="Q415" i="18"/>
  <c r="T350" i="6"/>
  <c r="U350" i="6" s="1"/>
  <c r="Z350" i="6" s="1"/>
  <c r="V350" i="6"/>
  <c r="P350" i="6"/>
  <c r="J350" i="6"/>
  <c r="AC350" i="6"/>
  <c r="AD350" i="6" s="1"/>
  <c r="L350" i="6"/>
  <c r="AA350" i="6" s="1"/>
  <c r="G351" i="6"/>
  <c r="Q351" i="6"/>
  <c r="S351" i="6" s="1"/>
  <c r="I351" i="6"/>
  <c r="H352" i="6"/>
  <c r="K353" i="6"/>
  <c r="F354" i="6"/>
  <c r="K345" i="18" l="1"/>
  <c r="I345" i="18" s="1"/>
  <c r="L345" i="18" s="1"/>
  <c r="F346" i="18"/>
  <c r="G346" i="18" s="1"/>
  <c r="J346" i="18" s="1"/>
  <c r="W350" i="6"/>
  <c r="X350" i="6" s="1"/>
  <c r="Y350" i="6"/>
  <c r="H417" i="18"/>
  <c r="Q416" i="18"/>
  <c r="T351" i="6"/>
  <c r="U351" i="6" s="1"/>
  <c r="Z351" i="6" s="1"/>
  <c r="V351" i="6"/>
  <c r="W351" i="6" s="1"/>
  <c r="X351" i="6" s="1"/>
  <c r="L351" i="6"/>
  <c r="AA351" i="6" s="1"/>
  <c r="AC351" i="6"/>
  <c r="AD351" i="6" s="1"/>
  <c r="K354" i="6"/>
  <c r="F355" i="6"/>
  <c r="Q352" i="6"/>
  <c r="S352" i="6" s="1"/>
  <c r="H353" i="6"/>
  <c r="I352" i="6"/>
  <c r="G352" i="6"/>
  <c r="J351" i="6"/>
  <c r="P351" i="6"/>
  <c r="K346" i="18" l="1"/>
  <c r="I346" i="18" s="1"/>
  <c r="L346" i="18" s="1"/>
  <c r="F347" i="18"/>
  <c r="G347" i="18" s="1"/>
  <c r="J347" i="18" s="1"/>
  <c r="H418" i="18"/>
  <c r="Q417" i="18"/>
  <c r="T352" i="6"/>
  <c r="U352" i="6" s="1"/>
  <c r="Z352" i="6" s="1"/>
  <c r="V352" i="6"/>
  <c r="W352" i="6" s="1"/>
  <c r="X352" i="6" s="1"/>
  <c r="Y351" i="6"/>
  <c r="G353" i="6"/>
  <c r="Q353" i="6"/>
  <c r="S353" i="6" s="1"/>
  <c r="I353" i="6"/>
  <c r="H354" i="6"/>
  <c r="F356" i="6"/>
  <c r="K355" i="6"/>
  <c r="J352" i="6"/>
  <c r="P352" i="6"/>
  <c r="AC352" i="6"/>
  <c r="AD352" i="6" s="1"/>
  <c r="L352" i="6"/>
  <c r="AA352" i="6" s="1"/>
  <c r="K347" i="18" l="1"/>
  <c r="I347" i="18" s="1"/>
  <c r="L347" i="18" s="1"/>
  <c r="F348" i="18"/>
  <c r="G348" i="18" s="1"/>
  <c r="J348" i="18" s="1"/>
  <c r="H419" i="18"/>
  <c r="Q418" i="18"/>
  <c r="T353" i="6"/>
  <c r="U353" i="6" s="1"/>
  <c r="Z353" i="6" s="1"/>
  <c r="V353" i="6"/>
  <c r="W353" i="6" s="1"/>
  <c r="X353" i="6" s="1"/>
  <c r="AC353" i="6"/>
  <c r="AD353" i="6" s="1"/>
  <c r="L353" i="6"/>
  <c r="AA353" i="6" s="1"/>
  <c r="Y352" i="6"/>
  <c r="K356" i="6"/>
  <c r="F357" i="6"/>
  <c r="G354" i="6"/>
  <c r="I354" i="6"/>
  <c r="Q354" i="6"/>
  <c r="S354" i="6" s="1"/>
  <c r="H355" i="6"/>
  <c r="P353" i="6"/>
  <c r="J353" i="6"/>
  <c r="K348" i="18" l="1"/>
  <c r="I348" i="18" s="1"/>
  <c r="L348" i="18" s="1"/>
  <c r="F349" i="18"/>
  <c r="G349" i="18" s="1"/>
  <c r="J349" i="18" s="1"/>
  <c r="H420" i="18"/>
  <c r="Q419" i="18"/>
  <c r="T354" i="6"/>
  <c r="U354" i="6" s="1"/>
  <c r="Z354" i="6" s="1"/>
  <c r="V354" i="6"/>
  <c r="W354" i="6" s="1"/>
  <c r="X354" i="6" s="1"/>
  <c r="Q355" i="6"/>
  <c r="S355" i="6" s="1"/>
  <c r="I355" i="6"/>
  <c r="H356" i="6"/>
  <c r="G355" i="6"/>
  <c r="K357" i="6"/>
  <c r="F358" i="6"/>
  <c r="AC354" i="6"/>
  <c r="AD354" i="6" s="1"/>
  <c r="L354" i="6"/>
  <c r="AA354" i="6" s="1"/>
  <c r="J354" i="6"/>
  <c r="P354" i="6"/>
  <c r="Y353" i="6"/>
  <c r="K349" i="18" l="1"/>
  <c r="I349" i="18" s="1"/>
  <c r="L349" i="18" s="1"/>
  <c r="F350" i="18"/>
  <c r="G350" i="18" s="1"/>
  <c r="J350" i="18" s="1"/>
  <c r="H421" i="18"/>
  <c r="Q420" i="18"/>
  <c r="T355" i="6"/>
  <c r="U355" i="6" s="1"/>
  <c r="Z355" i="6" s="1"/>
  <c r="V355" i="6"/>
  <c r="W355" i="6" s="1"/>
  <c r="X355" i="6" s="1"/>
  <c r="J355" i="6"/>
  <c r="P355" i="6"/>
  <c r="Y354" i="6"/>
  <c r="I356" i="6"/>
  <c r="H357" i="6"/>
  <c r="G356" i="6"/>
  <c r="Q356" i="6"/>
  <c r="S356" i="6" s="1"/>
  <c r="K358" i="6"/>
  <c r="F359" i="6"/>
  <c r="AC355" i="6"/>
  <c r="AD355" i="6" s="1"/>
  <c r="L355" i="6"/>
  <c r="AA355" i="6" s="1"/>
  <c r="K350" i="18" l="1"/>
  <c r="I350" i="18" s="1"/>
  <c r="L350" i="18" s="1"/>
  <c r="F351" i="18"/>
  <c r="G351" i="18" s="1"/>
  <c r="J351" i="18" s="1"/>
  <c r="Y355" i="6"/>
  <c r="H422" i="18"/>
  <c r="Q421" i="18"/>
  <c r="T356" i="6"/>
  <c r="U356" i="6" s="1"/>
  <c r="Z356" i="6" s="1"/>
  <c r="V356" i="6"/>
  <c r="W356" i="6" s="1"/>
  <c r="X356" i="6" s="1"/>
  <c r="H358" i="6"/>
  <c r="I357" i="6"/>
  <c r="Q357" i="6"/>
  <c r="S357" i="6" s="1"/>
  <c r="G357" i="6"/>
  <c r="L356" i="6"/>
  <c r="AA356" i="6" s="1"/>
  <c r="AC356" i="6"/>
  <c r="AD356" i="6" s="1"/>
  <c r="F360" i="6"/>
  <c r="K359" i="6"/>
  <c r="P356" i="6"/>
  <c r="J356" i="6"/>
  <c r="K351" i="18" l="1"/>
  <c r="I351" i="18" s="1"/>
  <c r="L351" i="18" s="1"/>
  <c r="F352" i="18"/>
  <c r="G352" i="18" s="1"/>
  <c r="J352" i="18" s="1"/>
  <c r="H423" i="18"/>
  <c r="Q422" i="18"/>
  <c r="T357" i="6"/>
  <c r="U357" i="6" s="1"/>
  <c r="Z357" i="6" s="1"/>
  <c r="V357" i="6"/>
  <c r="W357" i="6" s="1"/>
  <c r="X357" i="6" s="1"/>
  <c r="K360" i="6"/>
  <c r="F361" i="6"/>
  <c r="J357" i="6"/>
  <c r="P357" i="6"/>
  <c r="Y356" i="6"/>
  <c r="G358" i="6"/>
  <c r="Q358" i="6"/>
  <c r="S358" i="6" s="1"/>
  <c r="I358" i="6"/>
  <c r="H359" i="6"/>
  <c r="AC357" i="6"/>
  <c r="AD357" i="6" s="1"/>
  <c r="L357" i="6"/>
  <c r="AA357" i="6" s="1"/>
  <c r="K352" i="18" l="1"/>
  <c r="I352" i="18" s="1"/>
  <c r="L352" i="18" s="1"/>
  <c r="F353" i="18"/>
  <c r="G353" i="18" s="1"/>
  <c r="J353" i="18" s="1"/>
  <c r="H424" i="18"/>
  <c r="Q423" i="18"/>
  <c r="Y357" i="6"/>
  <c r="T358" i="6"/>
  <c r="U358" i="6" s="1"/>
  <c r="Z358" i="6" s="1"/>
  <c r="V358" i="6"/>
  <c r="W358" i="6" s="1"/>
  <c r="X358" i="6" s="1"/>
  <c r="P358" i="6"/>
  <c r="J358" i="6"/>
  <c r="K361" i="6"/>
  <c r="F362" i="6"/>
  <c r="H360" i="6"/>
  <c r="Q359" i="6"/>
  <c r="S359" i="6" s="1"/>
  <c r="G359" i="6"/>
  <c r="I359" i="6"/>
  <c r="L358" i="6"/>
  <c r="AA358" i="6" s="1"/>
  <c r="AC358" i="6"/>
  <c r="AD358" i="6" s="1"/>
  <c r="K353" i="18" l="1"/>
  <c r="I353" i="18" s="1"/>
  <c r="L353" i="18" s="1"/>
  <c r="F354" i="18"/>
  <c r="G354" i="18" s="1"/>
  <c r="J354" i="18" s="1"/>
  <c r="H425" i="18"/>
  <c r="Q424" i="18"/>
  <c r="T359" i="6"/>
  <c r="U359" i="6" s="1"/>
  <c r="Z359" i="6" s="1"/>
  <c r="V359" i="6"/>
  <c r="W359" i="6" s="1"/>
  <c r="X359" i="6" s="1"/>
  <c r="Y359" i="6" s="1"/>
  <c r="Y358" i="6"/>
  <c r="J359" i="6"/>
  <c r="P359" i="6"/>
  <c r="AC359" i="6"/>
  <c r="AD359" i="6" s="1"/>
  <c r="L359" i="6"/>
  <c r="AA359" i="6" s="1"/>
  <c r="Q360" i="6"/>
  <c r="S360" i="6" s="1"/>
  <c r="I360" i="6"/>
  <c r="H361" i="6"/>
  <c r="G360" i="6"/>
  <c r="F363" i="6"/>
  <c r="K362" i="6"/>
  <c r="K354" i="18" l="1"/>
  <c r="I354" i="18" s="1"/>
  <c r="L354" i="18" s="1"/>
  <c r="F355" i="18"/>
  <c r="G355" i="18" s="1"/>
  <c r="J355" i="18" s="1"/>
  <c r="H426" i="18"/>
  <c r="Q425" i="18"/>
  <c r="T360" i="6"/>
  <c r="U360" i="6" s="1"/>
  <c r="Z360" i="6" s="1"/>
  <c r="V360" i="6"/>
  <c r="W360" i="6" s="1"/>
  <c r="X360" i="6" s="1"/>
  <c r="F364" i="6"/>
  <c r="K363" i="6"/>
  <c r="L360" i="6"/>
  <c r="AA360" i="6" s="1"/>
  <c r="AC360" i="6"/>
  <c r="AD360" i="6" s="1"/>
  <c r="I361" i="6"/>
  <c r="G361" i="6"/>
  <c r="H362" i="6"/>
  <c r="Q361" i="6"/>
  <c r="S361" i="6" s="1"/>
  <c r="J360" i="6"/>
  <c r="P360" i="6"/>
  <c r="K355" i="18" l="1"/>
  <c r="I355" i="18" s="1"/>
  <c r="L355" i="18" s="1"/>
  <c r="F356" i="18"/>
  <c r="G356" i="18" s="1"/>
  <c r="J356" i="18" s="1"/>
  <c r="H427" i="18"/>
  <c r="Q426" i="18"/>
  <c r="Y360" i="6"/>
  <c r="T361" i="6"/>
  <c r="U361" i="6" s="1"/>
  <c r="Z361" i="6" s="1"/>
  <c r="V361" i="6"/>
  <c r="W361" i="6" s="1"/>
  <c r="X361" i="6" s="1"/>
  <c r="Y361" i="6" s="1"/>
  <c r="K364" i="6"/>
  <c r="F365" i="6"/>
  <c r="L361" i="6"/>
  <c r="AA361" i="6" s="1"/>
  <c r="AC361" i="6"/>
  <c r="AD361" i="6" s="1"/>
  <c r="J361" i="6"/>
  <c r="P361" i="6"/>
  <c r="Q362" i="6"/>
  <c r="S362" i="6" s="1"/>
  <c r="H363" i="6"/>
  <c r="G362" i="6"/>
  <c r="I362" i="6"/>
  <c r="K356" i="18" l="1"/>
  <c r="I356" i="18" s="1"/>
  <c r="L356" i="18" s="1"/>
  <c r="F357" i="18"/>
  <c r="G357" i="18" s="1"/>
  <c r="J357" i="18" s="1"/>
  <c r="H428" i="18"/>
  <c r="Q427" i="18"/>
  <c r="T362" i="6"/>
  <c r="U362" i="6" s="1"/>
  <c r="Z362" i="6" s="1"/>
  <c r="V362" i="6"/>
  <c r="W362" i="6" s="1"/>
  <c r="X362" i="6" s="1"/>
  <c r="AC362" i="6"/>
  <c r="AD362" i="6" s="1"/>
  <c r="L362" i="6"/>
  <c r="AA362" i="6" s="1"/>
  <c r="K365" i="6"/>
  <c r="F366" i="6"/>
  <c r="P362" i="6"/>
  <c r="J362" i="6"/>
  <c r="H364" i="6"/>
  <c r="Q363" i="6"/>
  <c r="S363" i="6" s="1"/>
  <c r="I363" i="6"/>
  <c r="G363" i="6"/>
  <c r="K357" i="18" l="1"/>
  <c r="I357" i="18" s="1"/>
  <c r="L357" i="18" s="1"/>
  <c r="F358" i="18"/>
  <c r="G358" i="18" s="1"/>
  <c r="J358" i="18" s="1"/>
  <c r="Y362" i="6"/>
  <c r="H429" i="18"/>
  <c r="Q428" i="18"/>
  <c r="T363" i="6"/>
  <c r="U363" i="6" s="1"/>
  <c r="Z363" i="6" s="1"/>
  <c r="V363" i="6"/>
  <c r="W363" i="6" s="1"/>
  <c r="X363" i="6" s="1"/>
  <c r="P363" i="6"/>
  <c r="J363" i="6"/>
  <c r="F367" i="6"/>
  <c r="K366" i="6"/>
  <c r="H365" i="6"/>
  <c r="G364" i="6"/>
  <c r="Q364" i="6"/>
  <c r="S364" i="6" s="1"/>
  <c r="I364" i="6"/>
  <c r="AC363" i="6"/>
  <c r="AD363" i="6" s="1"/>
  <c r="L363" i="6"/>
  <c r="AA363" i="6" s="1"/>
  <c r="K358" i="18" l="1"/>
  <c r="I358" i="18" s="1"/>
  <c r="L358" i="18" s="1"/>
  <c r="F359" i="18"/>
  <c r="G359" i="18" s="1"/>
  <c r="J359" i="18" s="1"/>
  <c r="Y363" i="6"/>
  <c r="H430" i="18"/>
  <c r="Q429" i="18"/>
  <c r="T364" i="6"/>
  <c r="U364" i="6" s="1"/>
  <c r="Z364" i="6" s="1"/>
  <c r="V364" i="6"/>
  <c r="W364" i="6" s="1"/>
  <c r="X364" i="6" s="1"/>
  <c r="P364" i="6"/>
  <c r="J364" i="6"/>
  <c r="K367" i="6"/>
  <c r="F368" i="6"/>
  <c r="I365" i="6"/>
  <c r="G365" i="6"/>
  <c r="H366" i="6"/>
  <c r="Q365" i="6"/>
  <c r="S365" i="6" s="1"/>
  <c r="AC364" i="6"/>
  <c r="AD364" i="6" s="1"/>
  <c r="L364" i="6"/>
  <c r="AA364" i="6" s="1"/>
  <c r="K359" i="18" l="1"/>
  <c r="I359" i="18" s="1"/>
  <c r="L359" i="18" s="1"/>
  <c r="F360" i="18"/>
  <c r="G360" i="18" s="1"/>
  <c r="J360" i="18" s="1"/>
  <c r="H431" i="18"/>
  <c r="Q430" i="18"/>
  <c r="T365" i="6"/>
  <c r="U365" i="6" s="1"/>
  <c r="Z365" i="6" s="1"/>
  <c r="V365" i="6"/>
  <c r="W365" i="6" s="1"/>
  <c r="X365" i="6" s="1"/>
  <c r="Y364" i="6"/>
  <c r="AC365" i="6"/>
  <c r="AD365" i="6" s="1"/>
  <c r="L365" i="6"/>
  <c r="AA365" i="6" s="1"/>
  <c r="I366" i="6"/>
  <c r="Q366" i="6"/>
  <c r="S366" i="6" s="1"/>
  <c r="V366" i="6" s="1"/>
  <c r="G366" i="6"/>
  <c r="H367" i="6"/>
  <c r="P365" i="6"/>
  <c r="J365" i="6"/>
  <c r="K368" i="6"/>
  <c r="F369" i="6"/>
  <c r="K360" i="18" l="1"/>
  <c r="I360" i="18" s="1"/>
  <c r="L360" i="18" s="1"/>
  <c r="F361" i="18"/>
  <c r="G361" i="18" s="1"/>
  <c r="J361" i="18" s="1"/>
  <c r="H432" i="18"/>
  <c r="Q431" i="18"/>
  <c r="T366" i="6"/>
  <c r="U366" i="6" s="1"/>
  <c r="Z366" i="6" s="1"/>
  <c r="G367" i="6"/>
  <c r="I367" i="6"/>
  <c r="Q367" i="6"/>
  <c r="S367" i="6" s="1"/>
  <c r="H368" i="6"/>
  <c r="L366" i="6"/>
  <c r="AA366" i="6" s="1"/>
  <c r="AC366" i="6"/>
  <c r="AD366" i="6" s="1"/>
  <c r="Y365" i="6"/>
  <c r="P366" i="6"/>
  <c r="J366" i="6"/>
  <c r="K369" i="6"/>
  <c r="F370" i="6"/>
  <c r="K361" i="18" l="1"/>
  <c r="I361" i="18" s="1"/>
  <c r="L361" i="18" s="1"/>
  <c r="F362" i="18"/>
  <c r="G362" i="18" s="1"/>
  <c r="J362" i="18" s="1"/>
  <c r="H433" i="18"/>
  <c r="Q432" i="18"/>
  <c r="T367" i="6"/>
  <c r="U367" i="6" s="1"/>
  <c r="Z367" i="6" s="1"/>
  <c r="V367" i="6"/>
  <c r="W367" i="6" s="1"/>
  <c r="X367" i="6" s="1"/>
  <c r="G368" i="6"/>
  <c r="I368" i="6"/>
  <c r="Q368" i="6"/>
  <c r="S368" i="6" s="1"/>
  <c r="H369" i="6"/>
  <c r="W366" i="6"/>
  <c r="X366" i="6" s="1"/>
  <c r="Y366" i="6" s="1"/>
  <c r="F371" i="6"/>
  <c r="K370" i="6"/>
  <c r="P367" i="6"/>
  <c r="J367" i="6"/>
  <c r="L367" i="6"/>
  <c r="AA367" i="6" s="1"/>
  <c r="AC367" i="6"/>
  <c r="AD367" i="6" s="1"/>
  <c r="K362" i="18" l="1"/>
  <c r="I362" i="18" s="1"/>
  <c r="L362" i="18" s="1"/>
  <c r="F363" i="18"/>
  <c r="G363" i="18" s="1"/>
  <c r="J363" i="18" s="1"/>
  <c r="H434" i="18"/>
  <c r="Q433" i="18"/>
  <c r="Y367" i="6"/>
  <c r="T368" i="6"/>
  <c r="U368" i="6" s="1"/>
  <c r="Z368" i="6" s="1"/>
  <c r="V368" i="6"/>
  <c r="W368" i="6" s="1"/>
  <c r="X368" i="6" s="1"/>
  <c r="P368" i="6"/>
  <c r="J368" i="6"/>
  <c r="H370" i="6"/>
  <c r="G369" i="6"/>
  <c r="I369" i="6"/>
  <c r="Q369" i="6"/>
  <c r="S369" i="6" s="1"/>
  <c r="F372" i="6"/>
  <c r="K371" i="6"/>
  <c r="AC368" i="6"/>
  <c r="AD368" i="6" s="1"/>
  <c r="L368" i="6"/>
  <c r="AA368" i="6" s="1"/>
  <c r="K363" i="18" l="1"/>
  <c r="I363" i="18" s="1"/>
  <c r="L363" i="18" s="1"/>
  <c r="F364" i="18"/>
  <c r="G364" i="18" s="1"/>
  <c r="J364" i="18" s="1"/>
  <c r="Y368" i="6"/>
  <c r="H435" i="18"/>
  <c r="Q434" i="18"/>
  <c r="T369" i="6"/>
  <c r="U369" i="6" s="1"/>
  <c r="Z369" i="6" s="1"/>
  <c r="V369" i="6"/>
  <c r="K372" i="6"/>
  <c r="F373" i="6"/>
  <c r="P369" i="6"/>
  <c r="J369" i="6"/>
  <c r="G370" i="6"/>
  <c r="Q370" i="6"/>
  <c r="S370" i="6" s="1"/>
  <c r="H371" i="6"/>
  <c r="I370" i="6"/>
  <c r="AC369" i="6"/>
  <c r="AD369" i="6" s="1"/>
  <c r="L369" i="6"/>
  <c r="AA369" i="6" s="1"/>
  <c r="K364" i="18" l="1"/>
  <c r="I364" i="18" s="1"/>
  <c r="L364" i="18" s="1"/>
  <c r="F365" i="18"/>
  <c r="G365" i="18" s="1"/>
  <c r="J365" i="18" s="1"/>
  <c r="W369" i="6"/>
  <c r="X369" i="6" s="1"/>
  <c r="Y369" i="6" s="1"/>
  <c r="H436" i="18"/>
  <c r="Q435" i="18"/>
  <c r="T370" i="6"/>
  <c r="U370" i="6" s="1"/>
  <c r="Z370" i="6" s="1"/>
  <c r="V370" i="6"/>
  <c r="L370" i="6"/>
  <c r="AA370" i="6" s="1"/>
  <c r="AC370" i="6"/>
  <c r="AD370" i="6" s="1"/>
  <c r="P370" i="6"/>
  <c r="J370" i="6"/>
  <c r="K373" i="6"/>
  <c r="F374" i="6"/>
  <c r="Q371" i="6"/>
  <c r="S371" i="6" s="1"/>
  <c r="G371" i="6"/>
  <c r="I371" i="6"/>
  <c r="H372" i="6"/>
  <c r="K365" i="18" l="1"/>
  <c r="I365" i="18" s="1"/>
  <c r="L365" i="18" s="1"/>
  <c r="F366" i="18"/>
  <c r="G366" i="18" s="1"/>
  <c r="J366" i="18" s="1"/>
  <c r="W370" i="6"/>
  <c r="X370" i="6" s="1"/>
  <c r="Y370" i="6" s="1"/>
  <c r="H437" i="18"/>
  <c r="Q436" i="18"/>
  <c r="T371" i="6"/>
  <c r="U371" i="6" s="1"/>
  <c r="Z371" i="6" s="1"/>
  <c r="V371" i="6"/>
  <c r="W371" i="6" s="1"/>
  <c r="X371" i="6" s="1"/>
  <c r="F375" i="6"/>
  <c r="K374" i="6"/>
  <c r="I372" i="6"/>
  <c r="Q372" i="6"/>
  <c r="S372" i="6" s="1"/>
  <c r="G372" i="6"/>
  <c r="H373" i="6"/>
  <c r="AC371" i="6"/>
  <c r="AD371" i="6" s="1"/>
  <c r="L371" i="6"/>
  <c r="AA371" i="6" s="1"/>
  <c r="P371" i="6"/>
  <c r="J371" i="6"/>
  <c r="K366" i="18" l="1"/>
  <c r="I366" i="18" s="1"/>
  <c r="L366" i="18" s="1"/>
  <c r="F367" i="18"/>
  <c r="G367" i="18" s="1"/>
  <c r="J367" i="18" s="1"/>
  <c r="H438" i="18"/>
  <c r="Q437" i="18"/>
  <c r="Y371" i="6"/>
  <c r="T372" i="6"/>
  <c r="U372" i="6" s="1"/>
  <c r="Z372" i="6" s="1"/>
  <c r="V372" i="6"/>
  <c r="W372" i="6" s="1"/>
  <c r="X372" i="6" s="1"/>
  <c r="G373" i="6"/>
  <c r="H374" i="6"/>
  <c r="Q373" i="6"/>
  <c r="S373" i="6" s="1"/>
  <c r="I373" i="6"/>
  <c r="AC372" i="6"/>
  <c r="AD372" i="6" s="1"/>
  <c r="L372" i="6"/>
  <c r="AA372" i="6" s="1"/>
  <c r="F376" i="6"/>
  <c r="K375" i="6"/>
  <c r="P372" i="6"/>
  <c r="J372" i="6"/>
  <c r="K367" i="18" l="1"/>
  <c r="I367" i="18" s="1"/>
  <c r="L367" i="18" s="1"/>
  <c r="F368" i="18"/>
  <c r="G368" i="18" s="1"/>
  <c r="J368" i="18" s="1"/>
  <c r="H439" i="18"/>
  <c r="Q438" i="18"/>
  <c r="T373" i="6"/>
  <c r="U373" i="6" s="1"/>
  <c r="Z373" i="6" s="1"/>
  <c r="V373" i="6"/>
  <c r="W373" i="6" s="1"/>
  <c r="X373" i="6" s="1"/>
  <c r="F377" i="6"/>
  <c r="K376" i="6"/>
  <c r="Y372" i="6"/>
  <c r="AC373" i="6"/>
  <c r="AD373" i="6" s="1"/>
  <c r="L373" i="6"/>
  <c r="AA373" i="6" s="1"/>
  <c r="P373" i="6"/>
  <c r="J373" i="6"/>
  <c r="G374" i="6"/>
  <c r="I374" i="6"/>
  <c r="H375" i="6"/>
  <c r="Q374" i="6"/>
  <c r="S374" i="6" s="1"/>
  <c r="K368" i="18" l="1"/>
  <c r="I368" i="18" s="1"/>
  <c r="L368" i="18" s="1"/>
  <c r="F369" i="18"/>
  <c r="G369" i="18" s="1"/>
  <c r="J369" i="18" s="1"/>
  <c r="Y373" i="6"/>
  <c r="H440" i="18"/>
  <c r="Q439" i="18"/>
  <c r="T374" i="6"/>
  <c r="U374" i="6" s="1"/>
  <c r="Z374" i="6" s="1"/>
  <c r="V374" i="6"/>
  <c r="W374" i="6" s="1"/>
  <c r="X374" i="6" s="1"/>
  <c r="K377" i="6"/>
  <c r="F378" i="6"/>
  <c r="H376" i="6"/>
  <c r="G375" i="6"/>
  <c r="Q375" i="6"/>
  <c r="S375" i="6" s="1"/>
  <c r="I375" i="6"/>
  <c r="AC374" i="6"/>
  <c r="AD374" i="6" s="1"/>
  <c r="L374" i="6"/>
  <c r="AA374" i="6" s="1"/>
  <c r="P374" i="6"/>
  <c r="J374" i="6"/>
  <c r="K369" i="18" l="1"/>
  <c r="I369" i="18" s="1"/>
  <c r="L369" i="18" s="1"/>
  <c r="F370" i="18"/>
  <c r="G370" i="18" s="1"/>
  <c r="J370" i="18" s="1"/>
  <c r="H441" i="18"/>
  <c r="Q440" i="18"/>
  <c r="T375" i="6"/>
  <c r="U375" i="6" s="1"/>
  <c r="Z375" i="6" s="1"/>
  <c r="V375" i="6"/>
  <c r="W375" i="6" s="1"/>
  <c r="X375" i="6" s="1"/>
  <c r="AC375" i="6"/>
  <c r="AD375" i="6" s="1"/>
  <c r="L375" i="6"/>
  <c r="AA375" i="6" s="1"/>
  <c r="H377" i="6"/>
  <c r="I376" i="6"/>
  <c r="Q376" i="6"/>
  <c r="S376" i="6" s="1"/>
  <c r="G376" i="6"/>
  <c r="Y374" i="6"/>
  <c r="F379" i="6"/>
  <c r="K378" i="6"/>
  <c r="P375" i="6"/>
  <c r="J375" i="6"/>
  <c r="K370" i="18" l="1"/>
  <c r="I370" i="18" s="1"/>
  <c r="L370" i="18" s="1"/>
  <c r="F371" i="18"/>
  <c r="G371" i="18" s="1"/>
  <c r="J371" i="18" s="1"/>
  <c r="H442" i="18"/>
  <c r="Q441" i="18"/>
  <c r="T376" i="6"/>
  <c r="U376" i="6" s="1"/>
  <c r="Z376" i="6" s="1"/>
  <c r="V376" i="6"/>
  <c r="W376" i="6" s="1"/>
  <c r="X376" i="6" s="1"/>
  <c r="Y375" i="6"/>
  <c r="K379" i="6"/>
  <c r="F380" i="6"/>
  <c r="L376" i="6"/>
  <c r="AA376" i="6" s="1"/>
  <c r="AC376" i="6"/>
  <c r="AD376" i="6" s="1"/>
  <c r="J376" i="6"/>
  <c r="P376" i="6"/>
  <c r="Q377" i="6"/>
  <c r="S377" i="6" s="1"/>
  <c r="G377" i="6"/>
  <c r="I377" i="6"/>
  <c r="H378" i="6"/>
  <c r="K371" i="18" l="1"/>
  <c r="I371" i="18" s="1"/>
  <c r="L371" i="18" s="1"/>
  <c r="F372" i="18"/>
  <c r="G372" i="18" s="1"/>
  <c r="J372" i="18" s="1"/>
  <c r="H443" i="18"/>
  <c r="Q442" i="18"/>
  <c r="Y376" i="6"/>
  <c r="T377" i="6"/>
  <c r="U377" i="6" s="1"/>
  <c r="Z377" i="6" s="1"/>
  <c r="V377" i="6"/>
  <c r="W377" i="6" s="1"/>
  <c r="X377" i="6" s="1"/>
  <c r="I378" i="6"/>
  <c r="Q378" i="6"/>
  <c r="S378" i="6" s="1"/>
  <c r="G378" i="6"/>
  <c r="H379" i="6"/>
  <c r="AC377" i="6"/>
  <c r="AD377" i="6" s="1"/>
  <c r="L377" i="6"/>
  <c r="AA377" i="6" s="1"/>
  <c r="P377" i="6"/>
  <c r="J377" i="6"/>
  <c r="K380" i="6"/>
  <c r="F381" i="6"/>
  <c r="K372" i="18" l="1"/>
  <c r="I372" i="18" s="1"/>
  <c r="L372" i="18" s="1"/>
  <c r="F373" i="18"/>
  <c r="G373" i="18" s="1"/>
  <c r="J373" i="18" s="1"/>
  <c r="H444" i="18"/>
  <c r="Q443" i="18"/>
  <c r="T378" i="6"/>
  <c r="U378" i="6" s="1"/>
  <c r="Z378" i="6" s="1"/>
  <c r="V378" i="6"/>
  <c r="W378" i="6" s="1"/>
  <c r="X378" i="6" s="1"/>
  <c r="AC378" i="6"/>
  <c r="AD378" i="6" s="1"/>
  <c r="L378" i="6"/>
  <c r="AA378" i="6" s="1"/>
  <c r="F382" i="6"/>
  <c r="K381" i="6"/>
  <c r="Q379" i="6"/>
  <c r="S379" i="6" s="1"/>
  <c r="G379" i="6"/>
  <c r="I379" i="6"/>
  <c r="H380" i="6"/>
  <c r="Y377" i="6"/>
  <c r="P378" i="6"/>
  <c r="J378" i="6"/>
  <c r="K373" i="18" l="1"/>
  <c r="I373" i="18" s="1"/>
  <c r="L373" i="18" s="1"/>
  <c r="F374" i="18"/>
  <c r="G374" i="18" s="1"/>
  <c r="J374" i="18" s="1"/>
  <c r="H445" i="18"/>
  <c r="Q444" i="18"/>
  <c r="T379" i="6"/>
  <c r="U379" i="6" s="1"/>
  <c r="Z379" i="6" s="1"/>
  <c r="V379" i="6"/>
  <c r="W379" i="6" s="1"/>
  <c r="X379" i="6" s="1"/>
  <c r="Y378" i="6"/>
  <c r="L379" i="6"/>
  <c r="AA379" i="6" s="1"/>
  <c r="AC379" i="6"/>
  <c r="AD379" i="6" s="1"/>
  <c r="J379" i="6"/>
  <c r="P379" i="6"/>
  <c r="F383" i="6"/>
  <c r="K382" i="6"/>
  <c r="G380" i="6"/>
  <c r="H381" i="6"/>
  <c r="I380" i="6"/>
  <c r="Q380" i="6"/>
  <c r="S380" i="6" s="1"/>
  <c r="K374" i="18" l="1"/>
  <c r="I374" i="18" s="1"/>
  <c r="L374" i="18" s="1"/>
  <c r="F375" i="18"/>
  <c r="G375" i="18" s="1"/>
  <c r="J375" i="18" s="1"/>
  <c r="H446" i="18"/>
  <c r="Q445" i="18"/>
  <c r="T380" i="6"/>
  <c r="U380" i="6" s="1"/>
  <c r="Z380" i="6" s="1"/>
  <c r="V380" i="6"/>
  <c r="W380" i="6" s="1"/>
  <c r="X380" i="6" s="1"/>
  <c r="J380" i="6"/>
  <c r="P380" i="6"/>
  <c r="L380" i="6"/>
  <c r="AA380" i="6" s="1"/>
  <c r="AC380" i="6"/>
  <c r="AD380" i="6" s="1"/>
  <c r="Y379" i="6"/>
  <c r="K383" i="6"/>
  <c r="F384" i="6"/>
  <c r="H382" i="6"/>
  <c r="I381" i="6"/>
  <c r="G381" i="6"/>
  <c r="Q381" i="6"/>
  <c r="S381" i="6" s="1"/>
  <c r="K375" i="18" l="1"/>
  <c r="I375" i="18" s="1"/>
  <c r="L375" i="18" s="1"/>
  <c r="F376" i="18"/>
  <c r="G376" i="18" s="1"/>
  <c r="J376" i="18" s="1"/>
  <c r="Y380" i="6"/>
  <c r="H447" i="18"/>
  <c r="Q446" i="18"/>
  <c r="T381" i="6"/>
  <c r="U381" i="6" s="1"/>
  <c r="Z381" i="6" s="1"/>
  <c r="V381" i="6"/>
  <c r="W381" i="6" s="1"/>
  <c r="X381" i="6" s="1"/>
  <c r="Y381" i="6" s="1"/>
  <c r="K384" i="6"/>
  <c r="F385" i="6"/>
  <c r="AC381" i="6"/>
  <c r="AD381" i="6" s="1"/>
  <c r="L381" i="6"/>
  <c r="AA381" i="6" s="1"/>
  <c r="P381" i="6"/>
  <c r="J381" i="6"/>
  <c r="G382" i="6"/>
  <c r="I382" i="6"/>
  <c r="Q382" i="6"/>
  <c r="S382" i="6" s="1"/>
  <c r="H383" i="6"/>
  <c r="K376" i="18" l="1"/>
  <c r="I376" i="18" s="1"/>
  <c r="L376" i="18" s="1"/>
  <c r="F377" i="18"/>
  <c r="G377" i="18" s="1"/>
  <c r="J377" i="18" s="1"/>
  <c r="H448" i="18"/>
  <c r="Q447" i="18"/>
  <c r="T382" i="6"/>
  <c r="U382" i="6" s="1"/>
  <c r="Z382" i="6" s="1"/>
  <c r="V382" i="6"/>
  <c r="W382" i="6" s="1"/>
  <c r="X382" i="6" s="1"/>
  <c r="G383" i="6"/>
  <c r="I383" i="6"/>
  <c r="H384" i="6"/>
  <c r="Q383" i="6"/>
  <c r="S383" i="6" s="1"/>
  <c r="P382" i="6"/>
  <c r="J382" i="6"/>
  <c r="L382" i="6"/>
  <c r="AA382" i="6" s="1"/>
  <c r="AC382" i="6"/>
  <c r="AD382" i="6" s="1"/>
  <c r="K385" i="6"/>
  <c r="F386" i="6"/>
  <c r="K377" i="18" l="1"/>
  <c r="I377" i="18" s="1"/>
  <c r="L377" i="18" s="1"/>
  <c r="F378" i="18"/>
  <c r="G378" i="18" s="1"/>
  <c r="J378" i="18" s="1"/>
  <c r="H449" i="18"/>
  <c r="Q448" i="18"/>
  <c r="Y382" i="6"/>
  <c r="T383" i="6"/>
  <c r="U383" i="6" s="1"/>
  <c r="Z383" i="6" s="1"/>
  <c r="V383" i="6"/>
  <c r="W383" i="6" s="1"/>
  <c r="X383" i="6" s="1"/>
  <c r="Y383" i="6" s="1"/>
  <c r="J383" i="6"/>
  <c r="P383" i="6"/>
  <c r="K386" i="6"/>
  <c r="F387" i="6"/>
  <c r="T386" i="6"/>
  <c r="Q384" i="6"/>
  <c r="S384" i="6" s="1"/>
  <c r="H385" i="6"/>
  <c r="G384" i="6"/>
  <c r="I384" i="6"/>
  <c r="AC383" i="6"/>
  <c r="AD383" i="6" s="1"/>
  <c r="L383" i="6"/>
  <c r="AA383" i="6" s="1"/>
  <c r="K378" i="18" l="1"/>
  <c r="I378" i="18" s="1"/>
  <c r="L378" i="18" s="1"/>
  <c r="F379" i="18"/>
  <c r="G379" i="18" s="1"/>
  <c r="J379" i="18" s="1"/>
  <c r="H450" i="18"/>
  <c r="Q449" i="18"/>
  <c r="T384" i="6"/>
  <c r="U384" i="6" s="1"/>
  <c r="Z384" i="6" s="1"/>
  <c r="V384" i="6"/>
  <c r="W384" i="6" s="1"/>
  <c r="X384" i="6" s="1"/>
  <c r="F388" i="6"/>
  <c r="K387" i="6"/>
  <c r="T387" i="6"/>
  <c r="L384" i="6"/>
  <c r="AA384" i="6" s="1"/>
  <c r="AC384" i="6"/>
  <c r="AD384" i="6" s="1"/>
  <c r="P384" i="6"/>
  <c r="J384" i="6"/>
  <c r="H386" i="6"/>
  <c r="Q385" i="6"/>
  <c r="S385" i="6" s="1"/>
  <c r="I385" i="6"/>
  <c r="G385" i="6"/>
  <c r="F380" i="18" l="1"/>
  <c r="G380" i="18" s="1"/>
  <c r="J380" i="18" s="1"/>
  <c r="K379" i="18"/>
  <c r="I379" i="18" s="1"/>
  <c r="L379" i="18" s="1"/>
  <c r="Y384" i="6"/>
  <c r="H451" i="18"/>
  <c r="Q450" i="18"/>
  <c r="T385" i="6"/>
  <c r="U385" i="6" s="1"/>
  <c r="Z385" i="6" s="1"/>
  <c r="V385" i="6"/>
  <c r="W385" i="6" s="1"/>
  <c r="X385" i="6" s="1"/>
  <c r="J385" i="6"/>
  <c r="P385" i="6"/>
  <c r="T388" i="6"/>
  <c r="F389" i="6"/>
  <c r="K388" i="6"/>
  <c r="AC385" i="6"/>
  <c r="AD385" i="6" s="1"/>
  <c r="L385" i="6"/>
  <c r="AA385" i="6" s="1"/>
  <c r="H387" i="6"/>
  <c r="I386" i="6"/>
  <c r="Q386" i="6"/>
  <c r="G386" i="6"/>
  <c r="K380" i="18" l="1"/>
  <c r="I380" i="18" s="1"/>
  <c r="L380" i="18" s="1"/>
  <c r="F381" i="18"/>
  <c r="G381" i="18" s="1"/>
  <c r="J381" i="18" s="1"/>
  <c r="H452" i="18"/>
  <c r="Q451" i="18"/>
  <c r="L386" i="6"/>
  <c r="AC386" i="6"/>
  <c r="AD386" i="6" s="1"/>
  <c r="Q387" i="6"/>
  <c r="I387" i="6"/>
  <c r="H388" i="6"/>
  <c r="G387" i="6"/>
  <c r="P386" i="6"/>
  <c r="J386" i="6"/>
  <c r="U386" i="6"/>
  <c r="F390" i="6"/>
  <c r="T389" i="6"/>
  <c r="K389" i="6"/>
  <c r="Y385" i="6"/>
  <c r="K381" i="18" l="1"/>
  <c r="I381" i="18" s="1"/>
  <c r="L381" i="18" s="1"/>
  <c r="F382" i="18"/>
  <c r="G382" i="18" s="1"/>
  <c r="J382" i="18" s="1"/>
  <c r="H453" i="18"/>
  <c r="Q452" i="18"/>
  <c r="AC387" i="6"/>
  <c r="AD387" i="6" s="1"/>
  <c r="L387" i="6"/>
  <c r="T390" i="6"/>
  <c r="F391" i="6"/>
  <c r="K390" i="6"/>
  <c r="J387" i="6"/>
  <c r="U387" i="6"/>
  <c r="P387" i="6"/>
  <c r="V386" i="6"/>
  <c r="Z386" i="6"/>
  <c r="I388" i="6"/>
  <c r="G388" i="6"/>
  <c r="H389" i="6"/>
  <c r="Q388" i="6"/>
  <c r="W386" i="6"/>
  <c r="X386" i="6" s="1"/>
  <c r="Y386" i="6" s="1"/>
  <c r="AA386" i="6"/>
  <c r="K382" i="18" l="1"/>
  <c r="I382" i="18" s="1"/>
  <c r="L382" i="18" s="1"/>
  <c r="F383" i="18"/>
  <c r="G383" i="18" s="1"/>
  <c r="J383" i="18" s="1"/>
  <c r="H454" i="18"/>
  <c r="Q453" i="18"/>
  <c r="L388" i="6"/>
  <c r="AC388" i="6"/>
  <c r="AD388" i="6" s="1"/>
  <c r="V387" i="6"/>
  <c r="Z387" i="6"/>
  <c r="K391" i="6"/>
  <c r="F392" i="6"/>
  <c r="T391" i="6"/>
  <c r="H390" i="6"/>
  <c r="G389" i="6"/>
  <c r="I389" i="6"/>
  <c r="Q389" i="6"/>
  <c r="W387" i="6"/>
  <c r="X387" i="6" s="1"/>
  <c r="Y387" i="6" s="1"/>
  <c r="AA387" i="6"/>
  <c r="P388" i="6"/>
  <c r="U388" i="6"/>
  <c r="J388" i="6"/>
  <c r="K383" i="18" l="1"/>
  <c r="I383" i="18" s="1"/>
  <c r="L383" i="18" s="1"/>
  <c r="F384" i="18"/>
  <c r="G384" i="18" s="1"/>
  <c r="J384" i="18" s="1"/>
  <c r="H455" i="18"/>
  <c r="Q454" i="18"/>
  <c r="V388" i="6"/>
  <c r="Z388" i="6"/>
  <c r="AC389" i="6"/>
  <c r="AD389" i="6" s="1"/>
  <c r="L389" i="6"/>
  <c r="K392" i="6"/>
  <c r="F393" i="6"/>
  <c r="T392" i="6"/>
  <c r="J389" i="6"/>
  <c r="P389" i="6"/>
  <c r="U389" i="6"/>
  <c r="H391" i="6"/>
  <c r="I390" i="6"/>
  <c r="Q390" i="6"/>
  <c r="G390" i="6"/>
  <c r="W388" i="6"/>
  <c r="X388" i="6" s="1"/>
  <c r="Y388" i="6" s="1"/>
  <c r="AA388" i="6"/>
  <c r="K384" i="18" l="1"/>
  <c r="I384" i="18" s="1"/>
  <c r="L384" i="18" s="1"/>
  <c r="F385" i="18"/>
  <c r="G385" i="18" s="1"/>
  <c r="J385" i="18" s="1"/>
  <c r="H456" i="18"/>
  <c r="Q455" i="18"/>
  <c r="Q391" i="6"/>
  <c r="I391" i="6"/>
  <c r="H392" i="6"/>
  <c r="G391" i="6"/>
  <c r="W389" i="6"/>
  <c r="X389" i="6" s="1"/>
  <c r="Y389" i="6" s="1"/>
  <c r="AA389" i="6"/>
  <c r="U390" i="6"/>
  <c r="J390" i="6"/>
  <c r="P390" i="6"/>
  <c r="V389" i="6"/>
  <c r="Z389" i="6"/>
  <c r="F394" i="6"/>
  <c r="K393" i="6"/>
  <c r="T393" i="6"/>
  <c r="L390" i="6"/>
  <c r="AC390" i="6"/>
  <c r="AD390" i="6" s="1"/>
  <c r="K385" i="18" l="1"/>
  <c r="I385" i="18" s="1"/>
  <c r="L385" i="18" s="1"/>
  <c r="F386" i="18"/>
  <c r="G386" i="18" s="1"/>
  <c r="J386" i="18" s="1"/>
  <c r="H457" i="18"/>
  <c r="Q456" i="18"/>
  <c r="K394" i="6"/>
  <c r="T394" i="6"/>
  <c r="F395" i="6"/>
  <c r="P391" i="6"/>
  <c r="J391" i="6"/>
  <c r="U391" i="6"/>
  <c r="W390" i="6"/>
  <c r="X390" i="6" s="1"/>
  <c r="Y390" i="6" s="1"/>
  <c r="AA390" i="6"/>
  <c r="V390" i="6"/>
  <c r="Z390" i="6"/>
  <c r="Q392" i="6"/>
  <c r="H393" i="6"/>
  <c r="G392" i="6"/>
  <c r="I392" i="6"/>
  <c r="AC391" i="6"/>
  <c r="AD391" i="6" s="1"/>
  <c r="L391" i="6"/>
  <c r="K386" i="18" l="1"/>
  <c r="I386" i="18" s="1"/>
  <c r="L386" i="18" s="1"/>
  <c r="F387" i="18"/>
  <c r="G387" i="18" s="1"/>
  <c r="J387" i="18" s="1"/>
  <c r="H458" i="18"/>
  <c r="Q457" i="18"/>
  <c r="F396" i="6"/>
  <c r="K395" i="6"/>
  <c r="T395" i="6"/>
  <c r="W391" i="6"/>
  <c r="X391" i="6" s="1"/>
  <c r="Y391" i="6" s="1"/>
  <c r="AA391" i="6"/>
  <c r="AC392" i="6"/>
  <c r="AD392" i="6" s="1"/>
  <c r="L392" i="6"/>
  <c r="V391" i="6"/>
  <c r="Z391" i="6"/>
  <c r="G393" i="6"/>
  <c r="H394" i="6"/>
  <c r="Q393" i="6"/>
  <c r="I393" i="6"/>
  <c r="J392" i="6"/>
  <c r="P392" i="6"/>
  <c r="U392" i="6"/>
  <c r="K387" i="18" l="1"/>
  <c r="I387" i="18" s="1"/>
  <c r="L387" i="18" s="1"/>
  <c r="F388" i="18"/>
  <c r="G388" i="18" s="1"/>
  <c r="J388" i="18" s="1"/>
  <c r="H459" i="18"/>
  <c r="Q458" i="18"/>
  <c r="G394" i="6"/>
  <c r="H395" i="6"/>
  <c r="I394" i="6"/>
  <c r="Q394" i="6"/>
  <c r="W392" i="6"/>
  <c r="X392" i="6" s="1"/>
  <c r="Y392" i="6" s="1"/>
  <c r="AA392" i="6"/>
  <c r="U393" i="6"/>
  <c r="P393" i="6"/>
  <c r="J393" i="6"/>
  <c r="L393" i="6"/>
  <c r="AC393" i="6"/>
  <c r="AD393" i="6" s="1"/>
  <c r="V392" i="6"/>
  <c r="Z392" i="6"/>
  <c r="F397" i="6"/>
  <c r="T396" i="6"/>
  <c r="K396" i="6"/>
  <c r="K388" i="18" l="1"/>
  <c r="I388" i="18" s="1"/>
  <c r="L388" i="18" s="1"/>
  <c r="F389" i="18"/>
  <c r="G389" i="18" s="1"/>
  <c r="J389" i="18" s="1"/>
  <c r="H460" i="18"/>
  <c r="Q459" i="18"/>
  <c r="V393" i="6"/>
  <c r="Z393" i="6"/>
  <c r="L394" i="6"/>
  <c r="AC394" i="6"/>
  <c r="AD394" i="6" s="1"/>
  <c r="F398" i="6"/>
  <c r="T397" i="6"/>
  <c r="K397" i="6"/>
  <c r="W393" i="6"/>
  <c r="X393" i="6" s="1"/>
  <c r="Y393" i="6" s="1"/>
  <c r="AA393" i="6"/>
  <c r="Q395" i="6"/>
  <c r="H396" i="6"/>
  <c r="I395" i="6"/>
  <c r="G395" i="6"/>
  <c r="J394" i="6"/>
  <c r="P394" i="6"/>
  <c r="U394" i="6"/>
  <c r="F390" i="18" l="1"/>
  <c r="G390" i="18" s="1"/>
  <c r="J390" i="18" s="1"/>
  <c r="K389" i="18"/>
  <c r="I389" i="18" s="1"/>
  <c r="L389" i="18" s="1"/>
  <c r="H461" i="18"/>
  <c r="Q460" i="18"/>
  <c r="W394" i="6"/>
  <c r="X394" i="6" s="1"/>
  <c r="Y394" i="6" s="1"/>
  <c r="AA394" i="6"/>
  <c r="Q396" i="6"/>
  <c r="G396" i="6"/>
  <c r="I396" i="6"/>
  <c r="H397" i="6"/>
  <c r="P395" i="6"/>
  <c r="U395" i="6"/>
  <c r="J395" i="6"/>
  <c r="V394" i="6"/>
  <c r="Z394" i="6"/>
  <c r="AC395" i="6"/>
  <c r="AD395" i="6" s="1"/>
  <c r="L395" i="6"/>
  <c r="K398" i="6"/>
  <c r="T398" i="6"/>
  <c r="F399" i="6"/>
  <c r="F391" i="18" l="1"/>
  <c r="G391" i="18" s="1"/>
  <c r="J391" i="18" s="1"/>
  <c r="K390" i="18"/>
  <c r="I390" i="18" s="1"/>
  <c r="L390" i="18" s="1"/>
  <c r="H462" i="18"/>
  <c r="Q461" i="18"/>
  <c r="P396" i="6"/>
  <c r="J396" i="6"/>
  <c r="U396" i="6"/>
  <c r="V395" i="6"/>
  <c r="Z395" i="6"/>
  <c r="Q397" i="6"/>
  <c r="G397" i="6"/>
  <c r="I397" i="6"/>
  <c r="H398" i="6"/>
  <c r="F400" i="6"/>
  <c r="T399" i="6"/>
  <c r="K399" i="6"/>
  <c r="W395" i="6"/>
  <c r="X395" i="6" s="1"/>
  <c r="Y395" i="6" s="1"/>
  <c r="AA395" i="6"/>
  <c r="AC396" i="6"/>
  <c r="AD396" i="6" s="1"/>
  <c r="L396" i="6"/>
  <c r="F392" i="18" l="1"/>
  <c r="G392" i="18" s="1"/>
  <c r="J392" i="18" s="1"/>
  <c r="K391" i="18"/>
  <c r="I391" i="18" s="1"/>
  <c r="L391" i="18" s="1"/>
  <c r="H463" i="18"/>
  <c r="Q462" i="18"/>
  <c r="L397" i="6"/>
  <c r="AC397" i="6"/>
  <c r="AD397" i="6" s="1"/>
  <c r="V396" i="6"/>
  <c r="Z396" i="6"/>
  <c r="K400" i="6"/>
  <c r="F401" i="6"/>
  <c r="T400" i="6"/>
  <c r="U397" i="6"/>
  <c r="P397" i="6"/>
  <c r="J397" i="6"/>
  <c r="W396" i="6"/>
  <c r="X396" i="6" s="1"/>
  <c r="Y396" i="6" s="1"/>
  <c r="AA396" i="6"/>
  <c r="G398" i="6"/>
  <c r="Q398" i="6"/>
  <c r="I398" i="6"/>
  <c r="H399" i="6"/>
  <c r="F393" i="18" l="1"/>
  <c r="G393" i="18" s="1"/>
  <c r="J393" i="18" s="1"/>
  <c r="K392" i="18"/>
  <c r="I392" i="18" s="1"/>
  <c r="L392" i="18" s="1"/>
  <c r="H464" i="18"/>
  <c r="Q463" i="18"/>
  <c r="AC398" i="6"/>
  <c r="AD398" i="6" s="1"/>
  <c r="L398" i="6"/>
  <c r="T401" i="6"/>
  <c r="F402" i="6"/>
  <c r="K401" i="6"/>
  <c r="G399" i="6"/>
  <c r="I399" i="6"/>
  <c r="H400" i="6"/>
  <c r="Q399" i="6"/>
  <c r="J398" i="6"/>
  <c r="P398" i="6"/>
  <c r="U398" i="6"/>
  <c r="V397" i="6"/>
  <c r="Z397" i="6"/>
  <c r="W397" i="6"/>
  <c r="X397" i="6" s="1"/>
  <c r="Y397" i="6" s="1"/>
  <c r="AA397" i="6"/>
  <c r="K393" i="18" l="1"/>
  <c r="I393" i="18" s="1"/>
  <c r="L393" i="18" s="1"/>
  <c r="F394" i="18"/>
  <c r="G394" i="18" s="1"/>
  <c r="J394" i="18" s="1"/>
  <c r="H465" i="18"/>
  <c r="Q464" i="18"/>
  <c r="AC399" i="6"/>
  <c r="AD399" i="6" s="1"/>
  <c r="L399" i="6"/>
  <c r="P399" i="6"/>
  <c r="J399" i="6"/>
  <c r="U399" i="6"/>
  <c r="W398" i="6"/>
  <c r="X398" i="6" s="1"/>
  <c r="Y398" i="6" s="1"/>
  <c r="AA398" i="6"/>
  <c r="V398" i="6"/>
  <c r="Z398" i="6"/>
  <c r="G400" i="6"/>
  <c r="Q400" i="6"/>
  <c r="I400" i="6"/>
  <c r="H401" i="6"/>
  <c r="F403" i="6"/>
  <c r="T402" i="6"/>
  <c r="K402" i="6"/>
  <c r="K394" i="18" l="1"/>
  <c r="I394" i="18" s="1"/>
  <c r="L394" i="18" s="1"/>
  <c r="F395" i="18"/>
  <c r="G395" i="18" s="1"/>
  <c r="J395" i="18" s="1"/>
  <c r="H466" i="18"/>
  <c r="Q465" i="18"/>
  <c r="L400" i="6"/>
  <c r="AC400" i="6"/>
  <c r="AD400" i="6" s="1"/>
  <c r="F404" i="6"/>
  <c r="T403" i="6"/>
  <c r="K403" i="6"/>
  <c r="J400" i="6"/>
  <c r="U400" i="6"/>
  <c r="P400" i="6"/>
  <c r="W399" i="6"/>
  <c r="X399" i="6" s="1"/>
  <c r="Y399" i="6" s="1"/>
  <c r="AA399" i="6"/>
  <c r="I401" i="6"/>
  <c r="G401" i="6"/>
  <c r="Q401" i="6"/>
  <c r="H402" i="6"/>
  <c r="V399" i="6"/>
  <c r="Z399" i="6"/>
  <c r="K395" i="18" l="1"/>
  <c r="I395" i="18" s="1"/>
  <c r="L395" i="18" s="1"/>
  <c r="F396" i="18"/>
  <c r="G396" i="18" s="1"/>
  <c r="J396" i="18" s="1"/>
  <c r="H467" i="18"/>
  <c r="Q466" i="18"/>
  <c r="AC401" i="6"/>
  <c r="AD401" i="6" s="1"/>
  <c r="L401" i="6"/>
  <c r="V400" i="6"/>
  <c r="Z400" i="6"/>
  <c r="K404" i="6"/>
  <c r="T404" i="6"/>
  <c r="F405" i="6"/>
  <c r="I402" i="6"/>
  <c r="Q402" i="6"/>
  <c r="H403" i="6"/>
  <c r="G402" i="6"/>
  <c r="J401" i="6"/>
  <c r="P401" i="6"/>
  <c r="U401" i="6"/>
  <c r="W400" i="6"/>
  <c r="X400" i="6" s="1"/>
  <c r="Y400" i="6" s="1"/>
  <c r="AA400" i="6"/>
  <c r="K396" i="18" l="1"/>
  <c r="I396" i="18" s="1"/>
  <c r="L396" i="18" s="1"/>
  <c r="F397" i="18"/>
  <c r="G397" i="18" s="1"/>
  <c r="J397" i="18" s="1"/>
  <c r="H468" i="18"/>
  <c r="Q467" i="18"/>
  <c r="J402" i="6"/>
  <c r="P402" i="6"/>
  <c r="U402" i="6"/>
  <c r="F406" i="6"/>
  <c r="K405" i="6"/>
  <c r="T405" i="6"/>
  <c r="I403" i="6"/>
  <c r="Q403" i="6"/>
  <c r="G403" i="6"/>
  <c r="H404" i="6"/>
  <c r="V401" i="6"/>
  <c r="Z401" i="6"/>
  <c r="W401" i="6"/>
  <c r="X401" i="6" s="1"/>
  <c r="Y401" i="6" s="1"/>
  <c r="AA401" i="6"/>
  <c r="L402" i="6"/>
  <c r="AC402" i="6"/>
  <c r="AD402" i="6" s="1"/>
  <c r="K397" i="18" l="1"/>
  <c r="I397" i="18" s="1"/>
  <c r="L397" i="18" s="1"/>
  <c r="F398" i="18"/>
  <c r="G398" i="18" s="1"/>
  <c r="J398" i="18" s="1"/>
  <c r="H469" i="18"/>
  <c r="Q468" i="18"/>
  <c r="W402" i="6"/>
  <c r="X402" i="6" s="1"/>
  <c r="Y402" i="6" s="1"/>
  <c r="AA402" i="6"/>
  <c r="L403" i="6"/>
  <c r="AC403" i="6"/>
  <c r="AD403" i="6" s="1"/>
  <c r="F407" i="6"/>
  <c r="K406" i="6"/>
  <c r="T406" i="6"/>
  <c r="Q404" i="6"/>
  <c r="H405" i="6"/>
  <c r="G404" i="6"/>
  <c r="I404" i="6"/>
  <c r="V402" i="6"/>
  <c r="Z402" i="6"/>
  <c r="J403" i="6"/>
  <c r="U403" i="6"/>
  <c r="P403" i="6"/>
  <c r="K398" i="18" l="1"/>
  <c r="I398" i="18" s="1"/>
  <c r="L398" i="18" s="1"/>
  <c r="F399" i="18"/>
  <c r="G399" i="18" s="1"/>
  <c r="J399" i="18" s="1"/>
  <c r="H470" i="18"/>
  <c r="Q469" i="18"/>
  <c r="V403" i="6"/>
  <c r="Z403" i="6"/>
  <c r="AC404" i="6"/>
  <c r="AD404" i="6" s="1"/>
  <c r="L404" i="6"/>
  <c r="J404" i="6"/>
  <c r="U404" i="6"/>
  <c r="P404" i="6"/>
  <c r="W403" i="6"/>
  <c r="X403" i="6" s="1"/>
  <c r="Y403" i="6" s="1"/>
  <c r="AA403" i="6"/>
  <c r="G405" i="6"/>
  <c r="H406" i="6"/>
  <c r="Q405" i="6"/>
  <c r="I405" i="6"/>
  <c r="K407" i="6"/>
  <c r="F408" i="6"/>
  <c r="T407" i="6"/>
  <c r="K399" i="18" l="1"/>
  <c r="I399" i="18" s="1"/>
  <c r="L399" i="18" s="1"/>
  <c r="F400" i="18"/>
  <c r="G400" i="18" s="1"/>
  <c r="J400" i="18" s="1"/>
  <c r="H471" i="18"/>
  <c r="Q470" i="18"/>
  <c r="I406" i="6"/>
  <c r="G406" i="6"/>
  <c r="H407" i="6"/>
  <c r="Q406" i="6"/>
  <c r="AC405" i="6"/>
  <c r="AD405" i="6" s="1"/>
  <c r="L405" i="6"/>
  <c r="W404" i="6"/>
  <c r="X404" i="6" s="1"/>
  <c r="Y404" i="6" s="1"/>
  <c r="AA404" i="6"/>
  <c r="K408" i="6"/>
  <c r="T408" i="6"/>
  <c r="F409" i="6"/>
  <c r="U405" i="6"/>
  <c r="J405" i="6"/>
  <c r="P405" i="6"/>
  <c r="V404" i="6"/>
  <c r="Z404" i="6"/>
  <c r="K400" i="18" l="1"/>
  <c r="I400" i="18" s="1"/>
  <c r="L400" i="18" s="1"/>
  <c r="F401" i="18"/>
  <c r="G401" i="18" s="1"/>
  <c r="J401" i="18" s="1"/>
  <c r="H472" i="18"/>
  <c r="Q471" i="18"/>
  <c r="G407" i="6"/>
  <c r="Q407" i="6"/>
  <c r="H408" i="6"/>
  <c r="I407" i="6"/>
  <c r="W405" i="6"/>
  <c r="X405" i="6" s="1"/>
  <c r="Y405" i="6" s="1"/>
  <c r="AA405" i="6"/>
  <c r="J406" i="6"/>
  <c r="P406" i="6"/>
  <c r="U406" i="6"/>
  <c r="T409" i="6"/>
  <c r="F410" i="6"/>
  <c r="K409" i="6"/>
  <c r="V405" i="6"/>
  <c r="Z405" i="6"/>
  <c r="L406" i="6"/>
  <c r="AC406" i="6"/>
  <c r="AD406" i="6" s="1"/>
  <c r="K401" i="18" l="1"/>
  <c r="I401" i="18" s="1"/>
  <c r="L401" i="18" s="1"/>
  <c r="F402" i="18"/>
  <c r="G402" i="18" s="1"/>
  <c r="J402" i="18" s="1"/>
  <c r="H473" i="18"/>
  <c r="Q472" i="18"/>
  <c r="W406" i="6"/>
  <c r="X406" i="6" s="1"/>
  <c r="Y406" i="6" s="1"/>
  <c r="AA406" i="6"/>
  <c r="L407" i="6"/>
  <c r="AC407" i="6"/>
  <c r="AD407" i="6" s="1"/>
  <c r="H409" i="6"/>
  <c r="Q408" i="6"/>
  <c r="G408" i="6"/>
  <c r="I408" i="6"/>
  <c r="F411" i="6"/>
  <c r="K410" i="6"/>
  <c r="T410" i="6"/>
  <c r="V406" i="6"/>
  <c r="Z406" i="6"/>
  <c r="P407" i="6"/>
  <c r="J407" i="6"/>
  <c r="U407" i="6"/>
  <c r="K402" i="18" l="1"/>
  <c r="I402" i="18" s="1"/>
  <c r="L402" i="18" s="1"/>
  <c r="F403" i="18"/>
  <c r="G403" i="18" s="1"/>
  <c r="J403" i="18" s="1"/>
  <c r="H474" i="18"/>
  <c r="Q473" i="18"/>
  <c r="T411" i="6"/>
  <c r="K411" i="6"/>
  <c r="F412" i="6"/>
  <c r="AC408" i="6"/>
  <c r="AD408" i="6" s="1"/>
  <c r="L408" i="6"/>
  <c r="V407" i="6"/>
  <c r="Z407" i="6"/>
  <c r="J408" i="6"/>
  <c r="U408" i="6"/>
  <c r="P408" i="6"/>
  <c r="W407" i="6"/>
  <c r="X407" i="6" s="1"/>
  <c r="Y407" i="6" s="1"/>
  <c r="AA407" i="6"/>
  <c r="I409" i="6"/>
  <c r="G409" i="6"/>
  <c r="H410" i="6"/>
  <c r="Q409" i="6"/>
  <c r="K403" i="18" l="1"/>
  <c r="I403" i="18" s="1"/>
  <c r="L403" i="18" s="1"/>
  <c r="F404" i="18"/>
  <c r="G404" i="18" s="1"/>
  <c r="J404" i="18" s="1"/>
  <c r="H475" i="18"/>
  <c r="Q474" i="18"/>
  <c r="F413" i="6"/>
  <c r="K412" i="6"/>
  <c r="T412" i="6"/>
  <c r="J409" i="6"/>
  <c r="P409" i="6"/>
  <c r="U409" i="6"/>
  <c r="Q410" i="6"/>
  <c r="I410" i="6"/>
  <c r="H411" i="6"/>
  <c r="G410" i="6"/>
  <c r="L409" i="6"/>
  <c r="AC409" i="6"/>
  <c r="AD409" i="6" s="1"/>
  <c r="V408" i="6"/>
  <c r="Z408" i="6"/>
  <c r="W408" i="6"/>
  <c r="X408" i="6" s="1"/>
  <c r="Y408" i="6" s="1"/>
  <c r="AA408" i="6"/>
  <c r="K404" i="18" l="1"/>
  <c r="I404" i="18" s="1"/>
  <c r="L404" i="18" s="1"/>
  <c r="F405" i="18"/>
  <c r="G405" i="18" s="1"/>
  <c r="J405" i="18" s="1"/>
  <c r="H476" i="18"/>
  <c r="Q475" i="18"/>
  <c r="W409" i="6"/>
  <c r="X409" i="6" s="1"/>
  <c r="Y409" i="6" s="1"/>
  <c r="AA409" i="6"/>
  <c r="U410" i="6"/>
  <c r="P410" i="6"/>
  <c r="J410" i="6"/>
  <c r="V409" i="6"/>
  <c r="Z409" i="6"/>
  <c r="G411" i="6"/>
  <c r="I411" i="6"/>
  <c r="Q411" i="6"/>
  <c r="H412" i="6"/>
  <c r="L410" i="6"/>
  <c r="AC410" i="6"/>
  <c r="AD410" i="6" s="1"/>
  <c r="K413" i="6"/>
  <c r="F414" i="6"/>
  <c r="T413" i="6"/>
  <c r="K405" i="18" l="1"/>
  <c r="I405" i="18" s="1"/>
  <c r="L405" i="18" s="1"/>
  <c r="F406" i="18"/>
  <c r="G406" i="18" s="1"/>
  <c r="J406" i="18" s="1"/>
  <c r="H477" i="18"/>
  <c r="Q476" i="18"/>
  <c r="W410" i="6"/>
  <c r="X410" i="6" s="1"/>
  <c r="Y410" i="6" s="1"/>
  <c r="AA410" i="6"/>
  <c r="P411" i="6"/>
  <c r="U411" i="6"/>
  <c r="J411" i="6"/>
  <c r="G412" i="6"/>
  <c r="Q412" i="6"/>
  <c r="H413" i="6"/>
  <c r="I412" i="6"/>
  <c r="V410" i="6"/>
  <c r="Z410" i="6"/>
  <c r="T414" i="6"/>
  <c r="K414" i="6"/>
  <c r="F415" i="6"/>
  <c r="L411" i="6"/>
  <c r="AC411" i="6"/>
  <c r="AD411" i="6" s="1"/>
  <c r="K406" i="18" l="1"/>
  <c r="I406" i="18" s="1"/>
  <c r="L406" i="18" s="1"/>
  <c r="F407" i="18"/>
  <c r="G407" i="18" s="1"/>
  <c r="J407" i="18" s="1"/>
  <c r="H478" i="18"/>
  <c r="Q477" i="18"/>
  <c r="W411" i="6"/>
  <c r="X411" i="6" s="1"/>
  <c r="Y411" i="6" s="1"/>
  <c r="AA411" i="6"/>
  <c r="G413" i="6"/>
  <c r="I413" i="6"/>
  <c r="Q413" i="6"/>
  <c r="H414" i="6"/>
  <c r="V411" i="6"/>
  <c r="Z411" i="6"/>
  <c r="K415" i="6"/>
  <c r="F416" i="6"/>
  <c r="T415" i="6"/>
  <c r="P412" i="6"/>
  <c r="U412" i="6"/>
  <c r="J412" i="6"/>
  <c r="AC412" i="6"/>
  <c r="AD412" i="6" s="1"/>
  <c r="L412" i="6"/>
  <c r="K407" i="18" l="1"/>
  <c r="I407" i="18" s="1"/>
  <c r="L407" i="18" s="1"/>
  <c r="F408" i="18"/>
  <c r="G408" i="18" s="1"/>
  <c r="J408" i="18" s="1"/>
  <c r="H479" i="18"/>
  <c r="Q478" i="18"/>
  <c r="L413" i="6"/>
  <c r="AC413" i="6"/>
  <c r="AD413" i="6" s="1"/>
  <c r="F417" i="6"/>
  <c r="T416" i="6"/>
  <c r="K416" i="6"/>
  <c r="U413" i="6"/>
  <c r="J413" i="6"/>
  <c r="P413" i="6"/>
  <c r="V412" i="6"/>
  <c r="Z412" i="6"/>
  <c r="Q414" i="6"/>
  <c r="H415" i="6"/>
  <c r="G414" i="6"/>
  <c r="I414" i="6"/>
  <c r="W412" i="6"/>
  <c r="X412" i="6" s="1"/>
  <c r="Y412" i="6" s="1"/>
  <c r="AA412" i="6"/>
  <c r="K408" i="18" l="1"/>
  <c r="I408" i="18" s="1"/>
  <c r="L408" i="18" s="1"/>
  <c r="F409" i="18"/>
  <c r="G409" i="18" s="1"/>
  <c r="J409" i="18" s="1"/>
  <c r="H480" i="18"/>
  <c r="Q479" i="18"/>
  <c r="L414" i="6"/>
  <c r="AC414" i="6"/>
  <c r="AD414" i="6" s="1"/>
  <c r="V413" i="6"/>
  <c r="Z413" i="6"/>
  <c r="T417" i="6"/>
  <c r="K417" i="6"/>
  <c r="F418" i="6"/>
  <c r="J414" i="6"/>
  <c r="U414" i="6"/>
  <c r="P414" i="6"/>
  <c r="Q415" i="6"/>
  <c r="G415" i="6"/>
  <c r="I415" i="6"/>
  <c r="H416" i="6"/>
  <c r="W413" i="6"/>
  <c r="X413" i="6" s="1"/>
  <c r="Y413" i="6" s="1"/>
  <c r="AA413" i="6"/>
  <c r="F410" i="18" l="1"/>
  <c r="G410" i="18" s="1"/>
  <c r="J410" i="18" s="1"/>
  <c r="K409" i="18"/>
  <c r="I409" i="18" s="1"/>
  <c r="L409" i="18" s="1"/>
  <c r="H481" i="18"/>
  <c r="Q480" i="18"/>
  <c r="Q416" i="6"/>
  <c r="H417" i="6"/>
  <c r="I416" i="6"/>
  <c r="G416" i="6"/>
  <c r="K418" i="6"/>
  <c r="F419" i="6"/>
  <c r="T418" i="6"/>
  <c r="AC415" i="6"/>
  <c r="AD415" i="6" s="1"/>
  <c r="L415" i="6"/>
  <c r="V414" i="6"/>
  <c r="Z414" i="6"/>
  <c r="P415" i="6"/>
  <c r="U415" i="6"/>
  <c r="J415" i="6"/>
  <c r="W414" i="6"/>
  <c r="X414" i="6" s="1"/>
  <c r="Y414" i="6" s="1"/>
  <c r="AA414" i="6"/>
  <c r="F411" i="18" l="1"/>
  <c r="G411" i="18" s="1"/>
  <c r="J411" i="18" s="1"/>
  <c r="K410" i="18"/>
  <c r="I410" i="18" s="1"/>
  <c r="L410" i="18" s="1"/>
  <c r="H482" i="18"/>
  <c r="Q481" i="18"/>
  <c r="U416" i="6"/>
  <c r="J416" i="6"/>
  <c r="P416" i="6"/>
  <c r="AC416" i="6"/>
  <c r="AD416" i="6" s="1"/>
  <c r="L416" i="6"/>
  <c r="V415" i="6"/>
  <c r="Z415" i="6"/>
  <c r="W415" i="6"/>
  <c r="X415" i="6" s="1"/>
  <c r="Y415" i="6" s="1"/>
  <c r="AA415" i="6"/>
  <c r="T419" i="6"/>
  <c r="F420" i="6"/>
  <c r="K419" i="6"/>
  <c r="Q417" i="6"/>
  <c r="I417" i="6"/>
  <c r="H418" i="6"/>
  <c r="G417" i="6"/>
  <c r="F412" i="18" l="1"/>
  <c r="G412" i="18" s="1"/>
  <c r="J412" i="18" s="1"/>
  <c r="K411" i="18"/>
  <c r="I411" i="18" s="1"/>
  <c r="L411" i="18" s="1"/>
  <c r="H483" i="18"/>
  <c r="Q482" i="18"/>
  <c r="P417" i="6"/>
  <c r="U417" i="6"/>
  <c r="J417" i="6"/>
  <c r="G418" i="6"/>
  <c r="Q418" i="6"/>
  <c r="H419" i="6"/>
  <c r="I418" i="6"/>
  <c r="AC417" i="6"/>
  <c r="AD417" i="6" s="1"/>
  <c r="L417" i="6"/>
  <c r="F421" i="6"/>
  <c r="T420" i="6"/>
  <c r="K420" i="6"/>
  <c r="W416" i="6"/>
  <c r="X416" i="6" s="1"/>
  <c r="Y416" i="6" s="1"/>
  <c r="AA416" i="6"/>
  <c r="V416" i="6"/>
  <c r="Z416" i="6"/>
  <c r="K412" i="18" l="1"/>
  <c r="I412" i="18" s="1"/>
  <c r="L412" i="18" s="1"/>
  <c r="F413" i="18"/>
  <c r="G413" i="18" s="1"/>
  <c r="J413" i="18" s="1"/>
  <c r="H484" i="18"/>
  <c r="Q483" i="18"/>
  <c r="U418" i="6"/>
  <c r="J418" i="6"/>
  <c r="P418" i="6"/>
  <c r="L418" i="6"/>
  <c r="AC418" i="6"/>
  <c r="AD418" i="6" s="1"/>
  <c r="F422" i="6"/>
  <c r="T421" i="6"/>
  <c r="K421" i="6"/>
  <c r="Q419" i="6"/>
  <c r="H420" i="6"/>
  <c r="I419" i="6"/>
  <c r="G419" i="6"/>
  <c r="V417" i="6"/>
  <c r="Z417" i="6"/>
  <c r="W417" i="6"/>
  <c r="X417" i="6" s="1"/>
  <c r="Y417" i="6" s="1"/>
  <c r="AA417" i="6"/>
  <c r="K413" i="18" l="1"/>
  <c r="I413" i="18" s="1"/>
  <c r="L413" i="18" s="1"/>
  <c r="F414" i="18"/>
  <c r="G414" i="18" s="1"/>
  <c r="J414" i="18" s="1"/>
  <c r="H485" i="18"/>
  <c r="Q484" i="18"/>
  <c r="AC419" i="6"/>
  <c r="AD419" i="6" s="1"/>
  <c r="L419" i="6"/>
  <c r="W418" i="6"/>
  <c r="X418" i="6" s="1"/>
  <c r="Y418" i="6" s="1"/>
  <c r="AA418" i="6"/>
  <c r="H421" i="6"/>
  <c r="Q420" i="6"/>
  <c r="I420" i="6"/>
  <c r="G420" i="6"/>
  <c r="T422" i="6"/>
  <c r="K422" i="6"/>
  <c r="F423" i="6"/>
  <c r="U419" i="6"/>
  <c r="J419" i="6"/>
  <c r="P419" i="6"/>
  <c r="V418" i="6"/>
  <c r="Z418" i="6"/>
  <c r="K414" i="18" l="1"/>
  <c r="I414" i="18" s="1"/>
  <c r="L414" i="18" s="1"/>
  <c r="F415" i="18"/>
  <c r="G415" i="18" s="1"/>
  <c r="J415" i="18" s="1"/>
  <c r="H486" i="18"/>
  <c r="Q485" i="18"/>
  <c r="U420" i="6"/>
  <c r="J420" i="6"/>
  <c r="P420" i="6"/>
  <c r="AC420" i="6"/>
  <c r="AD420" i="6" s="1"/>
  <c r="L420" i="6"/>
  <c r="K423" i="6"/>
  <c r="T423" i="6"/>
  <c r="F424" i="6"/>
  <c r="W419" i="6"/>
  <c r="X419" i="6" s="1"/>
  <c r="Y419" i="6" s="1"/>
  <c r="AA419" i="6"/>
  <c r="V419" i="6"/>
  <c r="Z419" i="6"/>
  <c r="Q421" i="6"/>
  <c r="I421" i="6"/>
  <c r="G421" i="6"/>
  <c r="H422" i="6"/>
  <c r="K415" i="18" l="1"/>
  <c r="I415" i="18" s="1"/>
  <c r="L415" i="18" s="1"/>
  <c r="F416" i="18"/>
  <c r="G416" i="18" s="1"/>
  <c r="J416" i="18" s="1"/>
  <c r="H487" i="18"/>
  <c r="Q486" i="18"/>
  <c r="U421" i="6"/>
  <c r="J421" i="6"/>
  <c r="P421" i="6"/>
  <c r="L421" i="6"/>
  <c r="AC421" i="6"/>
  <c r="AD421" i="6" s="1"/>
  <c r="H423" i="6"/>
  <c r="I422" i="6"/>
  <c r="Q422" i="6"/>
  <c r="G422" i="6"/>
  <c r="K424" i="6"/>
  <c r="F425" i="6"/>
  <c r="T424" i="6"/>
  <c r="W420" i="6"/>
  <c r="X420" i="6" s="1"/>
  <c r="Y420" i="6" s="1"/>
  <c r="AA420" i="6"/>
  <c r="V420" i="6"/>
  <c r="Z420" i="6"/>
  <c r="K416" i="18" l="1"/>
  <c r="I416" i="18" s="1"/>
  <c r="L416" i="18" s="1"/>
  <c r="F417" i="18"/>
  <c r="G417" i="18" s="1"/>
  <c r="J417" i="18" s="1"/>
  <c r="H488" i="18"/>
  <c r="Q487" i="18"/>
  <c r="T425" i="6"/>
  <c r="K425" i="6"/>
  <c r="F426" i="6"/>
  <c r="W421" i="6"/>
  <c r="X421" i="6" s="1"/>
  <c r="Y421" i="6" s="1"/>
  <c r="AA421" i="6"/>
  <c r="AC422" i="6"/>
  <c r="AD422" i="6" s="1"/>
  <c r="L422" i="6"/>
  <c r="H424" i="6"/>
  <c r="Q423" i="6"/>
  <c r="I423" i="6"/>
  <c r="G423" i="6"/>
  <c r="U422" i="6"/>
  <c r="J422" i="6"/>
  <c r="P422" i="6"/>
  <c r="V421" i="6"/>
  <c r="Z421" i="6"/>
  <c r="K417" i="18" l="1"/>
  <c r="I417" i="18" s="1"/>
  <c r="L417" i="18" s="1"/>
  <c r="F418" i="18"/>
  <c r="G418" i="18" s="1"/>
  <c r="J418" i="18" s="1"/>
  <c r="H489" i="18"/>
  <c r="Q488" i="18"/>
  <c r="J423" i="6"/>
  <c r="P423" i="6"/>
  <c r="U423" i="6"/>
  <c r="W422" i="6"/>
  <c r="X422" i="6" s="1"/>
  <c r="Y422" i="6" s="1"/>
  <c r="AA422" i="6"/>
  <c r="T426" i="6"/>
  <c r="K426" i="6"/>
  <c r="F427" i="6"/>
  <c r="L423" i="6"/>
  <c r="AC423" i="6"/>
  <c r="AD423" i="6" s="1"/>
  <c r="V422" i="6"/>
  <c r="Z422" i="6"/>
  <c r="Q424" i="6"/>
  <c r="H425" i="6"/>
  <c r="G424" i="6"/>
  <c r="I424" i="6"/>
  <c r="K418" i="18" l="1"/>
  <c r="I418" i="18" s="1"/>
  <c r="L418" i="18" s="1"/>
  <c r="F419" i="18"/>
  <c r="G419" i="18" s="1"/>
  <c r="J419" i="18" s="1"/>
  <c r="H490" i="18"/>
  <c r="Q489" i="18"/>
  <c r="AC424" i="6"/>
  <c r="AD424" i="6" s="1"/>
  <c r="L424" i="6"/>
  <c r="P424" i="6"/>
  <c r="J424" i="6"/>
  <c r="U424" i="6"/>
  <c r="V423" i="6"/>
  <c r="Z423" i="6"/>
  <c r="T427" i="6"/>
  <c r="K427" i="6"/>
  <c r="F428" i="6"/>
  <c r="H426" i="6"/>
  <c r="Q425" i="6"/>
  <c r="I425" i="6"/>
  <c r="G425" i="6"/>
  <c r="W423" i="6"/>
  <c r="X423" i="6" s="1"/>
  <c r="Y423" i="6" s="1"/>
  <c r="AA423" i="6"/>
  <c r="K419" i="18" l="1"/>
  <c r="I419" i="18" s="1"/>
  <c r="L419" i="18" s="1"/>
  <c r="F420" i="18"/>
  <c r="G420" i="18" s="1"/>
  <c r="J420" i="18" s="1"/>
  <c r="H491" i="18"/>
  <c r="Q490" i="18"/>
  <c r="H427" i="6"/>
  <c r="Q426" i="6"/>
  <c r="I426" i="6"/>
  <c r="G426" i="6"/>
  <c r="F429" i="6"/>
  <c r="T428" i="6"/>
  <c r="K428" i="6"/>
  <c r="P425" i="6"/>
  <c r="J425" i="6"/>
  <c r="U425" i="6"/>
  <c r="L425" i="6"/>
  <c r="AC425" i="6"/>
  <c r="AD425" i="6" s="1"/>
  <c r="W424" i="6"/>
  <c r="X424" i="6" s="1"/>
  <c r="Y424" i="6" s="1"/>
  <c r="AA424" i="6"/>
  <c r="V424" i="6"/>
  <c r="Z424" i="6"/>
  <c r="K420" i="18" l="1"/>
  <c r="I420" i="18" s="1"/>
  <c r="L420" i="18" s="1"/>
  <c r="F421" i="18"/>
  <c r="G421" i="18" s="1"/>
  <c r="J421" i="18" s="1"/>
  <c r="H492" i="18"/>
  <c r="Q491" i="18"/>
  <c r="W425" i="6"/>
  <c r="X425" i="6" s="1"/>
  <c r="Y425" i="6" s="1"/>
  <c r="AA425" i="6"/>
  <c r="U426" i="6"/>
  <c r="P426" i="6"/>
  <c r="J426" i="6"/>
  <c r="V425" i="6"/>
  <c r="Z425" i="6"/>
  <c r="AC426" i="6"/>
  <c r="AD426" i="6" s="1"/>
  <c r="L426" i="6"/>
  <c r="T429" i="6"/>
  <c r="K429" i="6"/>
  <c r="F430" i="6"/>
  <c r="G427" i="6"/>
  <c r="Q427" i="6"/>
  <c r="H428" i="6"/>
  <c r="I427" i="6"/>
  <c r="K421" i="18" l="1"/>
  <c r="I421" i="18" s="1"/>
  <c r="L421" i="18" s="1"/>
  <c r="F422" i="18"/>
  <c r="G422" i="18" s="1"/>
  <c r="J422" i="18" s="1"/>
  <c r="H493" i="18"/>
  <c r="Q492" i="18"/>
  <c r="K430" i="6"/>
  <c r="F431" i="6"/>
  <c r="T430" i="6"/>
  <c r="V426" i="6"/>
  <c r="Z426" i="6"/>
  <c r="H429" i="6"/>
  <c r="G428" i="6"/>
  <c r="I428" i="6"/>
  <c r="Q428" i="6"/>
  <c r="P427" i="6"/>
  <c r="U427" i="6"/>
  <c r="J427" i="6"/>
  <c r="AC427" i="6"/>
  <c r="AD427" i="6" s="1"/>
  <c r="L427" i="6"/>
  <c r="W426" i="6"/>
  <c r="X426" i="6" s="1"/>
  <c r="Y426" i="6" s="1"/>
  <c r="AA426" i="6"/>
  <c r="K422" i="18" l="1"/>
  <c r="I422" i="18" s="1"/>
  <c r="L422" i="18" s="1"/>
  <c r="F423" i="18"/>
  <c r="G423" i="18" s="1"/>
  <c r="J423" i="18" s="1"/>
  <c r="H494" i="18"/>
  <c r="Q493" i="18"/>
  <c r="V427" i="6"/>
  <c r="Z427" i="6"/>
  <c r="J428" i="6"/>
  <c r="U428" i="6"/>
  <c r="P428" i="6"/>
  <c r="W427" i="6"/>
  <c r="X427" i="6" s="1"/>
  <c r="Y427" i="6" s="1"/>
  <c r="AA427" i="6"/>
  <c r="I429" i="6"/>
  <c r="G429" i="6"/>
  <c r="Q429" i="6"/>
  <c r="H430" i="6"/>
  <c r="F432" i="6"/>
  <c r="K431" i="6"/>
  <c r="T431" i="6"/>
  <c r="L428" i="6"/>
  <c r="AC428" i="6"/>
  <c r="AD428" i="6" s="1"/>
  <c r="K423" i="18" l="1"/>
  <c r="I423" i="18" s="1"/>
  <c r="L423" i="18" s="1"/>
  <c r="F424" i="18"/>
  <c r="G424" i="18" s="1"/>
  <c r="J424" i="18" s="1"/>
  <c r="H495" i="18"/>
  <c r="Q494" i="18"/>
  <c r="T432" i="6"/>
  <c r="K432" i="6"/>
  <c r="F433" i="6"/>
  <c r="AC429" i="6"/>
  <c r="AD429" i="6" s="1"/>
  <c r="L429" i="6"/>
  <c r="V428" i="6"/>
  <c r="Z428" i="6"/>
  <c r="Q430" i="6"/>
  <c r="G430" i="6"/>
  <c r="H431" i="6"/>
  <c r="I430" i="6"/>
  <c r="W428" i="6"/>
  <c r="X428" i="6" s="1"/>
  <c r="Y428" i="6" s="1"/>
  <c r="AA428" i="6"/>
  <c r="U429" i="6"/>
  <c r="J429" i="6"/>
  <c r="P429" i="6"/>
  <c r="K424" i="18" l="1"/>
  <c r="I424" i="18" s="1"/>
  <c r="L424" i="18" s="1"/>
  <c r="F425" i="18"/>
  <c r="G425" i="18" s="1"/>
  <c r="J425" i="18" s="1"/>
  <c r="H496" i="18"/>
  <c r="Q495" i="18"/>
  <c r="T433" i="6"/>
  <c r="F434" i="6"/>
  <c r="K433" i="6"/>
  <c r="H432" i="6"/>
  <c r="G431" i="6"/>
  <c r="I431" i="6"/>
  <c r="Q431" i="6"/>
  <c r="U430" i="6"/>
  <c r="P430" i="6"/>
  <c r="J430" i="6"/>
  <c r="W429" i="6"/>
  <c r="X429" i="6" s="1"/>
  <c r="Y429" i="6" s="1"/>
  <c r="AA429" i="6"/>
  <c r="AC430" i="6"/>
  <c r="AD430" i="6" s="1"/>
  <c r="L430" i="6"/>
  <c r="V429" i="6"/>
  <c r="Z429" i="6"/>
  <c r="K425" i="18" l="1"/>
  <c r="I425" i="18" s="1"/>
  <c r="L425" i="18" s="1"/>
  <c r="F426" i="18"/>
  <c r="G426" i="18" s="1"/>
  <c r="J426" i="18" s="1"/>
  <c r="H497" i="18"/>
  <c r="Q496" i="18"/>
  <c r="K434" i="6"/>
  <c r="T434" i="6"/>
  <c r="F435" i="6"/>
  <c r="W430" i="6"/>
  <c r="X430" i="6" s="1"/>
  <c r="Y430" i="6" s="1"/>
  <c r="AA430" i="6"/>
  <c r="L431" i="6"/>
  <c r="AC431" i="6"/>
  <c r="AD431" i="6" s="1"/>
  <c r="U431" i="6"/>
  <c r="P431" i="6"/>
  <c r="J431" i="6"/>
  <c r="V430" i="6"/>
  <c r="Z430" i="6"/>
  <c r="G432" i="6"/>
  <c r="H433" i="6"/>
  <c r="Q432" i="6"/>
  <c r="I432" i="6"/>
  <c r="K426" i="18" l="1"/>
  <c r="I426" i="18" s="1"/>
  <c r="L426" i="18" s="1"/>
  <c r="F427" i="18"/>
  <c r="G427" i="18" s="1"/>
  <c r="J427" i="18" s="1"/>
  <c r="H498" i="18"/>
  <c r="Q497" i="18"/>
  <c r="T435" i="6"/>
  <c r="F436" i="6"/>
  <c r="K435" i="6"/>
  <c r="H434" i="6"/>
  <c r="Q433" i="6"/>
  <c r="I433" i="6"/>
  <c r="G433" i="6"/>
  <c r="W431" i="6"/>
  <c r="X431" i="6" s="1"/>
  <c r="Y431" i="6" s="1"/>
  <c r="AA431" i="6"/>
  <c r="U432" i="6"/>
  <c r="J432" i="6"/>
  <c r="P432" i="6"/>
  <c r="L432" i="6"/>
  <c r="AC432" i="6"/>
  <c r="AD432" i="6" s="1"/>
  <c r="V431" i="6"/>
  <c r="Z431" i="6"/>
  <c r="K427" i="18" l="1"/>
  <c r="I427" i="18" s="1"/>
  <c r="L427" i="18" s="1"/>
  <c r="F428" i="18"/>
  <c r="G428" i="18" s="1"/>
  <c r="J428" i="18" s="1"/>
  <c r="H499" i="18"/>
  <c r="Q498" i="18"/>
  <c r="U433" i="6"/>
  <c r="J433" i="6"/>
  <c r="P433" i="6"/>
  <c r="V432" i="6"/>
  <c r="Z432" i="6"/>
  <c r="L433" i="6"/>
  <c r="AC433" i="6"/>
  <c r="AD433" i="6" s="1"/>
  <c r="K436" i="6"/>
  <c r="T436" i="6"/>
  <c r="F437" i="6"/>
  <c r="W432" i="6"/>
  <c r="X432" i="6" s="1"/>
  <c r="Y432" i="6" s="1"/>
  <c r="AA432" i="6"/>
  <c r="Q434" i="6"/>
  <c r="G434" i="6"/>
  <c r="I434" i="6"/>
  <c r="H435" i="6"/>
  <c r="K428" i="18" l="1"/>
  <c r="I428" i="18" s="1"/>
  <c r="L428" i="18" s="1"/>
  <c r="F429" i="18"/>
  <c r="G429" i="18" s="1"/>
  <c r="J429" i="18" s="1"/>
  <c r="H500" i="18"/>
  <c r="Q499" i="18"/>
  <c r="L434" i="6"/>
  <c r="AC434" i="6"/>
  <c r="AD434" i="6" s="1"/>
  <c r="H436" i="6"/>
  <c r="Q435" i="6"/>
  <c r="I435" i="6"/>
  <c r="G435" i="6"/>
  <c r="U434" i="6"/>
  <c r="J434" i="6"/>
  <c r="P434" i="6"/>
  <c r="T437" i="6"/>
  <c r="F438" i="6"/>
  <c r="K437" i="6"/>
  <c r="W433" i="6"/>
  <c r="X433" i="6" s="1"/>
  <c r="Y433" i="6" s="1"/>
  <c r="AA433" i="6"/>
  <c r="V433" i="6"/>
  <c r="Z433" i="6"/>
  <c r="F430" i="18" l="1"/>
  <c r="G430" i="18" s="1"/>
  <c r="J430" i="18" s="1"/>
  <c r="K429" i="18"/>
  <c r="I429" i="18" s="1"/>
  <c r="L429" i="18" s="1"/>
  <c r="H501" i="18"/>
  <c r="Q500" i="18"/>
  <c r="H437" i="6"/>
  <c r="I436" i="6"/>
  <c r="Q436" i="6"/>
  <c r="G436" i="6"/>
  <c r="T438" i="6"/>
  <c r="F439" i="6"/>
  <c r="K438" i="6"/>
  <c r="V434" i="6"/>
  <c r="Z434" i="6"/>
  <c r="P435" i="6"/>
  <c r="U435" i="6"/>
  <c r="J435" i="6"/>
  <c r="L435" i="6"/>
  <c r="AC435" i="6"/>
  <c r="AD435" i="6" s="1"/>
  <c r="W434" i="6"/>
  <c r="X434" i="6" s="1"/>
  <c r="Y434" i="6" s="1"/>
  <c r="AA434" i="6"/>
  <c r="K430" i="18" l="1"/>
  <c r="I430" i="18" s="1"/>
  <c r="L430" i="18" s="1"/>
  <c r="F431" i="18"/>
  <c r="G431" i="18" s="1"/>
  <c r="J431" i="18" s="1"/>
  <c r="H502" i="18"/>
  <c r="Q501" i="18"/>
  <c r="V435" i="6"/>
  <c r="Z435" i="6"/>
  <c r="P436" i="6"/>
  <c r="J436" i="6"/>
  <c r="U436" i="6"/>
  <c r="W435" i="6"/>
  <c r="X435" i="6" s="1"/>
  <c r="Y435" i="6" s="1"/>
  <c r="AA435" i="6"/>
  <c r="T439" i="6"/>
  <c r="F440" i="6"/>
  <c r="K439" i="6"/>
  <c r="AC436" i="6"/>
  <c r="AD436" i="6" s="1"/>
  <c r="L436" i="6"/>
  <c r="H438" i="6"/>
  <c r="G437" i="6"/>
  <c r="Q437" i="6"/>
  <c r="I437" i="6"/>
  <c r="K431" i="18" l="1"/>
  <c r="I431" i="18" s="1"/>
  <c r="L431" i="18" s="1"/>
  <c r="F432" i="18"/>
  <c r="G432" i="18" s="1"/>
  <c r="J432" i="18" s="1"/>
  <c r="H503" i="18"/>
  <c r="Q502" i="18"/>
  <c r="W436" i="6"/>
  <c r="X436" i="6" s="1"/>
  <c r="Y436" i="6" s="1"/>
  <c r="AA436" i="6"/>
  <c r="V436" i="6"/>
  <c r="Z436" i="6"/>
  <c r="P437" i="6"/>
  <c r="U437" i="6"/>
  <c r="J437" i="6"/>
  <c r="Q438" i="6"/>
  <c r="G438" i="6"/>
  <c r="H439" i="6"/>
  <c r="I438" i="6"/>
  <c r="F441" i="6"/>
  <c r="T440" i="6"/>
  <c r="K440" i="6"/>
  <c r="L437" i="6"/>
  <c r="AC437" i="6"/>
  <c r="AD437" i="6" s="1"/>
  <c r="K432" i="18" l="1"/>
  <c r="I432" i="18" s="1"/>
  <c r="L432" i="18" s="1"/>
  <c r="F433" i="18"/>
  <c r="G433" i="18" s="1"/>
  <c r="J433" i="18" s="1"/>
  <c r="H504" i="18"/>
  <c r="Q503" i="18"/>
  <c r="F442" i="6"/>
  <c r="T441" i="6"/>
  <c r="K441" i="6"/>
  <c r="W437" i="6"/>
  <c r="X437" i="6" s="1"/>
  <c r="Y437" i="6" s="1"/>
  <c r="AA437" i="6"/>
  <c r="L438" i="6"/>
  <c r="AC438" i="6"/>
  <c r="AD438" i="6" s="1"/>
  <c r="I439" i="6"/>
  <c r="G439" i="6"/>
  <c r="Q439" i="6"/>
  <c r="H440" i="6"/>
  <c r="V437" i="6"/>
  <c r="Z437" i="6"/>
  <c r="P438" i="6"/>
  <c r="U438" i="6"/>
  <c r="J438" i="6"/>
  <c r="K433" i="18" l="1"/>
  <c r="I433" i="18" s="1"/>
  <c r="L433" i="18" s="1"/>
  <c r="F434" i="18"/>
  <c r="G434" i="18" s="1"/>
  <c r="J434" i="18" s="1"/>
  <c r="H505" i="18"/>
  <c r="Q504" i="18"/>
  <c r="I440" i="6"/>
  <c r="G440" i="6"/>
  <c r="Q440" i="6"/>
  <c r="H441" i="6"/>
  <c r="V438" i="6"/>
  <c r="Z438" i="6"/>
  <c r="W438" i="6"/>
  <c r="X438" i="6" s="1"/>
  <c r="Y438" i="6" s="1"/>
  <c r="AA438" i="6"/>
  <c r="P439" i="6"/>
  <c r="U439" i="6"/>
  <c r="J439" i="6"/>
  <c r="AC439" i="6"/>
  <c r="AD439" i="6" s="1"/>
  <c r="L439" i="6"/>
  <c r="T442" i="6"/>
  <c r="K442" i="6"/>
  <c r="F443" i="6"/>
  <c r="K434" i="18" l="1"/>
  <c r="I434" i="18" s="1"/>
  <c r="L434" i="18" s="1"/>
  <c r="F435" i="18"/>
  <c r="G435" i="18" s="1"/>
  <c r="J435" i="18" s="1"/>
  <c r="H506" i="18"/>
  <c r="Q505" i="18"/>
  <c r="G441" i="6"/>
  <c r="I441" i="6"/>
  <c r="Q441" i="6"/>
  <c r="H442" i="6"/>
  <c r="V439" i="6"/>
  <c r="Z439" i="6"/>
  <c r="P440" i="6"/>
  <c r="U440" i="6"/>
  <c r="J440" i="6"/>
  <c r="T443" i="6"/>
  <c r="F444" i="6"/>
  <c r="K443" i="6"/>
  <c r="W439" i="6"/>
  <c r="X439" i="6" s="1"/>
  <c r="Y439" i="6" s="1"/>
  <c r="AA439" i="6"/>
  <c r="L440" i="6"/>
  <c r="AC440" i="6"/>
  <c r="AD440" i="6" s="1"/>
  <c r="K435" i="18" l="1"/>
  <c r="I435" i="18" s="1"/>
  <c r="L435" i="18" s="1"/>
  <c r="F436" i="18"/>
  <c r="G436" i="18" s="1"/>
  <c r="J436" i="18" s="1"/>
  <c r="H507" i="18"/>
  <c r="Q506" i="18"/>
  <c r="I442" i="6"/>
  <c r="Q442" i="6"/>
  <c r="H443" i="6"/>
  <c r="G442" i="6"/>
  <c r="K444" i="6"/>
  <c r="F445" i="6"/>
  <c r="T444" i="6"/>
  <c r="L441" i="6"/>
  <c r="AC441" i="6"/>
  <c r="AD441" i="6" s="1"/>
  <c r="W440" i="6"/>
  <c r="X440" i="6" s="1"/>
  <c r="Y440" i="6" s="1"/>
  <c r="AA440" i="6"/>
  <c r="V440" i="6"/>
  <c r="Z440" i="6"/>
  <c r="U441" i="6"/>
  <c r="P441" i="6"/>
  <c r="J441" i="6"/>
  <c r="K436" i="18" l="1"/>
  <c r="I436" i="18" s="1"/>
  <c r="L436" i="18" s="1"/>
  <c r="F437" i="18"/>
  <c r="G437" i="18" s="1"/>
  <c r="J437" i="18" s="1"/>
  <c r="H508" i="18"/>
  <c r="Q507" i="18"/>
  <c r="P442" i="6"/>
  <c r="U442" i="6"/>
  <c r="J442" i="6"/>
  <c r="Q443" i="6"/>
  <c r="H444" i="6"/>
  <c r="I443" i="6"/>
  <c r="G443" i="6"/>
  <c r="V441" i="6"/>
  <c r="Z441" i="6"/>
  <c r="T445" i="6"/>
  <c r="K445" i="6"/>
  <c r="F446" i="6"/>
  <c r="W441" i="6"/>
  <c r="X441" i="6" s="1"/>
  <c r="Y441" i="6" s="1"/>
  <c r="AA441" i="6"/>
  <c r="L442" i="6"/>
  <c r="AC442" i="6"/>
  <c r="AD442" i="6" s="1"/>
  <c r="K437" i="18" l="1"/>
  <c r="I437" i="18" s="1"/>
  <c r="L437" i="18" s="1"/>
  <c r="F438" i="18"/>
  <c r="G438" i="18" s="1"/>
  <c r="J438" i="18" s="1"/>
  <c r="H509" i="18"/>
  <c r="Q508" i="18"/>
  <c r="W442" i="6"/>
  <c r="X442" i="6" s="1"/>
  <c r="Y442" i="6" s="1"/>
  <c r="AA442" i="6"/>
  <c r="J443" i="6"/>
  <c r="U443" i="6"/>
  <c r="P443" i="6"/>
  <c r="AC443" i="6"/>
  <c r="AD443" i="6" s="1"/>
  <c r="L443" i="6"/>
  <c r="V442" i="6"/>
  <c r="Z442" i="6"/>
  <c r="F447" i="6"/>
  <c r="T446" i="6"/>
  <c r="K446" i="6"/>
  <c r="G444" i="6"/>
  <c r="Q444" i="6"/>
  <c r="I444" i="6"/>
  <c r="H445" i="6"/>
  <c r="K438" i="18" l="1"/>
  <c r="I438" i="18" s="1"/>
  <c r="L438" i="18" s="1"/>
  <c r="F439" i="18"/>
  <c r="G439" i="18" s="1"/>
  <c r="J439" i="18" s="1"/>
  <c r="H510" i="18"/>
  <c r="Q509" i="18"/>
  <c r="U444" i="6"/>
  <c r="J444" i="6"/>
  <c r="P444" i="6"/>
  <c r="L444" i="6"/>
  <c r="AC444" i="6"/>
  <c r="AD444" i="6" s="1"/>
  <c r="V443" i="6"/>
  <c r="Z443" i="6"/>
  <c r="T447" i="6"/>
  <c r="K447" i="6"/>
  <c r="F448" i="6"/>
  <c r="W443" i="6"/>
  <c r="X443" i="6" s="1"/>
  <c r="Y443" i="6" s="1"/>
  <c r="AA443" i="6"/>
  <c r="I445" i="6"/>
  <c r="Q445" i="6"/>
  <c r="H446" i="6"/>
  <c r="G445" i="6"/>
  <c r="K439" i="18" l="1"/>
  <c r="I439" i="18" s="1"/>
  <c r="L439" i="18" s="1"/>
  <c r="F440" i="18"/>
  <c r="G440" i="18" s="1"/>
  <c r="J440" i="18" s="1"/>
  <c r="H511" i="18"/>
  <c r="Q510" i="18"/>
  <c r="I446" i="6"/>
  <c r="H447" i="6"/>
  <c r="G446" i="6"/>
  <c r="Q446" i="6"/>
  <c r="W444" i="6"/>
  <c r="X444" i="6" s="1"/>
  <c r="Y444" i="6" s="1"/>
  <c r="AA444" i="6"/>
  <c r="T448" i="6"/>
  <c r="K448" i="6"/>
  <c r="F449" i="6"/>
  <c r="J445" i="6"/>
  <c r="P445" i="6"/>
  <c r="U445" i="6"/>
  <c r="AC445" i="6"/>
  <c r="AD445" i="6" s="1"/>
  <c r="L445" i="6"/>
  <c r="V444" i="6"/>
  <c r="Z444" i="6"/>
  <c r="K440" i="18" l="1"/>
  <c r="I440" i="18" s="1"/>
  <c r="L440" i="18" s="1"/>
  <c r="F441" i="18"/>
  <c r="G441" i="18" s="1"/>
  <c r="J441" i="18" s="1"/>
  <c r="H512" i="18"/>
  <c r="Q511" i="18"/>
  <c r="W445" i="6"/>
  <c r="X445" i="6" s="1"/>
  <c r="Y445" i="6" s="1"/>
  <c r="AA445" i="6"/>
  <c r="J446" i="6"/>
  <c r="U446" i="6"/>
  <c r="P446" i="6"/>
  <c r="H448" i="6"/>
  <c r="I447" i="6"/>
  <c r="Q447" i="6"/>
  <c r="G447" i="6"/>
  <c r="V445" i="6"/>
  <c r="Z445" i="6"/>
  <c r="F450" i="6"/>
  <c r="K449" i="6"/>
  <c r="T449" i="6"/>
  <c r="L446" i="6"/>
  <c r="AC446" i="6"/>
  <c r="AD446" i="6" s="1"/>
  <c r="K441" i="18" l="1"/>
  <c r="I441" i="18" s="1"/>
  <c r="L441" i="18" s="1"/>
  <c r="F442" i="18"/>
  <c r="G442" i="18" s="1"/>
  <c r="J442" i="18" s="1"/>
  <c r="H513" i="18"/>
  <c r="Q512" i="18"/>
  <c r="W446" i="6"/>
  <c r="X446" i="6" s="1"/>
  <c r="Y446" i="6" s="1"/>
  <c r="AA446" i="6"/>
  <c r="V446" i="6"/>
  <c r="Z446" i="6"/>
  <c r="H449" i="6"/>
  <c r="G448" i="6"/>
  <c r="I448" i="6"/>
  <c r="Q448" i="6"/>
  <c r="L447" i="6"/>
  <c r="AC447" i="6"/>
  <c r="AD447" i="6" s="1"/>
  <c r="F451" i="6"/>
  <c r="K450" i="6"/>
  <c r="T450" i="6"/>
  <c r="U447" i="6"/>
  <c r="P447" i="6"/>
  <c r="J447" i="6"/>
  <c r="K442" i="18" l="1"/>
  <c r="I442" i="18" s="1"/>
  <c r="L442" i="18" s="1"/>
  <c r="F443" i="18"/>
  <c r="G443" i="18" s="1"/>
  <c r="J443" i="18" s="1"/>
  <c r="H514" i="18"/>
  <c r="Q513" i="18"/>
  <c r="P448" i="6"/>
  <c r="J448" i="6"/>
  <c r="U448" i="6"/>
  <c r="V447" i="6"/>
  <c r="Z447" i="6"/>
  <c r="K451" i="6"/>
  <c r="T451" i="6"/>
  <c r="F452" i="6"/>
  <c r="L448" i="6"/>
  <c r="AC448" i="6"/>
  <c r="AD448" i="6" s="1"/>
  <c r="W447" i="6"/>
  <c r="X447" i="6" s="1"/>
  <c r="Y447" i="6" s="1"/>
  <c r="AA447" i="6"/>
  <c r="H450" i="6"/>
  <c r="Q449" i="6"/>
  <c r="G449" i="6"/>
  <c r="I449" i="6"/>
  <c r="K443" i="18" l="1"/>
  <c r="I443" i="18" s="1"/>
  <c r="L443" i="18" s="1"/>
  <c r="F444" i="18"/>
  <c r="G444" i="18" s="1"/>
  <c r="J444" i="18" s="1"/>
  <c r="H515" i="18"/>
  <c r="Q514" i="18"/>
  <c r="L449" i="6"/>
  <c r="W449" i="6" s="1"/>
  <c r="X449" i="6" s="1"/>
  <c r="AC449" i="6"/>
  <c r="AD449" i="6" s="1"/>
  <c r="V448" i="6"/>
  <c r="Z448" i="6"/>
  <c r="P449" i="6"/>
  <c r="U449" i="6"/>
  <c r="J449" i="6"/>
  <c r="I450" i="6"/>
  <c r="G450" i="6"/>
  <c r="Q450" i="6"/>
  <c r="H451" i="6"/>
  <c r="W448" i="6"/>
  <c r="X448" i="6" s="1"/>
  <c r="Y448" i="6" s="1"/>
  <c r="AA448" i="6"/>
  <c r="T452" i="6"/>
  <c r="K452" i="6"/>
  <c r="F453" i="6"/>
  <c r="K444" i="18" l="1"/>
  <c r="I444" i="18" s="1"/>
  <c r="L444" i="18" s="1"/>
  <c r="F445" i="18"/>
  <c r="G445" i="18" s="1"/>
  <c r="J445" i="18" s="1"/>
  <c r="H516" i="18"/>
  <c r="Q515" i="18"/>
  <c r="F454" i="6"/>
  <c r="K453" i="6"/>
  <c r="T453" i="6"/>
  <c r="L450" i="6"/>
  <c r="AC450" i="6"/>
  <c r="AD450" i="6" s="1"/>
  <c r="H452" i="6"/>
  <c r="I451" i="6"/>
  <c r="Q451" i="6"/>
  <c r="G451" i="6"/>
  <c r="V449" i="6"/>
  <c r="Z449" i="6"/>
  <c r="P450" i="6"/>
  <c r="U450" i="6"/>
  <c r="J450" i="6"/>
  <c r="Y449" i="6"/>
  <c r="K445" i="18" l="1"/>
  <c r="I445" i="18" s="1"/>
  <c r="L445" i="18" s="1"/>
  <c r="F446" i="18"/>
  <c r="G446" i="18" s="1"/>
  <c r="J446" i="18" s="1"/>
  <c r="H517" i="18"/>
  <c r="Q516" i="18"/>
  <c r="AC451" i="6"/>
  <c r="AD451" i="6" s="1"/>
  <c r="L451" i="6"/>
  <c r="G452" i="6"/>
  <c r="I452" i="6"/>
  <c r="Q452" i="6"/>
  <c r="H453" i="6"/>
  <c r="V450" i="6"/>
  <c r="Z450" i="6"/>
  <c r="J451" i="6"/>
  <c r="U451" i="6"/>
  <c r="P451" i="6"/>
  <c r="W450" i="6"/>
  <c r="X450" i="6" s="1"/>
  <c r="Y450" i="6" s="1"/>
  <c r="AA450" i="6"/>
  <c r="F455" i="6"/>
  <c r="T454" i="6"/>
  <c r="K454" i="6"/>
  <c r="K446" i="18" l="1"/>
  <c r="I446" i="18" s="1"/>
  <c r="L446" i="18" s="1"/>
  <c r="F447" i="18"/>
  <c r="G447" i="18" s="1"/>
  <c r="J447" i="18" s="1"/>
  <c r="H518" i="18"/>
  <c r="Q517" i="18"/>
  <c r="L452" i="6"/>
  <c r="AC452" i="6"/>
  <c r="AD452" i="6" s="1"/>
  <c r="U452" i="6"/>
  <c r="P452" i="6"/>
  <c r="J452" i="6"/>
  <c r="T455" i="6"/>
  <c r="F456" i="6"/>
  <c r="K455" i="6"/>
  <c r="V451" i="6"/>
  <c r="Z451" i="6"/>
  <c r="H454" i="6"/>
  <c r="Q453" i="6"/>
  <c r="G453" i="6"/>
  <c r="I453" i="6"/>
  <c r="W451" i="6"/>
  <c r="X451" i="6" s="1"/>
  <c r="Y451" i="6" s="1"/>
  <c r="AA451" i="6"/>
  <c r="F448" i="18" l="1"/>
  <c r="G448" i="18" s="1"/>
  <c r="J448" i="18" s="1"/>
  <c r="K447" i="18"/>
  <c r="I447" i="18" s="1"/>
  <c r="L447" i="18" s="1"/>
  <c r="H519" i="18"/>
  <c r="Q518" i="18"/>
  <c r="Q454" i="6"/>
  <c r="H455" i="6"/>
  <c r="G454" i="6"/>
  <c r="I454" i="6"/>
  <c r="L453" i="6"/>
  <c r="AC453" i="6"/>
  <c r="AD453" i="6" s="1"/>
  <c r="V452" i="6"/>
  <c r="Z452" i="6"/>
  <c r="F457" i="6"/>
  <c r="K456" i="6"/>
  <c r="T456" i="6"/>
  <c r="U453" i="6"/>
  <c r="J453" i="6"/>
  <c r="P453" i="6"/>
  <c r="W452" i="6"/>
  <c r="X452" i="6" s="1"/>
  <c r="Y452" i="6" s="1"/>
  <c r="AA452" i="6"/>
  <c r="F449" i="18" l="1"/>
  <c r="G449" i="18" s="1"/>
  <c r="J449" i="18" s="1"/>
  <c r="K448" i="18"/>
  <c r="I448" i="18" s="1"/>
  <c r="L448" i="18" s="1"/>
  <c r="H520" i="18"/>
  <c r="Q519" i="18"/>
  <c r="AC454" i="6"/>
  <c r="AD454" i="6" s="1"/>
  <c r="L454" i="6"/>
  <c r="J454" i="6"/>
  <c r="U454" i="6"/>
  <c r="P454" i="6"/>
  <c r="Q455" i="6"/>
  <c r="G455" i="6"/>
  <c r="H456" i="6"/>
  <c r="I455" i="6"/>
  <c r="V453" i="6"/>
  <c r="Z453" i="6"/>
  <c r="K457" i="6"/>
  <c r="F458" i="6"/>
  <c r="T457" i="6"/>
  <c r="W453" i="6"/>
  <c r="X453" i="6" s="1"/>
  <c r="Y453" i="6" s="1"/>
  <c r="AA453" i="6"/>
  <c r="K449" i="18" l="1"/>
  <c r="I449" i="18" s="1"/>
  <c r="L449" i="18" s="1"/>
  <c r="F450" i="18"/>
  <c r="G450" i="18" s="1"/>
  <c r="J450" i="18" s="1"/>
  <c r="H521" i="18"/>
  <c r="Q520" i="18"/>
  <c r="I456" i="6"/>
  <c r="Q456" i="6"/>
  <c r="G456" i="6"/>
  <c r="H457" i="6"/>
  <c r="V454" i="6"/>
  <c r="Z454" i="6"/>
  <c r="U455" i="6"/>
  <c r="J455" i="6"/>
  <c r="P455" i="6"/>
  <c r="W454" i="6"/>
  <c r="X454" i="6" s="1"/>
  <c r="Y454" i="6" s="1"/>
  <c r="AA454" i="6"/>
  <c r="F459" i="6"/>
  <c r="T458" i="6"/>
  <c r="K458" i="6"/>
  <c r="L455" i="6"/>
  <c r="AC455" i="6"/>
  <c r="AD455" i="6" s="1"/>
  <c r="K450" i="18" l="1"/>
  <c r="I450" i="18" s="1"/>
  <c r="L450" i="18" s="1"/>
  <c r="F451" i="18"/>
  <c r="G451" i="18" s="1"/>
  <c r="J451" i="18" s="1"/>
  <c r="H522" i="18"/>
  <c r="Q521" i="18"/>
  <c r="H458" i="6"/>
  <c r="Q457" i="6"/>
  <c r="I457" i="6"/>
  <c r="G457" i="6"/>
  <c r="V455" i="6"/>
  <c r="Z455" i="6"/>
  <c r="J456" i="6"/>
  <c r="U456" i="6"/>
  <c r="P456" i="6"/>
  <c r="W455" i="6"/>
  <c r="X455" i="6" s="1"/>
  <c r="Y455" i="6" s="1"/>
  <c r="AA455" i="6"/>
  <c r="K459" i="6"/>
  <c r="T459" i="6"/>
  <c r="F460" i="6"/>
  <c r="AC456" i="6"/>
  <c r="AD456" i="6" s="1"/>
  <c r="L456" i="6"/>
  <c r="W456" i="6" s="1"/>
  <c r="X456" i="6" s="1"/>
  <c r="Y456" i="6" s="1"/>
  <c r="K451" i="18" l="1"/>
  <c r="I451" i="18" s="1"/>
  <c r="L451" i="18" s="1"/>
  <c r="F452" i="18"/>
  <c r="G452" i="18" s="1"/>
  <c r="J452" i="18" s="1"/>
  <c r="H523" i="18"/>
  <c r="Q522" i="18"/>
  <c r="V456" i="6"/>
  <c r="Z456" i="6"/>
  <c r="U457" i="6"/>
  <c r="P457" i="6"/>
  <c r="J457" i="6"/>
  <c r="L457" i="6"/>
  <c r="AC457" i="6"/>
  <c r="AD457" i="6" s="1"/>
  <c r="T460" i="6"/>
  <c r="K460" i="6"/>
  <c r="F461" i="6"/>
  <c r="H459" i="6"/>
  <c r="I458" i="6"/>
  <c r="Q458" i="6"/>
  <c r="G458" i="6"/>
  <c r="K452" i="18" l="1"/>
  <c r="I452" i="18" s="1"/>
  <c r="L452" i="18" s="1"/>
  <c r="F453" i="18"/>
  <c r="G453" i="18" s="1"/>
  <c r="J453" i="18" s="1"/>
  <c r="H524" i="18"/>
  <c r="Q523" i="18"/>
  <c r="H460" i="6"/>
  <c r="G459" i="6"/>
  <c r="Q459" i="6"/>
  <c r="I459" i="6"/>
  <c r="U458" i="6"/>
  <c r="J458" i="6"/>
  <c r="P458" i="6"/>
  <c r="V457" i="6"/>
  <c r="Z457" i="6"/>
  <c r="K461" i="6"/>
  <c r="T461" i="6"/>
  <c r="F462" i="6"/>
  <c r="W457" i="6"/>
  <c r="X457" i="6" s="1"/>
  <c r="Y457" i="6" s="1"/>
  <c r="AA457" i="6"/>
  <c r="L458" i="6"/>
  <c r="AC458" i="6"/>
  <c r="AD458" i="6" s="1"/>
  <c r="K453" i="18" l="1"/>
  <c r="I453" i="18" s="1"/>
  <c r="L453" i="18" s="1"/>
  <c r="F454" i="18"/>
  <c r="G454" i="18" s="1"/>
  <c r="J454" i="18" s="1"/>
  <c r="H525" i="18"/>
  <c r="Q524" i="18"/>
  <c r="F463" i="6"/>
  <c r="K462" i="6"/>
  <c r="T462" i="6"/>
  <c r="AC459" i="6"/>
  <c r="AD459" i="6" s="1"/>
  <c r="L459" i="6"/>
  <c r="W458" i="6"/>
  <c r="X458" i="6" s="1"/>
  <c r="Y458" i="6" s="1"/>
  <c r="AA458" i="6"/>
  <c r="P459" i="6"/>
  <c r="J459" i="6"/>
  <c r="U459" i="6"/>
  <c r="V458" i="6"/>
  <c r="Z458" i="6"/>
  <c r="H461" i="6"/>
  <c r="I460" i="6"/>
  <c r="G460" i="6"/>
  <c r="Q460" i="6"/>
  <c r="K454" i="18" l="1"/>
  <c r="I454" i="18" s="1"/>
  <c r="L454" i="18" s="1"/>
  <c r="F455" i="18"/>
  <c r="G455" i="18" s="1"/>
  <c r="J455" i="18" s="1"/>
  <c r="H526" i="18"/>
  <c r="Q525" i="18"/>
  <c r="L460" i="6"/>
  <c r="AC460" i="6"/>
  <c r="AD460" i="6" s="1"/>
  <c r="V459" i="6"/>
  <c r="Z459" i="6"/>
  <c r="Q461" i="6"/>
  <c r="G461" i="6"/>
  <c r="H462" i="6"/>
  <c r="I461" i="6"/>
  <c r="W459" i="6"/>
  <c r="X459" i="6" s="1"/>
  <c r="Y459" i="6" s="1"/>
  <c r="AA459" i="6"/>
  <c r="P460" i="6"/>
  <c r="J460" i="6"/>
  <c r="U460" i="6"/>
  <c r="F464" i="6"/>
  <c r="K463" i="6"/>
  <c r="T463" i="6"/>
  <c r="K455" i="18" l="1"/>
  <c r="I455" i="18" s="1"/>
  <c r="L455" i="18" s="1"/>
  <c r="F456" i="18"/>
  <c r="G456" i="18" s="1"/>
  <c r="J456" i="18" s="1"/>
  <c r="H527" i="18"/>
  <c r="Q526" i="18"/>
  <c r="L461" i="6"/>
  <c r="AC461" i="6"/>
  <c r="AD461" i="6" s="1"/>
  <c r="I462" i="6"/>
  <c r="Q462" i="6"/>
  <c r="G462" i="6"/>
  <c r="H463" i="6"/>
  <c r="U461" i="6"/>
  <c r="P461" i="6"/>
  <c r="J461" i="6"/>
  <c r="T464" i="6"/>
  <c r="F465" i="6"/>
  <c r="K464" i="6"/>
  <c r="V460" i="6"/>
  <c r="Z460" i="6"/>
  <c r="W460" i="6"/>
  <c r="X460" i="6" s="1"/>
  <c r="Y460" i="6" s="1"/>
  <c r="AA460" i="6"/>
  <c r="K456" i="18" l="1"/>
  <c r="I456" i="18" s="1"/>
  <c r="L456" i="18" s="1"/>
  <c r="F457" i="18"/>
  <c r="G457" i="18" s="1"/>
  <c r="J457" i="18" s="1"/>
  <c r="H528" i="18"/>
  <c r="Q527" i="18"/>
  <c r="K465" i="6"/>
  <c r="T465" i="6"/>
  <c r="F466" i="6"/>
  <c r="V461" i="6"/>
  <c r="Z461" i="6"/>
  <c r="AC462" i="6"/>
  <c r="AD462" i="6" s="1"/>
  <c r="L462" i="6"/>
  <c r="Q463" i="6"/>
  <c r="G463" i="6"/>
  <c r="H464" i="6"/>
  <c r="I463" i="6"/>
  <c r="U462" i="6"/>
  <c r="P462" i="6"/>
  <c r="J462" i="6"/>
  <c r="W461" i="6"/>
  <c r="X461" i="6" s="1"/>
  <c r="Y461" i="6" s="1"/>
  <c r="AA461" i="6"/>
  <c r="K457" i="18" l="1"/>
  <c r="I457" i="18" s="1"/>
  <c r="L457" i="18" s="1"/>
  <c r="F458" i="18"/>
  <c r="G458" i="18" s="1"/>
  <c r="J458" i="18" s="1"/>
  <c r="H529" i="18"/>
  <c r="Q528" i="18"/>
  <c r="L463" i="6"/>
  <c r="AC463" i="6"/>
  <c r="AD463" i="6" s="1"/>
  <c r="W462" i="6"/>
  <c r="X462" i="6" s="1"/>
  <c r="Y462" i="6" s="1"/>
  <c r="AA462" i="6"/>
  <c r="T466" i="6"/>
  <c r="F467" i="6"/>
  <c r="K466" i="6"/>
  <c r="J463" i="6"/>
  <c r="U463" i="6"/>
  <c r="P463" i="6"/>
  <c r="Q464" i="6"/>
  <c r="G464" i="6"/>
  <c r="H465" i="6"/>
  <c r="I464" i="6"/>
  <c r="V462" i="6"/>
  <c r="Z462" i="6"/>
  <c r="K458" i="18" l="1"/>
  <c r="I458" i="18" s="1"/>
  <c r="L458" i="18" s="1"/>
  <c r="F459" i="18"/>
  <c r="G459" i="18" s="1"/>
  <c r="J459" i="18" s="1"/>
  <c r="H530" i="18"/>
  <c r="Q529" i="18"/>
  <c r="T467" i="6"/>
  <c r="F468" i="6"/>
  <c r="K467" i="6"/>
  <c r="L464" i="6"/>
  <c r="AC464" i="6"/>
  <c r="AD464" i="6" s="1"/>
  <c r="I465" i="6"/>
  <c r="H466" i="6"/>
  <c r="G465" i="6"/>
  <c r="Q465" i="6"/>
  <c r="V463" i="6"/>
  <c r="Z463" i="6"/>
  <c r="J464" i="6"/>
  <c r="U464" i="6"/>
  <c r="P464" i="6"/>
  <c r="W463" i="6"/>
  <c r="X463" i="6" s="1"/>
  <c r="Y463" i="6" s="1"/>
  <c r="AA463" i="6"/>
  <c r="K459" i="18" l="1"/>
  <c r="I459" i="18" s="1"/>
  <c r="L459" i="18" s="1"/>
  <c r="F460" i="18"/>
  <c r="G460" i="18" s="1"/>
  <c r="J460" i="18" s="1"/>
  <c r="H531" i="18"/>
  <c r="Q530" i="18"/>
  <c r="Q466" i="6"/>
  <c r="H467" i="6"/>
  <c r="G466" i="6"/>
  <c r="I466" i="6"/>
  <c r="AC465" i="6"/>
  <c r="AD465" i="6" s="1"/>
  <c r="L465" i="6"/>
  <c r="V464" i="6"/>
  <c r="Z464" i="6"/>
  <c r="T468" i="6"/>
  <c r="K468" i="6"/>
  <c r="F469" i="6"/>
  <c r="P465" i="6"/>
  <c r="U465" i="6"/>
  <c r="J465" i="6"/>
  <c r="W464" i="6"/>
  <c r="X464" i="6" s="1"/>
  <c r="Y464" i="6" s="1"/>
  <c r="AA464" i="6"/>
  <c r="H532" i="18" l="1"/>
  <c r="H533" i="18" s="1"/>
  <c r="Q533" i="18" s="1"/>
  <c r="K460" i="18"/>
  <c r="I460" i="18" s="1"/>
  <c r="L460" i="18" s="1"/>
  <c r="F461" i="18"/>
  <c r="G461" i="18" s="1"/>
  <c r="J461" i="18" s="1"/>
  <c r="Q531" i="18"/>
  <c r="K469" i="6"/>
  <c r="F470" i="6"/>
  <c r="T469" i="6"/>
  <c r="AC466" i="6"/>
  <c r="AD466" i="6" s="1"/>
  <c r="L466" i="6"/>
  <c r="U466" i="6"/>
  <c r="J466" i="6"/>
  <c r="P466" i="6"/>
  <c r="V465" i="6"/>
  <c r="Z465" i="6"/>
  <c r="W465" i="6"/>
  <c r="X465" i="6" s="1"/>
  <c r="Y465" i="6" s="1"/>
  <c r="AA465" i="6"/>
  <c r="I467" i="6"/>
  <c r="H468" i="6"/>
  <c r="Q467" i="6"/>
  <c r="G467" i="6"/>
  <c r="Q532" i="18" l="1"/>
  <c r="H534" i="18"/>
  <c r="K461" i="18"/>
  <c r="I461" i="18" s="1"/>
  <c r="L461" i="18" s="1"/>
  <c r="F462" i="18"/>
  <c r="G462" i="18" s="1"/>
  <c r="J462" i="18" s="1"/>
  <c r="G468" i="6"/>
  <c r="H469" i="6"/>
  <c r="I468" i="6"/>
  <c r="Q468" i="6"/>
  <c r="V466" i="6"/>
  <c r="Z466" i="6"/>
  <c r="U467" i="6"/>
  <c r="P467" i="6"/>
  <c r="J467" i="6"/>
  <c r="T470" i="6"/>
  <c r="F471" i="6"/>
  <c r="K470" i="6"/>
  <c r="L467" i="6"/>
  <c r="AC467" i="6"/>
  <c r="AD467" i="6" s="1"/>
  <c r="W466" i="6"/>
  <c r="X466" i="6" s="1"/>
  <c r="Y466" i="6" s="1"/>
  <c r="AA466" i="6"/>
  <c r="H535" i="18" l="1"/>
  <c r="Q534" i="18"/>
  <c r="K462" i="18"/>
  <c r="I462" i="18" s="1"/>
  <c r="L462" i="18" s="1"/>
  <c r="F463" i="18"/>
  <c r="G463" i="18" s="1"/>
  <c r="J463" i="18" s="1"/>
  <c r="F472" i="6"/>
  <c r="K471" i="6"/>
  <c r="T471" i="6"/>
  <c r="V467" i="6"/>
  <c r="Z467" i="6"/>
  <c r="L468" i="6"/>
  <c r="W468" i="6" s="1"/>
  <c r="X468" i="6" s="1"/>
  <c r="AC468" i="6"/>
  <c r="AD468" i="6" s="1"/>
  <c r="W467" i="6"/>
  <c r="X467" i="6" s="1"/>
  <c r="Y467" i="6" s="1"/>
  <c r="AA467" i="6"/>
  <c r="G469" i="6"/>
  <c r="I469" i="6"/>
  <c r="H470" i="6"/>
  <c r="Q469" i="6"/>
  <c r="U468" i="6"/>
  <c r="J468" i="6"/>
  <c r="P468" i="6"/>
  <c r="H536" i="18" l="1"/>
  <c r="Q535" i="18"/>
  <c r="K463" i="18"/>
  <c r="I463" i="18" s="1"/>
  <c r="L463" i="18" s="1"/>
  <c r="F464" i="18"/>
  <c r="G464" i="18" s="1"/>
  <c r="J464" i="18" s="1"/>
  <c r="L469" i="6"/>
  <c r="AC469" i="6"/>
  <c r="AD469" i="6" s="1"/>
  <c r="V468" i="6"/>
  <c r="Z468" i="6"/>
  <c r="J469" i="6"/>
  <c r="U469" i="6"/>
  <c r="P469" i="6"/>
  <c r="Y468" i="6"/>
  <c r="Q470" i="6"/>
  <c r="G470" i="6"/>
  <c r="H471" i="6"/>
  <c r="I470" i="6"/>
  <c r="F473" i="6"/>
  <c r="T472" i="6"/>
  <c r="K472" i="6"/>
  <c r="Q536" i="18" l="1"/>
  <c r="H537" i="18"/>
  <c r="K464" i="18"/>
  <c r="I464" i="18" s="1"/>
  <c r="L464" i="18" s="1"/>
  <c r="F465" i="18"/>
  <c r="G465" i="18" s="1"/>
  <c r="J465" i="18" s="1"/>
  <c r="AC470" i="6"/>
  <c r="AD470" i="6" s="1"/>
  <c r="L470" i="6"/>
  <c r="Q471" i="6"/>
  <c r="H472" i="6"/>
  <c r="G471" i="6"/>
  <c r="I471" i="6"/>
  <c r="P470" i="6"/>
  <c r="U470" i="6"/>
  <c r="J470" i="6"/>
  <c r="V469" i="6"/>
  <c r="Z469" i="6"/>
  <c r="F474" i="6"/>
  <c r="K473" i="6"/>
  <c r="T473" i="6"/>
  <c r="W469" i="6"/>
  <c r="X469" i="6" s="1"/>
  <c r="Y469" i="6" s="1"/>
  <c r="AA469" i="6"/>
  <c r="Q537" i="18" l="1"/>
  <c r="H538" i="18"/>
  <c r="K465" i="18"/>
  <c r="I465" i="18" s="1"/>
  <c r="L465" i="18" s="1"/>
  <c r="F466" i="18"/>
  <c r="G466" i="18" s="1"/>
  <c r="J466" i="18" s="1"/>
  <c r="F475" i="6"/>
  <c r="T474" i="6"/>
  <c r="K474" i="6"/>
  <c r="V470" i="6"/>
  <c r="Z470" i="6"/>
  <c r="Q472" i="6"/>
  <c r="I472" i="6"/>
  <c r="G472" i="6"/>
  <c r="H473" i="6"/>
  <c r="L471" i="6"/>
  <c r="AC471" i="6"/>
  <c r="AD471" i="6" s="1"/>
  <c r="W470" i="6"/>
  <c r="X470" i="6" s="1"/>
  <c r="Y470" i="6" s="1"/>
  <c r="AA470" i="6"/>
  <c r="U471" i="6"/>
  <c r="J471" i="6"/>
  <c r="P471" i="6"/>
  <c r="Q538" i="18" l="1"/>
  <c r="H539" i="18"/>
  <c r="K466" i="18"/>
  <c r="I466" i="18" s="1"/>
  <c r="L466" i="18" s="1"/>
  <c r="F467" i="18"/>
  <c r="G467" i="18" s="1"/>
  <c r="J467" i="18" s="1"/>
  <c r="L472" i="6"/>
  <c r="AC472" i="6"/>
  <c r="AD472" i="6" s="1"/>
  <c r="V471" i="6"/>
  <c r="Z471" i="6"/>
  <c r="W471" i="6"/>
  <c r="X471" i="6" s="1"/>
  <c r="Y471" i="6" s="1"/>
  <c r="AA471" i="6"/>
  <c r="I473" i="6"/>
  <c r="G473" i="6"/>
  <c r="H474" i="6"/>
  <c r="Q473" i="6"/>
  <c r="U472" i="6"/>
  <c r="J472" i="6"/>
  <c r="P472" i="6"/>
  <c r="T475" i="6"/>
  <c r="K475" i="6"/>
  <c r="F476" i="6"/>
  <c r="H540" i="18" l="1"/>
  <c r="Q539" i="18"/>
  <c r="K467" i="18"/>
  <c r="I467" i="18" s="1"/>
  <c r="L467" i="18" s="1"/>
  <c r="F468" i="18"/>
  <c r="G468" i="18" s="1"/>
  <c r="J468" i="18" s="1"/>
  <c r="P473" i="6"/>
  <c r="U473" i="6"/>
  <c r="J473" i="6"/>
  <c r="V472" i="6"/>
  <c r="Z472" i="6"/>
  <c r="L473" i="6"/>
  <c r="AC473" i="6"/>
  <c r="AD473" i="6" s="1"/>
  <c r="K476" i="6"/>
  <c r="F477" i="6"/>
  <c r="T476" i="6"/>
  <c r="I474" i="6"/>
  <c r="G474" i="6"/>
  <c r="Q474" i="6"/>
  <c r="H475" i="6"/>
  <c r="W472" i="6"/>
  <c r="X472" i="6" s="1"/>
  <c r="Y472" i="6" s="1"/>
  <c r="AA472" i="6"/>
  <c r="Q540" i="18" l="1"/>
  <c r="H541" i="18"/>
  <c r="K468" i="18"/>
  <c r="I468" i="18" s="1"/>
  <c r="L468" i="18" s="1"/>
  <c r="F469" i="18"/>
  <c r="G469" i="18" s="1"/>
  <c r="J469" i="18" s="1"/>
  <c r="AC474" i="6"/>
  <c r="AD474" i="6" s="1"/>
  <c r="L474" i="6"/>
  <c r="Q475" i="6"/>
  <c r="G475" i="6"/>
  <c r="H476" i="6"/>
  <c r="I475" i="6"/>
  <c r="F478" i="6"/>
  <c r="T477" i="6"/>
  <c r="K477" i="6"/>
  <c r="W473" i="6"/>
  <c r="X473" i="6" s="1"/>
  <c r="Y473" i="6" s="1"/>
  <c r="AA473" i="6"/>
  <c r="V473" i="6"/>
  <c r="Z473" i="6"/>
  <c r="P474" i="6"/>
  <c r="U474" i="6"/>
  <c r="J474" i="6"/>
  <c r="H542" i="18" l="1"/>
  <c r="Q541" i="18"/>
  <c r="K469" i="18"/>
  <c r="I469" i="18" s="1"/>
  <c r="L469" i="18" s="1"/>
  <c r="F470" i="18"/>
  <c r="G470" i="18" s="1"/>
  <c r="J470" i="18" s="1"/>
  <c r="U475" i="6"/>
  <c r="J475" i="6"/>
  <c r="P475" i="6"/>
  <c r="F479" i="6"/>
  <c r="K478" i="6"/>
  <c r="T478" i="6"/>
  <c r="V474" i="6"/>
  <c r="Z474" i="6"/>
  <c r="L475" i="6"/>
  <c r="AC475" i="6"/>
  <c r="AD475" i="6" s="1"/>
  <c r="W474" i="6"/>
  <c r="X474" i="6" s="1"/>
  <c r="Y474" i="6" s="1"/>
  <c r="AA474" i="6"/>
  <c r="H477" i="6"/>
  <c r="G476" i="6"/>
  <c r="I476" i="6"/>
  <c r="Q476" i="6"/>
  <c r="H543" i="18" l="1"/>
  <c r="Q542" i="18"/>
  <c r="K470" i="18"/>
  <c r="I470" i="18" s="1"/>
  <c r="L470" i="18" s="1"/>
  <c r="F471" i="18"/>
  <c r="G471" i="18" s="1"/>
  <c r="J471" i="18" s="1"/>
  <c r="L476" i="6"/>
  <c r="AC476" i="6"/>
  <c r="AD476" i="6" s="1"/>
  <c r="F480" i="6"/>
  <c r="T479" i="6"/>
  <c r="K479" i="6"/>
  <c r="U476" i="6"/>
  <c r="J476" i="6"/>
  <c r="P476" i="6"/>
  <c r="I477" i="6"/>
  <c r="H478" i="6"/>
  <c r="Q477" i="6"/>
  <c r="G477" i="6"/>
  <c r="W475" i="6"/>
  <c r="X475" i="6" s="1"/>
  <c r="Y475" i="6" s="1"/>
  <c r="AA475" i="6"/>
  <c r="V475" i="6"/>
  <c r="Z475" i="6"/>
  <c r="H544" i="18" l="1"/>
  <c r="Q543" i="18"/>
  <c r="K471" i="18"/>
  <c r="I471" i="18" s="1"/>
  <c r="L471" i="18" s="1"/>
  <c r="F472" i="18"/>
  <c r="G472" i="18" s="1"/>
  <c r="J472" i="18" s="1"/>
  <c r="V476" i="6"/>
  <c r="Z476" i="6"/>
  <c r="F481" i="6"/>
  <c r="K480" i="6"/>
  <c r="T480" i="6"/>
  <c r="AC477" i="6"/>
  <c r="AD477" i="6" s="1"/>
  <c r="L477" i="6"/>
  <c r="I478" i="6"/>
  <c r="H479" i="6"/>
  <c r="Q478" i="6"/>
  <c r="G478" i="6"/>
  <c r="U477" i="6"/>
  <c r="J477" i="6"/>
  <c r="P477" i="6"/>
  <c r="W476" i="6"/>
  <c r="X476" i="6" s="1"/>
  <c r="Y476" i="6" s="1"/>
  <c r="AA476" i="6"/>
  <c r="H545" i="18" l="1"/>
  <c r="Q544" i="18"/>
  <c r="K472" i="18"/>
  <c r="I472" i="18" s="1"/>
  <c r="L472" i="18" s="1"/>
  <c r="F473" i="18"/>
  <c r="G473" i="18" s="1"/>
  <c r="J473" i="18" s="1"/>
  <c r="P478" i="6"/>
  <c r="U478" i="6"/>
  <c r="J478" i="6"/>
  <c r="W477" i="6"/>
  <c r="X477" i="6" s="1"/>
  <c r="Y477" i="6" s="1"/>
  <c r="AA477" i="6"/>
  <c r="T481" i="6"/>
  <c r="K481" i="6"/>
  <c r="F482" i="6"/>
  <c r="I479" i="6"/>
  <c r="H480" i="6"/>
  <c r="Q479" i="6"/>
  <c r="G479" i="6"/>
  <c r="V477" i="6"/>
  <c r="Z477" i="6"/>
  <c r="L478" i="6"/>
  <c r="W478" i="6" s="1"/>
  <c r="X478" i="6" s="1"/>
  <c r="Y478" i="6" s="1"/>
  <c r="AC478" i="6"/>
  <c r="AD478" i="6" s="1"/>
  <c r="H546" i="18" l="1"/>
  <c r="Q545" i="18"/>
  <c r="K473" i="18"/>
  <c r="I473" i="18" s="1"/>
  <c r="L473" i="18" s="1"/>
  <c r="F474" i="18"/>
  <c r="G474" i="18" s="1"/>
  <c r="J474" i="18" s="1"/>
  <c r="F483" i="6"/>
  <c r="K482" i="6"/>
  <c r="T482" i="6"/>
  <c r="J479" i="6"/>
  <c r="U479" i="6"/>
  <c r="P479" i="6"/>
  <c r="H481" i="6"/>
  <c r="G480" i="6"/>
  <c r="I480" i="6"/>
  <c r="Q480" i="6"/>
  <c r="L479" i="6"/>
  <c r="W479" i="6" s="1"/>
  <c r="X479" i="6" s="1"/>
  <c r="Y479" i="6" s="1"/>
  <c r="AC479" i="6"/>
  <c r="AD479" i="6" s="1"/>
  <c r="V478" i="6"/>
  <c r="Z478" i="6"/>
  <c r="H547" i="18" l="1"/>
  <c r="Q546" i="18"/>
  <c r="K474" i="18"/>
  <c r="I474" i="18" s="1"/>
  <c r="L474" i="18" s="1"/>
  <c r="F475" i="18"/>
  <c r="G475" i="18" s="1"/>
  <c r="J475" i="18" s="1"/>
  <c r="Q481" i="6"/>
  <c r="H482" i="6"/>
  <c r="I481" i="6"/>
  <c r="G481" i="6"/>
  <c r="L480" i="6"/>
  <c r="AC480" i="6"/>
  <c r="AD480" i="6" s="1"/>
  <c r="V479" i="6"/>
  <c r="Z479" i="6"/>
  <c r="P480" i="6"/>
  <c r="J480" i="6"/>
  <c r="U480" i="6"/>
  <c r="K483" i="6"/>
  <c r="T483" i="6"/>
  <c r="F484" i="6"/>
  <c r="H548" i="18" l="1"/>
  <c r="Q547" i="18"/>
  <c r="K475" i="18"/>
  <c r="I475" i="18" s="1"/>
  <c r="L475" i="18" s="1"/>
  <c r="F476" i="18"/>
  <c r="G476" i="18" s="1"/>
  <c r="J476" i="18" s="1"/>
  <c r="P481" i="6"/>
  <c r="U481" i="6"/>
  <c r="J481" i="6"/>
  <c r="V480" i="6"/>
  <c r="Z480" i="6"/>
  <c r="AC481" i="6"/>
  <c r="AD481" i="6" s="1"/>
  <c r="L481" i="6"/>
  <c r="H483" i="6"/>
  <c r="Q482" i="6"/>
  <c r="G482" i="6"/>
  <c r="I482" i="6"/>
  <c r="F485" i="6"/>
  <c r="T484" i="6"/>
  <c r="K484" i="6"/>
  <c r="W480" i="6"/>
  <c r="X480" i="6" s="1"/>
  <c r="Y480" i="6" s="1"/>
  <c r="AA480" i="6"/>
  <c r="H549" i="18" l="1"/>
  <c r="Q548" i="18"/>
  <c r="F477" i="18"/>
  <c r="G477" i="18" s="1"/>
  <c r="J477" i="18" s="1"/>
  <c r="K476" i="18"/>
  <c r="I476" i="18" s="1"/>
  <c r="L476" i="18" s="1"/>
  <c r="G483" i="6"/>
  <c r="I483" i="6"/>
  <c r="H484" i="6"/>
  <c r="Q483" i="6"/>
  <c r="W481" i="6"/>
  <c r="X481" i="6" s="1"/>
  <c r="Y481" i="6" s="1"/>
  <c r="AA481" i="6"/>
  <c r="F486" i="6"/>
  <c r="T485" i="6"/>
  <c r="K485" i="6"/>
  <c r="L482" i="6"/>
  <c r="AC482" i="6"/>
  <c r="AD482" i="6" s="1"/>
  <c r="J482" i="6"/>
  <c r="U482" i="6"/>
  <c r="P482" i="6"/>
  <c r="V481" i="6"/>
  <c r="Z481" i="6"/>
  <c r="H550" i="18" l="1"/>
  <c r="Q549" i="18"/>
  <c r="K477" i="18"/>
  <c r="I477" i="18" s="1"/>
  <c r="L477" i="18" s="1"/>
  <c r="F478" i="18"/>
  <c r="G478" i="18" s="1"/>
  <c r="J478" i="18" s="1"/>
  <c r="F487" i="6"/>
  <c r="T486" i="6"/>
  <c r="K486" i="6"/>
  <c r="G484" i="6"/>
  <c r="Q484" i="6"/>
  <c r="I484" i="6"/>
  <c r="H485" i="6"/>
  <c r="L483" i="6"/>
  <c r="AC483" i="6"/>
  <c r="AD483" i="6" s="1"/>
  <c r="W482" i="6"/>
  <c r="X482" i="6" s="1"/>
  <c r="Y482" i="6" s="1"/>
  <c r="AA482" i="6"/>
  <c r="V482" i="6"/>
  <c r="Z482" i="6"/>
  <c r="P483" i="6"/>
  <c r="J483" i="6"/>
  <c r="U483" i="6"/>
  <c r="H551" i="18" l="1"/>
  <c r="Q550" i="18"/>
  <c r="K478" i="18"/>
  <c r="I478" i="18" s="1"/>
  <c r="L478" i="18" s="1"/>
  <c r="F479" i="18"/>
  <c r="G479" i="18" s="1"/>
  <c r="J479" i="18" s="1"/>
  <c r="H486" i="6"/>
  <c r="I485" i="6"/>
  <c r="Q485" i="6"/>
  <c r="G485" i="6"/>
  <c r="L484" i="6"/>
  <c r="AC484" i="6"/>
  <c r="AD484" i="6" s="1"/>
  <c r="V483" i="6"/>
  <c r="Z483" i="6"/>
  <c r="W483" i="6"/>
  <c r="X483" i="6" s="1"/>
  <c r="Y483" i="6" s="1"/>
  <c r="AA483" i="6"/>
  <c r="U484" i="6"/>
  <c r="J484" i="6"/>
  <c r="P484" i="6"/>
  <c r="K487" i="6"/>
  <c r="T487" i="6"/>
  <c r="F488" i="6"/>
  <c r="H552" i="18" l="1"/>
  <c r="Q551" i="18"/>
  <c r="K479" i="18"/>
  <c r="I479" i="18" s="1"/>
  <c r="L479" i="18" s="1"/>
  <c r="F480" i="18"/>
  <c r="G480" i="18" s="1"/>
  <c r="J480" i="18" s="1"/>
  <c r="K488" i="6"/>
  <c r="T488" i="6"/>
  <c r="F489" i="6"/>
  <c r="U485" i="6"/>
  <c r="J485" i="6"/>
  <c r="P485" i="6"/>
  <c r="V484" i="6"/>
  <c r="Z484" i="6"/>
  <c r="AC485" i="6"/>
  <c r="AD485" i="6" s="1"/>
  <c r="L485" i="6"/>
  <c r="W484" i="6"/>
  <c r="X484" i="6" s="1"/>
  <c r="Y484" i="6" s="1"/>
  <c r="AA484" i="6"/>
  <c r="G486" i="6"/>
  <c r="I486" i="6"/>
  <c r="H487" i="6"/>
  <c r="Q486" i="6"/>
  <c r="H553" i="18" l="1"/>
  <c r="Q552" i="18"/>
  <c r="K480" i="18"/>
  <c r="I480" i="18" s="1"/>
  <c r="L480" i="18" s="1"/>
  <c r="F481" i="18"/>
  <c r="G481" i="18" s="1"/>
  <c r="J481" i="18" s="1"/>
  <c r="H488" i="6"/>
  <c r="I487" i="6"/>
  <c r="G487" i="6"/>
  <c r="Q487" i="6"/>
  <c r="AC486" i="6"/>
  <c r="AD486" i="6" s="1"/>
  <c r="L486" i="6"/>
  <c r="T489" i="6"/>
  <c r="K489" i="6"/>
  <c r="F490" i="6"/>
  <c r="W485" i="6"/>
  <c r="X485" i="6" s="1"/>
  <c r="Y485" i="6" s="1"/>
  <c r="AA485" i="6"/>
  <c r="J486" i="6"/>
  <c r="U486" i="6"/>
  <c r="P486" i="6"/>
  <c r="V485" i="6"/>
  <c r="Z485" i="6"/>
  <c r="Q553" i="18" l="1"/>
  <c r="K481" i="18"/>
  <c r="I481" i="18" s="1"/>
  <c r="L481" i="18" s="1"/>
  <c r="F482" i="18"/>
  <c r="G482" i="18" s="1"/>
  <c r="J482" i="18" s="1"/>
  <c r="U487" i="6"/>
  <c r="J487" i="6"/>
  <c r="P487" i="6"/>
  <c r="V486" i="6"/>
  <c r="Z486" i="6"/>
  <c r="F491" i="6"/>
  <c r="K490" i="6"/>
  <c r="T490" i="6"/>
  <c r="W486" i="6"/>
  <c r="X486" i="6" s="1"/>
  <c r="Y486" i="6" s="1"/>
  <c r="AA486" i="6"/>
  <c r="AC487" i="6"/>
  <c r="AD487" i="6" s="1"/>
  <c r="L487" i="6"/>
  <c r="G488" i="6"/>
  <c r="I488" i="6"/>
  <c r="H489" i="6"/>
  <c r="Q488" i="6"/>
  <c r="K482" i="18" l="1"/>
  <c r="I482" i="18" s="1"/>
  <c r="L482" i="18" s="1"/>
  <c r="F483" i="18"/>
  <c r="G483" i="18" s="1"/>
  <c r="J483" i="18" s="1"/>
  <c r="H490" i="6"/>
  <c r="G489" i="6"/>
  <c r="Q489" i="6"/>
  <c r="I489" i="6"/>
  <c r="AC488" i="6"/>
  <c r="AD488" i="6" s="1"/>
  <c r="L488" i="6"/>
  <c r="W488" i="6" s="1"/>
  <c r="X488" i="6" s="1"/>
  <c r="K491" i="6"/>
  <c r="T491" i="6"/>
  <c r="F492" i="6"/>
  <c r="U488" i="6"/>
  <c r="P488" i="6"/>
  <c r="J488" i="6"/>
  <c r="W487" i="6"/>
  <c r="X487" i="6" s="1"/>
  <c r="Y487" i="6" s="1"/>
  <c r="AA487" i="6"/>
  <c r="V487" i="6"/>
  <c r="Z487" i="6"/>
  <c r="K483" i="18" l="1"/>
  <c r="I483" i="18" s="1"/>
  <c r="L483" i="18" s="1"/>
  <c r="F484" i="18"/>
  <c r="G484" i="18" s="1"/>
  <c r="J484" i="18" s="1"/>
  <c r="AC489" i="6"/>
  <c r="AD489" i="6" s="1"/>
  <c r="L489" i="6"/>
  <c r="V488" i="6"/>
  <c r="Z488" i="6"/>
  <c r="Y488" i="6"/>
  <c r="P489" i="6"/>
  <c r="U489" i="6"/>
  <c r="J489" i="6"/>
  <c r="F493" i="6"/>
  <c r="T492" i="6"/>
  <c r="K492" i="6"/>
  <c r="I490" i="6"/>
  <c r="H491" i="6"/>
  <c r="G490" i="6"/>
  <c r="Q490" i="6"/>
  <c r="K484" i="18" l="1"/>
  <c r="I484" i="18" s="1"/>
  <c r="L484" i="18" s="1"/>
  <c r="F485" i="18"/>
  <c r="G485" i="18" s="1"/>
  <c r="J485" i="18" s="1"/>
  <c r="V489" i="6"/>
  <c r="Z489" i="6"/>
  <c r="Q491" i="6"/>
  <c r="H492" i="6"/>
  <c r="I491" i="6"/>
  <c r="G491" i="6"/>
  <c r="W489" i="6"/>
  <c r="X489" i="6" s="1"/>
  <c r="Y489" i="6" s="1"/>
  <c r="AA489" i="6"/>
  <c r="AA479" i="6"/>
  <c r="P490" i="6"/>
  <c r="U490" i="6"/>
  <c r="J490" i="6"/>
  <c r="AC490" i="6"/>
  <c r="AD490" i="6" s="1"/>
  <c r="L490" i="6"/>
  <c r="K493" i="6"/>
  <c r="F494" i="6"/>
  <c r="T493" i="6"/>
  <c r="K485" i="18" l="1"/>
  <c r="I485" i="18" s="1"/>
  <c r="L485" i="18" s="1"/>
  <c r="F486" i="18"/>
  <c r="G486" i="18" s="1"/>
  <c r="J486" i="18" s="1"/>
  <c r="T494" i="6"/>
  <c r="K494" i="6"/>
  <c r="F495" i="6"/>
  <c r="H493" i="6"/>
  <c r="I492" i="6"/>
  <c r="Q492" i="6"/>
  <c r="G492" i="6"/>
  <c r="V490" i="6"/>
  <c r="Z490" i="6"/>
  <c r="W490" i="6"/>
  <c r="X490" i="6" s="1"/>
  <c r="Y490" i="6" s="1"/>
  <c r="AA490" i="6"/>
  <c r="J491" i="6"/>
  <c r="U491" i="6"/>
  <c r="P491" i="6"/>
  <c r="L491" i="6"/>
  <c r="AC491" i="6"/>
  <c r="AD491" i="6" s="1"/>
  <c r="K486" i="18" l="1"/>
  <c r="I486" i="18" s="1"/>
  <c r="L486" i="18" s="1"/>
  <c r="F487" i="18"/>
  <c r="G487" i="18" s="1"/>
  <c r="J487" i="18" s="1"/>
  <c r="W491" i="6"/>
  <c r="X491" i="6" s="1"/>
  <c r="Y491" i="6" s="1"/>
  <c r="AA491" i="6"/>
  <c r="U492" i="6"/>
  <c r="J492" i="6"/>
  <c r="P492" i="6"/>
  <c r="V491" i="6"/>
  <c r="Z491" i="6"/>
  <c r="L492" i="6"/>
  <c r="AC492" i="6"/>
  <c r="AD492" i="6" s="1"/>
  <c r="F496" i="6"/>
  <c r="T495" i="6"/>
  <c r="K495" i="6"/>
  <c r="G493" i="6"/>
  <c r="I493" i="6"/>
  <c r="H494" i="6"/>
  <c r="Q493" i="6"/>
  <c r="K487" i="18" l="1"/>
  <c r="I487" i="18" s="1"/>
  <c r="L487" i="18" s="1"/>
  <c r="F488" i="18"/>
  <c r="G488" i="18" s="1"/>
  <c r="J488" i="18" s="1"/>
  <c r="Q494" i="6"/>
  <c r="G494" i="6"/>
  <c r="I494" i="6"/>
  <c r="H495" i="6"/>
  <c r="K496" i="6"/>
  <c r="F497" i="6"/>
  <c r="T496" i="6"/>
  <c r="V492" i="6"/>
  <c r="Z492" i="6"/>
  <c r="W492" i="6"/>
  <c r="X492" i="6" s="1"/>
  <c r="Y492" i="6" s="1"/>
  <c r="AA492" i="6"/>
  <c r="AC493" i="6"/>
  <c r="AD493" i="6" s="1"/>
  <c r="L493" i="6"/>
  <c r="U493" i="6"/>
  <c r="J493" i="6"/>
  <c r="P493" i="6"/>
  <c r="K488" i="18" l="1"/>
  <c r="I488" i="18" s="1"/>
  <c r="L488" i="18" s="1"/>
  <c r="F489" i="18"/>
  <c r="G489" i="18" s="1"/>
  <c r="J489" i="18" s="1"/>
  <c r="H496" i="6"/>
  <c r="G495" i="6"/>
  <c r="I495" i="6"/>
  <c r="Q495" i="6"/>
  <c r="V493" i="6"/>
  <c r="Z493" i="6"/>
  <c r="AC494" i="6"/>
  <c r="AD494" i="6" s="1"/>
  <c r="L494" i="6"/>
  <c r="F498" i="6"/>
  <c r="K497" i="6"/>
  <c r="T497" i="6"/>
  <c r="J494" i="6"/>
  <c r="U494" i="6"/>
  <c r="P494" i="6"/>
  <c r="W493" i="6"/>
  <c r="X493" i="6" s="1"/>
  <c r="Y493" i="6" s="1"/>
  <c r="AA493" i="6"/>
  <c r="K489" i="18" l="1"/>
  <c r="I489" i="18" s="1"/>
  <c r="L489" i="18" s="1"/>
  <c r="F490" i="18"/>
  <c r="G490" i="18" s="1"/>
  <c r="J490" i="18" s="1"/>
  <c r="W494" i="6"/>
  <c r="X494" i="6" s="1"/>
  <c r="Y494" i="6" s="1"/>
  <c r="AA494" i="6"/>
  <c r="AC495" i="6"/>
  <c r="AD495" i="6" s="1"/>
  <c r="L495" i="6"/>
  <c r="V494" i="6"/>
  <c r="Z494" i="6"/>
  <c r="J495" i="6"/>
  <c r="U495" i="6"/>
  <c r="P495" i="6"/>
  <c r="F499" i="6"/>
  <c r="K498" i="6"/>
  <c r="T498" i="6"/>
  <c r="I496" i="6"/>
  <c r="H497" i="6"/>
  <c r="Q496" i="6"/>
  <c r="G496" i="6"/>
  <c r="K490" i="18" l="1"/>
  <c r="I490" i="18" s="1"/>
  <c r="L490" i="18" s="1"/>
  <c r="F491" i="18"/>
  <c r="G491" i="18" s="1"/>
  <c r="J491" i="18" s="1"/>
  <c r="G497" i="6"/>
  <c r="H498" i="6"/>
  <c r="I497" i="6"/>
  <c r="Q497" i="6"/>
  <c r="V495" i="6"/>
  <c r="Z495" i="6"/>
  <c r="W495" i="6"/>
  <c r="X495" i="6" s="1"/>
  <c r="Y495" i="6" s="1"/>
  <c r="AA495" i="6"/>
  <c r="AC496" i="6"/>
  <c r="AD496" i="6" s="1"/>
  <c r="L496" i="6"/>
  <c r="K499" i="6"/>
  <c r="T499" i="6"/>
  <c r="F500" i="6"/>
  <c r="U496" i="6"/>
  <c r="P496" i="6"/>
  <c r="J496" i="6"/>
  <c r="K491" i="18" l="1"/>
  <c r="I491" i="18" s="1"/>
  <c r="L491" i="18" s="1"/>
  <c r="F492" i="18"/>
  <c r="G492" i="18" s="1"/>
  <c r="J492" i="18" s="1"/>
  <c r="L497" i="6"/>
  <c r="AC497" i="6"/>
  <c r="AD497" i="6" s="1"/>
  <c r="V496" i="6"/>
  <c r="Z496" i="6"/>
  <c r="G498" i="6"/>
  <c r="I498" i="6"/>
  <c r="Q498" i="6"/>
  <c r="H499" i="6"/>
  <c r="F501" i="6"/>
  <c r="K500" i="6"/>
  <c r="T500" i="6"/>
  <c r="W496" i="6"/>
  <c r="X496" i="6" s="1"/>
  <c r="Y496" i="6" s="1"/>
  <c r="AA496" i="6"/>
  <c r="P497" i="6"/>
  <c r="J497" i="6"/>
  <c r="U497" i="6"/>
  <c r="K492" i="18" l="1"/>
  <c r="I492" i="18" s="1"/>
  <c r="L492" i="18" s="1"/>
  <c r="F493" i="18"/>
  <c r="G493" i="18" s="1"/>
  <c r="J493" i="18" s="1"/>
  <c r="I499" i="6"/>
  <c r="Q499" i="6"/>
  <c r="G499" i="6"/>
  <c r="H500" i="6"/>
  <c r="T501" i="6"/>
  <c r="K501" i="6"/>
  <c r="F502" i="6"/>
  <c r="L498" i="6"/>
  <c r="AC498" i="6"/>
  <c r="AD498" i="6" s="1"/>
  <c r="V497" i="6"/>
  <c r="Z497" i="6"/>
  <c r="P498" i="6"/>
  <c r="J498" i="6"/>
  <c r="U498" i="6"/>
  <c r="W497" i="6"/>
  <c r="X497" i="6" s="1"/>
  <c r="Y497" i="6" s="1"/>
  <c r="AA497" i="6"/>
  <c r="K493" i="18" l="1"/>
  <c r="I493" i="18" s="1"/>
  <c r="L493" i="18" s="1"/>
  <c r="F494" i="18"/>
  <c r="G494" i="18" s="1"/>
  <c r="J494" i="18" s="1"/>
  <c r="F503" i="6"/>
  <c r="T502" i="6"/>
  <c r="K502" i="6"/>
  <c r="J499" i="6"/>
  <c r="P499" i="6"/>
  <c r="U499" i="6"/>
  <c r="G500" i="6"/>
  <c r="I500" i="6"/>
  <c r="H501" i="6"/>
  <c r="Q500" i="6"/>
  <c r="V498" i="6"/>
  <c r="Z498" i="6"/>
  <c r="W498" i="6"/>
  <c r="X498" i="6" s="1"/>
  <c r="Y498" i="6" s="1"/>
  <c r="AA498" i="6"/>
  <c r="L499" i="6"/>
  <c r="AC499" i="6"/>
  <c r="AD499" i="6" s="1"/>
  <c r="K494" i="18" l="1"/>
  <c r="I494" i="18" s="1"/>
  <c r="L494" i="18" s="1"/>
  <c r="F495" i="18"/>
  <c r="G495" i="18" s="1"/>
  <c r="J495" i="18" s="1"/>
  <c r="V499" i="6"/>
  <c r="Z499" i="6"/>
  <c r="W499" i="6"/>
  <c r="X499" i="6" s="1"/>
  <c r="Y499" i="6" s="1"/>
  <c r="AA499" i="6"/>
  <c r="H502" i="6"/>
  <c r="I501" i="6"/>
  <c r="Q501" i="6"/>
  <c r="G501" i="6"/>
  <c r="J500" i="6"/>
  <c r="P500" i="6"/>
  <c r="U500" i="6"/>
  <c r="L500" i="6"/>
  <c r="AC500" i="6"/>
  <c r="AD500" i="6" s="1"/>
  <c r="T503" i="6"/>
  <c r="K503" i="6"/>
  <c r="F504" i="6"/>
  <c r="K495" i="18" l="1"/>
  <c r="I495" i="18" s="1"/>
  <c r="L495" i="18" s="1"/>
  <c r="F496" i="18"/>
  <c r="G496" i="18" s="1"/>
  <c r="J496" i="18" s="1"/>
  <c r="V500" i="6"/>
  <c r="Z500" i="6"/>
  <c r="AC501" i="6"/>
  <c r="AD501" i="6" s="1"/>
  <c r="L501" i="6"/>
  <c r="T504" i="6"/>
  <c r="K504" i="6"/>
  <c r="F505" i="6"/>
  <c r="Q502" i="6"/>
  <c r="G502" i="6"/>
  <c r="H503" i="6"/>
  <c r="I502" i="6"/>
  <c r="W500" i="6"/>
  <c r="X500" i="6" s="1"/>
  <c r="Y500" i="6" s="1"/>
  <c r="AA500" i="6"/>
  <c r="U501" i="6"/>
  <c r="J501" i="6"/>
  <c r="P501" i="6"/>
  <c r="K496" i="18" l="1"/>
  <c r="I496" i="18" s="1"/>
  <c r="L496" i="18" s="1"/>
  <c r="F497" i="18"/>
  <c r="G497" i="18" s="1"/>
  <c r="J497" i="18" s="1"/>
  <c r="I503" i="6"/>
  <c r="G503" i="6"/>
  <c r="H504" i="6"/>
  <c r="Q503" i="6"/>
  <c r="T505" i="6"/>
  <c r="K505" i="6"/>
  <c r="F506" i="6"/>
  <c r="L502" i="6"/>
  <c r="AC502" i="6"/>
  <c r="AD502" i="6" s="1"/>
  <c r="W501" i="6"/>
  <c r="X501" i="6" s="1"/>
  <c r="Y501" i="6" s="1"/>
  <c r="AA501" i="6"/>
  <c r="V501" i="6"/>
  <c r="Z501" i="6"/>
  <c r="U502" i="6"/>
  <c r="J502" i="6"/>
  <c r="P502" i="6"/>
  <c r="K497" i="18" l="1"/>
  <c r="I497" i="18" s="1"/>
  <c r="L497" i="18" s="1"/>
  <c r="F498" i="18"/>
  <c r="G498" i="18" s="1"/>
  <c r="J498" i="18" s="1"/>
  <c r="V502" i="6"/>
  <c r="Z502" i="6"/>
  <c r="T506" i="6"/>
  <c r="K506" i="6"/>
  <c r="F507" i="6"/>
  <c r="U503" i="6"/>
  <c r="J503" i="6"/>
  <c r="P503" i="6"/>
  <c r="H505" i="6"/>
  <c r="I504" i="6"/>
  <c r="G504" i="6"/>
  <c r="Q504" i="6"/>
  <c r="W502" i="6"/>
  <c r="X502" i="6" s="1"/>
  <c r="Y502" i="6" s="1"/>
  <c r="AA502" i="6"/>
  <c r="AC503" i="6"/>
  <c r="AD503" i="6" s="1"/>
  <c r="L503" i="6"/>
  <c r="K498" i="18" l="1"/>
  <c r="I498" i="18" s="1"/>
  <c r="L498" i="18" s="1"/>
  <c r="F499" i="18"/>
  <c r="G499" i="18" s="1"/>
  <c r="J499" i="18" s="1"/>
  <c r="V503" i="6"/>
  <c r="Z503" i="6"/>
  <c r="P504" i="6"/>
  <c r="U504" i="6"/>
  <c r="J504" i="6"/>
  <c r="L504" i="6"/>
  <c r="AC504" i="6"/>
  <c r="AD504" i="6" s="1"/>
  <c r="Q505" i="6"/>
  <c r="G505" i="6"/>
  <c r="H506" i="6"/>
  <c r="I505" i="6"/>
  <c r="W503" i="6"/>
  <c r="X503" i="6" s="1"/>
  <c r="Y503" i="6" s="1"/>
  <c r="AA503" i="6"/>
  <c r="K507" i="6"/>
  <c r="F508" i="6"/>
  <c r="T507" i="6"/>
  <c r="F500" i="18" l="1"/>
  <c r="G500" i="18" s="1"/>
  <c r="J500" i="18" s="1"/>
  <c r="K499" i="18"/>
  <c r="I499" i="18" s="1"/>
  <c r="L499" i="18" s="1"/>
  <c r="V504" i="6"/>
  <c r="Z504" i="6"/>
  <c r="L505" i="6"/>
  <c r="AC505" i="6"/>
  <c r="AD505" i="6" s="1"/>
  <c r="T508" i="6"/>
  <c r="K508" i="6"/>
  <c r="F509" i="6"/>
  <c r="G506" i="6"/>
  <c r="Q506" i="6"/>
  <c r="I506" i="6"/>
  <c r="H507" i="6"/>
  <c r="W504" i="6"/>
  <c r="X504" i="6" s="1"/>
  <c r="Y504" i="6" s="1"/>
  <c r="AA504" i="6"/>
  <c r="J505" i="6"/>
  <c r="U505" i="6"/>
  <c r="P505" i="6"/>
  <c r="F501" i="18" l="1"/>
  <c r="G501" i="18" s="1"/>
  <c r="J501" i="18" s="1"/>
  <c r="K500" i="18"/>
  <c r="I500" i="18" s="1"/>
  <c r="L500" i="18" s="1"/>
  <c r="H508" i="6"/>
  <c r="Q507" i="6"/>
  <c r="G507" i="6"/>
  <c r="I507" i="6"/>
  <c r="AC506" i="6"/>
  <c r="AD506" i="6" s="1"/>
  <c r="L506" i="6"/>
  <c r="W505" i="6"/>
  <c r="X505" i="6" s="1"/>
  <c r="Y505" i="6" s="1"/>
  <c r="AA505" i="6"/>
  <c r="V505" i="6"/>
  <c r="Z505" i="6"/>
  <c r="T509" i="6"/>
  <c r="K509" i="6"/>
  <c r="F510" i="6"/>
  <c r="P506" i="6"/>
  <c r="J506" i="6"/>
  <c r="U506" i="6"/>
  <c r="K501" i="18" l="1"/>
  <c r="I501" i="18" s="1"/>
  <c r="L501" i="18" s="1"/>
  <c r="F502" i="18"/>
  <c r="G502" i="18" s="1"/>
  <c r="J502" i="18" s="1"/>
  <c r="U507" i="6"/>
  <c r="J507" i="6"/>
  <c r="P507" i="6"/>
  <c r="W506" i="6"/>
  <c r="X506" i="6" s="1"/>
  <c r="Y506" i="6" s="1"/>
  <c r="AA506" i="6"/>
  <c r="L507" i="6"/>
  <c r="AC507" i="6"/>
  <c r="AD507" i="6" s="1"/>
  <c r="V506" i="6"/>
  <c r="Z506" i="6"/>
  <c r="T510" i="6"/>
  <c r="K510" i="6"/>
  <c r="F511" i="6"/>
  <c r="H509" i="6"/>
  <c r="I508" i="6"/>
  <c r="G508" i="6"/>
  <c r="Q508" i="6"/>
  <c r="F503" i="18" l="1"/>
  <c r="G503" i="18" s="1"/>
  <c r="J503" i="18" s="1"/>
  <c r="K502" i="18"/>
  <c r="I502" i="18" s="1"/>
  <c r="L502" i="18" s="1"/>
  <c r="AC508" i="6"/>
  <c r="AD508" i="6" s="1"/>
  <c r="L508" i="6"/>
  <c r="F512" i="6"/>
  <c r="T511" i="6"/>
  <c r="K511" i="6"/>
  <c r="P508" i="6"/>
  <c r="U508" i="6"/>
  <c r="J508" i="6"/>
  <c r="G509" i="6"/>
  <c r="H510" i="6"/>
  <c r="Q509" i="6"/>
  <c r="I509" i="6"/>
  <c r="W507" i="6"/>
  <c r="X507" i="6" s="1"/>
  <c r="Y507" i="6" s="1"/>
  <c r="AA507" i="6"/>
  <c r="V507" i="6"/>
  <c r="Z507" i="6"/>
  <c r="K503" i="18" l="1"/>
  <c r="I503" i="18" s="1"/>
  <c r="L503" i="18" s="1"/>
  <c r="F504" i="18"/>
  <c r="G504" i="18" s="1"/>
  <c r="J504" i="18" s="1"/>
  <c r="V508" i="6"/>
  <c r="Z508" i="6"/>
  <c r="Q510" i="6"/>
  <c r="H511" i="6"/>
  <c r="G510" i="6"/>
  <c r="I510" i="6"/>
  <c r="F513" i="6"/>
  <c r="T512" i="6"/>
  <c r="K512" i="6"/>
  <c r="P509" i="6"/>
  <c r="J509" i="6"/>
  <c r="U509" i="6"/>
  <c r="W508" i="6"/>
  <c r="X508" i="6" s="1"/>
  <c r="Y508" i="6" s="1"/>
  <c r="AA508" i="6"/>
  <c r="L509" i="6"/>
  <c r="AC509" i="6"/>
  <c r="AD509" i="6" s="1"/>
  <c r="K504" i="18" l="1"/>
  <c r="I504" i="18" s="1"/>
  <c r="L504" i="18" s="1"/>
  <c r="F505" i="18"/>
  <c r="G505" i="18" s="1"/>
  <c r="J505" i="18" s="1"/>
  <c r="Q511" i="6"/>
  <c r="I511" i="6"/>
  <c r="G511" i="6"/>
  <c r="H512" i="6"/>
  <c r="K513" i="6"/>
  <c r="F514" i="6"/>
  <c r="T513" i="6"/>
  <c r="W509" i="6"/>
  <c r="X509" i="6" s="1"/>
  <c r="Y509" i="6" s="1"/>
  <c r="AA509" i="6"/>
  <c r="L510" i="6"/>
  <c r="AC510" i="6"/>
  <c r="AD510" i="6" s="1"/>
  <c r="V509" i="6"/>
  <c r="Z509" i="6"/>
  <c r="U510" i="6"/>
  <c r="J510" i="6"/>
  <c r="P510" i="6"/>
  <c r="K505" i="18" l="1"/>
  <c r="I505" i="18" s="1"/>
  <c r="L505" i="18" s="1"/>
  <c r="F506" i="18"/>
  <c r="G506" i="18" s="1"/>
  <c r="J506" i="18" s="1"/>
  <c r="G512" i="6"/>
  <c r="I512" i="6"/>
  <c r="H513" i="6"/>
  <c r="Q512" i="6"/>
  <c r="V510" i="6"/>
  <c r="Z510" i="6"/>
  <c r="W510" i="6"/>
  <c r="X510" i="6" s="1"/>
  <c r="Y510" i="6" s="1"/>
  <c r="AA510" i="6"/>
  <c r="U511" i="6"/>
  <c r="P511" i="6"/>
  <c r="J511" i="6"/>
  <c r="AC511" i="6"/>
  <c r="AD511" i="6" s="1"/>
  <c r="L511" i="6"/>
  <c r="K514" i="6"/>
  <c r="F515" i="6"/>
  <c r="T514" i="6"/>
  <c r="K506" i="18" l="1"/>
  <c r="I506" i="18" s="1"/>
  <c r="L506" i="18" s="1"/>
  <c r="F507" i="18"/>
  <c r="G507" i="18" s="1"/>
  <c r="J507" i="18" s="1"/>
  <c r="Q513" i="6"/>
  <c r="I513" i="6"/>
  <c r="H514" i="6"/>
  <c r="G513" i="6"/>
  <c r="K515" i="6"/>
  <c r="F516" i="6"/>
  <c r="T515" i="6"/>
  <c r="L512" i="6"/>
  <c r="AC512" i="6"/>
  <c r="AD512" i="6" s="1"/>
  <c r="W511" i="6"/>
  <c r="X511" i="6" s="1"/>
  <c r="Y511" i="6" s="1"/>
  <c r="AA511" i="6"/>
  <c r="V511" i="6"/>
  <c r="Z511" i="6"/>
  <c r="J512" i="6"/>
  <c r="U512" i="6"/>
  <c r="P512" i="6"/>
  <c r="K507" i="18" l="1"/>
  <c r="I507" i="18" s="1"/>
  <c r="L507" i="18" s="1"/>
  <c r="F508" i="18"/>
  <c r="G508" i="18" s="1"/>
  <c r="J508" i="18" s="1"/>
  <c r="U513" i="6"/>
  <c r="P513" i="6"/>
  <c r="J513" i="6"/>
  <c r="H515" i="6"/>
  <c r="G514" i="6"/>
  <c r="I514" i="6"/>
  <c r="Q514" i="6"/>
  <c r="K516" i="6"/>
  <c r="F517" i="6"/>
  <c r="T516" i="6"/>
  <c r="AC513" i="6"/>
  <c r="AD513" i="6" s="1"/>
  <c r="L513" i="6"/>
  <c r="V512" i="6"/>
  <c r="Z512" i="6"/>
  <c r="W512" i="6"/>
  <c r="X512" i="6" s="1"/>
  <c r="Y512" i="6" s="1"/>
  <c r="AA512" i="6"/>
  <c r="K508" i="18" l="1"/>
  <c r="I508" i="18" s="1"/>
  <c r="L508" i="18" s="1"/>
  <c r="F509" i="18"/>
  <c r="G509" i="18" s="1"/>
  <c r="J509" i="18" s="1"/>
  <c r="I515" i="6"/>
  <c r="G515" i="6"/>
  <c r="Q515" i="6"/>
  <c r="H516" i="6"/>
  <c r="K517" i="6"/>
  <c r="F518" i="6"/>
  <c r="T517" i="6"/>
  <c r="AC514" i="6"/>
  <c r="AD514" i="6" s="1"/>
  <c r="L514" i="6"/>
  <c r="W513" i="6"/>
  <c r="X513" i="6" s="1"/>
  <c r="Y513" i="6" s="1"/>
  <c r="AA513" i="6"/>
  <c r="U514" i="6"/>
  <c r="P514" i="6"/>
  <c r="J514" i="6"/>
  <c r="V513" i="6"/>
  <c r="Z513" i="6"/>
  <c r="F510" i="18" l="1"/>
  <c r="G510" i="18" s="1"/>
  <c r="J510" i="18" s="1"/>
  <c r="K509" i="18"/>
  <c r="I509" i="18" s="1"/>
  <c r="L509" i="18" s="1"/>
  <c r="Q516" i="6"/>
  <c r="H517" i="6"/>
  <c r="G516" i="6"/>
  <c r="I516" i="6"/>
  <c r="K518" i="6"/>
  <c r="T518" i="6"/>
  <c r="F519" i="6"/>
  <c r="P515" i="6"/>
  <c r="U515" i="6"/>
  <c r="J515" i="6"/>
  <c r="W514" i="6"/>
  <c r="X514" i="6" s="1"/>
  <c r="Y514" i="6" s="1"/>
  <c r="AA514" i="6"/>
  <c r="V514" i="6"/>
  <c r="Z514" i="6"/>
  <c r="AC515" i="6"/>
  <c r="AD515" i="6" s="1"/>
  <c r="L515" i="6"/>
  <c r="K510" i="18" l="1"/>
  <c r="I510" i="18" s="1"/>
  <c r="L510" i="18" s="1"/>
  <c r="F511" i="18"/>
  <c r="G511" i="18" s="1"/>
  <c r="J511" i="18" s="1"/>
  <c r="K519" i="6"/>
  <c r="F520" i="6"/>
  <c r="T519" i="6"/>
  <c r="L516" i="6"/>
  <c r="AC516" i="6"/>
  <c r="AD516" i="6" s="1"/>
  <c r="U516" i="6"/>
  <c r="J516" i="6"/>
  <c r="P516" i="6"/>
  <c r="W515" i="6"/>
  <c r="X515" i="6" s="1"/>
  <c r="Y515" i="6" s="1"/>
  <c r="AA515" i="6"/>
  <c r="V515" i="6"/>
  <c r="Z515" i="6"/>
  <c r="Q517" i="6"/>
  <c r="H518" i="6"/>
  <c r="I517" i="6"/>
  <c r="G517" i="6"/>
  <c r="K511" i="18" l="1"/>
  <c r="I511" i="18" s="1"/>
  <c r="L511" i="18" s="1"/>
  <c r="F512" i="18"/>
  <c r="G512" i="18" s="1"/>
  <c r="J512" i="18" s="1"/>
  <c r="V516" i="6"/>
  <c r="Z516" i="6"/>
  <c r="L517" i="6"/>
  <c r="AC517" i="6"/>
  <c r="AD517" i="6" s="1"/>
  <c r="K520" i="6"/>
  <c r="T520" i="6"/>
  <c r="F521" i="6"/>
  <c r="Q518" i="6"/>
  <c r="I518" i="6"/>
  <c r="G518" i="6"/>
  <c r="H519" i="6"/>
  <c r="P517" i="6"/>
  <c r="U517" i="6"/>
  <c r="J517" i="6"/>
  <c r="W516" i="6"/>
  <c r="X516" i="6" s="1"/>
  <c r="Y516" i="6" s="1"/>
  <c r="AA516" i="6"/>
  <c r="K512" i="18" l="1"/>
  <c r="I512" i="18" s="1"/>
  <c r="L512" i="18" s="1"/>
  <c r="F513" i="18"/>
  <c r="G513" i="18" s="1"/>
  <c r="J513" i="18" s="1"/>
  <c r="Q519" i="6"/>
  <c r="I519" i="6"/>
  <c r="G519" i="6"/>
  <c r="H520" i="6"/>
  <c r="J518" i="6"/>
  <c r="P518" i="6"/>
  <c r="U518" i="6"/>
  <c r="K521" i="6"/>
  <c r="F522" i="6"/>
  <c r="T521" i="6"/>
  <c r="W517" i="6"/>
  <c r="X517" i="6" s="1"/>
  <c r="Y517" i="6" s="1"/>
  <c r="AA517" i="6"/>
  <c r="V517" i="6"/>
  <c r="Z517" i="6"/>
  <c r="L518" i="6"/>
  <c r="AC518" i="6"/>
  <c r="AD518" i="6" s="1"/>
  <c r="K513" i="18" l="1"/>
  <c r="I513" i="18" s="1"/>
  <c r="L513" i="18" s="1"/>
  <c r="F514" i="18"/>
  <c r="G514" i="18" s="1"/>
  <c r="J514" i="18" s="1"/>
  <c r="W518" i="6"/>
  <c r="X518" i="6" s="1"/>
  <c r="Y518" i="6" s="1"/>
  <c r="AA518" i="6"/>
  <c r="G520" i="6"/>
  <c r="Q520" i="6"/>
  <c r="H521" i="6"/>
  <c r="I520" i="6"/>
  <c r="V518" i="6"/>
  <c r="Z518" i="6"/>
  <c r="P519" i="6"/>
  <c r="J519" i="6"/>
  <c r="U519" i="6"/>
  <c r="K522" i="6"/>
  <c r="F523" i="6"/>
  <c r="T522" i="6"/>
  <c r="L519" i="6"/>
  <c r="AC519" i="6"/>
  <c r="AD519" i="6" s="1"/>
  <c r="K514" i="18" l="1"/>
  <c r="I514" i="18" s="1"/>
  <c r="L514" i="18" s="1"/>
  <c r="F515" i="18"/>
  <c r="G515" i="18" s="1"/>
  <c r="J515" i="18" s="1"/>
  <c r="V519" i="6"/>
  <c r="Z519" i="6"/>
  <c r="J520" i="6"/>
  <c r="U520" i="6"/>
  <c r="P520" i="6"/>
  <c r="W519" i="6"/>
  <c r="X519" i="6" s="1"/>
  <c r="Y519" i="6" s="1"/>
  <c r="AA519" i="6"/>
  <c r="AC520" i="6"/>
  <c r="AD520" i="6" s="1"/>
  <c r="L520" i="6"/>
  <c r="F524" i="6"/>
  <c r="T523" i="6"/>
  <c r="K523" i="6"/>
  <c r="I521" i="6"/>
  <c r="G521" i="6"/>
  <c r="Q521" i="6"/>
  <c r="H522" i="6"/>
  <c r="K515" i="18" l="1"/>
  <c r="I515" i="18" s="1"/>
  <c r="L515" i="18" s="1"/>
  <c r="F516" i="18"/>
  <c r="G516" i="18" s="1"/>
  <c r="J516" i="18" s="1"/>
  <c r="V520" i="6"/>
  <c r="Z520" i="6"/>
  <c r="L521" i="6"/>
  <c r="AC521" i="6"/>
  <c r="AD521" i="6" s="1"/>
  <c r="K524" i="6"/>
  <c r="F525" i="6"/>
  <c r="T524" i="6"/>
  <c r="J521" i="6"/>
  <c r="P521" i="6"/>
  <c r="U521" i="6"/>
  <c r="G522" i="6"/>
  <c r="I522" i="6"/>
  <c r="Q522" i="6"/>
  <c r="H523" i="6"/>
  <c r="W520" i="6"/>
  <c r="X520" i="6" s="1"/>
  <c r="Y520" i="6" s="1"/>
  <c r="AA520" i="6"/>
  <c r="K516" i="18" l="1"/>
  <c r="I516" i="18" s="1"/>
  <c r="L516" i="18" s="1"/>
  <c r="F517" i="18"/>
  <c r="G517" i="18" s="1"/>
  <c r="J517" i="18" s="1"/>
  <c r="U522" i="6"/>
  <c r="P522" i="6"/>
  <c r="J522" i="6"/>
  <c r="T525" i="6"/>
  <c r="F526" i="6"/>
  <c r="K525" i="6"/>
  <c r="W521" i="6"/>
  <c r="X521" i="6" s="1"/>
  <c r="Y521" i="6" s="1"/>
  <c r="AA521" i="6"/>
  <c r="Q523" i="6"/>
  <c r="H524" i="6"/>
  <c r="I523" i="6"/>
  <c r="G523" i="6"/>
  <c r="V521" i="6"/>
  <c r="Z521" i="6"/>
  <c r="AC522" i="6"/>
  <c r="AD522" i="6" s="1"/>
  <c r="L522" i="6"/>
  <c r="K517" i="18" l="1"/>
  <c r="I517" i="18" s="1"/>
  <c r="L517" i="18" s="1"/>
  <c r="F518" i="18"/>
  <c r="G518" i="18" s="1"/>
  <c r="J518" i="18" s="1"/>
  <c r="W522" i="6"/>
  <c r="X522" i="6" s="1"/>
  <c r="Y522" i="6" s="1"/>
  <c r="AA522" i="6"/>
  <c r="U523" i="6"/>
  <c r="P523" i="6"/>
  <c r="J523" i="6"/>
  <c r="AC523" i="6"/>
  <c r="AD523" i="6" s="1"/>
  <c r="L523" i="6"/>
  <c r="G524" i="6"/>
  <c r="Q524" i="6"/>
  <c r="I524" i="6"/>
  <c r="H525" i="6"/>
  <c r="T526" i="6"/>
  <c r="F527" i="6"/>
  <c r="K526" i="6"/>
  <c r="V522" i="6"/>
  <c r="Z522" i="6"/>
  <c r="K518" i="18" l="1"/>
  <c r="I518" i="18" s="1"/>
  <c r="L518" i="18" s="1"/>
  <c r="F519" i="18"/>
  <c r="G519" i="18" s="1"/>
  <c r="J519" i="18" s="1"/>
  <c r="J524" i="6"/>
  <c r="P524" i="6"/>
  <c r="U524" i="6"/>
  <c r="G525" i="6"/>
  <c r="Q525" i="6"/>
  <c r="I525" i="6"/>
  <c r="H526" i="6"/>
  <c r="W523" i="6"/>
  <c r="X523" i="6" s="1"/>
  <c r="Y523" i="6" s="1"/>
  <c r="AA523" i="6"/>
  <c r="V523" i="6"/>
  <c r="Z523" i="6"/>
  <c r="K527" i="6"/>
  <c r="T527" i="6"/>
  <c r="F528" i="6"/>
  <c r="AC524" i="6"/>
  <c r="AD524" i="6" s="1"/>
  <c r="L524" i="6"/>
  <c r="K519" i="18" l="1"/>
  <c r="I519" i="18" s="1"/>
  <c r="L519" i="18" s="1"/>
  <c r="F520" i="18"/>
  <c r="G520" i="18" s="1"/>
  <c r="J520" i="18" s="1"/>
  <c r="U525" i="6"/>
  <c r="J525" i="6"/>
  <c r="P525" i="6"/>
  <c r="I526" i="6"/>
  <c r="Q526" i="6"/>
  <c r="H527" i="6"/>
  <c r="G526" i="6"/>
  <c r="V524" i="6"/>
  <c r="Z524" i="6"/>
  <c r="W524" i="6"/>
  <c r="X524" i="6" s="1"/>
  <c r="Y524" i="6" s="1"/>
  <c r="AA524" i="6"/>
  <c r="T528" i="6"/>
  <c r="F529" i="6"/>
  <c r="K528" i="6"/>
  <c r="AC525" i="6"/>
  <c r="AD525" i="6" s="1"/>
  <c r="L525" i="6"/>
  <c r="K520" i="18" l="1"/>
  <c r="I520" i="18" s="1"/>
  <c r="L520" i="18" s="1"/>
  <c r="F521" i="18"/>
  <c r="G521" i="18" s="1"/>
  <c r="J521" i="18" s="1"/>
  <c r="AC526" i="6"/>
  <c r="AD526" i="6" s="1"/>
  <c r="L526" i="6"/>
  <c r="U526" i="6"/>
  <c r="P526" i="6"/>
  <c r="J526" i="6"/>
  <c r="G527" i="6"/>
  <c r="Q527" i="6"/>
  <c r="I527" i="6"/>
  <c r="H528" i="6"/>
  <c r="W525" i="6"/>
  <c r="X525" i="6" s="1"/>
  <c r="Y525" i="6" s="1"/>
  <c r="AA525" i="6"/>
  <c r="T529" i="6"/>
  <c r="F530" i="6"/>
  <c r="K529" i="6"/>
  <c r="V525" i="6"/>
  <c r="Z525" i="6"/>
  <c r="F522" i="18" l="1"/>
  <c r="G522" i="18" s="1"/>
  <c r="J522" i="18" s="1"/>
  <c r="K521" i="18"/>
  <c r="I521" i="18" s="1"/>
  <c r="L521" i="18" s="1"/>
  <c r="AC527" i="6"/>
  <c r="AD527" i="6" s="1"/>
  <c r="L527" i="6"/>
  <c r="V526" i="6"/>
  <c r="Z526" i="6"/>
  <c r="F531" i="6"/>
  <c r="T530" i="6"/>
  <c r="K530" i="6"/>
  <c r="U527" i="6"/>
  <c r="J527" i="6"/>
  <c r="P527" i="6"/>
  <c r="W526" i="6"/>
  <c r="X526" i="6" s="1"/>
  <c r="Y526" i="6" s="1"/>
  <c r="AA526" i="6"/>
  <c r="H529" i="6"/>
  <c r="G528" i="6"/>
  <c r="Q528" i="6"/>
  <c r="I528" i="6"/>
  <c r="K522" i="18" l="1"/>
  <c r="I522" i="18" s="1"/>
  <c r="L522" i="18" s="1"/>
  <c r="F523" i="18"/>
  <c r="G523" i="18" s="1"/>
  <c r="J523" i="18" s="1"/>
  <c r="AC528" i="6"/>
  <c r="AD528" i="6" s="1"/>
  <c r="L528" i="6"/>
  <c r="J528" i="6"/>
  <c r="P528" i="6"/>
  <c r="U528" i="6"/>
  <c r="H530" i="6"/>
  <c r="I529" i="6"/>
  <c r="Q529" i="6"/>
  <c r="G529" i="6"/>
  <c r="W527" i="6"/>
  <c r="X527" i="6" s="1"/>
  <c r="Y527" i="6" s="1"/>
  <c r="AA527" i="6"/>
  <c r="V527" i="6"/>
  <c r="Z527" i="6"/>
  <c r="F532" i="6"/>
  <c r="T531" i="6"/>
  <c r="K531" i="6"/>
  <c r="K523" i="18" l="1"/>
  <c r="I523" i="18" s="1"/>
  <c r="L523" i="18" s="1"/>
  <c r="F524" i="18"/>
  <c r="G524" i="18" s="1"/>
  <c r="J524" i="18" s="1"/>
  <c r="L529" i="6"/>
  <c r="AC529" i="6"/>
  <c r="AD529" i="6" s="1"/>
  <c r="F533" i="6"/>
  <c r="K532" i="6"/>
  <c r="T532" i="6"/>
  <c r="W528" i="6"/>
  <c r="X528" i="6" s="1"/>
  <c r="Y528" i="6" s="1"/>
  <c r="AA528" i="6"/>
  <c r="H531" i="6"/>
  <c r="Q530" i="6"/>
  <c r="G530" i="6"/>
  <c r="I530" i="6"/>
  <c r="J529" i="6"/>
  <c r="U529" i="6"/>
  <c r="P529" i="6"/>
  <c r="V528" i="6"/>
  <c r="Z528" i="6"/>
  <c r="K524" i="18" l="1"/>
  <c r="I524" i="18" s="1"/>
  <c r="L524" i="18" s="1"/>
  <c r="F525" i="18"/>
  <c r="G525" i="18" s="1"/>
  <c r="J525" i="18" s="1"/>
  <c r="K533" i="6"/>
  <c r="T533" i="6"/>
  <c r="F534" i="6"/>
  <c r="L530" i="6"/>
  <c r="AC530" i="6"/>
  <c r="AD530" i="6" s="1"/>
  <c r="J530" i="6"/>
  <c r="U530" i="6"/>
  <c r="P530" i="6"/>
  <c r="V529" i="6"/>
  <c r="Z529" i="6"/>
  <c r="I531" i="6"/>
  <c r="G531" i="6"/>
  <c r="H532" i="6"/>
  <c r="Q531" i="6"/>
  <c r="W529" i="6"/>
  <c r="X529" i="6" s="1"/>
  <c r="Y529" i="6" s="1"/>
  <c r="AA529" i="6"/>
  <c r="K525" i="18" l="1"/>
  <c r="I525" i="18" s="1"/>
  <c r="L525" i="18" s="1"/>
  <c r="F526" i="18"/>
  <c r="G526" i="18" s="1"/>
  <c r="J526" i="18" s="1"/>
  <c r="F535" i="6"/>
  <c r="T534" i="6"/>
  <c r="K534" i="6"/>
  <c r="L531" i="6"/>
  <c r="AC531" i="6"/>
  <c r="AD531" i="6" s="1"/>
  <c r="V530" i="6"/>
  <c r="Z530" i="6"/>
  <c r="Q532" i="6"/>
  <c r="I532" i="6"/>
  <c r="H533" i="6"/>
  <c r="G532" i="6"/>
  <c r="U531" i="6"/>
  <c r="P531" i="6"/>
  <c r="J531" i="6"/>
  <c r="W530" i="6"/>
  <c r="X530" i="6" s="1"/>
  <c r="Y530" i="6" s="1"/>
  <c r="AA530" i="6"/>
  <c r="F527" i="18" l="1"/>
  <c r="G527" i="18" s="1"/>
  <c r="J527" i="18" s="1"/>
  <c r="K526" i="18"/>
  <c r="I526" i="18" s="1"/>
  <c r="L526" i="18" s="1"/>
  <c r="J532" i="6"/>
  <c r="P532" i="6"/>
  <c r="U532" i="6"/>
  <c r="I533" i="6"/>
  <c r="Q533" i="6"/>
  <c r="G533" i="6"/>
  <c r="H534" i="6"/>
  <c r="L532" i="6"/>
  <c r="AC532" i="6"/>
  <c r="AD532" i="6" s="1"/>
  <c r="V531" i="6"/>
  <c r="Z531" i="6"/>
  <c r="W531" i="6"/>
  <c r="X531" i="6" s="1"/>
  <c r="Y531" i="6" s="1"/>
  <c r="AA531" i="6"/>
  <c r="K535" i="6"/>
  <c r="F536" i="6"/>
  <c r="T535" i="6"/>
  <c r="F528" i="18" l="1"/>
  <c r="G528" i="18" s="1"/>
  <c r="J528" i="18" s="1"/>
  <c r="K527" i="18"/>
  <c r="I527" i="18" s="1"/>
  <c r="L527" i="18" s="1"/>
  <c r="W532" i="6"/>
  <c r="X532" i="6" s="1"/>
  <c r="Y532" i="6" s="1"/>
  <c r="AA532" i="6"/>
  <c r="L533" i="6"/>
  <c r="AC533" i="6"/>
  <c r="AD533" i="6" s="1"/>
  <c r="H535" i="6"/>
  <c r="I534" i="6"/>
  <c r="Q534" i="6"/>
  <c r="G534" i="6"/>
  <c r="V532" i="6"/>
  <c r="Z532" i="6"/>
  <c r="F537" i="6"/>
  <c r="K536" i="6"/>
  <c r="T536" i="6"/>
  <c r="P533" i="6"/>
  <c r="U533" i="6"/>
  <c r="J533" i="6"/>
  <c r="F529" i="18" l="1"/>
  <c r="K528" i="18"/>
  <c r="I528" i="18" s="1"/>
  <c r="L528" i="18" s="1"/>
  <c r="V533" i="6"/>
  <c r="Z533" i="6"/>
  <c r="T537" i="6"/>
  <c r="K537" i="6"/>
  <c r="F538" i="6"/>
  <c r="P534" i="6"/>
  <c r="U534" i="6"/>
  <c r="J534" i="6"/>
  <c r="W533" i="6"/>
  <c r="X533" i="6" s="1"/>
  <c r="Y533" i="6" s="1"/>
  <c r="AA533" i="6"/>
  <c r="AC534" i="6"/>
  <c r="AD534" i="6" s="1"/>
  <c r="L534" i="6"/>
  <c r="Q535" i="6"/>
  <c r="H536" i="6"/>
  <c r="G535" i="6"/>
  <c r="I535" i="6"/>
  <c r="O75" i="18"/>
  <c r="P56" i="18"/>
  <c r="G529" i="18" l="1"/>
  <c r="J529" i="18" s="1"/>
  <c r="K529" i="18"/>
  <c r="I529" i="18" s="1"/>
  <c r="L529" i="18" s="1"/>
  <c r="F530" i="18"/>
  <c r="G530" i="18" s="1"/>
  <c r="J530" i="18" s="1"/>
  <c r="V534" i="6"/>
  <c r="Z534" i="6"/>
  <c r="G536" i="6"/>
  <c r="I536" i="6"/>
  <c r="H537" i="6"/>
  <c r="Q536" i="6"/>
  <c r="P535" i="6"/>
  <c r="U535" i="6"/>
  <c r="J535" i="6"/>
  <c r="L535" i="6"/>
  <c r="AC535" i="6"/>
  <c r="AD535" i="6" s="1"/>
  <c r="W534" i="6"/>
  <c r="X534" i="6" s="1"/>
  <c r="Y534" i="6" s="1"/>
  <c r="AA534" i="6"/>
  <c r="T538" i="6"/>
  <c r="F539" i="6"/>
  <c r="K538" i="6"/>
  <c r="K530" i="18" l="1"/>
  <c r="I530" i="18" s="1"/>
  <c r="L530" i="18" s="1"/>
  <c r="F531" i="18"/>
  <c r="V535" i="6"/>
  <c r="Z535" i="6"/>
  <c r="AC536" i="6"/>
  <c r="AD536" i="6" s="1"/>
  <c r="L536" i="6"/>
  <c r="J536" i="6"/>
  <c r="U536" i="6"/>
  <c r="P536" i="6"/>
  <c r="T539" i="6"/>
  <c r="F540" i="6"/>
  <c r="K539" i="6"/>
  <c r="W535" i="6"/>
  <c r="X535" i="6" s="1"/>
  <c r="Y535" i="6" s="1"/>
  <c r="AA535" i="6"/>
  <c r="H538" i="6"/>
  <c r="G537" i="6"/>
  <c r="Q537" i="6"/>
  <c r="I537" i="6"/>
  <c r="F532" i="18" l="1"/>
  <c r="F533" i="18" s="1"/>
  <c r="K531" i="18"/>
  <c r="I531" i="18" s="1"/>
  <c r="L531" i="18" s="1"/>
  <c r="G531" i="18"/>
  <c r="J531" i="18" s="1"/>
  <c r="W536" i="6"/>
  <c r="X536" i="6" s="1"/>
  <c r="Y536" i="6" s="1"/>
  <c r="AA536" i="6"/>
  <c r="U537" i="6"/>
  <c r="J537" i="6"/>
  <c r="P537" i="6"/>
  <c r="L537" i="6"/>
  <c r="AC537" i="6"/>
  <c r="AD537" i="6" s="1"/>
  <c r="G538" i="6"/>
  <c r="Q538" i="6"/>
  <c r="I538" i="6"/>
  <c r="H539" i="6"/>
  <c r="V536" i="6"/>
  <c r="Z536" i="6"/>
  <c r="T540" i="6"/>
  <c r="K540" i="6"/>
  <c r="F541" i="6"/>
  <c r="M56" i="18"/>
  <c r="M75" i="18"/>
  <c r="N533" i="18"/>
  <c r="M533" i="18"/>
  <c r="G532" i="18" l="1"/>
  <c r="J532" i="18" s="1"/>
  <c r="K532" i="18"/>
  <c r="I532" i="18" s="1"/>
  <c r="F534" i="18"/>
  <c r="Z533" i="18"/>
  <c r="K533" i="18"/>
  <c r="I533" i="18" s="1"/>
  <c r="AC533" i="18" s="1"/>
  <c r="AD533" i="18" s="1"/>
  <c r="G533" i="18"/>
  <c r="J533" i="18" s="1"/>
  <c r="L538" i="6"/>
  <c r="AC538" i="6"/>
  <c r="AD538" i="6" s="1"/>
  <c r="P538" i="6"/>
  <c r="U538" i="6"/>
  <c r="J538" i="6"/>
  <c r="Q539" i="6"/>
  <c r="I539" i="6"/>
  <c r="G539" i="6"/>
  <c r="H540" i="6"/>
  <c r="V537" i="6"/>
  <c r="Z537" i="6"/>
  <c r="W537" i="6"/>
  <c r="X537" i="6" s="1"/>
  <c r="Y537" i="6" s="1"/>
  <c r="AA537" i="6"/>
  <c r="K541" i="6"/>
  <c r="T541" i="6"/>
  <c r="F542" i="6"/>
  <c r="L533" i="18" l="1"/>
  <c r="F535" i="18"/>
  <c r="Z534" i="18"/>
  <c r="K534" i="18"/>
  <c r="I534" i="18" s="1"/>
  <c r="G534" i="18"/>
  <c r="J534" i="18" s="1"/>
  <c r="L532" i="18"/>
  <c r="U539" i="6"/>
  <c r="J539" i="6"/>
  <c r="P539" i="6"/>
  <c r="V538" i="6"/>
  <c r="Z538" i="6"/>
  <c r="AC539" i="6"/>
  <c r="AD539" i="6" s="1"/>
  <c r="L539" i="6"/>
  <c r="F543" i="6"/>
  <c r="K542" i="6"/>
  <c r="T542" i="6"/>
  <c r="I540" i="6"/>
  <c r="G540" i="6"/>
  <c r="H541" i="6"/>
  <c r="Q540" i="6"/>
  <c r="W538" i="6"/>
  <c r="X538" i="6" s="1"/>
  <c r="Y538" i="6" s="1"/>
  <c r="AA538" i="6"/>
  <c r="AC534" i="18" l="1"/>
  <c r="AD534" i="18" s="1"/>
  <c r="L534" i="18"/>
  <c r="F536" i="18"/>
  <c r="K535" i="18"/>
  <c r="I535" i="18" s="1"/>
  <c r="Z535" i="18"/>
  <c r="G535" i="18"/>
  <c r="J535" i="18" s="1"/>
  <c r="F544" i="6"/>
  <c r="T543" i="6"/>
  <c r="K543" i="6"/>
  <c r="W539" i="6"/>
  <c r="X539" i="6" s="1"/>
  <c r="Y539" i="6" s="1"/>
  <c r="AA539" i="6"/>
  <c r="L540" i="6"/>
  <c r="AC540" i="6"/>
  <c r="AD540" i="6" s="1"/>
  <c r="I541" i="6"/>
  <c r="G541" i="6"/>
  <c r="H542" i="6"/>
  <c r="Q541" i="6"/>
  <c r="P540" i="6"/>
  <c r="J540" i="6"/>
  <c r="U540" i="6"/>
  <c r="V539" i="6"/>
  <c r="Z539" i="6"/>
  <c r="F537" i="18" l="1"/>
  <c r="K536" i="18"/>
  <c r="I536" i="18" s="1"/>
  <c r="Z536" i="18"/>
  <c r="G536" i="18"/>
  <c r="J536" i="18" s="1"/>
  <c r="L535" i="18"/>
  <c r="AC535" i="18"/>
  <c r="AD535" i="18" s="1"/>
  <c r="G542" i="6"/>
  <c r="Q542" i="6"/>
  <c r="I542" i="6"/>
  <c r="H543" i="6"/>
  <c r="W540" i="6"/>
  <c r="X540" i="6" s="1"/>
  <c r="Y540" i="6" s="1"/>
  <c r="AA540" i="6"/>
  <c r="V540" i="6"/>
  <c r="Z540" i="6"/>
  <c r="U541" i="6"/>
  <c r="P541" i="6"/>
  <c r="J541" i="6"/>
  <c r="L541" i="6"/>
  <c r="W541" i="6" s="1"/>
  <c r="X541" i="6" s="1"/>
  <c r="Y541" i="6" s="1"/>
  <c r="AC541" i="6"/>
  <c r="AD541" i="6" s="1"/>
  <c r="F545" i="6"/>
  <c r="T544" i="6"/>
  <c r="K544" i="6"/>
  <c r="L536" i="18" l="1"/>
  <c r="AC536" i="18"/>
  <c r="AD536" i="18" s="1"/>
  <c r="F538" i="18"/>
  <c r="Z537" i="18"/>
  <c r="K537" i="18"/>
  <c r="I537" i="18" s="1"/>
  <c r="G537" i="18"/>
  <c r="J537" i="18" s="1"/>
  <c r="G543" i="6"/>
  <c r="H544" i="6"/>
  <c r="Q543" i="6"/>
  <c r="I543" i="6"/>
  <c r="L542" i="6"/>
  <c r="AC542" i="6"/>
  <c r="AD542" i="6" s="1"/>
  <c r="T545" i="6"/>
  <c r="K545" i="6"/>
  <c r="F546" i="6"/>
  <c r="V541" i="6"/>
  <c r="Z541" i="6"/>
  <c r="J542" i="6"/>
  <c r="P542" i="6"/>
  <c r="U542" i="6"/>
  <c r="F539" i="18" l="1"/>
  <c r="Z538" i="18"/>
  <c r="K538" i="18"/>
  <c r="I538" i="18" s="1"/>
  <c r="G538" i="18"/>
  <c r="J538" i="18" s="1"/>
  <c r="L537" i="18"/>
  <c r="AC537" i="18"/>
  <c r="AD537" i="18" s="1"/>
  <c r="V542" i="6"/>
  <c r="Z542" i="6"/>
  <c r="AC543" i="6"/>
  <c r="AD543" i="6" s="1"/>
  <c r="L543" i="6"/>
  <c r="G544" i="6"/>
  <c r="Q544" i="6"/>
  <c r="I544" i="6"/>
  <c r="H545" i="6"/>
  <c r="K546" i="6"/>
  <c r="F547" i="6"/>
  <c r="T546" i="6"/>
  <c r="W542" i="6"/>
  <c r="X542" i="6" s="1"/>
  <c r="Y542" i="6" s="1"/>
  <c r="AA542" i="6"/>
  <c r="U543" i="6"/>
  <c r="J543" i="6"/>
  <c r="P543" i="6"/>
  <c r="AC538" i="18" l="1"/>
  <c r="AD538" i="18" s="1"/>
  <c r="L538" i="18"/>
  <c r="F540" i="18"/>
  <c r="Z539" i="18"/>
  <c r="K539" i="18"/>
  <c r="I539" i="18" s="1"/>
  <c r="G539" i="18"/>
  <c r="J539" i="18" s="1"/>
  <c r="Q545" i="6"/>
  <c r="I545" i="6"/>
  <c r="G545" i="6"/>
  <c r="H546" i="6"/>
  <c r="W543" i="6"/>
  <c r="X543" i="6" s="1"/>
  <c r="Y543" i="6" s="1"/>
  <c r="AA543" i="6"/>
  <c r="V543" i="6"/>
  <c r="Z543" i="6"/>
  <c r="AC544" i="6"/>
  <c r="AD544" i="6" s="1"/>
  <c r="L544" i="6"/>
  <c r="T547" i="6"/>
  <c r="K547" i="6"/>
  <c r="F548" i="6"/>
  <c r="J544" i="6"/>
  <c r="U544" i="6"/>
  <c r="P544" i="6"/>
  <c r="F541" i="18" l="1"/>
  <c r="K540" i="18"/>
  <c r="I540" i="18" s="1"/>
  <c r="L540" i="18" s="1"/>
  <c r="G540" i="18"/>
  <c r="J540" i="18" s="1"/>
  <c r="AC539" i="18"/>
  <c r="AD539" i="18" s="1"/>
  <c r="L539" i="18"/>
  <c r="H547" i="6"/>
  <c r="I546" i="6"/>
  <c r="Q546" i="6"/>
  <c r="G546" i="6"/>
  <c r="V544" i="6"/>
  <c r="Z544" i="6"/>
  <c r="J545" i="6"/>
  <c r="P545" i="6"/>
  <c r="U545" i="6"/>
  <c r="AC545" i="6"/>
  <c r="AD545" i="6" s="1"/>
  <c r="L545" i="6"/>
  <c r="W544" i="6"/>
  <c r="X544" i="6" s="1"/>
  <c r="Y544" i="6" s="1"/>
  <c r="AA544" i="6"/>
  <c r="K548" i="6"/>
  <c r="T548" i="6"/>
  <c r="F549" i="6"/>
  <c r="F542" i="18" l="1"/>
  <c r="K541" i="18"/>
  <c r="I541" i="18" s="1"/>
  <c r="L541" i="18" s="1"/>
  <c r="G541" i="18"/>
  <c r="J541" i="18" s="1"/>
  <c r="P546" i="6"/>
  <c r="J546" i="6"/>
  <c r="U546" i="6"/>
  <c r="W545" i="6"/>
  <c r="X545" i="6" s="1"/>
  <c r="Y545" i="6" s="1"/>
  <c r="AA545" i="6"/>
  <c r="F550" i="6"/>
  <c r="T549" i="6"/>
  <c r="K549" i="6"/>
  <c r="AC546" i="6"/>
  <c r="AD546" i="6" s="1"/>
  <c r="L546" i="6"/>
  <c r="V545" i="6"/>
  <c r="Z545" i="6"/>
  <c r="Q547" i="6"/>
  <c r="G547" i="6"/>
  <c r="I547" i="6"/>
  <c r="H548" i="6"/>
  <c r="F543" i="18" l="1"/>
  <c r="K542" i="18"/>
  <c r="I542" i="18" s="1"/>
  <c r="L542" i="18" s="1"/>
  <c r="G542" i="18"/>
  <c r="J542" i="18" s="1"/>
  <c r="H549" i="6"/>
  <c r="Q548" i="6"/>
  <c r="I548" i="6"/>
  <c r="G548" i="6"/>
  <c r="L547" i="6"/>
  <c r="AC547" i="6"/>
  <c r="AD547" i="6" s="1"/>
  <c r="J547" i="6"/>
  <c r="P547" i="6"/>
  <c r="U547" i="6"/>
  <c r="W546" i="6"/>
  <c r="X546" i="6" s="1"/>
  <c r="Y546" i="6" s="1"/>
  <c r="AA546" i="6"/>
  <c r="V546" i="6"/>
  <c r="Z546" i="6"/>
  <c r="T550" i="6"/>
  <c r="F551" i="6"/>
  <c r="K550" i="6"/>
  <c r="F544" i="18" l="1"/>
  <c r="K543" i="18"/>
  <c r="I543" i="18" s="1"/>
  <c r="L543" i="18" s="1"/>
  <c r="G543" i="18"/>
  <c r="J543" i="18" s="1"/>
  <c r="K551" i="6"/>
  <c r="T551" i="6"/>
  <c r="F552" i="6"/>
  <c r="P548" i="6"/>
  <c r="U548" i="6"/>
  <c r="J548" i="6"/>
  <c r="L548" i="6"/>
  <c r="AC548" i="6"/>
  <c r="AD548" i="6" s="1"/>
  <c r="V547" i="6"/>
  <c r="Z547" i="6"/>
  <c r="W547" i="6"/>
  <c r="X547" i="6" s="1"/>
  <c r="Y547" i="6" s="1"/>
  <c r="AA547" i="6"/>
  <c r="G549" i="6"/>
  <c r="Q549" i="6"/>
  <c r="H550" i="6"/>
  <c r="I549" i="6"/>
  <c r="F545" i="18" l="1"/>
  <c r="K544" i="18"/>
  <c r="I544" i="18" s="1"/>
  <c r="L544" i="18" s="1"/>
  <c r="G544" i="18"/>
  <c r="J544" i="18" s="1"/>
  <c r="W548" i="6"/>
  <c r="X548" i="6" s="1"/>
  <c r="Y548" i="6" s="1"/>
  <c r="AA548" i="6"/>
  <c r="L549" i="6"/>
  <c r="AC549" i="6"/>
  <c r="AD549" i="6" s="1"/>
  <c r="F553" i="6"/>
  <c r="T552" i="6"/>
  <c r="K552" i="6"/>
  <c r="I550" i="6"/>
  <c r="H551" i="6"/>
  <c r="G550" i="6"/>
  <c r="Q550" i="6"/>
  <c r="P549" i="6"/>
  <c r="J549" i="6"/>
  <c r="U549" i="6"/>
  <c r="V548" i="6"/>
  <c r="Z548" i="6"/>
  <c r="F546" i="18" l="1"/>
  <c r="K545" i="18"/>
  <c r="I545" i="18" s="1"/>
  <c r="L545" i="18" s="1"/>
  <c r="G545" i="18"/>
  <c r="J545" i="18" s="1"/>
  <c r="I551" i="6"/>
  <c r="H552" i="6"/>
  <c r="G551" i="6"/>
  <c r="Q551" i="6"/>
  <c r="AC550" i="6"/>
  <c r="AD550" i="6" s="1"/>
  <c r="L550" i="6"/>
  <c r="V549" i="6"/>
  <c r="Z549" i="6"/>
  <c r="P550" i="6"/>
  <c r="J550" i="6"/>
  <c r="U550" i="6"/>
  <c r="W549" i="6"/>
  <c r="X549" i="6" s="1"/>
  <c r="Y549" i="6" s="1"/>
  <c r="AA549" i="6"/>
  <c r="K553" i="6"/>
  <c r="T553" i="6"/>
  <c r="F554" i="6"/>
  <c r="F547" i="18" l="1"/>
  <c r="K546" i="18"/>
  <c r="I546" i="18" s="1"/>
  <c r="L546" i="18" s="1"/>
  <c r="G546" i="18"/>
  <c r="J546" i="18" s="1"/>
  <c r="F555" i="6"/>
  <c r="T554" i="6"/>
  <c r="K554" i="6"/>
  <c r="V550" i="6"/>
  <c r="Z550" i="6"/>
  <c r="J551" i="6"/>
  <c r="U551" i="6"/>
  <c r="P551" i="6"/>
  <c r="W550" i="6"/>
  <c r="X550" i="6" s="1"/>
  <c r="Y550" i="6" s="1"/>
  <c r="AA550" i="6"/>
  <c r="Q552" i="6"/>
  <c r="I552" i="6"/>
  <c r="H553" i="6"/>
  <c r="G552" i="6"/>
  <c r="L551" i="6"/>
  <c r="AC551" i="6"/>
  <c r="AD551" i="6" s="1"/>
  <c r="F548" i="18" l="1"/>
  <c r="K547" i="18"/>
  <c r="I547" i="18" s="1"/>
  <c r="L547" i="18" s="1"/>
  <c r="G547" i="18"/>
  <c r="J547" i="18" s="1"/>
  <c r="J552" i="6"/>
  <c r="P552" i="6"/>
  <c r="U552" i="6"/>
  <c r="W551" i="6"/>
  <c r="X551" i="6" s="1"/>
  <c r="Y551" i="6" s="1"/>
  <c r="AA551" i="6"/>
  <c r="V551" i="6"/>
  <c r="Z551" i="6"/>
  <c r="I553" i="6"/>
  <c r="H554" i="6"/>
  <c r="Q553" i="6"/>
  <c r="G553" i="6"/>
  <c r="AC552" i="6"/>
  <c r="AD552" i="6" s="1"/>
  <c r="L552" i="6"/>
  <c r="F556" i="6"/>
  <c r="K555" i="6"/>
  <c r="T555" i="6"/>
  <c r="F549" i="18" l="1"/>
  <c r="K548" i="18"/>
  <c r="I548" i="18" s="1"/>
  <c r="L548" i="18" s="1"/>
  <c r="G548" i="18"/>
  <c r="J548" i="18" s="1"/>
  <c r="W552" i="6"/>
  <c r="X552" i="6" s="1"/>
  <c r="Y552" i="6" s="1"/>
  <c r="AA552" i="6"/>
  <c r="I554" i="6"/>
  <c r="Q554" i="6"/>
  <c r="H555" i="6"/>
  <c r="G554" i="6"/>
  <c r="L553" i="6"/>
  <c r="AC553" i="6"/>
  <c r="AD553" i="6" s="1"/>
  <c r="P553" i="6"/>
  <c r="U553" i="6"/>
  <c r="J553" i="6"/>
  <c r="V552" i="6"/>
  <c r="Z552" i="6"/>
  <c r="T556" i="6"/>
  <c r="K556" i="6"/>
  <c r="F557" i="6"/>
  <c r="F550" i="18" l="1"/>
  <c r="K549" i="18"/>
  <c r="I549" i="18" s="1"/>
  <c r="L549" i="18" s="1"/>
  <c r="G549" i="18"/>
  <c r="J549" i="18" s="1"/>
  <c r="K557" i="6"/>
  <c r="T557" i="6"/>
  <c r="F558" i="6"/>
  <c r="V553" i="6"/>
  <c r="Z553" i="6"/>
  <c r="W553" i="6"/>
  <c r="X553" i="6" s="1"/>
  <c r="Y553" i="6" s="1"/>
  <c r="AA553" i="6"/>
  <c r="L554" i="6"/>
  <c r="AC554" i="6"/>
  <c r="AD554" i="6" s="1"/>
  <c r="U554" i="6"/>
  <c r="J554" i="6"/>
  <c r="P554" i="6"/>
  <c r="G555" i="6"/>
  <c r="H556" i="6"/>
  <c r="Q555" i="6"/>
  <c r="I555" i="6"/>
  <c r="F551" i="18" l="1"/>
  <c r="K550" i="18"/>
  <c r="I550" i="18" s="1"/>
  <c r="L550" i="18" s="1"/>
  <c r="G550" i="18"/>
  <c r="J550" i="18" s="1"/>
  <c r="K558" i="6"/>
  <c r="F559" i="6"/>
  <c r="T558" i="6"/>
  <c r="U555" i="6"/>
  <c r="P555" i="6"/>
  <c r="J555" i="6"/>
  <c r="Q556" i="6"/>
  <c r="I556" i="6"/>
  <c r="H557" i="6"/>
  <c r="G556" i="6"/>
  <c r="V554" i="6"/>
  <c r="Z554" i="6"/>
  <c r="L555" i="6"/>
  <c r="AC555" i="6"/>
  <c r="AD555" i="6" s="1"/>
  <c r="W554" i="6"/>
  <c r="X554" i="6" s="1"/>
  <c r="Y554" i="6" s="1"/>
  <c r="AA554" i="6"/>
  <c r="F552" i="18" l="1"/>
  <c r="K551" i="18"/>
  <c r="I551" i="18" s="1"/>
  <c r="L551" i="18" s="1"/>
  <c r="G551" i="18"/>
  <c r="J551" i="18" s="1"/>
  <c r="U556" i="6"/>
  <c r="J556" i="6"/>
  <c r="P556" i="6"/>
  <c r="K559" i="6"/>
  <c r="T559" i="6"/>
  <c r="F560" i="6"/>
  <c r="W555" i="6"/>
  <c r="X555" i="6" s="1"/>
  <c r="Y555" i="6" s="1"/>
  <c r="AA555" i="6"/>
  <c r="Q557" i="6"/>
  <c r="I557" i="6"/>
  <c r="H558" i="6"/>
  <c r="G557" i="6"/>
  <c r="AC556" i="6"/>
  <c r="AD556" i="6" s="1"/>
  <c r="L556" i="6"/>
  <c r="V555" i="6"/>
  <c r="Z555" i="6"/>
  <c r="F553" i="18" l="1"/>
  <c r="K552" i="18"/>
  <c r="I552" i="18" s="1"/>
  <c r="L552" i="18" s="1"/>
  <c r="G552" i="18"/>
  <c r="J552" i="18" s="1"/>
  <c r="J557" i="6"/>
  <c r="P557" i="6"/>
  <c r="U557" i="6"/>
  <c r="W556" i="6"/>
  <c r="X556" i="6" s="1"/>
  <c r="Y556" i="6" s="1"/>
  <c r="AA556" i="6"/>
  <c r="L557" i="6"/>
  <c r="AC557" i="6"/>
  <c r="AD557" i="6" s="1"/>
  <c r="I558" i="6"/>
  <c r="H559" i="6"/>
  <c r="G558" i="6"/>
  <c r="Q558" i="6"/>
  <c r="F561" i="6"/>
  <c r="T560" i="6"/>
  <c r="K560" i="6"/>
  <c r="V556" i="6"/>
  <c r="Z556" i="6"/>
  <c r="K553" i="18" l="1"/>
  <c r="I553" i="18" s="1"/>
  <c r="L553" i="18" s="1"/>
  <c r="G553" i="18"/>
  <c r="J553" i="18" s="1"/>
  <c r="H560" i="6"/>
  <c r="G559" i="6"/>
  <c r="Q559" i="6"/>
  <c r="I559" i="6"/>
  <c r="L558" i="6"/>
  <c r="AC558" i="6"/>
  <c r="AD558" i="6" s="1"/>
  <c r="T561" i="6"/>
  <c r="F562" i="6"/>
  <c r="K561" i="6"/>
  <c r="V557" i="6"/>
  <c r="Z557" i="6"/>
  <c r="P558" i="6"/>
  <c r="U558" i="6"/>
  <c r="J558" i="6"/>
  <c r="W557" i="6"/>
  <c r="X557" i="6" s="1"/>
  <c r="Y557" i="6" s="1"/>
  <c r="AA557" i="6"/>
  <c r="K562" i="6" l="1"/>
  <c r="T562" i="6"/>
  <c r="F563" i="6"/>
  <c r="L559" i="6"/>
  <c r="AC559" i="6"/>
  <c r="AD559" i="6" s="1"/>
  <c r="V558" i="6"/>
  <c r="Z558" i="6"/>
  <c r="U559" i="6"/>
  <c r="J559" i="6"/>
  <c r="P559" i="6"/>
  <c r="W558" i="6"/>
  <c r="X558" i="6" s="1"/>
  <c r="Y558" i="6" s="1"/>
  <c r="AA558" i="6"/>
  <c r="G560" i="6"/>
  <c r="H561" i="6"/>
  <c r="Q560" i="6"/>
  <c r="I560" i="6"/>
  <c r="K563" i="6" l="1"/>
  <c r="F564" i="6"/>
  <c r="T563" i="6"/>
  <c r="G561" i="6"/>
  <c r="Q561" i="6"/>
  <c r="I561" i="6"/>
  <c r="H562" i="6"/>
  <c r="AC560" i="6"/>
  <c r="AD560" i="6" s="1"/>
  <c r="L560" i="6"/>
  <c r="U560" i="6"/>
  <c r="J560" i="6"/>
  <c r="P560" i="6"/>
  <c r="V559" i="6"/>
  <c r="Z559" i="6"/>
  <c r="W559" i="6"/>
  <c r="X559" i="6" s="1"/>
  <c r="Y559" i="6" s="1"/>
  <c r="AA559" i="6"/>
  <c r="I562" i="6" l="1"/>
  <c r="G562" i="6"/>
  <c r="Q562" i="6"/>
  <c r="H563" i="6"/>
  <c r="V560" i="6"/>
  <c r="Z560" i="6"/>
  <c r="L561" i="6"/>
  <c r="AC561" i="6"/>
  <c r="AD561" i="6" s="1"/>
  <c r="W560" i="6"/>
  <c r="X560" i="6" s="1"/>
  <c r="Y560" i="6" s="1"/>
  <c r="AA560" i="6"/>
  <c r="T564" i="6"/>
  <c r="F565" i="6"/>
  <c r="K564" i="6"/>
  <c r="J561" i="6"/>
  <c r="P561" i="6"/>
  <c r="U561" i="6"/>
  <c r="H564" i="6" l="1"/>
  <c r="G563" i="6"/>
  <c r="Q563" i="6"/>
  <c r="I563" i="6"/>
  <c r="W561" i="6"/>
  <c r="X561" i="6" s="1"/>
  <c r="Y561" i="6" s="1"/>
  <c r="AA561" i="6"/>
  <c r="U562" i="6"/>
  <c r="P562" i="6"/>
  <c r="J562" i="6"/>
  <c r="V561" i="6"/>
  <c r="Z561" i="6"/>
  <c r="T565" i="6"/>
  <c r="F566" i="6"/>
  <c r="K565" i="6"/>
  <c r="L562" i="6"/>
  <c r="AC562" i="6"/>
  <c r="AD562" i="6" s="1"/>
  <c r="AC563" i="6" l="1"/>
  <c r="AD563" i="6" s="1"/>
  <c r="L563" i="6"/>
  <c r="W562" i="6"/>
  <c r="X562" i="6" s="1"/>
  <c r="Y562" i="6" s="1"/>
  <c r="AA562" i="6"/>
  <c r="V562" i="6"/>
  <c r="Z562" i="6"/>
  <c r="U563" i="6"/>
  <c r="P563" i="6"/>
  <c r="J563" i="6"/>
  <c r="T566" i="6"/>
  <c r="F567" i="6"/>
  <c r="K566" i="6"/>
  <c r="I564" i="6"/>
  <c r="H565" i="6"/>
  <c r="G564" i="6"/>
  <c r="Q564" i="6"/>
  <c r="K567" i="6" l="1"/>
  <c r="T567" i="6"/>
  <c r="F568" i="6"/>
  <c r="V563" i="6"/>
  <c r="Z563" i="6"/>
  <c r="I565" i="6"/>
  <c r="Q565" i="6"/>
  <c r="G565" i="6"/>
  <c r="H566" i="6"/>
  <c r="L564" i="6"/>
  <c r="AC564" i="6"/>
  <c r="AD564" i="6" s="1"/>
  <c r="W563" i="6"/>
  <c r="X563" i="6" s="1"/>
  <c r="Y563" i="6" s="1"/>
  <c r="AA563" i="6"/>
  <c r="J564" i="6"/>
  <c r="P564" i="6"/>
  <c r="U564" i="6"/>
  <c r="F569" i="6" l="1"/>
  <c r="T568" i="6"/>
  <c r="K568" i="6"/>
  <c r="W564" i="6"/>
  <c r="X564" i="6" s="1"/>
  <c r="Y564" i="6" s="1"/>
  <c r="AA564" i="6"/>
  <c r="L565" i="6"/>
  <c r="AC565" i="6"/>
  <c r="AD565" i="6" s="1"/>
  <c r="I566" i="6"/>
  <c r="H567" i="6"/>
  <c r="G566" i="6"/>
  <c r="Q566" i="6"/>
  <c r="V564" i="6"/>
  <c r="Z564" i="6"/>
  <c r="P565" i="6"/>
  <c r="J565" i="6"/>
  <c r="U565" i="6"/>
  <c r="J566" i="6" l="1"/>
  <c r="P566" i="6"/>
  <c r="U566" i="6"/>
  <c r="W565" i="6"/>
  <c r="X565" i="6" s="1"/>
  <c r="Y565" i="6" s="1"/>
  <c r="AA565" i="6"/>
  <c r="G567" i="6"/>
  <c r="I567" i="6"/>
  <c r="Q567" i="6"/>
  <c r="H568" i="6"/>
  <c r="V565" i="6"/>
  <c r="Z565" i="6"/>
  <c r="L566" i="6"/>
  <c r="AC566" i="6"/>
  <c r="AD566" i="6" s="1"/>
  <c r="K569" i="6"/>
  <c r="T569" i="6"/>
  <c r="F570" i="6"/>
  <c r="K570" i="6" l="1"/>
  <c r="T570" i="6"/>
  <c r="F571" i="6"/>
  <c r="W566" i="6"/>
  <c r="X566" i="6" s="1"/>
  <c r="Y566" i="6" s="1"/>
  <c r="AA566" i="6"/>
  <c r="V566" i="6"/>
  <c r="Z566" i="6"/>
  <c r="G568" i="6"/>
  <c r="Q568" i="6"/>
  <c r="I568" i="6"/>
  <c r="H569" i="6"/>
  <c r="AC567" i="6"/>
  <c r="AD567" i="6" s="1"/>
  <c r="L567" i="6"/>
  <c r="P567" i="6"/>
  <c r="U567" i="6"/>
  <c r="J567" i="6"/>
  <c r="F572" i="6" l="1"/>
  <c r="K571" i="6"/>
  <c r="T571" i="6"/>
  <c r="H570" i="6"/>
  <c r="G569" i="6"/>
  <c r="I569" i="6"/>
  <c r="Q569" i="6"/>
  <c r="L568" i="6"/>
  <c r="AC568" i="6"/>
  <c r="AD568" i="6" s="1"/>
  <c r="V567" i="6"/>
  <c r="Z567" i="6"/>
  <c r="W567" i="6"/>
  <c r="X567" i="6" s="1"/>
  <c r="Y567" i="6" s="1"/>
  <c r="AA567" i="6"/>
  <c r="J568" i="6"/>
  <c r="U568" i="6"/>
  <c r="P568" i="6"/>
  <c r="V568" i="6" l="1"/>
  <c r="Z568" i="6"/>
  <c r="L569" i="6"/>
  <c r="AC569" i="6"/>
  <c r="AD569" i="6" s="1"/>
  <c r="J569" i="6"/>
  <c r="P569" i="6"/>
  <c r="U569" i="6"/>
  <c r="W568" i="6"/>
  <c r="X568" i="6" s="1"/>
  <c r="Y568" i="6" s="1"/>
  <c r="AA568" i="6"/>
  <c r="H571" i="6"/>
  <c r="G570" i="6"/>
  <c r="Q570" i="6"/>
  <c r="I570" i="6"/>
  <c r="K572" i="6"/>
  <c r="T572" i="6"/>
  <c r="F573" i="6"/>
  <c r="AC570" i="6" l="1"/>
  <c r="AD570" i="6" s="1"/>
  <c r="L570" i="6"/>
  <c r="K573" i="6"/>
  <c r="T573" i="6"/>
  <c r="F574" i="6"/>
  <c r="U570" i="6"/>
  <c r="J570" i="6"/>
  <c r="P570" i="6"/>
  <c r="V569" i="6"/>
  <c r="Z569" i="6"/>
  <c r="W569" i="6"/>
  <c r="X569" i="6" s="1"/>
  <c r="Y569" i="6" s="1"/>
  <c r="AA569" i="6"/>
  <c r="Q571" i="6"/>
  <c r="G571" i="6"/>
  <c r="H572" i="6"/>
  <c r="I571" i="6"/>
  <c r="L571" i="6" l="1"/>
  <c r="AC571" i="6"/>
  <c r="AD571" i="6" s="1"/>
  <c r="U571" i="6"/>
  <c r="J571" i="6"/>
  <c r="P571" i="6"/>
  <c r="V570" i="6"/>
  <c r="Z570" i="6"/>
  <c r="G572" i="6"/>
  <c r="H573" i="6"/>
  <c r="I572" i="6"/>
  <c r="Q572" i="6"/>
  <c r="K574" i="6"/>
  <c r="T574" i="6"/>
  <c r="F575" i="6"/>
  <c r="W570" i="6"/>
  <c r="X570" i="6" s="1"/>
  <c r="Y570" i="6" s="1"/>
  <c r="AA570" i="6"/>
  <c r="P572" i="6" l="1"/>
  <c r="U572" i="6"/>
  <c r="J572" i="6"/>
  <c r="F576" i="6"/>
  <c r="K575" i="6"/>
  <c r="T575" i="6"/>
  <c r="V571" i="6"/>
  <c r="Z571" i="6"/>
  <c r="L572" i="6"/>
  <c r="AC572" i="6"/>
  <c r="AD572" i="6" s="1"/>
  <c r="Q573" i="6"/>
  <c r="G573" i="6"/>
  <c r="I573" i="6"/>
  <c r="H574" i="6"/>
  <c r="W571" i="6"/>
  <c r="X571" i="6" s="1"/>
  <c r="Y571" i="6" s="1"/>
  <c r="AA571" i="6"/>
  <c r="F577" i="6" l="1"/>
  <c r="K576" i="6"/>
  <c r="T576" i="6"/>
  <c r="H575" i="6"/>
  <c r="G574" i="6"/>
  <c r="Q574" i="6"/>
  <c r="I574" i="6"/>
  <c r="L573" i="6"/>
  <c r="AC573" i="6"/>
  <c r="AD573" i="6" s="1"/>
  <c r="W572" i="6"/>
  <c r="X572" i="6" s="1"/>
  <c r="Y572" i="6" s="1"/>
  <c r="AA572" i="6"/>
  <c r="V572" i="6"/>
  <c r="Z572" i="6"/>
  <c r="U573" i="6"/>
  <c r="P573" i="6"/>
  <c r="J573" i="6"/>
  <c r="L574" i="6" l="1"/>
  <c r="AC574" i="6"/>
  <c r="AD574" i="6" s="1"/>
  <c r="V573" i="6"/>
  <c r="Z573" i="6"/>
  <c r="U574" i="6"/>
  <c r="P574" i="6"/>
  <c r="J574" i="6"/>
  <c r="W573" i="6"/>
  <c r="X573" i="6" s="1"/>
  <c r="Y573" i="6" s="1"/>
  <c r="AA573" i="6"/>
  <c r="Q575" i="6"/>
  <c r="I575" i="6"/>
  <c r="H576" i="6"/>
  <c r="G575" i="6"/>
  <c r="F578" i="6"/>
  <c r="T577" i="6"/>
  <c r="K577" i="6"/>
  <c r="I576" i="6" l="1"/>
  <c r="G576" i="6"/>
  <c r="H577" i="6"/>
  <c r="Q576" i="6"/>
  <c r="J575" i="6"/>
  <c r="P575" i="6"/>
  <c r="U575" i="6"/>
  <c r="L575" i="6"/>
  <c r="AC575" i="6"/>
  <c r="AD575" i="6" s="1"/>
  <c r="T578" i="6"/>
  <c r="K578" i="6"/>
  <c r="F579" i="6"/>
  <c r="V574" i="6"/>
  <c r="Z574" i="6"/>
  <c r="W574" i="6"/>
  <c r="X574" i="6" s="1"/>
  <c r="Y574" i="6" s="1"/>
  <c r="AA574" i="6"/>
  <c r="W575" i="6" l="1"/>
  <c r="X575" i="6" s="1"/>
  <c r="Y575" i="6" s="1"/>
  <c r="AA575" i="6"/>
  <c r="H578" i="6"/>
  <c r="Q577" i="6"/>
  <c r="G577" i="6"/>
  <c r="I577" i="6"/>
  <c r="V575" i="6"/>
  <c r="Z575" i="6"/>
  <c r="U576" i="6"/>
  <c r="P576" i="6"/>
  <c r="J576" i="6"/>
  <c r="K579" i="6"/>
  <c r="T579" i="6"/>
  <c r="F580" i="6"/>
  <c r="AC576" i="6"/>
  <c r="AD576" i="6" s="1"/>
  <c r="L576" i="6"/>
  <c r="T580" i="6" l="1"/>
  <c r="K580" i="6"/>
  <c r="F581" i="6"/>
  <c r="I578" i="6"/>
  <c r="H579" i="6"/>
  <c r="Q578" i="6"/>
  <c r="G578" i="6"/>
  <c r="AC577" i="6"/>
  <c r="AD577" i="6" s="1"/>
  <c r="L577" i="6"/>
  <c r="W576" i="6"/>
  <c r="X576" i="6" s="1"/>
  <c r="Y576" i="6" s="1"/>
  <c r="AA576" i="6"/>
  <c r="V576" i="6"/>
  <c r="Z576" i="6"/>
  <c r="U577" i="6"/>
  <c r="J577" i="6"/>
  <c r="P577" i="6"/>
  <c r="F582" i="6" l="1"/>
  <c r="K581" i="6"/>
  <c r="T581" i="6"/>
  <c r="U578" i="6"/>
  <c r="J578" i="6"/>
  <c r="P578" i="6"/>
  <c r="V577" i="6"/>
  <c r="Z577" i="6"/>
  <c r="G579" i="6"/>
  <c r="I579" i="6"/>
  <c r="H580" i="6"/>
  <c r="Q579" i="6"/>
  <c r="W577" i="6"/>
  <c r="X577" i="6" s="1"/>
  <c r="Y577" i="6" s="1"/>
  <c r="AA577" i="6"/>
  <c r="L578" i="6"/>
  <c r="AC578" i="6"/>
  <c r="AD578" i="6" s="1"/>
  <c r="I580" i="6" l="1"/>
  <c r="Q580" i="6"/>
  <c r="G580" i="6"/>
  <c r="H581" i="6"/>
  <c r="AC579" i="6"/>
  <c r="AD579" i="6" s="1"/>
  <c r="L579" i="6"/>
  <c r="W578" i="6"/>
  <c r="X578" i="6" s="1"/>
  <c r="Y578" i="6" s="1"/>
  <c r="AA578" i="6"/>
  <c r="P579" i="6"/>
  <c r="U579" i="6"/>
  <c r="J579" i="6"/>
  <c r="V578" i="6"/>
  <c r="Z578" i="6"/>
  <c r="T582" i="6"/>
  <c r="K582" i="6"/>
  <c r="F583" i="6"/>
  <c r="H582" i="6" l="1"/>
  <c r="G581" i="6"/>
  <c r="I581" i="6"/>
  <c r="Q581" i="6"/>
  <c r="P580" i="6"/>
  <c r="U580" i="6"/>
  <c r="J580" i="6"/>
  <c r="V579" i="6"/>
  <c r="Z579" i="6"/>
  <c r="W579" i="6"/>
  <c r="X579" i="6" s="1"/>
  <c r="Y579" i="6" s="1"/>
  <c r="AA579" i="6"/>
  <c r="K583" i="6"/>
  <c r="F584" i="6"/>
  <c r="T583" i="6"/>
  <c r="AC580" i="6"/>
  <c r="AD580" i="6" s="1"/>
  <c r="L580" i="6"/>
  <c r="L581" i="6" l="1"/>
  <c r="AC581" i="6"/>
  <c r="AD581" i="6" s="1"/>
  <c r="T584" i="6"/>
  <c r="F585" i="6"/>
  <c r="K584" i="6"/>
  <c r="V580" i="6"/>
  <c r="Z580" i="6"/>
  <c r="J581" i="6"/>
  <c r="P581" i="6"/>
  <c r="U581" i="6"/>
  <c r="W580" i="6"/>
  <c r="X580" i="6" s="1"/>
  <c r="Y580" i="6" s="1"/>
  <c r="AA580" i="6"/>
  <c r="G582" i="6"/>
  <c r="Q582" i="6"/>
  <c r="I582" i="6"/>
  <c r="H583" i="6"/>
  <c r="H584" i="6" l="1"/>
  <c r="G583" i="6"/>
  <c r="Q583" i="6"/>
  <c r="I583" i="6"/>
  <c r="F586" i="6"/>
  <c r="T585" i="6"/>
  <c r="K585" i="6"/>
  <c r="L582" i="6"/>
  <c r="AC582" i="6"/>
  <c r="AD582" i="6" s="1"/>
  <c r="V581" i="6"/>
  <c r="Z581" i="6"/>
  <c r="U582" i="6"/>
  <c r="J582" i="6"/>
  <c r="P582" i="6"/>
  <c r="W581" i="6"/>
  <c r="X581" i="6" s="1"/>
  <c r="Y581" i="6" s="1"/>
  <c r="AA581" i="6"/>
  <c r="L583" i="6" l="1"/>
  <c r="AC583" i="6"/>
  <c r="AD583" i="6" s="1"/>
  <c r="V582" i="6"/>
  <c r="Z582" i="6"/>
  <c r="W582" i="6"/>
  <c r="X582" i="6" s="1"/>
  <c r="Y582" i="6" s="1"/>
  <c r="AA582" i="6"/>
  <c r="U583" i="6"/>
  <c r="P583" i="6"/>
  <c r="J583" i="6"/>
  <c r="F587" i="6"/>
  <c r="T586" i="6"/>
  <c r="K586" i="6"/>
  <c r="G584" i="6"/>
  <c r="Q584" i="6"/>
  <c r="H585" i="6"/>
  <c r="I584" i="6"/>
  <c r="Q585" i="6" l="1"/>
  <c r="I585" i="6"/>
  <c r="G585" i="6"/>
  <c r="H586" i="6"/>
  <c r="U584" i="6"/>
  <c r="J584" i="6"/>
  <c r="P584" i="6"/>
  <c r="V583" i="6"/>
  <c r="Z583" i="6"/>
  <c r="F588" i="6"/>
  <c r="T587" i="6"/>
  <c r="K587" i="6"/>
  <c r="AC584" i="6"/>
  <c r="AD584" i="6" s="1"/>
  <c r="L584" i="6"/>
  <c r="W583" i="6"/>
  <c r="X583" i="6" s="1"/>
  <c r="Y583" i="6" s="1"/>
  <c r="AA583" i="6"/>
  <c r="Q586" i="6" l="1"/>
  <c r="G586" i="6"/>
  <c r="I586" i="6"/>
  <c r="H587" i="6"/>
  <c r="W584" i="6"/>
  <c r="X584" i="6" s="1"/>
  <c r="Y584" i="6" s="1"/>
  <c r="AA584" i="6"/>
  <c r="P585" i="6"/>
  <c r="U585" i="6"/>
  <c r="J585" i="6"/>
  <c r="K588" i="6"/>
  <c r="F589" i="6"/>
  <c r="T588" i="6"/>
  <c r="AC585" i="6"/>
  <c r="AD585" i="6" s="1"/>
  <c r="L585" i="6"/>
  <c r="V584" i="6"/>
  <c r="Z584" i="6"/>
  <c r="Q587" i="6" l="1"/>
  <c r="I587" i="6"/>
  <c r="G587" i="6"/>
  <c r="H588" i="6"/>
  <c r="V585" i="6"/>
  <c r="Z585" i="6"/>
  <c r="W585" i="6"/>
  <c r="X585" i="6" s="1"/>
  <c r="Y585" i="6" s="1"/>
  <c r="AA585" i="6"/>
  <c r="L586" i="6"/>
  <c r="AC586" i="6"/>
  <c r="AD586" i="6" s="1"/>
  <c r="T589" i="6"/>
  <c r="F590" i="6"/>
  <c r="K589" i="6"/>
  <c r="U586" i="6"/>
  <c r="P586" i="6"/>
  <c r="J586" i="6"/>
  <c r="H589" i="6" l="1"/>
  <c r="G588" i="6"/>
  <c r="I588" i="6"/>
  <c r="Q588" i="6"/>
  <c r="J587" i="6"/>
  <c r="U587" i="6"/>
  <c r="P587" i="6"/>
  <c r="L587" i="6"/>
  <c r="AC587" i="6"/>
  <c r="AD587" i="6" s="1"/>
  <c r="V586" i="6"/>
  <c r="Z586" i="6"/>
  <c r="F591" i="6"/>
  <c r="T590" i="6"/>
  <c r="K590" i="6"/>
  <c r="W586" i="6"/>
  <c r="X586" i="6" s="1"/>
  <c r="Y586" i="6" s="1"/>
  <c r="AA586" i="6"/>
  <c r="K591" i="6" l="1"/>
  <c r="T591" i="6"/>
  <c r="F592" i="6"/>
  <c r="AC588" i="6"/>
  <c r="AD588" i="6" s="1"/>
  <c r="L588" i="6"/>
  <c r="W587" i="6"/>
  <c r="X587" i="6" s="1"/>
  <c r="Y587" i="6" s="1"/>
  <c r="AA587" i="6"/>
  <c r="V587" i="6"/>
  <c r="Z587" i="6"/>
  <c r="P588" i="6"/>
  <c r="J588" i="6"/>
  <c r="U588" i="6"/>
  <c r="Q589" i="6"/>
  <c r="I589" i="6"/>
  <c r="H590" i="6"/>
  <c r="G589" i="6"/>
  <c r="F593" i="6" l="1"/>
  <c r="T592" i="6"/>
  <c r="K592" i="6"/>
  <c r="H591" i="6"/>
  <c r="G590" i="6"/>
  <c r="I590" i="6"/>
  <c r="Q590" i="6"/>
  <c r="AC589" i="6"/>
  <c r="AD589" i="6" s="1"/>
  <c r="L589" i="6"/>
  <c r="W588" i="6"/>
  <c r="X588" i="6" s="1"/>
  <c r="Y588" i="6" s="1"/>
  <c r="AA588" i="6"/>
  <c r="P589" i="6"/>
  <c r="U589" i="6"/>
  <c r="J589" i="6"/>
  <c r="V588" i="6"/>
  <c r="Z588" i="6"/>
  <c r="I591" i="6" l="1"/>
  <c r="H592" i="6"/>
  <c r="G591" i="6"/>
  <c r="Q591" i="6"/>
  <c r="L590" i="6"/>
  <c r="AC590" i="6"/>
  <c r="AD590" i="6" s="1"/>
  <c r="V589" i="6"/>
  <c r="Z589" i="6"/>
  <c r="W589" i="6"/>
  <c r="X589" i="6" s="1"/>
  <c r="Y589" i="6" s="1"/>
  <c r="AA589" i="6"/>
  <c r="P590" i="6"/>
  <c r="U590" i="6"/>
  <c r="J590" i="6"/>
  <c r="T593" i="6"/>
  <c r="K593" i="6"/>
  <c r="F594" i="6"/>
  <c r="K594" i="6" l="1"/>
  <c r="F595" i="6"/>
  <c r="T594" i="6"/>
  <c r="V590" i="6"/>
  <c r="Z590" i="6"/>
  <c r="U591" i="6"/>
  <c r="P591" i="6"/>
  <c r="J591" i="6"/>
  <c r="G592" i="6"/>
  <c r="Q592" i="6"/>
  <c r="I592" i="6"/>
  <c r="H593" i="6"/>
  <c r="W590" i="6"/>
  <c r="X590" i="6" s="1"/>
  <c r="Y590" i="6" s="1"/>
  <c r="AA590" i="6"/>
  <c r="L591" i="6"/>
  <c r="AC591" i="6"/>
  <c r="AD591" i="6" s="1"/>
  <c r="W591" i="6" l="1"/>
  <c r="X591" i="6" s="1"/>
  <c r="Y591" i="6" s="1"/>
  <c r="AA591" i="6"/>
  <c r="AC592" i="6"/>
  <c r="AD592" i="6" s="1"/>
  <c r="L592" i="6"/>
  <c r="V591" i="6"/>
  <c r="Z591" i="6"/>
  <c r="P592" i="6"/>
  <c r="U592" i="6"/>
  <c r="J592" i="6"/>
  <c r="F596" i="6"/>
  <c r="T595" i="6"/>
  <c r="K595" i="6"/>
  <c r="Q593" i="6"/>
  <c r="I593" i="6"/>
  <c r="H594" i="6"/>
  <c r="G593" i="6"/>
  <c r="I594" i="6" l="1"/>
  <c r="H595" i="6"/>
  <c r="G594" i="6"/>
  <c r="Q594" i="6"/>
  <c r="V592" i="6"/>
  <c r="Z592" i="6"/>
  <c r="W592" i="6"/>
  <c r="X592" i="6" s="1"/>
  <c r="Y592" i="6" s="1"/>
  <c r="AA592" i="6"/>
  <c r="F597" i="6"/>
  <c r="K596" i="6"/>
  <c r="T596" i="6"/>
  <c r="AC593" i="6"/>
  <c r="AD593" i="6" s="1"/>
  <c r="L593" i="6"/>
  <c r="P593" i="6"/>
  <c r="U593" i="6"/>
  <c r="J593" i="6"/>
  <c r="V593" i="6" l="1"/>
  <c r="Z593" i="6"/>
  <c r="U594" i="6"/>
  <c r="J594" i="6"/>
  <c r="P594" i="6"/>
  <c r="F598" i="6"/>
  <c r="T597" i="6"/>
  <c r="K597" i="6"/>
  <c r="Q595" i="6"/>
  <c r="I595" i="6"/>
  <c r="G595" i="6"/>
  <c r="H596" i="6"/>
  <c r="W593" i="6"/>
  <c r="X593" i="6" s="1"/>
  <c r="Y593" i="6" s="1"/>
  <c r="AA593" i="6"/>
  <c r="L594" i="6"/>
  <c r="AC594" i="6"/>
  <c r="AD594" i="6" s="1"/>
  <c r="W594" i="6" l="1"/>
  <c r="X594" i="6" s="1"/>
  <c r="Y594" i="6" s="1"/>
  <c r="AA594" i="6"/>
  <c r="J595" i="6"/>
  <c r="U595" i="6"/>
  <c r="P595" i="6"/>
  <c r="AC595" i="6"/>
  <c r="AD595" i="6" s="1"/>
  <c r="L595" i="6"/>
  <c r="V594" i="6"/>
  <c r="Z594" i="6"/>
  <c r="T598" i="6"/>
  <c r="F599" i="6"/>
  <c r="K598" i="6"/>
  <c r="G596" i="6"/>
  <c r="I596" i="6"/>
  <c r="H597" i="6"/>
  <c r="Q596" i="6"/>
  <c r="I597" i="6" l="1"/>
  <c r="Q597" i="6"/>
  <c r="G597" i="6"/>
  <c r="H598" i="6"/>
  <c r="V595" i="6"/>
  <c r="Z595" i="6"/>
  <c r="L596" i="6"/>
  <c r="AC596" i="6"/>
  <c r="AD596" i="6" s="1"/>
  <c r="K599" i="6"/>
  <c r="T599" i="6"/>
  <c r="F600" i="6"/>
  <c r="W595" i="6"/>
  <c r="X595" i="6" s="1"/>
  <c r="Y595" i="6" s="1"/>
  <c r="AA595" i="6"/>
  <c r="P596" i="6"/>
  <c r="U596" i="6"/>
  <c r="J596" i="6"/>
  <c r="Q598" i="6" l="1"/>
  <c r="I598" i="6"/>
  <c r="H599" i="6"/>
  <c r="G598" i="6"/>
  <c r="T600" i="6"/>
  <c r="K600" i="6"/>
  <c r="F601" i="6"/>
  <c r="W596" i="6"/>
  <c r="X596" i="6" s="1"/>
  <c r="Y596" i="6" s="1"/>
  <c r="AA596" i="6"/>
  <c r="P597" i="6"/>
  <c r="U597" i="6"/>
  <c r="J597" i="6"/>
  <c r="V596" i="6"/>
  <c r="Z596" i="6"/>
  <c r="L597" i="6"/>
  <c r="AC597" i="6"/>
  <c r="AD597" i="6" s="1"/>
  <c r="K601" i="6" l="1"/>
  <c r="F602" i="6"/>
  <c r="T601" i="6"/>
  <c r="U598" i="6"/>
  <c r="P598" i="6"/>
  <c r="J598" i="6"/>
  <c r="V597" i="6"/>
  <c r="Z597" i="6"/>
  <c r="I599" i="6"/>
  <c r="H600" i="6"/>
  <c r="G599" i="6"/>
  <c r="Q599" i="6"/>
  <c r="L598" i="6"/>
  <c r="AC598" i="6"/>
  <c r="AD598" i="6" s="1"/>
  <c r="W597" i="6"/>
  <c r="X597" i="6" s="1"/>
  <c r="Y597" i="6" s="1"/>
  <c r="AA597" i="6"/>
  <c r="P599" i="6" l="1"/>
  <c r="J599" i="6"/>
  <c r="U599" i="6"/>
  <c r="H601" i="6"/>
  <c r="G600" i="6"/>
  <c r="Q600" i="6"/>
  <c r="I600" i="6"/>
  <c r="W598" i="6"/>
  <c r="X598" i="6" s="1"/>
  <c r="Y598" i="6" s="1"/>
  <c r="AA598" i="6"/>
  <c r="L599" i="6"/>
  <c r="AC599" i="6"/>
  <c r="AD599" i="6" s="1"/>
  <c r="K602" i="6"/>
  <c r="F603" i="6"/>
  <c r="T602" i="6"/>
  <c r="V598" i="6"/>
  <c r="Z598" i="6"/>
  <c r="H602" i="6" l="1"/>
  <c r="Q601" i="6"/>
  <c r="G601" i="6"/>
  <c r="I601" i="6"/>
  <c r="L600" i="6"/>
  <c r="AC600" i="6"/>
  <c r="AD600" i="6" s="1"/>
  <c r="V599" i="6"/>
  <c r="Z599" i="6"/>
  <c r="T603" i="6"/>
  <c r="F604" i="6"/>
  <c r="K603" i="6"/>
  <c r="W599" i="6"/>
  <c r="X599" i="6" s="1"/>
  <c r="Y599" i="6" s="1"/>
  <c r="AA599" i="6"/>
  <c r="P600" i="6"/>
  <c r="U600" i="6"/>
  <c r="J600" i="6"/>
  <c r="AC601" i="6" l="1"/>
  <c r="AD601" i="6" s="1"/>
  <c r="L601" i="6"/>
  <c r="V600" i="6"/>
  <c r="Z600" i="6"/>
  <c r="U601" i="6"/>
  <c r="P601" i="6"/>
  <c r="J601" i="6"/>
  <c r="T604" i="6"/>
  <c r="K604" i="6"/>
  <c r="F605" i="6"/>
  <c r="W600" i="6"/>
  <c r="X600" i="6" s="1"/>
  <c r="Y600" i="6" s="1"/>
  <c r="AA600" i="6"/>
  <c r="Q602" i="6"/>
  <c r="I602" i="6"/>
  <c r="H603" i="6"/>
  <c r="G602" i="6"/>
  <c r="P602" i="6" l="1"/>
  <c r="U602" i="6"/>
  <c r="J602" i="6"/>
  <c r="G603" i="6"/>
  <c r="I603" i="6"/>
  <c r="Q603" i="6"/>
  <c r="H604" i="6"/>
  <c r="L602" i="6"/>
  <c r="AC602" i="6"/>
  <c r="AD602" i="6" s="1"/>
  <c r="T605" i="6"/>
  <c r="F606" i="6"/>
  <c r="K605" i="6"/>
  <c r="W601" i="6"/>
  <c r="X601" i="6" s="1"/>
  <c r="Y601" i="6" s="1"/>
  <c r="AA601" i="6"/>
  <c r="V601" i="6"/>
  <c r="Z601" i="6"/>
  <c r="F607" i="6" l="1"/>
  <c r="T606" i="6"/>
  <c r="K606" i="6"/>
  <c r="W602" i="6"/>
  <c r="X602" i="6" s="1"/>
  <c r="Y602" i="6" s="1"/>
  <c r="AA602" i="6"/>
  <c r="J603" i="6"/>
  <c r="U603" i="6"/>
  <c r="P603" i="6"/>
  <c r="I604" i="6"/>
  <c r="G604" i="6"/>
  <c r="Q604" i="6"/>
  <c r="H605" i="6"/>
  <c r="V602" i="6"/>
  <c r="Z602" i="6"/>
  <c r="L603" i="6"/>
  <c r="W603" i="6" s="1"/>
  <c r="X603" i="6" s="1"/>
  <c r="Y603" i="6" s="1"/>
  <c r="AC603" i="6"/>
  <c r="AD603" i="6" s="1"/>
  <c r="V603" i="6" l="1"/>
  <c r="Z603" i="6"/>
  <c r="AC604" i="6"/>
  <c r="AD604" i="6" s="1"/>
  <c r="L604" i="6"/>
  <c r="J604" i="6"/>
  <c r="P604" i="6"/>
  <c r="U604" i="6"/>
  <c r="G605" i="6"/>
  <c r="Q605" i="6"/>
  <c r="I605" i="6"/>
  <c r="H606" i="6"/>
  <c r="T607" i="6"/>
  <c r="F608" i="6"/>
  <c r="K607" i="6"/>
  <c r="J605" i="6" l="1"/>
  <c r="P605" i="6"/>
  <c r="U605" i="6"/>
  <c r="W604" i="6"/>
  <c r="X604" i="6" s="1"/>
  <c r="Y604" i="6" s="1"/>
  <c r="AA604" i="6"/>
  <c r="Q606" i="6"/>
  <c r="I606" i="6"/>
  <c r="H607" i="6"/>
  <c r="G606" i="6"/>
  <c r="V604" i="6"/>
  <c r="Z604" i="6"/>
  <c r="T608" i="6"/>
  <c r="K608" i="6"/>
  <c r="F609" i="6"/>
  <c r="AC605" i="6"/>
  <c r="AD605" i="6" s="1"/>
  <c r="L605" i="6"/>
  <c r="G607" i="6" l="1"/>
  <c r="H608" i="6"/>
  <c r="I607" i="6"/>
  <c r="Q607" i="6"/>
  <c r="W605" i="6"/>
  <c r="X605" i="6" s="1"/>
  <c r="Y605" i="6" s="1"/>
  <c r="AA605" i="6"/>
  <c r="P606" i="6"/>
  <c r="U606" i="6"/>
  <c r="J606" i="6"/>
  <c r="F610" i="6"/>
  <c r="K609" i="6"/>
  <c r="T609" i="6"/>
  <c r="L606" i="6"/>
  <c r="AC606" i="6"/>
  <c r="AD606" i="6" s="1"/>
  <c r="V605" i="6"/>
  <c r="Z605" i="6"/>
  <c r="V606" i="6" l="1"/>
  <c r="Z606" i="6"/>
  <c r="L607" i="6"/>
  <c r="AC607" i="6"/>
  <c r="AD607" i="6" s="1"/>
  <c r="I608" i="6"/>
  <c r="Q608" i="6"/>
  <c r="H609" i="6"/>
  <c r="G608" i="6"/>
  <c r="W606" i="6"/>
  <c r="X606" i="6" s="1"/>
  <c r="Y606" i="6" s="1"/>
  <c r="AA606" i="6"/>
  <c r="T610" i="6"/>
  <c r="F611" i="6"/>
  <c r="K610" i="6"/>
  <c r="J607" i="6"/>
  <c r="P607" i="6"/>
  <c r="U607" i="6"/>
  <c r="T611" i="6" l="1"/>
  <c r="F612" i="6"/>
  <c r="K611" i="6"/>
  <c r="H610" i="6"/>
  <c r="G609" i="6"/>
  <c r="Q609" i="6"/>
  <c r="I609" i="6"/>
  <c r="W607" i="6"/>
  <c r="X607" i="6" s="1"/>
  <c r="Y607" i="6" s="1"/>
  <c r="AA607" i="6"/>
  <c r="P608" i="6"/>
  <c r="U608" i="6"/>
  <c r="J608" i="6"/>
  <c r="V607" i="6"/>
  <c r="Z607" i="6"/>
  <c r="L608" i="6"/>
  <c r="W608" i="6" s="1"/>
  <c r="X608" i="6" s="1"/>
  <c r="AC608" i="6"/>
  <c r="AD608" i="6" s="1"/>
  <c r="Y608" i="6" l="1"/>
  <c r="V608" i="6"/>
  <c r="Z608" i="6"/>
  <c r="L609" i="6"/>
  <c r="AC609" i="6"/>
  <c r="AD609" i="6" s="1"/>
  <c r="P609" i="6"/>
  <c r="U609" i="6"/>
  <c r="J609" i="6"/>
  <c r="T612" i="6"/>
  <c r="K612" i="6"/>
  <c r="F613" i="6"/>
  <c r="H611" i="6"/>
  <c r="Q610" i="6"/>
  <c r="I610" i="6"/>
  <c r="G610" i="6"/>
  <c r="Q611" i="6" l="1"/>
  <c r="G611" i="6"/>
  <c r="H612" i="6"/>
  <c r="I611" i="6"/>
  <c r="W609" i="6"/>
  <c r="X609" i="6" s="1"/>
  <c r="Y609" i="6" s="1"/>
  <c r="AA609" i="6"/>
  <c r="F614" i="6"/>
  <c r="T613" i="6"/>
  <c r="K613" i="6"/>
  <c r="AC610" i="6"/>
  <c r="AD610" i="6" s="1"/>
  <c r="L610" i="6"/>
  <c r="V609" i="6"/>
  <c r="Z609" i="6"/>
  <c r="U610" i="6"/>
  <c r="J610" i="6"/>
  <c r="P610" i="6"/>
  <c r="V610" i="6" l="1"/>
  <c r="Z610" i="6"/>
  <c r="W610" i="6"/>
  <c r="X610" i="6" s="1"/>
  <c r="Y610" i="6" s="1"/>
  <c r="AA610" i="6"/>
  <c r="AC611" i="6"/>
  <c r="AD611" i="6" s="1"/>
  <c r="L611" i="6"/>
  <c r="K614" i="6"/>
  <c r="T614" i="6"/>
  <c r="F615" i="6"/>
  <c r="I612" i="6"/>
  <c r="G612" i="6"/>
  <c r="Q612" i="6"/>
  <c r="H613" i="6"/>
  <c r="P611" i="6"/>
  <c r="U611" i="6"/>
  <c r="J611" i="6"/>
  <c r="V611" i="6" l="1"/>
  <c r="Z611" i="6"/>
  <c r="L612" i="6"/>
  <c r="AC612" i="6"/>
  <c r="AD612" i="6" s="1"/>
  <c r="I613" i="6"/>
  <c r="H614" i="6"/>
  <c r="Q613" i="6"/>
  <c r="G613" i="6"/>
  <c r="K615" i="6"/>
  <c r="F616" i="6"/>
  <c r="T615" i="6"/>
  <c r="W611" i="6"/>
  <c r="X611" i="6" s="1"/>
  <c r="Y611" i="6" s="1"/>
  <c r="AA611" i="6"/>
  <c r="J612" i="6"/>
  <c r="P612" i="6"/>
  <c r="U612" i="6"/>
  <c r="J613" i="6" l="1"/>
  <c r="P613" i="6"/>
  <c r="U613" i="6"/>
  <c r="W612" i="6"/>
  <c r="X612" i="6" s="1"/>
  <c r="Y612" i="6" s="1"/>
  <c r="AA612" i="6"/>
  <c r="G614" i="6"/>
  <c r="I614" i="6"/>
  <c r="H615" i="6"/>
  <c r="Q614" i="6"/>
  <c r="T616" i="6"/>
  <c r="K616" i="6"/>
  <c r="F617" i="6"/>
  <c r="V612" i="6"/>
  <c r="Z612" i="6"/>
  <c r="AC613" i="6"/>
  <c r="AD613" i="6" s="1"/>
  <c r="L613" i="6"/>
  <c r="F618" i="6" l="1"/>
  <c r="K617" i="6"/>
  <c r="T617" i="6"/>
  <c r="W613" i="6"/>
  <c r="X613" i="6" s="1"/>
  <c r="Y613" i="6" s="1"/>
  <c r="AA613" i="6"/>
  <c r="L614" i="6"/>
  <c r="AC614" i="6"/>
  <c r="AD614" i="6" s="1"/>
  <c r="V613" i="6"/>
  <c r="Z613" i="6"/>
  <c r="H616" i="6"/>
  <c r="I615" i="6"/>
  <c r="Q615" i="6"/>
  <c r="G615" i="6"/>
  <c r="P614" i="6"/>
  <c r="U614" i="6"/>
  <c r="J614" i="6"/>
  <c r="V614" i="6" l="1"/>
  <c r="Z614" i="6"/>
  <c r="AC615" i="6"/>
  <c r="AD615" i="6" s="1"/>
  <c r="L615" i="6"/>
  <c r="P615" i="6"/>
  <c r="U615" i="6"/>
  <c r="J615" i="6"/>
  <c r="Q616" i="6"/>
  <c r="H617" i="6"/>
  <c r="I616" i="6"/>
  <c r="G616" i="6"/>
  <c r="W614" i="6"/>
  <c r="X614" i="6" s="1"/>
  <c r="Y614" i="6" s="1"/>
  <c r="AA614" i="6"/>
  <c r="K618" i="6"/>
  <c r="F619" i="6"/>
  <c r="T618" i="6"/>
  <c r="W615" i="6" l="1"/>
  <c r="X615" i="6" s="1"/>
  <c r="Y615" i="6" s="1"/>
  <c r="AA615" i="6"/>
  <c r="U616" i="6"/>
  <c r="J616" i="6"/>
  <c r="P616" i="6"/>
  <c r="F620" i="6"/>
  <c r="T619" i="6"/>
  <c r="K619" i="6"/>
  <c r="L616" i="6"/>
  <c r="AC616" i="6"/>
  <c r="AD616" i="6" s="1"/>
  <c r="V615" i="6"/>
  <c r="Z615" i="6"/>
  <c r="G617" i="6"/>
  <c r="Q617" i="6"/>
  <c r="I617" i="6"/>
  <c r="H618" i="6"/>
  <c r="J617" i="6" l="1"/>
  <c r="P617" i="6"/>
  <c r="U617" i="6"/>
  <c r="W616" i="6"/>
  <c r="X616" i="6" s="1"/>
  <c r="Y616" i="6" s="1"/>
  <c r="AA616" i="6"/>
  <c r="K620" i="6"/>
  <c r="T620" i="6"/>
  <c r="F621" i="6"/>
  <c r="L617" i="6"/>
  <c r="AC617" i="6"/>
  <c r="AD617" i="6" s="1"/>
  <c r="V616" i="6"/>
  <c r="Z616" i="6"/>
  <c r="I618" i="6"/>
  <c r="H619" i="6"/>
  <c r="G618" i="6"/>
  <c r="Q618" i="6"/>
  <c r="K621" i="6" l="1"/>
  <c r="T621" i="6"/>
  <c r="F622" i="6"/>
  <c r="U618" i="6"/>
  <c r="J618" i="6"/>
  <c r="P618" i="6"/>
  <c r="V617" i="6"/>
  <c r="Z617" i="6"/>
  <c r="G619" i="6"/>
  <c r="H620" i="6"/>
  <c r="Q619" i="6"/>
  <c r="I619" i="6"/>
  <c r="L618" i="6"/>
  <c r="AC618" i="6"/>
  <c r="AD618" i="6" s="1"/>
  <c r="W617" i="6"/>
  <c r="X617" i="6" s="1"/>
  <c r="Y617" i="6" s="1"/>
  <c r="AA617" i="6"/>
  <c r="H621" i="6" l="1"/>
  <c r="Q620" i="6"/>
  <c r="G620" i="6"/>
  <c r="I620" i="6"/>
  <c r="F623" i="6"/>
  <c r="K622" i="6"/>
  <c r="T622" i="6"/>
  <c r="W618" i="6"/>
  <c r="X618" i="6" s="1"/>
  <c r="Y618" i="6" s="1"/>
  <c r="AA618" i="6"/>
  <c r="U619" i="6"/>
  <c r="P619" i="6"/>
  <c r="J619" i="6"/>
  <c r="L619" i="6"/>
  <c r="AC619" i="6"/>
  <c r="AD619" i="6" s="1"/>
  <c r="V618" i="6"/>
  <c r="Z618" i="6"/>
  <c r="W619" i="6" l="1"/>
  <c r="X619" i="6" s="1"/>
  <c r="Y619" i="6" s="1"/>
  <c r="AA619" i="6"/>
  <c r="L620" i="6"/>
  <c r="AC620" i="6"/>
  <c r="AD620" i="6" s="1"/>
  <c r="V619" i="6"/>
  <c r="Z619" i="6"/>
  <c r="U620" i="6"/>
  <c r="J620" i="6"/>
  <c r="P620" i="6"/>
  <c r="K623" i="6"/>
  <c r="T623" i="6"/>
  <c r="F624" i="6"/>
  <c r="G621" i="6"/>
  <c r="H622" i="6"/>
  <c r="I621" i="6"/>
  <c r="Q621" i="6"/>
  <c r="AC621" i="6" l="1"/>
  <c r="AD621" i="6" s="1"/>
  <c r="L621" i="6"/>
  <c r="W621" i="6" s="1"/>
  <c r="X621" i="6" s="1"/>
  <c r="U621" i="6"/>
  <c r="J621" i="6"/>
  <c r="P621" i="6"/>
  <c r="Q622" i="6"/>
  <c r="H623" i="6"/>
  <c r="G622" i="6"/>
  <c r="I622" i="6"/>
  <c r="V620" i="6"/>
  <c r="Z620" i="6"/>
  <c r="W620" i="6"/>
  <c r="X620" i="6" s="1"/>
  <c r="Y620" i="6" s="1"/>
  <c r="AA620" i="6"/>
  <c r="K624" i="6"/>
  <c r="T624" i="6"/>
  <c r="F625" i="6"/>
  <c r="P622" i="6" l="1"/>
  <c r="U622" i="6"/>
  <c r="J622" i="6"/>
  <c r="G623" i="6"/>
  <c r="I623" i="6"/>
  <c r="H624" i="6"/>
  <c r="Q623" i="6"/>
  <c r="V621" i="6"/>
  <c r="Z621" i="6"/>
  <c r="F626" i="6"/>
  <c r="T625" i="6"/>
  <c r="K625" i="6"/>
  <c r="Y621" i="6"/>
  <c r="L622" i="6"/>
  <c r="AC622" i="6"/>
  <c r="AD622" i="6" s="1"/>
  <c r="U623" i="6" l="1"/>
  <c r="J623" i="6"/>
  <c r="P623" i="6"/>
  <c r="W622" i="6"/>
  <c r="X622" i="6" s="1"/>
  <c r="Y622" i="6" s="1"/>
  <c r="AA622" i="6"/>
  <c r="G624" i="6"/>
  <c r="Q624" i="6"/>
  <c r="H625" i="6"/>
  <c r="I624" i="6"/>
  <c r="V622" i="6"/>
  <c r="Z622" i="6"/>
  <c r="T626" i="6"/>
  <c r="F627" i="6"/>
  <c r="K626" i="6"/>
  <c r="AC623" i="6"/>
  <c r="AD623" i="6" s="1"/>
  <c r="L623" i="6"/>
  <c r="K627" i="6" l="1"/>
  <c r="F628" i="6"/>
  <c r="T627" i="6"/>
  <c r="G625" i="6"/>
  <c r="I625" i="6"/>
  <c r="Q625" i="6"/>
  <c r="H626" i="6"/>
  <c r="W623" i="6"/>
  <c r="X623" i="6" s="1"/>
  <c r="Y623" i="6" s="1"/>
  <c r="AA623" i="6"/>
  <c r="AC624" i="6"/>
  <c r="AD624" i="6" s="1"/>
  <c r="L624" i="6"/>
  <c r="J624" i="6"/>
  <c r="U624" i="6"/>
  <c r="P624" i="6"/>
  <c r="V623" i="6"/>
  <c r="Z623" i="6"/>
  <c r="G626" i="6" l="1"/>
  <c r="I626" i="6"/>
  <c r="H627" i="6"/>
  <c r="Q626" i="6"/>
  <c r="W624" i="6"/>
  <c r="X624" i="6" s="1"/>
  <c r="Y624" i="6" s="1"/>
  <c r="AA624" i="6"/>
  <c r="L625" i="6"/>
  <c r="AC625" i="6"/>
  <c r="AD625" i="6" s="1"/>
  <c r="K628" i="6"/>
  <c r="F629" i="6"/>
  <c r="T628" i="6"/>
  <c r="V624" i="6"/>
  <c r="Z624" i="6"/>
  <c r="U625" i="6"/>
  <c r="P625" i="6"/>
  <c r="J625" i="6"/>
  <c r="V625" i="6" l="1"/>
  <c r="Z625" i="6"/>
  <c r="W625" i="6"/>
  <c r="X625" i="6" s="1"/>
  <c r="Y625" i="6" s="1"/>
  <c r="AA625" i="6"/>
  <c r="Q627" i="6"/>
  <c r="H628" i="6"/>
  <c r="G627" i="6"/>
  <c r="I627" i="6"/>
  <c r="L626" i="6"/>
  <c r="AC626" i="6"/>
  <c r="AD626" i="6" s="1"/>
  <c r="K629" i="6"/>
  <c r="T629" i="6"/>
  <c r="F630" i="6"/>
  <c r="J626" i="6"/>
  <c r="P626" i="6"/>
  <c r="U626" i="6"/>
  <c r="L627" i="6" l="1"/>
  <c r="W627" i="6" s="1"/>
  <c r="X627" i="6" s="1"/>
  <c r="AC627" i="6"/>
  <c r="AD627" i="6" s="1"/>
  <c r="J627" i="6"/>
  <c r="P627" i="6"/>
  <c r="U627" i="6"/>
  <c r="G628" i="6"/>
  <c r="H629" i="6"/>
  <c r="Q628" i="6"/>
  <c r="I628" i="6"/>
  <c r="V626" i="6"/>
  <c r="Z626" i="6"/>
  <c r="T630" i="6"/>
  <c r="K630" i="6"/>
  <c r="F631" i="6"/>
  <c r="W626" i="6"/>
  <c r="X626" i="6" s="1"/>
  <c r="Y626" i="6" s="1"/>
  <c r="AA626" i="6"/>
  <c r="G629" i="6" l="1"/>
  <c r="I629" i="6"/>
  <c r="Q629" i="6"/>
  <c r="H630" i="6"/>
  <c r="F632" i="6"/>
  <c r="K631" i="6"/>
  <c r="T631" i="6"/>
  <c r="J628" i="6"/>
  <c r="P628" i="6"/>
  <c r="U628" i="6"/>
  <c r="AC628" i="6"/>
  <c r="AD628" i="6" s="1"/>
  <c r="L628" i="6"/>
  <c r="V627" i="6"/>
  <c r="Z627" i="6"/>
  <c r="Y627" i="6"/>
  <c r="G630" i="6" l="1"/>
  <c r="I630" i="6"/>
  <c r="H631" i="6"/>
  <c r="Q630" i="6"/>
  <c r="V628" i="6"/>
  <c r="Z628" i="6"/>
  <c r="W628" i="6"/>
  <c r="X628" i="6" s="1"/>
  <c r="Y628" i="6" s="1"/>
  <c r="AA628" i="6"/>
  <c r="L629" i="6"/>
  <c r="AC629" i="6"/>
  <c r="AD629" i="6" s="1"/>
  <c r="K632" i="6"/>
  <c r="T632" i="6"/>
  <c r="F633" i="6"/>
  <c r="U629" i="6"/>
  <c r="J629" i="6"/>
  <c r="P629" i="6"/>
  <c r="V629" i="6" l="1"/>
  <c r="Z629" i="6"/>
  <c r="H632" i="6"/>
  <c r="I631" i="6"/>
  <c r="G631" i="6"/>
  <c r="Q631" i="6"/>
  <c r="AC630" i="6"/>
  <c r="AD630" i="6" s="1"/>
  <c r="L630" i="6"/>
  <c r="F634" i="6"/>
  <c r="T633" i="6"/>
  <c r="K633" i="6"/>
  <c r="W629" i="6"/>
  <c r="X629" i="6" s="1"/>
  <c r="Y629" i="6" s="1"/>
  <c r="AA629" i="6"/>
  <c r="P630" i="6"/>
  <c r="U630" i="6"/>
  <c r="J630" i="6"/>
  <c r="V630" i="6" l="1"/>
  <c r="Z630" i="6"/>
  <c r="W630" i="6"/>
  <c r="X630" i="6" s="1"/>
  <c r="Y630" i="6" s="1"/>
  <c r="AA630" i="6"/>
  <c r="L631" i="6"/>
  <c r="AC631" i="6"/>
  <c r="AD631" i="6" s="1"/>
  <c r="Q632" i="6"/>
  <c r="H633" i="6"/>
  <c r="G632" i="6"/>
  <c r="I632" i="6"/>
  <c r="T634" i="6"/>
  <c r="K634" i="6"/>
  <c r="F635" i="6"/>
  <c r="U631" i="6"/>
  <c r="J631" i="6"/>
  <c r="P631" i="6"/>
  <c r="I633" i="6" l="1"/>
  <c r="G633" i="6"/>
  <c r="H634" i="6"/>
  <c r="Q633" i="6"/>
  <c r="V631" i="6"/>
  <c r="Z631" i="6"/>
  <c r="L632" i="6"/>
  <c r="AC632" i="6"/>
  <c r="AD632" i="6" s="1"/>
  <c r="K635" i="6"/>
  <c r="T635" i="6"/>
  <c r="F636" i="6"/>
  <c r="P632" i="6"/>
  <c r="U632" i="6"/>
  <c r="J632" i="6"/>
  <c r="W631" i="6"/>
  <c r="X631" i="6" s="1"/>
  <c r="Y631" i="6" s="1"/>
  <c r="AA631" i="6"/>
  <c r="F637" i="6" l="1"/>
  <c r="K636" i="6"/>
  <c r="T636" i="6"/>
  <c r="W632" i="6"/>
  <c r="X632" i="6" s="1"/>
  <c r="Y632" i="6" s="1"/>
  <c r="AA632" i="6"/>
  <c r="H635" i="6"/>
  <c r="G634" i="6"/>
  <c r="I634" i="6"/>
  <c r="Q634" i="6"/>
  <c r="V632" i="6"/>
  <c r="Z632" i="6"/>
  <c r="P633" i="6"/>
  <c r="J633" i="6"/>
  <c r="U633" i="6"/>
  <c r="L633" i="6"/>
  <c r="AC633" i="6"/>
  <c r="AD633" i="6" s="1"/>
  <c r="W633" i="6" l="1"/>
  <c r="X633" i="6" s="1"/>
  <c r="Y633" i="6" s="1"/>
  <c r="AA633" i="6"/>
  <c r="P634" i="6"/>
  <c r="U634" i="6"/>
  <c r="J634" i="6"/>
  <c r="V633" i="6"/>
  <c r="Z633" i="6"/>
  <c r="Q635" i="6"/>
  <c r="H636" i="6"/>
  <c r="G635" i="6"/>
  <c r="I635" i="6"/>
  <c r="L634" i="6"/>
  <c r="AC634" i="6"/>
  <c r="AD634" i="6" s="1"/>
  <c r="K637" i="6"/>
  <c r="T637" i="6"/>
  <c r="F638" i="6"/>
  <c r="W634" i="6" l="1"/>
  <c r="X634" i="6" s="1"/>
  <c r="Y634" i="6" s="1"/>
  <c r="AA634" i="6"/>
  <c r="V634" i="6"/>
  <c r="Z634" i="6"/>
  <c r="AC635" i="6"/>
  <c r="AD635" i="6" s="1"/>
  <c r="L635" i="6"/>
  <c r="U635" i="6"/>
  <c r="J635" i="6"/>
  <c r="P635" i="6"/>
  <c r="T638" i="6"/>
  <c r="F639" i="6"/>
  <c r="K638" i="6"/>
  <c r="Q636" i="6"/>
  <c r="I636" i="6"/>
  <c r="H637" i="6"/>
  <c r="G636" i="6"/>
  <c r="G637" i="6" l="1"/>
  <c r="Q637" i="6"/>
  <c r="I637" i="6"/>
  <c r="H638" i="6"/>
  <c r="F640" i="6"/>
  <c r="T639" i="6"/>
  <c r="K639" i="6"/>
  <c r="L636" i="6"/>
  <c r="AC636" i="6"/>
  <c r="AD636" i="6" s="1"/>
  <c r="V635" i="6"/>
  <c r="Z635" i="6"/>
  <c r="W635" i="6"/>
  <c r="X635" i="6" s="1"/>
  <c r="Y635" i="6" s="1"/>
  <c r="AA635" i="6"/>
  <c r="J636" i="6"/>
  <c r="U636" i="6"/>
  <c r="P636" i="6"/>
  <c r="H639" i="6" l="1"/>
  <c r="I638" i="6"/>
  <c r="Q638" i="6"/>
  <c r="G638" i="6"/>
  <c r="V636" i="6"/>
  <c r="Z636" i="6"/>
  <c r="L637" i="6"/>
  <c r="AC637" i="6"/>
  <c r="AD637" i="6" s="1"/>
  <c r="W636" i="6"/>
  <c r="X636" i="6" s="1"/>
  <c r="Y636" i="6" s="1"/>
  <c r="AA636" i="6"/>
  <c r="K640" i="6"/>
  <c r="F641" i="6"/>
  <c r="T640" i="6"/>
  <c r="P637" i="6"/>
  <c r="J637" i="6"/>
  <c r="U637" i="6"/>
  <c r="F642" i="6" l="1"/>
  <c r="K641" i="6"/>
  <c r="T641" i="6"/>
  <c r="U638" i="6"/>
  <c r="P638" i="6"/>
  <c r="J638" i="6"/>
  <c r="W637" i="6"/>
  <c r="X637" i="6" s="1"/>
  <c r="Y637" i="6" s="1"/>
  <c r="AA637" i="6"/>
  <c r="L638" i="6"/>
  <c r="AC638" i="6"/>
  <c r="AD638" i="6" s="1"/>
  <c r="V637" i="6"/>
  <c r="Z637" i="6"/>
  <c r="I639" i="6"/>
  <c r="H640" i="6"/>
  <c r="Q639" i="6"/>
  <c r="G639" i="6"/>
  <c r="J639" i="6" l="1"/>
  <c r="U639" i="6"/>
  <c r="P639" i="6"/>
  <c r="H641" i="6"/>
  <c r="Q640" i="6"/>
  <c r="G640" i="6"/>
  <c r="I640" i="6"/>
  <c r="L639" i="6"/>
  <c r="AC639" i="6"/>
  <c r="AD639" i="6" s="1"/>
  <c r="W638" i="6"/>
  <c r="X638" i="6" s="1"/>
  <c r="Y638" i="6" s="1"/>
  <c r="AA638" i="6"/>
  <c r="V638" i="6"/>
  <c r="Z638" i="6"/>
  <c r="T642" i="6"/>
  <c r="F643" i="6"/>
  <c r="K642" i="6"/>
  <c r="H642" i="6" l="1"/>
  <c r="I641" i="6"/>
  <c r="G641" i="6"/>
  <c r="Q641" i="6"/>
  <c r="L640" i="6"/>
  <c r="AC640" i="6"/>
  <c r="AD640" i="6" s="1"/>
  <c r="F644" i="6"/>
  <c r="T643" i="6"/>
  <c r="K643" i="6"/>
  <c r="J640" i="6"/>
  <c r="U640" i="6"/>
  <c r="P640" i="6"/>
  <c r="V639" i="6"/>
  <c r="Z639" i="6"/>
  <c r="W639" i="6"/>
  <c r="X639" i="6" s="1"/>
  <c r="Y639" i="6" s="1"/>
  <c r="AA639" i="6"/>
  <c r="V640" i="6" l="1"/>
  <c r="Z640" i="6"/>
  <c r="T644" i="6"/>
  <c r="F645" i="6"/>
  <c r="K644" i="6"/>
  <c r="U641" i="6"/>
  <c r="P641" i="6"/>
  <c r="J641" i="6"/>
  <c r="L641" i="6"/>
  <c r="AC641" i="6"/>
  <c r="AD641" i="6" s="1"/>
  <c r="W640" i="6"/>
  <c r="X640" i="6" s="1"/>
  <c r="Y640" i="6" s="1"/>
  <c r="AA640" i="6"/>
  <c r="I642" i="6"/>
  <c r="H643" i="6"/>
  <c r="G642" i="6"/>
  <c r="Q642" i="6"/>
  <c r="P642" i="6" l="1"/>
  <c r="J642" i="6"/>
  <c r="U642" i="6"/>
  <c r="F646" i="6"/>
  <c r="K645" i="6"/>
  <c r="T645" i="6"/>
  <c r="V641" i="6"/>
  <c r="Z641" i="6"/>
  <c r="Q643" i="6"/>
  <c r="H644" i="6"/>
  <c r="G643" i="6"/>
  <c r="I643" i="6"/>
  <c r="L642" i="6"/>
  <c r="AC642" i="6"/>
  <c r="AD642" i="6" s="1"/>
  <c r="W641" i="6"/>
  <c r="X641" i="6" s="1"/>
  <c r="Y641" i="6" s="1"/>
  <c r="AA641" i="6"/>
  <c r="T646" i="6" l="1"/>
  <c r="F647" i="6"/>
  <c r="K646" i="6"/>
  <c r="I644" i="6"/>
  <c r="Q644" i="6"/>
  <c r="G644" i="6"/>
  <c r="H645" i="6"/>
  <c r="V642" i="6"/>
  <c r="Z642" i="6"/>
  <c r="U643" i="6"/>
  <c r="P643" i="6"/>
  <c r="J643" i="6"/>
  <c r="W642" i="6"/>
  <c r="X642" i="6" s="1"/>
  <c r="Y642" i="6" s="1"/>
  <c r="AA642" i="6"/>
  <c r="L643" i="6"/>
  <c r="AC643" i="6"/>
  <c r="AD643" i="6" s="1"/>
  <c r="Q645" i="6" l="1"/>
  <c r="H646" i="6"/>
  <c r="I645" i="6"/>
  <c r="G645" i="6"/>
  <c r="W643" i="6"/>
  <c r="X643" i="6" s="1"/>
  <c r="Y643" i="6" s="1"/>
  <c r="AA643" i="6"/>
  <c r="V643" i="6"/>
  <c r="Z643" i="6"/>
  <c r="F648" i="6"/>
  <c r="T647" i="6"/>
  <c r="K647" i="6"/>
  <c r="U644" i="6"/>
  <c r="J644" i="6"/>
  <c r="P644" i="6"/>
  <c r="L644" i="6"/>
  <c r="AC644" i="6"/>
  <c r="AD644" i="6" s="1"/>
  <c r="W644" i="6" l="1"/>
  <c r="X644" i="6" s="1"/>
  <c r="Y644" i="6" s="1"/>
  <c r="AA644" i="6"/>
  <c r="U645" i="6"/>
  <c r="P645" i="6"/>
  <c r="J645" i="6"/>
  <c r="V644" i="6"/>
  <c r="Z644" i="6"/>
  <c r="L645" i="6"/>
  <c r="AC645" i="6"/>
  <c r="AD645" i="6" s="1"/>
  <c r="I646" i="6"/>
  <c r="H647" i="6"/>
  <c r="G646" i="6"/>
  <c r="Q646" i="6"/>
  <c r="F649" i="6"/>
  <c r="K648" i="6"/>
  <c r="T648" i="6"/>
  <c r="L646" i="6" l="1"/>
  <c r="AC646" i="6"/>
  <c r="AD646" i="6" s="1"/>
  <c r="P646" i="6"/>
  <c r="U646" i="6"/>
  <c r="J646" i="6"/>
  <c r="W645" i="6"/>
  <c r="X645" i="6" s="1"/>
  <c r="Y645" i="6" s="1"/>
  <c r="AA645" i="6"/>
  <c r="F650" i="6"/>
  <c r="K649" i="6"/>
  <c r="T649" i="6"/>
  <c r="H648" i="6"/>
  <c r="Q647" i="6"/>
  <c r="I647" i="6"/>
  <c r="G647" i="6"/>
  <c r="V645" i="6"/>
  <c r="Z645" i="6"/>
  <c r="K650" i="6" l="1"/>
  <c r="T650" i="6"/>
  <c r="F651" i="6"/>
  <c r="V646" i="6"/>
  <c r="Z646" i="6"/>
  <c r="H649" i="6"/>
  <c r="G648" i="6"/>
  <c r="Q648" i="6"/>
  <c r="I648" i="6"/>
  <c r="P647" i="6"/>
  <c r="U647" i="6"/>
  <c r="J647" i="6"/>
  <c r="AC647" i="6"/>
  <c r="AD647" i="6" s="1"/>
  <c r="L647" i="6"/>
  <c r="W647" i="6" s="1"/>
  <c r="X647" i="6" s="1"/>
  <c r="Y647" i="6" s="1"/>
  <c r="W646" i="6"/>
  <c r="X646" i="6" s="1"/>
  <c r="Y646" i="6" s="1"/>
  <c r="AA646" i="6"/>
  <c r="V647" i="6" l="1"/>
  <c r="Z647" i="6"/>
  <c r="U648" i="6"/>
  <c r="J648" i="6"/>
  <c r="P648" i="6"/>
  <c r="F652" i="6"/>
  <c r="K651" i="6"/>
  <c r="T651" i="6"/>
  <c r="Q649" i="6"/>
  <c r="I649" i="6"/>
  <c r="H650" i="6"/>
  <c r="G649" i="6"/>
  <c r="L648" i="6"/>
  <c r="AC648" i="6"/>
  <c r="AD648" i="6" s="1"/>
  <c r="H651" i="6" l="1"/>
  <c r="Q650" i="6"/>
  <c r="I650" i="6"/>
  <c r="G650" i="6"/>
  <c r="AC649" i="6"/>
  <c r="AD649" i="6" s="1"/>
  <c r="L649" i="6"/>
  <c r="V648" i="6"/>
  <c r="Z648" i="6"/>
  <c r="T652" i="6"/>
  <c r="F653" i="6"/>
  <c r="K652" i="6"/>
  <c r="W648" i="6"/>
  <c r="X648" i="6" s="1"/>
  <c r="Y648" i="6" s="1"/>
  <c r="AA648" i="6"/>
  <c r="U649" i="6"/>
  <c r="J649" i="6"/>
  <c r="P649" i="6"/>
  <c r="P650" i="6" l="1"/>
  <c r="J650" i="6"/>
  <c r="U650" i="6"/>
  <c r="V649" i="6"/>
  <c r="Z649" i="6"/>
  <c r="L650" i="6"/>
  <c r="AC650" i="6"/>
  <c r="AD650" i="6" s="1"/>
  <c r="K653" i="6"/>
  <c r="T653" i="6"/>
  <c r="F654" i="6"/>
  <c r="W649" i="6"/>
  <c r="X649" i="6" s="1"/>
  <c r="Y649" i="6" s="1"/>
  <c r="AA649" i="6"/>
  <c r="I651" i="6"/>
  <c r="G651" i="6"/>
  <c r="Q651" i="6"/>
  <c r="H652" i="6"/>
  <c r="Q652" i="6" l="1"/>
  <c r="H653" i="6"/>
  <c r="I652" i="6"/>
  <c r="G652" i="6"/>
  <c r="J651" i="6"/>
  <c r="U651" i="6"/>
  <c r="P651" i="6"/>
  <c r="V650" i="6"/>
  <c r="Z650" i="6"/>
  <c r="L651" i="6"/>
  <c r="AC651" i="6"/>
  <c r="AD651" i="6" s="1"/>
  <c r="K654" i="6"/>
  <c r="F655" i="6"/>
  <c r="T654" i="6"/>
  <c r="W650" i="6"/>
  <c r="X650" i="6" s="1"/>
  <c r="Y650" i="6" s="1"/>
  <c r="AA650" i="6"/>
  <c r="P652" i="6" l="1"/>
  <c r="U652" i="6"/>
  <c r="J652" i="6"/>
  <c r="L652" i="6"/>
  <c r="AC652" i="6"/>
  <c r="AD652" i="6" s="1"/>
  <c r="K655" i="6"/>
  <c r="F656" i="6"/>
  <c r="T655" i="6"/>
  <c r="W651" i="6"/>
  <c r="X651" i="6" s="1"/>
  <c r="Y651" i="6" s="1"/>
  <c r="AA651" i="6"/>
  <c r="V651" i="6"/>
  <c r="Z651" i="6"/>
  <c r="Q653" i="6"/>
  <c r="I653" i="6"/>
  <c r="H654" i="6"/>
  <c r="G653" i="6"/>
  <c r="G654" i="6" l="1"/>
  <c r="Q654" i="6"/>
  <c r="H655" i="6"/>
  <c r="I654" i="6"/>
  <c r="W652" i="6"/>
  <c r="X652" i="6" s="1"/>
  <c r="Y652" i="6" s="1"/>
  <c r="AA652" i="6"/>
  <c r="F657" i="6"/>
  <c r="T656" i="6"/>
  <c r="K656" i="6"/>
  <c r="AC653" i="6"/>
  <c r="AD653" i="6" s="1"/>
  <c r="L653" i="6"/>
  <c r="V652" i="6"/>
  <c r="Z652" i="6"/>
  <c r="P653" i="6"/>
  <c r="U653" i="6"/>
  <c r="J653" i="6"/>
  <c r="V653" i="6" l="1"/>
  <c r="Z653" i="6"/>
  <c r="W653" i="6"/>
  <c r="X653" i="6" s="1"/>
  <c r="Y653" i="6" s="1"/>
  <c r="AA653" i="6"/>
  <c r="L654" i="6"/>
  <c r="AC654" i="6"/>
  <c r="AD654" i="6" s="1"/>
  <c r="K657" i="6"/>
  <c r="F658" i="6"/>
  <c r="T657" i="6"/>
  <c r="I655" i="6"/>
  <c r="Q655" i="6"/>
  <c r="H656" i="6"/>
  <c r="G655" i="6"/>
  <c r="U654" i="6"/>
  <c r="J654" i="6"/>
  <c r="P654" i="6"/>
  <c r="V654" i="6" l="1"/>
  <c r="Z654" i="6"/>
  <c r="AC655" i="6"/>
  <c r="AD655" i="6" s="1"/>
  <c r="L655" i="6"/>
  <c r="P655" i="6"/>
  <c r="U655" i="6"/>
  <c r="J655" i="6"/>
  <c r="G656" i="6"/>
  <c r="Q656" i="6"/>
  <c r="H657" i="6"/>
  <c r="I656" i="6"/>
  <c r="F659" i="6"/>
  <c r="T658" i="6"/>
  <c r="K658" i="6"/>
  <c r="W654" i="6"/>
  <c r="X654" i="6" s="1"/>
  <c r="Y654" i="6" s="1"/>
  <c r="AA654" i="6"/>
  <c r="T659" i="6" l="1"/>
  <c r="F660" i="6"/>
  <c r="K659" i="6"/>
  <c r="U656" i="6"/>
  <c r="J656" i="6"/>
  <c r="P656" i="6"/>
  <c r="W655" i="6"/>
  <c r="X655" i="6" s="1"/>
  <c r="Y655" i="6" s="1"/>
  <c r="AA655" i="6"/>
  <c r="L656" i="6"/>
  <c r="AC656" i="6"/>
  <c r="AD656" i="6" s="1"/>
  <c r="G657" i="6"/>
  <c r="Q657" i="6"/>
  <c r="H658" i="6"/>
  <c r="I657" i="6"/>
  <c r="V655" i="6"/>
  <c r="Z655" i="6"/>
  <c r="U657" i="6" l="1"/>
  <c r="J657" i="6"/>
  <c r="P657" i="6"/>
  <c r="AC657" i="6"/>
  <c r="AD657" i="6" s="1"/>
  <c r="L657" i="6"/>
  <c r="H659" i="6"/>
  <c r="G658" i="6"/>
  <c r="Q658" i="6"/>
  <c r="I658" i="6"/>
  <c r="W656" i="6"/>
  <c r="X656" i="6" s="1"/>
  <c r="Y656" i="6" s="1"/>
  <c r="AA656" i="6"/>
  <c r="T660" i="6"/>
  <c r="F661" i="6"/>
  <c r="K660" i="6"/>
  <c r="V656" i="6"/>
  <c r="Z656" i="6"/>
  <c r="J658" i="6" l="1"/>
  <c r="P658" i="6"/>
  <c r="U658" i="6"/>
  <c r="I659" i="6"/>
  <c r="G659" i="6"/>
  <c r="H660" i="6"/>
  <c r="Q659" i="6"/>
  <c r="T661" i="6"/>
  <c r="K661" i="6"/>
  <c r="F662" i="6"/>
  <c r="L658" i="6"/>
  <c r="AC658" i="6"/>
  <c r="AD658" i="6" s="1"/>
  <c r="W657" i="6"/>
  <c r="X657" i="6" s="1"/>
  <c r="Y657" i="6" s="1"/>
  <c r="AA657" i="6"/>
  <c r="V657" i="6"/>
  <c r="Z657" i="6"/>
  <c r="W658" i="6" l="1"/>
  <c r="X658" i="6" s="1"/>
  <c r="Y658" i="6" s="1"/>
  <c r="AA658" i="6"/>
  <c r="L659" i="6"/>
  <c r="AC659" i="6"/>
  <c r="AD659" i="6" s="1"/>
  <c r="V658" i="6"/>
  <c r="Z658" i="6"/>
  <c r="H661" i="6"/>
  <c r="I660" i="6"/>
  <c r="G660" i="6"/>
  <c r="Q660" i="6"/>
  <c r="K662" i="6"/>
  <c r="F663" i="6"/>
  <c r="T662" i="6"/>
  <c r="U659" i="6"/>
  <c r="P659" i="6"/>
  <c r="J659" i="6"/>
  <c r="F664" i="6" l="1"/>
  <c r="K663" i="6"/>
  <c r="T663" i="6"/>
  <c r="L660" i="6"/>
  <c r="AC660" i="6"/>
  <c r="AD660" i="6" s="1"/>
  <c r="V659" i="6"/>
  <c r="Z659" i="6"/>
  <c r="G661" i="6"/>
  <c r="I661" i="6"/>
  <c r="H662" i="6"/>
  <c r="Q661" i="6"/>
  <c r="W659" i="6"/>
  <c r="X659" i="6" s="1"/>
  <c r="Y659" i="6" s="1"/>
  <c r="AA659" i="6"/>
  <c r="P660" i="6"/>
  <c r="J660" i="6"/>
  <c r="U660" i="6"/>
  <c r="H663" i="6" l="1"/>
  <c r="I662" i="6"/>
  <c r="G662" i="6"/>
  <c r="Q662" i="6"/>
  <c r="L661" i="6"/>
  <c r="AC661" i="6"/>
  <c r="AD661" i="6" s="1"/>
  <c r="V660" i="6"/>
  <c r="Z660" i="6"/>
  <c r="U661" i="6"/>
  <c r="P661" i="6"/>
  <c r="J661" i="6"/>
  <c r="W660" i="6"/>
  <c r="X660" i="6" s="1"/>
  <c r="Y660" i="6" s="1"/>
  <c r="AA660" i="6"/>
  <c r="K664" i="6"/>
  <c r="F665" i="6"/>
  <c r="T664" i="6"/>
  <c r="K665" i="6" l="1"/>
  <c r="T665" i="6"/>
  <c r="F666" i="6"/>
  <c r="J662" i="6"/>
  <c r="P662" i="6"/>
  <c r="U662" i="6"/>
  <c r="L662" i="6"/>
  <c r="AC662" i="6"/>
  <c r="AD662" i="6" s="1"/>
  <c r="V661" i="6"/>
  <c r="Z661" i="6"/>
  <c r="W661" i="6"/>
  <c r="X661" i="6" s="1"/>
  <c r="Y661" i="6" s="1"/>
  <c r="AA661" i="6"/>
  <c r="G663" i="6"/>
  <c r="H664" i="6"/>
  <c r="I663" i="6"/>
  <c r="Q663" i="6"/>
  <c r="L663" i="6" l="1"/>
  <c r="AC663" i="6"/>
  <c r="AD663" i="6" s="1"/>
  <c r="W662" i="6"/>
  <c r="X662" i="6" s="1"/>
  <c r="Y662" i="6" s="1"/>
  <c r="AA662" i="6"/>
  <c r="T666" i="6"/>
  <c r="K666" i="6"/>
  <c r="F667" i="6"/>
  <c r="H665" i="6"/>
  <c r="I664" i="6"/>
  <c r="G664" i="6"/>
  <c r="Q664" i="6"/>
  <c r="V662" i="6"/>
  <c r="Z662" i="6"/>
  <c r="P663" i="6"/>
  <c r="J663" i="6"/>
  <c r="U663" i="6"/>
  <c r="T667" i="6" l="1"/>
  <c r="F668" i="6"/>
  <c r="K667" i="6"/>
  <c r="U664" i="6"/>
  <c r="P664" i="6"/>
  <c r="J664" i="6"/>
  <c r="L664" i="6"/>
  <c r="AC664" i="6"/>
  <c r="AD664" i="6" s="1"/>
  <c r="V663" i="6"/>
  <c r="Z663" i="6"/>
  <c r="H666" i="6"/>
  <c r="G665" i="6"/>
  <c r="Q665" i="6"/>
  <c r="I665" i="6"/>
  <c r="W663" i="6"/>
  <c r="X663" i="6" s="1"/>
  <c r="Y663" i="6" s="1"/>
  <c r="AA663" i="6"/>
  <c r="W664" i="6" l="1"/>
  <c r="X664" i="6" s="1"/>
  <c r="Y664" i="6" s="1"/>
  <c r="AA664" i="6"/>
  <c r="I666" i="6"/>
  <c r="G666" i="6"/>
  <c r="H667" i="6"/>
  <c r="Q666" i="6"/>
  <c r="AC665" i="6"/>
  <c r="AD665" i="6" s="1"/>
  <c r="L665" i="6"/>
  <c r="K668" i="6"/>
  <c r="T668" i="6"/>
  <c r="F669" i="6"/>
  <c r="P665" i="6"/>
  <c r="U665" i="6"/>
  <c r="J665" i="6"/>
  <c r="V664" i="6"/>
  <c r="Z664" i="6"/>
  <c r="V665" i="6" l="1"/>
  <c r="Z665" i="6"/>
  <c r="W665" i="6"/>
  <c r="X665" i="6" s="1"/>
  <c r="Y665" i="6" s="1"/>
  <c r="AA665" i="6"/>
  <c r="J666" i="6"/>
  <c r="P666" i="6"/>
  <c r="U666" i="6"/>
  <c r="K669" i="6"/>
  <c r="F670" i="6"/>
  <c r="T669" i="6"/>
  <c r="L666" i="6"/>
  <c r="AC666" i="6"/>
  <c r="AD666" i="6" s="1"/>
  <c r="Q667" i="6"/>
  <c r="G667" i="6"/>
  <c r="H668" i="6"/>
  <c r="I667" i="6"/>
  <c r="I668" i="6" l="1"/>
  <c r="Q668" i="6"/>
  <c r="H669" i="6"/>
  <c r="G668" i="6"/>
  <c r="W666" i="6"/>
  <c r="X666" i="6" s="1"/>
  <c r="Y666" i="6" s="1"/>
  <c r="AA666" i="6"/>
  <c r="V666" i="6"/>
  <c r="Z666" i="6"/>
  <c r="J667" i="6"/>
  <c r="P667" i="6"/>
  <c r="U667" i="6"/>
  <c r="L667" i="6"/>
  <c r="AC667" i="6"/>
  <c r="AD667" i="6" s="1"/>
  <c r="K670" i="6"/>
  <c r="T670" i="6"/>
  <c r="F671" i="6"/>
  <c r="T671" i="6" l="1"/>
  <c r="F672" i="6"/>
  <c r="K671" i="6"/>
  <c r="W667" i="6"/>
  <c r="X667" i="6" s="1"/>
  <c r="Y667" i="6" s="1"/>
  <c r="AA667" i="6"/>
  <c r="U668" i="6"/>
  <c r="P668" i="6"/>
  <c r="J668" i="6"/>
  <c r="V667" i="6"/>
  <c r="Z667" i="6"/>
  <c r="Q669" i="6"/>
  <c r="I669" i="6"/>
  <c r="H670" i="6"/>
  <c r="G669" i="6"/>
  <c r="L668" i="6"/>
  <c r="AC668" i="6"/>
  <c r="AD668" i="6" s="1"/>
  <c r="W668" i="6" l="1"/>
  <c r="X668" i="6" s="1"/>
  <c r="Y668" i="6" s="1"/>
  <c r="AA668" i="6"/>
  <c r="Q670" i="6"/>
  <c r="G670" i="6"/>
  <c r="H671" i="6"/>
  <c r="I670" i="6"/>
  <c r="P669" i="6"/>
  <c r="J669" i="6"/>
  <c r="U669" i="6"/>
  <c r="V668" i="6"/>
  <c r="Z668" i="6"/>
  <c r="F673" i="6"/>
  <c r="K672" i="6"/>
  <c r="T672" i="6"/>
  <c r="L669" i="6"/>
  <c r="AC669" i="6"/>
  <c r="AD669" i="6" s="1"/>
  <c r="W669" i="6" l="1"/>
  <c r="X669" i="6" s="1"/>
  <c r="Y669" i="6" s="1"/>
  <c r="AA669" i="6"/>
  <c r="P670" i="6"/>
  <c r="U670" i="6"/>
  <c r="J670" i="6"/>
  <c r="K673" i="6"/>
  <c r="T673" i="6"/>
  <c r="F674" i="6"/>
  <c r="L670" i="6"/>
  <c r="AC670" i="6"/>
  <c r="AD670" i="6" s="1"/>
  <c r="V669" i="6"/>
  <c r="Z669" i="6"/>
  <c r="I671" i="6"/>
  <c r="Q671" i="6"/>
  <c r="G671" i="6"/>
  <c r="H672" i="6"/>
  <c r="AC671" i="6" l="1"/>
  <c r="AD671" i="6" s="1"/>
  <c r="L671" i="6"/>
  <c r="F675" i="6"/>
  <c r="K674" i="6"/>
  <c r="T674" i="6"/>
  <c r="V670" i="6"/>
  <c r="Z670" i="6"/>
  <c r="W670" i="6"/>
  <c r="X670" i="6" s="1"/>
  <c r="Y670" i="6" s="1"/>
  <c r="AA670" i="6"/>
  <c r="P671" i="6"/>
  <c r="U671" i="6"/>
  <c r="J671" i="6"/>
  <c r="H673" i="6"/>
  <c r="Q672" i="6"/>
  <c r="I672" i="6"/>
  <c r="G672" i="6"/>
  <c r="Q673" i="6" l="1"/>
  <c r="I673" i="6"/>
  <c r="H674" i="6"/>
  <c r="G673" i="6"/>
  <c r="AC672" i="6"/>
  <c r="AD672" i="6" s="1"/>
  <c r="L672" i="6"/>
  <c r="V671" i="6"/>
  <c r="Z671" i="6"/>
  <c r="K675" i="6"/>
  <c r="T675" i="6"/>
  <c r="F676" i="6"/>
  <c r="W671" i="6"/>
  <c r="X671" i="6" s="1"/>
  <c r="Y671" i="6" s="1"/>
  <c r="AA671" i="6"/>
  <c r="P672" i="6"/>
  <c r="J672" i="6"/>
  <c r="U672" i="6"/>
  <c r="P673" i="6" l="1"/>
  <c r="U673" i="6"/>
  <c r="J673" i="6"/>
  <c r="T676" i="6"/>
  <c r="F677" i="6"/>
  <c r="K676" i="6"/>
  <c r="Q674" i="6"/>
  <c r="I674" i="6"/>
  <c r="H675" i="6"/>
  <c r="G674" i="6"/>
  <c r="W672" i="6"/>
  <c r="X672" i="6" s="1"/>
  <c r="Y672" i="6" s="1"/>
  <c r="AA672" i="6"/>
  <c r="L673" i="6"/>
  <c r="AC673" i="6"/>
  <c r="AD673" i="6" s="1"/>
  <c r="V672" i="6"/>
  <c r="Z672" i="6"/>
  <c r="P674" i="6" l="1"/>
  <c r="U674" i="6"/>
  <c r="J674" i="6"/>
  <c r="W673" i="6"/>
  <c r="X673" i="6" s="1"/>
  <c r="Y673" i="6" s="1"/>
  <c r="AA673" i="6"/>
  <c r="I675" i="6"/>
  <c r="G675" i="6"/>
  <c r="Q675" i="6"/>
  <c r="H676" i="6"/>
  <c r="T677" i="6"/>
  <c r="K677" i="6"/>
  <c r="F678" i="6"/>
  <c r="V673" i="6"/>
  <c r="Z673" i="6"/>
  <c r="AC674" i="6"/>
  <c r="AD674" i="6" s="1"/>
  <c r="L674" i="6"/>
  <c r="W674" i="6" l="1"/>
  <c r="X674" i="6" s="1"/>
  <c r="Y674" i="6" s="1"/>
  <c r="AA674" i="6"/>
  <c r="K678" i="6"/>
  <c r="T678" i="6"/>
  <c r="F679" i="6"/>
  <c r="I676" i="6"/>
  <c r="H677" i="6"/>
  <c r="G676" i="6"/>
  <c r="Q676" i="6"/>
  <c r="P675" i="6"/>
  <c r="J675" i="6"/>
  <c r="U675" i="6"/>
  <c r="L675" i="6"/>
  <c r="AC675" i="6"/>
  <c r="AD675" i="6" s="1"/>
  <c r="V674" i="6"/>
  <c r="Z674" i="6"/>
  <c r="G677" i="6" l="1"/>
  <c r="H678" i="6"/>
  <c r="Q677" i="6"/>
  <c r="I677" i="6"/>
  <c r="L676" i="6"/>
  <c r="AC676" i="6"/>
  <c r="AD676" i="6" s="1"/>
  <c r="W675" i="6"/>
  <c r="X675" i="6" s="1"/>
  <c r="Y675" i="6" s="1"/>
  <c r="AA675" i="6"/>
  <c r="V675" i="6"/>
  <c r="Z675" i="6"/>
  <c r="P676" i="6"/>
  <c r="J676" i="6"/>
  <c r="U676" i="6"/>
  <c r="F680" i="6"/>
  <c r="T679" i="6"/>
  <c r="K679" i="6"/>
  <c r="AC677" i="6" l="1"/>
  <c r="AD677" i="6" s="1"/>
  <c r="L677" i="6"/>
  <c r="Q678" i="6"/>
  <c r="H679" i="6"/>
  <c r="G678" i="6"/>
  <c r="I678" i="6"/>
  <c r="F681" i="6"/>
  <c r="K680" i="6"/>
  <c r="T680" i="6"/>
  <c r="V676" i="6"/>
  <c r="Z676" i="6"/>
  <c r="W676" i="6"/>
  <c r="X676" i="6" s="1"/>
  <c r="Y676" i="6" s="1"/>
  <c r="AA676" i="6"/>
  <c r="P677" i="6"/>
  <c r="J677" i="6"/>
  <c r="U677" i="6"/>
  <c r="G679" i="6" l="1"/>
  <c r="Q679" i="6"/>
  <c r="I679" i="6"/>
  <c r="H680" i="6"/>
  <c r="F682" i="6"/>
  <c r="K681" i="6"/>
  <c r="T681" i="6"/>
  <c r="AC678" i="6"/>
  <c r="AD678" i="6" s="1"/>
  <c r="L678" i="6"/>
  <c r="W677" i="6"/>
  <c r="X677" i="6" s="1"/>
  <c r="Y677" i="6" s="1"/>
  <c r="AA677" i="6"/>
  <c r="V677" i="6"/>
  <c r="Z677" i="6"/>
  <c r="J678" i="6"/>
  <c r="U678" i="6"/>
  <c r="P678" i="6"/>
  <c r="V678" i="6" l="1"/>
  <c r="Z678" i="6"/>
  <c r="I680" i="6"/>
  <c r="Q680" i="6"/>
  <c r="H681" i="6"/>
  <c r="G680" i="6"/>
  <c r="AC679" i="6"/>
  <c r="AD679" i="6" s="1"/>
  <c r="L679" i="6"/>
  <c r="W678" i="6"/>
  <c r="X678" i="6" s="1"/>
  <c r="Y678" i="6" s="1"/>
  <c r="AA678" i="6"/>
  <c r="F683" i="6"/>
  <c r="K682" i="6"/>
  <c r="T682" i="6"/>
  <c r="U679" i="6"/>
  <c r="P679" i="6"/>
  <c r="J679" i="6"/>
  <c r="P680" i="6" l="1"/>
  <c r="U680" i="6"/>
  <c r="J680" i="6"/>
  <c r="W679" i="6"/>
  <c r="X679" i="6" s="1"/>
  <c r="Y679" i="6" s="1"/>
  <c r="AA679" i="6"/>
  <c r="V679" i="6"/>
  <c r="Z679" i="6"/>
  <c r="T683" i="6"/>
  <c r="K683" i="6"/>
  <c r="F684" i="6"/>
  <c r="AC680" i="6"/>
  <c r="AD680" i="6" s="1"/>
  <c r="L680" i="6"/>
  <c r="I681" i="6"/>
  <c r="G681" i="6"/>
  <c r="Q681" i="6"/>
  <c r="H682" i="6"/>
  <c r="K684" i="6" l="1"/>
  <c r="T684" i="6"/>
  <c r="F685" i="6"/>
  <c r="I682" i="6"/>
  <c r="H683" i="6"/>
  <c r="Q682" i="6"/>
  <c r="G682" i="6"/>
  <c r="W680" i="6"/>
  <c r="X680" i="6" s="1"/>
  <c r="Y680" i="6" s="1"/>
  <c r="AA680" i="6"/>
  <c r="J681" i="6"/>
  <c r="P681" i="6"/>
  <c r="U681" i="6"/>
  <c r="AC681" i="6"/>
  <c r="AD681" i="6" s="1"/>
  <c r="L681" i="6"/>
  <c r="V680" i="6"/>
  <c r="Z680" i="6"/>
  <c r="T685" i="6" l="1"/>
  <c r="F686" i="6"/>
  <c r="K685" i="6"/>
  <c r="U682" i="6"/>
  <c r="P682" i="6"/>
  <c r="J682" i="6"/>
  <c r="W681" i="6"/>
  <c r="X681" i="6" s="1"/>
  <c r="Y681" i="6" s="1"/>
  <c r="AA681" i="6"/>
  <c r="G683" i="6"/>
  <c r="Q683" i="6"/>
  <c r="H684" i="6"/>
  <c r="I683" i="6"/>
  <c r="V681" i="6"/>
  <c r="Z681" i="6"/>
  <c r="L682" i="6"/>
  <c r="AC682" i="6"/>
  <c r="AD682" i="6" s="1"/>
  <c r="W682" i="6" l="1"/>
  <c r="X682" i="6" s="1"/>
  <c r="Y682" i="6" s="1"/>
  <c r="AA682" i="6"/>
  <c r="U683" i="6"/>
  <c r="P683" i="6"/>
  <c r="J683" i="6"/>
  <c r="T686" i="6"/>
  <c r="K686" i="6"/>
  <c r="F687" i="6"/>
  <c r="I684" i="6"/>
  <c r="H685" i="6"/>
  <c r="G684" i="6"/>
  <c r="Q684" i="6"/>
  <c r="L683" i="6"/>
  <c r="AC683" i="6"/>
  <c r="AD683" i="6" s="1"/>
  <c r="V682" i="6"/>
  <c r="Z682" i="6"/>
  <c r="AC684" i="6" l="1"/>
  <c r="AD684" i="6" s="1"/>
  <c r="L684" i="6"/>
  <c r="T687" i="6"/>
  <c r="K687" i="6"/>
  <c r="F688" i="6"/>
  <c r="U684" i="6"/>
  <c r="P684" i="6"/>
  <c r="J684" i="6"/>
  <c r="H686" i="6"/>
  <c r="G685" i="6"/>
  <c r="I685" i="6"/>
  <c r="Q685" i="6"/>
  <c r="V683" i="6"/>
  <c r="Z683" i="6"/>
  <c r="W683" i="6"/>
  <c r="X683" i="6" s="1"/>
  <c r="Y683" i="6" s="1"/>
  <c r="AA683" i="6"/>
  <c r="L685" i="6" l="1"/>
  <c r="AC685" i="6"/>
  <c r="AD685" i="6" s="1"/>
  <c r="J685" i="6"/>
  <c r="P685" i="6"/>
  <c r="U685" i="6"/>
  <c r="V684" i="6"/>
  <c r="Z684" i="6"/>
  <c r="G686" i="6"/>
  <c r="I686" i="6"/>
  <c r="H687" i="6"/>
  <c r="Q686" i="6"/>
  <c r="K688" i="6"/>
  <c r="T688" i="6"/>
  <c r="F689" i="6"/>
  <c r="W684" i="6"/>
  <c r="X684" i="6" s="1"/>
  <c r="Y684" i="6" s="1"/>
  <c r="AA684" i="6"/>
  <c r="P686" i="6" l="1"/>
  <c r="U686" i="6"/>
  <c r="J686" i="6"/>
  <c r="T689" i="6"/>
  <c r="K689" i="6"/>
  <c r="F690" i="6"/>
  <c r="H688" i="6"/>
  <c r="G687" i="6"/>
  <c r="Q687" i="6"/>
  <c r="I687" i="6"/>
  <c r="L686" i="6"/>
  <c r="AC686" i="6"/>
  <c r="AD686" i="6" s="1"/>
  <c r="V685" i="6"/>
  <c r="Z685" i="6"/>
  <c r="W685" i="6"/>
  <c r="X685" i="6" s="1"/>
  <c r="Y685" i="6" s="1"/>
  <c r="AA685" i="6"/>
  <c r="W686" i="6" l="1"/>
  <c r="X686" i="6" s="1"/>
  <c r="Y686" i="6" s="1"/>
  <c r="AA686" i="6"/>
  <c r="Q688" i="6"/>
  <c r="I688" i="6"/>
  <c r="H689" i="6"/>
  <c r="G688" i="6"/>
  <c r="L687" i="6"/>
  <c r="AC687" i="6"/>
  <c r="AD687" i="6" s="1"/>
  <c r="F691" i="6"/>
  <c r="T690" i="6"/>
  <c r="K690" i="6"/>
  <c r="V686" i="6"/>
  <c r="Z686" i="6"/>
  <c r="J687" i="6"/>
  <c r="U687" i="6"/>
  <c r="P687" i="6"/>
  <c r="P688" i="6" l="1"/>
  <c r="U688" i="6"/>
  <c r="J688" i="6"/>
  <c r="V687" i="6"/>
  <c r="Z687" i="6"/>
  <c r="L688" i="6"/>
  <c r="AC688" i="6"/>
  <c r="AD688" i="6" s="1"/>
  <c r="W687" i="6"/>
  <c r="X687" i="6" s="1"/>
  <c r="Y687" i="6" s="1"/>
  <c r="AA687" i="6"/>
  <c r="T691" i="6"/>
  <c r="F692" i="6"/>
  <c r="K691" i="6"/>
  <c r="G689" i="6"/>
  <c r="I689" i="6"/>
  <c r="H690" i="6"/>
  <c r="Q689" i="6"/>
  <c r="H691" i="6" l="1"/>
  <c r="Q690" i="6"/>
  <c r="G690" i="6"/>
  <c r="I690" i="6"/>
  <c r="T692" i="6"/>
  <c r="F693" i="6"/>
  <c r="K692" i="6"/>
  <c r="L689" i="6"/>
  <c r="AC689" i="6"/>
  <c r="AD689" i="6" s="1"/>
  <c r="J689" i="6"/>
  <c r="U689" i="6"/>
  <c r="P689" i="6"/>
  <c r="W688" i="6"/>
  <c r="X688" i="6" s="1"/>
  <c r="Y688" i="6" s="1"/>
  <c r="AA688" i="6"/>
  <c r="V688" i="6"/>
  <c r="Z688" i="6"/>
  <c r="V689" i="6" l="1"/>
  <c r="Z689" i="6"/>
  <c r="AC690" i="6"/>
  <c r="AD690" i="6" s="1"/>
  <c r="L690" i="6"/>
  <c r="U690" i="6"/>
  <c r="P690" i="6"/>
  <c r="J690" i="6"/>
  <c r="K693" i="6"/>
  <c r="F694" i="6"/>
  <c r="T693" i="6"/>
  <c r="W689" i="6"/>
  <c r="X689" i="6" s="1"/>
  <c r="Y689" i="6" s="1"/>
  <c r="AA689" i="6"/>
  <c r="H692" i="6"/>
  <c r="G691" i="6"/>
  <c r="I691" i="6"/>
  <c r="Q691" i="6"/>
  <c r="AC691" i="6" l="1"/>
  <c r="AD691" i="6" s="1"/>
  <c r="L691" i="6"/>
  <c r="W690" i="6"/>
  <c r="X690" i="6" s="1"/>
  <c r="Y690" i="6" s="1"/>
  <c r="AA690" i="6"/>
  <c r="U691" i="6"/>
  <c r="P691" i="6"/>
  <c r="J691" i="6"/>
  <c r="H693" i="6"/>
  <c r="G692" i="6"/>
  <c r="I692" i="6"/>
  <c r="Q692" i="6"/>
  <c r="F695" i="6"/>
  <c r="K694" i="6"/>
  <c r="T694" i="6"/>
  <c r="V690" i="6"/>
  <c r="Z690" i="6"/>
  <c r="F696" i="6" l="1"/>
  <c r="K695" i="6"/>
  <c r="T695" i="6"/>
  <c r="W691" i="6"/>
  <c r="X691" i="6" s="1"/>
  <c r="Y691" i="6" s="1"/>
  <c r="AA691" i="6"/>
  <c r="Q693" i="6"/>
  <c r="G693" i="6"/>
  <c r="I693" i="6"/>
  <c r="H694" i="6"/>
  <c r="L692" i="6"/>
  <c r="AC692" i="6"/>
  <c r="AD692" i="6" s="1"/>
  <c r="J692" i="6"/>
  <c r="P692" i="6"/>
  <c r="U692" i="6"/>
  <c r="V691" i="6"/>
  <c r="Z691" i="6"/>
  <c r="U693" i="6" l="1"/>
  <c r="P693" i="6"/>
  <c r="J693" i="6"/>
  <c r="V692" i="6"/>
  <c r="Z692" i="6"/>
  <c r="W692" i="6"/>
  <c r="X692" i="6" s="1"/>
  <c r="Y692" i="6" s="1"/>
  <c r="AA692" i="6"/>
  <c r="Q694" i="6"/>
  <c r="G694" i="6"/>
  <c r="I694" i="6"/>
  <c r="H695" i="6"/>
  <c r="L693" i="6"/>
  <c r="AC693" i="6"/>
  <c r="AD693" i="6" s="1"/>
  <c r="T696" i="6"/>
  <c r="F697" i="6"/>
  <c r="K696" i="6"/>
  <c r="L694" i="6" l="1"/>
  <c r="AC694" i="6"/>
  <c r="AD694" i="6" s="1"/>
  <c r="W693" i="6"/>
  <c r="X693" i="6" s="1"/>
  <c r="Y693" i="6" s="1"/>
  <c r="AA693" i="6"/>
  <c r="T697" i="6"/>
  <c r="K697" i="6"/>
  <c r="F698" i="6"/>
  <c r="Q695" i="6"/>
  <c r="G695" i="6"/>
  <c r="I695" i="6"/>
  <c r="H696" i="6"/>
  <c r="U694" i="6"/>
  <c r="J694" i="6"/>
  <c r="P694" i="6"/>
  <c r="V693" i="6"/>
  <c r="Z693" i="6"/>
  <c r="T698" i="6" l="1"/>
  <c r="F699" i="6"/>
  <c r="K698" i="6"/>
  <c r="U695" i="6"/>
  <c r="J695" i="6"/>
  <c r="P695" i="6"/>
  <c r="H697" i="6"/>
  <c r="Q696" i="6"/>
  <c r="G696" i="6"/>
  <c r="I696" i="6"/>
  <c r="AC695" i="6"/>
  <c r="AD695" i="6" s="1"/>
  <c r="L695" i="6"/>
  <c r="V694" i="6"/>
  <c r="Z694" i="6"/>
  <c r="W694" i="6"/>
  <c r="X694" i="6" s="1"/>
  <c r="Y694" i="6" s="1"/>
  <c r="AA694" i="6"/>
  <c r="F700" i="6" l="1"/>
  <c r="K699" i="6"/>
  <c r="G697" i="6"/>
  <c r="Q697" i="6"/>
  <c r="H698" i="6"/>
  <c r="I697" i="6"/>
  <c r="AC696" i="6"/>
  <c r="AD696" i="6" s="1"/>
  <c r="L696" i="6"/>
  <c r="U696" i="6"/>
  <c r="J696" i="6"/>
  <c r="P696" i="6"/>
  <c r="W695" i="6"/>
  <c r="X695" i="6" s="1"/>
  <c r="Y695" i="6" s="1"/>
  <c r="AA695" i="6"/>
  <c r="V695" i="6"/>
  <c r="Z695" i="6"/>
  <c r="AC697" i="6" l="1"/>
  <c r="AD697" i="6" s="1"/>
  <c r="L697" i="6"/>
  <c r="V696" i="6"/>
  <c r="Z696" i="6"/>
  <c r="H699" i="6"/>
  <c r="G698" i="6"/>
  <c r="I698" i="6"/>
  <c r="Q698" i="6"/>
  <c r="W696" i="6"/>
  <c r="X696" i="6" s="1"/>
  <c r="Y696" i="6" s="1"/>
  <c r="AA696" i="6"/>
  <c r="J697" i="6"/>
  <c r="P697" i="6"/>
  <c r="U697" i="6"/>
  <c r="F701" i="6"/>
  <c r="K700" i="6"/>
  <c r="F702" i="6" l="1"/>
  <c r="K701" i="6"/>
  <c r="AC698" i="6"/>
  <c r="AD698" i="6" s="1"/>
  <c r="L698" i="6"/>
  <c r="W698" i="6" s="1"/>
  <c r="X698" i="6" s="1"/>
  <c r="J698" i="6"/>
  <c r="P698" i="6"/>
  <c r="U698" i="6"/>
  <c r="W697" i="6"/>
  <c r="X697" i="6" s="1"/>
  <c r="Y697" i="6" s="1"/>
  <c r="AA697" i="6"/>
  <c r="V697" i="6"/>
  <c r="Z697" i="6"/>
  <c r="G699" i="6"/>
  <c r="V699" i="6"/>
  <c r="I699" i="6"/>
  <c r="Q699" i="6"/>
  <c r="S699" i="6" s="1"/>
  <c r="H700" i="6"/>
  <c r="AC699" i="6" l="1"/>
  <c r="AD699" i="6" s="1"/>
  <c r="L699" i="6"/>
  <c r="AA699" i="6" s="1"/>
  <c r="G700" i="6"/>
  <c r="Q700" i="6"/>
  <c r="S700" i="6" s="1"/>
  <c r="I700" i="6"/>
  <c r="H701" i="6"/>
  <c r="J699" i="6"/>
  <c r="P699" i="6"/>
  <c r="Y698" i="6"/>
  <c r="T699" i="6"/>
  <c r="U699" i="6" s="1"/>
  <c r="Z699" i="6" s="1"/>
  <c r="V698" i="6"/>
  <c r="Z698" i="6"/>
  <c r="F703" i="6"/>
  <c r="K702" i="6"/>
  <c r="T700" i="6" l="1"/>
  <c r="U700" i="6" s="1"/>
  <c r="Z700" i="6" s="1"/>
  <c r="V700" i="6"/>
  <c r="W700" i="6" s="1"/>
  <c r="X700" i="6" s="1"/>
  <c r="Y700" i="6" s="1"/>
  <c r="Q701" i="6"/>
  <c r="S701" i="6" s="1"/>
  <c r="G701" i="6"/>
  <c r="I701" i="6"/>
  <c r="H702" i="6"/>
  <c r="P700" i="6"/>
  <c r="J700" i="6"/>
  <c r="F704" i="6"/>
  <c r="K703" i="6"/>
  <c r="L700" i="6"/>
  <c r="AA700" i="6" s="1"/>
  <c r="AC700" i="6"/>
  <c r="AD700" i="6" s="1"/>
  <c r="W699" i="6"/>
  <c r="X699" i="6" s="1"/>
  <c r="Y699" i="6" s="1"/>
  <c r="T701" i="6" l="1"/>
  <c r="U701" i="6" s="1"/>
  <c r="Z701" i="6" s="1"/>
  <c r="V701" i="6"/>
  <c r="W701" i="6" s="1"/>
  <c r="X701" i="6" s="1"/>
  <c r="Y701" i="6" s="1"/>
  <c r="I702" i="6"/>
  <c r="G702" i="6"/>
  <c r="Q702" i="6"/>
  <c r="S702" i="6" s="1"/>
  <c r="H703" i="6"/>
  <c r="K704" i="6"/>
  <c r="F705" i="6"/>
  <c r="AC701" i="6"/>
  <c r="AD701" i="6" s="1"/>
  <c r="L701" i="6"/>
  <c r="AA701" i="6" s="1"/>
  <c r="J701" i="6"/>
  <c r="P701" i="6"/>
  <c r="T702" i="6" l="1"/>
  <c r="U702" i="6" s="1"/>
  <c r="Z702" i="6" s="1"/>
  <c r="V702" i="6"/>
  <c r="W702" i="6" s="1"/>
  <c r="X702" i="6" s="1"/>
  <c r="F706" i="6"/>
  <c r="K705" i="6"/>
  <c r="L702" i="6"/>
  <c r="AA702" i="6" s="1"/>
  <c r="AC702" i="6"/>
  <c r="AD702" i="6" s="1"/>
  <c r="I703" i="6"/>
  <c r="H704" i="6"/>
  <c r="Q703" i="6"/>
  <c r="S703" i="6" s="1"/>
  <c r="G703" i="6"/>
  <c r="J702" i="6"/>
  <c r="P702" i="6"/>
  <c r="Y702" i="6" l="1"/>
  <c r="T703" i="6"/>
  <c r="U703" i="6" s="1"/>
  <c r="Z703" i="6" s="1"/>
  <c r="V703" i="6"/>
  <c r="W703" i="6" s="1"/>
  <c r="X703" i="6" s="1"/>
  <c r="Y703" i="6" s="1"/>
  <c r="F707" i="6"/>
  <c r="K706" i="6"/>
  <c r="J703" i="6"/>
  <c r="P703" i="6"/>
  <c r="L703" i="6"/>
  <c r="AA703" i="6" s="1"/>
  <c r="AC703" i="6"/>
  <c r="AD703" i="6" s="1"/>
  <c r="I704" i="6"/>
  <c r="H705" i="6"/>
  <c r="Q704" i="6"/>
  <c r="S704" i="6" s="1"/>
  <c r="G704" i="6"/>
  <c r="T704" i="6" l="1"/>
  <c r="U704" i="6" s="1"/>
  <c r="Z704" i="6" s="1"/>
  <c r="V704" i="6"/>
  <c r="W704" i="6" s="1"/>
  <c r="X704" i="6" s="1"/>
  <c r="L704" i="6"/>
  <c r="AA704" i="6" s="1"/>
  <c r="AC704" i="6"/>
  <c r="AD704" i="6" s="1"/>
  <c r="F708" i="6"/>
  <c r="K707" i="6"/>
  <c r="J704" i="6"/>
  <c r="P704" i="6"/>
  <c r="Q705" i="6"/>
  <c r="S705" i="6" s="1"/>
  <c r="I705" i="6"/>
  <c r="H706" i="6"/>
  <c r="G705" i="6"/>
  <c r="Y704" i="6" l="1"/>
  <c r="T705" i="6"/>
  <c r="U705" i="6" s="1"/>
  <c r="Z705" i="6" s="1"/>
  <c r="V705" i="6"/>
  <c r="W705" i="6" s="1"/>
  <c r="X705" i="6" s="1"/>
  <c r="Y705" i="6" s="1"/>
  <c r="H707" i="6"/>
  <c r="Q706" i="6"/>
  <c r="S706" i="6" s="1"/>
  <c r="G706" i="6"/>
  <c r="I706" i="6"/>
  <c r="J705" i="6"/>
  <c r="P705" i="6"/>
  <c r="K708" i="6"/>
  <c r="F709" i="6"/>
  <c r="L705" i="6"/>
  <c r="AA705" i="6" s="1"/>
  <c r="AC705" i="6"/>
  <c r="AD705" i="6" s="1"/>
  <c r="T706" i="6" l="1"/>
  <c r="U706" i="6" s="1"/>
  <c r="Z706" i="6" s="1"/>
  <c r="V706" i="6"/>
  <c r="W706" i="6" s="1"/>
  <c r="X706" i="6" s="1"/>
  <c r="L706" i="6"/>
  <c r="AA706" i="6" s="1"/>
  <c r="AC706" i="6"/>
  <c r="AD706" i="6" s="1"/>
  <c r="G707" i="6"/>
  <c r="I707" i="6"/>
  <c r="Q707" i="6"/>
  <c r="S707" i="6" s="1"/>
  <c r="H708" i="6"/>
  <c r="F710" i="6"/>
  <c r="K709" i="6"/>
  <c r="J706" i="6"/>
  <c r="P706" i="6"/>
  <c r="Y706" i="6" l="1"/>
  <c r="T707" i="6"/>
  <c r="U707" i="6" s="1"/>
  <c r="Z707" i="6" s="1"/>
  <c r="V707" i="6"/>
  <c r="W707" i="6" s="1"/>
  <c r="X707" i="6" s="1"/>
  <c r="Y707" i="6" s="1"/>
  <c r="F711" i="6"/>
  <c r="K710" i="6"/>
  <c r="L707" i="6"/>
  <c r="AA707" i="6" s="1"/>
  <c r="AC707" i="6"/>
  <c r="AD707" i="6" s="1"/>
  <c r="P707" i="6"/>
  <c r="J707" i="6"/>
  <c r="G708" i="6"/>
  <c r="I708" i="6"/>
  <c r="Q708" i="6"/>
  <c r="S708" i="6" s="1"/>
  <c r="H709" i="6"/>
  <c r="T708" i="6" l="1"/>
  <c r="U708" i="6" s="1"/>
  <c r="Z708" i="6" s="1"/>
  <c r="V708" i="6"/>
  <c r="W708" i="6" s="1"/>
  <c r="X708" i="6" s="1"/>
  <c r="Y708" i="6" s="1"/>
  <c r="G709" i="6"/>
  <c r="I709" i="6"/>
  <c r="Q709" i="6"/>
  <c r="S709" i="6" s="1"/>
  <c r="H710" i="6"/>
  <c r="P708" i="6"/>
  <c r="J708" i="6"/>
  <c r="L708" i="6"/>
  <c r="AA708" i="6" s="1"/>
  <c r="AC708" i="6"/>
  <c r="AD708" i="6" s="1"/>
  <c r="F712" i="6"/>
  <c r="K711" i="6"/>
  <c r="T709" i="6" l="1"/>
  <c r="U709" i="6" s="1"/>
  <c r="Z709" i="6" s="1"/>
  <c r="V709" i="6"/>
  <c r="W709" i="6" s="1"/>
  <c r="X709" i="6" s="1"/>
  <c r="Y709" i="6" s="1"/>
  <c r="Q710" i="6"/>
  <c r="S710" i="6" s="1"/>
  <c r="I710" i="6"/>
  <c r="G710" i="6"/>
  <c r="H711" i="6"/>
  <c r="P709" i="6"/>
  <c r="J709" i="6"/>
  <c r="K712" i="6"/>
  <c r="F713" i="6"/>
  <c r="L709" i="6"/>
  <c r="AA709" i="6" s="1"/>
  <c r="AC709" i="6"/>
  <c r="AD709" i="6" s="1"/>
  <c r="T710" i="6" l="1"/>
  <c r="U710" i="6" s="1"/>
  <c r="Z710" i="6" s="1"/>
  <c r="V710" i="6"/>
  <c r="W710" i="6" s="1"/>
  <c r="X710" i="6" s="1"/>
  <c r="G711" i="6"/>
  <c r="Q711" i="6"/>
  <c r="S711" i="6" s="1"/>
  <c r="I711" i="6"/>
  <c r="H712" i="6"/>
  <c r="F714" i="6"/>
  <c r="K713" i="6"/>
  <c r="J710" i="6"/>
  <c r="P710" i="6"/>
  <c r="AC710" i="6"/>
  <c r="AD710" i="6" s="1"/>
  <c r="L710" i="6"/>
  <c r="AA710" i="6" s="1"/>
  <c r="Y710" i="6" l="1"/>
  <c r="T711" i="6"/>
  <c r="U711" i="6" s="1"/>
  <c r="Z711" i="6" s="1"/>
  <c r="V711" i="6"/>
  <c r="W711" i="6" s="1"/>
  <c r="X711" i="6" s="1"/>
  <c r="Y711" i="6" s="1"/>
  <c r="I712" i="6"/>
  <c r="Q712" i="6"/>
  <c r="S712" i="6" s="1"/>
  <c r="H713" i="6"/>
  <c r="G712" i="6"/>
  <c r="P711" i="6"/>
  <c r="J711" i="6"/>
  <c r="AC711" i="6"/>
  <c r="AD711" i="6" s="1"/>
  <c r="L711" i="6"/>
  <c r="AA711" i="6" s="1"/>
  <c r="F715" i="6"/>
  <c r="K714" i="6"/>
  <c r="T712" i="6" l="1"/>
  <c r="U712" i="6" s="1"/>
  <c r="Z712" i="6" s="1"/>
  <c r="V712" i="6"/>
  <c r="W712" i="6" s="1"/>
  <c r="X712" i="6" s="1"/>
  <c r="Y712" i="6" s="1"/>
  <c r="L712" i="6"/>
  <c r="AA712" i="6" s="1"/>
  <c r="AC712" i="6"/>
  <c r="AD712" i="6" s="1"/>
  <c r="P712" i="6"/>
  <c r="J712" i="6"/>
  <c r="G713" i="6"/>
  <c r="I713" i="6"/>
  <c r="Q713" i="6"/>
  <c r="S713" i="6" s="1"/>
  <c r="H714" i="6"/>
  <c r="F716" i="6"/>
  <c r="K715" i="6"/>
  <c r="T713" i="6" l="1"/>
  <c r="U713" i="6" s="1"/>
  <c r="Z713" i="6" s="1"/>
  <c r="V713" i="6"/>
  <c r="W713" i="6" s="1"/>
  <c r="X713" i="6" s="1"/>
  <c r="Y713" i="6" s="1"/>
  <c r="J713" i="6"/>
  <c r="P713" i="6"/>
  <c r="Q714" i="6"/>
  <c r="S714" i="6" s="1"/>
  <c r="H715" i="6"/>
  <c r="G714" i="6"/>
  <c r="I714" i="6"/>
  <c r="F717" i="6"/>
  <c r="K716" i="6"/>
  <c r="L713" i="6"/>
  <c r="AA713" i="6" s="1"/>
  <c r="AC713" i="6"/>
  <c r="AD713" i="6" s="1"/>
  <c r="T714" i="6" l="1"/>
  <c r="U714" i="6" s="1"/>
  <c r="Z714" i="6" s="1"/>
  <c r="V714" i="6"/>
  <c r="W714" i="6" s="1"/>
  <c r="X714" i="6" s="1"/>
  <c r="Y714" i="6" s="1"/>
  <c r="F718" i="6"/>
  <c r="K717" i="6"/>
  <c r="J714" i="6"/>
  <c r="P714" i="6"/>
  <c r="H716" i="6"/>
  <c r="Q715" i="6"/>
  <c r="S715" i="6" s="1"/>
  <c r="G715" i="6"/>
  <c r="I715" i="6"/>
  <c r="AC714" i="6"/>
  <c r="AD714" i="6" s="1"/>
  <c r="L714" i="6"/>
  <c r="AA714" i="6" s="1"/>
  <c r="T715" i="6" l="1"/>
  <c r="U715" i="6" s="1"/>
  <c r="Z715" i="6" s="1"/>
  <c r="V715" i="6"/>
  <c r="W715" i="6" s="1"/>
  <c r="X715" i="6" s="1"/>
  <c r="J715" i="6"/>
  <c r="P715" i="6"/>
  <c r="I716" i="6"/>
  <c r="H717" i="6"/>
  <c r="Q716" i="6"/>
  <c r="S716" i="6" s="1"/>
  <c r="G716" i="6"/>
  <c r="L715" i="6"/>
  <c r="AA715" i="6" s="1"/>
  <c r="AC715" i="6"/>
  <c r="AD715" i="6" s="1"/>
  <c r="F719" i="6"/>
  <c r="K718" i="6"/>
  <c r="Y715" i="6" l="1"/>
  <c r="T716" i="6"/>
  <c r="U716" i="6" s="1"/>
  <c r="Z716" i="6" s="1"/>
  <c r="V716" i="6"/>
  <c r="W716" i="6" s="1"/>
  <c r="X716" i="6" s="1"/>
  <c r="Y716" i="6" s="1"/>
  <c r="G717" i="6"/>
  <c r="I717" i="6"/>
  <c r="Q717" i="6"/>
  <c r="S717" i="6" s="1"/>
  <c r="H718" i="6"/>
  <c r="L716" i="6"/>
  <c r="AA716" i="6" s="1"/>
  <c r="AC716" i="6"/>
  <c r="AD716" i="6" s="1"/>
  <c r="F720" i="6"/>
  <c r="K719" i="6"/>
  <c r="J716" i="6"/>
  <c r="P716" i="6"/>
  <c r="T717" i="6" l="1"/>
  <c r="U717" i="6" s="1"/>
  <c r="Z717" i="6" s="1"/>
  <c r="V717" i="6"/>
  <c r="W717" i="6" s="1"/>
  <c r="X717" i="6" s="1"/>
  <c r="Y717" i="6" s="1"/>
  <c r="F721" i="6"/>
  <c r="K720" i="6"/>
  <c r="J717" i="6"/>
  <c r="P717" i="6"/>
  <c r="G718" i="6"/>
  <c r="H719" i="6"/>
  <c r="Q718" i="6"/>
  <c r="S718" i="6" s="1"/>
  <c r="I718" i="6"/>
  <c r="AC717" i="6"/>
  <c r="AD717" i="6" s="1"/>
  <c r="L717" i="6"/>
  <c r="AA717" i="6" s="1"/>
  <c r="T718" i="6" l="1"/>
  <c r="U718" i="6" s="1"/>
  <c r="Z718" i="6" s="1"/>
  <c r="V718" i="6"/>
  <c r="W718" i="6" s="1"/>
  <c r="X718" i="6" s="1"/>
  <c r="Y718" i="6" s="1"/>
  <c r="F722" i="6"/>
  <c r="K721" i="6"/>
  <c r="P718" i="6"/>
  <c r="J718" i="6"/>
  <c r="Q719" i="6"/>
  <c r="S719" i="6" s="1"/>
  <c r="G719" i="6"/>
  <c r="I719" i="6"/>
  <c r="H720" i="6"/>
  <c r="L718" i="6"/>
  <c r="AA718" i="6" s="1"/>
  <c r="AC718" i="6"/>
  <c r="AD718" i="6" s="1"/>
  <c r="T719" i="6" l="1"/>
  <c r="U719" i="6" s="1"/>
  <c r="Z719" i="6" s="1"/>
  <c r="V719" i="6"/>
  <c r="W719" i="6" s="1"/>
  <c r="X719" i="6" s="1"/>
  <c r="Y719" i="6" s="1"/>
  <c r="L719" i="6"/>
  <c r="AA719" i="6" s="1"/>
  <c r="AC719" i="6"/>
  <c r="AD719" i="6" s="1"/>
  <c r="P719" i="6"/>
  <c r="J719" i="6"/>
  <c r="F723" i="6"/>
  <c r="K722" i="6"/>
  <c r="G720" i="6"/>
  <c r="I720" i="6"/>
  <c r="Q720" i="6"/>
  <c r="S720" i="6" s="1"/>
  <c r="H721" i="6"/>
  <c r="T720" i="6" l="1"/>
  <c r="U720" i="6" s="1"/>
  <c r="Z720" i="6" s="1"/>
  <c r="V720" i="6"/>
  <c r="W720" i="6" s="1"/>
  <c r="X720" i="6" s="1"/>
  <c r="Y720" i="6" s="1"/>
  <c r="I721" i="6"/>
  <c r="Q721" i="6"/>
  <c r="S721" i="6" s="1"/>
  <c r="H722" i="6"/>
  <c r="G721" i="6"/>
  <c r="J720" i="6"/>
  <c r="P720" i="6"/>
  <c r="AC720" i="6"/>
  <c r="AD720" i="6" s="1"/>
  <c r="L720" i="6"/>
  <c r="AA720" i="6" s="1"/>
  <c r="F724" i="6"/>
  <c r="K723" i="6"/>
  <c r="T721" i="6" l="1"/>
  <c r="U721" i="6" s="1"/>
  <c r="Z721" i="6" s="1"/>
  <c r="V721" i="6"/>
  <c r="W721" i="6" s="1"/>
  <c r="X721" i="6" s="1"/>
  <c r="Y721" i="6" s="1"/>
  <c r="P721" i="6"/>
  <c r="J721" i="6"/>
  <c r="L721" i="6"/>
  <c r="AA721" i="6" s="1"/>
  <c r="AC721" i="6"/>
  <c r="AD721" i="6" s="1"/>
  <c r="F725" i="6"/>
  <c r="K724" i="6"/>
  <c r="G722" i="6"/>
  <c r="Q722" i="6"/>
  <c r="S722" i="6" s="1"/>
  <c r="I722" i="6"/>
  <c r="H723" i="6"/>
  <c r="T722" i="6" l="1"/>
  <c r="U722" i="6" s="1"/>
  <c r="Z722" i="6" s="1"/>
  <c r="V722" i="6"/>
  <c r="W722" i="6" s="1"/>
  <c r="X722" i="6" s="1"/>
  <c r="Y722" i="6" s="1"/>
  <c r="J722" i="6"/>
  <c r="P722" i="6"/>
  <c r="Q723" i="6"/>
  <c r="S723" i="6" s="1"/>
  <c r="G723" i="6"/>
  <c r="I723" i="6"/>
  <c r="H724" i="6"/>
  <c r="AC722" i="6"/>
  <c r="AD722" i="6" s="1"/>
  <c r="L722" i="6"/>
  <c r="AA722" i="6" s="1"/>
  <c r="F726" i="6"/>
  <c r="K725" i="6"/>
  <c r="T723" i="6" l="1"/>
  <c r="U723" i="6" s="1"/>
  <c r="Z723" i="6" s="1"/>
  <c r="V723" i="6"/>
  <c r="W723" i="6" s="1"/>
  <c r="X723" i="6" s="1"/>
  <c r="Y723" i="6" s="1"/>
  <c r="AC723" i="6"/>
  <c r="AD723" i="6" s="1"/>
  <c r="L723" i="6"/>
  <c r="AA723" i="6" s="1"/>
  <c r="P723" i="6"/>
  <c r="J723" i="6"/>
  <c r="H725" i="6"/>
  <c r="Q724" i="6"/>
  <c r="S724" i="6" s="1"/>
  <c r="G724" i="6"/>
  <c r="I724" i="6"/>
  <c r="F727" i="6"/>
  <c r="K726" i="6"/>
  <c r="T724" i="6" l="1"/>
  <c r="U724" i="6" s="1"/>
  <c r="Z724" i="6" s="1"/>
  <c r="V724" i="6"/>
  <c r="W724" i="6" s="1"/>
  <c r="X724" i="6" s="1"/>
  <c r="Y724" i="6" s="1"/>
  <c r="AC724" i="6"/>
  <c r="AD724" i="6" s="1"/>
  <c r="L724" i="6"/>
  <c r="AA724" i="6" s="1"/>
  <c r="Q725" i="6"/>
  <c r="S725" i="6" s="1"/>
  <c r="H726" i="6"/>
  <c r="G725" i="6"/>
  <c r="I725" i="6"/>
  <c r="F728" i="6"/>
  <c r="K727" i="6"/>
  <c r="J724" i="6"/>
  <c r="P724" i="6"/>
  <c r="T725" i="6" l="1"/>
  <c r="U725" i="6" s="1"/>
  <c r="Z725" i="6" s="1"/>
  <c r="V725" i="6"/>
  <c r="W725" i="6" s="1"/>
  <c r="X725" i="6" s="1"/>
  <c r="F729" i="6"/>
  <c r="K728" i="6"/>
  <c r="J725" i="6"/>
  <c r="P725" i="6"/>
  <c r="I726" i="6"/>
  <c r="G726" i="6"/>
  <c r="Q726" i="6"/>
  <c r="S726" i="6" s="1"/>
  <c r="H727" i="6"/>
  <c r="L725" i="6"/>
  <c r="AA725" i="6" s="1"/>
  <c r="AC725" i="6"/>
  <c r="AD725" i="6" s="1"/>
  <c r="Y725" i="6" l="1"/>
  <c r="T726" i="6"/>
  <c r="U726" i="6" s="1"/>
  <c r="Z726" i="6" s="1"/>
  <c r="V726" i="6"/>
  <c r="W726" i="6" s="1"/>
  <c r="X726" i="6" s="1"/>
  <c r="Y726" i="6" s="1"/>
  <c r="P726" i="6"/>
  <c r="J726" i="6"/>
  <c r="K729" i="6"/>
  <c r="F730" i="6"/>
  <c r="I727" i="6"/>
  <c r="Q727" i="6"/>
  <c r="S727" i="6" s="1"/>
  <c r="H728" i="6"/>
  <c r="G727" i="6"/>
  <c r="L726" i="6"/>
  <c r="AA726" i="6" s="1"/>
  <c r="AC726" i="6"/>
  <c r="AD726" i="6" s="1"/>
  <c r="T727" i="6" l="1"/>
  <c r="U727" i="6" s="1"/>
  <c r="Z727" i="6" s="1"/>
  <c r="V727" i="6"/>
  <c r="W727" i="6" s="1"/>
  <c r="X727" i="6" s="1"/>
  <c r="Y727" i="6" s="1"/>
  <c r="L727" i="6"/>
  <c r="AA727" i="6" s="1"/>
  <c r="AC727" i="6"/>
  <c r="AD727" i="6" s="1"/>
  <c r="J727" i="6"/>
  <c r="P727" i="6"/>
  <c r="G728" i="6"/>
  <c r="I728" i="6"/>
  <c r="Q728" i="6"/>
  <c r="S728" i="6" s="1"/>
  <c r="H729" i="6"/>
  <c r="K730" i="6"/>
  <c r="T728" i="6" l="1"/>
  <c r="U728" i="6" s="1"/>
  <c r="Z728" i="6" s="1"/>
  <c r="V728" i="6"/>
  <c r="W728" i="6" s="1"/>
  <c r="X728" i="6" s="1"/>
  <c r="Y728" i="6" s="1"/>
  <c r="L728" i="6"/>
  <c r="AA728" i="6" s="1"/>
  <c r="AC728" i="6"/>
  <c r="AD728" i="6" s="1"/>
  <c r="G729" i="6"/>
  <c r="I729" i="6"/>
  <c r="Q729" i="6"/>
  <c r="S729" i="6" s="1"/>
  <c r="H730" i="6"/>
  <c r="J728" i="6"/>
  <c r="P728" i="6"/>
  <c r="T729" i="6" l="1"/>
  <c r="U729" i="6" s="1"/>
  <c r="Z729" i="6" s="1"/>
  <c r="V729" i="6"/>
  <c r="W729" i="6" s="1"/>
  <c r="X729" i="6" s="1"/>
  <c r="Y729" i="6" s="1"/>
  <c r="AC729" i="6"/>
  <c r="AD729" i="6" s="1"/>
  <c r="L729" i="6"/>
  <c r="AA729" i="6" s="1"/>
  <c r="J729" i="6"/>
  <c r="P729" i="6"/>
  <c r="Q730" i="6"/>
  <c r="S730" i="6" s="1"/>
  <c r="I730" i="6"/>
  <c r="G730" i="6"/>
  <c r="T730" i="6" l="1"/>
  <c r="U730" i="6" s="1"/>
  <c r="Z730" i="6" s="1"/>
  <c r="V730" i="6"/>
  <c r="W730" i="6" s="1"/>
  <c r="X730" i="6" s="1"/>
  <c r="Y730" i="6" s="1"/>
  <c r="L730" i="6"/>
  <c r="AC730" i="6"/>
  <c r="AD730" i="6" s="1"/>
  <c r="P730" i="6"/>
  <c r="J730" i="6"/>
  <c r="AA478" i="6" l="1"/>
  <c r="AA541" i="6"/>
  <c r="AA603" i="6"/>
  <c r="AA698" i="6"/>
  <c r="AA627" i="6"/>
  <c r="AA488" i="6"/>
  <c r="AA621" i="6"/>
  <c r="AA730" i="6"/>
  <c r="AA456" i="6"/>
  <c r="AA647" i="6"/>
  <c r="AA449" i="6"/>
  <c r="AA608" i="6"/>
  <c r="AA468" i="6"/>
</calcChain>
</file>

<file path=xl/comments1.xml><?xml version="1.0" encoding="utf-8"?>
<comments xmlns="http://schemas.openxmlformats.org/spreadsheetml/2006/main">
  <authors>
    <author>张曦</author>
  </authors>
  <commentList>
    <comment ref="AB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交易敞口</t>
        </r>
      </text>
    </comment>
    <comment ref="AJ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已完成交易</t>
        </r>
      </text>
    </comment>
    <comment ref="AX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交易整体样本空间</t>
        </r>
      </text>
    </comment>
    <comment ref="BK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项目校验</t>
        </r>
      </text>
    </comment>
  </commentList>
</comments>
</file>

<file path=xl/comments2.xml><?xml version="1.0" encoding="utf-8"?>
<comments xmlns="http://schemas.openxmlformats.org/spreadsheetml/2006/main">
  <authors>
    <author>张曦</author>
  </authors>
  <commentList>
    <comment ref="AS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交易整体样本空间</t>
        </r>
      </text>
    </comment>
    <comment ref="B2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此单元格不要填入任何数据</t>
        </r>
      </text>
    </comment>
  </commentList>
</comments>
</file>

<file path=xl/comments3.xml><?xml version="1.0" encoding="utf-8"?>
<comments xmlns="http://schemas.openxmlformats.org/spreadsheetml/2006/main">
  <authors>
    <author>张婷</author>
  </authors>
  <commentList>
    <comment ref="O621" authorId="0" shapeId="0">
      <text>
        <r>
          <rPr>
            <b/>
            <sz val="9"/>
            <color indexed="81"/>
            <rFont val="宋体"/>
            <family val="3"/>
            <charset val="134"/>
          </rPr>
          <t>承担总账户亏损</t>
        </r>
      </text>
    </comment>
  </commentList>
</comments>
</file>

<file path=xl/connections.xml><?xml version="1.0" encoding="utf-8"?>
<connections xmlns="http://schemas.openxmlformats.org/spreadsheetml/2006/main">
  <connection id="1" name="LinkedTable_表4" type="5" refreshedVersion="2" saveData="1">
    <dbPr connection="" command=""/>
  </connection>
</connections>
</file>

<file path=xl/sharedStrings.xml><?xml version="1.0" encoding="utf-8"?>
<sst xmlns="http://schemas.openxmlformats.org/spreadsheetml/2006/main" count="18373" uniqueCount="1200">
  <si>
    <t>行标签</t>
  </si>
  <si>
    <t>当日浮动盈亏</t>
  </si>
  <si>
    <t>累计盈亏</t>
  </si>
  <si>
    <t>日期</t>
  </si>
  <si>
    <t>现金</t>
  </si>
  <si>
    <t>市值</t>
  </si>
  <si>
    <t>资产总额</t>
  </si>
  <si>
    <t>浮动盈亏</t>
  </si>
  <si>
    <t>场内投入资金总额</t>
  </si>
  <si>
    <t>投入资金总额变动</t>
  </si>
  <si>
    <t>整体收益率</t>
  </si>
  <si>
    <t>大类现金占比</t>
  </si>
  <si>
    <t>风险投资占比</t>
  </si>
  <si>
    <t>逐日资本权益总额</t>
  </si>
  <si>
    <t>剩余经济利润</t>
  </si>
  <si>
    <t>变动摘要</t>
  </si>
  <si>
    <t>总额</t>
  </si>
  <si>
    <t>投入资金总额</t>
  </si>
  <si>
    <t>证券代码</t>
  </si>
  <si>
    <t>多头笔数</t>
  </si>
  <si>
    <t>多头数量</t>
  </si>
  <si>
    <t>多头加权均价</t>
  </si>
  <si>
    <t>空头笔数</t>
  </si>
  <si>
    <t>空头数量</t>
  </si>
  <si>
    <t>空头加权均价</t>
  </si>
  <si>
    <t>净头寸方向</t>
  </si>
  <si>
    <t>净头寸数量</t>
  </si>
  <si>
    <t>净头寸加权均价</t>
  </si>
  <si>
    <t>已平多头笔数</t>
  </si>
  <si>
    <t>已平多头数量</t>
  </si>
  <si>
    <t>已平多头金额</t>
  </si>
  <si>
    <t>已平多头加权均价</t>
  </si>
  <si>
    <t>已平空头笔数</t>
  </si>
  <si>
    <t>已平空头数量</t>
  </si>
  <si>
    <t>已平空头金额</t>
  </si>
  <si>
    <t>已平空头加权均价</t>
  </si>
  <si>
    <t>净头寸金额</t>
  </si>
  <si>
    <t>对齐收益</t>
  </si>
  <si>
    <t>总体多头笔数</t>
  </si>
  <si>
    <t>总体多头数量</t>
  </si>
  <si>
    <t>总体多头金额</t>
  </si>
  <si>
    <t>总体多头加权均价</t>
  </si>
  <si>
    <t>总体空头笔数</t>
  </si>
  <si>
    <t>总体空头数量</t>
  </si>
  <si>
    <t>总体空头金额</t>
  </si>
  <si>
    <t>大类现金总额</t>
  </si>
  <si>
    <t>证券名称</t>
  </si>
  <si>
    <t>证券数量</t>
  </si>
  <si>
    <t>资金占用</t>
  </si>
  <si>
    <t>资本占比</t>
  </si>
  <si>
    <t>零成本持股数</t>
  </si>
  <si>
    <t>当日净头寸价格（现金流量计算）</t>
  </si>
  <si>
    <t>累积净头寸价格（现金流量计算）</t>
  </si>
  <si>
    <t>净头寸价格（分价加权计算）</t>
  </si>
  <si>
    <t>开盘价</t>
  </si>
  <si>
    <t>最高价</t>
  </si>
  <si>
    <t>最低价</t>
  </si>
  <si>
    <t>收盘价</t>
  </si>
  <si>
    <t>资本占用约束</t>
  </si>
  <si>
    <t>市值占用约束</t>
  </si>
  <si>
    <t>股份数量约束</t>
  </si>
  <si>
    <t>600269</t>
  </si>
  <si>
    <t>净买</t>
  </si>
  <si>
    <t>买</t>
  </si>
  <si>
    <t>总市值</t>
  </si>
  <si>
    <t>000402</t>
  </si>
  <si>
    <t>资金投入</t>
  </si>
  <si>
    <t>000528</t>
  </si>
  <si>
    <t>净卖</t>
  </si>
  <si>
    <t>卖</t>
  </si>
  <si>
    <t>002140</t>
  </si>
  <si>
    <t>601998</t>
  </si>
  <si>
    <t>002006</t>
  </si>
  <si>
    <t>基准年化收益率</t>
  </si>
  <si>
    <t>投资期间</t>
  </si>
  <si>
    <t>投资滞留期间</t>
  </si>
  <si>
    <t>逆回购利率</t>
  </si>
  <si>
    <t>000415</t>
  </si>
  <si>
    <t>000987</t>
  </si>
  <si>
    <t>603116</t>
  </si>
  <si>
    <t>(空白)</t>
  </si>
  <si>
    <t>利息税</t>
  </si>
  <si>
    <t>金融街</t>
  </si>
  <si>
    <t>柳工</t>
  </si>
  <si>
    <t>逆回购利息</t>
  </si>
  <si>
    <t>提取2w业绩报酬</t>
  </si>
  <si>
    <t>提取3w业绩报酬</t>
  </si>
  <si>
    <t>提取4w业绩报酬</t>
  </si>
  <si>
    <t>提取5w业绩报酬</t>
  </si>
  <si>
    <t>口子窖清盘</t>
  </si>
  <si>
    <t>汇添富借了5w</t>
  </si>
  <si>
    <t>申购蓝思转债</t>
  </si>
  <si>
    <t>利息归本</t>
  </si>
  <si>
    <t>归还汇添富借款本息20175</t>
  </si>
  <si>
    <t>归还汇添富借款本息</t>
  </si>
  <si>
    <t>资本金取整</t>
  </si>
  <si>
    <t>撤回资本2w元，可转债清盘-4元</t>
  </si>
  <si>
    <t>结息吧</t>
  </si>
  <si>
    <t>总计</t>
  </si>
  <si>
    <t>可卖数量</t>
  </si>
  <si>
    <t>成本价</t>
  </si>
  <si>
    <t>盈亏比例(%)</t>
  </si>
  <si>
    <t>最新市值</t>
  </si>
  <si>
    <t>当前价</t>
  </si>
  <si>
    <t>市值占比</t>
  </si>
  <si>
    <t>逐日盈亏变动</t>
  </si>
  <si>
    <t>可分配利润</t>
  </si>
  <si>
    <t>敞口多头笔数</t>
  </si>
  <si>
    <t>敞口多头数量</t>
  </si>
  <si>
    <t>敞口多头加权均价</t>
  </si>
  <si>
    <t>敞口空头笔数</t>
  </si>
  <si>
    <t>敞口空头数量</t>
  </si>
  <si>
    <t>敞口空头加权均价</t>
  </si>
  <si>
    <t>敞口净头寸方向</t>
  </si>
  <si>
    <t>敞口净头寸数量</t>
  </si>
  <si>
    <t>敞口净头寸加权均价</t>
  </si>
  <si>
    <t>倒挤敞口多头金额</t>
  </si>
  <si>
    <t>修正敞口多头加权均价</t>
  </si>
  <si>
    <t>倒挤敞口空头金额</t>
  </si>
  <si>
    <t>修正敞口空头加权均价</t>
  </si>
  <si>
    <t>倒挤净头寸金额</t>
  </si>
  <si>
    <t>修正敞口净头寸均价</t>
  </si>
  <si>
    <t>已平仓对齐收益折算股数</t>
  </si>
  <si>
    <t>添富快线</t>
  </si>
  <si>
    <t>601398</t>
  </si>
  <si>
    <t>工商银行</t>
  </si>
  <si>
    <t>中信银行</t>
  </si>
  <si>
    <t>金 融 街</t>
  </si>
  <si>
    <t>渤海金控</t>
  </si>
  <si>
    <t>柳    工</t>
  </si>
  <si>
    <t>精功科技</t>
  </si>
  <si>
    <t>东华科技</t>
  </si>
  <si>
    <t>519888</t>
  </si>
  <si>
    <t>SZRQ88</t>
  </si>
  <si>
    <t>国标准券</t>
  </si>
  <si>
    <t>SHRQ88</t>
  </si>
  <si>
    <t>赣粤高速</t>
  </si>
  <si>
    <t>300701</t>
  </si>
  <si>
    <t>森霸股份</t>
  </si>
  <si>
    <t>标准券</t>
  </si>
  <si>
    <t>603589</t>
  </si>
  <si>
    <t>口子窖</t>
  </si>
  <si>
    <t>越秀金控</t>
  </si>
  <si>
    <t>红蜻蜓</t>
  </si>
  <si>
    <t>370433</t>
  </si>
  <si>
    <t>蓝思发债</t>
  </si>
  <si>
    <t>123003</t>
  </si>
  <si>
    <t>新增证券</t>
  </si>
  <si>
    <t>蓝思转债</t>
  </si>
  <si>
    <t>森霸传感</t>
  </si>
  <si>
    <t>渤海租赁</t>
  </si>
  <si>
    <t>交易备注</t>
  </si>
  <si>
    <t>方向</t>
  </si>
  <si>
    <t>买卖数量</t>
  </si>
  <si>
    <t>市价</t>
  </si>
  <si>
    <t>证券余额</t>
  </si>
  <si>
    <t xml:space="preserve"> 持仓成本价</t>
  </si>
  <si>
    <t>盈亏比例</t>
  </si>
  <si>
    <t>Δ浮动盈亏</t>
  </si>
  <si>
    <t>佣金</t>
  </si>
  <si>
    <t>印花税</t>
  </si>
  <si>
    <t>资金占用修正</t>
  </si>
  <si>
    <t>市价-成本</t>
  </si>
  <si>
    <t>资金变动</t>
  </si>
  <si>
    <t>场外资金修正</t>
  </si>
  <si>
    <t>场外资金</t>
  </si>
  <si>
    <t>影子证券</t>
  </si>
  <si>
    <t>虚拟证券总额</t>
  </si>
  <si>
    <t>虚拟证券成本价格</t>
  </si>
  <si>
    <t>虚拟成本-持仓成本</t>
  </si>
  <si>
    <t>市价-虚拟成本</t>
  </si>
  <si>
    <t>水位</t>
  </si>
  <si>
    <t>提取利润</t>
  </si>
  <si>
    <t>购买量控制线</t>
  </si>
  <si>
    <t>对冲9</t>
  </si>
  <si>
    <t>对冲13</t>
  </si>
  <si>
    <t>对冲2</t>
  </si>
  <si>
    <t>对冲3</t>
  </si>
  <si>
    <t>对冲23</t>
  </si>
  <si>
    <t>对冲25</t>
  </si>
  <si>
    <t>对冲27</t>
  </si>
  <si>
    <t>对冲32</t>
  </si>
  <si>
    <t>对冲34（建200）</t>
  </si>
  <si>
    <t>对冲36</t>
  </si>
  <si>
    <t>对冲31</t>
  </si>
  <si>
    <t>对冲8</t>
  </si>
  <si>
    <t>对冲17</t>
  </si>
  <si>
    <t>对冲21</t>
  </si>
  <si>
    <t>对冲10</t>
  </si>
  <si>
    <t>对冲54</t>
  </si>
  <si>
    <t>对冲51</t>
  </si>
  <si>
    <t>对冲50</t>
  </si>
  <si>
    <t>对冲39</t>
  </si>
  <si>
    <t>对冲56</t>
  </si>
  <si>
    <t>对冲29</t>
  </si>
  <si>
    <t>对冲63</t>
  </si>
  <si>
    <t>对冲52</t>
  </si>
  <si>
    <t>对冲41</t>
  </si>
  <si>
    <t>对冲61</t>
  </si>
  <si>
    <t>分红</t>
  </si>
  <si>
    <t>对冲7</t>
  </si>
  <si>
    <t>对冲80</t>
  </si>
  <si>
    <t>对冲77</t>
  </si>
  <si>
    <t>对冲66</t>
  </si>
  <si>
    <t>对冲60</t>
  </si>
  <si>
    <t>对冲30</t>
  </si>
  <si>
    <t>对冲68</t>
  </si>
  <si>
    <t>对冲90</t>
  </si>
  <si>
    <t>对冲89</t>
  </si>
  <si>
    <t>对冲78</t>
  </si>
  <si>
    <t>对冲83</t>
  </si>
  <si>
    <t>对冲99</t>
  </si>
  <si>
    <t>对冲67</t>
  </si>
  <si>
    <t>对冲105</t>
  </si>
  <si>
    <t>对冲100</t>
  </si>
  <si>
    <t>对冲88</t>
  </si>
  <si>
    <t>对冲79</t>
  </si>
  <si>
    <t>对冲75</t>
  </si>
  <si>
    <t>对冲59</t>
  </si>
  <si>
    <t>对冲76</t>
  </si>
  <si>
    <t>对冲6</t>
  </si>
  <si>
    <t>对冲5</t>
  </si>
  <si>
    <t>对冲121</t>
  </si>
  <si>
    <t>对冲22</t>
  </si>
  <si>
    <t>对冲124</t>
  </si>
  <si>
    <t>对冲107</t>
  </si>
  <si>
    <t>对冲101</t>
  </si>
  <si>
    <t>对冲129</t>
  </si>
  <si>
    <t>对冲11</t>
  </si>
  <si>
    <t>对冲106</t>
  </si>
  <si>
    <t>对冲47</t>
  </si>
  <si>
    <t>对冲48/142</t>
  </si>
  <si>
    <t>对冲91</t>
  </si>
  <si>
    <t>对冲149</t>
  </si>
  <si>
    <t>对冲143</t>
  </si>
  <si>
    <t>对冲49/92/139</t>
  </si>
  <si>
    <t>对冲128</t>
  </si>
  <si>
    <t>对冲154</t>
  </si>
  <si>
    <t>对冲135</t>
  </si>
  <si>
    <t>对冲157</t>
  </si>
  <si>
    <t>对冲163</t>
  </si>
  <si>
    <t>对冲130</t>
  </si>
  <si>
    <t>对冲160</t>
  </si>
  <si>
    <t>对冲16/166</t>
  </si>
  <si>
    <t>对冲131/156</t>
  </si>
  <si>
    <t>对冲159</t>
  </si>
  <si>
    <t>对冲144</t>
  </si>
  <si>
    <t>对冲170</t>
  </si>
  <si>
    <t>对冲195</t>
  </si>
  <si>
    <t>对冲194</t>
  </si>
  <si>
    <t>对冲199</t>
  </si>
  <si>
    <t>对冲193</t>
  </si>
  <si>
    <t>对冲203</t>
  </si>
  <si>
    <t>对冲192</t>
  </si>
  <si>
    <t>对冲187</t>
  </si>
  <si>
    <t>对冲185</t>
  </si>
  <si>
    <t>对冲169</t>
  </si>
  <si>
    <t>对冲167</t>
  </si>
  <si>
    <t>对从137</t>
  </si>
  <si>
    <t>对冲176</t>
  </si>
  <si>
    <t>对冲161</t>
  </si>
  <si>
    <t>对冲189</t>
  </si>
  <si>
    <t>对冲221</t>
  </si>
  <si>
    <t>对冲168</t>
  </si>
  <si>
    <t>对冲87、220、182</t>
  </si>
  <si>
    <t>对冲210</t>
  </si>
  <si>
    <t>对冲186</t>
  </si>
  <si>
    <t>对冲138/180/183/215</t>
  </si>
  <si>
    <t>对冲146/216/217/219</t>
  </si>
  <si>
    <t>对冲132/145/162/184</t>
  </si>
  <si>
    <t>对冲178/179/236/238</t>
  </si>
  <si>
    <t>对冲117/118/126/224</t>
  </si>
  <si>
    <t>对冲242</t>
  </si>
  <si>
    <t>对冲114/127</t>
  </si>
  <si>
    <t>对冲241</t>
  </si>
  <si>
    <t>对冲228</t>
  </si>
  <si>
    <t>对冲248</t>
  </si>
  <si>
    <t>对冲250</t>
  </si>
  <si>
    <t>对冲247</t>
  </si>
  <si>
    <t>对冲230</t>
  </si>
  <si>
    <t>对冲254</t>
  </si>
  <si>
    <t>对冲261</t>
  </si>
  <si>
    <t>对冲259</t>
  </si>
  <si>
    <t>对冲262</t>
  </si>
  <si>
    <t>对冲265</t>
  </si>
  <si>
    <t>对冲270</t>
  </si>
  <si>
    <t>对冲274</t>
  </si>
  <si>
    <t>对冲267</t>
  </si>
  <si>
    <t>自消</t>
  </si>
  <si>
    <t>对冲188</t>
  </si>
  <si>
    <t>对冲271</t>
  </si>
  <si>
    <t>对冲269</t>
  </si>
  <si>
    <t>对冲285</t>
  </si>
  <si>
    <t>对冲284</t>
  </si>
  <si>
    <t>自销</t>
  </si>
  <si>
    <t>对冲283</t>
  </si>
  <si>
    <t>对冲275</t>
  </si>
  <si>
    <t>对冲272</t>
  </si>
  <si>
    <t>对冲293</t>
  </si>
  <si>
    <t>对冲276</t>
  </si>
  <si>
    <t>对冲287</t>
  </si>
  <si>
    <t>对冲299</t>
  </si>
  <si>
    <t>对冲300</t>
  </si>
  <si>
    <t>对冲298</t>
  </si>
  <si>
    <t>对冲307</t>
  </si>
  <si>
    <t>对冲232</t>
  </si>
  <si>
    <t>对冲222</t>
  </si>
  <si>
    <t>对冲303</t>
  </si>
  <si>
    <t>对冲311</t>
  </si>
  <si>
    <t>对冲308</t>
  </si>
  <si>
    <t>对冲252</t>
  </si>
  <si>
    <t>对冲305</t>
  </si>
  <si>
    <t>对冲310</t>
  </si>
  <si>
    <t>对冲325</t>
  </si>
  <si>
    <t>对冲333</t>
  </si>
  <si>
    <t>对冲332</t>
  </si>
  <si>
    <t>对冲330</t>
  </si>
  <si>
    <t>对冲251</t>
  </si>
  <si>
    <t>对冲302</t>
  </si>
  <si>
    <t>对冲331</t>
  </si>
  <si>
    <t>对冲347</t>
  </si>
  <si>
    <t>对冲297</t>
  </si>
  <si>
    <t>对冲191</t>
  </si>
  <si>
    <t>对冲196</t>
  </si>
  <si>
    <t>对冲335</t>
  </si>
  <si>
    <t>对冲315</t>
  </si>
  <si>
    <t>对冲314</t>
  </si>
  <si>
    <t>对冲313</t>
  </si>
  <si>
    <t>对冲312</t>
  </si>
  <si>
    <t>对冲319</t>
  </si>
  <si>
    <t>对冲322</t>
  </si>
  <si>
    <t>对冲359</t>
  </si>
  <si>
    <t>对冲354</t>
  </si>
  <si>
    <t>对冲320</t>
  </si>
  <si>
    <t>对冲366</t>
  </si>
  <si>
    <t>对冲204</t>
  </si>
  <si>
    <t>对冲367</t>
  </si>
  <si>
    <t>对冲351/376</t>
  </si>
  <si>
    <t>对冲372</t>
  </si>
  <si>
    <t>对冲373</t>
  </si>
  <si>
    <t>对冲365</t>
  </si>
  <si>
    <t>对冲379</t>
  </si>
  <si>
    <t>对冲368</t>
  </si>
  <si>
    <t>对冲370</t>
  </si>
  <si>
    <t>对冲384</t>
  </si>
  <si>
    <t>对冲346</t>
  </si>
  <si>
    <t>对冲231</t>
  </si>
  <si>
    <t>对冲342</t>
  </si>
  <si>
    <t>对冲389</t>
  </si>
  <si>
    <t>对冲391</t>
  </si>
  <si>
    <t>对冲323</t>
  </si>
  <si>
    <t>对冲336</t>
  </si>
  <si>
    <t>对冲392</t>
  </si>
  <si>
    <t>对冲398</t>
  </si>
  <si>
    <t>对冲396</t>
  </si>
  <si>
    <t>对冲405</t>
  </si>
  <si>
    <t>对冲399</t>
  </si>
  <si>
    <t>对冲402</t>
  </si>
  <si>
    <t>对冲418（1）</t>
  </si>
  <si>
    <t>对冲411</t>
  </si>
  <si>
    <t>对冲410</t>
  </si>
  <si>
    <t>对冲404</t>
  </si>
  <si>
    <t>对冲408</t>
  </si>
  <si>
    <t>对冲414</t>
  </si>
  <si>
    <t>对冲416</t>
  </si>
  <si>
    <t>对冲422</t>
  </si>
  <si>
    <t>对冲403</t>
  </si>
  <si>
    <t>对冲424</t>
  </si>
  <si>
    <t>对冲418（2）</t>
  </si>
  <si>
    <t>对冲433</t>
  </si>
  <si>
    <t>对冲418（3）</t>
  </si>
  <si>
    <t>对冲418（4）</t>
  </si>
  <si>
    <t>对冲418（5）</t>
  </si>
  <si>
    <t>对冲418（6）</t>
  </si>
  <si>
    <t>对冲418（7）</t>
  </si>
  <si>
    <t>对冲418（8）</t>
  </si>
  <si>
    <t>对冲426</t>
  </si>
  <si>
    <t>对冲418（9）</t>
  </si>
  <si>
    <t>对冲418（10）</t>
  </si>
  <si>
    <t>对冲437</t>
  </si>
  <si>
    <t>对冲452</t>
  </si>
  <si>
    <t>对冲446</t>
  </si>
  <si>
    <t>对冲467</t>
  </si>
  <si>
    <t>对冲460</t>
  </si>
  <si>
    <t>对冲457</t>
  </si>
  <si>
    <t>对冲448</t>
  </si>
  <si>
    <t>对冲447</t>
  </si>
  <si>
    <t>对冲440</t>
  </si>
  <si>
    <t>对冲444</t>
  </si>
  <si>
    <t>对冲24</t>
  </si>
  <si>
    <t>对冲33</t>
  </si>
  <si>
    <t>对冲</t>
  </si>
  <si>
    <t>对冲34</t>
  </si>
  <si>
    <t>对冲35</t>
  </si>
  <si>
    <t>对冲55</t>
  </si>
  <si>
    <t>对冲64</t>
  </si>
  <si>
    <t>对冲46</t>
  </si>
  <si>
    <t>对冲45</t>
  </si>
  <si>
    <t>对冲69</t>
  </si>
  <si>
    <t>对冲70</t>
  </si>
  <si>
    <t>对冲53</t>
  </si>
  <si>
    <t>对冲87</t>
  </si>
  <si>
    <t>对冲92</t>
  </si>
  <si>
    <t>对冲86</t>
  </si>
  <si>
    <t>对冲94</t>
  </si>
  <si>
    <t>对冲57</t>
  </si>
  <si>
    <t>对冲97</t>
  </si>
  <si>
    <t>对冲65</t>
  </si>
  <si>
    <t>对冲108</t>
  </si>
  <si>
    <t>对冲73</t>
  </si>
  <si>
    <t>对冲120</t>
  </si>
  <si>
    <t>对冲58</t>
  </si>
  <si>
    <t>对冲126</t>
  </si>
  <si>
    <t>对冲119</t>
  </si>
  <si>
    <t>对冲102、104</t>
  </si>
  <si>
    <t>对冲132</t>
  </si>
  <si>
    <t>对冲103</t>
  </si>
  <si>
    <t>对冲111</t>
  </si>
  <si>
    <t>对冲113</t>
  </si>
  <si>
    <t>对冲110</t>
  </si>
  <si>
    <t>对冲138</t>
  </si>
  <si>
    <t>对冲127</t>
  </si>
  <si>
    <t>对冲147</t>
  </si>
  <si>
    <t>对冲151</t>
  </si>
  <si>
    <t>对冲152</t>
  </si>
  <si>
    <t>对冲155</t>
  </si>
  <si>
    <t>对冲158</t>
  </si>
  <si>
    <t>分红1215</t>
  </si>
  <si>
    <t>对冲162</t>
  </si>
  <si>
    <t>对冲164</t>
  </si>
  <si>
    <t>对冲173</t>
  </si>
  <si>
    <t>对冲171</t>
  </si>
  <si>
    <t>对冲174</t>
  </si>
  <si>
    <t>对冲175</t>
  </si>
  <si>
    <t>批量对冲</t>
  </si>
  <si>
    <t>对冲198</t>
  </si>
  <si>
    <t>对冲197</t>
  </si>
  <si>
    <t>对冲190</t>
  </si>
  <si>
    <t>对冲215</t>
  </si>
  <si>
    <t>对冲181</t>
  </si>
  <si>
    <t>对冲219</t>
  </si>
  <si>
    <t>对冲216</t>
  </si>
  <si>
    <t>对冲220</t>
  </si>
  <si>
    <t>对冲179</t>
  </si>
  <si>
    <t>对冲229</t>
  </si>
  <si>
    <t>对冲180</t>
  </si>
  <si>
    <t>对冲239</t>
  </si>
  <si>
    <t>对冲243</t>
  </si>
  <si>
    <t>对冲240</t>
  </si>
  <si>
    <t>对冲244</t>
  </si>
  <si>
    <t>对冲238</t>
  </si>
  <si>
    <t>对冲236</t>
  </si>
  <si>
    <t>对冲235</t>
  </si>
  <si>
    <t>对冲255</t>
  </si>
  <si>
    <t>对冲234</t>
  </si>
  <si>
    <t>对冲233</t>
  </si>
  <si>
    <t>对冲626</t>
  </si>
  <si>
    <t>对冲18</t>
  </si>
  <si>
    <t>对冲263</t>
  </si>
  <si>
    <t>对冲273</t>
  </si>
  <si>
    <t>对冲279</t>
  </si>
  <si>
    <t>对冲266</t>
  </si>
  <si>
    <t>对冲278</t>
  </si>
  <si>
    <t>对冲165</t>
  </si>
  <si>
    <t>对冲290</t>
  </si>
  <si>
    <t>对冲289</t>
  </si>
  <si>
    <t>对冲292</t>
  </si>
  <si>
    <t>对冲301</t>
  </si>
  <si>
    <t>对冲304</t>
  </si>
  <si>
    <t>对冲294</t>
  </si>
  <si>
    <t>对冲296</t>
  </si>
  <si>
    <t>批量对冲：13/15/16/17/308/309/310/311/312</t>
  </si>
  <si>
    <t>调整可分配利润，可开始利润分配</t>
  </si>
  <si>
    <t>对冲316</t>
  </si>
  <si>
    <t>对冲321</t>
  </si>
  <si>
    <t>对冲12</t>
  </si>
  <si>
    <t>对冲327</t>
  </si>
  <si>
    <t>对冲334</t>
  </si>
  <si>
    <t>对冲328</t>
  </si>
  <si>
    <t>对冲339</t>
  </si>
  <si>
    <t>对冲340</t>
  </si>
  <si>
    <t>对冲343</t>
  </si>
  <si>
    <t>对冲344</t>
  </si>
  <si>
    <t>对冲348</t>
  </si>
  <si>
    <t>对冲345</t>
  </si>
  <si>
    <t>对冲338</t>
  </si>
  <si>
    <t>对冲329</t>
  </si>
  <si>
    <t>对冲371</t>
  </si>
  <si>
    <t>对冲358</t>
  </si>
  <si>
    <t>对冲364</t>
  </si>
  <si>
    <t>对冲363</t>
  </si>
  <si>
    <t>对冲349</t>
  </si>
  <si>
    <t>对冲360</t>
  </si>
  <si>
    <t>对冲356</t>
  </si>
  <si>
    <t>对冲390</t>
  </si>
  <si>
    <t>对冲351</t>
  </si>
  <si>
    <t>对冲388</t>
  </si>
  <si>
    <t>对冲411/412</t>
  </si>
  <si>
    <t>对冲413(分红）</t>
  </si>
  <si>
    <t>对冲387</t>
  </si>
  <si>
    <t>对冲3（建100）</t>
  </si>
  <si>
    <t>对冲6（建100）</t>
  </si>
  <si>
    <t>对冲5（建100）</t>
  </si>
  <si>
    <t>对冲15（建100）</t>
  </si>
  <si>
    <t>对冲20（建100）</t>
  </si>
  <si>
    <t>对冲16（建100）</t>
  </si>
  <si>
    <t>对冲13（建100）</t>
  </si>
  <si>
    <t>对冲11（建100）</t>
  </si>
  <si>
    <t>对冲9（建100）</t>
  </si>
  <si>
    <t>对冲26（建100）</t>
  </si>
  <si>
    <t>对冲10（建100）</t>
  </si>
  <si>
    <t>对冲29（建100）</t>
  </si>
  <si>
    <t>对冲32（建100）</t>
  </si>
  <si>
    <t>对冲14（建100）</t>
  </si>
  <si>
    <t>对冲37（建100）</t>
  </si>
  <si>
    <t>对冲36（建100）</t>
  </si>
  <si>
    <t>对冲18（建100）</t>
  </si>
  <si>
    <t>对冲35（建100）</t>
  </si>
  <si>
    <t>对冲44（建100）</t>
  </si>
  <si>
    <t>对冲19（建100）</t>
  </si>
  <si>
    <t>对冲50（建100）</t>
  </si>
  <si>
    <t>对冲31（建100）</t>
  </si>
  <si>
    <t>对冲12（建100）</t>
  </si>
  <si>
    <t>对冲54（建100）</t>
  </si>
  <si>
    <t>对冲63（建100）</t>
  </si>
  <si>
    <t>对冲56（建100）</t>
  </si>
  <si>
    <t>对冲38（建100）</t>
  </si>
  <si>
    <t>对冲41（建100）</t>
  </si>
  <si>
    <t>对冲47（建100）</t>
  </si>
  <si>
    <t>对冲62(建100）</t>
  </si>
  <si>
    <t>对冲61（建100）</t>
  </si>
  <si>
    <t>对冲60（建100）</t>
  </si>
  <si>
    <t>对冲57（建100）</t>
  </si>
  <si>
    <t>对冲53（建100）</t>
  </si>
  <si>
    <t>对冲51（建100）</t>
  </si>
  <si>
    <t>对冲75（建100）</t>
  </si>
  <si>
    <t>对冲77（建100）</t>
  </si>
  <si>
    <t>对冲79（建100）</t>
  </si>
  <si>
    <t>对冲83（建100）</t>
  </si>
  <si>
    <t>对冲82(建100）</t>
  </si>
  <si>
    <t>对冲81（建100）</t>
  </si>
  <si>
    <t>对冲86（建100）</t>
  </si>
  <si>
    <t>对冲89（建100）</t>
  </si>
  <si>
    <t>对冲93（建100）</t>
  </si>
  <si>
    <t>对冲98（建100）</t>
  </si>
  <si>
    <t>对冲100（建100）</t>
  </si>
  <si>
    <t>对冲107（建100）</t>
  </si>
  <si>
    <t>对冲106（建100）</t>
  </si>
  <si>
    <t>对冲114</t>
  </si>
  <si>
    <t>对冲115</t>
  </si>
  <si>
    <t>对冲118</t>
  </si>
  <si>
    <t>对冲109</t>
  </si>
  <si>
    <t>对冲112</t>
  </si>
  <si>
    <t>对冲131</t>
  </si>
  <si>
    <t>对冲134</t>
  </si>
  <si>
    <t>对冲139</t>
  </si>
  <si>
    <t>对冲141</t>
  </si>
  <si>
    <t>对冲142</t>
  </si>
  <si>
    <t>对冲146</t>
  </si>
  <si>
    <t>对冲150</t>
  </si>
  <si>
    <t>对冲153</t>
  </si>
  <si>
    <t>对冲125</t>
  </si>
  <si>
    <t>分红405</t>
  </si>
  <si>
    <t>对冲166</t>
  </si>
  <si>
    <t>对冲178</t>
  </si>
  <si>
    <t>对冲148</t>
  </si>
  <si>
    <t>对冲177</t>
  </si>
  <si>
    <t>对冲184</t>
  </si>
  <si>
    <t>对冲202</t>
  </si>
  <si>
    <t>对冲200</t>
  </si>
  <si>
    <t>对冲201</t>
  </si>
  <si>
    <t>对冲145</t>
  </si>
  <si>
    <t>对冲212</t>
  </si>
  <si>
    <t>对冲223</t>
  </si>
  <si>
    <t>对冲208</t>
  </si>
  <si>
    <t>对冲226</t>
  </si>
  <si>
    <t>对冲227</t>
  </si>
  <si>
    <t>对冲224</t>
  </si>
  <si>
    <t>对冲246</t>
  </si>
  <si>
    <t>对冲245</t>
  </si>
  <si>
    <t>对冲253</t>
  </si>
  <si>
    <t>对冲249</t>
  </si>
  <si>
    <t>对冲258</t>
  </si>
  <si>
    <t>批量对冲210、213/218/228/260/261</t>
  </si>
  <si>
    <t>批量对冲263/265/268/269/270/271/272</t>
  </si>
  <si>
    <t>对冲264</t>
  </si>
  <si>
    <t>对冲280</t>
  </si>
  <si>
    <t>对冲281</t>
  </si>
  <si>
    <t>对冲282</t>
  </si>
  <si>
    <t>对冲286</t>
  </si>
  <si>
    <t>对冲306</t>
  </si>
  <si>
    <t>备注</t>
  </si>
  <si>
    <t>分红21.2</t>
  </si>
  <si>
    <t>对冲14</t>
  </si>
  <si>
    <t>对冲15</t>
  </si>
  <si>
    <t>对冲27（建100）</t>
  </si>
  <si>
    <t>对冲26</t>
  </si>
  <si>
    <t>对冲44</t>
  </si>
  <si>
    <t>对冲20</t>
  </si>
  <si>
    <t>分红129</t>
  </si>
  <si>
    <t>对冲62</t>
  </si>
  <si>
    <t>对冲74</t>
  </si>
  <si>
    <t>对冲84</t>
  </si>
  <si>
    <t>对冲85</t>
  </si>
  <si>
    <t>对冲95</t>
  </si>
  <si>
    <t>分红42</t>
  </si>
  <si>
    <t>对冲37</t>
  </si>
  <si>
    <t>对冲42</t>
  </si>
  <si>
    <t>对冲38</t>
  </si>
  <si>
    <t>对冲19</t>
  </si>
  <si>
    <t>对冲43</t>
  </si>
  <si>
    <t>对冲16</t>
  </si>
  <si>
    <t>对冲：15</t>
  </si>
  <si>
    <t>对冲28</t>
  </si>
  <si>
    <t>对冲48</t>
  </si>
  <si>
    <t>对冲27（分红）</t>
  </si>
  <si>
    <t>对冲4</t>
  </si>
  <si>
    <t>对冲461</t>
    <phoneticPr fontId="16" type="noConversion"/>
  </si>
  <si>
    <t>对冲434</t>
    <phoneticPr fontId="16" type="noConversion"/>
  </si>
  <si>
    <t>对冲445</t>
    <phoneticPr fontId="16" type="noConversion"/>
  </si>
  <si>
    <t>对冲432</t>
    <phoneticPr fontId="16" type="noConversion"/>
  </si>
  <si>
    <t>对冲431</t>
    <phoneticPr fontId="16" type="noConversion"/>
  </si>
  <si>
    <t>对冲429</t>
    <phoneticPr fontId="16" type="noConversion"/>
  </si>
  <si>
    <t>买</t>
    <phoneticPr fontId="16" type="noConversion"/>
  </si>
  <si>
    <t>对冲486</t>
    <phoneticPr fontId="16" type="noConversion"/>
  </si>
  <si>
    <t>对冲428</t>
    <phoneticPr fontId="16" type="noConversion"/>
  </si>
  <si>
    <t>对冲430</t>
    <phoneticPr fontId="16" type="noConversion"/>
  </si>
  <si>
    <t>批量对冲</t>
    <phoneticPr fontId="16" type="noConversion"/>
  </si>
  <si>
    <t>002945</t>
  </si>
  <si>
    <t>华林证券</t>
  </si>
  <si>
    <t>002950</t>
  </si>
  <si>
    <t>奥美医疗</t>
  </si>
  <si>
    <t>对冲491</t>
    <phoneticPr fontId="16" type="noConversion"/>
  </si>
  <si>
    <t>对冲427</t>
    <phoneticPr fontId="16" type="noConversion"/>
  </si>
  <si>
    <t>卖</t>
    <phoneticPr fontId="16" type="noConversion"/>
  </si>
  <si>
    <t>日期</t>
    <phoneticPr fontId="20" type="noConversion"/>
  </si>
  <si>
    <t>交易备注</t>
    <phoneticPr fontId="20" type="noConversion"/>
  </si>
  <si>
    <t>方向</t>
    <phoneticPr fontId="20" type="noConversion"/>
  </si>
  <si>
    <t>买卖数量</t>
    <phoneticPr fontId="20" type="noConversion"/>
  </si>
  <si>
    <t>市价</t>
    <phoneticPr fontId="20" type="noConversion"/>
  </si>
  <si>
    <t>证券余额</t>
    <phoneticPr fontId="20" type="noConversion"/>
  </si>
  <si>
    <t xml:space="preserve"> 持仓成本价</t>
    <phoneticPr fontId="20" type="noConversion"/>
  </si>
  <si>
    <t>资金占用</t>
    <phoneticPr fontId="20" type="noConversion"/>
  </si>
  <si>
    <t>浮动盈亏</t>
    <phoneticPr fontId="20" type="noConversion"/>
  </si>
  <si>
    <t>盈亏比例</t>
    <phoneticPr fontId="20" type="noConversion"/>
  </si>
  <si>
    <t>市值</t>
    <phoneticPr fontId="20" type="noConversion"/>
  </si>
  <si>
    <t>Δ浮动盈亏</t>
    <phoneticPr fontId="20" type="noConversion"/>
  </si>
  <si>
    <t>佣金</t>
    <phoneticPr fontId="20" type="noConversion"/>
  </si>
  <si>
    <t>印花税</t>
    <phoneticPr fontId="20" type="noConversion"/>
  </si>
  <si>
    <t>资金占用修正</t>
    <phoneticPr fontId="20" type="noConversion"/>
  </si>
  <si>
    <t>市价-成本</t>
    <phoneticPr fontId="20" type="noConversion"/>
  </si>
  <si>
    <t>资金变动</t>
    <phoneticPr fontId="20" type="noConversion"/>
  </si>
  <si>
    <t>场外资金修正</t>
    <phoneticPr fontId="20" type="noConversion"/>
  </si>
  <si>
    <t>场外资金</t>
    <phoneticPr fontId="20" type="noConversion"/>
  </si>
  <si>
    <t>影子证券</t>
    <phoneticPr fontId="20" type="noConversion"/>
  </si>
  <si>
    <t>虚拟证券总额</t>
    <phoneticPr fontId="20" type="noConversion"/>
  </si>
  <si>
    <t>投入资金总额</t>
    <phoneticPr fontId="20" type="noConversion"/>
  </si>
  <si>
    <t>虚拟证券成本价格</t>
    <phoneticPr fontId="20" type="noConversion"/>
  </si>
  <si>
    <t>虚拟成本-持仓成本</t>
    <phoneticPr fontId="20" type="noConversion"/>
  </si>
  <si>
    <t>市价-虚拟成本</t>
    <phoneticPr fontId="20" type="noConversion"/>
  </si>
  <si>
    <t>水位</t>
    <phoneticPr fontId="20" type="noConversion"/>
  </si>
  <si>
    <t>可分配利润</t>
    <phoneticPr fontId="20" type="noConversion"/>
  </si>
  <si>
    <t>提取利润</t>
    <phoneticPr fontId="20" type="noConversion"/>
  </si>
  <si>
    <t>零成本持股数</t>
    <phoneticPr fontId="20" type="noConversion"/>
  </si>
  <si>
    <t>购买量控制线</t>
    <phoneticPr fontId="20" type="noConversion"/>
  </si>
  <si>
    <t>100股</t>
    <phoneticPr fontId="20" type="noConversion"/>
  </si>
  <si>
    <t>200股</t>
    <phoneticPr fontId="20" type="noConversion"/>
  </si>
  <si>
    <t>100股</t>
    <phoneticPr fontId="20" type="noConversion"/>
  </si>
  <si>
    <t>对冲</t>
    <phoneticPr fontId="20" type="noConversion"/>
  </si>
  <si>
    <t>买</t>
    <phoneticPr fontId="20" type="noConversion"/>
  </si>
  <si>
    <t>对冲4.18</t>
    <phoneticPr fontId="20" type="noConversion"/>
  </si>
  <si>
    <t>对冲：62</t>
    <phoneticPr fontId="20" type="noConversion"/>
  </si>
  <si>
    <t>对冲：63</t>
    <phoneticPr fontId="20" type="noConversion"/>
  </si>
  <si>
    <t>对冲：66</t>
    <phoneticPr fontId="20" type="noConversion"/>
  </si>
  <si>
    <t>对冲：67</t>
    <phoneticPr fontId="20" type="noConversion"/>
  </si>
  <si>
    <t>对冲：70</t>
    <phoneticPr fontId="20" type="noConversion"/>
  </si>
  <si>
    <t>对冲69：平</t>
    <phoneticPr fontId="20" type="noConversion"/>
  </si>
  <si>
    <t>对冲：74</t>
    <phoneticPr fontId="20" type="noConversion"/>
  </si>
  <si>
    <t>对冲77</t>
    <phoneticPr fontId="20" type="noConversion"/>
  </si>
  <si>
    <t>对冲76</t>
    <phoneticPr fontId="20" type="noConversion"/>
  </si>
  <si>
    <t>对冲76</t>
    <phoneticPr fontId="20" type="noConversion"/>
  </si>
  <si>
    <t>对冲81</t>
    <phoneticPr fontId="20" type="noConversion"/>
  </si>
  <si>
    <t>对冲84</t>
    <phoneticPr fontId="20" type="noConversion"/>
  </si>
  <si>
    <t>对冲88，,8</t>
    <phoneticPr fontId="20" type="noConversion"/>
  </si>
  <si>
    <t>对冲87</t>
    <phoneticPr fontId="20" type="noConversion"/>
  </si>
  <si>
    <t>对冲93</t>
    <phoneticPr fontId="20" type="noConversion"/>
  </si>
  <si>
    <t>对冲97</t>
    <phoneticPr fontId="20" type="noConversion"/>
  </si>
  <si>
    <t>对冲96</t>
    <phoneticPr fontId="20" type="noConversion"/>
  </si>
  <si>
    <t>对冲99</t>
    <phoneticPr fontId="20" type="noConversion"/>
  </si>
  <si>
    <t>对冲99</t>
    <phoneticPr fontId="20" type="noConversion"/>
  </si>
  <si>
    <t>对冲44</t>
    <phoneticPr fontId="20" type="noConversion"/>
  </si>
  <si>
    <t>对冲104</t>
    <phoneticPr fontId="20" type="noConversion"/>
  </si>
  <si>
    <t>对冲107</t>
    <phoneticPr fontId="20" type="noConversion"/>
  </si>
  <si>
    <t>对冲109</t>
    <phoneticPr fontId="20" type="noConversion"/>
  </si>
  <si>
    <t>对冲111</t>
    <phoneticPr fontId="20" type="noConversion"/>
  </si>
  <si>
    <t>对冲113、95</t>
    <phoneticPr fontId="20" type="noConversion"/>
  </si>
  <si>
    <t>601398</t>
    <phoneticPr fontId="16" type="noConversion"/>
  </si>
  <si>
    <r>
      <t>提取1</t>
    </r>
    <r>
      <rPr>
        <sz val="11"/>
        <color theme="1"/>
        <rFont val="宋体"/>
        <family val="3"/>
        <charset val="134"/>
        <scheme val="minor"/>
      </rPr>
      <t>000管理费</t>
    </r>
    <phoneticPr fontId="16" type="noConversion"/>
  </si>
  <si>
    <t>对冲468（1）</t>
    <phoneticPr fontId="16" type="noConversion"/>
  </si>
  <si>
    <t>对冲468（2）</t>
    <phoneticPr fontId="16" type="noConversion"/>
  </si>
  <si>
    <t>净卖</t>
    <phoneticPr fontId="16" type="noConversion"/>
  </si>
  <si>
    <t>净买</t>
    <phoneticPr fontId="16" type="noConversion"/>
  </si>
  <si>
    <t>净买</t>
    <phoneticPr fontId="16" type="noConversion"/>
  </si>
  <si>
    <t>净卖</t>
    <phoneticPr fontId="16" type="noConversion"/>
  </si>
  <si>
    <t>净卖</t>
    <phoneticPr fontId="16" type="noConversion"/>
  </si>
  <si>
    <t>对冲497</t>
    <phoneticPr fontId="16" type="noConversion"/>
  </si>
  <si>
    <t>对冲499</t>
    <phoneticPr fontId="16" type="noConversion"/>
  </si>
  <si>
    <t>对冲476</t>
    <phoneticPr fontId="16" type="noConversion"/>
  </si>
  <si>
    <t>买</t>
    <phoneticPr fontId="16" type="noConversion"/>
  </si>
  <si>
    <t>对冲495/496</t>
    <phoneticPr fontId="16" type="noConversion"/>
  </si>
  <si>
    <t>对冲494、506</t>
    <phoneticPr fontId="16" type="noConversion"/>
  </si>
  <si>
    <t>对冲514</t>
    <phoneticPr fontId="16" type="noConversion"/>
  </si>
  <si>
    <t>买</t>
    <phoneticPr fontId="16" type="noConversion"/>
  </si>
  <si>
    <t>买</t>
    <phoneticPr fontId="16" type="noConversion"/>
  </si>
  <si>
    <t>买</t>
    <phoneticPr fontId="16" type="noConversion"/>
  </si>
  <si>
    <t>对冲417</t>
    <phoneticPr fontId="16" type="noConversion"/>
  </si>
  <si>
    <t>买</t>
    <phoneticPr fontId="16" type="noConversion"/>
  </si>
  <si>
    <t>517/518对冲480/492</t>
    <phoneticPr fontId="16" type="noConversion"/>
  </si>
  <si>
    <t>对冲332</t>
    <phoneticPr fontId="16" type="noConversion"/>
  </si>
  <si>
    <t>对冲407</t>
    <phoneticPr fontId="16" type="noConversion"/>
  </si>
  <si>
    <t>卖</t>
    <phoneticPr fontId="16" type="noConversion"/>
  </si>
  <si>
    <t>对冲487</t>
    <phoneticPr fontId="16" type="noConversion"/>
  </si>
  <si>
    <t>买</t>
    <phoneticPr fontId="16" type="noConversion"/>
  </si>
  <si>
    <t>对冲385</t>
    <phoneticPr fontId="16" type="noConversion"/>
  </si>
  <si>
    <t>买</t>
    <phoneticPr fontId="16" type="noConversion"/>
  </si>
  <si>
    <t>对冲521</t>
    <phoneticPr fontId="16" type="noConversion"/>
  </si>
  <si>
    <t>买</t>
    <phoneticPr fontId="16" type="noConversion"/>
  </si>
  <si>
    <t>对冲500</t>
    <phoneticPr fontId="16" type="noConversion"/>
  </si>
  <si>
    <t>买</t>
    <phoneticPr fontId="16" type="noConversion"/>
  </si>
  <si>
    <t>对冲507</t>
    <phoneticPr fontId="16" type="noConversion"/>
  </si>
  <si>
    <t>对冲522</t>
    <phoneticPr fontId="16" type="noConversion"/>
  </si>
  <si>
    <t>对冲501</t>
    <phoneticPr fontId="16" type="noConversion"/>
  </si>
  <si>
    <t>对冲506</t>
    <phoneticPr fontId="16" type="noConversion"/>
  </si>
  <si>
    <t>对冲525</t>
    <phoneticPr fontId="16" type="noConversion"/>
  </si>
  <si>
    <t>对冲350</t>
    <phoneticPr fontId="16" type="noConversion"/>
  </si>
  <si>
    <t>对冲422</t>
    <phoneticPr fontId="16" type="noConversion"/>
  </si>
  <si>
    <t>XD红蜻蜓</t>
  </si>
  <si>
    <t>对冲519</t>
    <phoneticPr fontId="16" type="noConversion"/>
  </si>
  <si>
    <t>对冲424</t>
    <phoneticPr fontId="16" type="noConversion"/>
  </si>
  <si>
    <t>买</t>
    <phoneticPr fontId="16" type="noConversion"/>
  </si>
  <si>
    <t>对冲537</t>
    <phoneticPr fontId="16" type="noConversion"/>
  </si>
  <si>
    <t>对冲429</t>
    <phoneticPr fontId="16" type="noConversion"/>
  </si>
  <si>
    <t>通号申购</t>
    <phoneticPr fontId="16" type="noConversion"/>
  </si>
  <si>
    <t>对冲354</t>
    <phoneticPr fontId="16" type="noConversion"/>
  </si>
  <si>
    <t>787009</t>
  </si>
  <si>
    <t>通号申购</t>
  </si>
  <si>
    <t>对冲535</t>
    <phoneticPr fontId="16" type="noConversion"/>
  </si>
  <si>
    <t>对冲516</t>
    <phoneticPr fontId="16" type="noConversion"/>
  </si>
  <si>
    <t>对冲527</t>
    <phoneticPr fontId="16" type="noConversion"/>
  </si>
  <si>
    <t>688009</t>
  </si>
  <si>
    <t>中国通号</t>
  </si>
  <si>
    <t>买</t>
    <phoneticPr fontId="16" type="noConversion"/>
  </si>
  <si>
    <t>对冲533</t>
    <phoneticPr fontId="16" type="noConversion"/>
  </si>
  <si>
    <t>对冲542</t>
    <phoneticPr fontId="16" type="noConversion"/>
  </si>
  <si>
    <t>买</t>
    <phoneticPr fontId="16" type="noConversion"/>
  </si>
  <si>
    <t>对冲357</t>
    <phoneticPr fontId="16" type="noConversion"/>
  </si>
  <si>
    <t>买</t>
    <phoneticPr fontId="16" type="noConversion"/>
  </si>
  <si>
    <t>对冲503</t>
    <phoneticPr fontId="16" type="noConversion"/>
  </si>
  <si>
    <t>买</t>
    <phoneticPr fontId="16" type="noConversion"/>
  </si>
  <si>
    <t>对冲544</t>
    <phoneticPr fontId="16" type="noConversion"/>
  </si>
  <si>
    <t>买</t>
    <phoneticPr fontId="16" type="noConversion"/>
  </si>
  <si>
    <t>对冲550</t>
    <phoneticPr fontId="16" type="noConversion"/>
  </si>
  <si>
    <t>买</t>
    <phoneticPr fontId="16" type="noConversion"/>
  </si>
  <si>
    <t>对冲549</t>
    <phoneticPr fontId="16" type="noConversion"/>
  </si>
  <si>
    <t>对冲547</t>
    <phoneticPr fontId="16" type="noConversion"/>
  </si>
  <si>
    <t>对冲538</t>
    <phoneticPr fontId="16" type="noConversion"/>
  </si>
  <si>
    <t>对冲555</t>
    <phoneticPr fontId="16" type="noConversion"/>
  </si>
  <si>
    <t>对冲435</t>
    <phoneticPr fontId="16" type="noConversion"/>
  </si>
  <si>
    <t>003816</t>
  </si>
  <si>
    <t>中国广核</t>
  </si>
  <si>
    <t>对冲558</t>
    <phoneticPr fontId="16" type="noConversion"/>
  </si>
  <si>
    <t>买</t>
    <phoneticPr fontId="16" type="noConversion"/>
  </si>
  <si>
    <t>对冲365</t>
    <phoneticPr fontId="16" type="noConversion"/>
  </si>
  <si>
    <t>对冲563</t>
    <phoneticPr fontId="16" type="noConversion"/>
  </si>
  <si>
    <t>买</t>
    <phoneticPr fontId="16" type="noConversion"/>
  </si>
  <si>
    <t>对冲564</t>
    <phoneticPr fontId="16" type="noConversion"/>
  </si>
  <si>
    <t>688369</t>
  </si>
  <si>
    <t>致远互联</t>
  </si>
  <si>
    <t>对冲567</t>
    <phoneticPr fontId="16" type="noConversion"/>
  </si>
  <si>
    <t>对冲562</t>
    <phoneticPr fontId="16" type="noConversion"/>
  </si>
  <si>
    <t>对冲559</t>
    <phoneticPr fontId="16" type="noConversion"/>
  </si>
  <si>
    <t>对冲557</t>
    <phoneticPr fontId="16" type="noConversion"/>
  </si>
  <si>
    <t>对冲560</t>
    <phoneticPr fontId="16" type="noConversion"/>
  </si>
  <si>
    <t>买</t>
    <phoneticPr fontId="16" type="noConversion"/>
  </si>
  <si>
    <t>对冲578</t>
    <phoneticPr fontId="16" type="noConversion"/>
  </si>
  <si>
    <t>对冲577</t>
    <phoneticPr fontId="16" type="noConversion"/>
  </si>
  <si>
    <t>对冲509</t>
    <phoneticPr fontId="16" type="noConversion"/>
  </si>
  <si>
    <t>卖</t>
    <phoneticPr fontId="16" type="noConversion"/>
  </si>
  <si>
    <t>买</t>
    <phoneticPr fontId="16" type="noConversion"/>
  </si>
  <si>
    <t>对冲583</t>
    <phoneticPr fontId="16" type="noConversion"/>
  </si>
  <si>
    <t>对冲439</t>
    <phoneticPr fontId="16" type="noConversion"/>
  </si>
  <si>
    <t>对冲579</t>
    <phoneticPr fontId="16" type="noConversion"/>
  </si>
  <si>
    <t>买</t>
    <phoneticPr fontId="16" type="noConversion"/>
  </si>
  <si>
    <t>对冲576</t>
    <phoneticPr fontId="16" type="noConversion"/>
  </si>
  <si>
    <t>对冲446</t>
    <phoneticPr fontId="16" type="noConversion"/>
  </si>
  <si>
    <t>买</t>
    <phoneticPr fontId="16" type="noConversion"/>
  </si>
  <si>
    <t>对冲582</t>
    <phoneticPr fontId="16" type="noConversion"/>
  </si>
  <si>
    <t>买</t>
    <phoneticPr fontId="16" type="noConversion"/>
  </si>
  <si>
    <t>买</t>
    <phoneticPr fontId="16" type="noConversion"/>
  </si>
  <si>
    <t>对冲398</t>
    <phoneticPr fontId="16" type="noConversion"/>
  </si>
  <si>
    <t>对冲595/596</t>
    <phoneticPr fontId="16" type="noConversion"/>
  </si>
  <si>
    <t>卖</t>
    <phoneticPr fontId="16" type="noConversion"/>
  </si>
  <si>
    <t>买</t>
    <phoneticPr fontId="16" type="noConversion"/>
  </si>
  <si>
    <t>对冲565</t>
    <phoneticPr fontId="16" type="noConversion"/>
  </si>
  <si>
    <t>对冲599</t>
    <phoneticPr fontId="16" type="noConversion"/>
  </si>
  <si>
    <t>对冲601</t>
    <phoneticPr fontId="16" type="noConversion"/>
  </si>
  <si>
    <t>买</t>
    <phoneticPr fontId="16" type="noConversion"/>
  </si>
  <si>
    <t>买</t>
    <phoneticPr fontId="16" type="noConversion"/>
  </si>
  <si>
    <t>买</t>
    <phoneticPr fontId="16" type="noConversion"/>
  </si>
  <si>
    <t>对冲570</t>
    <phoneticPr fontId="16" type="noConversion"/>
  </si>
  <si>
    <t>对冲603</t>
    <phoneticPr fontId="16" type="noConversion"/>
  </si>
  <si>
    <t>对冲605</t>
    <phoneticPr fontId="16" type="noConversion"/>
  </si>
  <si>
    <t>买</t>
    <phoneticPr fontId="16" type="noConversion"/>
  </si>
  <si>
    <t>对冲607</t>
    <phoneticPr fontId="16" type="noConversion"/>
  </si>
  <si>
    <t>买</t>
    <phoneticPr fontId="16" type="noConversion"/>
  </si>
  <si>
    <t>对冲511</t>
    <phoneticPr fontId="16" type="noConversion"/>
  </si>
  <si>
    <t>002987</t>
  </si>
  <si>
    <t>京北方</t>
  </si>
  <si>
    <t>买</t>
    <phoneticPr fontId="16" type="noConversion"/>
  </si>
  <si>
    <t>对冲588</t>
    <phoneticPr fontId="16" type="noConversion"/>
  </si>
  <si>
    <t>对冲512</t>
    <phoneticPr fontId="16" type="noConversion"/>
  </si>
  <si>
    <t>买</t>
    <phoneticPr fontId="16" type="noConversion"/>
  </si>
  <si>
    <t>对冲511</t>
    <phoneticPr fontId="16" type="noConversion"/>
  </si>
  <si>
    <t>对冲604</t>
    <phoneticPr fontId="16" type="noConversion"/>
  </si>
  <si>
    <t>对冲450</t>
    <phoneticPr fontId="16" type="noConversion"/>
  </si>
  <si>
    <t>买</t>
    <phoneticPr fontId="16" type="noConversion"/>
  </si>
  <si>
    <t>对冲611</t>
    <phoneticPr fontId="16" type="noConversion"/>
  </si>
  <si>
    <t>对冲512</t>
    <phoneticPr fontId="16" type="noConversion"/>
  </si>
  <si>
    <t>批量对冲0623</t>
    <phoneticPr fontId="16" type="noConversion"/>
  </si>
  <si>
    <t>300824</t>
  </si>
  <si>
    <t>北鼎股份</t>
  </si>
  <si>
    <t>300841</t>
  </si>
  <si>
    <t>康华生物</t>
  </si>
  <si>
    <t>对冲449</t>
    <phoneticPr fontId="16" type="noConversion"/>
  </si>
  <si>
    <t>买</t>
    <phoneticPr fontId="16" type="noConversion"/>
  </si>
  <si>
    <t>reserve</t>
  </si>
  <si>
    <t>卖</t>
    <phoneticPr fontId="16" type="noConversion"/>
  </si>
  <si>
    <t>127018</t>
  </si>
  <si>
    <t>本钢转债</t>
  </si>
  <si>
    <t>备用金</t>
  </si>
  <si>
    <t>对冲629</t>
    <phoneticPr fontId="16" type="noConversion"/>
  </si>
  <si>
    <t>日期</t>
    <phoneticPr fontId="23" type="noConversion"/>
  </si>
  <si>
    <t>存入资金</t>
    <phoneticPr fontId="23" type="noConversion"/>
  </si>
  <si>
    <t>托管转入</t>
    <phoneticPr fontId="23" type="noConversion"/>
  </si>
  <si>
    <t>结息</t>
    <phoneticPr fontId="23" type="noConversion"/>
  </si>
  <si>
    <t>转出资金</t>
    <phoneticPr fontId="23" type="noConversion"/>
  </si>
  <si>
    <t>理论计算的场内价值</t>
    <phoneticPr fontId="23" type="noConversion"/>
  </si>
  <si>
    <t>实际的场内价值</t>
    <phoneticPr fontId="23" type="noConversion"/>
  </si>
  <si>
    <t>账户总体盈亏</t>
    <phoneticPr fontId="23" type="noConversion"/>
  </si>
  <si>
    <t>对冲619</t>
    <phoneticPr fontId="16" type="noConversion"/>
  </si>
  <si>
    <t>对冲620</t>
    <phoneticPr fontId="16" type="noConversion"/>
  </si>
  <si>
    <t>逐日盈亏变动</t>
    <phoneticPr fontId="16" type="noConversion"/>
  </si>
  <si>
    <t>备注</t>
    <phoneticPr fontId="16" type="noConversion"/>
  </si>
  <si>
    <r>
      <t>取出北鼎收益1</t>
    </r>
    <r>
      <rPr>
        <sz val="11"/>
        <color theme="1"/>
        <rFont val="宋体"/>
        <family val="3"/>
        <charset val="134"/>
        <scheme val="minor"/>
      </rPr>
      <t>3000</t>
    </r>
    <phoneticPr fontId="16" type="noConversion"/>
  </si>
  <si>
    <t>买</t>
    <phoneticPr fontId="16" type="noConversion"/>
  </si>
  <si>
    <t>对冲628</t>
    <phoneticPr fontId="16" type="noConversion"/>
  </si>
  <si>
    <t>账户显示浮动盈亏</t>
    <phoneticPr fontId="23" type="noConversion"/>
  </si>
  <si>
    <t>买</t>
    <phoneticPr fontId="16" type="noConversion"/>
  </si>
  <si>
    <t>对冲627</t>
    <phoneticPr fontId="16" type="noConversion"/>
  </si>
  <si>
    <t>对冲631</t>
    <phoneticPr fontId="16" type="noConversion"/>
  </si>
  <si>
    <t>对冲626</t>
    <phoneticPr fontId="16" type="noConversion"/>
  </si>
  <si>
    <t>对冲625</t>
    <phoneticPr fontId="16" type="noConversion"/>
  </si>
  <si>
    <t>对冲593/630</t>
    <phoneticPr fontId="16" type="noConversion"/>
  </si>
  <si>
    <t>300855</t>
  </si>
  <si>
    <t>图南股份</t>
  </si>
  <si>
    <t>370207</t>
  </si>
  <si>
    <t>欣旺发债</t>
  </si>
  <si>
    <t>卖</t>
    <phoneticPr fontId="16" type="noConversion"/>
  </si>
  <si>
    <t>卖</t>
    <phoneticPr fontId="16" type="noConversion"/>
  </si>
  <si>
    <r>
      <t>2</t>
    </r>
    <r>
      <rPr>
        <sz val="11"/>
        <color theme="1"/>
        <rFont val="宋体"/>
        <family val="3"/>
        <charset val="134"/>
        <scheme val="minor"/>
      </rPr>
      <t>0w购买场外理财</t>
    </r>
    <phoneticPr fontId="16" type="noConversion"/>
  </si>
  <si>
    <t>对冲640</t>
    <phoneticPr fontId="16" type="noConversion"/>
  </si>
  <si>
    <t>对冲641</t>
    <phoneticPr fontId="16" type="noConversion"/>
  </si>
  <si>
    <t>对冲634</t>
    <phoneticPr fontId="16" type="noConversion"/>
  </si>
  <si>
    <t>对冲634</t>
    <phoneticPr fontId="16" type="noConversion"/>
  </si>
  <si>
    <t>070060</t>
  </si>
  <si>
    <t>中金发债</t>
  </si>
  <si>
    <t>123058</t>
  </si>
  <si>
    <t>欣旺转债</t>
  </si>
  <si>
    <t>SHKCED</t>
  </si>
  <si>
    <t>科创额度</t>
    <phoneticPr fontId="16" type="noConversion"/>
  </si>
  <si>
    <t>科创额度</t>
  </si>
  <si>
    <t>127020</t>
  </si>
  <si>
    <t>中金转债</t>
  </si>
  <si>
    <t>对冲646</t>
    <phoneticPr fontId="16" type="noConversion"/>
  </si>
  <si>
    <t>对冲647</t>
    <phoneticPr fontId="16" type="noConversion"/>
  </si>
  <si>
    <t>对冲649</t>
    <phoneticPr fontId="16" type="noConversion"/>
  </si>
  <si>
    <t>对冲634</t>
    <phoneticPr fontId="16" type="noConversion"/>
  </si>
  <si>
    <t>买</t>
    <phoneticPr fontId="16" type="noConversion"/>
  </si>
  <si>
    <t>对冲653</t>
    <phoneticPr fontId="16" type="noConversion"/>
  </si>
  <si>
    <t>对冲656</t>
    <phoneticPr fontId="16" type="noConversion"/>
  </si>
  <si>
    <t>对冲657</t>
    <phoneticPr fontId="16" type="noConversion"/>
  </si>
  <si>
    <t>买</t>
    <phoneticPr fontId="16" type="noConversion"/>
  </si>
  <si>
    <t>对冲658</t>
    <phoneticPr fontId="16" type="noConversion"/>
  </si>
  <si>
    <t>买</t>
    <phoneticPr fontId="16" type="noConversion"/>
  </si>
  <si>
    <t>买</t>
    <phoneticPr fontId="16" type="noConversion"/>
  </si>
  <si>
    <t>072958</t>
  </si>
  <si>
    <t>青农发债</t>
  </si>
  <si>
    <t>买</t>
    <phoneticPr fontId="16" type="noConversion"/>
  </si>
  <si>
    <t>买</t>
    <phoneticPr fontId="16" type="noConversion"/>
  </si>
  <si>
    <t>对冲634</t>
    <phoneticPr fontId="16" type="noConversion"/>
  </si>
  <si>
    <t>128129</t>
  </si>
  <si>
    <t>青农转债</t>
  </si>
  <si>
    <t>取出9w购买怀远信托</t>
    <phoneticPr fontId="16" type="noConversion"/>
  </si>
  <si>
    <t>买</t>
    <phoneticPr fontId="16" type="noConversion"/>
  </si>
  <si>
    <t>价格成本弹性</t>
    <phoneticPr fontId="16" type="noConversion"/>
  </si>
  <si>
    <t>浮盈资金进出弹性</t>
    <phoneticPr fontId="16" type="noConversion"/>
  </si>
  <si>
    <t>对冲663</t>
    <phoneticPr fontId="16" type="noConversion"/>
  </si>
  <si>
    <t>对冲665</t>
    <phoneticPr fontId="16" type="noConversion"/>
  </si>
  <si>
    <t>买</t>
    <phoneticPr fontId="16" type="noConversion"/>
  </si>
  <si>
    <t>754606</t>
  </si>
  <si>
    <t>东缆发债</t>
  </si>
  <si>
    <t>买</t>
    <phoneticPr fontId="16" type="noConversion"/>
  </si>
  <si>
    <t>对冲669</t>
    <phoneticPr fontId="16" type="noConversion"/>
  </si>
  <si>
    <t>783899</t>
  </si>
  <si>
    <t>紫金发债</t>
  </si>
  <si>
    <t>072475</t>
  </si>
  <si>
    <t>立讯发债</t>
  </si>
  <si>
    <t>128136</t>
  </si>
  <si>
    <t>立讯转债</t>
  </si>
  <si>
    <t>对冲315</t>
    <phoneticPr fontId="3" type="Hiragana"/>
  </si>
  <si>
    <t>对冲312</t>
    <phoneticPr fontId="3" type="Hiragana"/>
  </si>
  <si>
    <t>对冲319</t>
    <phoneticPr fontId="3" type="Hiragana"/>
  </si>
  <si>
    <t>买</t>
    <phoneticPr fontId="3" type="Hiragana"/>
  </si>
  <si>
    <t xml:space="preserve"> 对冲322</t>
    <phoneticPr fontId="3" type="Hiragana"/>
  </si>
  <si>
    <t>对冲326</t>
    <phoneticPr fontId="3" type="Hiragana"/>
  </si>
  <si>
    <t>对冲330</t>
    <phoneticPr fontId="3" type="Hiragana"/>
  </si>
  <si>
    <t>卖</t>
    <phoneticPr fontId="3" type="Hiragana"/>
  </si>
  <si>
    <t>对冲338</t>
    <phoneticPr fontId="3" type="Hiragana"/>
  </si>
  <si>
    <t>对冲331</t>
    <phoneticPr fontId="3" type="Hiragana"/>
  </si>
  <si>
    <t>对冲327</t>
    <phoneticPr fontId="3" type="Hiragana"/>
  </si>
  <si>
    <t>对冲329</t>
    <phoneticPr fontId="3" type="Hiragana"/>
  </si>
  <si>
    <t>对冲325</t>
    <phoneticPr fontId="3" type="Hiragana"/>
  </si>
  <si>
    <t>对冲334</t>
    <phoneticPr fontId="3" type="Hiragana"/>
  </si>
  <si>
    <t>对冲347</t>
    <phoneticPr fontId="3" type="Hiragana"/>
  </si>
  <si>
    <t>对冲346</t>
    <phoneticPr fontId="3" type="Hiragana"/>
  </si>
  <si>
    <t>分红、对冲335/336/337/348</t>
    <phoneticPr fontId="3" type="Hiragana"/>
  </si>
  <si>
    <t>对冲345</t>
    <phoneticPr fontId="3" type="Hiragana"/>
  </si>
  <si>
    <t>对冲339</t>
    <phoneticPr fontId="3" type="Hiragana"/>
  </si>
  <si>
    <t>对冲356</t>
    <phoneticPr fontId="3" type="Hiragana"/>
  </si>
  <si>
    <t>对冲320</t>
    <phoneticPr fontId="3" type="Hiragana"/>
  </si>
  <si>
    <t>对冲324</t>
    <phoneticPr fontId="3" type="Hiragana"/>
  </si>
  <si>
    <t>对冲318（联合金融街530操作）</t>
    <phoneticPr fontId="3" type="Hiragana"/>
  </si>
  <si>
    <t>对冲366</t>
    <phoneticPr fontId="3" type="Hiragana"/>
  </si>
  <si>
    <t>对冲367</t>
    <phoneticPr fontId="3" type="Hiragana"/>
  </si>
  <si>
    <t>对冲372</t>
    <phoneticPr fontId="3" type="Hiragana"/>
  </si>
  <si>
    <t>对冲371</t>
    <phoneticPr fontId="3" type="Hiragana"/>
  </si>
  <si>
    <t>对冲355</t>
    <phoneticPr fontId="3" type="Hiragana"/>
  </si>
  <si>
    <t>对冲373</t>
    <phoneticPr fontId="3" type="Hiragana"/>
  </si>
  <si>
    <t>对冲369</t>
    <phoneticPr fontId="3" type="Hiragana"/>
  </si>
  <si>
    <t>对冲353</t>
    <phoneticPr fontId="3" type="Hiragana"/>
  </si>
  <si>
    <t>对冲382</t>
    <phoneticPr fontId="3" type="Hiragana"/>
  </si>
  <si>
    <t>对冲386</t>
    <phoneticPr fontId="3" type="Hiragana"/>
  </si>
  <si>
    <t>对冲385</t>
    <phoneticPr fontId="3" type="Hiragana"/>
  </si>
  <si>
    <t>对冲332</t>
    <phoneticPr fontId="3" type="Hiragana"/>
  </si>
  <si>
    <t>对冲349</t>
    <phoneticPr fontId="3" type="Hiragana"/>
  </si>
  <si>
    <t>对冲393</t>
    <phoneticPr fontId="3" type="Hiragana"/>
  </si>
  <si>
    <t>对冲383</t>
    <phoneticPr fontId="3" type="Hiragana"/>
  </si>
  <si>
    <t>对冲389</t>
    <phoneticPr fontId="3" type="Hiragana"/>
  </si>
  <si>
    <t>对冲354</t>
    <phoneticPr fontId="3" type="Hiragana"/>
  </si>
  <si>
    <t>对冲394</t>
    <phoneticPr fontId="3" type="Hiragana"/>
  </si>
  <si>
    <t>对冲400</t>
    <phoneticPr fontId="3" type="Hiragana"/>
  </si>
  <si>
    <t>对冲396</t>
    <phoneticPr fontId="3" type="Hiragana"/>
  </si>
  <si>
    <t>对冲402</t>
    <phoneticPr fontId="3" type="Hiragana"/>
  </si>
  <si>
    <t>对冲404</t>
    <phoneticPr fontId="3" type="Hiragana"/>
  </si>
  <si>
    <t>对冲407</t>
    <phoneticPr fontId="3" type="Hiragana"/>
  </si>
  <si>
    <t>对冲392</t>
    <phoneticPr fontId="3" type="Hiragana"/>
  </si>
  <si>
    <t>对冲412</t>
    <phoneticPr fontId="3" type="Hiragana"/>
  </si>
  <si>
    <t>对冲397</t>
    <phoneticPr fontId="3" type="Hiragana"/>
  </si>
  <si>
    <t>对冲377</t>
    <phoneticPr fontId="3" type="Hiragana"/>
  </si>
  <si>
    <t>对冲360</t>
    <phoneticPr fontId="3" type="Hiragana"/>
  </si>
  <si>
    <t>对冲374</t>
    <phoneticPr fontId="3" type="Hiragana"/>
  </si>
  <si>
    <t>对冲418</t>
    <phoneticPr fontId="3" type="Hiragana"/>
  </si>
  <si>
    <t>对冲422</t>
    <phoneticPr fontId="3" type="Hiragana"/>
  </si>
  <si>
    <t>对冲421</t>
    <phoneticPr fontId="3" type="Hiragana"/>
  </si>
  <si>
    <t>对冲426</t>
    <phoneticPr fontId="3" type="Hiragana"/>
  </si>
  <si>
    <t>对冲427</t>
    <phoneticPr fontId="3" type="Hiragana"/>
  </si>
  <si>
    <t>对冲420</t>
    <phoneticPr fontId="3" type="Hiragana"/>
  </si>
  <si>
    <t>对冲357</t>
    <phoneticPr fontId="3" type="Hiragana"/>
  </si>
  <si>
    <t>对冲432</t>
    <phoneticPr fontId="3" type="Hiragana"/>
  </si>
  <si>
    <t>对冲436</t>
    <phoneticPr fontId="3" type="Hiragana"/>
  </si>
  <si>
    <t>对冲442</t>
    <phoneticPr fontId="3" type="Hiragana"/>
  </si>
  <si>
    <t>对冲438</t>
    <phoneticPr fontId="3" type="Hiragana"/>
  </si>
  <si>
    <t>对冲437</t>
    <phoneticPr fontId="3" type="Hiragana"/>
  </si>
  <si>
    <t>对冲429</t>
    <phoneticPr fontId="3" type="Hiragana"/>
  </si>
  <si>
    <t>对冲423</t>
    <phoneticPr fontId="3" type="Hiragana"/>
  </si>
  <si>
    <t>对冲449</t>
    <phoneticPr fontId="3" type="Hiragana"/>
  </si>
  <si>
    <t>对冲452</t>
    <phoneticPr fontId="3" type="Hiragana"/>
  </si>
  <si>
    <t>对冲430</t>
    <phoneticPr fontId="3" type="Hiragana"/>
  </si>
  <si>
    <t>分红</t>
    <phoneticPr fontId="3" type="Hiragana"/>
  </si>
  <si>
    <t>对冲456</t>
    <phoneticPr fontId="3" type="Hiragana"/>
  </si>
  <si>
    <t>对冲457</t>
    <phoneticPr fontId="3" type="Hiragana"/>
  </si>
  <si>
    <t>对冲460</t>
    <phoneticPr fontId="3" type="Hiragana"/>
  </si>
  <si>
    <t>对冲440</t>
    <phoneticPr fontId="3" type="Hiragana"/>
  </si>
  <si>
    <t>对冲465</t>
    <phoneticPr fontId="3" type="Hiragana"/>
  </si>
  <si>
    <t>对冲454</t>
    <phoneticPr fontId="3" type="Hiragana"/>
  </si>
  <si>
    <t>对冲464</t>
    <phoneticPr fontId="3" type="Hiragana"/>
  </si>
  <si>
    <t>对冲463</t>
    <phoneticPr fontId="3" type="Hiragana"/>
  </si>
  <si>
    <t>对冲441</t>
    <phoneticPr fontId="3" type="Hiragana"/>
  </si>
  <si>
    <t>对冲479</t>
    <phoneticPr fontId="3" type="Hiragana"/>
  </si>
  <si>
    <t>对冲488</t>
    <phoneticPr fontId="3" type="Hiragana"/>
  </si>
  <si>
    <t>对冲487</t>
    <phoneticPr fontId="3" type="Hiragana"/>
  </si>
  <si>
    <t>对冲480</t>
    <phoneticPr fontId="3" type="Hiragana"/>
  </si>
  <si>
    <t>对冲483</t>
    <phoneticPr fontId="3" type="Hiragana"/>
  </si>
  <si>
    <t>对冲468</t>
    <phoneticPr fontId="3" type="Hiragana"/>
  </si>
  <si>
    <t>对冲471</t>
    <phoneticPr fontId="3" type="Hiragana"/>
  </si>
  <si>
    <t>对冲470</t>
    <phoneticPr fontId="3" type="Hiragana"/>
  </si>
  <si>
    <t>对冲467</t>
    <phoneticPr fontId="3" type="Hiragana"/>
  </si>
  <si>
    <t>对冲502</t>
    <phoneticPr fontId="3" type="Hiragana"/>
  </si>
  <si>
    <t>对冲450/462/466/476/477/485</t>
    <phoneticPr fontId="3" type="Hiragana"/>
  </si>
  <si>
    <t>对冲443</t>
    <phoneticPr fontId="3" type="Hiragana"/>
  </si>
  <si>
    <t>对冲510</t>
    <phoneticPr fontId="3" type="Hiragana"/>
  </si>
  <si>
    <t>对冲107</t>
    <phoneticPr fontId="3" type="Hiragana"/>
  </si>
  <si>
    <t>对冲103</t>
    <phoneticPr fontId="3" type="Hiragana"/>
  </si>
  <si>
    <t>对冲89</t>
    <phoneticPr fontId="3" type="Hiragana"/>
  </si>
  <si>
    <t>对冲112</t>
    <phoneticPr fontId="3" type="Hiragana"/>
  </si>
  <si>
    <t>对冲105/109/115</t>
    <phoneticPr fontId="3" type="Hiragana"/>
  </si>
  <si>
    <t>对冲106</t>
    <phoneticPr fontId="3" type="Hiragana"/>
  </si>
  <si>
    <t>对冲102</t>
    <phoneticPr fontId="3" type="Hiragana"/>
  </si>
  <si>
    <t>对冲91</t>
    <phoneticPr fontId="3" type="Hiragana"/>
  </si>
  <si>
    <t>对冲113</t>
    <phoneticPr fontId="3" type="Hiragana"/>
  </si>
  <si>
    <t>对冲120</t>
    <phoneticPr fontId="3" type="Hiragana"/>
  </si>
  <si>
    <t>对冲124</t>
    <phoneticPr fontId="3" type="Hiragana"/>
  </si>
  <si>
    <t>对冲108</t>
    <phoneticPr fontId="3" type="Hiragana"/>
  </si>
  <si>
    <t>对冲123</t>
    <phoneticPr fontId="3" type="Hiragana"/>
  </si>
  <si>
    <t>对冲134</t>
    <phoneticPr fontId="3" type="Hiragana"/>
  </si>
  <si>
    <t>对冲125</t>
    <phoneticPr fontId="3" type="Hiragana"/>
  </si>
  <si>
    <t>对冲126/127/135/136/140</t>
    <phoneticPr fontId="3" type="Hiragana"/>
  </si>
  <si>
    <t>对冲144</t>
    <phoneticPr fontId="3" type="Hiragana"/>
  </si>
  <si>
    <t>对冲147/148</t>
    <phoneticPr fontId="3" type="Hiragana"/>
  </si>
  <si>
    <t>对冲150</t>
    <phoneticPr fontId="3" type="Hiragana"/>
  </si>
  <si>
    <t>对冲151</t>
    <phoneticPr fontId="3" type="Hiragana"/>
  </si>
  <si>
    <t>对冲156</t>
    <phoneticPr fontId="3" type="Hiragana"/>
  </si>
  <si>
    <t>对冲152</t>
    <phoneticPr fontId="3" type="Hiragana"/>
  </si>
  <si>
    <t>对冲161</t>
    <phoneticPr fontId="3" type="Hiragana"/>
  </si>
  <si>
    <t>对冲153</t>
    <phoneticPr fontId="3" type="Hiragana"/>
  </si>
  <si>
    <t>对冲160</t>
    <phoneticPr fontId="3" type="Hiragana"/>
  </si>
  <si>
    <t>对冲519</t>
    <phoneticPr fontId="3" type="Hiragana"/>
  </si>
  <si>
    <t>对冲90</t>
    <phoneticPr fontId="3" type="Hiragana"/>
  </si>
  <si>
    <t>对冲69</t>
    <phoneticPr fontId="3" type="Hiragana"/>
  </si>
  <si>
    <t>对冲87</t>
    <phoneticPr fontId="3" type="Hiragana"/>
  </si>
  <si>
    <t>对冲68</t>
    <phoneticPr fontId="3" type="Hiragana"/>
  </si>
  <si>
    <t>对冲71</t>
    <phoneticPr fontId="3" type="Hiragana"/>
  </si>
  <si>
    <t>对冲72</t>
    <phoneticPr fontId="3" type="Hiragana"/>
  </si>
  <si>
    <t>对冲104</t>
    <phoneticPr fontId="3" type="Hiragana"/>
  </si>
  <si>
    <t>对冲95</t>
    <phoneticPr fontId="3" type="Hiragana"/>
  </si>
  <si>
    <t>对冲96</t>
    <phoneticPr fontId="3" type="Hiragana"/>
  </si>
  <si>
    <t>对冲115</t>
    <phoneticPr fontId="3" type="Hiragana"/>
  </si>
  <si>
    <t>对冲117</t>
    <phoneticPr fontId="3" type="Hiragana"/>
  </si>
  <si>
    <t>对冲121</t>
    <phoneticPr fontId="3" type="Hiragana"/>
  </si>
  <si>
    <t>对冲131</t>
    <phoneticPr fontId="3" type="Hiragana"/>
  </si>
  <si>
    <t>对冲130</t>
    <phoneticPr fontId="3" type="Hiragana"/>
  </si>
  <si>
    <t>对冲135</t>
    <phoneticPr fontId="3" type="Hiragana"/>
  </si>
  <si>
    <t>对冲140</t>
    <phoneticPr fontId="3" type="Hiragana"/>
  </si>
  <si>
    <t>对冲128、129</t>
    <phoneticPr fontId="3" type="Hiragana"/>
  </si>
  <si>
    <t>对冲141</t>
    <phoneticPr fontId="3" type="Hiragana"/>
  </si>
  <si>
    <t>对冲143</t>
    <phoneticPr fontId="3" type="Hiragana"/>
  </si>
  <si>
    <t>对冲138</t>
    <phoneticPr fontId="3" type="Hiragana"/>
  </si>
  <si>
    <t>对冲148</t>
    <phoneticPr fontId="3" type="Hiragana"/>
  </si>
  <si>
    <t>对冲63</t>
    <phoneticPr fontId="3" type="Hiragana"/>
  </si>
  <si>
    <t>对冲36</t>
    <phoneticPr fontId="3" type="Hiragana"/>
  </si>
  <si>
    <t>对冲62</t>
    <phoneticPr fontId="3" type="Hiragana"/>
  </si>
  <si>
    <t>对冲61</t>
    <phoneticPr fontId="3" type="Hiragana"/>
  </si>
  <si>
    <t>对冲37</t>
    <phoneticPr fontId="3" type="Hiragana"/>
  </si>
  <si>
    <t>对冲47</t>
    <phoneticPr fontId="3" type="Hiragana"/>
  </si>
  <si>
    <t>对冲52</t>
    <phoneticPr fontId="3" type="Hiragana"/>
  </si>
  <si>
    <t>对冲53</t>
    <phoneticPr fontId="3" type="Hiragana"/>
  </si>
  <si>
    <t>对冲55</t>
    <phoneticPr fontId="3" type="Hiragana"/>
  </si>
  <si>
    <t>对冲54</t>
    <phoneticPr fontId="3" type="Hiragana"/>
  </si>
  <si>
    <t>对冲56</t>
    <phoneticPr fontId="3" type="Hiragana"/>
  </si>
  <si>
    <t>对冲85</t>
    <phoneticPr fontId="3" type="Hiragana"/>
  </si>
  <si>
    <t>对冲86</t>
    <phoneticPr fontId="3" type="Hiragana"/>
  </si>
  <si>
    <t>对冲88</t>
    <phoneticPr fontId="3" type="Hiragana"/>
  </si>
  <si>
    <t>对冲65</t>
    <phoneticPr fontId="3" type="Hiragana"/>
  </si>
  <si>
    <t>对冲60</t>
    <phoneticPr fontId="3" type="Hiragana"/>
  </si>
  <si>
    <t>对冲99</t>
    <phoneticPr fontId="3" type="Hiragana"/>
  </si>
  <si>
    <t>对冲78</t>
    <phoneticPr fontId="3" type="Hiragana"/>
  </si>
  <si>
    <t>对冲100</t>
    <phoneticPr fontId="3" type="Hiragana"/>
  </si>
  <si>
    <t>对冲98</t>
    <phoneticPr fontId="3" type="Hiragana"/>
  </si>
  <si>
    <t>对冲110</t>
    <phoneticPr fontId="3" type="Hiragana"/>
  </si>
  <si>
    <t>对冲109</t>
    <phoneticPr fontId="3" type="Hiragana"/>
  </si>
  <si>
    <t>对冲116</t>
    <phoneticPr fontId="3" type="Hiragana"/>
  </si>
  <si>
    <t>对冲66</t>
    <phoneticPr fontId="3" type="Hiragana"/>
  </si>
  <si>
    <t>对冲129</t>
    <phoneticPr fontId="3" type="Hiragana"/>
  </si>
  <si>
    <t>对冲92</t>
    <phoneticPr fontId="3" type="Hiragana"/>
  </si>
  <si>
    <t>对冲97（7.53）</t>
    <phoneticPr fontId="3" type="Hiragana"/>
  </si>
  <si>
    <t>对冲136</t>
    <phoneticPr fontId="3" type="Hiragana"/>
  </si>
  <si>
    <t>对冲129/142</t>
    <phoneticPr fontId="3" type="Hiragana"/>
  </si>
  <si>
    <t>对冲114</t>
    <phoneticPr fontId="3" type="Hiragana"/>
  </si>
  <si>
    <t>余400股</t>
    <phoneticPr fontId="3" type="Hiragana"/>
  </si>
  <si>
    <t>批量对冲140/144/145/146/149/150/155/159</t>
    <phoneticPr fontId="3" type="Hiragana"/>
  </si>
  <si>
    <t>对冲79</t>
    <phoneticPr fontId="3" type="Hiragana"/>
  </si>
  <si>
    <t>对冲82</t>
    <phoneticPr fontId="3" type="Hiragana"/>
  </si>
  <si>
    <t>对冲84</t>
    <phoneticPr fontId="3" type="Hiragana"/>
  </si>
  <si>
    <t>对冲169</t>
    <phoneticPr fontId="3" type="Hiragana"/>
  </si>
  <si>
    <t>对冲171</t>
    <phoneticPr fontId="3" type="Hiragana"/>
  </si>
  <si>
    <t>对冲83</t>
    <phoneticPr fontId="3" type="Hiragana"/>
  </si>
  <si>
    <t>对冲164</t>
    <phoneticPr fontId="3" type="Hiragana"/>
  </si>
  <si>
    <t>对冲176</t>
    <phoneticPr fontId="3" type="Hiragana"/>
  </si>
  <si>
    <t>对冲80</t>
    <phoneticPr fontId="3" type="Hiragana"/>
  </si>
  <si>
    <t>对冲182</t>
    <phoneticPr fontId="3" type="Hiragana"/>
  </si>
  <si>
    <t>对冲177</t>
    <phoneticPr fontId="3" type="Hiragana"/>
  </si>
  <si>
    <t>对冲175</t>
    <phoneticPr fontId="3" type="Hiragana"/>
  </si>
  <si>
    <t>对冲174</t>
    <phoneticPr fontId="3" type="Hiragana"/>
  </si>
  <si>
    <t>对冲193</t>
    <phoneticPr fontId="3" type="Hiragana"/>
  </si>
  <si>
    <t>对冲180</t>
    <phoneticPr fontId="3" type="Hiragana"/>
  </si>
  <si>
    <t>对冲188/190</t>
    <phoneticPr fontId="3" type="Hiragana"/>
  </si>
  <si>
    <t>对冲197</t>
    <phoneticPr fontId="3" type="Hiragana"/>
  </si>
  <si>
    <t>对冲183</t>
    <phoneticPr fontId="3" type="Hiragana"/>
  </si>
  <si>
    <t>对冲198</t>
    <phoneticPr fontId="3" type="Hiragana"/>
  </si>
  <si>
    <t>对冲203</t>
    <phoneticPr fontId="3" type="Hiragana"/>
  </si>
  <si>
    <t>余600股</t>
    <phoneticPr fontId="3" type="Hiragana"/>
  </si>
  <si>
    <t>对冲207</t>
    <phoneticPr fontId="3" type="Hiragana"/>
  </si>
  <si>
    <t>对冲210</t>
    <phoneticPr fontId="3" type="Hiragana"/>
  </si>
  <si>
    <t>对冲213</t>
    <phoneticPr fontId="3" type="Hiragana"/>
  </si>
  <si>
    <t>对冲208</t>
    <phoneticPr fontId="3" type="Hiragana"/>
  </si>
  <si>
    <t>对冲204</t>
    <phoneticPr fontId="3" type="Hiragana"/>
  </si>
  <si>
    <t>对冲206</t>
    <phoneticPr fontId="3" type="Hiragana"/>
  </si>
  <si>
    <t>对冲214</t>
    <phoneticPr fontId="3" type="Hiragana"/>
  </si>
  <si>
    <t>对冲31</t>
    <phoneticPr fontId="3" type="Hiragana"/>
  </si>
  <si>
    <t>对冲29</t>
    <phoneticPr fontId="3" type="Hiragana"/>
  </si>
  <si>
    <t>对冲30</t>
    <phoneticPr fontId="3" type="Hiragana"/>
  </si>
  <si>
    <t>对冲35</t>
    <phoneticPr fontId="3" type="Hiragana"/>
  </si>
  <si>
    <t>对冲28</t>
    <phoneticPr fontId="3" type="Hiragana"/>
  </si>
  <si>
    <t>对冲27</t>
    <phoneticPr fontId="3" type="Hiragana"/>
  </si>
  <si>
    <t>对冲26</t>
    <phoneticPr fontId="3" type="Hiragana"/>
  </si>
  <si>
    <t>对冲43</t>
    <phoneticPr fontId="3" type="Hiragana"/>
  </si>
  <si>
    <t>对冲45</t>
    <phoneticPr fontId="3" type="Hiragana"/>
  </si>
  <si>
    <t>对冲49</t>
    <phoneticPr fontId="3" type="Hiragana"/>
  </si>
  <si>
    <t>对冲58</t>
    <phoneticPr fontId="3" type="Hiragana"/>
  </si>
  <si>
    <t>对冲67/68/69</t>
    <phoneticPr fontId="3" type="Hiragana"/>
  </si>
  <si>
    <t>对冲70</t>
    <phoneticPr fontId="3" type="Hiragana"/>
  </si>
  <si>
    <t>买</t>
    <phoneticPr fontId="16" type="noConversion"/>
  </si>
  <si>
    <t>卖</t>
    <phoneticPr fontId="16" type="noConversion"/>
  </si>
  <si>
    <t>卖</t>
    <phoneticPr fontId="16" type="noConversion"/>
  </si>
  <si>
    <t>对冲661</t>
    <phoneticPr fontId="16" type="noConversion"/>
  </si>
  <si>
    <t>对冲668</t>
    <phoneticPr fontId="16" type="noConversion"/>
  </si>
  <si>
    <t>对冲678</t>
    <phoneticPr fontId="16" type="noConversion"/>
  </si>
  <si>
    <t>对冲670</t>
    <phoneticPr fontId="16" type="noConversion"/>
  </si>
  <si>
    <t>对冲673</t>
    <phoneticPr fontId="16" type="noConversion"/>
  </si>
  <si>
    <t>对冲675</t>
    <phoneticPr fontId="16" type="noConversion"/>
  </si>
  <si>
    <t>卖</t>
    <phoneticPr fontId="16" type="noConversion"/>
  </si>
  <si>
    <t>对冲51</t>
    <phoneticPr fontId="16" type="noConversion"/>
  </si>
  <si>
    <t>113041</t>
  </si>
  <si>
    <t>紫金转债</t>
  </si>
  <si>
    <t>对冲513</t>
    <phoneticPr fontId="16" type="noConversion"/>
  </si>
  <si>
    <t>对冲676</t>
    <phoneticPr fontId="16" type="noConversion"/>
  </si>
  <si>
    <t>对冲72</t>
    <phoneticPr fontId="16" type="noConversion"/>
  </si>
  <si>
    <t>买</t>
    <phoneticPr fontId="16" type="noConversion"/>
  </si>
  <si>
    <t>对冲684</t>
    <phoneticPr fontId="16" type="noConversion"/>
  </si>
  <si>
    <t>对冲150</t>
    <phoneticPr fontId="16" type="noConversion"/>
  </si>
  <si>
    <t>余600股</t>
    <phoneticPr fontId="16" type="noConversion"/>
  </si>
  <si>
    <t>对冲490/509</t>
    <phoneticPr fontId="16" type="noConversion"/>
  </si>
  <si>
    <t>买</t>
    <phoneticPr fontId="16" type="noConversion"/>
  </si>
  <si>
    <t>002140</t>
    <phoneticPr fontId="16" type="noConversion"/>
  </si>
  <si>
    <t>754806</t>
  </si>
  <si>
    <t>福特发债</t>
  </si>
  <si>
    <t>370709</t>
  </si>
  <si>
    <t>精研发债</t>
  </si>
  <si>
    <t>取出2新债收益</t>
    <phoneticPr fontId="16" type="noConversion"/>
  </si>
  <si>
    <t>对冲171</t>
    <phoneticPr fontId="16" type="noConversion"/>
  </si>
  <si>
    <t>对冲683</t>
    <phoneticPr fontId="16" type="noConversion"/>
  </si>
  <si>
    <t>买</t>
    <phoneticPr fontId="16" type="noConversion"/>
  </si>
  <si>
    <t>对冲165</t>
    <phoneticPr fontId="16" type="noConversion"/>
  </si>
  <si>
    <t>对冲489</t>
    <phoneticPr fontId="16" type="noConversion"/>
  </si>
  <si>
    <t>取出祖名股份连本带利2w</t>
    <phoneticPr fontId="16" type="noConversion"/>
  </si>
  <si>
    <t>127027</t>
  </si>
  <si>
    <t>靖远转债</t>
  </si>
  <si>
    <t>买</t>
    <phoneticPr fontId="3" type="Hiragana"/>
  </si>
  <si>
    <t>对冲689</t>
    <phoneticPr fontId="3" type="Hiragana"/>
  </si>
  <si>
    <t>对冲496</t>
    <phoneticPr fontId="3" type="Hiragana"/>
  </si>
  <si>
    <t>对冲168</t>
    <phoneticPr fontId="3" type="Hiragana"/>
  </si>
  <si>
    <t>买</t>
    <phoneticPr fontId="16" type="noConversion"/>
  </si>
  <si>
    <t>买</t>
    <phoneticPr fontId="16" type="noConversion"/>
  </si>
  <si>
    <t>对冲172</t>
    <phoneticPr fontId="16" type="noConversion"/>
  </si>
  <si>
    <t>对冲229</t>
    <phoneticPr fontId="16" type="noConversion"/>
  </si>
  <si>
    <t>对冲230</t>
    <phoneticPr fontId="16" type="noConversion"/>
  </si>
  <si>
    <t>买</t>
    <phoneticPr fontId="16" type="noConversion"/>
  </si>
  <si>
    <t>对冲696</t>
    <phoneticPr fontId="16" type="noConversion"/>
  </si>
  <si>
    <t>601998</t>
    <phoneticPr fontId="16" type="noConversion"/>
  </si>
  <si>
    <t>603116</t>
    <phoneticPr fontId="16" type="noConversion"/>
  </si>
  <si>
    <t>000987</t>
    <phoneticPr fontId="16" type="noConversion"/>
  </si>
  <si>
    <t>002006</t>
    <phoneticPr fontId="16" type="noConversion"/>
  </si>
  <si>
    <t>000528</t>
    <phoneticPr fontId="16" type="noConversion"/>
  </si>
  <si>
    <t>000415</t>
    <phoneticPr fontId="16" type="noConversion"/>
  </si>
  <si>
    <t>600269</t>
    <phoneticPr fontId="16" type="noConversion"/>
  </si>
  <si>
    <t>未平多</t>
    <phoneticPr fontId="16" type="noConversion"/>
  </si>
  <si>
    <t>未平空</t>
    <phoneticPr fontId="16" type="noConversion"/>
  </si>
  <si>
    <t>已平多</t>
    <phoneticPr fontId="16" type="noConversion"/>
  </si>
  <si>
    <t>已平空</t>
    <phoneticPr fontId="16" type="noConversion"/>
  </si>
  <si>
    <t>佣金</t>
    <phoneticPr fontId="16" type="noConversion"/>
  </si>
  <si>
    <t>资金占用修正</t>
    <phoneticPr fontId="16" type="noConversion"/>
  </si>
  <si>
    <t>000402</t>
    <phoneticPr fontId="16" type="noConversion"/>
  </si>
  <si>
    <t>卖</t>
    <phoneticPr fontId="16" type="noConversion"/>
  </si>
  <si>
    <t>测试</t>
    <phoneticPr fontId="16" type="noConversion"/>
  </si>
  <si>
    <t>对冲231</t>
    <phoneticPr fontId="16" type="noConversion"/>
  </si>
  <si>
    <t>对冲8</t>
    <phoneticPr fontId="16" type="noConversion"/>
  </si>
  <si>
    <t>对冲11</t>
    <phoneticPr fontId="16" type="noConversion"/>
  </si>
  <si>
    <t>对冲7</t>
    <phoneticPr fontId="16" type="noConversion"/>
  </si>
  <si>
    <t>对冲75</t>
    <phoneticPr fontId="16" type="noConversion"/>
  </si>
  <si>
    <t>卖</t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</si>
</sst>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176" formatCode="_(* #,##0.00_);_(* \(#,##0.00\);_(* &quot;-&quot;??_);_(@_)"/>
    <numFmt numFmtId="177" formatCode="0_);[Red]\(0\)"/>
    <numFmt numFmtId="178" formatCode="0.00_);[Red]\(0.00\)"/>
    <numFmt numFmtId="179" formatCode="0.0000_);[Red]\(0.0000\)"/>
    <numFmt numFmtId="180" formatCode="0.00000_ "/>
    <numFmt numFmtId="181" formatCode="0.00_ "/>
    <numFmt numFmtId="182" formatCode="m/d/yyyy"/>
    <numFmt numFmtId="183" formatCode="0.000%"/>
    <numFmt numFmtId="184" formatCode="#,##0.00_);[Red]\(#,##0.00\)"/>
    <numFmt numFmtId="185" formatCode="0.000_);[Red]\(0.000\)"/>
    <numFmt numFmtId="186" formatCode="0.000000000000_ "/>
    <numFmt numFmtId="187" formatCode="0.00000000000_ "/>
    <numFmt numFmtId="188" formatCode="#,##0.00_ "/>
  </numFmts>
  <fonts count="27" x14ac:knownFonts="1">
    <font>
      <sz val="11"/>
      <color theme="1"/>
      <name val="宋体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11"/>
      <color theme="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i/>
      <sz val="11"/>
      <color theme="1"/>
      <name val="宋体"/>
      <family val="3"/>
      <charset val="134"/>
      <scheme val="minor"/>
    </font>
    <font>
      <sz val="18"/>
      <color theme="3"/>
      <name val="宋体"/>
      <family val="3"/>
      <charset val="134"/>
      <scheme val="major"/>
    </font>
    <font>
      <sz val="11"/>
      <color theme="1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0"/>
      <name val="宋体"/>
      <family val="3"/>
      <charset val="134"/>
    </font>
    <font>
      <b/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 tint="0.34998626667073579"/>
      <name val="宋体"/>
      <family val="3"/>
      <charset val="134"/>
    </font>
    <font>
      <sz val="11"/>
      <name val="宋体"/>
      <family val="3"/>
      <charset val="134"/>
    </font>
    <font>
      <sz val="11"/>
      <color theme="0"/>
      <name val="宋体"/>
      <family val="2"/>
      <charset val="134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rgb="FF7030A0"/>
        <bgColor indexed="64"/>
      </patternFill>
    </fill>
    <fill>
      <patternFill patternType="solid">
        <fgColor theme="4" tint="0.79995117038483843"/>
        <bgColor theme="4" tint="0.79995117038483843"/>
      </patternFill>
    </fill>
    <fill>
      <patternFill patternType="solid">
        <fgColor rgb="FF00B0F0"/>
        <bgColor theme="4" tint="0.59999389629810485"/>
      </patternFill>
    </fill>
    <fill>
      <patternFill patternType="solid">
        <fgColor rgb="FF7030A0"/>
        <bgColor theme="4" tint="0.79995117038483843"/>
      </patternFill>
    </fill>
    <fill>
      <patternFill patternType="solid">
        <fgColor rgb="FF7030A0"/>
        <bgColor theme="4" tint="0.5999938962981048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theme="4"/>
      </patternFill>
    </fill>
    <fill>
      <patternFill patternType="solid">
        <fgColor theme="7"/>
      </patternFill>
    </fill>
  </fills>
  <borders count="18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ck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5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0" fontId="26" fillId="23" borderId="0" applyNumberFormat="0" applyBorder="0" applyAlignment="0" applyProtection="0">
      <alignment vertical="center"/>
    </xf>
  </cellStyleXfs>
  <cellXfs count="405">
    <xf numFmtId="0" fontId="0" fillId="0" borderId="0" xfId="0">
      <alignment vertical="center"/>
    </xf>
    <xf numFmtId="0" fontId="0" fillId="0" borderId="0" xfId="0" applyFill="1">
      <alignment vertical="center"/>
    </xf>
    <xf numFmtId="0" fontId="1" fillId="0" borderId="0" xfId="0" applyFont="1">
      <alignment vertical="center"/>
    </xf>
    <xf numFmtId="14" fontId="2" fillId="2" borderId="1" xfId="0" applyNumberFormat="1" applyFont="1" applyFill="1" applyBorder="1" applyAlignment="1">
      <alignment horizontal="center" vertical="center"/>
    </xf>
    <xf numFmtId="178" fontId="2" fillId="2" borderId="1" xfId="0" applyNumberFormat="1" applyFont="1" applyFill="1" applyBorder="1" applyAlignment="1">
      <alignment horizontal="center" vertical="center"/>
    </xf>
    <xf numFmtId="177" fontId="2" fillId="2" borderId="1" xfId="0" applyNumberFormat="1" applyFont="1" applyFill="1" applyBorder="1" applyAlignment="1">
      <alignment horizontal="center" vertical="center"/>
    </xf>
    <xf numFmtId="178" fontId="2" fillId="2" borderId="2" xfId="0" applyNumberFormat="1" applyFont="1" applyFill="1" applyBorder="1" applyAlignment="1">
      <alignment horizontal="center" vertical="center"/>
    </xf>
    <xf numFmtId="177" fontId="2" fillId="2" borderId="2" xfId="0" applyNumberFormat="1" applyFont="1" applyFill="1" applyBorder="1" applyAlignment="1">
      <alignment horizontal="center" vertical="center"/>
    </xf>
    <xf numFmtId="179" fontId="2" fillId="2" borderId="2" xfId="0" applyNumberFormat="1" applyFont="1" applyFill="1" applyBorder="1" applyAlignment="1">
      <alignment horizontal="center" vertical="center"/>
    </xf>
    <xf numFmtId="14" fontId="0" fillId="0" borderId="3" xfId="0" applyNumberFormat="1" applyFont="1" applyFill="1" applyBorder="1" applyAlignment="1">
      <alignment horizontal="center" vertical="center"/>
    </xf>
    <xf numFmtId="178" fontId="0" fillId="4" borderId="3" xfId="0" applyNumberFormat="1" applyFill="1" applyBorder="1" applyAlignment="1">
      <alignment horizontal="center" vertical="center"/>
    </xf>
    <xf numFmtId="177" fontId="0" fillId="4" borderId="3" xfId="0" applyNumberForma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180" fontId="0" fillId="4" borderId="4" xfId="0" applyNumberFormat="1" applyFont="1" applyFill="1" applyBorder="1" applyAlignment="1">
      <alignment horizontal="center" vertical="center"/>
    </xf>
    <xf numFmtId="178" fontId="1" fillId="5" borderId="3" xfId="0" applyNumberFormat="1" applyFont="1" applyFill="1" applyBorder="1" applyAlignment="1">
      <alignment horizontal="center" vertical="center"/>
    </xf>
    <xf numFmtId="178" fontId="0" fillId="0" borderId="3" xfId="0" applyNumberFormat="1" applyFill="1" applyBorder="1" applyAlignment="1">
      <alignment horizontal="center" vertical="center"/>
    </xf>
    <xf numFmtId="177" fontId="0" fillId="0" borderId="3" xfId="0" applyNumberFormat="1" applyFill="1" applyBorder="1" applyAlignment="1">
      <alignment horizontal="center" vertical="center"/>
    </xf>
    <xf numFmtId="179" fontId="0" fillId="0" borderId="3" xfId="0" applyNumberFormat="1" applyFill="1" applyBorder="1" applyAlignment="1">
      <alignment horizontal="center" vertical="center"/>
    </xf>
    <xf numFmtId="177" fontId="1" fillId="5" borderId="3" xfId="0" applyNumberFormat="1" applyFont="1" applyFill="1" applyBorder="1" applyAlignment="1">
      <alignment horizontal="center" vertical="center"/>
    </xf>
    <xf numFmtId="178" fontId="0" fillId="6" borderId="3" xfId="0" applyNumberFormat="1" applyFill="1" applyBorder="1" applyAlignment="1">
      <alignment horizontal="center" vertical="center"/>
    </xf>
    <xf numFmtId="177" fontId="1" fillId="5" borderId="2" xfId="0" applyNumberFormat="1" applyFont="1" applyFill="1" applyBorder="1" applyAlignment="1">
      <alignment horizontal="center" vertical="center"/>
    </xf>
    <xf numFmtId="177" fontId="1" fillId="0" borderId="2" xfId="0" applyNumberFormat="1" applyFont="1" applyFill="1" applyBorder="1" applyAlignment="1">
      <alignment horizontal="center" vertical="center"/>
    </xf>
    <xf numFmtId="178" fontId="0" fillId="0" borderId="2" xfId="0" applyNumberFormat="1" applyFill="1" applyBorder="1" applyAlignment="1">
      <alignment horizontal="center" vertical="center"/>
    </xf>
    <xf numFmtId="177" fontId="1" fillId="0" borderId="3" xfId="0" applyNumberFormat="1" applyFont="1" applyFill="1" applyBorder="1" applyAlignment="1">
      <alignment horizontal="center" vertical="center"/>
    </xf>
    <xf numFmtId="0" fontId="1" fillId="0" borderId="0" xfId="0" applyFont="1" applyFill="1">
      <alignment vertical="center"/>
    </xf>
    <xf numFmtId="178" fontId="0" fillId="0" borderId="0" xfId="0" applyNumberFormat="1" applyFill="1">
      <alignment vertical="center"/>
    </xf>
    <xf numFmtId="179" fontId="2" fillId="2" borderId="1" xfId="0" applyNumberFormat="1" applyFont="1" applyFill="1" applyBorder="1" applyAlignment="1">
      <alignment horizontal="center" vertical="center"/>
    </xf>
    <xf numFmtId="10" fontId="0" fillId="4" borderId="3" xfId="0" applyNumberFormat="1" applyFont="1" applyFill="1" applyBorder="1" applyAlignment="1">
      <alignment horizontal="center" vertical="center"/>
    </xf>
    <xf numFmtId="179" fontId="0" fillId="4" borderId="3" xfId="0" applyNumberFormat="1" applyFill="1" applyBorder="1" applyAlignment="1">
      <alignment horizontal="center" vertical="center"/>
    </xf>
    <xf numFmtId="10" fontId="0" fillId="6" borderId="3" xfId="0" applyNumberFormat="1" applyFont="1" applyFill="1" applyBorder="1" applyAlignment="1">
      <alignment horizontal="center" vertical="center"/>
    </xf>
    <xf numFmtId="178" fontId="0" fillId="6" borderId="5" xfId="0" applyNumberFormat="1" applyFill="1" applyBorder="1" applyAlignment="1">
      <alignment horizontal="center" vertical="center"/>
    </xf>
    <xf numFmtId="178" fontId="0" fillId="0" borderId="4" xfId="0" applyNumberFormat="1" applyFill="1" applyBorder="1" applyAlignment="1">
      <alignment horizontal="center" vertical="center"/>
    </xf>
    <xf numFmtId="179" fontId="0" fillId="0" borderId="4" xfId="0" applyNumberFormat="1" applyFill="1" applyBorder="1" applyAlignment="1">
      <alignment horizontal="center" vertical="center"/>
    </xf>
    <xf numFmtId="10" fontId="0" fillId="0" borderId="3" xfId="0" applyNumberFormat="1" applyFont="1" applyFill="1" applyBorder="1" applyAlignment="1">
      <alignment horizontal="center" vertical="center"/>
    </xf>
    <xf numFmtId="178" fontId="0" fillId="0" borderId="4" xfId="2" applyNumberFormat="1" applyFont="1" applyFill="1" applyBorder="1" applyAlignment="1">
      <alignment horizontal="center" vertical="center"/>
    </xf>
    <xf numFmtId="178" fontId="0" fillId="0" borderId="3" xfId="2" applyNumberFormat="1" applyFont="1" applyFill="1" applyBorder="1" applyAlignment="1">
      <alignment horizontal="center" vertical="center"/>
    </xf>
    <xf numFmtId="178" fontId="2" fillId="2" borderId="6" xfId="0" applyNumberFormat="1" applyFont="1" applyFill="1" applyBorder="1" applyAlignment="1">
      <alignment horizontal="center" vertical="center"/>
    </xf>
    <xf numFmtId="179" fontId="2" fillId="2" borderId="6" xfId="0" applyNumberFormat="1" applyFont="1" applyFill="1" applyBorder="1" applyAlignment="1">
      <alignment horizontal="center" vertical="center"/>
    </xf>
    <xf numFmtId="10" fontId="0" fillId="0" borderId="4" xfId="2" applyNumberFormat="1" applyFont="1" applyFill="1" applyBorder="1" applyAlignment="1">
      <alignment horizontal="center" vertical="center"/>
    </xf>
    <xf numFmtId="178" fontId="0" fillId="0" borderId="7" xfId="0" applyNumberFormat="1" applyFill="1" applyBorder="1" applyAlignment="1">
      <alignment horizontal="center" vertical="center"/>
    </xf>
    <xf numFmtId="181" fontId="0" fillId="0" borderId="0" xfId="0" applyNumberFormat="1" applyFill="1" applyAlignment="1">
      <alignment horizontal="center" vertical="center"/>
    </xf>
    <xf numFmtId="0" fontId="0" fillId="0" borderId="7" xfId="0" applyFont="1" applyFill="1" applyBorder="1">
      <alignment vertical="center"/>
    </xf>
    <xf numFmtId="0" fontId="0" fillId="0" borderId="0" xfId="0" applyFont="1" applyFill="1" applyBorder="1">
      <alignment vertical="center"/>
    </xf>
    <xf numFmtId="0" fontId="3" fillId="0" borderId="0" xfId="0" applyFont="1" applyFill="1" applyBorder="1">
      <alignment vertical="center"/>
    </xf>
    <xf numFmtId="0" fontId="3" fillId="0" borderId="7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Alignment="1">
      <alignment horizontal="center" vertical="center"/>
    </xf>
    <xf numFmtId="14" fontId="0" fillId="7" borderId="3" xfId="0" applyNumberFormat="1" applyFont="1" applyFill="1" applyBorder="1" applyAlignment="1">
      <alignment horizontal="center" vertical="center"/>
    </xf>
    <xf numFmtId="178" fontId="0" fillId="7" borderId="3" xfId="0" applyNumberFormat="1" applyFill="1" applyBorder="1" applyAlignment="1">
      <alignment horizontal="center" vertical="center"/>
    </xf>
    <xf numFmtId="177" fontId="0" fillId="7" borderId="3" xfId="0" applyNumberFormat="1" applyFill="1" applyBorder="1" applyAlignment="1">
      <alignment horizontal="center" vertical="center"/>
    </xf>
    <xf numFmtId="0" fontId="0" fillId="7" borderId="4" xfId="0" applyFont="1" applyFill="1" applyBorder="1" applyAlignment="1">
      <alignment horizontal="center" vertical="center"/>
    </xf>
    <xf numFmtId="14" fontId="0" fillId="6" borderId="3" xfId="0" applyNumberFormat="1" applyFont="1" applyFill="1" applyBorder="1" applyAlignment="1">
      <alignment horizontal="center" vertical="center"/>
    </xf>
    <xf numFmtId="177" fontId="0" fillId="6" borderId="3" xfId="0" applyNumberFormat="1" applyFill="1" applyBorder="1" applyAlignment="1">
      <alignment horizontal="center" vertical="center"/>
    </xf>
    <xf numFmtId="14" fontId="0" fillId="4" borderId="3" xfId="0" applyNumberFormat="1" applyFont="1" applyFill="1" applyBorder="1" applyAlignment="1">
      <alignment horizontal="center" vertical="center"/>
    </xf>
    <xf numFmtId="0" fontId="1" fillId="5" borderId="3" xfId="0" applyFont="1" applyFill="1" applyBorder="1">
      <alignment vertical="center"/>
    </xf>
    <xf numFmtId="14" fontId="0" fillId="6" borderId="3" xfId="0" applyNumberFormat="1" applyFont="1" applyFill="1" applyBorder="1">
      <alignment vertical="center"/>
    </xf>
    <xf numFmtId="0" fontId="0" fillId="6" borderId="3" xfId="0" applyFont="1" applyFill="1" applyBorder="1" applyAlignment="1">
      <alignment horizontal="center" vertical="center"/>
    </xf>
    <xf numFmtId="14" fontId="0" fillId="4" borderId="3" xfId="0" applyNumberFormat="1" applyFont="1" applyFill="1" applyBorder="1">
      <alignment vertical="center"/>
    </xf>
    <xf numFmtId="0" fontId="0" fillId="4" borderId="3" xfId="0" applyFont="1" applyFill="1" applyBorder="1" applyAlignment="1">
      <alignment horizontal="center" vertical="center"/>
    </xf>
    <xf numFmtId="0" fontId="1" fillId="8" borderId="3" xfId="0" applyFont="1" applyFill="1" applyBorder="1">
      <alignment vertical="center"/>
    </xf>
    <xf numFmtId="0" fontId="1" fillId="9" borderId="3" xfId="0" applyFont="1" applyFill="1" applyBorder="1">
      <alignment vertical="center"/>
    </xf>
    <xf numFmtId="14" fontId="0" fillId="0" borderId="3" xfId="0" applyNumberFormat="1" applyFont="1" applyFill="1" applyBorder="1">
      <alignment vertical="center"/>
    </xf>
    <xf numFmtId="0" fontId="0" fillId="0" borderId="3" xfId="0" applyFont="1" applyFill="1" applyBorder="1" applyAlignment="1">
      <alignment horizontal="center" vertical="center"/>
    </xf>
    <xf numFmtId="0" fontId="1" fillId="5" borderId="0" xfId="0" applyFont="1" applyFill="1">
      <alignment vertical="center"/>
    </xf>
    <xf numFmtId="0" fontId="0" fillId="0" borderId="0" xfId="0" applyFill="1" applyAlignment="1">
      <alignment horizontal="center" vertical="center"/>
    </xf>
    <xf numFmtId="0" fontId="1" fillId="5" borderId="2" xfId="0" applyFont="1" applyFill="1" applyBorder="1">
      <alignment vertical="center"/>
    </xf>
    <xf numFmtId="0" fontId="0" fillId="4" borderId="3" xfId="0" applyFont="1" applyFill="1" applyBorder="1">
      <alignment vertical="center"/>
    </xf>
    <xf numFmtId="0" fontId="0" fillId="6" borderId="3" xfId="0" applyFont="1" applyFill="1" applyBorder="1">
      <alignment vertical="center"/>
    </xf>
    <xf numFmtId="0" fontId="0" fillId="0" borderId="3" xfId="0" applyFont="1" applyFill="1" applyBorder="1">
      <alignment vertical="center"/>
    </xf>
    <xf numFmtId="181" fontId="0" fillId="0" borderId="0" xfId="0" applyNumberFormat="1" applyAlignment="1">
      <alignment horizontal="center" vertical="center"/>
    </xf>
    <xf numFmtId="0" fontId="0" fillId="0" borderId="0" xfId="0" applyBorder="1">
      <alignment vertical="center"/>
    </xf>
    <xf numFmtId="0" fontId="1" fillId="0" borderId="3" xfId="0" applyFont="1" applyFill="1" applyBorder="1">
      <alignment vertical="center"/>
    </xf>
    <xf numFmtId="179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4" fillId="2" borderId="1" xfId="0" applyFont="1" applyFill="1" applyBorder="1" applyAlignment="1">
      <alignment horizontal="center" vertical="center"/>
    </xf>
    <xf numFmtId="14" fontId="0" fillId="4" borderId="4" xfId="0" applyNumberFormat="1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177" fontId="0" fillId="0" borderId="4" xfId="0" applyNumberFormat="1" applyFill="1" applyBorder="1" applyAlignment="1">
      <alignment horizontal="center" vertical="center"/>
    </xf>
    <xf numFmtId="179" fontId="0" fillId="0" borderId="4" xfId="0" applyNumberFormat="1" applyFont="1" applyFill="1" applyBorder="1" applyAlignment="1">
      <alignment horizontal="center" vertical="center"/>
    </xf>
    <xf numFmtId="178" fontId="0" fillId="0" borderId="4" xfId="0" applyNumberFormat="1" applyFont="1" applyFill="1" applyBorder="1" applyAlignment="1">
      <alignment horizontal="center" vertical="center"/>
    </xf>
    <xf numFmtId="0" fontId="1" fillId="5" borderId="3" xfId="0" applyNumberFormat="1" applyFont="1" applyFill="1" applyBorder="1" applyAlignment="1">
      <alignment horizontal="center" vertical="center"/>
    </xf>
    <xf numFmtId="179" fontId="0" fillId="0" borderId="3" xfId="0" applyNumberFormat="1" applyFont="1" applyFill="1" applyBorder="1" applyAlignment="1">
      <alignment horizontal="center" vertical="center"/>
    </xf>
    <xf numFmtId="178" fontId="0" fillId="0" borderId="3" xfId="0" applyNumberFormat="1" applyFont="1" applyFill="1" applyBorder="1" applyAlignment="1">
      <alignment horizontal="center" vertical="center"/>
    </xf>
    <xf numFmtId="14" fontId="0" fillId="6" borderId="4" xfId="0" applyNumberFormat="1" applyFont="1" applyFill="1" applyBorder="1" applyAlignment="1">
      <alignment horizontal="center" vertical="center"/>
    </xf>
    <xf numFmtId="0" fontId="1" fillId="5" borderId="4" xfId="0" applyNumberFormat="1" applyFont="1" applyFill="1" applyBorder="1" applyAlignment="1">
      <alignment horizontal="center" vertical="center"/>
    </xf>
    <xf numFmtId="179" fontId="0" fillId="4" borderId="4" xfId="0" applyNumberFormat="1" applyFont="1" applyFill="1" applyBorder="1" applyAlignment="1">
      <alignment horizontal="center" vertical="center"/>
    </xf>
    <xf numFmtId="178" fontId="0" fillId="4" borderId="4" xfId="0" applyNumberFormat="1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0" fillId="6" borderId="4" xfId="0" applyFont="1" applyFill="1" applyBorder="1" applyAlignment="1">
      <alignment horizontal="center" vertical="center"/>
    </xf>
    <xf numFmtId="179" fontId="0" fillId="6" borderId="4" xfId="0" applyNumberFormat="1" applyFont="1" applyFill="1" applyBorder="1" applyAlignment="1">
      <alignment horizontal="center" vertical="center"/>
    </xf>
    <xf numFmtId="178" fontId="0" fillId="6" borderId="4" xfId="0" applyNumberFormat="1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  <xf numFmtId="179" fontId="0" fillId="4" borderId="3" xfId="0" applyNumberFormat="1" applyFont="1" applyFill="1" applyBorder="1" applyAlignment="1">
      <alignment horizontal="center" vertical="center"/>
    </xf>
    <xf numFmtId="178" fontId="0" fillId="4" borderId="3" xfId="0" applyNumberFormat="1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179" fontId="0" fillId="6" borderId="3" xfId="0" applyNumberFormat="1" applyFont="1" applyFill="1" applyBorder="1" applyAlignment="1">
      <alignment horizontal="center" vertical="center"/>
    </xf>
    <xf numFmtId="178" fontId="0" fillId="6" borderId="3" xfId="0" applyNumberFormat="1" applyFont="1" applyFill="1" applyBorder="1" applyAlignment="1">
      <alignment horizontal="center" vertical="center"/>
    </xf>
    <xf numFmtId="14" fontId="0" fillId="0" borderId="4" xfId="0" applyNumberFormat="1" applyFont="1" applyFill="1" applyBorder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178" fontId="0" fillId="0" borderId="5" xfId="0" applyNumberFormat="1" applyFill="1" applyBorder="1" applyAlignment="1">
      <alignment horizontal="center" vertical="center"/>
    </xf>
    <xf numFmtId="177" fontId="0" fillId="0" borderId="5" xfId="0" applyNumberForma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0" fontId="0" fillId="0" borderId="4" xfId="0" applyNumberFormat="1" applyFont="1" applyFill="1" applyBorder="1" applyAlignment="1">
      <alignment horizontal="center" vertical="center"/>
    </xf>
    <xf numFmtId="0" fontId="0" fillId="0" borderId="4" xfId="0" applyNumberFormat="1" applyFont="1" applyFill="1" applyBorder="1" applyAlignment="1">
      <alignment horizontal="center" vertical="center"/>
    </xf>
    <xf numFmtId="184" fontId="0" fillId="0" borderId="4" xfId="0" applyNumberFormat="1" applyFill="1" applyBorder="1" applyAlignment="1">
      <alignment horizontal="center" vertical="center"/>
    </xf>
    <xf numFmtId="0" fontId="0" fillId="0" borderId="3" xfId="0" applyNumberFormat="1" applyFont="1" applyFill="1" applyBorder="1" applyAlignment="1">
      <alignment horizontal="center" vertical="center"/>
    </xf>
    <xf numFmtId="184" fontId="0" fillId="0" borderId="3" xfId="0" applyNumberFormat="1" applyFill="1" applyBorder="1" applyAlignment="1">
      <alignment horizontal="center" vertical="center"/>
    </xf>
    <xf numFmtId="178" fontId="0" fillId="4" borderId="4" xfId="0" applyNumberFormat="1" applyFill="1" applyBorder="1" applyAlignment="1">
      <alignment horizontal="center" vertical="center"/>
    </xf>
    <xf numFmtId="10" fontId="0" fillId="4" borderId="4" xfId="0" applyNumberFormat="1" applyFont="1" applyFill="1" applyBorder="1" applyAlignment="1">
      <alignment horizontal="center" vertical="center"/>
    </xf>
    <xf numFmtId="0" fontId="0" fillId="4" borderId="4" xfId="0" applyNumberFormat="1" applyFont="1" applyFill="1" applyBorder="1" applyAlignment="1">
      <alignment horizontal="center" vertical="center"/>
    </xf>
    <xf numFmtId="184" fontId="0" fillId="4" borderId="4" xfId="0" applyNumberFormat="1" applyFill="1" applyBorder="1" applyAlignment="1">
      <alignment horizontal="center" vertical="center"/>
    </xf>
    <xf numFmtId="178" fontId="0" fillId="6" borderId="4" xfId="0" applyNumberFormat="1" applyFill="1" applyBorder="1" applyAlignment="1">
      <alignment horizontal="center" vertical="center"/>
    </xf>
    <xf numFmtId="10" fontId="0" fillId="6" borderId="4" xfId="0" applyNumberFormat="1" applyFont="1" applyFill="1" applyBorder="1" applyAlignment="1">
      <alignment horizontal="center" vertical="center"/>
    </xf>
    <xf numFmtId="0" fontId="0" fillId="6" borderId="4" xfId="0" applyNumberFormat="1" applyFont="1" applyFill="1" applyBorder="1" applyAlignment="1">
      <alignment horizontal="center" vertical="center"/>
    </xf>
    <xf numFmtId="184" fontId="0" fillId="6" borderId="4" xfId="0" applyNumberFormat="1" applyFill="1" applyBorder="1" applyAlignment="1">
      <alignment horizontal="center" vertical="center"/>
    </xf>
    <xf numFmtId="0" fontId="0" fillId="4" borderId="3" xfId="0" applyNumberFormat="1" applyFont="1" applyFill="1" applyBorder="1" applyAlignment="1">
      <alignment horizontal="center" vertical="center"/>
    </xf>
    <xf numFmtId="184" fontId="0" fillId="4" borderId="3" xfId="0" applyNumberFormat="1" applyFill="1" applyBorder="1" applyAlignment="1">
      <alignment horizontal="center" vertical="center"/>
    </xf>
    <xf numFmtId="0" fontId="0" fillId="6" borderId="3" xfId="0" applyNumberFormat="1" applyFont="1" applyFill="1" applyBorder="1" applyAlignment="1">
      <alignment horizontal="center" vertical="center"/>
    </xf>
    <xf numFmtId="184" fontId="0" fillId="6" borderId="3" xfId="0" applyNumberFormat="1" applyFill="1" applyBorder="1" applyAlignment="1">
      <alignment horizontal="center" vertical="center"/>
    </xf>
    <xf numFmtId="0" fontId="0" fillId="0" borderId="8" xfId="0" applyFont="1" applyFill="1" applyBorder="1" applyAlignment="1">
      <alignment horizontal="center" vertical="center"/>
    </xf>
    <xf numFmtId="10" fontId="2" fillId="2" borderId="1" xfId="2" applyNumberFormat="1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7" fontId="1" fillId="3" borderId="3" xfId="0" applyNumberFormat="1" applyFont="1" applyFill="1" applyBorder="1" applyAlignment="1">
      <alignment horizontal="center" vertical="center"/>
    </xf>
    <xf numFmtId="177" fontId="1" fillId="8" borderId="3" xfId="0" applyNumberFormat="1" applyFont="1" applyFill="1" applyBorder="1" applyAlignment="1">
      <alignment horizontal="center" vertical="center"/>
    </xf>
    <xf numFmtId="14" fontId="3" fillId="0" borderId="2" xfId="0" applyNumberFormat="1" applyFont="1" applyFill="1" applyBorder="1" applyAlignment="1">
      <alignment horizontal="center" vertical="center"/>
    </xf>
    <xf numFmtId="177" fontId="0" fillId="0" borderId="2" xfId="0" applyNumberFormat="1" applyFill="1" applyBorder="1" applyAlignment="1">
      <alignment horizontal="center" vertical="center"/>
    </xf>
    <xf numFmtId="10" fontId="0" fillId="0" borderId="0" xfId="2" applyNumberFormat="1" applyFont="1">
      <alignment vertical="center"/>
    </xf>
    <xf numFmtId="10" fontId="0" fillId="0" borderId="3" xfId="2" applyNumberFormat="1" applyFont="1" applyFill="1" applyBorder="1" applyAlignment="1">
      <alignment horizontal="center" vertical="center"/>
    </xf>
    <xf numFmtId="0" fontId="1" fillId="5" borderId="0" xfId="0" applyFont="1" applyFill="1" applyBorder="1">
      <alignment vertical="center"/>
    </xf>
    <xf numFmtId="14" fontId="0" fillId="0" borderId="0" xfId="0" applyNumberFormat="1">
      <alignment vertical="center"/>
    </xf>
    <xf numFmtId="0" fontId="1" fillId="3" borderId="0" xfId="0" applyFont="1" applyFill="1">
      <alignment vertical="center"/>
    </xf>
    <xf numFmtId="177" fontId="1" fillId="5" borderId="4" xfId="0" applyNumberFormat="1" applyFont="1" applyFill="1" applyBorder="1" applyAlignment="1">
      <alignment horizontal="center" vertical="center"/>
    </xf>
    <xf numFmtId="178" fontId="0" fillId="10" borderId="4" xfId="0" applyNumberFormat="1" applyFill="1" applyBorder="1" applyAlignment="1">
      <alignment horizontal="center" vertical="center"/>
    </xf>
    <xf numFmtId="178" fontId="0" fillId="10" borderId="3" xfId="0" applyNumberForma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177" fontId="0" fillId="0" borderId="0" xfId="0" applyNumberFormat="1" applyFill="1" applyBorder="1" applyAlignment="1">
      <alignment horizontal="center" vertical="center"/>
    </xf>
    <xf numFmtId="178" fontId="0" fillId="0" borderId="0" xfId="0" applyNumberFormat="1" applyFill="1" applyBorder="1" applyAlignment="1">
      <alignment horizontal="center" vertical="center"/>
    </xf>
    <xf numFmtId="183" fontId="0" fillId="0" borderId="4" xfId="2" applyNumberFormat="1" applyFont="1" applyFill="1" applyBorder="1" applyAlignment="1">
      <alignment horizontal="center" vertical="center"/>
    </xf>
    <xf numFmtId="179" fontId="0" fillId="0" borderId="0" xfId="0" applyNumberFormat="1" applyFill="1" applyAlignment="1">
      <alignment horizontal="center" vertical="center"/>
    </xf>
    <xf numFmtId="183" fontId="0" fillId="0" borderId="3" xfId="2" applyNumberFormat="1" applyFont="1" applyFill="1" applyBorder="1" applyAlignment="1">
      <alignment horizontal="center" vertical="center"/>
    </xf>
    <xf numFmtId="177" fontId="3" fillId="0" borderId="3" xfId="0" applyNumberFormat="1" applyFont="1" applyFill="1" applyBorder="1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0" borderId="0" xfId="0" applyFont="1">
      <alignment vertical="center"/>
    </xf>
    <xf numFmtId="178" fontId="6" fillId="5" borderId="4" xfId="0" applyNumberFormat="1" applyFont="1" applyFill="1" applyBorder="1" applyAlignment="1">
      <alignment horizontal="center" vertical="center"/>
    </xf>
    <xf numFmtId="177" fontId="0" fillId="4" borderId="4" xfId="0" applyNumberFormat="1" applyFill="1" applyBorder="1" applyAlignment="1">
      <alignment horizontal="center" vertical="center"/>
    </xf>
    <xf numFmtId="179" fontId="0" fillId="4" borderId="4" xfId="0" applyNumberFormat="1" applyFill="1" applyBorder="1" applyAlignment="1">
      <alignment horizontal="center" vertical="center"/>
    </xf>
    <xf numFmtId="178" fontId="6" fillId="8" borderId="4" xfId="0" applyNumberFormat="1" applyFont="1" applyFill="1" applyBorder="1" applyAlignment="1">
      <alignment horizontal="center" vertical="center"/>
    </xf>
    <xf numFmtId="177" fontId="0" fillId="6" borderId="4" xfId="0" applyNumberFormat="1" applyFill="1" applyBorder="1" applyAlignment="1">
      <alignment horizontal="center" vertical="center"/>
    </xf>
    <xf numFmtId="179" fontId="0" fillId="6" borderId="4" xfId="0" applyNumberFormat="1" applyFill="1" applyBorder="1" applyAlignment="1">
      <alignment horizontal="center" vertical="center"/>
    </xf>
    <xf numFmtId="178" fontId="6" fillId="5" borderId="3" xfId="0" applyNumberFormat="1" applyFont="1" applyFill="1" applyBorder="1" applyAlignment="1">
      <alignment horizontal="center" vertical="center"/>
    </xf>
    <xf numFmtId="0" fontId="6" fillId="5" borderId="0" xfId="0" applyFont="1" applyFill="1">
      <alignment vertical="center"/>
    </xf>
    <xf numFmtId="0" fontId="6" fillId="5" borderId="0" xfId="0" applyFont="1" applyFill="1" applyBorder="1">
      <alignment vertical="center"/>
    </xf>
    <xf numFmtId="0" fontId="6" fillId="3" borderId="0" xfId="0" applyFont="1" applyFill="1">
      <alignment vertical="center"/>
    </xf>
    <xf numFmtId="14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8" fontId="2" fillId="2" borderId="10" xfId="0" applyNumberFormat="1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8" xfId="0" applyFont="1" applyFill="1" applyBorder="1">
      <alignment vertical="center"/>
    </xf>
    <xf numFmtId="0" fontId="7" fillId="0" borderId="0" xfId="0" applyFont="1" applyBorder="1">
      <alignment vertical="center"/>
    </xf>
    <xf numFmtId="177" fontId="0" fillId="0" borderId="0" xfId="0" applyNumberFormat="1" applyBorder="1">
      <alignment vertical="center"/>
    </xf>
    <xf numFmtId="177" fontId="0" fillId="0" borderId="0" xfId="0" applyNumberFormat="1" applyFill="1" applyBorder="1">
      <alignment vertical="center"/>
    </xf>
    <xf numFmtId="179" fontId="2" fillId="2" borderId="11" xfId="0" applyNumberFormat="1" applyFont="1" applyFill="1" applyBorder="1" applyAlignment="1">
      <alignment horizontal="center" vertical="center"/>
    </xf>
    <xf numFmtId="0" fontId="0" fillId="0" borderId="9" xfId="0" applyFont="1" applyFill="1" applyBorder="1">
      <alignment vertical="center"/>
    </xf>
    <xf numFmtId="14" fontId="0" fillId="0" borderId="0" xfId="0" applyNumberFormat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10" fontId="3" fillId="0" borderId="4" xfId="0" applyNumberFormat="1" applyFont="1" applyFill="1" applyBorder="1" applyAlignment="1">
      <alignment horizontal="center" vertical="center"/>
    </xf>
    <xf numFmtId="181" fontId="0" fillId="0" borderId="0" xfId="0" applyNumberFormat="1" applyFill="1">
      <alignment vertical="center"/>
    </xf>
    <xf numFmtId="0" fontId="8" fillId="5" borderId="0" xfId="0" applyFont="1" applyFill="1">
      <alignment vertical="center"/>
    </xf>
    <xf numFmtId="0" fontId="9" fillId="5" borderId="0" xfId="0" applyFont="1" applyFill="1">
      <alignment vertical="center"/>
    </xf>
    <xf numFmtId="178" fontId="6" fillId="5" borderId="0" xfId="0" applyNumberFormat="1" applyFont="1" applyFill="1">
      <alignment vertical="center"/>
    </xf>
    <xf numFmtId="0" fontId="0" fillId="0" borderId="0" xfId="0" applyAlignment="1">
      <alignment horizontal="center" vertical="center" wrapText="1"/>
    </xf>
    <xf numFmtId="178" fontId="0" fillId="0" borderId="0" xfId="2" applyNumberFormat="1" applyFont="1">
      <alignment vertical="center"/>
    </xf>
    <xf numFmtId="177" fontId="0" fillId="0" borderId="0" xfId="0" applyNumberFormat="1" applyAlignment="1">
      <alignment horizontal="center" vertical="center"/>
    </xf>
    <xf numFmtId="10" fontId="0" fillId="0" borderId="0" xfId="2" applyNumberFormat="1" applyFont="1" applyAlignment="1">
      <alignment horizontal="center" vertical="center" wrapText="1"/>
    </xf>
    <xf numFmtId="178" fontId="0" fillId="0" borderId="0" xfId="2" applyNumberFormat="1" applyFont="1" applyAlignment="1">
      <alignment horizontal="center" vertical="center" wrapText="1"/>
    </xf>
    <xf numFmtId="178" fontId="0" fillId="0" borderId="0" xfId="0" applyNumberFormat="1" applyAlignment="1">
      <alignment horizontal="center" vertical="center" wrapText="1"/>
    </xf>
    <xf numFmtId="177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85" fontId="0" fillId="0" borderId="0" xfId="0" applyNumberForma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10" fontId="0" fillId="12" borderId="0" xfId="2" applyNumberFormat="1" applyFont="1" applyFill="1" applyAlignment="1">
      <alignment horizontal="center" vertical="center" wrapText="1"/>
    </xf>
    <xf numFmtId="0" fontId="0" fillId="0" borderId="0" xfId="0" applyNumberFormat="1">
      <alignment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177" fontId="0" fillId="0" borderId="0" xfId="0" applyNumberFormat="1">
      <alignment vertical="center"/>
    </xf>
    <xf numFmtId="177" fontId="0" fillId="0" borderId="0" xfId="2" applyNumberFormat="1" applyFont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0" fontId="0" fillId="0" borderId="0" xfId="2" applyNumberFormat="1" applyFont="1" applyAlignment="1">
      <alignment vertical="center"/>
    </xf>
    <xf numFmtId="0" fontId="0" fillId="15" borderId="0" xfId="0" applyFill="1">
      <alignment vertical="center"/>
    </xf>
    <xf numFmtId="49" fontId="0" fillId="0" borderId="0" xfId="0" applyNumberFormat="1">
      <alignment vertical="center"/>
    </xf>
    <xf numFmtId="0" fontId="9" fillId="0" borderId="0" xfId="0" applyFont="1" applyAlignment="1">
      <alignment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16" borderId="12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left" vertical="center"/>
    </xf>
    <xf numFmtId="14" fontId="0" fillId="0" borderId="12" xfId="0" applyNumberFormat="1" applyBorder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center" vertical="center"/>
    </xf>
    <xf numFmtId="14" fontId="0" fillId="0" borderId="12" xfId="0" applyNumberFormat="1" applyBorder="1">
      <alignment vertical="center"/>
    </xf>
    <xf numFmtId="0" fontId="0" fillId="0" borderId="12" xfId="0" applyBorder="1">
      <alignment vertical="center"/>
    </xf>
    <xf numFmtId="181" fontId="0" fillId="0" borderId="12" xfId="0" applyNumberFormat="1" applyBorder="1">
      <alignment vertical="center"/>
    </xf>
    <xf numFmtId="181" fontId="0" fillId="0" borderId="13" xfId="0" applyNumberFormat="1" applyBorder="1">
      <alignment vertical="center"/>
    </xf>
    <xf numFmtId="0" fontId="10" fillId="16" borderId="12" xfId="0" applyFont="1" applyFill="1" applyBorder="1" applyAlignment="1">
      <alignment horizontal="center" vertical="center" wrapText="1"/>
    </xf>
    <xf numFmtId="0" fontId="9" fillId="16" borderId="14" xfId="0" applyFont="1" applyFill="1" applyBorder="1" applyAlignment="1">
      <alignment horizontal="center" vertical="center" wrapText="1"/>
    </xf>
    <xf numFmtId="10" fontId="9" fillId="16" borderId="14" xfId="2" applyNumberFormat="1" applyFont="1" applyFill="1" applyBorder="1" applyAlignment="1">
      <alignment horizontal="center" vertical="center" wrapText="1"/>
    </xf>
    <xf numFmtId="0" fontId="11" fillId="16" borderId="12" xfId="0" applyFont="1" applyFill="1" applyBorder="1" applyAlignment="1">
      <alignment horizontal="center" vertical="center"/>
    </xf>
    <xf numFmtId="181" fontId="0" fillId="0" borderId="12" xfId="0" applyNumberFormat="1" applyBorder="1" applyAlignment="1">
      <alignment horizontal="center" vertical="center"/>
    </xf>
    <xf numFmtId="10" fontId="0" fillId="0" borderId="15" xfId="2" applyNumberFormat="1" applyFont="1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2" xfId="2" applyNumberFormat="1" applyFont="1" applyBorder="1" applyAlignment="1">
      <alignment vertical="center"/>
    </xf>
    <xf numFmtId="0" fontId="3" fillId="0" borderId="12" xfId="0" applyNumberFormat="1" applyFont="1" applyBorder="1" applyAlignment="1">
      <alignment horizontal="center" vertical="center"/>
    </xf>
    <xf numFmtId="181" fontId="0" fillId="0" borderId="12" xfId="0" applyNumberFormat="1" applyFill="1" applyBorder="1" applyAlignment="1">
      <alignment horizontal="center" vertical="center"/>
    </xf>
    <xf numFmtId="0" fontId="0" fillId="0" borderId="12" xfId="0" applyFill="1" applyBorder="1" applyAlignment="1">
      <alignment vertical="center"/>
    </xf>
    <xf numFmtId="10" fontId="0" fillId="0" borderId="12" xfId="2" applyNumberFormat="1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181" fontId="0" fillId="0" borderId="12" xfId="0" applyNumberFormat="1" applyBorder="1" applyAlignment="1">
      <alignment vertical="center"/>
    </xf>
    <xf numFmtId="0" fontId="9" fillId="15" borderId="12" xfId="0" applyFont="1" applyFill="1" applyBorder="1" applyAlignment="1">
      <alignment horizontal="center" vertical="center" wrapText="1"/>
    </xf>
    <xf numFmtId="0" fontId="9" fillId="0" borderId="12" xfId="0" applyFont="1" applyFill="1" applyBorder="1" applyAlignment="1">
      <alignment horizontal="center" vertical="center" wrapText="1"/>
    </xf>
    <xf numFmtId="0" fontId="10" fillId="0" borderId="12" xfId="0" applyFont="1" applyFill="1" applyBorder="1" applyAlignment="1">
      <alignment horizontal="center" vertical="center" wrapText="1"/>
    </xf>
    <xf numFmtId="14" fontId="0" fillId="0" borderId="12" xfId="0" applyNumberFormat="1" applyFill="1" applyBorder="1" applyAlignment="1">
      <alignment horizontal="center" vertical="center"/>
    </xf>
    <xf numFmtId="181" fontId="0" fillId="16" borderId="12" xfId="0" applyNumberFormat="1" applyFill="1" applyBorder="1" applyAlignment="1">
      <alignment horizontal="center" vertical="center"/>
    </xf>
    <xf numFmtId="181" fontId="11" fillId="16" borderId="12" xfId="0" applyNumberFormat="1" applyFont="1" applyFill="1" applyBorder="1" applyAlignment="1">
      <alignment horizontal="center" vertical="center"/>
    </xf>
    <xf numFmtId="0" fontId="0" fillId="17" borderId="12" xfId="0" applyFill="1" applyBorder="1" applyAlignment="1">
      <alignment horizontal="center" vertical="center"/>
    </xf>
    <xf numFmtId="0" fontId="0" fillId="15" borderId="0" xfId="0" applyFill="1" applyBorder="1">
      <alignment vertical="center"/>
    </xf>
    <xf numFmtId="0" fontId="11" fillId="0" borderId="0" xfId="0" applyFont="1" applyFill="1" applyBorder="1" applyAlignment="1">
      <alignment horizontal="center" vertical="center"/>
    </xf>
    <xf numFmtId="181" fontId="0" fillId="0" borderId="0" xfId="0" applyNumberForma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49" fontId="9" fillId="0" borderId="0" xfId="0" applyNumberFormat="1" applyFont="1" applyAlignment="1">
      <alignment vertical="center" wrapText="1"/>
    </xf>
    <xf numFmtId="0" fontId="9" fillId="15" borderId="0" xfId="0" applyFont="1" applyFill="1" applyAlignment="1">
      <alignment vertical="center" wrapText="1"/>
    </xf>
    <xf numFmtId="49" fontId="0" fillId="18" borderId="0" xfId="0" applyNumberFormat="1" applyFill="1">
      <alignment vertical="center"/>
    </xf>
    <xf numFmtId="0" fontId="0" fillId="18" borderId="0" xfId="0" applyFill="1">
      <alignment vertical="center"/>
    </xf>
    <xf numFmtId="0" fontId="0" fillId="11" borderId="0" xfId="0" applyFill="1" applyAlignment="1">
      <alignment vertical="center" wrapText="1"/>
    </xf>
    <xf numFmtId="0" fontId="0" fillId="12" borderId="0" xfId="0" applyFill="1" applyAlignment="1">
      <alignment vertical="center" wrapText="1"/>
    </xf>
    <xf numFmtId="10" fontId="0" fillId="12" borderId="0" xfId="2" applyNumberFormat="1" applyFont="1" applyFill="1" applyAlignment="1">
      <alignment vertical="center" wrapText="1"/>
    </xf>
    <xf numFmtId="0" fontId="3" fillId="0" borderId="0" xfId="0" applyFont="1" applyAlignment="1">
      <alignment vertical="center"/>
    </xf>
    <xf numFmtId="0" fontId="0" fillId="19" borderId="0" xfId="0" applyFill="1" applyAlignment="1">
      <alignment vertical="center" wrapText="1"/>
    </xf>
    <xf numFmtId="10" fontId="0" fillId="19" borderId="0" xfId="2" applyNumberFormat="1" applyFont="1" applyFill="1" applyAlignment="1">
      <alignment vertical="center" wrapText="1"/>
    </xf>
    <xf numFmtId="0" fontId="0" fillId="18" borderId="0" xfId="0" applyFill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 wrapText="1"/>
    </xf>
    <xf numFmtId="0" fontId="9" fillId="0" borderId="0" xfId="0" applyFont="1">
      <alignment vertical="center"/>
    </xf>
    <xf numFmtId="10" fontId="9" fillId="0" borderId="0" xfId="2" applyNumberFormat="1" applyFont="1" applyAlignment="1">
      <alignment horizontal="center" vertical="center" wrapText="1"/>
    </xf>
    <xf numFmtId="178" fontId="9" fillId="0" borderId="0" xfId="0" applyNumberFormat="1" applyFont="1" applyAlignment="1">
      <alignment horizontal="center" vertical="center" wrapText="1"/>
    </xf>
    <xf numFmtId="185" fontId="9" fillId="0" borderId="0" xfId="0" applyNumberFormat="1" applyFont="1" applyFill="1" applyAlignment="1">
      <alignment horizontal="center" vertical="center" wrapText="1"/>
    </xf>
    <xf numFmtId="10" fontId="0" fillId="0" borderId="0" xfId="0" applyNumberFormat="1" applyFill="1">
      <alignment vertical="center"/>
    </xf>
    <xf numFmtId="181" fontId="0" fillId="15" borderId="0" xfId="0" applyNumberFormat="1" applyFill="1">
      <alignment vertical="center"/>
    </xf>
    <xf numFmtId="2" fontId="0" fillId="15" borderId="0" xfId="0" applyNumberFormat="1" applyFill="1">
      <alignment vertical="center"/>
    </xf>
    <xf numFmtId="2" fontId="0" fillId="0" borderId="0" xfId="0" applyNumberFormat="1" applyFill="1">
      <alignment vertical="center"/>
    </xf>
    <xf numFmtId="186" fontId="0" fillId="0" borderId="0" xfId="0" applyNumberFormat="1" applyFill="1">
      <alignment vertical="center"/>
    </xf>
    <xf numFmtId="185" fontId="9" fillId="0" borderId="0" xfId="0" quotePrefix="1" applyNumberFormat="1" applyFont="1" applyFill="1" applyAlignment="1">
      <alignment horizontal="center" vertical="center" wrapText="1"/>
    </xf>
    <xf numFmtId="185" fontId="0" fillId="0" borderId="0" xfId="0" quotePrefix="1" applyNumberFormat="1" applyFill="1" applyAlignment="1">
      <alignment horizontal="center" vertical="center" wrapText="1"/>
    </xf>
    <xf numFmtId="178" fontId="6" fillId="5" borderId="4" xfId="0" quotePrefix="1" applyNumberFormat="1" applyFont="1" applyFill="1" applyBorder="1" applyAlignment="1">
      <alignment horizontal="center" vertical="center"/>
    </xf>
    <xf numFmtId="177" fontId="1" fillId="5" borderId="4" xfId="0" quotePrefix="1" applyNumberFormat="1" applyFont="1" applyFill="1" applyBorder="1" applyAlignment="1">
      <alignment horizontal="center" vertical="center"/>
    </xf>
    <xf numFmtId="178" fontId="1" fillId="3" borderId="3" xfId="0" quotePrefix="1" applyNumberFormat="1" applyFont="1" applyFill="1" applyBorder="1" applyAlignment="1">
      <alignment horizontal="center" vertical="center"/>
    </xf>
    <xf numFmtId="0" fontId="0" fillId="3" borderId="0" xfId="0" quotePrefix="1" applyFill="1">
      <alignment vertical="center"/>
    </xf>
    <xf numFmtId="0" fontId="4" fillId="5" borderId="0" xfId="0" applyFont="1" applyFill="1">
      <alignment vertical="center"/>
    </xf>
    <xf numFmtId="0" fontId="0" fillId="0" borderId="0" xfId="0" pivotButton="1">
      <alignment vertical="center"/>
    </xf>
    <xf numFmtId="182" fontId="17" fillId="0" borderId="0" xfId="0" applyNumberFormat="1" applyFont="1" applyFill="1" applyBorder="1" applyAlignment="1">
      <alignment horizontal="center" vertical="center"/>
    </xf>
    <xf numFmtId="177" fontId="18" fillId="0" borderId="2" xfId="0" applyNumberFormat="1" applyFont="1" applyFill="1" applyBorder="1" applyAlignment="1">
      <alignment horizontal="center" vertical="center"/>
    </xf>
    <xf numFmtId="179" fontId="0" fillId="0" borderId="2" xfId="0" applyNumberFormat="1" applyFill="1" applyBorder="1" applyAlignment="1">
      <alignment horizontal="center" vertical="center"/>
    </xf>
    <xf numFmtId="178" fontId="17" fillId="0" borderId="2" xfId="0" applyNumberFormat="1" applyFont="1" applyFill="1" applyBorder="1" applyAlignment="1">
      <alignment horizontal="center" vertical="center"/>
    </xf>
    <xf numFmtId="183" fontId="17" fillId="0" borderId="2" xfId="0" applyNumberFormat="1" applyFont="1" applyFill="1" applyBorder="1" applyAlignment="1">
      <alignment horizontal="center" vertical="center"/>
    </xf>
    <xf numFmtId="0" fontId="17" fillId="0" borderId="0" xfId="0" applyFont="1" applyFill="1" applyBorder="1">
      <alignment vertical="center"/>
    </xf>
    <xf numFmtId="14" fontId="0" fillId="0" borderId="0" xfId="0" applyNumberFormat="1" applyAlignment="1">
      <alignment horizontal="center" vertical="center"/>
    </xf>
    <xf numFmtId="10" fontId="17" fillId="0" borderId="4" xfId="0" applyNumberFormat="1" applyFont="1" applyFill="1" applyBorder="1" applyAlignment="1">
      <alignment horizontal="center" vertical="center"/>
    </xf>
    <xf numFmtId="178" fontId="0" fillId="0" borderId="8" xfId="0" applyNumberFormat="1" applyFill="1" applyBorder="1" applyAlignment="1">
      <alignment horizontal="center" vertical="center"/>
    </xf>
    <xf numFmtId="10" fontId="17" fillId="0" borderId="8" xfId="0" applyNumberFormat="1" applyFont="1" applyFill="1" applyBorder="1" applyAlignment="1">
      <alignment horizontal="center" vertical="center"/>
    </xf>
    <xf numFmtId="178" fontId="0" fillId="0" borderId="0" xfId="0" applyNumberFormat="1" applyFill="1" applyBorder="1">
      <alignment vertical="center"/>
    </xf>
    <xf numFmtId="181" fontId="0" fillId="0" borderId="0" xfId="0" applyNumberFormat="1" applyFill="1" applyBorder="1">
      <alignment vertical="center"/>
    </xf>
    <xf numFmtId="178" fontId="3" fillId="0" borderId="2" xfId="0" applyNumberFormat="1" applyFont="1" applyFill="1" applyBorder="1" applyAlignment="1">
      <alignment horizontal="center" vertical="center"/>
    </xf>
    <xf numFmtId="177" fontId="18" fillId="5" borderId="2" xfId="0" applyNumberFormat="1" applyFont="1" applyFill="1" applyBorder="1" applyAlignment="1">
      <alignment horizontal="center" vertical="center"/>
    </xf>
    <xf numFmtId="14" fontId="0" fillId="0" borderId="0" xfId="0" applyNumberFormat="1" applyFill="1">
      <alignment vertical="center"/>
    </xf>
    <xf numFmtId="0" fontId="3" fillId="0" borderId="0" xfId="0" applyFont="1" applyAlignment="1">
      <alignment horizontal="center" vertical="center"/>
    </xf>
    <xf numFmtId="0" fontId="2" fillId="5" borderId="0" xfId="0" applyFont="1" applyFill="1">
      <alignment vertical="center"/>
    </xf>
    <xf numFmtId="0" fontId="3" fillId="17" borderId="0" xfId="0" applyFont="1" applyFill="1" applyAlignment="1">
      <alignment horizontal="center" vertical="center" wrapText="1"/>
    </xf>
    <xf numFmtId="0" fontId="0" fillId="17" borderId="0" xfId="0" applyFill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>
      <alignment horizontal="center" vertical="center"/>
    </xf>
    <xf numFmtId="178" fontId="1" fillId="3" borderId="0" xfId="0" quotePrefix="1" applyNumberFormat="1" applyFont="1" applyFill="1" applyBorder="1" applyAlignment="1">
      <alignment horizontal="center" vertical="center"/>
    </xf>
    <xf numFmtId="179" fontId="0" fillId="0" borderId="0" xfId="0" applyNumberFormat="1" applyFill="1" applyBorder="1" applyAlignment="1">
      <alignment horizontal="center" vertical="center"/>
    </xf>
    <xf numFmtId="10" fontId="0" fillId="0" borderId="0" xfId="0" applyNumberFormat="1" applyFont="1" applyFill="1" applyBorder="1" applyAlignment="1">
      <alignment horizontal="center" vertical="center"/>
    </xf>
    <xf numFmtId="0" fontId="1" fillId="0" borderId="0" xfId="0" applyFont="1" applyBorder="1">
      <alignment vertical="center"/>
    </xf>
    <xf numFmtId="14" fontId="3" fillId="0" borderId="0" xfId="0" applyNumberFormat="1" applyFont="1" applyFill="1" applyAlignment="1">
      <alignment horizontal="center" vertical="center"/>
    </xf>
    <xf numFmtId="178" fontId="0" fillId="0" borderId="0" xfId="0" applyNumberFormat="1" applyFill="1" applyAlignment="1">
      <alignment horizontal="center" vertical="center"/>
    </xf>
    <xf numFmtId="177" fontId="0" fillId="0" borderId="0" xfId="0" applyNumberFormat="1" applyFill="1" applyAlignment="1">
      <alignment horizontal="center" vertical="center"/>
    </xf>
    <xf numFmtId="10" fontId="3" fillId="0" borderId="0" xfId="0" applyNumberFormat="1" applyFont="1" applyFill="1" applyAlignment="1">
      <alignment horizontal="center" vertical="center"/>
    </xf>
    <xf numFmtId="178" fontId="3" fillId="0" borderId="4" xfId="2" applyNumberFormat="1" applyFont="1" applyFill="1" applyBorder="1" applyAlignment="1">
      <alignment horizontal="center" vertical="center"/>
    </xf>
    <xf numFmtId="10" fontId="3" fillId="0" borderId="4" xfId="2" applyNumberFormat="1" applyFont="1" applyFill="1" applyBorder="1" applyAlignment="1">
      <alignment horizontal="center" vertical="center"/>
    </xf>
    <xf numFmtId="14" fontId="3" fillId="0" borderId="0" xfId="0" applyNumberFormat="1" applyFont="1" applyFill="1" applyBorder="1" applyAlignment="1">
      <alignment horizontal="center" vertical="center"/>
    </xf>
    <xf numFmtId="10" fontId="3" fillId="0" borderId="0" xfId="0" applyNumberFormat="1" applyFont="1" applyFill="1" applyBorder="1" applyAlignment="1">
      <alignment horizontal="center" vertical="center"/>
    </xf>
    <xf numFmtId="179" fontId="0" fillId="0" borderId="8" xfId="0" applyNumberFormat="1" applyFill="1" applyBorder="1" applyAlignment="1">
      <alignment horizontal="center" vertical="center"/>
    </xf>
    <xf numFmtId="178" fontId="3" fillId="0" borderId="8" xfId="2" applyNumberFormat="1" applyFont="1" applyFill="1" applyBorder="1" applyAlignment="1">
      <alignment horizontal="center" vertical="center"/>
    </xf>
    <xf numFmtId="10" fontId="3" fillId="0" borderId="8" xfId="2" applyNumberFormat="1" applyFont="1" applyFill="1" applyBorder="1" applyAlignment="1">
      <alignment horizontal="center" vertical="center"/>
    </xf>
    <xf numFmtId="178" fontId="3" fillId="0" borderId="3" xfId="0" applyNumberFormat="1" applyFont="1" applyFill="1" applyBorder="1" applyAlignment="1">
      <alignment horizontal="center" vertical="center"/>
    </xf>
    <xf numFmtId="0" fontId="3" fillId="0" borderId="0" xfId="0" applyFont="1" applyFill="1">
      <alignment vertical="center"/>
    </xf>
    <xf numFmtId="176" fontId="0" fillId="0" borderId="0" xfId="3" applyFont="1" applyAlignment="1">
      <alignment horizontal="center" vertical="center" wrapText="1"/>
    </xf>
    <xf numFmtId="176" fontId="0" fillId="0" borderId="0" xfId="3" applyFont="1">
      <alignment vertical="center"/>
    </xf>
    <xf numFmtId="176" fontId="0" fillId="0" borderId="0" xfId="3" applyFont="1" applyFill="1">
      <alignment vertical="center"/>
    </xf>
    <xf numFmtId="49" fontId="0" fillId="0" borderId="0" xfId="0" applyNumberFormat="1" applyAlignment="1">
      <alignment horizontal="center" vertical="center" wrapText="1"/>
    </xf>
    <xf numFmtId="49" fontId="0" fillId="0" borderId="0" xfId="0" quotePrefix="1" applyNumberFormat="1">
      <alignment vertical="center"/>
    </xf>
    <xf numFmtId="187" fontId="0" fillId="0" borderId="0" xfId="0" applyNumberFormat="1" applyFill="1">
      <alignment vertical="center"/>
    </xf>
    <xf numFmtId="0" fontId="18" fillId="0" borderId="0" xfId="0" applyFont="1" applyFill="1">
      <alignment vertical="center"/>
    </xf>
    <xf numFmtId="0" fontId="3" fillId="0" borderId="0" xfId="0" applyFont="1" applyFill="1" applyAlignment="1">
      <alignment horizontal="center" vertical="center"/>
    </xf>
    <xf numFmtId="0" fontId="18" fillId="5" borderId="0" xfId="0" applyFont="1" applyFill="1">
      <alignment vertical="center"/>
    </xf>
    <xf numFmtId="0" fontId="3" fillId="0" borderId="0" xfId="0" applyFont="1" applyFill="1" applyBorder="1" applyAlignment="1">
      <alignment horizontal="center" vertical="center"/>
    </xf>
    <xf numFmtId="14" fontId="3" fillId="0" borderId="0" xfId="0" applyNumberFormat="1" applyFont="1">
      <alignment vertical="center"/>
    </xf>
    <xf numFmtId="177" fontId="18" fillId="0" borderId="3" xfId="0" applyNumberFormat="1" applyFont="1" applyFill="1" applyBorder="1" applyAlignment="1">
      <alignment horizontal="center" vertical="center"/>
    </xf>
    <xf numFmtId="178" fontId="17" fillId="0" borderId="3" xfId="0" applyNumberFormat="1" applyFont="1" applyFill="1" applyBorder="1" applyAlignment="1">
      <alignment horizontal="center" vertical="center"/>
    </xf>
    <xf numFmtId="183" fontId="17" fillId="0" borderId="3" xfId="0" applyNumberFormat="1" applyFont="1" applyFill="1" applyBorder="1" applyAlignment="1">
      <alignment horizontal="center" vertical="center"/>
    </xf>
    <xf numFmtId="0" fontId="17" fillId="0" borderId="7" xfId="0" applyFont="1" applyFill="1" applyBorder="1">
      <alignment vertical="center"/>
    </xf>
    <xf numFmtId="178" fontId="0" fillId="0" borderId="0" xfId="2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78" fontId="0" fillId="0" borderId="0" xfId="0" applyNumberFormat="1" applyBorder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14" fontId="0" fillId="0" borderId="0" xfId="0" applyNumberFormat="1" applyFill="1" applyBorder="1">
      <alignment vertical="center"/>
    </xf>
    <xf numFmtId="0" fontId="2" fillId="5" borderId="0" xfId="0" applyFont="1" applyFill="1" applyBorder="1">
      <alignment vertical="center"/>
    </xf>
    <xf numFmtId="14" fontId="6" fillId="5" borderId="0" xfId="0" applyNumberFormat="1" applyFont="1" applyFill="1" applyBorder="1">
      <alignment vertical="center"/>
    </xf>
    <xf numFmtId="0" fontId="18" fillId="5" borderId="0" xfId="0" applyFont="1" applyFill="1" applyAlignment="1">
      <alignment horizontal="center" vertical="center"/>
    </xf>
    <xf numFmtId="0" fontId="18" fillId="5" borderId="0" xfId="0" applyFont="1" applyFill="1" applyBorder="1">
      <alignment vertical="center"/>
    </xf>
    <xf numFmtId="178" fontId="2" fillId="5" borderId="0" xfId="0" applyNumberFormat="1" applyFont="1" applyFill="1">
      <alignment vertical="center"/>
    </xf>
    <xf numFmtId="181" fontId="0" fillId="0" borderId="0" xfId="0" applyNumberFormat="1">
      <alignment vertical="center"/>
    </xf>
    <xf numFmtId="0" fontId="2" fillId="0" borderId="0" xfId="0" applyFont="1" applyFill="1">
      <alignment vertical="center"/>
    </xf>
    <xf numFmtId="177" fontId="18" fillId="5" borderId="3" xfId="0" applyNumberFormat="1" applyFont="1" applyFill="1" applyBorder="1" applyAlignment="1">
      <alignment horizontal="center" vertical="center"/>
    </xf>
    <xf numFmtId="178" fontId="3" fillId="0" borderId="0" xfId="0" applyNumberFormat="1" applyFont="1" applyFill="1" applyAlignment="1">
      <alignment horizontal="center" vertical="center"/>
    </xf>
    <xf numFmtId="177" fontId="17" fillId="5" borderId="2" xfId="0" applyNumberFormat="1" applyFont="1" applyFill="1" applyBorder="1" applyAlignment="1">
      <alignment horizontal="center" vertical="center"/>
    </xf>
    <xf numFmtId="0" fontId="2" fillId="20" borderId="0" xfId="0" applyFont="1" applyFill="1">
      <alignment vertical="center"/>
    </xf>
    <xf numFmtId="14" fontId="3" fillId="0" borderId="0" xfId="0" applyNumberFormat="1" applyFont="1" applyFill="1">
      <alignment vertical="center"/>
    </xf>
    <xf numFmtId="4" fontId="0" fillId="0" borderId="0" xfId="0" applyNumberFormat="1">
      <alignment vertical="center"/>
    </xf>
    <xf numFmtId="0" fontId="3" fillId="0" borderId="0" xfId="0" applyFont="1">
      <alignment vertical="center"/>
    </xf>
    <xf numFmtId="0" fontId="18" fillId="3" borderId="4" xfId="0" quotePrefix="1" applyNumberFormat="1" applyFont="1" applyFill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188" fontId="0" fillId="0" borderId="0" xfId="0" applyNumberFormat="1" applyAlignment="1">
      <alignment horizontal="center" vertical="center"/>
    </xf>
    <xf numFmtId="0" fontId="0" fillId="21" borderId="0" xfId="0" applyFill="1">
      <alignment vertical="center"/>
    </xf>
    <xf numFmtId="4" fontId="0" fillId="21" borderId="0" xfId="0" applyNumberFormat="1" applyFill="1" applyAlignment="1">
      <alignment horizontal="center" vertical="center"/>
    </xf>
    <xf numFmtId="0" fontId="9" fillId="21" borderId="0" xfId="0" applyFont="1" applyFill="1" applyAlignment="1">
      <alignment horizontal="center" vertical="center" wrapText="1"/>
    </xf>
    <xf numFmtId="184" fontId="9" fillId="0" borderId="0" xfId="3" applyNumberFormat="1" applyFont="1" applyAlignment="1">
      <alignment horizontal="center" vertical="center" wrapText="1"/>
    </xf>
    <xf numFmtId="184" fontId="0" fillId="0" borderId="0" xfId="3" applyNumberFormat="1" applyFont="1" applyAlignment="1">
      <alignment horizontal="center" vertical="center"/>
    </xf>
    <xf numFmtId="184" fontId="0" fillId="0" borderId="0" xfId="3" applyNumberFormat="1" applyFont="1">
      <alignment vertical="center"/>
    </xf>
    <xf numFmtId="177" fontId="2" fillId="5" borderId="2" xfId="0" applyNumberFormat="1" applyFont="1" applyFill="1" applyBorder="1" applyAlignment="1">
      <alignment horizontal="center" vertical="center"/>
    </xf>
    <xf numFmtId="178" fontId="3" fillId="6" borderId="3" xfId="0" applyNumberFormat="1" applyFont="1" applyFill="1" applyBorder="1" applyAlignment="1">
      <alignment horizontal="center" vertical="center"/>
    </xf>
    <xf numFmtId="177" fontId="18" fillId="8" borderId="3" xfId="0" applyNumberFormat="1" applyFont="1" applyFill="1" applyBorder="1" applyAlignment="1">
      <alignment horizontal="center" vertical="center"/>
    </xf>
    <xf numFmtId="177" fontId="24" fillId="0" borderId="2" xfId="0" applyNumberFormat="1" applyFont="1" applyFill="1" applyBorder="1" applyAlignment="1">
      <alignment horizontal="center" vertical="center"/>
    </xf>
    <xf numFmtId="178" fontId="2" fillId="22" borderId="1" xfId="0" applyNumberFormat="1" applyFont="1" applyFill="1" applyBorder="1" applyAlignment="1">
      <alignment horizontal="center" vertical="center"/>
    </xf>
    <xf numFmtId="179" fontId="2" fillId="22" borderId="1" xfId="0" applyNumberFormat="1" applyFont="1" applyFill="1" applyBorder="1" applyAlignment="1">
      <alignment horizontal="center" vertical="center"/>
    </xf>
    <xf numFmtId="0" fontId="25" fillId="5" borderId="0" xfId="0" applyFont="1" applyFill="1">
      <alignment vertical="center"/>
    </xf>
    <xf numFmtId="178" fontId="2" fillId="0" borderId="1" xfId="0" applyNumberFormat="1" applyFont="1" applyFill="1" applyBorder="1" applyAlignment="1">
      <alignment horizontal="center" vertical="center"/>
    </xf>
    <xf numFmtId="179" fontId="2" fillId="0" borderId="1" xfId="0" applyNumberFormat="1" applyFont="1" applyFill="1" applyBorder="1" applyAlignment="1">
      <alignment horizontal="center" vertical="center"/>
    </xf>
    <xf numFmtId="178" fontId="2" fillId="0" borderId="6" xfId="0" applyNumberFormat="1" applyFont="1" applyFill="1" applyBorder="1" applyAlignment="1">
      <alignment horizontal="center" vertical="center"/>
    </xf>
    <xf numFmtId="179" fontId="2" fillId="0" borderId="6" xfId="0" applyNumberFormat="1" applyFont="1" applyFill="1" applyBorder="1" applyAlignment="1">
      <alignment horizontal="center" vertical="center"/>
    </xf>
    <xf numFmtId="177" fontId="24" fillId="5" borderId="2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0" borderId="0" xfId="0" applyFont="1" applyFill="1" applyBorder="1">
      <alignment vertical="center"/>
    </xf>
    <xf numFmtId="0" fontId="4" fillId="5" borderId="0" xfId="0" applyFont="1" applyFill="1" applyAlignment="1">
      <alignment horizontal="center" vertical="center"/>
    </xf>
    <xf numFmtId="182" fontId="17" fillId="0" borderId="2" xfId="0" applyNumberFormat="1" applyFont="1" applyFill="1" applyBorder="1" applyAlignment="1">
      <alignment horizontal="center" vertical="center"/>
    </xf>
    <xf numFmtId="182" fontId="17" fillId="0" borderId="3" xfId="0" applyNumberFormat="1" applyFont="1" applyFill="1" applyBorder="1" applyAlignment="1">
      <alignment horizontal="center" vertical="center"/>
    </xf>
    <xf numFmtId="0" fontId="6" fillId="0" borderId="0" xfId="0" applyFont="1" applyFill="1">
      <alignment vertical="center"/>
    </xf>
    <xf numFmtId="178" fontId="0" fillId="0" borderId="8" xfId="0" applyNumberFormat="1" applyFont="1" applyFill="1" applyBorder="1" applyAlignment="1">
      <alignment horizontal="center" vertical="center"/>
    </xf>
    <xf numFmtId="14" fontId="26" fillId="23" borderId="0" xfId="4" applyNumberFormat="1">
      <alignment vertical="center"/>
    </xf>
    <xf numFmtId="0" fontId="26" fillId="23" borderId="0" xfId="4" applyAlignment="1">
      <alignment horizontal="center" vertical="center"/>
    </xf>
    <xf numFmtId="0" fontId="26" fillId="23" borderId="0" xfId="4" applyBorder="1" applyAlignment="1">
      <alignment horizontal="center" vertical="center"/>
    </xf>
    <xf numFmtId="179" fontId="26" fillId="23" borderId="4" xfId="4" applyNumberFormat="1" applyBorder="1" applyAlignment="1">
      <alignment horizontal="center" vertical="center"/>
    </xf>
    <xf numFmtId="178" fontId="26" fillId="23" borderId="4" xfId="4" applyNumberFormat="1" applyBorder="1" applyAlignment="1">
      <alignment horizontal="center" vertical="center"/>
    </xf>
    <xf numFmtId="10" fontId="26" fillId="23" borderId="4" xfId="4" applyNumberFormat="1" applyBorder="1" applyAlignment="1">
      <alignment horizontal="center" vertical="center"/>
    </xf>
    <xf numFmtId="178" fontId="26" fillId="23" borderId="3" xfId="4" applyNumberFormat="1" applyBorder="1" applyAlignment="1">
      <alignment horizontal="center" vertical="center"/>
    </xf>
    <xf numFmtId="179" fontId="26" fillId="23" borderId="3" xfId="4" applyNumberFormat="1" applyBorder="1" applyAlignment="1">
      <alignment horizontal="center" vertical="center"/>
    </xf>
    <xf numFmtId="178" fontId="26" fillId="23" borderId="7" xfId="4" applyNumberFormat="1" applyBorder="1" applyAlignment="1">
      <alignment horizontal="center" vertical="center"/>
    </xf>
    <xf numFmtId="181" fontId="26" fillId="23" borderId="0" xfId="4" applyNumberFormat="1" applyAlignment="1">
      <alignment horizontal="center" vertical="center"/>
    </xf>
    <xf numFmtId="14" fontId="26" fillId="23" borderId="0" xfId="4" applyNumberFormat="1" applyBorder="1">
      <alignment vertical="center"/>
    </xf>
    <xf numFmtId="179" fontId="26" fillId="23" borderId="8" xfId="4" applyNumberFormat="1" applyBorder="1" applyAlignment="1">
      <alignment horizontal="center" vertical="center"/>
    </xf>
    <xf numFmtId="178" fontId="26" fillId="23" borderId="8" xfId="4" applyNumberFormat="1" applyBorder="1" applyAlignment="1">
      <alignment horizontal="center" vertical="center"/>
    </xf>
    <xf numFmtId="10" fontId="26" fillId="23" borderId="8" xfId="4" applyNumberFormat="1" applyBorder="1" applyAlignment="1">
      <alignment horizontal="center" vertical="center"/>
    </xf>
    <xf numFmtId="178" fontId="26" fillId="23" borderId="2" xfId="4" applyNumberFormat="1" applyBorder="1" applyAlignment="1">
      <alignment horizontal="center" vertical="center"/>
    </xf>
    <xf numFmtId="179" fontId="26" fillId="23" borderId="2" xfId="4" applyNumberFormat="1" applyBorder="1" applyAlignment="1">
      <alignment horizontal="center" vertical="center"/>
    </xf>
    <xf numFmtId="178" fontId="26" fillId="23" borderId="0" xfId="4" applyNumberFormat="1" applyBorder="1" applyAlignment="1">
      <alignment horizontal="center" vertical="center"/>
    </xf>
    <xf numFmtId="177" fontId="2" fillId="0" borderId="3" xfId="4" applyNumberFormat="1" applyFont="1" applyFill="1" applyBorder="1" applyAlignment="1">
      <alignment horizontal="center" vertical="center"/>
    </xf>
    <xf numFmtId="178" fontId="0" fillId="0" borderId="17" xfId="0" applyNumberFormat="1" applyFill="1" applyBorder="1" applyAlignment="1">
      <alignment horizontal="center" vertical="center"/>
    </xf>
    <xf numFmtId="10" fontId="17" fillId="0" borderId="17" xfId="0" applyNumberFormat="1" applyFont="1" applyFill="1" applyBorder="1" applyAlignment="1">
      <alignment horizontal="center" vertical="center"/>
    </xf>
    <xf numFmtId="178" fontId="0" fillId="0" borderId="9" xfId="0" applyNumberFormat="1" applyFill="1" applyBorder="1" applyAlignment="1">
      <alignment horizontal="center" vertical="center"/>
    </xf>
    <xf numFmtId="178" fontId="17" fillId="0" borderId="4" xfId="2" applyNumberFormat="1" applyFont="1" applyFill="1" applyBorder="1" applyAlignment="1">
      <alignment horizontal="center" vertical="center"/>
    </xf>
    <xf numFmtId="10" fontId="17" fillId="0" borderId="4" xfId="2" applyNumberFormat="1" applyFont="1" applyFill="1" applyBorder="1" applyAlignment="1">
      <alignment horizontal="center" vertical="center"/>
    </xf>
    <xf numFmtId="177" fontId="2" fillId="0" borderId="2" xfId="4" applyNumberFormat="1" applyFont="1" applyFill="1" applyBorder="1" applyAlignment="1">
      <alignment horizontal="center" vertical="center"/>
    </xf>
    <xf numFmtId="177" fontId="0" fillId="0" borderId="16" xfId="0" applyNumberFormat="1" applyFill="1" applyBorder="1" applyAlignment="1">
      <alignment horizontal="center" vertical="center"/>
    </xf>
    <xf numFmtId="10" fontId="17" fillId="0" borderId="9" xfId="0" applyNumberFormat="1" applyFont="1" applyFill="1" applyBorder="1" applyAlignment="1">
      <alignment horizontal="center" vertical="center"/>
    </xf>
    <xf numFmtId="178" fontId="17" fillId="0" borderId="8" xfId="2" applyNumberFormat="1" applyFont="1" applyFill="1" applyBorder="1" applyAlignment="1">
      <alignment horizontal="center" vertical="center"/>
    </xf>
    <xf numFmtId="10" fontId="17" fillId="0" borderId="8" xfId="2" applyNumberFormat="1" applyFont="1" applyFill="1" applyBorder="1" applyAlignment="1">
      <alignment horizontal="center" vertical="center"/>
    </xf>
    <xf numFmtId="177" fontId="2" fillId="0" borderId="3" xfId="0" applyNumberFormat="1" applyFont="1" applyFill="1" applyBorder="1" applyAlignment="1">
      <alignment horizontal="center" vertical="center"/>
    </xf>
    <xf numFmtId="177" fontId="2" fillId="0" borderId="2" xfId="0" applyNumberFormat="1" applyFont="1" applyFill="1" applyBorder="1" applyAlignment="1">
      <alignment horizontal="center" vertical="center"/>
    </xf>
    <xf numFmtId="177" fontId="2" fillId="5" borderId="3" xfId="0" applyNumberFormat="1" applyFont="1" applyFill="1" applyBorder="1" applyAlignment="1">
      <alignment horizontal="center" vertical="center"/>
    </xf>
    <xf numFmtId="0" fontId="26" fillId="5" borderId="0" xfId="4" applyFill="1" applyBorder="1" applyAlignment="1">
      <alignment horizontal="center" vertical="center"/>
    </xf>
    <xf numFmtId="177" fontId="2" fillId="5" borderId="3" xfId="4" applyNumberFormat="1" applyFont="1" applyFill="1" applyBorder="1" applyAlignment="1">
      <alignment horizontal="center" vertical="center"/>
    </xf>
  </cellXfs>
  <cellStyles count="5">
    <cellStyle name="百分比" xfId="2" builtinId="5"/>
    <cellStyle name="标题 5" xfId="1"/>
    <cellStyle name="常规" xfId="0" builtinId="0"/>
    <cellStyle name="千位分隔" xfId="3" builtinId="3"/>
    <cellStyle name="着色 4" xfId="4" builtinId="41"/>
  </cellStyles>
  <dxfs count="363"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81" formatCode="0.00_ "/>
    </dxf>
    <dxf>
      <numFmt numFmtId="181" formatCode="0.00_ "/>
    </dxf>
    <dxf>
      <numFmt numFmtId="181" formatCode="0.00_ 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solid">
          <fgColor theme="4" tint="0.59999389629810485"/>
          <bgColor theme="4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font>
        <b/>
        <strike val="0"/>
        <u val="none"/>
        <sz val="11"/>
        <color theme="0"/>
        <name val="宋体"/>
        <scheme val="none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79" formatCode="0.0000_);[Red]\(0.0000\)"/>
      <fill>
        <patternFill patternType="none"/>
      </fill>
      <alignment horizontal="center" vertical="center"/>
    </dxf>
    <dxf>
      <numFmt numFmtId="179" formatCode="0.0000_);[Red]\(0.0000\)"/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ont>
        <strike val="0"/>
        <u val="none"/>
        <sz val="11"/>
        <color theme="0"/>
        <name val="宋体"/>
        <scheme val="none"/>
      </font>
      <fill>
        <patternFill patternType="none"/>
      </fill>
      <alignment horizontal="center" vertical="center"/>
    </dxf>
    <dxf>
      <fill>
        <patternFill patternType="none"/>
      </fill>
      <alignment horizontal="center" vertical="center"/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9" formatCode="0.0000_);[Red]\(0.00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7" formatCode="0_);[Red]\(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numFmt numFmtId="178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宋体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82" formatCode="m/d/yyyy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宋体"/>
        <scheme val="none"/>
      </font>
      <numFmt numFmtId="179" formatCode="0.0000_);[Red]\(0.0000\)"/>
      <fill>
        <patternFill patternType="solid">
          <fgColor theme="4"/>
          <bgColor theme="4"/>
        </patternFill>
      </fill>
      <alignment horizontal="center" vertical="center" textRotation="0" wrapText="0" relativeIndent="0" justifyLastLine="0" shrinkToFit="0" readingOrder="0"/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81" formatCode="0.00_ "/>
      <fill>
        <patternFill patternType="none"/>
      </fill>
      <alignment horizontal="center" vertical="center"/>
    </dxf>
    <dxf>
      <numFmt numFmtId="181" formatCode="0.00_ "/>
      <fill>
        <patternFill patternType="none"/>
      </fill>
      <alignment horizontal="center" vertical="center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/>
        <right/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3" formatCode="0.0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9" formatCode="0.0000_);[Red]\(0.00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/>
        <bottom style="thin">
          <color theme="0"/>
        </bottom>
      </border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auto="1"/>
        </patternFill>
      </fill>
      <border outline="0">
        <left/>
        <right/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diagonalUp="0" diagonalDown="0">
        <left/>
        <right/>
        <top style="thin">
          <color theme="0"/>
        </top>
        <bottom/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b/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auto="1"/>
        </patternFill>
      </fill>
      <border outline="0">
        <left/>
        <right/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diagonalUp="0" diagonalDown="0">
        <left/>
        <right/>
        <top style="thin">
          <color theme="0"/>
        </top>
        <bottom/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b/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9" formatCode="yyyy/m/d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auto="1"/>
        </patternFill>
      </fill>
      <border outline="0">
        <left/>
        <right/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diagonalUp="0" diagonalDown="0">
        <left/>
        <right/>
        <top style="thin">
          <color theme="0"/>
        </top>
        <bottom/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b/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auto="1"/>
        </patternFill>
      </fill>
      <border outline="0">
        <left/>
        <right/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diagonalUp="0" diagonalDown="0">
        <left/>
        <right/>
        <top style="thin">
          <color theme="0"/>
        </top>
        <bottom/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b/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auto="1"/>
        </patternFill>
      </fill>
      <border outline="0">
        <left/>
        <right/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diagonalUp="0" diagonalDown="0">
        <left/>
        <right/>
        <top style="thin">
          <color theme="0"/>
        </top>
        <bottom/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b/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9" formatCode="yyyy/m/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1" formatCode="0.00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u val="none"/>
        <sz val="11"/>
        <color theme="1"/>
        <name val="宋体"/>
        <scheme val="none"/>
      </font>
      <fill>
        <patternFill patternType="none">
          <fgColor indexed="64"/>
          <bgColor auto="1"/>
        </patternFill>
      </fill>
      <border outline="0">
        <left/>
        <right/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/>
      <border diagonalUp="0" diagonalDown="0">
        <left/>
        <right/>
        <top style="thin">
          <color theme="0"/>
        </top>
        <bottom/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79" formatCode="0.0000_);[Red]\(0.00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numFmt numFmtId="178" formatCode="0.00_);[Red]\(0.0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b/>
        <strike val="0"/>
        <u val="none"/>
        <sz val="11"/>
        <color theme="0"/>
        <name val="宋体"/>
        <scheme val="none"/>
      </font>
      <numFmt numFmtId="177" formatCode="0_);[Red]\(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/>
        <bottom style="thin">
          <color theme="0"/>
        </bottom>
      </border>
    </dxf>
    <dxf>
      <font>
        <b val="0"/>
        <i val="0"/>
        <strike val="0"/>
        <u val="none"/>
        <sz val="11"/>
        <color theme="1"/>
        <name val="宋体"/>
        <scheme val="none"/>
      </font>
      <numFmt numFmtId="182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numFmt numFmtId="181" formatCode="0.00_ "/>
      <alignment horizontal="center" vertical="center"/>
    </dxf>
    <dxf>
      <numFmt numFmtId="181" formatCode="0.00_ "/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numFmt numFmtId="178" formatCode="0.00_);[Red]\(0.00\)"/>
      <alignment horizontal="center" vertical="center"/>
    </dxf>
    <dxf>
      <numFmt numFmtId="179" formatCode="0.0000_);[Red]\(0.0000\)"/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font>
        <strike val="0"/>
        <u val="none"/>
        <sz val="11"/>
        <color theme="0"/>
        <name val="宋体"/>
        <scheme val="none"/>
      </font>
      <alignment horizontal="center" vertical="center"/>
    </dxf>
    <dxf>
      <alignment horizontal="center" vertical="center"/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alignment wrapText="1"/>
    </dxf>
    <dxf>
      <alignment wrapText="1"/>
    </dxf>
    <dxf>
      <alignment wrapText="1"/>
    </dxf>
    <dxf>
      <alignment horizontal="center"/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张婷" refreshedDate="44060.65207708333" createdVersion="3" refreshedVersion="6" minRefreshableVersion="3" recordCount="4205">
  <cacheSource type="worksheet">
    <worksheetSource ref="A1:J1048576" sheet="逐日资产统计"/>
  </cacheSource>
  <cacheFields count="10">
    <cacheField name="日期" numFmtId="0">
      <sharedItems containsNonDate="0" containsDate="1" containsString="0" containsBlank="1" minDate="2017-01-13T00:00:00" maxDate="2020-08-18T00:00:00" count="336">
        <d v="2017-01-13T00:00:00"/>
        <d v="2017-01-16T00:00:00"/>
        <d v="2017-01-20T00:00:00"/>
        <d v="2017-01-24T00:00:00"/>
        <d v="2017-02-07T00:00:00"/>
        <d v="2017-02-09T00:00:00"/>
        <d v="2017-02-10T00:00:00"/>
        <d v="2017-02-14T00:00:00"/>
        <d v="2017-02-16T00:00:00"/>
        <d v="2017-02-20T00:00:00"/>
        <d v="2017-02-22T00:00:00"/>
        <d v="2017-03-03T00:00:00"/>
        <d v="2017-03-06T00:00:00"/>
        <d v="2017-03-08T00:00:00"/>
        <d v="2017-03-09T00:00:00"/>
        <d v="2017-03-10T00:00:00"/>
        <d v="2017-03-15T00:00:00"/>
        <d v="2017-03-20T00:00:00"/>
        <d v="2017-03-22T00:00:00"/>
        <d v="2017-03-24T00:00:00"/>
        <d v="2017-03-30T00:00:00"/>
        <d v="2017-04-05T00:00:00"/>
        <d v="2017-04-10T00:00:00"/>
        <d v="2017-04-11T00:00:00"/>
        <d v="2017-04-12T00:00:00"/>
        <d v="2017-04-13T00:00:00"/>
        <d v="2017-04-17T00:00:00"/>
        <d v="2017-04-20T00:00:00"/>
        <d v="2017-04-24T00:00:00"/>
        <d v="2017-04-26T00:00:00"/>
        <d v="2017-04-27T00:00:00"/>
        <d v="2017-04-28T00:00:00"/>
        <d v="2017-05-02T00:00:00"/>
        <d v="2017-05-05T00:00:00"/>
        <d v="2017-05-09T00:00:00"/>
        <d v="2017-05-12T00:00:00"/>
        <d v="2017-05-15T00:00:00"/>
        <d v="2017-05-16T00:00:00"/>
        <d v="2017-05-17T00:00:00"/>
        <d v="2017-05-18T00:00:00"/>
        <d v="2017-05-23T00:00:00"/>
        <d v="2017-05-25T00:00:00"/>
        <d v="2017-05-26T00:00:00"/>
        <d v="2017-05-31T00:00:00"/>
        <d v="2017-06-02T00:00:00"/>
        <d v="2017-06-05T00:00:00"/>
        <d v="2017-06-07T00:00:00"/>
        <d v="2017-06-08T00:00:00"/>
        <d v="2017-06-12T00:00:00"/>
        <d v="2017-06-13T00:00:00"/>
        <d v="2017-06-14T00:00:00"/>
        <d v="2017-06-19T00:00:00"/>
        <d v="2017-06-21T00:00:00"/>
        <d v="2017-06-26T00:00:00"/>
        <d v="2017-06-28T00:00:00"/>
        <d v="2017-07-03T00:00:00"/>
        <d v="2017-07-04T00:00:00"/>
        <d v="2017-07-05T00:00:00"/>
        <d v="2017-07-06T00:00:00"/>
        <d v="2017-07-07T00:00:00"/>
        <d v="2017-07-10T00:00:00"/>
        <d v="2017-07-11T00:00:00"/>
        <d v="2017-07-12T00:00:00"/>
        <d v="2017-07-13T00:00:00"/>
        <d v="2017-07-14T00:00:00"/>
        <d v="2017-07-17T00:00:00"/>
        <d v="2017-07-18T00:00:00"/>
        <d v="2017-07-19T00:00:00"/>
        <d v="2017-07-20T00:00:00"/>
        <d v="2017-07-21T00:00:00"/>
        <d v="2017-07-24T00:00:00"/>
        <d v="2017-07-25T00:00:00"/>
        <d v="2017-07-26T00:00:00"/>
        <d v="2017-07-27T00:00:00"/>
        <d v="2017-07-28T00:00:00"/>
        <d v="2017-07-31T00:00:00"/>
        <d v="2017-08-01T00:00:00"/>
        <d v="2017-08-02T00:00:00"/>
        <d v="2017-08-03T00:00:00"/>
        <d v="2017-08-07T00:00:00"/>
        <d v="2017-08-08T00:00:00"/>
        <d v="2017-08-10T00:00:00"/>
        <d v="2017-08-11T00:00:00"/>
        <d v="2017-08-14T00:00:00"/>
        <d v="2017-08-16T00:00:00"/>
        <d v="2017-08-17T00:00:00"/>
        <d v="2017-08-18T00:00:00"/>
        <d v="2017-08-21T00:00:00"/>
        <d v="2017-08-23T00:00:00"/>
        <d v="2017-08-24T00:00:00"/>
        <d v="2017-08-25T00:00:00"/>
        <d v="2017-08-28T00:00:00"/>
        <d v="2017-08-30T00:00:00"/>
        <d v="2017-08-31T00:00:00"/>
        <d v="2017-09-01T00:00:00"/>
        <d v="2017-09-06T00:00:00"/>
        <d v="2017-09-07T00:00:00"/>
        <d v="2017-09-11T00:00:00"/>
        <d v="2017-09-12T00:00:00"/>
        <d v="2017-09-13T00:00:00"/>
        <d v="2017-09-14T00:00:00"/>
        <d v="2017-09-15T00:00:00"/>
        <d v="2017-09-18T00:00:00"/>
        <d v="2017-09-19T00:00:00"/>
        <d v="2017-09-20T00:00:00"/>
        <d v="2017-09-21T00:00:00"/>
        <d v="2017-09-22T00:00:00"/>
        <d v="2017-09-25T00:00:00"/>
        <d v="2017-09-26T00:00:00"/>
        <d v="2017-09-27T00:00:00"/>
        <d v="2017-09-29T00:00:00"/>
        <d v="2017-10-09T00:00:00"/>
        <d v="2017-10-10T00:00:00"/>
        <d v="2017-10-11T00:00:00"/>
        <d v="2017-10-12T00:00:00"/>
        <d v="2017-10-13T00:00:00"/>
        <d v="2017-10-16T00:00:00"/>
        <d v="2017-10-17T00:00:00"/>
        <d v="2017-10-18T00:00:00"/>
        <d v="2017-10-19T00:00:00"/>
        <d v="2017-10-20T00:00:00"/>
        <d v="2017-10-23T00:00:00"/>
        <d v="2017-10-24T00:00:00"/>
        <d v="2017-10-25T00:00:00"/>
        <d v="2017-10-26T00:00:00"/>
        <d v="2017-10-27T00:00:00"/>
        <d v="2017-10-30T00:00:00"/>
        <d v="2017-10-31T00:00:00"/>
        <d v="2017-11-01T00:00:00"/>
        <d v="2017-11-03T00:00:00"/>
        <d v="2017-11-06T00:00:00"/>
        <d v="2017-11-07T00:00:00"/>
        <d v="2017-11-08T00:00:00"/>
        <d v="2017-11-09T00:00:00"/>
        <d v="2017-11-10T00:00:00"/>
        <d v="2017-11-13T00:00:00"/>
        <d v="2017-11-14T00:00:00"/>
        <d v="2017-11-15T00:00:00"/>
        <d v="2017-11-16T00:00:00"/>
        <d v="2017-11-17T00:00:00"/>
        <d v="2017-11-20T00:00:00"/>
        <d v="2017-11-21T00:00:00"/>
        <d v="2017-11-22T00:00:00"/>
        <d v="2017-11-23T00:00:00"/>
        <d v="2017-11-24T00:00:00"/>
        <d v="2017-11-27T00:00:00"/>
        <d v="2017-11-28T00:00:00"/>
        <d v="2017-11-29T00:00:00"/>
        <d v="2017-11-30T00:00:00"/>
        <d v="2017-12-01T00:00:00"/>
        <d v="2017-12-04T00:00:00"/>
        <d v="2017-12-05T00:00:00"/>
        <d v="2017-12-06T00:00:00"/>
        <d v="2017-12-07T00:00:00"/>
        <d v="2017-12-08T00:00:00"/>
        <d v="2017-12-11T00:00:00"/>
        <d v="2017-12-12T00:00:00"/>
        <d v="2017-12-13T00:00:00"/>
        <d v="2017-12-14T00:00:00"/>
        <d v="2017-12-15T00:00:00"/>
        <d v="2017-12-18T00:00:00"/>
        <d v="2017-12-19T00:00:00"/>
        <d v="2017-12-20T00:00:00"/>
        <d v="2017-12-21T00:00:00"/>
        <d v="2017-12-22T00:00:00"/>
        <d v="2017-12-25T00:00:00"/>
        <d v="2017-12-26T00:00:00"/>
        <d v="2017-12-27T00:00:00"/>
        <d v="2017-12-28T00:00:00"/>
        <d v="2017-12-29T00:00:00"/>
        <d v="2018-01-02T00:00:00"/>
        <d v="2018-01-03T00:00:00"/>
        <d v="2018-01-04T00:00:00"/>
        <d v="2018-01-05T00:00:00"/>
        <d v="2018-01-08T00:00:00"/>
        <d v="2018-01-09T00:00:00"/>
        <d v="2018-01-10T00:00:00"/>
        <d v="2018-01-11T00:00:00"/>
        <d v="2018-01-12T00:00:00"/>
        <d v="2018-01-15T00:00:00"/>
        <d v="2018-01-16T00:00:00"/>
        <d v="2018-01-17T00:00:00"/>
        <d v="2018-01-18T00:00:00"/>
        <d v="2018-01-19T00:00:00"/>
        <d v="2018-01-22T00:00:00"/>
        <d v="2018-01-23T00:00:00"/>
        <d v="2018-01-24T00:00:00"/>
        <d v="2018-01-25T00:00:00"/>
        <d v="2018-01-26T00:00:00"/>
        <d v="2018-01-29T00:00:00"/>
        <d v="2018-01-30T00:00:00"/>
        <d v="2018-01-31T00:00:00"/>
        <d v="2018-02-01T00:00:00"/>
        <d v="2018-02-04T00:00:00"/>
        <d v="2018-02-05T00:00:00"/>
        <d v="2018-02-06T00:00:00"/>
        <d v="2018-02-07T00:00:00"/>
        <d v="2018-02-08T00:00:00"/>
        <d v="2018-02-11T00:00:00"/>
        <d v="2018-02-12T00:00:00"/>
        <d v="2018-02-13T00:00:00"/>
        <d v="2018-02-14T00:00:00"/>
        <d v="2018-02-22T00:00:00"/>
        <d v="2018-02-23T00:00:00"/>
        <d v="2018-02-26T00:00:00"/>
        <d v="2018-02-27T00:00:00"/>
        <d v="2018-02-28T00:00:00"/>
        <d v="2018-03-01T00:00:00"/>
        <d v="2018-03-02T00:00:00"/>
        <d v="2018-03-05T00:00:00"/>
        <d v="2018-03-06T00:00:00"/>
        <d v="2018-03-07T00:00:00"/>
        <d v="2018-03-08T00:00:00"/>
        <d v="2018-03-09T00:00:00"/>
        <d v="2018-03-12T00:00:00"/>
        <d v="2018-03-13T00:00:00"/>
        <d v="2018-03-14T00:00:00"/>
        <d v="2018-03-15T00:00:00"/>
        <d v="2018-03-16T00:00:00"/>
        <d v="2018-03-19T00:00:00"/>
        <d v="2018-03-20T00:00:00"/>
        <d v="2018-03-21T00:00:00"/>
        <d v="2018-03-22T00:00:00"/>
        <d v="2018-03-23T00:00:00"/>
        <d v="2018-03-26T00:00:00"/>
        <d v="2018-03-27T00:00:00"/>
        <d v="2018-03-28T00:00:00"/>
        <d v="2018-03-29T00:00:00"/>
        <d v="2018-03-30T00:00:00"/>
        <d v="2018-04-02T00:00:00"/>
        <d v="2018-04-03T00:00:00"/>
        <d v="2018-04-04T00:00:00"/>
        <d v="2018-04-09T00:00:00"/>
        <d v="2018-04-10T00:00:00"/>
        <d v="2018-04-11T00:00:00"/>
        <d v="2018-04-12T00:00:00"/>
        <d v="2018-04-13T00:00:00"/>
        <d v="2018-04-16T00:00:00"/>
        <d v="2018-04-17T00:00:00"/>
        <d v="2018-04-18T00:00:00"/>
        <d v="2018-04-19T00:00:00"/>
        <d v="2018-04-23T00:00:00"/>
        <d v="2018-04-24T00:00:00"/>
        <d v="2018-04-25T00:00:00"/>
        <d v="2018-04-26T00:00:00"/>
        <d v="2018-04-27T00:00:00"/>
        <d v="2018-05-02T00:00:00"/>
        <d v="2018-05-03T00:00:00"/>
        <d v="2018-05-04T00:00:00"/>
        <d v="2018-05-07T00:00:00"/>
        <d v="2018-05-08T00:00:00"/>
        <d v="2018-05-10T00:00:00"/>
        <d v="2018-05-14T00:00:00"/>
        <d v="2018-05-15T00:00:00"/>
        <d v="2018-05-17T00:00:00"/>
        <d v="2018-05-18T00:00:00"/>
        <d v="2018-05-21T00:00:00"/>
        <d v="2018-05-25T00:00:00"/>
        <d v="2018-05-30T00:00:00"/>
        <d v="2018-05-31T00:00:00"/>
        <d v="2018-06-05T00:00:00"/>
        <d v="2018-06-07T00:00:00"/>
        <d v="2018-06-11T00:00:00"/>
        <d v="2018-06-13T00:00:00"/>
        <d v="2018-06-15T00:00:00"/>
        <d v="2018-06-19T00:00:00"/>
        <d v="2018-06-21T00:00:00"/>
        <d v="2018-07-04T00:00:00"/>
        <d v="2018-07-24T00:00:00"/>
        <d v="2018-11-22T00:00:00"/>
        <d v="2019-03-26T00:00:00"/>
        <d v="2019-03-28T00:00:00"/>
        <d v="2019-03-29T00:00:00"/>
        <d v="2019-04-01T00:00:00"/>
        <d v="2019-04-02T00:00:00"/>
        <d v="2019-04-03T00:00:00"/>
        <d v="2019-04-04T00:00:00"/>
        <d v="2019-04-08T00:00:00"/>
        <d v="2019-04-09T00:00:00"/>
        <d v="2019-04-10T00:00:00"/>
        <d v="2019-04-11T00:00:00"/>
        <d v="2019-04-12T00:00:00"/>
        <d v="2019-04-15T00:00:00"/>
        <d v="2019-04-16T00:00:00"/>
        <d v="2019-04-22T00:00:00"/>
        <d v="2019-04-23T00:00:00"/>
        <d v="2019-04-24T00:00:00"/>
        <d v="2019-04-25T00:00:00"/>
        <d v="2019-04-26T00:00:00"/>
        <d v="2019-04-29T00:00:00"/>
        <d v="2019-06-20T00:00:00"/>
        <d v="2019-06-24T00:00:00"/>
        <d v="2019-06-26T00:00:00"/>
        <d v="2019-06-27T00:00:00"/>
        <d v="2019-07-01T00:00:00"/>
        <d v="2019-07-02T00:00:00"/>
        <d v="2019-07-04T00:00:00"/>
        <d v="2019-07-15T00:00:00"/>
        <d v="2019-07-17T00:00:00"/>
        <d v="2019-07-23T00:00:00"/>
        <d v="2019-09-05T00:00:00"/>
        <d v="2019-09-11T00:00:00"/>
        <d v="2019-09-12T00:00:00"/>
        <d v="2019-09-16T00:00:00"/>
        <d v="2019-09-30T00:00:00"/>
        <d v="2019-10-15T00:00:00"/>
        <d v="2019-11-04T00:00:00"/>
        <d v="2019-12-16T00:00:00"/>
        <d v="2019-12-17T00:00:00"/>
        <d v="2019-12-19T00:00:00"/>
        <d v="2019-12-26T00:00:00"/>
        <d v="2019-12-31T00:00:00"/>
        <d v="2020-03-02T00:00:00"/>
        <d v="2020-03-04T00:00:00"/>
        <d v="2020-05-07T00:00:00"/>
        <d v="2020-05-11T00:00:00"/>
        <d v="2020-06-24T00:00:00"/>
        <d v="2020-07-10T00:00:00"/>
        <d v="2020-07-13T00:00:00"/>
        <d v="2020-07-14T00:00:00"/>
        <d v="2020-07-18T00:00:00"/>
        <d v="2020-07-20T00:00:00"/>
        <d v="2020-07-21T00:00:00"/>
        <d v="2020-07-26T00:00:00"/>
        <d v="2020-07-28T00:00:00"/>
        <d v="2020-07-30T00:00:00"/>
        <d v="2020-08-03T00:00:00"/>
        <d v="2020-08-10T00:00:00"/>
        <d v="2020-08-14T00:00:00"/>
        <d v="2020-08-17T00:00:00"/>
        <m/>
        <d v="2017-05-20T00:00:00" u="1"/>
        <d v="2020-07-12T00:00:00" u="1"/>
        <d v="2018-02-09T00:00:00" u="1"/>
        <d v="2019-02-25T00:00:00" u="1"/>
        <d v="2017-04-23T00:00:00" u="1"/>
      </sharedItems>
    </cacheField>
    <cacheField name="证券代码" numFmtId="0">
      <sharedItems containsBlank="1" containsMixedTypes="1" containsNumber="1" containsInteger="1" minValue="519888" maxValue="601998"/>
    </cacheField>
    <cacheField name="证券名称" numFmtId="0">
      <sharedItems containsBlank="1"/>
    </cacheField>
    <cacheField name="证券数量" numFmtId="0">
      <sharedItems containsString="0" containsBlank="1" containsNumber="1" containsInteger="1" minValue="0" maxValue="21981290"/>
    </cacheField>
    <cacheField name="可卖数量" numFmtId="0">
      <sharedItems containsDate="1" containsString="0" containsBlank="1" containsMixedTypes="1" minDate="1899-12-31T00:00:00" maxDate="1900-01-10T07:57:05"/>
    </cacheField>
    <cacheField name="成本价" numFmtId="0">
      <sharedItems containsString="0" containsBlank="1" containsNumber="1" minValue="-13136.74" maxValue="100"/>
    </cacheField>
    <cacheField name="浮动盈亏" numFmtId="0">
      <sharedItems containsString="0" containsBlank="1" containsNumber="1" minValue="-61392.91" maxValue="204026.15"/>
    </cacheField>
    <cacheField name="盈亏比例(%)" numFmtId="0">
      <sharedItems containsString="0" containsBlank="1" containsNumber="1" minValue="-41.23" maxValue="6096.65"/>
    </cacheField>
    <cacheField name="最新市值" numFmtId="0">
      <sharedItems containsString="0" containsBlank="1" containsNumber="1" minValue="0" maxValue="235228.23"/>
    </cacheField>
    <cacheField name="当前价" numFmtId="0">
      <sharedItems containsString="0" containsBlank="1" containsNumber="1" minValue="0" maxValue="563.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05">
  <r>
    <x v="0"/>
    <s v="reserve"/>
    <s v="添富快线"/>
    <m/>
    <n v="729"/>
    <n v="-0.68200000000000005"/>
    <n v="504.46800000000002"/>
    <n v="0"/>
    <n v="7.29"/>
    <n v="0.01"/>
  </r>
  <r>
    <x v="0"/>
    <s v="601398"/>
    <s v="工商银行"/>
    <n v="2300"/>
    <n v="2300"/>
    <n v="2.718"/>
    <n v="4052.38"/>
    <n v="64.83"/>
    <n v="10304"/>
    <n v="4.4800000000000004"/>
  </r>
  <r>
    <x v="0"/>
    <s v="601998"/>
    <s v="中信银行"/>
    <n v="100"/>
    <n v="100"/>
    <n v="-0.47299999999999998"/>
    <n v="724.3"/>
    <n v="0"/>
    <n v="677"/>
    <n v="6.77"/>
  </r>
  <r>
    <x v="0"/>
    <s v="000402"/>
    <s v="金 融 街"/>
    <n v="100"/>
    <d v="1899-12-31T00:00:00"/>
    <n v="-21.887"/>
    <n v="3198.7"/>
    <n v="0"/>
    <n v="1010"/>
    <n v="10.1"/>
  </r>
  <r>
    <x v="0"/>
    <s v="000415"/>
    <s v="渤海金控"/>
    <n v="3100"/>
    <n v="2100"/>
    <n v="6.702"/>
    <n v="148.87"/>
    <n v="0.72"/>
    <n v="20925"/>
    <n v="6.75"/>
  </r>
  <r>
    <x v="0"/>
    <s v="000528"/>
    <s v="柳    工"/>
    <n v="20600"/>
    <n v="20100"/>
    <n v="9.1359999999999992"/>
    <n v="-34103.57"/>
    <n v="-18.13"/>
    <n v="154088"/>
    <n v="7.48"/>
  </r>
  <r>
    <x v="0"/>
    <s v="002006"/>
    <s v="精功科技"/>
    <n v="100"/>
    <n v="100"/>
    <n v="10"/>
    <n v="88"/>
    <n v="8.8000000000000007"/>
    <n v="1088"/>
    <n v="10.88"/>
  </r>
  <r>
    <x v="0"/>
    <s v="002140"/>
    <s v="东华科技"/>
    <n v="3500"/>
    <n v="2500"/>
    <n v="14.52"/>
    <n v="1959.77"/>
    <n v="3.86"/>
    <n v="52780"/>
    <n v="15.08"/>
  </r>
  <r>
    <x v="0"/>
    <s v="reserve"/>
    <s v="备用金"/>
    <m/>
    <m/>
    <m/>
    <m/>
    <m/>
    <n v="16969.52"/>
    <m/>
  </r>
  <r>
    <x v="1"/>
    <s v="519888"/>
    <s v="添富快线"/>
    <n v="729"/>
    <n v="729"/>
    <n v="-0.68200000000000005"/>
    <n v="504.46800000000002"/>
    <n v="0"/>
    <n v="7.29"/>
    <n v="0.01"/>
  </r>
  <r>
    <x v="1"/>
    <s v="601398"/>
    <s v="工商银行"/>
    <n v="2300"/>
    <n v="2300"/>
    <n v="2.718"/>
    <n v="4167.38"/>
    <n v="66.67"/>
    <n v="10419"/>
    <n v="4.53"/>
  </r>
  <r>
    <x v="1"/>
    <s v="601998"/>
    <s v="中信银行"/>
    <n v="100"/>
    <n v="100"/>
    <n v="-0.47299999999999998"/>
    <n v="729.3"/>
    <n v="0"/>
    <n v="682"/>
    <n v="6.82"/>
  </r>
  <r>
    <x v="1"/>
    <s v="000402"/>
    <s v="金 融 街"/>
    <n v="600"/>
    <n v="600"/>
    <n v="4.5270000000000001"/>
    <n v="3247.74"/>
    <n v="119.57"/>
    <n v="5964"/>
    <n v="9.94"/>
  </r>
  <r>
    <x v="1"/>
    <s v="000415"/>
    <s v="渤海金控"/>
    <n v="2600"/>
    <n v="2600"/>
    <n v="6.6420000000000003"/>
    <n v="542"/>
    <n v="3.13"/>
    <n v="17810"/>
    <n v="6.85"/>
  </r>
  <r>
    <x v="1"/>
    <s v="000528"/>
    <s v="柳    工"/>
    <n v="20100"/>
    <n v="20100"/>
    <n v="9.17"/>
    <n v="-31145.83"/>
    <n v="-16.899999999999999"/>
    <n v="153162"/>
    <n v="7.62"/>
  </r>
  <r>
    <x v="1"/>
    <s v="002006"/>
    <s v="精功科技"/>
    <n v="1100"/>
    <n v="600"/>
    <n v="9.5269999999999992"/>
    <n v="-327"/>
    <n v="-3.12"/>
    <n v="10153"/>
    <n v="9.23"/>
  </r>
  <r>
    <x v="1"/>
    <s v="002140"/>
    <s v="东华科技"/>
    <n v="4800"/>
    <n v="4300"/>
    <n v="14.308999999999999"/>
    <n v="-1484.92"/>
    <n v="-2.16"/>
    <n v="67200"/>
    <n v="14"/>
  </r>
  <r>
    <x v="1"/>
    <s v="reserve"/>
    <s v="备用金"/>
    <m/>
    <m/>
    <m/>
    <m/>
    <n v="0"/>
    <n v="22111.52"/>
    <n v="1"/>
  </r>
  <r>
    <x v="2"/>
    <s v="519888"/>
    <s v="添富快线"/>
    <n v="729"/>
    <n v="729"/>
    <n v="-0.68200000000000005"/>
    <n v="504.46800000000002"/>
    <n v="0"/>
    <n v="7.29"/>
    <n v="0.01"/>
  </r>
  <r>
    <x v="2"/>
    <s v="601398"/>
    <s v="工商银行"/>
    <n v="2300"/>
    <n v="2300"/>
    <n v="2.718"/>
    <n v="4144.38"/>
    <n v="66.3"/>
    <n v="10396"/>
    <n v="4.5199999999999996"/>
  </r>
  <r>
    <x v="2"/>
    <s v="601998"/>
    <s v="中信银行"/>
    <n v="100"/>
    <n v="100"/>
    <n v="-0.47299999999999998"/>
    <n v="739.3"/>
    <n v="0"/>
    <n v="692"/>
    <n v="6.92"/>
  </r>
  <r>
    <x v="2"/>
    <s v="000402"/>
    <s v="金 融 街"/>
    <n v="200"/>
    <n v="200"/>
    <n v="-6.4139999999999997"/>
    <n v="3340.8"/>
    <n v="0"/>
    <n v="2058"/>
    <n v="10.29"/>
  </r>
  <r>
    <x v="2"/>
    <s v="000415"/>
    <s v="渤海金控"/>
    <n v="2100"/>
    <n v="2100"/>
    <n v="6.5720000000000001"/>
    <n v="772.52"/>
    <n v="5.6"/>
    <n v="14574"/>
    <n v="6.94"/>
  </r>
  <r>
    <x v="2"/>
    <s v="000528"/>
    <s v="柳    工"/>
    <n v="19600"/>
    <n v="19600"/>
    <n v="9.2059999999999995"/>
    <n v="-27566.7"/>
    <n v="-15.27"/>
    <n v="152880"/>
    <n v="7.8"/>
  </r>
  <r>
    <x v="2"/>
    <s v="002006"/>
    <s v="精功科技"/>
    <n v="1100"/>
    <n v="600"/>
    <n v="9.5269999999999992"/>
    <n v="-228"/>
    <n v="-2.17"/>
    <n v="10252"/>
    <n v="9.32"/>
  </r>
  <r>
    <x v="2"/>
    <s v="002140"/>
    <s v="东华科技"/>
    <n v="5400"/>
    <n v="5000"/>
    <n v="14.223000000000001"/>
    <n v="-1476.71"/>
    <n v="-1.92"/>
    <n v="75330"/>
    <n v="13.95"/>
  </r>
  <r>
    <x v="2"/>
    <s v="reserve"/>
    <s v="备用金"/>
    <m/>
    <m/>
    <m/>
    <m/>
    <m/>
    <n v="25321.24"/>
    <m/>
  </r>
  <r>
    <x v="3"/>
    <s v="519888"/>
    <s v="添富快线"/>
    <n v="729"/>
    <n v="729"/>
    <n v="-0.68200000000000005"/>
    <n v="504.46800000000002"/>
    <n v="0"/>
    <n v="7.29"/>
    <n v="0.01"/>
  </r>
  <r>
    <x v="3"/>
    <s v="601398"/>
    <s v="工商银行"/>
    <n v="2300"/>
    <n v="2300"/>
    <n v="2.718"/>
    <n v="4213.38"/>
    <n v="67.400000000000006"/>
    <n v="10465"/>
    <n v="4.55"/>
  </r>
  <r>
    <x v="3"/>
    <s v="601998"/>
    <s v="中信银行"/>
    <n v="100"/>
    <n v="100"/>
    <n v="-0.47299999999999998"/>
    <n v="740.3"/>
    <n v="0"/>
    <n v="693"/>
    <n v="6.93"/>
  </r>
  <r>
    <x v="3"/>
    <s v="000402"/>
    <s v="金 融 街"/>
    <n v="200"/>
    <n v="200"/>
    <n v="-6.4139999999999997"/>
    <n v="3340.8"/>
    <n v="0"/>
    <n v="2058"/>
    <n v="10.29"/>
  </r>
  <r>
    <x v="3"/>
    <s v="000415"/>
    <s v="渤海金控"/>
    <n v="1600"/>
    <n v="1600"/>
    <n v="6.4279999999999999"/>
    <n v="866.99"/>
    <n v="8.43"/>
    <n v="11152"/>
    <n v="6.97"/>
  </r>
  <r>
    <x v="3"/>
    <s v="000528"/>
    <s v="柳    工"/>
    <n v="18100"/>
    <n v="17100"/>
    <n v="9.3049999999999997"/>
    <n v="-23611.74"/>
    <n v="-14.02"/>
    <n v="144800"/>
    <n v="8"/>
  </r>
  <r>
    <x v="3"/>
    <s v="002006"/>
    <s v="精功科技"/>
    <n v="600"/>
    <n v="100"/>
    <n v="9.3079999999999998"/>
    <n v="55.36"/>
    <n v="0.99"/>
    <n v="5640"/>
    <n v="9.4"/>
  </r>
  <r>
    <x v="3"/>
    <s v="002140"/>
    <s v="东华科技"/>
    <n v="5000"/>
    <n v="5000"/>
    <n v="14.234999999999999"/>
    <n v="-1277.3499999999999"/>
    <n v="-1.79"/>
    <n v="69900"/>
    <n v="13.98"/>
  </r>
  <r>
    <x v="3"/>
    <s v="reserve"/>
    <s v="备用金"/>
    <m/>
    <m/>
    <m/>
    <m/>
    <m/>
    <n v="21344.69"/>
    <m/>
  </r>
  <r>
    <x v="4"/>
    <s v="519888"/>
    <s v="添富快线"/>
    <n v="730"/>
    <n v="730"/>
    <n v="-0.68100000000000005"/>
    <n v="504.43"/>
    <n v="0"/>
    <n v="7.3"/>
    <n v="0.01"/>
  </r>
  <r>
    <x v="4"/>
    <s v="601398"/>
    <s v="工商银行"/>
    <n v="2300"/>
    <n v="2300"/>
    <n v="2.718"/>
    <n v="4213.38"/>
    <n v="67.400000000000006"/>
    <n v="10465"/>
    <n v="4.55"/>
  </r>
  <r>
    <x v="4"/>
    <s v="601998"/>
    <s v="中信银行"/>
    <n v="100"/>
    <n v="100"/>
    <n v="-0.47299999999999998"/>
    <n v="727.3"/>
    <n v="0"/>
    <n v="680"/>
    <n v="6.8"/>
  </r>
  <r>
    <x v="4"/>
    <s v="000402"/>
    <s v="金 融 街"/>
    <n v="200"/>
    <n v="200"/>
    <n v="-6.4139999999999997"/>
    <n v="3414.8"/>
    <n v="0"/>
    <n v="2132"/>
    <n v="10.66"/>
  </r>
  <r>
    <x v="4"/>
    <s v="000415"/>
    <s v="渤海金控"/>
    <n v="2100"/>
    <n v="2100"/>
    <n v="6.5519999999999996"/>
    <n v="771.99"/>
    <n v="5.62"/>
    <n v="14532"/>
    <n v="6.92"/>
  </r>
  <r>
    <x v="4"/>
    <s v="000528"/>
    <s v="柳    工"/>
    <n v="17100"/>
    <n v="17100"/>
    <n v="9.3699999999999992"/>
    <n v="-21718.92"/>
    <n v="-13.55"/>
    <n v="138510"/>
    <n v="8.1"/>
  </r>
  <r>
    <x v="4"/>
    <s v="002006"/>
    <s v="精功科技"/>
    <n v="600"/>
    <n v="600"/>
    <n v="9.3079999999999998"/>
    <n v="157.36000000000001"/>
    <n v="2.82"/>
    <n v="5742"/>
    <n v="9.57"/>
  </r>
  <r>
    <x v="4"/>
    <s v="002140"/>
    <s v="东华科技"/>
    <n v="4600"/>
    <n v="4600"/>
    <n v="14.164"/>
    <n v="857.75"/>
    <n v="1.31"/>
    <n v="66010"/>
    <n v="14.35"/>
  </r>
  <r>
    <x v="4"/>
    <s v="reserve"/>
    <s v="备用金"/>
    <m/>
    <m/>
    <m/>
    <m/>
    <m/>
    <n v="11056.58"/>
    <m/>
  </r>
  <r>
    <x v="5"/>
    <s v="519888"/>
    <s v="添富快线"/>
    <n v="5000730"/>
    <n v="2500730"/>
    <n v="0.01"/>
    <n v="504.68"/>
    <n v="0"/>
    <n v="50007.3"/>
    <n v="0.01"/>
  </r>
  <r>
    <x v="5"/>
    <s v="601398"/>
    <s v="工商银行"/>
    <n v="2300"/>
    <n v="2300"/>
    <n v="2.718"/>
    <n v="4259.38"/>
    <n v="68.14"/>
    <n v="10511"/>
    <n v="4.57"/>
  </r>
  <r>
    <x v="5"/>
    <s v="601998"/>
    <s v="中信银行"/>
    <n v="600"/>
    <n v="600"/>
    <n v="5.5960000000000001"/>
    <n v="752.27"/>
    <n v="22.41"/>
    <n v="4110"/>
    <n v="6.85"/>
  </r>
  <r>
    <x v="5"/>
    <s v="000402"/>
    <s v="金 融 街"/>
    <n v="200"/>
    <n v="200"/>
    <n v="-6.4139999999999997"/>
    <n v="3450.8"/>
    <n v="0"/>
    <n v="2168"/>
    <n v="10.84"/>
  </r>
  <r>
    <x v="5"/>
    <s v="000415"/>
    <s v="渤海金控"/>
    <n v="1100"/>
    <n v="1100"/>
    <n v="6.0970000000000004"/>
    <n v="1102.92"/>
    <n v="16.45"/>
    <n v="7810"/>
    <n v="7.1"/>
  </r>
  <r>
    <x v="5"/>
    <s v="000528"/>
    <s v="柳    工"/>
    <n v="14100"/>
    <n v="14100"/>
    <n v="9.5830000000000002"/>
    <n v="-15414.18"/>
    <n v="-11.4"/>
    <n v="119709"/>
    <n v="8.49"/>
  </r>
  <r>
    <x v="5"/>
    <s v="002006"/>
    <s v="精功科技"/>
    <n v="100"/>
    <n v="100"/>
    <n v="7.7450000000000001"/>
    <n v="195.54"/>
    <n v="25.24"/>
    <n v="970"/>
    <n v="9.6999999999999993"/>
  </r>
  <r>
    <x v="5"/>
    <s v="002140"/>
    <s v="东华科技"/>
    <n v="4600"/>
    <n v="4600"/>
    <n v="14.164"/>
    <n v="627.75"/>
    <n v="0.96"/>
    <n v="65780"/>
    <n v="14.3"/>
  </r>
  <r>
    <x v="5"/>
    <s v="reserve"/>
    <s v="备用金"/>
    <m/>
    <m/>
    <m/>
    <m/>
    <m/>
    <n v="15621.29"/>
    <m/>
  </r>
  <r>
    <x v="6"/>
    <s v="519888"/>
    <s v="添富快线"/>
    <n v="5000869"/>
    <n v="5000869"/>
    <n v="0.01"/>
    <n v="506.07"/>
    <n v="0"/>
    <n v="50008.69"/>
    <n v="0.01"/>
  </r>
  <r>
    <x v="6"/>
    <s v="601398"/>
    <s v="工商银行"/>
    <n v="2300"/>
    <n v="2300"/>
    <n v="2.718"/>
    <n v="4282.38"/>
    <n v="68.510000000000005"/>
    <n v="10534"/>
    <n v="4.58"/>
  </r>
  <r>
    <x v="6"/>
    <s v="601998"/>
    <s v="中信银行"/>
    <n v="600"/>
    <n v="600"/>
    <n v="5.5960000000000001"/>
    <n v="746.27"/>
    <n v="22.23"/>
    <n v="4104"/>
    <n v="6.84"/>
  </r>
  <r>
    <x v="6"/>
    <s v="000402"/>
    <s v="金 融 街"/>
    <n v="200"/>
    <n v="200"/>
    <n v="-6.4139999999999997"/>
    <n v="3438.8"/>
    <n v="0"/>
    <n v="2156"/>
    <n v="10.78"/>
  </r>
  <r>
    <x v="6"/>
    <s v="000415"/>
    <s v="渤海金控"/>
    <n v="1100"/>
    <n v="1100"/>
    <n v="6.0970000000000004"/>
    <n v="1190.92"/>
    <n v="17.760000000000002"/>
    <n v="7898"/>
    <n v="7.18"/>
  </r>
  <r>
    <x v="6"/>
    <s v="000528"/>
    <s v="柳    工"/>
    <n v="12600"/>
    <n v="12100"/>
    <n v="9.6750000000000007"/>
    <n v="-11020.89"/>
    <n v="-9.0399999999999991"/>
    <n v="110880"/>
    <n v="8.8000000000000007"/>
  </r>
  <r>
    <x v="6"/>
    <s v="002006"/>
    <s v="精功科技"/>
    <n v="100"/>
    <n v="100"/>
    <n v="7.7450000000000001"/>
    <n v="188.54"/>
    <n v="24.34"/>
    <n v="963"/>
    <n v="9.6300000000000008"/>
  </r>
  <r>
    <x v="6"/>
    <s v="002140"/>
    <s v="东华科技"/>
    <n v="4200"/>
    <n v="4200"/>
    <n v="14.122999999999999"/>
    <n v="1290.9000000000001"/>
    <n v="2.17"/>
    <n v="60606"/>
    <n v="14.43"/>
  </r>
  <r>
    <x v="6"/>
    <s v="reserve"/>
    <s v="备用金"/>
    <m/>
    <m/>
    <m/>
    <m/>
    <m/>
    <n v="34680.730000000003"/>
    <m/>
  </r>
  <r>
    <x v="7"/>
    <s v="519888"/>
    <s v="添富快线"/>
    <n v="6502616"/>
    <n v="6502616"/>
    <n v="0.01"/>
    <n v="523.54"/>
    <n v="0"/>
    <n v="65026.16"/>
    <n v="0.01"/>
  </r>
  <r>
    <x v="7"/>
    <s v="601398"/>
    <s v="工商银行"/>
    <n v="1800"/>
    <n v="1800"/>
    <n v="2.1989999999999998"/>
    <n v="4357.03"/>
    <n v="110.1"/>
    <n v="8316"/>
    <n v="4.62"/>
  </r>
  <r>
    <x v="7"/>
    <s v="601998"/>
    <s v="中信银行"/>
    <n v="100"/>
    <n v="100"/>
    <n v="-1.1870000000000001"/>
    <n v="810.7"/>
    <n v="0"/>
    <n v="692"/>
    <n v="6.92"/>
  </r>
  <r>
    <x v="7"/>
    <s v="000402"/>
    <s v="金 融 街"/>
    <n v="200"/>
    <n v="200"/>
    <n v="-6.4139999999999997"/>
    <n v="3446.8"/>
    <n v="0"/>
    <n v="2164"/>
    <n v="10.82"/>
  </r>
  <r>
    <x v="7"/>
    <s v="000415"/>
    <s v="渤海金控"/>
    <n v="600"/>
    <n v="600"/>
    <n v="5.234"/>
    <n v="1137.3399999999999"/>
    <n v="36.229999999999997"/>
    <n v="4278"/>
    <n v="7.13"/>
  </r>
  <r>
    <x v="7"/>
    <s v="000528"/>
    <s v="柳    工"/>
    <n v="12100"/>
    <n v="12100"/>
    <n v="9.6920000000000002"/>
    <n v="-10315.24"/>
    <n v="-8.7899999999999991"/>
    <n v="106964"/>
    <n v="8.84"/>
  </r>
  <r>
    <x v="7"/>
    <s v="002006"/>
    <s v="精功科技"/>
    <n v="100"/>
    <n v="100"/>
    <n v="7.7450000000000001"/>
    <n v="183.54"/>
    <n v="23.69"/>
    <n v="958"/>
    <n v="9.58"/>
  </r>
  <r>
    <x v="7"/>
    <s v="002140"/>
    <s v="东华科技"/>
    <n v="3800"/>
    <n v="3800"/>
    <n v="14.061"/>
    <n v="2354"/>
    <n v="4.4000000000000004"/>
    <n v="55784"/>
    <n v="14.68"/>
  </r>
  <r>
    <x v="7"/>
    <s v="SZRQ88"/>
    <s v="国标准券"/>
    <n v="35000"/>
    <n v="35000"/>
    <n v="1"/>
    <n v="-1.4"/>
    <n v="0"/>
    <n v="35000"/>
    <n v="1"/>
  </r>
  <r>
    <x v="7"/>
    <s v="reserve"/>
    <s v="备用金"/>
    <m/>
    <m/>
    <m/>
    <m/>
    <m/>
    <n v="4521.59"/>
    <m/>
  </r>
  <r>
    <x v="8"/>
    <s v="519888"/>
    <s v="添富快线"/>
    <n v="6503095"/>
    <n v="5003095"/>
    <n v="0.01"/>
    <n v="528.33000000000004"/>
    <n v="0"/>
    <n v="65030.95"/>
    <n v="0.01"/>
  </r>
  <r>
    <x v="8"/>
    <s v="601398"/>
    <s v="工商银行"/>
    <n v="1300"/>
    <n v="1300"/>
    <n v="1.2629999999999999"/>
    <n v="4442.6499999999996"/>
    <n v="270.55"/>
    <n v="6084"/>
    <n v="4.68"/>
  </r>
  <r>
    <x v="8"/>
    <s v="601998"/>
    <s v="中信银行"/>
    <n v="100"/>
    <n v="100"/>
    <n v="-1.1870000000000001"/>
    <n v="823.7"/>
    <n v="0"/>
    <n v="705"/>
    <n v="7.05"/>
  </r>
  <r>
    <x v="8"/>
    <s v="000402"/>
    <s v="金 融 街"/>
    <n v="200"/>
    <n v="200"/>
    <n v="-6.4139999999999997"/>
    <n v="3428.8"/>
    <n v="0"/>
    <n v="2146"/>
    <n v="10.73"/>
  </r>
  <r>
    <x v="8"/>
    <s v="000415"/>
    <s v="渤海金控"/>
    <n v="100"/>
    <n v="100"/>
    <n v="-5.3209999999999997"/>
    <n v="1258.0999999999999"/>
    <n v="0"/>
    <n v="726"/>
    <n v="7.26"/>
  </r>
  <r>
    <x v="8"/>
    <s v="000528"/>
    <s v="柳    工"/>
    <n v="12100"/>
    <n v="12100"/>
    <n v="9.6850000000000005"/>
    <n v="-12164.9"/>
    <n v="-10.38"/>
    <n v="105028"/>
    <n v="8.68"/>
  </r>
  <r>
    <x v="8"/>
    <s v="002006"/>
    <s v="精功科技"/>
    <n v="100"/>
    <n v="100"/>
    <n v="7.7450000000000001"/>
    <n v="254.54"/>
    <n v="32.86"/>
    <n v="1029"/>
    <n v="10.29"/>
  </r>
  <r>
    <x v="8"/>
    <s v="002140"/>
    <s v="东华科技"/>
    <n v="3900"/>
    <n v="3900"/>
    <n v="14.042"/>
    <n v="2254.15"/>
    <n v="4.12"/>
    <n v="57018"/>
    <n v="14.62"/>
  </r>
  <r>
    <x v="8"/>
    <s v="SZRQ88"/>
    <s v="国标准券"/>
    <n v="35000"/>
    <n v="35000"/>
    <n v="1"/>
    <n v="-1.4"/>
    <n v="0"/>
    <n v="35000"/>
    <n v="1"/>
  </r>
  <r>
    <x v="8"/>
    <s v="reserve"/>
    <s v="备用金"/>
    <m/>
    <m/>
    <m/>
    <m/>
    <m/>
    <n v="9264.49"/>
    <m/>
  </r>
  <r>
    <x v="9"/>
    <s v="519888"/>
    <s v="添富快线"/>
    <n v="5000000"/>
    <n v="5000000"/>
    <n v="0.01"/>
    <n v="536.51"/>
    <n v="0"/>
    <n v="50000"/>
    <n v="0.01"/>
  </r>
  <r>
    <x v="9"/>
    <s v="601398"/>
    <s v="工商银行"/>
    <n v="300"/>
    <n v="300"/>
    <n v="-10.130000000000001"/>
    <n v="4440"/>
    <n v="0"/>
    <n v="1401"/>
    <n v="4.67"/>
  </r>
  <r>
    <x v="9"/>
    <s v="601998"/>
    <s v="中信银行"/>
    <n v="100"/>
    <n v="100"/>
    <n v="-1.1870000000000001"/>
    <n v="823.7"/>
    <n v="0"/>
    <n v="705"/>
    <n v="7.05"/>
  </r>
  <r>
    <x v="9"/>
    <s v="SHRQ88"/>
    <s v="国标准券"/>
    <n v="100000"/>
    <n v="100000"/>
    <n v="1"/>
    <n v="-1"/>
    <n v="0"/>
    <n v="100000"/>
    <n v="1"/>
  </r>
  <r>
    <x v="9"/>
    <s v="000402"/>
    <s v="金 融 街"/>
    <n v="200"/>
    <n v="200"/>
    <n v="-6.4139999999999997"/>
    <n v="3470.8"/>
    <n v="0"/>
    <n v="2188"/>
    <n v="10.94"/>
  </r>
  <r>
    <x v="9"/>
    <s v="000415"/>
    <s v="渤海金控"/>
    <n v="100"/>
    <n v="100"/>
    <n v="-5.3209999999999997"/>
    <n v="1260.0999999999999"/>
    <n v="0"/>
    <n v="728"/>
    <n v="7.28"/>
  </r>
  <r>
    <x v="9"/>
    <s v="000528"/>
    <s v="柳    工"/>
    <n v="10600"/>
    <n v="10100"/>
    <n v="9.7669999999999995"/>
    <n v="-8128.44"/>
    <n v="-7.85"/>
    <n v="95400"/>
    <n v="9"/>
  </r>
  <r>
    <x v="9"/>
    <s v="002006"/>
    <s v="精功科技"/>
    <n v="100"/>
    <n v="100"/>
    <n v="7.7450000000000001"/>
    <n v="228.54"/>
    <n v="29.5"/>
    <n v="1003"/>
    <n v="10.029999999999999"/>
  </r>
  <r>
    <x v="9"/>
    <s v="002140"/>
    <s v="东华科技"/>
    <n v="1900"/>
    <n v="1900"/>
    <n v="12.994999999999999"/>
    <n v="3980.02"/>
    <n v="16.12"/>
    <n v="28671"/>
    <n v="15.09"/>
  </r>
  <r>
    <x v="9"/>
    <s v="reserve"/>
    <s v="备用金"/>
    <m/>
    <m/>
    <m/>
    <m/>
    <m/>
    <n v="7736.18"/>
    <m/>
  </r>
  <r>
    <x v="10"/>
    <s v="519888"/>
    <s v="添富快线"/>
    <n v="15001795"/>
    <n v="13001795"/>
    <n v="0.01"/>
    <n v="554.46"/>
    <n v="0"/>
    <n v="150017.95000000001"/>
    <n v="0.01"/>
  </r>
  <r>
    <x v="10"/>
    <s v="601398"/>
    <s v="工商银行"/>
    <n v="300"/>
    <n v="300"/>
    <n v="-10.130000000000001"/>
    <n v="4449"/>
    <n v="0"/>
    <n v="1410"/>
    <n v="4.7"/>
  </r>
  <r>
    <x v="10"/>
    <s v="601998"/>
    <s v="中信银行"/>
    <n v="100"/>
    <n v="100"/>
    <n v="-1.1870000000000001"/>
    <n v="826.7"/>
    <n v="0"/>
    <n v="708"/>
    <n v="7.08"/>
  </r>
  <r>
    <x v="10"/>
    <s v="000402"/>
    <s v="金 融 街"/>
    <n v="200"/>
    <n v="200"/>
    <n v="-6.4139999999999997"/>
    <n v="3520.8"/>
    <n v="0"/>
    <n v="2238"/>
    <n v="11.19"/>
  </r>
  <r>
    <x v="10"/>
    <s v="000415"/>
    <s v="渤海金控"/>
    <n v="100"/>
    <n v="100"/>
    <n v="-5.3209999999999997"/>
    <n v="1265.0999999999999"/>
    <n v="0"/>
    <n v="733"/>
    <n v="7.33"/>
  </r>
  <r>
    <x v="10"/>
    <s v="000528"/>
    <s v="柳    工"/>
    <n v="9600"/>
    <n v="9600"/>
    <n v="9.8160000000000007"/>
    <n v="-4376.76"/>
    <n v="-4.6399999999999997"/>
    <n v="89856"/>
    <n v="9.36"/>
  </r>
  <r>
    <x v="10"/>
    <s v="002006"/>
    <s v="精功科技"/>
    <n v="100"/>
    <n v="100"/>
    <n v="7.7450000000000001"/>
    <n v="222.54"/>
    <n v="28.73"/>
    <n v="997"/>
    <n v="9.9700000000000006"/>
  </r>
  <r>
    <x v="10"/>
    <s v="002140"/>
    <s v="东华科技"/>
    <n v="800"/>
    <n v="800"/>
    <n v="9.6940000000000008"/>
    <n v="4580.62"/>
    <n v="59.07"/>
    <n v="12336"/>
    <n v="15.42"/>
  </r>
  <r>
    <x v="10"/>
    <s v="reserve"/>
    <s v="备用金"/>
    <m/>
    <m/>
    <m/>
    <m/>
    <m/>
    <n v="33982.93"/>
    <m/>
  </r>
  <r>
    <x v="11"/>
    <s v="519888"/>
    <s v="添富快线"/>
    <n v="15012941"/>
    <n v="15012941"/>
    <n v="0.01"/>
    <n v="665.92"/>
    <n v="0"/>
    <n v="150129.41"/>
    <n v="0.01"/>
  </r>
  <r>
    <x v="11"/>
    <s v="000528"/>
    <s v="柳    工"/>
    <n v="9600"/>
    <n v="8600"/>
    <n v="9.73"/>
    <n v="-7969.16"/>
    <n v="-8.5299999999999994"/>
    <n v="85440"/>
    <n v="8.9"/>
  </r>
  <r>
    <x v="11"/>
    <s v="002140"/>
    <s v="东华科技"/>
    <n v="1600"/>
    <n v="1100"/>
    <n v="12.25"/>
    <n v="4560.13"/>
    <n v="23.35"/>
    <n v="24160"/>
    <n v="15.1"/>
  </r>
  <r>
    <x v="11"/>
    <s v="601998"/>
    <s v="中信银行"/>
    <n v="600"/>
    <n v="600"/>
    <n v="5.5270000000000001"/>
    <n v="787.64"/>
    <n v="23.76"/>
    <n v="4104"/>
    <n v="6.84"/>
  </r>
  <r>
    <x v="11"/>
    <s v="601398"/>
    <s v="工商银行"/>
    <n v="300"/>
    <n v="300"/>
    <n v="-10.130000000000001"/>
    <n v="4434"/>
    <n v="0"/>
    <n v="1395"/>
    <n v="4.6500000000000004"/>
  </r>
  <r>
    <x v="11"/>
    <s v="000402"/>
    <s v="金 融 街"/>
    <n v="700"/>
    <n v="200"/>
    <n v="5.8529999999999998"/>
    <n v="3441.73"/>
    <n v="84.01"/>
    <n v="7539"/>
    <n v="10.77"/>
  </r>
  <r>
    <x v="11"/>
    <s v="000415"/>
    <s v="渤海金控"/>
    <n v="100"/>
    <n v="100"/>
    <n v="-5.3209999999999997"/>
    <n v="1263.0999999999999"/>
    <n v="0"/>
    <n v="731"/>
    <n v="7.31"/>
  </r>
  <r>
    <x v="11"/>
    <s v="002006"/>
    <s v="精功科技"/>
    <n v="100"/>
    <n v="100"/>
    <n v="7.7450000000000001"/>
    <n v="215.54"/>
    <n v="27.83"/>
    <n v="990"/>
    <n v="9.9"/>
  </r>
  <r>
    <x v="11"/>
    <s v="reserve"/>
    <s v="备用金"/>
    <m/>
    <m/>
    <m/>
    <m/>
    <m/>
    <n v="13363.51"/>
    <m/>
  </r>
  <r>
    <x v="12"/>
    <s v="519888"/>
    <s v="添富快线"/>
    <n v="15014252"/>
    <n v="15014252"/>
    <n v="0.01"/>
    <n v="679.03"/>
    <n v="0"/>
    <n v="150142.51999999999"/>
    <n v="0.01"/>
  </r>
  <r>
    <x v="12"/>
    <s v="601398"/>
    <s v="工商银行"/>
    <n v="1300"/>
    <n v="300"/>
    <n v="1.2430000000000001"/>
    <n v="4415.76"/>
    <n v="273.29000000000002"/>
    <n v="6032"/>
    <n v="4.6399999999999997"/>
  </r>
  <r>
    <x v="12"/>
    <s v="601998"/>
    <s v="中信银行"/>
    <n v="600"/>
    <n v="600"/>
    <n v="5.5270000000000001"/>
    <n v="775.64"/>
    <n v="23.4"/>
    <n v="4092"/>
    <n v="6.82"/>
  </r>
  <r>
    <x v="12"/>
    <s v="000402"/>
    <s v="金 融 街"/>
    <n v="700"/>
    <n v="700"/>
    <n v="5.8529999999999998"/>
    <n v="3518.73"/>
    <n v="85.89"/>
    <n v="7616"/>
    <n v="10.88"/>
  </r>
  <r>
    <x v="12"/>
    <s v="000415"/>
    <s v="渤海金控"/>
    <n v="100"/>
    <n v="100"/>
    <n v="-5.3209999999999997"/>
    <n v="1263.0999999999999"/>
    <n v="0"/>
    <n v="731"/>
    <n v="7.31"/>
  </r>
  <r>
    <x v="12"/>
    <s v="000528"/>
    <s v="柳    工"/>
    <n v="8100"/>
    <n v="8100"/>
    <n v="9.8439999999999994"/>
    <n v="-5136.87"/>
    <n v="-6.44"/>
    <n v="74601"/>
    <n v="9.2100000000000009"/>
  </r>
  <r>
    <x v="12"/>
    <s v="002006"/>
    <s v="精功科技"/>
    <n v="100"/>
    <n v="100"/>
    <n v="7.7450000000000001"/>
    <n v="231.54"/>
    <n v="29.89"/>
    <n v="1006"/>
    <n v="10.06"/>
  </r>
  <r>
    <x v="12"/>
    <s v="002140"/>
    <s v="东华科技"/>
    <n v="2100"/>
    <n v="1600"/>
    <n v="12.904999999999999"/>
    <n v="4610.13"/>
    <n v="17.010000000000002"/>
    <n v="31710"/>
    <n v="15.1"/>
  </r>
  <r>
    <x v="12"/>
    <s v="reserve"/>
    <s v="备用金"/>
    <m/>
    <m/>
    <m/>
    <m/>
    <m/>
    <n v="14879.71"/>
    <m/>
  </r>
  <r>
    <x v="13"/>
    <s v="519888"/>
    <s v="添富快线"/>
    <n v="13019337"/>
    <n v="13019337"/>
    <n v="0.01"/>
    <n v="729.88"/>
    <n v="0"/>
    <n v="130193.37"/>
    <n v="0.01"/>
  </r>
  <r>
    <x v="13"/>
    <s v="601398"/>
    <s v="工商银行"/>
    <n v="2300"/>
    <n v="2300"/>
    <n v="2.718"/>
    <n v="4535.67"/>
    <n v="72.55"/>
    <n v="10787"/>
    <n v="4.6900000000000004"/>
  </r>
  <r>
    <x v="13"/>
    <s v="601998"/>
    <s v="中信银行"/>
    <n v="1600"/>
    <n v="1600"/>
    <n v="6.3230000000000004"/>
    <n v="795.5"/>
    <n v="7.86"/>
    <n v="10912"/>
    <n v="6.82"/>
  </r>
  <r>
    <x v="13"/>
    <s v="000402"/>
    <s v="金 融 街"/>
    <n v="300"/>
    <n v="300"/>
    <n v="-1.044"/>
    <n v="3610.2"/>
    <n v="0"/>
    <n v="3297"/>
    <n v="10.99"/>
  </r>
  <r>
    <x v="13"/>
    <s v="000415"/>
    <s v="渤海金控"/>
    <n v="100"/>
    <n v="100"/>
    <n v="-5.3209999999999997"/>
    <n v="1274.0999999999999"/>
    <n v="0"/>
    <n v="742"/>
    <n v="7.42"/>
  </r>
  <r>
    <x v="13"/>
    <s v="000528"/>
    <s v="柳    工"/>
    <n v="10100"/>
    <n v="10100"/>
    <n v="9.67"/>
    <n v="-8378.8700000000008"/>
    <n v="-8.58"/>
    <n v="89284"/>
    <n v="8.84"/>
  </r>
  <r>
    <x v="13"/>
    <s v="002006"/>
    <s v="精功科技"/>
    <n v="100"/>
    <n v="100"/>
    <n v="7.7450000000000001"/>
    <n v="237.54"/>
    <n v="30.67"/>
    <n v="1012"/>
    <n v="10.119999999999999"/>
  </r>
  <r>
    <x v="13"/>
    <s v="002140"/>
    <s v="东华科技"/>
    <n v="2600"/>
    <n v="2600"/>
    <n v="13.288"/>
    <n v="3904.13"/>
    <n v="11.3"/>
    <n v="38454"/>
    <n v="14.79"/>
  </r>
  <r>
    <x v="13"/>
    <s v="reserve"/>
    <s v="备用金"/>
    <m/>
    <m/>
    <m/>
    <m/>
    <m/>
    <n v="2480.06"/>
    <m/>
  </r>
  <r>
    <x v="14"/>
    <s v="519888"/>
    <s v="添富快线"/>
    <n v="11019337"/>
    <n v="11019337"/>
    <n v="0.01"/>
    <n v="729.88"/>
    <n v="0"/>
    <n v="110193.37"/>
    <n v="0.01"/>
  </r>
  <r>
    <x v="14"/>
    <s v="601398"/>
    <s v="工商银行"/>
    <n v="1800"/>
    <n v="1800"/>
    <n v="2.1720000000000002"/>
    <n v="4551.2700000000004"/>
    <n v="116.39"/>
    <n v="8460"/>
    <n v="4.7"/>
  </r>
  <r>
    <x v="14"/>
    <s v="601998"/>
    <s v="中信银行"/>
    <n v="1600"/>
    <n v="1600"/>
    <n v="6.3230000000000004"/>
    <n v="699.5"/>
    <n v="6.91"/>
    <n v="10816"/>
    <n v="6.76"/>
  </r>
  <r>
    <x v="14"/>
    <s v="000402"/>
    <s v="金 融 街"/>
    <n v="300"/>
    <n v="300"/>
    <n v="-1.044"/>
    <n v="3571.2"/>
    <n v="0"/>
    <n v="3258"/>
    <n v="10.86"/>
  </r>
  <r>
    <x v="14"/>
    <s v="000415"/>
    <s v="渤海金控"/>
    <n v="100"/>
    <n v="100"/>
    <n v="-5.3209999999999997"/>
    <n v="1259.0999999999999"/>
    <n v="0"/>
    <n v="727"/>
    <n v="7.27"/>
  </r>
  <r>
    <x v="14"/>
    <s v="000528"/>
    <s v="柳    工"/>
    <n v="10100"/>
    <n v="9600"/>
    <n v="9.6669999999999998"/>
    <n v="-8045.28"/>
    <n v="-8.24"/>
    <n v="89587"/>
    <n v="8.8699999999999992"/>
  </r>
  <r>
    <x v="14"/>
    <s v="002006"/>
    <s v="精功科技"/>
    <n v="100"/>
    <n v="100"/>
    <n v="7.7450000000000001"/>
    <n v="216.54"/>
    <n v="27.95"/>
    <n v="991"/>
    <n v="9.91"/>
  </r>
  <r>
    <x v="14"/>
    <s v="002140"/>
    <s v="东华科技"/>
    <n v="3100"/>
    <n v="2600"/>
    <n v="13.503"/>
    <n v="3183.13"/>
    <n v="7.61"/>
    <n v="45043"/>
    <n v="14.53"/>
  </r>
  <r>
    <x v="14"/>
    <s v="reserve"/>
    <s v="备用金"/>
    <m/>
    <m/>
    <m/>
    <m/>
    <m/>
    <n v="17543.25"/>
    <m/>
  </r>
  <r>
    <x v="15"/>
    <s v="519888"/>
    <s v="添富快线"/>
    <n v="11020328"/>
    <n v="11020328"/>
    <n v="0.01"/>
    <n v="739.79"/>
    <n v="0"/>
    <n v="110203.28"/>
    <n v="0.01"/>
  </r>
  <r>
    <x v="15"/>
    <s v="601398"/>
    <s v="工商银行"/>
    <n v="1800"/>
    <n v="1800"/>
    <n v="2.1720000000000002"/>
    <n v="4533.2700000000004"/>
    <n v="115.93"/>
    <n v="8442"/>
    <n v="4.6900000000000004"/>
  </r>
  <r>
    <x v="15"/>
    <s v="601998"/>
    <s v="中信银行"/>
    <n v="2100"/>
    <n v="1600"/>
    <n v="6.4169999999999998"/>
    <n v="593.42999999999995"/>
    <n v="4.41"/>
    <n v="14070"/>
    <n v="6.7"/>
  </r>
  <r>
    <x v="15"/>
    <s v="000402"/>
    <s v="金 融 街"/>
    <n v="300"/>
    <n v="300"/>
    <n v="-1.044"/>
    <n v="3613.2"/>
    <n v="0"/>
    <n v="3300"/>
    <n v="11"/>
  </r>
  <r>
    <x v="15"/>
    <s v="000415"/>
    <s v="渤海金控"/>
    <n v="100"/>
    <n v="100"/>
    <n v="-5.3209999999999997"/>
    <n v="1259.0999999999999"/>
    <n v="0"/>
    <n v="727"/>
    <n v="7.27"/>
  </r>
  <r>
    <x v="15"/>
    <s v="000528"/>
    <s v="柳    工"/>
    <n v="9100"/>
    <n v="9100"/>
    <n v="9.7379999999999995"/>
    <n v="-6529.33"/>
    <n v="-7.47"/>
    <n v="82082"/>
    <n v="9.02"/>
  </r>
  <r>
    <x v="15"/>
    <s v="002006"/>
    <s v="精功科技"/>
    <n v="100"/>
    <n v="100"/>
    <n v="7.7450000000000001"/>
    <n v="216.54"/>
    <n v="27.95"/>
    <n v="991"/>
    <n v="9.91"/>
  </r>
  <r>
    <x v="15"/>
    <s v="002140"/>
    <s v="东华科技"/>
    <n v="3600"/>
    <n v="3100"/>
    <n v="13.635"/>
    <n v="2575.13"/>
    <n v="5.24"/>
    <n v="51660"/>
    <n v="14.35"/>
  </r>
  <r>
    <x v="15"/>
    <s v="reserve"/>
    <s v="备用金"/>
    <m/>
    <m/>
    <m/>
    <m/>
    <m/>
    <n v="15979.13"/>
    <m/>
  </r>
  <r>
    <x v="16"/>
    <s v="519888"/>
    <s v="添富快线"/>
    <n v="11024211"/>
    <n v="11024211"/>
    <n v="0.01"/>
    <n v="778.62"/>
    <n v="0"/>
    <n v="110242.11"/>
    <n v="0.01"/>
  </r>
  <r>
    <x v="16"/>
    <s v="601398"/>
    <s v="工商银行"/>
    <n v="1400"/>
    <n v="1400"/>
    <n v="1.4430000000000001"/>
    <n v="4630.33"/>
    <n v="229.18"/>
    <n v="6650"/>
    <n v="4.75"/>
  </r>
  <r>
    <x v="16"/>
    <s v="601998"/>
    <s v="中信银行"/>
    <n v="1600"/>
    <n v="1600"/>
    <n v="6.3029999999999999"/>
    <n v="730.96"/>
    <n v="7.25"/>
    <n v="10816"/>
    <n v="6.76"/>
  </r>
  <r>
    <x v="16"/>
    <s v="000402"/>
    <s v="金 融 街"/>
    <n v="300"/>
    <n v="300"/>
    <n v="-1.044"/>
    <n v="3673.2"/>
    <n v="0"/>
    <n v="3360"/>
    <n v="11.2"/>
  </r>
  <r>
    <x v="16"/>
    <s v="000415"/>
    <s v="渤海金控"/>
    <n v="100"/>
    <n v="100"/>
    <n v="-5.3209999999999997"/>
    <n v="1249.0999999999999"/>
    <n v="0"/>
    <n v="717"/>
    <n v="7.17"/>
  </r>
  <r>
    <x v="16"/>
    <s v="000528"/>
    <s v="柳    工"/>
    <n v="9600"/>
    <n v="9100"/>
    <n v="9.6850000000000005"/>
    <n v="-6964.46"/>
    <n v="-7.48"/>
    <n v="86016"/>
    <n v="8.9600000000000009"/>
  </r>
  <r>
    <x v="16"/>
    <s v="002006"/>
    <s v="精功科技"/>
    <n v="100"/>
    <n v="100"/>
    <n v="7.7450000000000001"/>
    <n v="237.54"/>
    <n v="30.67"/>
    <n v="1012"/>
    <n v="10.119999999999999"/>
  </r>
  <r>
    <x v="16"/>
    <s v="002140"/>
    <s v="东华科技"/>
    <n v="4200"/>
    <n v="3200"/>
    <n v="13.694000000000001"/>
    <n v="2291.27"/>
    <n v="3.99"/>
    <n v="59808"/>
    <n v="14.24"/>
  </r>
  <r>
    <x v="16"/>
    <s v="reserve"/>
    <s v="备用金"/>
    <m/>
    <m/>
    <m/>
    <m/>
    <m/>
    <n v="8458.73"/>
    <m/>
  </r>
  <r>
    <x v="17"/>
    <s v="519888"/>
    <s v="添富快线"/>
    <n v="11029638"/>
    <n v="11029638"/>
    <n v="0.01"/>
    <n v="832.89"/>
    <n v="0"/>
    <n v="110296.38"/>
    <m/>
  </r>
  <r>
    <x v="17"/>
    <s v="601398"/>
    <s v="工商银行"/>
    <n v="1400"/>
    <n v="1400"/>
    <n v="1.4430000000000001"/>
    <n v="4574.33"/>
    <n v="226.4"/>
    <n v="6594"/>
    <m/>
  </r>
  <r>
    <x v="17"/>
    <s v="601998"/>
    <s v="中信银行"/>
    <n v="2100"/>
    <n v="2100"/>
    <n v="6.391"/>
    <n v="544.89"/>
    <n v="4.05"/>
    <n v="13965"/>
    <m/>
  </r>
  <r>
    <x v="17"/>
    <s v="000402"/>
    <s v="金 融 街"/>
    <n v="300"/>
    <n v="300"/>
    <n v="-1.044"/>
    <n v="3613.2"/>
    <n v="0"/>
    <n v="3300"/>
    <m/>
  </r>
  <r>
    <x v="17"/>
    <s v="000415"/>
    <s v="渤海金控"/>
    <n v="100"/>
    <n v="100"/>
    <n v="-5.3209999999999997"/>
    <n v="1247.0999999999999"/>
    <n v="0"/>
    <n v="715"/>
    <m/>
  </r>
  <r>
    <x v="17"/>
    <s v="000528"/>
    <s v="柳    工"/>
    <n v="10100"/>
    <n v="10100"/>
    <n v="9.6300000000000008"/>
    <n v="-8379.99"/>
    <n v="-8.6199999999999992"/>
    <n v="88880"/>
    <n v="8.8000000000000007"/>
  </r>
  <r>
    <x v="17"/>
    <s v="002006"/>
    <s v="精功科技"/>
    <n v="100"/>
    <n v="100"/>
    <n v="7.7450000000000001"/>
    <n v="238.54"/>
    <n v="30.8"/>
    <n v="1013"/>
    <m/>
  </r>
  <r>
    <x v="17"/>
    <s v="002140"/>
    <s v="东华科技"/>
    <n v="3800"/>
    <n v="3800"/>
    <n v="13.62"/>
    <n v="3496.5"/>
    <n v="6.76"/>
    <n v="55252"/>
    <m/>
  </r>
  <r>
    <x v="17"/>
    <s v="reserve"/>
    <s v="备用金"/>
    <m/>
    <m/>
    <m/>
    <m/>
    <m/>
    <n v="6622"/>
    <m/>
  </r>
  <r>
    <x v="18"/>
    <s v="519888"/>
    <s v="添富快线"/>
    <n v="10031827"/>
    <n v="10031827"/>
    <n v="0.01"/>
    <n v="854.78"/>
    <n v="0"/>
    <n v="100318.27"/>
    <n v="0.01"/>
  </r>
  <r>
    <x v="18"/>
    <s v="601398"/>
    <s v="工商银行"/>
    <n v="1900"/>
    <n v="1900"/>
    <n v="2.2919999999999998"/>
    <n v="4499.28"/>
    <n v="103.32"/>
    <n v="8854"/>
    <n v="4.66"/>
  </r>
  <r>
    <x v="18"/>
    <s v="601998"/>
    <s v="中信银行"/>
    <n v="2600"/>
    <n v="2600"/>
    <n v="6.423"/>
    <n v="329.82"/>
    <n v="1.98"/>
    <n v="17030"/>
    <n v="6.55"/>
  </r>
  <r>
    <x v="18"/>
    <s v="000402"/>
    <s v="金 融 街"/>
    <n v="1300"/>
    <n v="1300"/>
    <n v="8.1240000000000006"/>
    <n v="3543.31"/>
    <n v="33.56"/>
    <n v="14105"/>
    <n v="10.85"/>
  </r>
  <r>
    <x v="18"/>
    <s v="000415"/>
    <s v="渤海金控"/>
    <n v="100"/>
    <n v="100"/>
    <n v="-5.3209999999999997"/>
    <n v="1237.0999999999999"/>
    <n v="0"/>
    <n v="705"/>
    <n v="7.05"/>
  </r>
  <r>
    <x v="18"/>
    <s v="000528"/>
    <s v="柳    工"/>
    <n v="9600"/>
    <n v="9600"/>
    <n v="9.657"/>
    <n v="-6496.56"/>
    <n v="-7.01"/>
    <n v="86208"/>
    <n v="8.98"/>
  </r>
  <r>
    <x v="18"/>
    <s v="002006"/>
    <s v="精功科技"/>
    <n v="100"/>
    <n v="100"/>
    <n v="7.7450000000000001"/>
    <n v="214.54"/>
    <n v="27.7"/>
    <n v="989"/>
    <n v="9.89"/>
  </r>
  <r>
    <x v="18"/>
    <s v="002140"/>
    <s v="东华科技"/>
    <n v="3400"/>
    <n v="3400"/>
    <n v="13.500999999999999"/>
    <n v="3839.64"/>
    <n v="8.36"/>
    <n v="49742"/>
    <n v="14.63"/>
  </r>
  <r>
    <x v="18"/>
    <s v="reserve"/>
    <s v="备用金"/>
    <m/>
    <m/>
    <m/>
    <m/>
    <m/>
    <n v="10541.31"/>
    <m/>
  </r>
  <r>
    <x v="19"/>
    <s v="519888"/>
    <s v="添富快线"/>
    <n v="7832764"/>
    <n v="7832764"/>
    <n v="0.01"/>
    <n v="864.15"/>
    <n v="0"/>
    <n v="78327.64"/>
    <n v="0.01"/>
  </r>
  <r>
    <x v="19"/>
    <s v="601398"/>
    <s v="工商银行"/>
    <n v="1900"/>
    <n v="1900"/>
    <n v="2.2919999999999998"/>
    <n v="4556.28"/>
    <n v="104.63"/>
    <n v="8911"/>
    <n v="4.6900000000000004"/>
  </r>
  <r>
    <x v="19"/>
    <s v="601998"/>
    <s v="中信银行"/>
    <n v="1800"/>
    <n v="1800"/>
    <n v="6.3179999999999996"/>
    <n v="688.38"/>
    <n v="6.05"/>
    <n v="12060"/>
    <n v="6.7"/>
  </r>
  <r>
    <x v="19"/>
    <s v="000402"/>
    <s v="金 融 街"/>
    <n v="900"/>
    <n v="900"/>
    <n v="6.8570000000000002"/>
    <n v="3791.91"/>
    <n v="61.44"/>
    <n v="9963"/>
    <n v="11.07"/>
  </r>
  <r>
    <x v="19"/>
    <s v="000415"/>
    <s v="渤海金控"/>
    <n v="600"/>
    <n v="600"/>
    <n v="4.9880000000000004"/>
    <n v="1303.1300000000001"/>
    <n v="43.55"/>
    <n v="4296"/>
    <n v="7.16"/>
  </r>
  <r>
    <x v="19"/>
    <s v="000528"/>
    <s v="柳    工"/>
    <n v="7600"/>
    <n v="7600"/>
    <n v="9.7520000000000007"/>
    <n v="-2373.69"/>
    <n v="-3.2"/>
    <n v="71744"/>
    <n v="9.44"/>
  </r>
  <r>
    <x v="19"/>
    <s v="002006"/>
    <s v="精功科技"/>
    <n v="100"/>
    <n v="100"/>
    <n v="7.7450000000000001"/>
    <n v="191.54"/>
    <n v="24.73"/>
    <n v="966"/>
    <n v="9.66"/>
  </r>
  <r>
    <x v="19"/>
    <s v="002140"/>
    <s v="东华科技"/>
    <n v="3100"/>
    <n v="3100"/>
    <n v="13.353999999999999"/>
    <n v="4452.8900000000003"/>
    <n v="10.75"/>
    <n v="45849"/>
    <n v="14.79"/>
  </r>
  <r>
    <x v="19"/>
    <s v="SZRQ88"/>
    <s v="国标准券"/>
    <n v="91000"/>
    <n v="30000"/>
    <n v="1"/>
    <n v="-0.91"/>
    <n v="0"/>
    <n v="61000"/>
    <n v="1"/>
  </r>
  <r>
    <x v="19"/>
    <s v="reserve"/>
    <s v="备用金"/>
    <m/>
    <m/>
    <m/>
    <m/>
    <m/>
    <n v="833.27"/>
    <m/>
  </r>
  <r>
    <x v="20"/>
    <s v="519888"/>
    <s v="添富快线"/>
    <n v="7836975"/>
    <n v="7836975"/>
    <n v="0.01"/>
    <n v="906.26"/>
    <n v="0"/>
    <n v="78369.75"/>
    <n v="0.01"/>
  </r>
  <r>
    <x v="20"/>
    <s v="601398"/>
    <s v="工商银行"/>
    <n v="1400"/>
    <n v="1400"/>
    <n v="1.4159999999999999"/>
    <n v="4751.8500000000004"/>
    <n v="239.69"/>
    <n v="6734"/>
    <n v="4.8099999999999996"/>
  </r>
  <r>
    <x v="20"/>
    <s v="601998"/>
    <s v="中信银行"/>
    <n v="2300"/>
    <n v="2300"/>
    <n v="6.383"/>
    <n v="567.30999999999995"/>
    <n v="3.87"/>
    <n v="15249"/>
    <n v="6.63"/>
  </r>
  <r>
    <x v="20"/>
    <s v="000402"/>
    <s v="金 融 街"/>
    <n v="1600"/>
    <n v="600"/>
    <n v="8.5549999999999997"/>
    <n v="3720.05"/>
    <n v="27.18"/>
    <n v="17408"/>
    <n v="10.88"/>
  </r>
  <r>
    <x v="20"/>
    <s v="000415"/>
    <s v="渤海金控"/>
    <n v="100"/>
    <n v="100"/>
    <n v="-6.085"/>
    <n v="1328.5"/>
    <n v="0"/>
    <n v="720"/>
    <n v="7.2"/>
  </r>
  <r>
    <x v="20"/>
    <s v="000528"/>
    <s v="柳    工"/>
    <n v="8950"/>
    <n v="7450"/>
    <n v="9.6349999999999998"/>
    <n v="-4338.3599999999997"/>
    <n v="-5.03"/>
    <n v="81892.5"/>
    <n v="9.15"/>
  </r>
  <r>
    <x v="20"/>
    <s v="002006"/>
    <s v="精功科技"/>
    <n v="1600"/>
    <n v="600"/>
    <n v="9.25"/>
    <n v="-223.46"/>
    <n v="-1.51"/>
    <n v="14576"/>
    <n v="9.11"/>
  </r>
  <r>
    <x v="20"/>
    <s v="002140"/>
    <s v="东华科技"/>
    <n v="4300"/>
    <n v="3300"/>
    <n v="13.635"/>
    <n v="4190.88"/>
    <n v="7.15"/>
    <n v="62823"/>
    <n v="14.61"/>
  </r>
  <r>
    <x v="20"/>
    <s v="SZRQ88"/>
    <s v="国标准券"/>
    <n v="62000"/>
    <n v="49000"/>
    <n v="1"/>
    <n v="-0.62"/>
    <n v="0"/>
    <n v="13000"/>
    <n v="1"/>
  </r>
  <r>
    <x v="20"/>
    <s v="reserve"/>
    <s v="备用金"/>
    <m/>
    <m/>
    <m/>
    <m/>
    <m/>
    <n v="625.9"/>
    <m/>
  </r>
  <r>
    <x v="21"/>
    <s v="519888"/>
    <s v="添富快线"/>
    <n v="7838651"/>
    <n v="7838651"/>
    <n v="0.01"/>
    <n v="923.02"/>
    <n v="0"/>
    <n v="78386.509999999995"/>
    <n v="0.01"/>
  </r>
  <r>
    <x v="21"/>
    <s v="601398"/>
    <s v="工商银行"/>
    <n v="600"/>
    <n v="600"/>
    <n v="-3.133"/>
    <n v="4789.8"/>
    <n v="0"/>
    <n v="2910"/>
    <n v="4.8499999999999996"/>
  </r>
  <r>
    <x v="21"/>
    <s v="601998"/>
    <s v="中信银行"/>
    <n v="1800"/>
    <n v="1800"/>
    <n v="6.3029999999999999"/>
    <n v="822.89"/>
    <n v="7.25"/>
    <n v="12168"/>
    <n v="6.76"/>
  </r>
  <r>
    <x v="21"/>
    <s v="000402"/>
    <s v="金 融 街"/>
    <n v="800"/>
    <n v="400"/>
    <n v="5.6189999999999998"/>
    <n v="5072.84"/>
    <n v="112.85"/>
    <n v="9568"/>
    <n v="11.96"/>
  </r>
  <r>
    <x v="21"/>
    <s v="000415"/>
    <s v="渤海金控"/>
    <n v="100"/>
    <n v="100"/>
    <n v="-6.085"/>
    <n v="1336.5"/>
    <n v="0"/>
    <n v="728"/>
    <n v="7.28"/>
  </r>
  <r>
    <x v="21"/>
    <s v="000528"/>
    <s v="柳    工"/>
    <n v="9950"/>
    <n v="9450"/>
    <n v="9.5410000000000004"/>
    <n v="-3694.1"/>
    <n v="-3.89"/>
    <n v="91241.5"/>
    <n v="9.17"/>
  </r>
  <r>
    <x v="21"/>
    <s v="002006"/>
    <s v="精功科技"/>
    <n v="600"/>
    <n v="600"/>
    <n v="9.1150000000000002"/>
    <n v="201.18"/>
    <n v="3.68"/>
    <n v="5670"/>
    <n v="9.4499999999999993"/>
  </r>
  <r>
    <x v="21"/>
    <s v="002140"/>
    <s v="东华科技"/>
    <n v="3600"/>
    <n v="3600"/>
    <n v="13.382"/>
    <n v="5718.13"/>
    <n v="11.87"/>
    <n v="53892"/>
    <n v="14.97"/>
  </r>
  <r>
    <x v="21"/>
    <s v="SZRQ88"/>
    <s v="国标准券"/>
    <n v="36000"/>
    <n v="0"/>
    <n v="1"/>
    <n v="-0.36"/>
    <n v="0"/>
    <n v="36000"/>
    <n v="1"/>
  </r>
  <r>
    <x v="21"/>
    <s v="reserve"/>
    <s v="备用金"/>
    <m/>
    <m/>
    <m/>
    <m/>
    <m/>
    <n v="5104.66"/>
    <m/>
  </r>
  <r>
    <x v="22"/>
    <s v="519888"/>
    <s v="添富快线"/>
    <n v="10043387"/>
    <n v="8043387"/>
    <n v="0.01"/>
    <n v="970.38"/>
    <n v="0"/>
    <n v="100433.87"/>
    <n v="0.01"/>
  </r>
  <r>
    <x v="22"/>
    <s v="601398"/>
    <s v="工商银行"/>
    <n v="600"/>
    <n v="600"/>
    <n v="-3.133"/>
    <n v="4777.8"/>
    <n v="0"/>
    <n v="2898"/>
    <n v="4.83"/>
  </r>
  <r>
    <x v="22"/>
    <s v="601998"/>
    <s v="中信银行"/>
    <n v="1800"/>
    <n v="1800"/>
    <n v="6.3029999999999999"/>
    <n v="642.89"/>
    <n v="5.66"/>
    <n v="11988"/>
    <n v="6.66"/>
  </r>
  <r>
    <x v="22"/>
    <s v="000402"/>
    <s v="金 融 街"/>
    <n v="100"/>
    <n v="100"/>
    <n v="-42.167000000000002"/>
    <n v="5473.7"/>
    <n v="0"/>
    <n v="1257"/>
    <n v="12.57"/>
  </r>
  <r>
    <x v="22"/>
    <s v="000415"/>
    <s v="渤海金控"/>
    <n v="600"/>
    <n v="100"/>
    <n v="4.9109999999999996"/>
    <n v="1301.52"/>
    <n v="44.17"/>
    <n v="4248"/>
    <n v="7.08"/>
  </r>
  <r>
    <x v="22"/>
    <s v="000528"/>
    <s v="柳    工"/>
    <n v="10950"/>
    <n v="10450"/>
    <n v="9.4960000000000004"/>
    <n v="-4887.41"/>
    <n v="-4.7"/>
    <n v="99097.5"/>
    <n v="9.0500000000000007"/>
  </r>
  <r>
    <x v="22"/>
    <s v="002006"/>
    <s v="精功科技"/>
    <n v="600"/>
    <n v="100"/>
    <n v="8.8889999999999993"/>
    <n v="240.39"/>
    <n v="4.51"/>
    <n v="5574"/>
    <n v="9.2899999999999991"/>
  </r>
  <r>
    <x v="22"/>
    <s v="002140"/>
    <s v="东华科技"/>
    <n v="2900"/>
    <n v="2400"/>
    <n v="12.939"/>
    <n v="6237.19"/>
    <n v="16.63"/>
    <n v="43761"/>
    <n v="15.09"/>
  </r>
  <r>
    <x v="22"/>
    <s v="reserve"/>
    <s v="备用金"/>
    <m/>
    <m/>
    <m/>
    <m/>
    <m/>
    <n v="26014.71"/>
    <m/>
  </r>
  <r>
    <x v="23"/>
    <s v="519888"/>
    <s v="添富快线"/>
    <n v="10045887"/>
    <n v="10045887"/>
    <n v="0.01"/>
    <n v="995.38"/>
    <n v="0"/>
    <n v="100458.87"/>
    <n v="0.01"/>
  </r>
  <r>
    <x v="23"/>
    <s v="601398"/>
    <s v="工商银行"/>
    <n v="1100"/>
    <n v="1100"/>
    <n v="0.47699999999999998"/>
    <n v="4754.84"/>
    <n v="906.29"/>
    <n v="5280"/>
    <n v="4.8"/>
  </r>
  <r>
    <x v="23"/>
    <s v="601998"/>
    <s v="中信银行"/>
    <n v="1800"/>
    <n v="1800"/>
    <n v="6.3029999999999999"/>
    <n v="714.89"/>
    <n v="6.3"/>
    <n v="12060"/>
    <n v="6.7"/>
  </r>
  <r>
    <x v="23"/>
    <s v="000402"/>
    <s v="金 融 街"/>
    <n v="100"/>
    <n v="100"/>
    <n v="-42.167000000000002"/>
    <n v="5502.7"/>
    <n v="0"/>
    <n v="1286"/>
    <n v="12.86"/>
  </r>
  <r>
    <x v="23"/>
    <s v="000415"/>
    <s v="渤海金控"/>
    <n v="1100"/>
    <n v="1100"/>
    <n v="5.851"/>
    <n v="1384.52"/>
    <n v="21.52"/>
    <n v="7821"/>
    <n v="7.11"/>
  </r>
  <r>
    <x v="23"/>
    <s v="000528"/>
    <s v="柳    工"/>
    <n v="10450"/>
    <n v="10450"/>
    <n v="9.5069999999999997"/>
    <n v="-3099.66"/>
    <n v="-3.12"/>
    <n v="96244.5"/>
    <n v="9.2100000000000009"/>
  </r>
  <r>
    <x v="23"/>
    <s v="002006"/>
    <s v="精功科技"/>
    <n v="1100"/>
    <n v="1100"/>
    <n v="9.0350000000000001"/>
    <n v="357.39"/>
    <n v="3.6"/>
    <n v="10296"/>
    <n v="9.36"/>
  </r>
  <r>
    <x v="23"/>
    <s v="002140"/>
    <s v="东华科技"/>
    <n v="2900"/>
    <n v="2900"/>
    <n v="12.906000000000001"/>
    <n v="6217.19"/>
    <n v="16.61"/>
    <n v="43645"/>
    <n v="15.05"/>
  </r>
  <r>
    <x v="23"/>
    <s v="reserve"/>
    <s v="备用金"/>
    <m/>
    <m/>
    <m/>
    <m/>
    <m/>
    <n v="20251.41"/>
    <m/>
  </r>
  <r>
    <x v="24"/>
    <s v="519888"/>
    <s v="添富快线"/>
    <n v="8046560"/>
    <n v="8046560"/>
    <n v="0.01"/>
    <n v="1002.11"/>
    <n v="0"/>
    <n v="80465.600000000006"/>
    <n v="0.01"/>
  </r>
  <r>
    <x v="24"/>
    <s v="601398"/>
    <s v="工商银行"/>
    <n v="3100"/>
    <n v="3100"/>
    <n v="3.2610000000000001"/>
    <n v="4924.6499999999996"/>
    <n v="48.73"/>
    <n v="15035"/>
    <n v="4.8499999999999996"/>
  </r>
  <r>
    <x v="24"/>
    <s v="601998"/>
    <s v="中信银行"/>
    <n v="1800"/>
    <n v="1800"/>
    <n v="6.3029999999999999"/>
    <n v="660.89"/>
    <n v="5.82"/>
    <n v="12006"/>
    <n v="6.67"/>
  </r>
  <r>
    <x v="24"/>
    <s v="000402"/>
    <s v="金 融 街"/>
    <n v="300"/>
    <n v="300"/>
    <n v="-5.8860000000000001"/>
    <n v="5434.8"/>
    <n v="0"/>
    <n v="3669"/>
    <n v="12.23"/>
  </r>
  <r>
    <x v="24"/>
    <s v="000415"/>
    <s v="渤海金控"/>
    <n v="1100"/>
    <n v="1100"/>
    <n v="5.851"/>
    <n v="1263.52"/>
    <n v="19.64"/>
    <n v="7700"/>
    <n v="7"/>
  </r>
  <r>
    <x v="24"/>
    <s v="000528"/>
    <s v="柳    工"/>
    <n v="12150"/>
    <n v="12150"/>
    <n v="9.44"/>
    <n v="-5704.66"/>
    <n v="-4.9800000000000004"/>
    <n v="108985.5"/>
    <n v="8.9700000000000006"/>
  </r>
  <r>
    <x v="24"/>
    <s v="002006"/>
    <s v="精功科技"/>
    <n v="1100"/>
    <n v="1100"/>
    <n v="9.0350000000000001"/>
    <n v="258.39"/>
    <n v="2.6"/>
    <n v="10197"/>
    <n v="9.27"/>
  </r>
  <r>
    <x v="24"/>
    <s v="002140"/>
    <s v="东华科技"/>
    <n v="3700"/>
    <n v="3700"/>
    <n v="13.308999999999999"/>
    <n v="5148.1899999999996"/>
    <n v="10.45"/>
    <n v="54390"/>
    <n v="14.7"/>
  </r>
  <r>
    <x v="24"/>
    <s v="reserve"/>
    <s v="备用金"/>
    <m/>
    <m/>
    <m/>
    <m/>
    <m/>
    <n v="1055.22"/>
    <m/>
  </r>
  <r>
    <x v="25"/>
    <n v="519888"/>
    <s v="添富快线"/>
    <n v="7046560"/>
    <n v="7046560"/>
    <n v="0.01"/>
    <n v="1002.11"/>
    <n v="0"/>
    <n v="70465.600000000006"/>
    <n v="0.01"/>
  </r>
  <r>
    <x v="25"/>
    <n v="601398"/>
    <s v="工商银行"/>
    <n v="3100"/>
    <n v="3100"/>
    <n v="3.2610000000000001"/>
    <n v="4831.6499999999996"/>
    <n v="47.5"/>
    <n v="14942"/>
    <n v="4.82"/>
  </r>
  <r>
    <x v="25"/>
    <n v="601998"/>
    <s v="中信银行"/>
    <n v="2300"/>
    <n v="1800"/>
    <n v="6.3739999999999997"/>
    <n v="565.82000000000005"/>
    <n v="3.86"/>
    <n v="15226"/>
    <n v="6.62"/>
  </r>
  <r>
    <x v="25"/>
    <s v="000402"/>
    <s v="金 融 街"/>
    <n v="100"/>
    <n v="100"/>
    <n v="-43.121000000000002"/>
    <n v="5605.1"/>
    <n v="0"/>
    <n v="1293"/>
    <n v="12.93"/>
  </r>
  <r>
    <x v="25"/>
    <s v="000415"/>
    <s v="渤海金控"/>
    <n v="600"/>
    <n v="600"/>
    <n v="4.3259999999999996"/>
    <n v="2024.67"/>
    <n v="77.989999999999995"/>
    <n v="4620"/>
    <n v="7.7"/>
  </r>
  <r>
    <x v="25"/>
    <s v="000528"/>
    <s v="柳    工"/>
    <n v="12150"/>
    <n v="11650"/>
    <n v="9.4359999999999999"/>
    <n v="-5537.65"/>
    <n v="-4.83"/>
    <n v="109107"/>
    <n v="8.98"/>
  </r>
  <r>
    <x v="25"/>
    <s v="002006"/>
    <s v="精功科技"/>
    <n v="1100"/>
    <n v="1100"/>
    <n v="9.0350000000000001"/>
    <n v="291.39"/>
    <n v="2.93"/>
    <n v="10230"/>
    <n v="9.3000000000000007"/>
  </r>
  <r>
    <x v="25"/>
    <s v="002140"/>
    <s v="东华科技"/>
    <n v="4200"/>
    <n v="3700"/>
    <n v="13.45"/>
    <n v="3988.19"/>
    <n v="7.06"/>
    <n v="60480"/>
    <n v="14.4"/>
  </r>
  <r>
    <x v="25"/>
    <s v="reserve"/>
    <s v="备用金"/>
    <m/>
    <m/>
    <m/>
    <m/>
    <m/>
    <n v="6923.26"/>
    <m/>
  </r>
  <r>
    <x v="26"/>
    <s v="519888"/>
    <s v="添富快线"/>
    <n v="4007671"/>
    <n v="4007671"/>
    <n v="0.01"/>
    <n v="1013.22"/>
    <n v="0"/>
    <n v="40076.71"/>
    <n v="0.01"/>
  </r>
  <r>
    <x v="26"/>
    <s v="601398"/>
    <s v="工商银行"/>
    <n v="3100"/>
    <n v="3100"/>
    <n v="3.2610000000000001"/>
    <n v="4862.6499999999996"/>
    <n v="48.12"/>
    <n v="14973"/>
    <n v="4.83"/>
  </r>
  <r>
    <x v="26"/>
    <s v="601998"/>
    <s v="中信银行"/>
    <n v="3300"/>
    <n v="2300"/>
    <n v="6.3929999999999998"/>
    <n v="24.69"/>
    <n v="0.11"/>
    <n v="21120"/>
    <n v="6.4"/>
  </r>
  <r>
    <x v="26"/>
    <s v="000402"/>
    <s v="金 融 街"/>
    <n v="500"/>
    <n v="100"/>
    <n v="1.4259999999999999"/>
    <n v="5577.11"/>
    <n v="782.19"/>
    <n v="6290"/>
    <n v="12.58"/>
  </r>
  <r>
    <x v="26"/>
    <s v="000415"/>
    <s v="渤海金控"/>
    <n v="600"/>
    <n v="100"/>
    <n v="3.2490000000000001"/>
    <n v="2382.4299999999998"/>
    <n v="122.22"/>
    <n v="4332"/>
    <n v="7.22"/>
  </r>
  <r>
    <x v="26"/>
    <s v="000528"/>
    <s v="柳    工"/>
    <n v="12650"/>
    <n v="12150"/>
    <n v="9.4109999999999996"/>
    <n v="-7861.15"/>
    <n v="-6.6"/>
    <n v="111193.5"/>
    <n v="8.7899999999999991"/>
  </r>
  <r>
    <x v="26"/>
    <s v="002006"/>
    <s v="精功科技"/>
    <n v="1100"/>
    <n v="1100"/>
    <n v="9.0350000000000001"/>
    <n v="126.39"/>
    <n v="1.27"/>
    <n v="10065"/>
    <n v="9.15"/>
  </r>
  <r>
    <x v="26"/>
    <s v="002140"/>
    <s v="东华科技"/>
    <n v="5700"/>
    <n v="5200"/>
    <n v="13.593"/>
    <n v="893.19"/>
    <n v="1.1599999999999999"/>
    <n v="78375"/>
    <n v="13.75"/>
  </r>
  <r>
    <x v="26"/>
    <s v="reserve"/>
    <s v="备用金"/>
    <m/>
    <m/>
    <m/>
    <m/>
    <m/>
    <n v="1108.8900000000001"/>
    <m/>
  </r>
  <r>
    <x v="27"/>
    <s v="519888"/>
    <s v="添富快线"/>
    <n v="3009788"/>
    <n v="3009788"/>
    <n v="0.01"/>
    <n v="1034.3900000000001"/>
    <n v="0"/>
    <n v="30097.88"/>
    <n v="0.01"/>
  </r>
  <r>
    <x v="27"/>
    <s v="601398"/>
    <s v="工商银行"/>
    <n v="3100"/>
    <n v="3100"/>
    <n v="3.2610000000000001"/>
    <n v="4552.6499999999996"/>
    <n v="45.05"/>
    <n v="14663"/>
    <n v="4.7300000000000004"/>
  </r>
  <r>
    <x v="27"/>
    <s v="601998"/>
    <s v="中信银行"/>
    <n v="3800"/>
    <n v="3800"/>
    <n v="6.3659999999999997"/>
    <n v="-896.37"/>
    <n v="-3.71"/>
    <n v="23294"/>
    <n v="6.13"/>
  </r>
  <r>
    <x v="27"/>
    <s v="000402"/>
    <s v="金 融 街"/>
    <n v="100"/>
    <n v="100"/>
    <n v="-43.128"/>
    <n v="5599.8"/>
    <n v="0"/>
    <n v="1287"/>
    <n v="12.87"/>
  </r>
  <r>
    <x v="27"/>
    <s v="000415"/>
    <s v="渤海金控"/>
    <n v="100"/>
    <n v="100"/>
    <n v="-16.818000000000001"/>
    <n v="2410.8000000000002"/>
    <n v="0"/>
    <n v="729"/>
    <n v="7.29"/>
  </r>
  <r>
    <x v="27"/>
    <s v="000528"/>
    <s v="柳    工"/>
    <n v="13150"/>
    <n v="13150"/>
    <n v="9.3689999999999998"/>
    <n v="-10907.54"/>
    <n v="-8.85"/>
    <n v="112301"/>
    <n v="8.5399999999999991"/>
  </r>
  <r>
    <x v="27"/>
    <s v="002006"/>
    <s v="精功科技"/>
    <n v="1600"/>
    <n v="1600"/>
    <n v="8.9369999999999994"/>
    <n v="-554.61"/>
    <n v="-3.88"/>
    <n v="13744"/>
    <n v="8.59"/>
  </r>
  <r>
    <x v="27"/>
    <s v="002140"/>
    <s v="东华科技"/>
    <n v="5800"/>
    <n v="5800"/>
    <n v="13.577"/>
    <n v="-970.17"/>
    <n v="-1.23"/>
    <n v="77778"/>
    <n v="13.41"/>
  </r>
  <r>
    <x v="27"/>
    <s v="reserve"/>
    <s v="备用金"/>
    <m/>
    <m/>
    <m/>
    <m/>
    <m/>
    <n v="6890.61"/>
    <m/>
  </r>
  <r>
    <x v="28"/>
    <s v="519888"/>
    <s v="添富快线"/>
    <n v="2010051"/>
    <n v="2010051"/>
    <n v="8.9999999999999993E-3"/>
    <n v="1037.02"/>
    <n v="11.11"/>
    <n v="20100.509999999998"/>
    <n v="0.01"/>
  </r>
  <r>
    <x v="28"/>
    <s v="601398"/>
    <s v="工商银行"/>
    <n v="3100"/>
    <n v="3100"/>
    <n v="3.2610000000000001"/>
    <n v="4831.6499999999996"/>
    <n v="47.81"/>
    <n v="14942"/>
    <n v="4.82"/>
  </r>
  <r>
    <x v="28"/>
    <s v="601998"/>
    <s v="中信银行"/>
    <n v="3800"/>
    <n v="3800"/>
    <n v="6.3659999999999997"/>
    <n v="-744.37"/>
    <n v="-3.08"/>
    <n v="23446"/>
    <n v="6.17"/>
  </r>
  <r>
    <x v="28"/>
    <s v="000402"/>
    <s v="金 融 街"/>
    <n v="600"/>
    <n v="100"/>
    <n v="2.72"/>
    <n v="5753.78"/>
    <n v="352.57"/>
    <n v="7386"/>
    <n v="12.31"/>
  </r>
  <r>
    <x v="28"/>
    <s v="000415"/>
    <s v="渤海金控"/>
    <n v="600"/>
    <n v="100"/>
    <n v="2.8719999999999999"/>
    <n v="2308.79"/>
    <n v="133.97999999999999"/>
    <n v="4032"/>
    <n v="6.72"/>
  </r>
  <r>
    <x v="28"/>
    <s v="000528"/>
    <s v="柳    工"/>
    <n v="14650"/>
    <n v="13650"/>
    <n v="9.2609999999999992"/>
    <n v="-16857.04"/>
    <n v="-12.43"/>
    <n v="118811.5"/>
    <n v="8.11"/>
  </r>
  <r>
    <x v="28"/>
    <s v="002006"/>
    <s v="精功科技"/>
    <n v="2600"/>
    <n v="1600"/>
    <n v="8.6669999999999998"/>
    <n v="-1551.61"/>
    <n v="-6.89"/>
    <n v="20982"/>
    <n v="8.07"/>
  </r>
  <r>
    <x v="28"/>
    <s v="002140"/>
    <s v="东华科技"/>
    <n v="6300"/>
    <n v="5800"/>
    <n v="13.542999999999999"/>
    <n v="-3486.17"/>
    <n v="-4.08"/>
    <n v="81837"/>
    <n v="12.99"/>
  </r>
  <r>
    <x v="28"/>
    <s v="reserve"/>
    <s v="备用金"/>
    <m/>
    <m/>
    <m/>
    <m/>
    <m/>
    <n v="270.61"/>
    <m/>
  </r>
  <r>
    <x v="29"/>
    <n v="519888"/>
    <s v="添富快线"/>
    <n v="2010933"/>
    <n v="2010933"/>
    <n v="8.9999999999999993E-3"/>
    <n v="1045.8399999999999"/>
    <n v="11.11"/>
    <n v="20109.330000000002"/>
    <n v="0.01"/>
  </r>
  <r>
    <x v="29"/>
    <n v="601398"/>
    <s v="工商银行"/>
    <n v="2700"/>
    <n v="2700"/>
    <n v="3.0289999999999999"/>
    <n v="4971.67"/>
    <n v="60.78"/>
    <n v="13149"/>
    <n v="4.87"/>
  </r>
  <r>
    <x v="29"/>
    <n v="601998"/>
    <s v="中信银行"/>
    <n v="4300"/>
    <n v="3800"/>
    <n v="6.3289999999999997"/>
    <n v="-1329.43"/>
    <n v="-4.88"/>
    <n v="25886"/>
    <n v="6.02"/>
  </r>
  <r>
    <x v="29"/>
    <s v="000402"/>
    <s v="金 融 街"/>
    <n v="100"/>
    <n v="100"/>
    <n v="-46.564999999999998"/>
    <n v="5926.5"/>
    <n v="0"/>
    <n v="1270"/>
    <n v="12.7"/>
  </r>
  <r>
    <x v="29"/>
    <s v="000415"/>
    <s v="渤海金控"/>
    <n v="100"/>
    <n v="100"/>
    <n v="-17.683"/>
    <n v="2461.3000000000002"/>
    <n v="0"/>
    <n v="693"/>
    <n v="6.93"/>
  </r>
  <r>
    <x v="29"/>
    <s v="000528"/>
    <s v="柳    工"/>
    <n v="14650"/>
    <n v="14650"/>
    <n v="9.2609999999999992"/>
    <n v="-15978"/>
    <n v="-11.78"/>
    <n v="119690.5"/>
    <n v="8.17"/>
  </r>
  <r>
    <x v="29"/>
    <s v="002006"/>
    <s v="精功科技"/>
    <n v="2600"/>
    <n v="2600"/>
    <n v="8.6669999999999998"/>
    <n v="-1499.61"/>
    <n v="-6.66"/>
    <n v="21034"/>
    <n v="8.09"/>
  </r>
  <r>
    <x v="29"/>
    <s v="002140"/>
    <s v="东华科技"/>
    <n v="6800"/>
    <n v="6300"/>
    <n v="13.509"/>
    <n v="-2846.17"/>
    <n v="-3.1"/>
    <n v="89012"/>
    <n v="13.09"/>
  </r>
  <r>
    <x v="29"/>
    <s v="reserve"/>
    <s v="备用金"/>
    <m/>
    <m/>
    <m/>
    <m/>
    <m/>
    <n v="2423.77"/>
    <m/>
  </r>
  <r>
    <x v="30"/>
    <s v="519888"/>
    <s v="添富快线"/>
    <n v="11119"/>
    <n v="11119"/>
    <n v="-8.4000000000000005E-2"/>
    <n v="1045.1859999999999"/>
    <n v="0"/>
    <n v="111.19"/>
    <n v="0.01"/>
  </r>
  <r>
    <x v="30"/>
    <s v="601398"/>
    <s v="工商银行"/>
    <n v="2700"/>
    <n v="2700"/>
    <n v="3.0289999999999999"/>
    <n v="4998.67"/>
    <n v="61.11"/>
    <n v="13176"/>
    <n v="4.88"/>
  </r>
  <r>
    <x v="30"/>
    <s v="601998"/>
    <s v="中信银行"/>
    <n v="4800"/>
    <n v="4300"/>
    <n v="6.29"/>
    <n v="-1390.49"/>
    <n v="-4.6100000000000003"/>
    <n v="28800"/>
    <n v="6"/>
  </r>
  <r>
    <x v="30"/>
    <s v="000402"/>
    <s v="金 融 街"/>
    <n v="600"/>
    <n v="100"/>
    <n v="1.9890000000000001"/>
    <n v="5766.48"/>
    <n v="483.21"/>
    <n v="6960"/>
    <n v="11.6"/>
  </r>
  <r>
    <x v="30"/>
    <s v="000415"/>
    <s v="渤海金控"/>
    <n v="100"/>
    <n v="100"/>
    <n v="-17.683"/>
    <n v="2457.3000000000002"/>
    <n v="0"/>
    <n v="689"/>
    <n v="6.89"/>
  </r>
  <r>
    <x v="30"/>
    <s v="000528"/>
    <s v="柳    工"/>
    <n v="14150"/>
    <n v="14150"/>
    <n v="9.2949999999999999"/>
    <n v="-13789.7"/>
    <n v="-10.49"/>
    <n v="117728"/>
    <n v="8.32"/>
  </r>
  <r>
    <x v="30"/>
    <s v="002006"/>
    <s v="精功科技"/>
    <n v="2600"/>
    <n v="2100"/>
    <n v="8.6110000000000007"/>
    <n v="-1145.6600000000001"/>
    <n v="-5.12"/>
    <n v="21242"/>
    <n v="8.17"/>
  </r>
  <r>
    <x v="30"/>
    <s v="002140"/>
    <s v="东华科技"/>
    <n v="6400"/>
    <n v="6400"/>
    <n v="13.492000000000001"/>
    <n v="1971.31"/>
    <n v="2.2799999999999998"/>
    <n v="88320"/>
    <n v="13.8"/>
  </r>
  <r>
    <x v="30"/>
    <s v="reserve"/>
    <s v="备用金"/>
    <m/>
    <m/>
    <m/>
    <m/>
    <m/>
    <n v="23404.98"/>
    <m/>
  </r>
  <r>
    <x v="31"/>
    <s v="519888"/>
    <s v="添富快线"/>
    <n v="11307"/>
    <n v="11307"/>
    <n v="-8.3000000000000004E-2"/>
    <n v="1051.5509999999999"/>
    <n v="0"/>
    <n v="113.07"/>
    <n v="0.01"/>
  </r>
  <r>
    <x v="31"/>
    <s v="601398"/>
    <s v="工商银行"/>
    <n v="2700"/>
    <n v="2700"/>
    <n v="3.0289999999999999"/>
    <n v="4998.67"/>
    <n v="61.11"/>
    <n v="13176"/>
    <n v="4.88"/>
  </r>
  <r>
    <x v="31"/>
    <s v="601998"/>
    <s v="中信银行"/>
    <n v="4800"/>
    <n v="4800"/>
    <n v="6.29"/>
    <n v="-1294.49"/>
    <n v="-4.29"/>
    <n v="28896"/>
    <n v="6.02"/>
  </r>
  <r>
    <x v="31"/>
    <s v="000402"/>
    <s v="金 融 街"/>
    <n v="200"/>
    <n v="200"/>
    <n v="-17.564"/>
    <n v="5864.8"/>
    <n v="0"/>
    <n v="2352"/>
    <n v="11.76"/>
  </r>
  <r>
    <x v="31"/>
    <s v="000415"/>
    <s v="渤海金控"/>
    <n v="100"/>
    <n v="100"/>
    <n v="-17.683"/>
    <n v="2465.3000000000002"/>
    <n v="0"/>
    <n v="697"/>
    <n v="6.97"/>
  </r>
  <r>
    <x v="31"/>
    <s v="000528"/>
    <s v="柳    工"/>
    <n v="14150"/>
    <n v="14150"/>
    <n v="9.2949999999999999"/>
    <n v="-13506.7"/>
    <n v="-10.27"/>
    <n v="118011"/>
    <n v="8.34"/>
  </r>
  <r>
    <x v="31"/>
    <s v="002006"/>
    <s v="精功科技"/>
    <n v="2600"/>
    <n v="2600"/>
    <n v="8.6110000000000007"/>
    <n v="-833.66"/>
    <n v="-3.73"/>
    <n v="21554"/>
    <n v="8.2899999999999991"/>
  </r>
  <r>
    <x v="31"/>
    <s v="002140"/>
    <s v="东华科技"/>
    <n v="6400"/>
    <n v="6400"/>
    <n v="13.492000000000001"/>
    <n v="1331.31"/>
    <n v="1.54"/>
    <n v="87680"/>
    <n v="13.7"/>
  </r>
  <r>
    <x v="31"/>
    <s v="reserve"/>
    <s v="备用金"/>
    <m/>
    <m/>
    <m/>
    <m/>
    <m/>
    <n v="28111.26"/>
    <m/>
  </r>
  <r>
    <x v="32"/>
    <s v="519888"/>
    <s v="添富快线"/>
    <n v="11308"/>
    <n v="11308"/>
    <n v="-8.3000000000000004E-2"/>
    <n v="1051.644"/>
    <n v="0"/>
    <n v="113.08"/>
    <n v="0.01"/>
  </r>
  <r>
    <x v="32"/>
    <s v="601398"/>
    <s v="工商银行"/>
    <n v="2700"/>
    <n v="2700"/>
    <n v="3.0289999999999999"/>
    <n v="4836.67"/>
    <n v="59.13"/>
    <n v="13014"/>
    <n v="4.82"/>
  </r>
  <r>
    <x v="32"/>
    <s v="601998"/>
    <s v="中信银行"/>
    <n v="4800"/>
    <n v="4800"/>
    <n v="6.29"/>
    <n v="-1534.49"/>
    <n v="-5.09"/>
    <n v="28656"/>
    <n v="5.97"/>
  </r>
  <r>
    <x v="32"/>
    <s v="000402"/>
    <s v="金 融 街"/>
    <n v="700"/>
    <n v="200"/>
    <n v="3.0750000000000002"/>
    <n v="5771.76"/>
    <n v="268.13"/>
    <n v="7924"/>
    <n v="11.32"/>
  </r>
  <r>
    <x v="32"/>
    <s v="000415"/>
    <s v="渤海金控"/>
    <n v="100"/>
    <n v="100"/>
    <n v="-17.683"/>
    <n v="2469.3000000000002"/>
    <n v="0"/>
    <n v="701"/>
    <n v="7.01"/>
  </r>
  <r>
    <x v="32"/>
    <s v="000528"/>
    <s v="柳    工"/>
    <n v="13650"/>
    <n v="13650"/>
    <n v="9.3239999999999998"/>
    <n v="-12480.45"/>
    <n v="-9.8000000000000007"/>
    <n v="114796.5"/>
    <n v="8.41"/>
  </r>
  <r>
    <x v="32"/>
    <s v="002006"/>
    <s v="精功科技"/>
    <n v="2100"/>
    <n v="2100"/>
    <n v="8.6750000000000007"/>
    <n v="-912.84"/>
    <n v="-5.01"/>
    <n v="17304"/>
    <n v="8.24"/>
  </r>
  <r>
    <x v="32"/>
    <s v="002140"/>
    <s v="东华科技"/>
    <n v="6400"/>
    <n v="6000"/>
    <n v="13.492000000000001"/>
    <n v="1267.31"/>
    <n v="1.47"/>
    <n v="87616"/>
    <n v="13.69"/>
  </r>
  <r>
    <x v="32"/>
    <s v="reserve"/>
    <s v="备用金"/>
    <m/>
    <m/>
    <m/>
    <m/>
    <m/>
    <n v="30857.83"/>
    <m/>
  </r>
  <r>
    <x v="33"/>
    <s v="519888"/>
    <s v="添富快线"/>
    <n v="11314"/>
    <n v="11314"/>
    <n v="-8.3000000000000004E-2"/>
    <n v="1052.202"/>
    <n v="0"/>
    <n v="113.14"/>
    <n v="0.01"/>
  </r>
  <r>
    <x v="33"/>
    <s v="601398"/>
    <s v="工商银行"/>
    <n v="2700"/>
    <n v="2700"/>
    <n v="3.0289999999999999"/>
    <n v="4944.67"/>
    <n v="60.45"/>
    <n v="13122"/>
    <n v="4.8600000000000003"/>
  </r>
  <r>
    <x v="33"/>
    <s v="601998"/>
    <s v="中信银行"/>
    <n v="4800"/>
    <n v="4800"/>
    <n v="6.29"/>
    <n v="-2158.4899999999998"/>
    <n v="-7.15"/>
    <n v="28032"/>
    <n v="5.84"/>
  </r>
  <r>
    <x v="33"/>
    <s v="000402"/>
    <s v="金 融 街"/>
    <n v="1200"/>
    <n v="700"/>
    <n v="6.4189999999999996"/>
    <n v="5605.76"/>
    <n v="72.77"/>
    <n v="13308"/>
    <n v="11.09"/>
  </r>
  <r>
    <x v="33"/>
    <s v="000415"/>
    <s v="渤海金控"/>
    <n v="100"/>
    <n v="100"/>
    <n v="-17.683"/>
    <n v="2443.3000000000002"/>
    <n v="0"/>
    <n v="675"/>
    <n v="6.75"/>
  </r>
  <r>
    <x v="33"/>
    <s v="000528"/>
    <s v="柳    工"/>
    <n v="14150"/>
    <n v="13650"/>
    <n v="9.2880000000000003"/>
    <n v="-14259.95"/>
    <n v="-10.85"/>
    <n v="117162"/>
    <n v="8.2799999999999994"/>
  </r>
  <r>
    <x v="33"/>
    <s v="002006"/>
    <s v="精功科技"/>
    <n v="2100"/>
    <n v="2100"/>
    <n v="8.6750000000000007"/>
    <n v="-1332.84"/>
    <n v="-7.32"/>
    <n v="16884"/>
    <n v="8.0399999999999991"/>
  </r>
  <r>
    <x v="33"/>
    <s v="002140"/>
    <s v="东华科技"/>
    <n v="6400"/>
    <n v="6400"/>
    <n v="13.492000000000001"/>
    <n v="-1740.69"/>
    <n v="-2.02"/>
    <n v="84608"/>
    <n v="13.22"/>
  </r>
  <r>
    <x v="33"/>
    <s v="reserve"/>
    <s v="备用金"/>
    <m/>
    <m/>
    <m/>
    <m/>
    <m/>
    <n v="21162.83"/>
    <m/>
  </r>
  <r>
    <x v="34"/>
    <s v="519888"/>
    <s v="添富快线"/>
    <n v="11319"/>
    <n v="11319"/>
    <n v="-8.3000000000000004E-2"/>
    <n v="1052.6669999999999"/>
    <n v="0"/>
    <n v="113.19"/>
    <n v="0.01"/>
  </r>
  <r>
    <x v="34"/>
    <s v="601398"/>
    <s v="工商银行"/>
    <n v="2200"/>
    <n v="2200"/>
    <n v="2.609"/>
    <n v="4974.17"/>
    <n v="86.66"/>
    <n v="10714"/>
    <n v="4.87"/>
  </r>
  <r>
    <x v="34"/>
    <s v="601998"/>
    <s v="中信银行"/>
    <n v="4800"/>
    <n v="4800"/>
    <n v="6.29"/>
    <n v="-1918.49"/>
    <n v="-6.36"/>
    <n v="28272"/>
    <n v="5.89"/>
  </r>
  <r>
    <x v="34"/>
    <s v="000402"/>
    <s v="金 融 街"/>
    <n v="2200"/>
    <n v="2200"/>
    <n v="8.4009999999999998"/>
    <n v="5167.76"/>
    <n v="27.96"/>
    <n v="23650"/>
    <n v="10.75"/>
  </r>
  <r>
    <x v="34"/>
    <s v="000415"/>
    <s v="渤海金控"/>
    <n v="100"/>
    <n v="100"/>
    <n v="-17.683"/>
    <n v="2428.3000000000002"/>
    <n v="0"/>
    <n v="660"/>
    <n v="6.6"/>
  </r>
  <r>
    <x v="34"/>
    <s v="000528"/>
    <s v="柳    工"/>
    <n v="14150"/>
    <n v="14150"/>
    <n v="9.2880000000000003"/>
    <n v="-14259.95"/>
    <n v="-10.85"/>
    <n v="117162"/>
    <n v="8.2799999999999994"/>
  </r>
  <r>
    <x v="34"/>
    <s v="002006"/>
    <s v="精功科技"/>
    <n v="2100"/>
    <n v="2100"/>
    <n v="8.6750000000000007"/>
    <n v="-1563.84"/>
    <n v="-8.59"/>
    <n v="16653"/>
    <n v="7.93"/>
  </r>
  <r>
    <x v="34"/>
    <s v="002140"/>
    <s v="东华科技"/>
    <n v="6400"/>
    <n v="6400"/>
    <n v="13.492000000000001"/>
    <n v="-1676.69"/>
    <n v="-1.94"/>
    <n v="84672"/>
    <n v="13.23"/>
  </r>
  <r>
    <x v="34"/>
    <s v="reserve"/>
    <s v="备用金"/>
    <m/>
    <m/>
    <m/>
    <m/>
    <m/>
    <n v="12820.33"/>
    <m/>
  </r>
  <r>
    <x v="35"/>
    <s v="519888"/>
    <s v="添富快线"/>
    <n v="11321"/>
    <n v="11321"/>
    <n v="-8.3000000000000004E-2"/>
    <n v="1052.8530000000001"/>
    <n v="0"/>
    <n v="113.21"/>
    <n v="0.01"/>
  </r>
  <r>
    <x v="35"/>
    <s v="601398"/>
    <s v="工商银行"/>
    <n v="900"/>
    <n v="900"/>
    <n v="-0.76200000000000001"/>
    <n v="5239.8"/>
    <n v="0"/>
    <n v="4554"/>
    <n v="5.0599999999999996"/>
  </r>
  <r>
    <x v="35"/>
    <s v="601998"/>
    <s v="中信银行"/>
    <n v="3800"/>
    <n v="3800"/>
    <n v="6.3470000000000004"/>
    <n v="-784.71"/>
    <n v="-3.26"/>
    <n v="23332"/>
    <n v="6.14"/>
  </r>
  <r>
    <x v="35"/>
    <s v="000402"/>
    <s v="金 融 街"/>
    <n v="1500"/>
    <n v="1500"/>
    <n v="7.2080000000000002"/>
    <n v="5507.94"/>
    <n v="50.94"/>
    <n v="16320"/>
    <n v="10.88"/>
  </r>
  <r>
    <x v="35"/>
    <s v="000415"/>
    <s v="渤海金控"/>
    <n v="100"/>
    <n v="100"/>
    <n v="-17.683"/>
    <n v="2404.3000000000002"/>
    <n v="0"/>
    <n v="636"/>
    <n v="6.36"/>
  </r>
  <r>
    <x v="35"/>
    <s v="000528"/>
    <s v="柳    工"/>
    <n v="14150"/>
    <n v="14150"/>
    <n v="9.2810000000000006"/>
    <n v="-17276.009999999998"/>
    <n v="-13.15"/>
    <n v="114049"/>
    <n v="8.06"/>
  </r>
  <r>
    <x v="35"/>
    <s v="002006"/>
    <s v="精功科技"/>
    <n v="3100"/>
    <n v="2600"/>
    <n v="8.3260000000000005"/>
    <n v="-2313.84"/>
    <n v="-8.9600000000000009"/>
    <n v="23498"/>
    <n v="7.58"/>
  </r>
  <r>
    <x v="35"/>
    <s v="002140"/>
    <s v="东华科技"/>
    <n v="8000"/>
    <n v="8000"/>
    <n v="13.262"/>
    <n v="-12178.53"/>
    <n v="-11.48"/>
    <n v="93920"/>
    <n v="11.74"/>
  </r>
  <r>
    <x v="35"/>
    <s v="reserve"/>
    <s v="备用金"/>
    <m/>
    <m/>
    <m/>
    <m/>
    <m/>
    <n v="45741.81"/>
    <m/>
  </r>
  <r>
    <x v="36"/>
    <s v="519888"/>
    <s v="添富快线"/>
    <n v="11325"/>
    <n v="11325"/>
    <n v="-8.3000000000000004E-2"/>
    <n v="1053.2249999999999"/>
    <n v="0"/>
    <n v="113.25"/>
    <n v="0.01"/>
  </r>
  <r>
    <x v="36"/>
    <s v="601398"/>
    <s v="工商银行"/>
    <n v="100"/>
    <n v="100"/>
    <n v="-47.564"/>
    <n v="5266.4"/>
    <n v="0"/>
    <n v="510"/>
    <n v="5.0999999999999996"/>
  </r>
  <r>
    <x v="36"/>
    <s v="601998"/>
    <s v="中信银行"/>
    <n v="3800"/>
    <n v="3800"/>
    <n v="6.3470000000000004"/>
    <n v="-1050.71"/>
    <n v="-4.3600000000000003"/>
    <n v="23066"/>
    <n v="6.07"/>
  </r>
  <r>
    <x v="36"/>
    <s v="000402"/>
    <s v="金 融 街"/>
    <n v="700"/>
    <n v="700"/>
    <n v="2.1819999999999999"/>
    <n v="6627.79"/>
    <n v="433.91"/>
    <n v="8155"/>
    <n v="11.65"/>
  </r>
  <r>
    <x v="36"/>
    <s v="000415"/>
    <s v="渤海金控"/>
    <n v="100"/>
    <n v="100"/>
    <n v="-17.683"/>
    <n v="2404.3000000000002"/>
    <n v="0"/>
    <n v="636"/>
    <n v="6.36"/>
  </r>
  <r>
    <x v="36"/>
    <s v="000528"/>
    <s v="柳    工"/>
    <n v="14650"/>
    <n v="14650"/>
    <n v="9.2370000000000001"/>
    <n v="-19150.509999999998"/>
    <n v="-14.15"/>
    <n v="116174.5"/>
    <n v="7.93"/>
  </r>
  <r>
    <x v="36"/>
    <s v="002006"/>
    <s v="精功科技"/>
    <n v="3100"/>
    <n v="3100"/>
    <n v="8.3260000000000005"/>
    <n v="-2220.84"/>
    <n v="-8.6"/>
    <n v="23591"/>
    <n v="7.61"/>
  </r>
  <r>
    <x v="36"/>
    <s v="002140"/>
    <s v="东华科技"/>
    <n v="8000"/>
    <n v="8000"/>
    <n v="13.262"/>
    <n v="-12178.53"/>
    <n v="-11.48"/>
    <n v="93920"/>
    <n v="11.74"/>
  </r>
  <r>
    <x v="36"/>
    <s v="reserve"/>
    <s v="备用金"/>
    <m/>
    <m/>
    <m/>
    <m/>
    <m/>
    <n v="14997.5"/>
    <m/>
  </r>
  <r>
    <x v="37"/>
    <s v="519888"/>
    <s v="添富快线"/>
    <n v="11325"/>
    <n v="11325"/>
    <n v="-8.3000000000000004E-2"/>
    <n v="1053.2249999999999"/>
    <n v="0"/>
    <n v="113.25"/>
    <n v="0.01"/>
  </r>
  <r>
    <x v="37"/>
    <s v="601398"/>
    <s v="工商银行"/>
    <n v="600"/>
    <n v="100"/>
    <n v="-3.7519999999999998"/>
    <n v="5251.2"/>
    <n v="0"/>
    <n v="3000"/>
    <n v="5"/>
  </r>
  <r>
    <x v="37"/>
    <s v="601998"/>
    <s v="中信银行"/>
    <n v="3800"/>
    <n v="3800"/>
    <n v="6.3470000000000004"/>
    <n v="-1088.71"/>
    <n v="-4.5199999999999996"/>
    <n v="23028"/>
    <n v="6.06"/>
  </r>
  <r>
    <x v="37"/>
    <s v="000402"/>
    <s v="金 融 街"/>
    <n v="500"/>
    <n v="0"/>
    <n v="-1.847"/>
    <n v="6803.5"/>
    <n v="0"/>
    <n v="5880"/>
    <n v="11.76"/>
  </r>
  <r>
    <x v="37"/>
    <s v="000415"/>
    <s v="渤海金控"/>
    <n v="100"/>
    <n v="100"/>
    <n v="-17.683"/>
    <n v="2419.3000000000002"/>
    <n v="0"/>
    <n v="651"/>
    <n v="6.51"/>
  </r>
  <r>
    <x v="37"/>
    <s v="000528"/>
    <s v="柳    工"/>
    <n v="14650"/>
    <n v="13650"/>
    <n v="9.2270000000000003"/>
    <n v="-18563.88"/>
    <n v="-13.73"/>
    <n v="116614"/>
    <n v="7.96"/>
  </r>
  <r>
    <x v="37"/>
    <s v="002006"/>
    <s v="精功科技"/>
    <n v="2600"/>
    <n v="2600"/>
    <n v="8.4369999999999994"/>
    <n v="-1655.73"/>
    <n v="-7.55"/>
    <n v="20280"/>
    <n v="7.8"/>
  </r>
  <r>
    <x v="37"/>
    <s v="002140"/>
    <s v="东华科技"/>
    <n v="7600"/>
    <n v="7600"/>
    <n v="13.331"/>
    <n v="-9660.32"/>
    <n v="-9.5299999999999994"/>
    <n v="91656"/>
    <n v="12.06"/>
  </r>
  <r>
    <x v="37"/>
    <s v="SZRQ88"/>
    <s v="国标准券"/>
    <n v="110000"/>
    <n v="0"/>
    <n v="1"/>
    <n v="-1.1000000000000001"/>
    <n v="0"/>
    <n v="110000"/>
    <n v="1"/>
  </r>
  <r>
    <x v="37"/>
    <s v="reserve"/>
    <s v="备用金"/>
    <m/>
    <m/>
    <m/>
    <m/>
    <m/>
    <n v="13747.61"/>
    <m/>
  </r>
  <r>
    <x v="38"/>
    <n v="519888"/>
    <s v="添富快线"/>
    <n v="1978326"/>
    <n v="11326"/>
    <n v="8.9999999999999993E-3"/>
    <n v="1049.77"/>
    <n v="11.11"/>
    <n v="19783.259999999998"/>
    <n v="0.01"/>
  </r>
  <r>
    <x v="38"/>
    <n v="601398"/>
    <s v="工商银行"/>
    <n v="1100"/>
    <n v="600"/>
    <n v="0.20799999999999999"/>
    <n v="5227.33"/>
    <n v="2284.62"/>
    <n v="5456"/>
    <n v="4.96"/>
  </r>
  <r>
    <x v="38"/>
    <n v="601998"/>
    <s v="中信银行"/>
    <n v="3800"/>
    <n v="3800"/>
    <n v="6.3470000000000004"/>
    <n v="-1278.71"/>
    <n v="-5.31"/>
    <n v="22838"/>
    <n v="6.01"/>
  </r>
  <r>
    <x v="38"/>
    <s v="000402"/>
    <s v="金 融 街"/>
    <n v="900"/>
    <n v="500"/>
    <n v="4.1079999999999997"/>
    <n v="6679.6"/>
    <n v="180.67"/>
    <n v="10377"/>
    <n v="11.53"/>
  </r>
  <r>
    <x v="38"/>
    <s v="000415"/>
    <s v="渤海金控"/>
    <n v="100"/>
    <n v="100"/>
    <n v="-17.683"/>
    <n v="2428.3000000000002"/>
    <n v="0"/>
    <n v="660"/>
    <n v="6.6"/>
  </r>
  <r>
    <x v="38"/>
    <s v="000528"/>
    <s v="柳    工"/>
    <n v="14150"/>
    <n v="14150"/>
    <n v="9.2690000000000001"/>
    <n v="-16819.900000000001"/>
    <n v="-12.83"/>
    <n v="114332"/>
    <n v="8.08"/>
  </r>
  <r>
    <x v="38"/>
    <s v="002006"/>
    <s v="精功科技"/>
    <n v="2100"/>
    <n v="2100"/>
    <n v="8.4760000000000009"/>
    <n v="-684.88"/>
    <n v="-3.85"/>
    <n v="17115"/>
    <n v="8.15"/>
  </r>
  <r>
    <x v="38"/>
    <s v="002140"/>
    <s v="东华科技"/>
    <n v="7200"/>
    <n v="7200"/>
    <n v="13.398"/>
    <n v="-9414.18"/>
    <n v="-9.76"/>
    <n v="87048"/>
    <n v="12.09"/>
  </r>
  <r>
    <x v="38"/>
    <s v="SZRQ88"/>
    <s v="国标准券"/>
    <n v="220000"/>
    <n v="110000"/>
    <n v="1"/>
    <n v="-3.5"/>
    <n v="0"/>
    <n v="110000"/>
    <n v="1"/>
  </r>
  <r>
    <x v="38"/>
    <s v="reserve"/>
    <s v="备用金"/>
    <m/>
    <m/>
    <m/>
    <m/>
    <m/>
    <n v="1.6"/>
    <m/>
  </r>
  <r>
    <x v="39"/>
    <s v="519888"/>
    <s v="添富快线"/>
    <n v="2978627"/>
    <n v="1978327"/>
    <n v="0.01"/>
    <n v="1049.78"/>
    <n v="0"/>
    <n v="29786.27"/>
    <n v="0.01"/>
  </r>
  <r>
    <x v="39"/>
    <s v="601398"/>
    <s v="工商银行"/>
    <n v="1100"/>
    <n v="1100"/>
    <n v="0.20799999999999999"/>
    <n v="5271.33"/>
    <n v="2303.85"/>
    <n v="5500"/>
    <n v="5"/>
  </r>
  <r>
    <x v="39"/>
    <s v="601998"/>
    <s v="中信银行"/>
    <n v="4300"/>
    <n v="3800"/>
    <n v="6.2990000000000004"/>
    <n v="-1587.77"/>
    <n v="-5.86"/>
    <n v="25499"/>
    <n v="5.93"/>
  </r>
  <r>
    <x v="39"/>
    <s v="000402"/>
    <s v="金 融 街"/>
    <n v="900"/>
    <n v="900"/>
    <n v="4.1079999999999997"/>
    <n v="6724.6"/>
    <n v="181.89"/>
    <n v="10422"/>
    <n v="11.58"/>
  </r>
  <r>
    <x v="39"/>
    <s v="000415"/>
    <s v="渤海金控"/>
    <n v="100"/>
    <n v="100"/>
    <n v="-17.683"/>
    <n v="2419.3000000000002"/>
    <n v="0"/>
    <n v="651"/>
    <n v="6.51"/>
  </r>
  <r>
    <x v="39"/>
    <s v="000528"/>
    <s v="柳    工"/>
    <n v="14150"/>
    <n v="14150"/>
    <n v="9.2690000000000001"/>
    <n v="-17244.419999999998"/>
    <n v="-13.15"/>
    <n v="113907.5"/>
    <n v="8.0500000000000007"/>
  </r>
  <r>
    <x v="39"/>
    <s v="002006"/>
    <s v="精功科技"/>
    <n v="2100"/>
    <n v="2100"/>
    <n v="8.4760000000000009"/>
    <n v="-978.88"/>
    <n v="-5.5"/>
    <n v="16821"/>
    <n v="8.01"/>
  </r>
  <r>
    <x v="39"/>
    <s v="002140"/>
    <s v="东华科技"/>
    <n v="7200"/>
    <n v="7200"/>
    <n v="13.398"/>
    <n v="-9702.18"/>
    <n v="-10.06"/>
    <n v="86760"/>
    <n v="12.05"/>
  </r>
  <r>
    <x v="39"/>
    <s v="SZRQ88"/>
    <s v="国标准券"/>
    <n v="110000"/>
    <n v="110000"/>
    <n v="1"/>
    <n v="7.99"/>
    <n v="0"/>
    <n v="90000"/>
    <n v="1"/>
  </r>
  <r>
    <x v="39"/>
    <s v="reserve"/>
    <s v="备用金"/>
    <m/>
    <m/>
    <m/>
    <m/>
    <m/>
    <n v="7030.73"/>
    <m/>
  </r>
  <r>
    <x v="40"/>
    <s v="519888"/>
    <s v="添富快线"/>
    <n v="9999763"/>
    <n v="7979763"/>
    <n v="0.01"/>
    <n v="1061.1400000000001"/>
    <n v="0"/>
    <n v="99997.63"/>
    <n v="0.01"/>
  </r>
  <r>
    <x v="40"/>
    <s v="601398"/>
    <s v="工商银行"/>
    <n v="700"/>
    <n v="700"/>
    <n v="-2.56"/>
    <n v="5362"/>
    <n v="0"/>
    <n v="3570"/>
    <n v="5.0999999999999996"/>
  </r>
  <r>
    <x v="40"/>
    <s v="601998"/>
    <s v="中信银行"/>
    <n v="4300"/>
    <n v="4300"/>
    <n v="6.2990000000000004"/>
    <n v="-1243.77"/>
    <n v="-4.59"/>
    <n v="25843"/>
    <n v="6.01"/>
  </r>
  <r>
    <x v="40"/>
    <s v="000402"/>
    <s v="金 融 街"/>
    <n v="600"/>
    <n v="600"/>
    <n v="0.248"/>
    <n v="6691.43"/>
    <n v="4496.78"/>
    <n v="6840"/>
    <n v="11.4"/>
  </r>
  <r>
    <x v="40"/>
    <s v="000415"/>
    <s v="渤海金控"/>
    <n v="600"/>
    <n v="100"/>
    <n v="2.3780000000000001"/>
    <n v="2305.29"/>
    <n v="161.57"/>
    <n v="3732"/>
    <n v="6.22"/>
  </r>
  <r>
    <x v="40"/>
    <s v="000528"/>
    <s v="柳    工"/>
    <n v="15150"/>
    <n v="14650"/>
    <n v="9.1709999999999994"/>
    <n v="-23953.42"/>
    <n v="-17.239999999999998"/>
    <n v="114988.5"/>
    <n v="7.59"/>
  </r>
  <r>
    <x v="40"/>
    <s v="002006"/>
    <s v="精功科技"/>
    <n v="2100"/>
    <n v="2100"/>
    <n v="8.4760000000000009"/>
    <n v="-1146.8800000000001"/>
    <n v="-6.44"/>
    <n v="16653"/>
    <n v="7.93"/>
  </r>
  <r>
    <x v="40"/>
    <s v="002140"/>
    <s v="东华科技"/>
    <n v="6000"/>
    <n v="6000"/>
    <n v="13.516999999999999"/>
    <n v="-5504.57"/>
    <n v="-6.78"/>
    <n v="75600"/>
    <n v="12.6"/>
  </r>
  <r>
    <x v="40"/>
    <s v="SZRQ88"/>
    <s v="国标准券"/>
    <n v="20000"/>
    <n v="20000"/>
    <n v="0.998"/>
    <n v="38.950000000000003"/>
    <n v="0"/>
    <n v="20000"/>
    <n v="1"/>
  </r>
  <r>
    <x v="40"/>
    <s v="reserve"/>
    <s v="备用金"/>
    <m/>
    <m/>
    <m/>
    <m/>
    <m/>
    <n v="16801.87"/>
    <m/>
  </r>
  <r>
    <x v="41"/>
    <s v="519888"/>
    <s v="添富快线"/>
    <n v="12001260"/>
    <n v="10001260"/>
    <n v="0.01"/>
    <n v="1076.1099999999999"/>
    <n v="0"/>
    <n v="120012.6"/>
    <n v="0.01"/>
  </r>
  <r>
    <x v="41"/>
    <s v="601398"/>
    <s v="工商银行"/>
    <n v="200"/>
    <n v="200"/>
    <n v="-21.873000000000001"/>
    <n v="5414.6"/>
    <n v="0"/>
    <n v="1040"/>
    <n v="5.2"/>
  </r>
  <r>
    <x v="41"/>
    <s v="601998"/>
    <s v="中信银行"/>
    <n v="3800"/>
    <n v="3300"/>
    <n v="6.3170000000000002"/>
    <n v="-520.91999999999996"/>
    <n v="-2.0099999999999998"/>
    <n v="23484"/>
    <n v="6.18"/>
  </r>
  <r>
    <x v="41"/>
    <s v="000402"/>
    <s v="金 融 街"/>
    <n v="200"/>
    <n v="200"/>
    <n v="-22.369"/>
    <n v="6851.8"/>
    <n v="0"/>
    <n v="2378"/>
    <n v="11.89"/>
  </r>
  <r>
    <x v="41"/>
    <s v="000415"/>
    <s v="渤海金控"/>
    <n v="600"/>
    <n v="600"/>
    <n v="2.3780000000000001"/>
    <n v="2449.29"/>
    <n v="171.66"/>
    <n v="3876"/>
    <n v="6.46"/>
  </r>
  <r>
    <x v="41"/>
    <s v="000528"/>
    <s v="柳    工"/>
    <n v="14650"/>
    <n v="14650"/>
    <n v="9.2110000000000003"/>
    <n v="-19639.22"/>
    <n v="-14.56"/>
    <n v="115295.5"/>
    <n v="7.87"/>
  </r>
  <r>
    <x v="41"/>
    <s v="002006"/>
    <s v="精功科技"/>
    <n v="2100"/>
    <n v="2100"/>
    <n v="8.4760000000000009"/>
    <n v="-1146.8800000000001"/>
    <n v="-6.44"/>
    <n v="16653"/>
    <n v="7.93"/>
  </r>
  <r>
    <x v="41"/>
    <s v="002140"/>
    <s v="东华科技"/>
    <n v="6200"/>
    <n v="6200"/>
    <n v="13.398999999999999"/>
    <n v="-6378.31"/>
    <n v="-7.68"/>
    <n v="76694"/>
    <n v="12.37"/>
  </r>
  <r>
    <x v="41"/>
    <s v="SZRQ88"/>
    <s v="国标准券"/>
    <n v="20000"/>
    <n v="20000"/>
    <n v="0.998"/>
    <n v="38.950000000000003"/>
    <n v="0"/>
    <n v="20000"/>
    <n v="1"/>
  </r>
  <r>
    <x v="41"/>
    <s v="reserve"/>
    <s v="备用金"/>
    <m/>
    <m/>
    <m/>
    <m/>
    <m/>
    <n v="9127.91"/>
    <m/>
  </r>
  <r>
    <x v="42"/>
    <s v="519888"/>
    <s v="添富快线"/>
    <n v="12002135"/>
    <n v="12002135"/>
    <n v="0.01"/>
    <n v="1084.8599999999999"/>
    <n v="0"/>
    <n v="120021.35"/>
    <n v="0.01"/>
  </r>
  <r>
    <x v="42"/>
    <s v="601398"/>
    <s v="工商银行"/>
    <n v="200"/>
    <n v="200"/>
    <n v="-21.873000000000001"/>
    <n v="5420.6"/>
    <n v="0"/>
    <n v="1046"/>
    <n v="5.23"/>
  </r>
  <r>
    <x v="42"/>
    <s v="601998"/>
    <s v="中信银行"/>
    <n v="3800"/>
    <n v="3800"/>
    <n v="6.3170000000000002"/>
    <n v="-520.91999999999996"/>
    <n v="-2.17"/>
    <n v="23484"/>
    <n v="6.18"/>
  </r>
  <r>
    <x v="42"/>
    <s v="000402"/>
    <s v="金 融 街"/>
    <n v="700"/>
    <n v="200"/>
    <n v="1.9950000000000001"/>
    <n v="6821.8"/>
    <n v="488.47"/>
    <n v="8218"/>
    <n v="11.74"/>
  </r>
  <r>
    <x v="42"/>
    <s v="000415"/>
    <s v="渤海金控"/>
    <n v="200"/>
    <n v="200"/>
    <n v="-5.8280000000000003"/>
    <n v="2465.6"/>
    <n v="0"/>
    <n v="1300"/>
    <n v="6.5"/>
  </r>
  <r>
    <x v="42"/>
    <s v="000528"/>
    <s v="柳    工"/>
    <n v="14650"/>
    <n v="14650"/>
    <n v="9.2110000000000003"/>
    <n v="-20371.72"/>
    <n v="-15.1"/>
    <n v="114563"/>
    <n v="7.82"/>
  </r>
  <r>
    <x v="42"/>
    <s v="002006"/>
    <s v="精功科技"/>
    <n v="2100"/>
    <n v="2100"/>
    <n v="8.4760000000000009"/>
    <n v="-1146.8800000000001"/>
    <n v="-6.44"/>
    <n v="16653"/>
    <n v="7.93"/>
  </r>
  <r>
    <x v="42"/>
    <s v="002140"/>
    <s v="东华科技"/>
    <n v="5800"/>
    <n v="5800"/>
    <n v="13.385999999999999"/>
    <n v="1299.25"/>
    <n v="1.67"/>
    <n v="78938"/>
    <n v="13.61"/>
  </r>
  <r>
    <x v="42"/>
    <s v="reserve"/>
    <s v="备用金"/>
    <m/>
    <m/>
    <m/>
    <m/>
    <m/>
    <n v="31299.85"/>
    <m/>
  </r>
  <r>
    <x v="43"/>
    <s v="519888"/>
    <s v="添富快线"/>
    <n v="16837126"/>
    <n v="12003126"/>
    <n v="0.01"/>
    <n v="1094.77"/>
    <n v="0"/>
    <n v="168371.26"/>
    <n v="0.01"/>
  </r>
  <r>
    <x v="43"/>
    <s v="601398"/>
    <s v="工商银行"/>
    <n v="200"/>
    <n v="200"/>
    <n v="-21.873000000000001"/>
    <n v="5424.6"/>
    <n v="0"/>
    <n v="1050"/>
    <n v="5.25"/>
  </r>
  <r>
    <x v="43"/>
    <s v="601998"/>
    <s v="中信银行"/>
    <n v="3800"/>
    <n v="3800"/>
    <n v="6.3170000000000002"/>
    <n v="-482.92"/>
    <n v="-2.0099999999999998"/>
    <n v="23522"/>
    <n v="6.19"/>
  </r>
  <r>
    <x v="43"/>
    <s v="000402"/>
    <s v="金 融 街"/>
    <n v="700"/>
    <n v="300"/>
    <n v="1.8160000000000001"/>
    <n v="6883.96"/>
    <n v="541.52"/>
    <n v="8155"/>
    <n v="11.65"/>
  </r>
  <r>
    <x v="43"/>
    <s v="000415"/>
    <s v="渤海金控"/>
    <n v="200"/>
    <n v="200"/>
    <n v="-5.8280000000000003"/>
    <n v="2457.6"/>
    <n v="0"/>
    <n v="1292"/>
    <n v="6.46"/>
  </r>
  <r>
    <x v="43"/>
    <s v="000528"/>
    <s v="柳    工"/>
    <n v="14650"/>
    <n v="14650"/>
    <n v="9.2110000000000003"/>
    <n v="-19346.22"/>
    <n v="-14.34"/>
    <n v="115588.5"/>
    <n v="7.89"/>
  </r>
  <r>
    <x v="43"/>
    <s v="002006"/>
    <s v="精功科技"/>
    <n v="2100"/>
    <n v="2100"/>
    <n v="8.4760000000000009"/>
    <n v="-1146.8800000000001"/>
    <n v="-6.44"/>
    <n v="16653"/>
    <n v="7.93"/>
  </r>
  <r>
    <x v="43"/>
    <s v="002140"/>
    <s v="东华科技"/>
    <n v="4600"/>
    <n v="4600"/>
    <n v="13.026999999999999"/>
    <n v="8938.5"/>
    <n v="14.92"/>
    <n v="68862"/>
    <n v="14.97"/>
  </r>
  <r>
    <x v="43"/>
    <s v="reserve"/>
    <s v="备用金"/>
    <m/>
    <m/>
    <m/>
    <m/>
    <m/>
    <n v="800.26"/>
    <m/>
  </r>
  <r>
    <x v="44"/>
    <s v="002140"/>
    <s v="东华科技"/>
    <n v="3400"/>
    <n v="3400"/>
    <n v="12.086"/>
    <n v="14292.63"/>
    <n v="34.79"/>
    <n v="55386"/>
    <n v="16.29"/>
  </r>
  <r>
    <x v="44"/>
    <s v="000402"/>
    <s v="金 融 街"/>
    <n v="800"/>
    <n v="300"/>
    <n v="2.8730000000000002"/>
    <n v="7141.25"/>
    <n v="310.72000000000003"/>
    <n v="9440"/>
    <n v="11.8"/>
  </r>
  <r>
    <x v="44"/>
    <s v="601398"/>
    <s v="工商银行"/>
    <n v="200"/>
    <n v="200"/>
    <n v="-21.873000000000001"/>
    <n v="5434.6"/>
    <n v="0"/>
    <n v="1060"/>
    <n v="5.3"/>
  </r>
  <r>
    <x v="44"/>
    <s v="000415"/>
    <s v="渤海金控"/>
    <n v="1200"/>
    <n v="700"/>
    <n v="4.2910000000000004"/>
    <n v="2446.69"/>
    <n v="47.52"/>
    <n v="7596"/>
    <n v="6.33"/>
  </r>
  <r>
    <x v="44"/>
    <s v="519888"/>
    <s v="添富快线"/>
    <n v="14969645"/>
    <n v="12844745"/>
    <n v="0.01"/>
    <n v="1170.96"/>
    <n v="0"/>
    <n v="149696.45000000001"/>
    <n v="0.01"/>
  </r>
  <r>
    <x v="44"/>
    <s v="600269"/>
    <s v="赣粤高速"/>
    <n v="500"/>
    <n v="500"/>
    <n v="5.05"/>
    <n v="14.95"/>
    <n v="0.6"/>
    <n v="2540"/>
    <n v="5.08"/>
  </r>
  <r>
    <x v="44"/>
    <s v="SZRQ88"/>
    <s v="国标准券"/>
    <n v="20000"/>
    <n v="0"/>
    <n v="1"/>
    <n v="-0.2"/>
    <n v="0"/>
    <n v="20000"/>
    <n v="1"/>
  </r>
  <r>
    <x v="44"/>
    <s v="601998"/>
    <s v="中信银行"/>
    <n v="4300"/>
    <n v="3800"/>
    <n v="6.2930000000000001"/>
    <n v="-786.98"/>
    <n v="-2.91"/>
    <n v="26273"/>
    <n v="6.11"/>
  </r>
  <r>
    <x v="44"/>
    <s v="002006"/>
    <s v="精功科技"/>
    <n v="2100"/>
    <n v="2100"/>
    <n v="8.4760000000000009"/>
    <n v="-1146.8800000000001"/>
    <n v="-6.44"/>
    <n v="16653"/>
    <n v="7.93"/>
  </r>
  <r>
    <x v="44"/>
    <s v="000528"/>
    <s v="柳    工"/>
    <n v="14650"/>
    <n v="14650"/>
    <n v="9.2110000000000003"/>
    <n v="-18906.72"/>
    <n v="-14.01"/>
    <n v="116028"/>
    <n v="7.92"/>
  </r>
  <r>
    <x v="44"/>
    <s v="reserve"/>
    <s v="备用金"/>
    <m/>
    <m/>
    <m/>
    <m/>
    <m/>
    <n v="5458.37"/>
    <m/>
  </r>
  <r>
    <x v="45"/>
    <s v="519888"/>
    <s v="添富快线"/>
    <n v="14970992"/>
    <n v="14970992"/>
    <n v="0.01"/>
    <n v="1184.43"/>
    <n v="0"/>
    <n v="149709.92000000001"/>
    <n v="0.01"/>
  </r>
  <r>
    <x v="45"/>
    <s v="600269"/>
    <s v="赣粤高速"/>
    <n v="500"/>
    <n v="500"/>
    <n v="5.05"/>
    <n v="14.95"/>
    <n v="0.6"/>
    <n v="2540"/>
    <n v="5.08"/>
  </r>
  <r>
    <x v="45"/>
    <s v="601398"/>
    <s v="工商银行"/>
    <n v="700"/>
    <n v="200"/>
    <n v="-2.5920000000000001"/>
    <n v="5412.4"/>
    <n v="0"/>
    <n v="3598"/>
    <n v="5.14"/>
  </r>
  <r>
    <x v="45"/>
    <s v="601998"/>
    <s v="中信银行"/>
    <n v="4300"/>
    <n v="4300"/>
    <n v="6.2930000000000001"/>
    <n v="-1001.98"/>
    <n v="-3.7"/>
    <n v="26058"/>
    <n v="6.06"/>
  </r>
  <r>
    <x v="45"/>
    <s v="000402"/>
    <s v="金 融 街"/>
    <n v="800"/>
    <n v="800"/>
    <n v="2.8730000000000002"/>
    <n v="7133.25"/>
    <n v="310.37"/>
    <n v="9432"/>
    <n v="11.79"/>
  </r>
  <r>
    <x v="45"/>
    <s v="000415"/>
    <s v="渤海金控"/>
    <n v="1200"/>
    <n v="1200"/>
    <n v="4.2910000000000004"/>
    <n v="2530.69"/>
    <n v="49.15"/>
    <n v="7680"/>
    <n v="6.4"/>
  </r>
  <r>
    <x v="45"/>
    <s v="000528"/>
    <s v="柳    工"/>
    <n v="14650"/>
    <n v="14650"/>
    <n v="9.2110000000000003"/>
    <n v="-20078.72"/>
    <n v="-14.88"/>
    <n v="114856"/>
    <n v="7.84"/>
  </r>
  <r>
    <x v="45"/>
    <s v="002006"/>
    <s v="精功科技"/>
    <n v="2100"/>
    <n v="2100"/>
    <n v="8.4760000000000009"/>
    <n v="-1146.8800000000001"/>
    <n v="-6.44"/>
    <n v="16653"/>
    <n v="7.93"/>
  </r>
  <r>
    <x v="45"/>
    <s v="002140"/>
    <s v="东华科技"/>
    <n v="3400"/>
    <n v="3400"/>
    <n v="12.086"/>
    <n v="12728.63"/>
    <n v="30.98"/>
    <n v="53822"/>
    <n v="15.83"/>
  </r>
  <r>
    <x v="45"/>
    <s v="reserve"/>
    <s v="备用金"/>
    <m/>
    <m/>
    <m/>
    <m/>
    <m/>
    <n v="22900.94"/>
    <m/>
  </r>
  <r>
    <x v="46"/>
    <s v="519888"/>
    <s v="添富快线"/>
    <n v="15999274"/>
    <n v="14976274"/>
    <n v="0.01"/>
    <n v="1237.25"/>
    <n v="0"/>
    <n v="159992.74"/>
    <n v="0.01"/>
  </r>
  <r>
    <x v="46"/>
    <s v="600269"/>
    <s v="赣粤高速"/>
    <n v="100"/>
    <n v="100"/>
    <n v="4.9210000000000003"/>
    <n v="21.87"/>
    <n v="4.45"/>
    <n v="514"/>
    <n v="5.14"/>
  </r>
  <r>
    <x v="46"/>
    <s v="601398"/>
    <s v="工商银行"/>
    <n v="700"/>
    <n v="700"/>
    <n v="-2.5920000000000001"/>
    <n v="5426.4"/>
    <n v="0"/>
    <n v="3612"/>
    <n v="5.16"/>
  </r>
  <r>
    <x v="46"/>
    <s v="601998"/>
    <s v="中信银行"/>
    <n v="4300"/>
    <n v="4300"/>
    <n v="6.2930000000000001"/>
    <n v="-786.98"/>
    <n v="-2.91"/>
    <n v="26273"/>
    <n v="6.11"/>
  </r>
  <r>
    <x v="46"/>
    <s v="000402"/>
    <s v="金 融 街"/>
    <n v="400"/>
    <n v="400"/>
    <n v="-6.2290000000000001"/>
    <n v="7303.6"/>
    <n v="0"/>
    <n v="4812"/>
    <n v="12.03"/>
  </r>
  <r>
    <x v="46"/>
    <s v="000415"/>
    <s v="渤海金控"/>
    <n v="400"/>
    <n v="400"/>
    <n v="-3.9E-2"/>
    <n v="2623.6"/>
    <n v="0"/>
    <n v="2608"/>
    <n v="6.52"/>
  </r>
  <r>
    <x v="46"/>
    <s v="000528"/>
    <s v="柳    工"/>
    <n v="14150"/>
    <n v="14150"/>
    <n v="9.2539999999999996"/>
    <n v="-17314.23"/>
    <n v="-13.23"/>
    <n v="113624.5"/>
    <n v="8.0299999999999994"/>
  </r>
  <r>
    <x v="46"/>
    <s v="002006"/>
    <s v="精功科技"/>
    <n v="2100"/>
    <n v="2100"/>
    <n v="8.4760000000000009"/>
    <n v="-1146.8800000000001"/>
    <n v="-6.44"/>
    <n v="16653"/>
    <n v="7.93"/>
  </r>
  <r>
    <x v="46"/>
    <s v="002140"/>
    <s v="东华科技"/>
    <n v="3500"/>
    <n v="3500"/>
    <n v="12.153"/>
    <n v="12099.39"/>
    <n v="28.45"/>
    <n v="54635"/>
    <n v="15.61"/>
  </r>
  <r>
    <x v="46"/>
    <s v="reserve"/>
    <s v="备用金"/>
    <m/>
    <m/>
    <m/>
    <m/>
    <m/>
    <n v="27212.63"/>
    <m/>
  </r>
  <r>
    <x v="47"/>
    <s v="002140"/>
    <s v="东华科技"/>
    <n v="4000"/>
    <n v="3500"/>
    <n v="12.534000000000001"/>
    <n v="10464.39"/>
    <n v="20.87"/>
    <n v="60600"/>
    <n v="15.15"/>
  </r>
  <r>
    <x v="47"/>
    <s v="000402"/>
    <s v="金 融 街"/>
    <n v="400"/>
    <n v="400"/>
    <n v="-6.2290000000000001"/>
    <n v="7263.6"/>
    <n v="0"/>
    <n v="4772"/>
    <n v="11.93"/>
  </r>
  <r>
    <x v="47"/>
    <s v="601398"/>
    <s v="工商银行"/>
    <n v="700"/>
    <n v="700"/>
    <n v="-2.5920000000000001"/>
    <n v="5426.4"/>
    <n v="0"/>
    <n v="3612"/>
    <n v="5.16"/>
  </r>
  <r>
    <x v="47"/>
    <s v="000415"/>
    <s v="渤海金控"/>
    <n v="400"/>
    <n v="400"/>
    <n v="-3.9E-2"/>
    <n v="2615.6"/>
    <n v="0"/>
    <n v="2600"/>
    <n v="6.5"/>
  </r>
  <r>
    <x v="47"/>
    <s v="519888"/>
    <s v="添富快线"/>
    <n v="16000540"/>
    <n v="16000540"/>
    <n v="0.01"/>
    <n v="1249.9100000000001"/>
    <n v="0"/>
    <n v="160005.4"/>
    <n v="0.01"/>
  </r>
  <r>
    <x v="47"/>
    <s v="600269"/>
    <s v="赣粤高速"/>
    <n v="100"/>
    <n v="100"/>
    <n v="4.9210000000000003"/>
    <n v="20.87"/>
    <n v="4.25"/>
    <n v="513"/>
    <n v="5.13"/>
  </r>
  <r>
    <x v="47"/>
    <s v="601998"/>
    <s v="中信银行"/>
    <n v="4300"/>
    <n v="4300"/>
    <n v="6.2930000000000001"/>
    <n v="-786.98"/>
    <n v="-2.91"/>
    <n v="26273"/>
    <n v="6.11"/>
  </r>
  <r>
    <x v="47"/>
    <s v="002006"/>
    <s v="精功科技"/>
    <n v="2100"/>
    <n v="2100"/>
    <n v="8.4760000000000009"/>
    <n v="-1146.8800000000001"/>
    <n v="-6.44"/>
    <n v="16653"/>
    <n v="7.93"/>
  </r>
  <r>
    <x v="47"/>
    <s v="000528"/>
    <s v="柳    工"/>
    <n v="14150"/>
    <n v="14150"/>
    <n v="9.2539999999999996"/>
    <n v="-17455.73"/>
    <n v="-13.33"/>
    <n v="113483"/>
    <n v="8.02"/>
  </r>
  <r>
    <x v="47"/>
    <s v="reserve"/>
    <s v="备用金"/>
    <m/>
    <m/>
    <m/>
    <m/>
    <m/>
    <n v="19612.63"/>
    <m/>
  </r>
  <r>
    <x v="48"/>
    <s v="519888"/>
    <s v="添富快线"/>
    <n v="16003395"/>
    <n v="16003395"/>
    <n v="0.01"/>
    <n v="1278.46"/>
    <n v="0"/>
    <n v="160033.95000000001"/>
    <n v="0.01"/>
  </r>
  <r>
    <x v="48"/>
    <s v="600269"/>
    <s v="赣粤高速"/>
    <n v="100"/>
    <n v="100"/>
    <n v="4.9210000000000003"/>
    <n v="21.87"/>
    <n v="4.45"/>
    <n v="514"/>
    <n v="5.14"/>
  </r>
  <r>
    <x v="48"/>
    <s v="601398"/>
    <s v="工商银行"/>
    <n v="700"/>
    <n v="700"/>
    <n v="-2.5920000000000001"/>
    <n v="5419.4"/>
    <n v="0"/>
    <n v="3605"/>
    <n v="5.15"/>
  </r>
  <r>
    <x v="48"/>
    <s v="601998"/>
    <s v="中信银行"/>
    <n v="4300"/>
    <n v="4300"/>
    <n v="6.2930000000000001"/>
    <n v="-700.98"/>
    <n v="-2.59"/>
    <n v="26359"/>
    <n v="6.13"/>
  </r>
  <r>
    <x v="48"/>
    <s v="000402"/>
    <s v="金 融 街"/>
    <n v="600"/>
    <n v="100"/>
    <n v="-0.17599999999999999"/>
    <n v="7359.6"/>
    <n v="0"/>
    <n v="7254"/>
    <n v="12.09"/>
  </r>
  <r>
    <x v="48"/>
    <s v="000415"/>
    <s v="渤海金控"/>
    <n v="400"/>
    <n v="400"/>
    <n v="-3.9E-2"/>
    <n v="2579.6"/>
    <n v="0"/>
    <n v="2564"/>
    <n v="6.41"/>
  </r>
  <r>
    <x v="48"/>
    <s v="000528"/>
    <s v="柳    工"/>
    <n v="13650"/>
    <n v="13150"/>
    <n v="9.2949999999999999"/>
    <n v="-15898.31"/>
    <n v="-12.53"/>
    <n v="110974.5"/>
    <n v="8.1300000000000008"/>
  </r>
  <r>
    <x v="48"/>
    <s v="002006"/>
    <s v="精功科技"/>
    <n v="2100"/>
    <n v="2100"/>
    <n v="8.4760000000000009"/>
    <n v="-1146.8800000000001"/>
    <n v="-6.44"/>
    <n v="16653"/>
    <n v="7.93"/>
  </r>
  <r>
    <x v="48"/>
    <s v="002140"/>
    <s v="东华科技"/>
    <n v="5000"/>
    <n v="4000"/>
    <n v="12.926"/>
    <n v="6669.39"/>
    <n v="10.32"/>
    <n v="71300"/>
    <n v="14.26"/>
  </r>
  <r>
    <x v="48"/>
    <s v="reserve"/>
    <s v="备用金"/>
    <m/>
    <m/>
    <m/>
    <m/>
    <m/>
    <n v="6797.87"/>
    <m/>
  </r>
  <r>
    <x v="49"/>
    <s v="519888"/>
    <s v="添富快线"/>
    <n v="16007330"/>
    <n v="16007330"/>
    <n v="0.01"/>
    <n v="1317.81"/>
    <n v="0"/>
    <n v="160073.29999999999"/>
    <n v="0.01"/>
  </r>
  <r>
    <x v="49"/>
    <s v="600269"/>
    <s v="赣粤高速"/>
    <n v="100"/>
    <n v="100"/>
    <n v="4.9210000000000003"/>
    <n v="23.87"/>
    <n v="4.8600000000000003"/>
    <n v="516"/>
    <n v="5.16"/>
  </r>
  <r>
    <x v="49"/>
    <s v="601398"/>
    <s v="工商银行"/>
    <n v="700"/>
    <n v="700"/>
    <n v="-2.5920000000000001"/>
    <n v="5419.4"/>
    <n v="0"/>
    <n v="3605"/>
    <n v="5.15"/>
  </r>
  <r>
    <x v="49"/>
    <s v="601998"/>
    <s v="中信银行"/>
    <n v="4300"/>
    <n v="4300"/>
    <n v="6.2930000000000001"/>
    <n v="-743.98"/>
    <n v="-2.75"/>
    <n v="26316"/>
    <n v="6.12"/>
  </r>
  <r>
    <x v="49"/>
    <s v="000402"/>
    <s v="金 融 街"/>
    <n v="1100"/>
    <n v="600"/>
    <n v="5.34"/>
    <n v="7281.77"/>
    <n v="123.97"/>
    <n v="13156"/>
    <n v="11.96"/>
  </r>
  <r>
    <x v="49"/>
    <s v="000415"/>
    <s v="渤海金控"/>
    <n v="400"/>
    <n v="400"/>
    <n v="-3.9E-2"/>
    <n v="2603.6"/>
    <n v="0"/>
    <n v="2588"/>
    <n v="6.47"/>
  </r>
  <r>
    <x v="49"/>
    <s v="000528"/>
    <s v="柳    工"/>
    <n v="13150"/>
    <n v="13150"/>
    <n v="9.3339999999999996"/>
    <n v="-14385.95"/>
    <n v="-11.72"/>
    <n v="108356"/>
    <n v="8.24"/>
  </r>
  <r>
    <x v="49"/>
    <s v="002006"/>
    <s v="精功科技"/>
    <n v="2100"/>
    <n v="2100"/>
    <n v="8.4760000000000009"/>
    <n v="-1146.8800000000001"/>
    <n v="-6.44"/>
    <n v="16653"/>
    <n v="7.93"/>
  </r>
  <r>
    <x v="49"/>
    <s v="002140"/>
    <s v="东华科技"/>
    <n v="5000"/>
    <n v="5000"/>
    <n v="12.926"/>
    <n v="7119.39"/>
    <n v="11.02"/>
    <n v="71750"/>
    <n v="14.35"/>
  </r>
  <r>
    <x v="49"/>
    <s v="reserve"/>
    <s v="备用金"/>
    <m/>
    <m/>
    <m/>
    <m/>
    <m/>
    <n v="4948.7299999999996"/>
    <m/>
  </r>
  <r>
    <x v="50"/>
    <s v="519888"/>
    <s v="添富快线"/>
    <n v="14008833"/>
    <n v="14008833"/>
    <n v="0.01"/>
    <n v="1332.84"/>
    <n v="0"/>
    <n v="140088.32999999999"/>
    <n v="0.01"/>
  </r>
  <r>
    <x v="50"/>
    <s v="600269"/>
    <s v="赣粤高速"/>
    <n v="100"/>
    <n v="100"/>
    <n v="4.9210000000000003"/>
    <n v="21.87"/>
    <n v="4.45"/>
    <n v="514"/>
    <n v="5.14"/>
  </r>
  <r>
    <x v="50"/>
    <s v="601398"/>
    <s v="工商银行"/>
    <n v="700"/>
    <n v="700"/>
    <n v="-2.5920000000000001"/>
    <n v="5419.4"/>
    <n v="0"/>
    <n v="3605"/>
    <n v="5.15"/>
  </r>
  <r>
    <x v="50"/>
    <s v="601998"/>
    <s v="中信银行"/>
    <n v="4300"/>
    <n v="4300"/>
    <n v="6.2930000000000001"/>
    <n v="-829.98"/>
    <n v="-3.07"/>
    <n v="26230"/>
    <n v="6.1"/>
  </r>
  <r>
    <x v="50"/>
    <s v="000402"/>
    <s v="金 融 街"/>
    <n v="2100"/>
    <n v="700"/>
    <n v="8.3420000000000005"/>
    <n v="6756.77"/>
    <n v="38.58"/>
    <n v="24276"/>
    <n v="11.56"/>
  </r>
  <r>
    <x v="50"/>
    <s v="000415"/>
    <s v="渤海金控"/>
    <n v="400"/>
    <n v="400"/>
    <n v="-3.9E-2"/>
    <n v="2595.6"/>
    <n v="0"/>
    <n v="2580"/>
    <n v="6.45"/>
  </r>
  <r>
    <x v="50"/>
    <s v="000528"/>
    <s v="柳    工"/>
    <n v="12150"/>
    <n v="11650"/>
    <n v="9.4169999999999998"/>
    <n v="-13089.3"/>
    <n v="-11.44"/>
    <n v="101331"/>
    <n v="8.34"/>
  </r>
  <r>
    <x v="50"/>
    <s v="002006"/>
    <s v="精功科技"/>
    <n v="2100"/>
    <n v="2100"/>
    <n v="8.4760000000000009"/>
    <n v="-1146.8800000000001"/>
    <n v="-6.44"/>
    <n v="16653"/>
    <n v="7.93"/>
  </r>
  <r>
    <x v="50"/>
    <s v="002140"/>
    <s v="东华科技"/>
    <n v="5500"/>
    <n v="5000"/>
    <n v="13.035"/>
    <n v="7509.39"/>
    <n v="10.47"/>
    <n v="79200"/>
    <n v="14.4"/>
  </r>
  <r>
    <x v="50"/>
    <s v="reserve"/>
    <s v="备用金"/>
    <m/>
    <m/>
    <m/>
    <m/>
    <m/>
    <n v="14565.38"/>
    <m/>
  </r>
  <r>
    <x v="51"/>
    <s v="519888"/>
    <s v="添富快线"/>
    <n v="14012937"/>
    <n v="14012937"/>
    <n v="0.01"/>
    <n v="1373.88"/>
    <n v="0"/>
    <n v="140129.37"/>
    <n v="0.01"/>
  </r>
  <r>
    <x v="51"/>
    <s v="600269"/>
    <s v="赣粤高速"/>
    <n v="100"/>
    <n v="100"/>
    <n v="4.9210000000000003"/>
    <n v="22.87"/>
    <n v="4.6500000000000004"/>
    <n v="515"/>
    <n v="5.15"/>
  </r>
  <r>
    <x v="51"/>
    <s v="601398"/>
    <s v="工商银行"/>
    <n v="1200"/>
    <n v="700"/>
    <n v="0.58799999999999997"/>
    <n v="5294.52"/>
    <n v="750.34"/>
    <n v="6000"/>
    <n v="5"/>
  </r>
  <r>
    <x v="51"/>
    <s v="601998"/>
    <s v="中信银行"/>
    <n v="4300"/>
    <n v="4300"/>
    <n v="6.2930000000000001"/>
    <n v="-614.98"/>
    <n v="-2.27"/>
    <n v="26445"/>
    <n v="6.15"/>
  </r>
  <r>
    <x v="51"/>
    <s v="000402"/>
    <s v="金 融 街"/>
    <n v="2600"/>
    <n v="2100"/>
    <n v="8.5649999999999995"/>
    <n v="7344.77"/>
    <n v="32.979999999999997"/>
    <n v="29614"/>
    <n v="11.39"/>
  </r>
  <r>
    <x v="51"/>
    <s v="000415"/>
    <s v="渤海金控"/>
    <n v="400"/>
    <n v="400"/>
    <n v="-3.9E-2"/>
    <n v="2635.6"/>
    <n v="0"/>
    <n v="2620"/>
    <n v="6.55"/>
  </r>
  <r>
    <x v="51"/>
    <s v="000528"/>
    <s v="柳    工"/>
    <n v="12150"/>
    <n v="12150"/>
    <n v="9.4169999999999998"/>
    <n v="-13332.3"/>
    <n v="-11.65"/>
    <n v="101088"/>
    <n v="8.32"/>
  </r>
  <r>
    <x v="51"/>
    <s v="002006"/>
    <s v="精功科技"/>
    <n v="2100"/>
    <n v="2100"/>
    <n v="8.4760000000000009"/>
    <n v="-1146.8800000000001"/>
    <n v="-6.44"/>
    <n v="16653"/>
    <n v="7.93"/>
  </r>
  <r>
    <x v="51"/>
    <s v="002140"/>
    <s v="东华科技"/>
    <n v="6000"/>
    <n v="5500"/>
    <n v="13.103"/>
    <n v="6044.39"/>
    <n v="7.69"/>
    <n v="84660"/>
    <n v="14.11"/>
  </r>
  <r>
    <x v="51"/>
    <s v="reserve"/>
    <s v="备用金"/>
    <m/>
    <m/>
    <m/>
    <m/>
    <m/>
    <n v="370.33"/>
    <m/>
  </r>
  <r>
    <x v="52"/>
    <s v="519888"/>
    <s v="添富快线"/>
    <n v="10018015"/>
    <n v="10018015"/>
    <n v="0.01"/>
    <n v="1424.66"/>
    <n v="0"/>
    <n v="100180.15"/>
    <n v="0.01"/>
  </r>
  <r>
    <x v="52"/>
    <s v="600269"/>
    <s v="赣粤高速"/>
    <n v="100"/>
    <n v="100"/>
    <n v="4.9210000000000003"/>
    <n v="23.87"/>
    <n v="4.8600000000000003"/>
    <n v="516"/>
    <n v="5.16"/>
  </r>
  <r>
    <x v="52"/>
    <s v="601398"/>
    <s v="工商银行"/>
    <n v="1200"/>
    <n v="1200"/>
    <n v="0.58799999999999997"/>
    <n v="5354.52"/>
    <n v="758.84"/>
    <n v="6060"/>
    <n v="5.05"/>
  </r>
  <r>
    <x v="52"/>
    <s v="601998"/>
    <s v="中信银行"/>
    <n v="4300"/>
    <n v="4300"/>
    <n v="6.2930000000000001"/>
    <n v="-700.98"/>
    <n v="-2.59"/>
    <n v="26359"/>
    <n v="6.13"/>
  </r>
  <r>
    <x v="52"/>
    <s v="000402"/>
    <s v="金 融 街"/>
    <n v="1800"/>
    <n v="1800"/>
    <n v="7.298"/>
    <n v="7581.62"/>
    <n v="57.72"/>
    <n v="20718"/>
    <n v="11.51"/>
  </r>
  <r>
    <x v="52"/>
    <s v="000415"/>
    <s v="渤海金控"/>
    <n v="400"/>
    <n v="400"/>
    <n v="-3.9E-2"/>
    <n v="2655.6"/>
    <n v="0"/>
    <n v="2640"/>
    <n v="6.6"/>
  </r>
  <r>
    <x v="52"/>
    <s v="000528"/>
    <s v="柳    工"/>
    <n v="12650"/>
    <n v="12150"/>
    <n v="9.27"/>
    <n v="-14425.8"/>
    <n v="-12.3"/>
    <n v="102844.5"/>
    <n v="8.1300000000000008"/>
  </r>
  <r>
    <x v="52"/>
    <s v="002006"/>
    <s v="精功科技"/>
    <n v="2100"/>
    <n v="2100"/>
    <n v="8.4559999999999995"/>
    <n v="-1146.8800000000001"/>
    <n v="-6.46"/>
    <n v="16611"/>
    <n v="7.91"/>
  </r>
  <r>
    <x v="52"/>
    <s v="002140"/>
    <s v="东华科技"/>
    <n v="4800"/>
    <n v="4800"/>
    <n v="12.773999999999999"/>
    <n v="9196.0499999999993"/>
    <n v="15"/>
    <n v="70512"/>
    <n v="14.69"/>
  </r>
  <r>
    <x v="52"/>
    <s v="SZRQ88"/>
    <s v="国标准券"/>
    <n v="50000"/>
    <n v="50000"/>
    <n v="1"/>
    <n v="-2.5"/>
    <n v="0"/>
    <n v="50000"/>
    <n v="1"/>
  </r>
  <r>
    <x v="52"/>
    <s v="reserve"/>
    <s v="备用金"/>
    <m/>
    <m/>
    <m/>
    <m/>
    <m/>
    <n v="13974.21"/>
    <m/>
  </r>
  <r>
    <x v="53"/>
    <s v="519888"/>
    <s v="添富快线"/>
    <n v="3020481"/>
    <n v="3020481"/>
    <n v="0.01"/>
    <n v="1449.32"/>
    <n v="0"/>
    <n v="30204.81"/>
    <n v="0.01"/>
  </r>
  <r>
    <x v="53"/>
    <s v="600269"/>
    <s v="赣粤高速"/>
    <n v="100"/>
    <n v="100"/>
    <n v="4.9210000000000003"/>
    <n v="24.87"/>
    <n v="5.0599999999999996"/>
    <n v="517"/>
    <n v="5.17"/>
  </r>
  <r>
    <x v="53"/>
    <s v="601398"/>
    <s v="工商银行"/>
    <n v="800"/>
    <n v="800"/>
    <n v="-1.6890000000000001"/>
    <n v="5439.2"/>
    <n v="0"/>
    <n v="4088"/>
    <n v="5.1100000000000003"/>
  </r>
  <r>
    <x v="53"/>
    <s v="601998"/>
    <s v="中信银行"/>
    <n v="3800"/>
    <n v="3800"/>
    <n v="6.3019999999999996"/>
    <n v="-198.16"/>
    <n v="-0.82"/>
    <n v="23750"/>
    <n v="6.25"/>
  </r>
  <r>
    <x v="53"/>
    <s v="000402"/>
    <s v="金 融 街"/>
    <n v="200"/>
    <n v="200"/>
    <n v="-29.062999999999999"/>
    <n v="8216.6"/>
    <n v="0"/>
    <n v="2404"/>
    <n v="12.02"/>
  </r>
  <r>
    <x v="53"/>
    <s v="000415"/>
    <s v="渤海金控"/>
    <n v="400"/>
    <n v="400"/>
    <n v="-3.9E-2"/>
    <n v="2659.6"/>
    <n v="0"/>
    <n v="2644"/>
    <n v="6.61"/>
  </r>
  <r>
    <x v="53"/>
    <s v="000528"/>
    <s v="柳    工"/>
    <n v="12150"/>
    <n v="12150"/>
    <n v="9.2780000000000005"/>
    <n v="-7995.88"/>
    <n v="-7.09"/>
    <n v="104733"/>
    <n v="8.6199999999999992"/>
  </r>
  <r>
    <x v="53"/>
    <s v="002006"/>
    <s v="精功科技"/>
    <n v="2100"/>
    <n v="2100"/>
    <n v="8.4559999999999995"/>
    <n v="-1146.8800000000001"/>
    <n v="-6.46"/>
    <n v="16611"/>
    <n v="7.91"/>
  </r>
  <r>
    <x v="53"/>
    <s v="002140"/>
    <s v="东华科技"/>
    <n v="6400"/>
    <n v="6400"/>
    <n v="13.103999999999999"/>
    <n v="1702.71"/>
    <n v="2.0299999999999998"/>
    <n v="85568"/>
    <n v="13.37"/>
  </r>
  <r>
    <x v="53"/>
    <s v="SZRQ88"/>
    <s v="国标准券"/>
    <n v="139000"/>
    <n v="100000"/>
    <n v="1"/>
    <n v="-5.39"/>
    <n v="0"/>
    <n v="139000"/>
    <n v="1"/>
  </r>
  <r>
    <x v="53"/>
    <s v="reserve"/>
    <s v="备用金"/>
    <m/>
    <m/>
    <m/>
    <m/>
    <m/>
    <n v="945.13"/>
    <m/>
  </r>
  <r>
    <x v="54"/>
    <s v="519888"/>
    <s v="添富快线"/>
    <n v="3022001"/>
    <n v="3022001"/>
    <n v="0.01"/>
    <n v="1464.52"/>
    <n v="0"/>
    <n v="30220.01"/>
    <n v="0.01"/>
  </r>
  <r>
    <x v="54"/>
    <s v="600269"/>
    <s v="赣粤高速"/>
    <n v="100"/>
    <n v="100"/>
    <n v="4.9210000000000003"/>
    <n v="25.87"/>
    <n v="5.26"/>
    <n v="518"/>
    <n v="5.18"/>
  </r>
  <r>
    <x v="54"/>
    <s v="601398"/>
    <s v="工商银行"/>
    <n v="800"/>
    <n v="800"/>
    <n v="-1.6890000000000001"/>
    <n v="5407.2"/>
    <n v="0"/>
    <n v="4056"/>
    <n v="5.07"/>
  </r>
  <r>
    <x v="54"/>
    <s v="601998"/>
    <s v="中信银行"/>
    <n v="3300"/>
    <n v="3300"/>
    <n v="6.2939999999999996"/>
    <n v="51.59"/>
    <n v="0.26"/>
    <n v="20823"/>
    <n v="6.31"/>
  </r>
  <r>
    <x v="54"/>
    <s v="000402"/>
    <s v="金 融 街"/>
    <n v="1200"/>
    <n v="1200"/>
    <n v="4.9770000000000003"/>
    <n v="8067.63"/>
    <n v="135.08000000000001"/>
    <n v="14040"/>
    <n v="11.7"/>
  </r>
  <r>
    <x v="54"/>
    <s v="000415"/>
    <s v="渤海金控"/>
    <n v="400"/>
    <n v="400"/>
    <n v="-3.9E-2"/>
    <n v="2659.6"/>
    <n v="0"/>
    <n v="2644"/>
    <n v="6.61"/>
  </r>
  <r>
    <x v="54"/>
    <s v="000528"/>
    <s v="柳    工"/>
    <n v="12150"/>
    <n v="12150"/>
    <n v="9.2780000000000005"/>
    <n v="-9453.8799999999992"/>
    <n v="-8.3800000000000008"/>
    <n v="103275"/>
    <n v="8.5"/>
  </r>
  <r>
    <x v="54"/>
    <s v="002006"/>
    <s v="精功科技"/>
    <n v="2100"/>
    <n v="2100"/>
    <n v="8.4559999999999995"/>
    <n v="-1146.8800000000001"/>
    <n v="-6.46"/>
    <n v="16611"/>
    <n v="7.91"/>
  </r>
  <r>
    <x v="54"/>
    <s v="002140"/>
    <s v="东华科技"/>
    <n v="6400"/>
    <n v="6400"/>
    <n v="13.103999999999999"/>
    <n v="-729.29"/>
    <n v="-0.87"/>
    <n v="83136"/>
    <n v="12.99"/>
  </r>
  <r>
    <x v="54"/>
    <s v="SZRQ88"/>
    <s v="国标准券"/>
    <n v="100000"/>
    <n v="100000"/>
    <n v="1"/>
    <n v="42.08"/>
    <n v="0"/>
    <n v="100000"/>
    <n v="1"/>
  </r>
  <r>
    <x v="54"/>
    <s v="reserve"/>
    <s v="备用金"/>
    <m/>
    <m/>
    <m/>
    <m/>
    <m/>
    <n v="31374.35"/>
    <m/>
  </r>
  <r>
    <x v="55"/>
    <s v="519888"/>
    <s v="添富快线"/>
    <n v="4823521"/>
    <n v="4823521"/>
    <n v="0.01"/>
    <n v="1479.72"/>
    <n v="0"/>
    <n v="48235.21"/>
    <n v="0.01"/>
  </r>
  <r>
    <x v="55"/>
    <s v="600269"/>
    <s v="赣粤高速"/>
    <n v="100"/>
    <n v="100"/>
    <n v="4.9210000000000003"/>
    <n v="33.869999999999997"/>
    <n v="6.89"/>
    <n v="526"/>
    <n v="5.26"/>
  </r>
  <r>
    <x v="55"/>
    <s v="601398"/>
    <s v="工商银行"/>
    <n v="400"/>
    <n v="400"/>
    <n v="-8.6110000000000007"/>
    <n v="5540.4"/>
    <n v="0"/>
    <n v="2096"/>
    <n v="5.24"/>
  </r>
  <r>
    <x v="55"/>
    <s v="601998"/>
    <s v="中信银行"/>
    <n v="3300"/>
    <n v="3300"/>
    <n v="6.2939999999999996"/>
    <n v="-113.41"/>
    <n v="-0.54"/>
    <n v="20658"/>
    <n v="6.26"/>
  </r>
  <r>
    <x v="55"/>
    <s v="000402"/>
    <s v="金 融 街"/>
    <n v="800"/>
    <n v="800"/>
    <n v="1.5529999999999999"/>
    <n v="8245.89"/>
    <n v="663.68"/>
    <n v="9488"/>
    <n v="11.86"/>
  </r>
  <r>
    <x v="55"/>
    <s v="000415"/>
    <s v="渤海金控"/>
    <n v="100"/>
    <n v="100"/>
    <n v="-20.274999999999999"/>
    <n v="2704.5"/>
    <n v="0"/>
    <n v="677"/>
    <n v="6.77"/>
  </r>
  <r>
    <x v="55"/>
    <s v="000528"/>
    <s v="柳    工"/>
    <n v="11650"/>
    <n v="11650"/>
    <n v="9.3019999999999996"/>
    <n v="-6552.25"/>
    <n v="-6.04"/>
    <n v="101821"/>
    <n v="8.74"/>
  </r>
  <r>
    <x v="55"/>
    <s v="002006"/>
    <s v="精功科技"/>
    <n v="2100"/>
    <n v="2100"/>
    <n v="8.4559999999999995"/>
    <n v="-1146.8800000000001"/>
    <n v="-6.46"/>
    <n v="16611"/>
    <n v="7.91"/>
  </r>
  <r>
    <x v="55"/>
    <s v="002140"/>
    <s v="东华科技"/>
    <n v="6400"/>
    <n v="6400"/>
    <n v="13.103999999999999"/>
    <n v="742.71"/>
    <n v="0.89"/>
    <n v="84608"/>
    <n v="13.22"/>
  </r>
  <r>
    <x v="55"/>
    <s v="SZRQ88"/>
    <s v="国标准券"/>
    <n v="114000"/>
    <n v="114000"/>
    <n v="0.999"/>
    <n v="142.36000000000001"/>
    <n v="0"/>
    <n v="114000"/>
    <n v="1"/>
  </r>
  <r>
    <x v="55"/>
    <s v="reserve"/>
    <s v="备用金"/>
    <m/>
    <m/>
    <m/>
    <m/>
    <m/>
    <n v="12665.36"/>
    <m/>
  </r>
  <r>
    <x v="56"/>
    <s v="519888"/>
    <s v="添富快线"/>
    <n v="12824050"/>
    <n v="12824050"/>
    <n v="0.01"/>
    <n v="1485.01"/>
    <n v="0"/>
    <n v="128240.5"/>
    <n v="0.01"/>
  </r>
  <r>
    <x v="56"/>
    <s v="600269"/>
    <s v="赣粤高速"/>
    <n v="100"/>
    <n v="100"/>
    <n v="4.9210000000000003"/>
    <n v="29.87"/>
    <n v="6.08"/>
    <n v="522"/>
    <n v="5.22"/>
  </r>
  <r>
    <x v="56"/>
    <s v="601398"/>
    <s v="工商银行"/>
    <n v="400"/>
    <n v="400"/>
    <n v="-8.6110000000000007"/>
    <n v="5544.4"/>
    <n v="0"/>
    <n v="2100"/>
    <n v="5.25"/>
  </r>
  <r>
    <x v="56"/>
    <s v="601998"/>
    <s v="中信银行"/>
    <n v="3800"/>
    <n v="3800"/>
    <n v="6.282"/>
    <n v="-311.47000000000003"/>
    <n v="-1.3"/>
    <n v="23560"/>
    <n v="6.2"/>
  </r>
  <r>
    <x v="56"/>
    <s v="000402"/>
    <s v="金 融 街"/>
    <n v="1800"/>
    <n v="1800"/>
    <n v="7.1429999999999998"/>
    <n v="7842.89"/>
    <n v="61"/>
    <n v="20700"/>
    <n v="11.5"/>
  </r>
  <r>
    <x v="56"/>
    <s v="000415"/>
    <s v="渤海金控"/>
    <n v="100"/>
    <n v="100"/>
    <n v="-20.274999999999999"/>
    <n v="2708.5"/>
    <n v="0"/>
    <n v="681"/>
    <n v="6.81"/>
  </r>
  <r>
    <x v="56"/>
    <s v="000528"/>
    <s v="柳    工"/>
    <n v="12150"/>
    <n v="12150"/>
    <n v="9.2729999999999997"/>
    <n v="-8537.75"/>
    <n v="-7.58"/>
    <n v="104125.5"/>
    <n v="8.57"/>
  </r>
  <r>
    <x v="56"/>
    <s v="002006"/>
    <s v="精功科技"/>
    <n v="2100"/>
    <n v="2100"/>
    <n v="8.4559999999999995"/>
    <n v="-1146.8800000000001"/>
    <n v="-6.46"/>
    <n v="16611"/>
    <n v="7.91"/>
  </r>
  <r>
    <x v="56"/>
    <s v="002140"/>
    <s v="东华科技"/>
    <n v="6400"/>
    <n v="6400"/>
    <n v="13.103999999999999"/>
    <n v="294.70999999999998"/>
    <n v="0.35"/>
    <n v="84160"/>
    <n v="13.15"/>
  </r>
  <r>
    <x v="56"/>
    <s v="SZRQ88"/>
    <s v="国标准券"/>
    <n v="24000"/>
    <n v="24000"/>
    <n v="0.99199999999999999"/>
    <n v="193.75"/>
    <n v="0"/>
    <n v="24000"/>
    <n v="1"/>
  </r>
  <r>
    <x v="56"/>
    <s v="reserve"/>
    <s v="备用金"/>
    <m/>
    <m/>
    <m/>
    <m/>
    <m/>
    <n v="3706.69"/>
    <m/>
  </r>
  <r>
    <x v="57"/>
    <s v="519888"/>
    <s v="添富快线"/>
    <n v="11324050"/>
    <n v="11324050"/>
    <n v="0.01"/>
    <n v="1485.01"/>
    <n v="0"/>
    <n v="113240.5"/>
    <n v="0.01"/>
  </r>
  <r>
    <x v="57"/>
    <s v="600269"/>
    <s v="赣粤高速"/>
    <n v="100"/>
    <n v="100"/>
    <n v="4.9210000000000003"/>
    <n v="36.869999999999997"/>
    <n v="7.5"/>
    <n v="529"/>
    <n v="5.29"/>
  </r>
  <r>
    <x v="57"/>
    <s v="601398"/>
    <s v="工商银行"/>
    <n v="400"/>
    <n v="400"/>
    <n v="-8.6110000000000007"/>
    <n v="5536.4"/>
    <n v="0"/>
    <n v="2092"/>
    <n v="5.23"/>
  </r>
  <r>
    <x v="57"/>
    <s v="601998"/>
    <s v="中信银行"/>
    <n v="3800"/>
    <n v="3800"/>
    <n v="6.282"/>
    <n v="-121.47"/>
    <n v="-0.51"/>
    <n v="23750"/>
    <n v="6.25"/>
  </r>
  <r>
    <x v="57"/>
    <s v="000402"/>
    <s v="金 融 街"/>
    <n v="1800"/>
    <n v="1800"/>
    <n v="7.1429999999999998"/>
    <n v="7932.89"/>
    <n v="61.7"/>
    <n v="20790"/>
    <n v="11.55"/>
  </r>
  <r>
    <x v="57"/>
    <s v="000415"/>
    <s v="渤海金控"/>
    <n v="100"/>
    <n v="100"/>
    <n v="-20.274999999999999"/>
    <n v="2713.5"/>
    <n v="0"/>
    <n v="686"/>
    <n v="6.86"/>
  </r>
  <r>
    <x v="57"/>
    <s v="000528"/>
    <s v="柳    工"/>
    <n v="11650"/>
    <n v="11650"/>
    <n v="9.298"/>
    <n v="-7079.1"/>
    <n v="-6.54"/>
    <n v="101238.5"/>
    <n v="8.69"/>
  </r>
  <r>
    <x v="57"/>
    <s v="002006"/>
    <s v="精功科技"/>
    <n v="2100"/>
    <n v="2100"/>
    <n v="8.4559999999999995"/>
    <n v="-1146.8800000000001"/>
    <n v="-6.46"/>
    <n v="16611"/>
    <n v="7.91"/>
  </r>
  <r>
    <x v="57"/>
    <s v="002140"/>
    <s v="东华科技"/>
    <n v="6900"/>
    <n v="6400"/>
    <n v="13.103"/>
    <n v="807.71"/>
    <n v="0.89"/>
    <n v="91218"/>
    <n v="13.22"/>
  </r>
  <r>
    <x v="57"/>
    <s v="SZRQ88"/>
    <s v="国标准券"/>
    <n v="24000"/>
    <n v="24000"/>
    <n v="0.99199999999999999"/>
    <n v="193.75"/>
    <n v="0"/>
    <n v="24000"/>
    <n v="1"/>
  </r>
  <r>
    <x v="57"/>
    <s v="reserve"/>
    <s v="备用金"/>
    <m/>
    <m/>
    <m/>
    <m/>
    <m/>
    <n v="16507.34"/>
    <m/>
  </r>
  <r>
    <x v="58"/>
    <s v="519888"/>
    <s v="添富快线"/>
    <n v="11326074"/>
    <n v="11326074"/>
    <n v="0.01"/>
    <n v="1505.25"/>
    <n v="0"/>
    <n v="113260.74"/>
    <n v="0.01"/>
  </r>
  <r>
    <x v="58"/>
    <s v="600269"/>
    <s v="赣粤高速"/>
    <n v="100"/>
    <n v="100"/>
    <n v="4.9210000000000003"/>
    <n v="39.869999999999997"/>
    <n v="8.11"/>
    <n v="532"/>
    <n v="5.32"/>
  </r>
  <r>
    <x v="58"/>
    <s v="601398"/>
    <s v="工商银行"/>
    <n v="400"/>
    <n v="400"/>
    <n v="-8.6110000000000007"/>
    <n v="5536.4"/>
    <n v="0"/>
    <n v="2092"/>
    <n v="5.23"/>
  </r>
  <r>
    <x v="58"/>
    <s v="601998"/>
    <s v="中信银行"/>
    <n v="3800"/>
    <n v="3800"/>
    <n v="6.282"/>
    <n v="-235.47"/>
    <n v="-0.99"/>
    <n v="23636"/>
    <n v="6.22"/>
  </r>
  <r>
    <x v="58"/>
    <s v="000402"/>
    <s v="金 融 街"/>
    <n v="2300"/>
    <n v="2300"/>
    <n v="8.0640000000000001"/>
    <n v="7764.89"/>
    <n v="41.87"/>
    <n v="26312"/>
    <n v="11.44"/>
  </r>
  <r>
    <x v="58"/>
    <s v="000415"/>
    <s v="渤海金控"/>
    <n v="100"/>
    <n v="100"/>
    <n v="-20.274999999999999"/>
    <n v="2716.5"/>
    <n v="0"/>
    <n v="689"/>
    <n v="6.89"/>
  </r>
  <r>
    <x v="58"/>
    <s v="000528"/>
    <s v="柳    工"/>
    <n v="11650"/>
    <n v="11650"/>
    <n v="9.298"/>
    <n v="-7661.6"/>
    <n v="-7.08"/>
    <n v="100656"/>
    <n v="8.64"/>
  </r>
  <r>
    <x v="58"/>
    <s v="002006"/>
    <s v="精功科技"/>
    <n v="2100"/>
    <n v="2100"/>
    <n v="8.4559999999999995"/>
    <n v="-1146.8800000000001"/>
    <n v="-6.46"/>
    <n v="16611"/>
    <n v="7.91"/>
  </r>
  <r>
    <x v="58"/>
    <s v="002140"/>
    <s v="东华科技"/>
    <n v="6900"/>
    <n v="6900"/>
    <n v="13.103"/>
    <n v="-89.29"/>
    <n v="-0.1"/>
    <n v="90321"/>
    <n v="13.09"/>
  </r>
  <r>
    <x v="58"/>
    <s v="SZRQ88"/>
    <s v="国标准券"/>
    <n v="24000"/>
    <n v="24000"/>
    <n v="0.99199999999999999"/>
    <n v="193.75"/>
    <n v="0"/>
    <n v="24000"/>
    <n v="1"/>
  </r>
  <r>
    <x v="58"/>
    <s v="reserve"/>
    <s v="备用金"/>
    <m/>
    <m/>
    <m/>
    <m/>
    <m/>
    <n v="10812.34"/>
    <m/>
  </r>
  <r>
    <x v="59"/>
    <s v="519888"/>
    <s v="添富快线"/>
    <n v="10727115"/>
    <n v="10727115"/>
    <n v="0.01"/>
    <n v="1515.66"/>
    <n v="0"/>
    <n v="107271.15"/>
    <n v="0.01"/>
  </r>
  <r>
    <x v="59"/>
    <s v="600269"/>
    <s v="赣粤高速"/>
    <n v="100"/>
    <n v="100"/>
    <n v="4.9210000000000003"/>
    <n v="40.869999999999997"/>
    <n v="8.31"/>
    <n v="533"/>
    <n v="5.33"/>
  </r>
  <r>
    <x v="59"/>
    <s v="601398"/>
    <s v="工商银行"/>
    <n v="400"/>
    <n v="400"/>
    <n v="-8.6110000000000007"/>
    <n v="5528.4"/>
    <n v="0"/>
    <n v="2084"/>
    <n v="5.21"/>
  </r>
  <r>
    <x v="59"/>
    <s v="601998"/>
    <s v="中信银行"/>
    <n v="3800"/>
    <n v="3800"/>
    <n v="6.282"/>
    <n v="-273.47000000000003"/>
    <n v="-1.1499999999999999"/>
    <n v="23598"/>
    <n v="6.21"/>
  </r>
  <r>
    <x v="59"/>
    <s v="000402"/>
    <s v="金 融 街"/>
    <n v="1500"/>
    <n v="1500"/>
    <n v="6.21"/>
    <n v="8085.64"/>
    <n v="86.8"/>
    <n v="17400"/>
    <n v="11.6"/>
  </r>
  <r>
    <x v="59"/>
    <s v="000415"/>
    <s v="渤海金控"/>
    <n v="100"/>
    <n v="100"/>
    <n v="-20.274999999999999"/>
    <n v="2729.5"/>
    <n v="0"/>
    <n v="702"/>
    <n v="7.02"/>
  </r>
  <r>
    <x v="59"/>
    <s v="000528"/>
    <s v="柳    工"/>
    <n v="10650"/>
    <n v="10650"/>
    <n v="9.35"/>
    <n v="-5323.86"/>
    <n v="-5.35"/>
    <n v="94252.5"/>
    <n v="8.85"/>
  </r>
  <r>
    <x v="59"/>
    <s v="002006"/>
    <s v="精功科技"/>
    <n v="2100"/>
    <n v="2100"/>
    <n v="8.4559999999999995"/>
    <n v="-1146.8800000000001"/>
    <n v="-6.46"/>
    <n v="16611"/>
    <n v="7.91"/>
  </r>
  <r>
    <x v="59"/>
    <s v="002140"/>
    <s v="东华科技"/>
    <n v="7900"/>
    <n v="7900"/>
    <n v="13.071999999999999"/>
    <n v="-2071.29"/>
    <n v="-2"/>
    <n v="101199"/>
    <n v="12.81"/>
  </r>
  <r>
    <x v="59"/>
    <s v="SZRQ88"/>
    <s v="国标准券"/>
    <n v="24000"/>
    <n v="24000"/>
    <n v="0.99199999999999999"/>
    <n v="193.75"/>
    <n v="0"/>
    <n v="0"/>
    <n v="1"/>
  </r>
  <r>
    <x v="59"/>
    <s v="reserve"/>
    <s v="备用金"/>
    <m/>
    <m/>
    <m/>
    <m/>
    <m/>
    <n v="45945.67"/>
    <m/>
  </r>
  <r>
    <x v="60"/>
    <s v="519888"/>
    <s v="添富快线"/>
    <n v="15662515"/>
    <n v="10727115"/>
    <n v="0.01"/>
    <n v="1515.66"/>
    <n v="0"/>
    <n v="156625.15"/>
    <n v="0.01"/>
  </r>
  <r>
    <x v="60"/>
    <s v="600269"/>
    <s v="赣粤高速"/>
    <n v="100"/>
    <n v="100"/>
    <n v="4.9210000000000003"/>
    <n v="42.87"/>
    <n v="8.7200000000000006"/>
    <n v="535"/>
    <n v="5.35"/>
  </r>
  <r>
    <x v="60"/>
    <s v="601398"/>
    <s v="工商银行"/>
    <n v="400"/>
    <n v="400"/>
    <n v="-8.6110000000000007"/>
    <n v="5536.4"/>
    <n v="0"/>
    <n v="2092"/>
    <n v="5.23"/>
  </r>
  <r>
    <x v="60"/>
    <s v="601998"/>
    <s v="中信银行"/>
    <n v="3800"/>
    <n v="3800"/>
    <n v="6.282"/>
    <n v="-311.47000000000003"/>
    <n v="-1.3"/>
    <n v="23560"/>
    <n v="6.2"/>
  </r>
  <r>
    <x v="60"/>
    <s v="000402"/>
    <s v="金 融 街"/>
    <n v="1100"/>
    <n v="1100"/>
    <n v="4.1959999999999997"/>
    <n v="8231.93"/>
    <n v="178.36"/>
    <n v="12848"/>
    <n v="11.68"/>
  </r>
  <r>
    <x v="60"/>
    <s v="000415"/>
    <s v="渤海金控"/>
    <n v="100"/>
    <n v="100"/>
    <n v="-20.274999999999999"/>
    <n v="2723.5"/>
    <n v="0"/>
    <n v="696"/>
    <n v="6.96"/>
  </r>
  <r>
    <x v="60"/>
    <s v="000528"/>
    <s v="柳    工"/>
    <n v="10150"/>
    <n v="10150"/>
    <n v="9.3719999999999999"/>
    <n v="-5404.81"/>
    <n v="-5.68"/>
    <n v="89726"/>
    <n v="8.84"/>
  </r>
  <r>
    <x v="60"/>
    <s v="002006"/>
    <s v="精功科技"/>
    <n v="2100"/>
    <n v="2100"/>
    <n v="8.4559999999999995"/>
    <n v="-1146.8800000000001"/>
    <n v="-6.46"/>
    <n v="16611"/>
    <n v="7.91"/>
  </r>
  <r>
    <x v="60"/>
    <s v="002140"/>
    <s v="东华科技"/>
    <n v="7500"/>
    <n v="7500"/>
    <n v="13.083"/>
    <n v="-1899.45"/>
    <n v="-1.93"/>
    <n v="96225"/>
    <n v="12.83"/>
  </r>
  <r>
    <x v="60"/>
    <s v="SZRQ88"/>
    <s v="国标准券"/>
    <n v="24000"/>
    <n v="24000"/>
    <n v="0.99199999999999999"/>
    <n v="193.75"/>
    <n v="0"/>
    <n v="0"/>
    <n v="1"/>
  </r>
  <r>
    <x v="60"/>
    <s v="reserve"/>
    <s v="备用金"/>
    <m/>
    <m/>
    <m/>
    <m/>
    <m/>
    <n v="10871.35"/>
    <m/>
  </r>
  <r>
    <x v="61"/>
    <s v="519888"/>
    <s v="添富快线"/>
    <n v="15465086"/>
    <n v="15465086"/>
    <n v="0.01"/>
    <n v="1541.37"/>
    <n v="0"/>
    <n v="154650.85999999999"/>
    <n v="0.01"/>
  </r>
  <r>
    <x v="61"/>
    <s v="600269"/>
    <s v="赣粤高速"/>
    <n v="100"/>
    <n v="100"/>
    <n v="4.9210000000000003"/>
    <n v="35.869999999999997"/>
    <n v="7.3"/>
    <n v="528"/>
    <n v="5.28"/>
  </r>
  <r>
    <x v="61"/>
    <s v="601398"/>
    <s v="工商银行"/>
    <n v="1400"/>
    <n v="400"/>
    <n v="1.034"/>
    <n v="5636.9"/>
    <n v="389.36"/>
    <n v="7084"/>
    <n v="5.0599999999999996"/>
  </r>
  <r>
    <x v="61"/>
    <s v="601998"/>
    <s v="中信银行"/>
    <n v="3400"/>
    <n v="3400"/>
    <n v="6.2809999999999997"/>
    <n v="132.96"/>
    <n v="0.62"/>
    <n v="21488"/>
    <n v="6.32"/>
  </r>
  <r>
    <x v="61"/>
    <s v="000402"/>
    <s v="金 融 街"/>
    <n v="1100"/>
    <n v="1100"/>
    <n v="4.1959999999999997"/>
    <n v="8143.93"/>
    <n v="176.45"/>
    <n v="12760"/>
    <n v="11.6"/>
  </r>
  <r>
    <x v="61"/>
    <s v="000415"/>
    <s v="渤海金控"/>
    <n v="100"/>
    <n v="100"/>
    <n v="-20.274999999999999"/>
    <n v="2715.5"/>
    <n v="0"/>
    <n v="688"/>
    <n v="6.88"/>
  </r>
  <r>
    <x v="61"/>
    <s v="000528"/>
    <s v="柳    工"/>
    <n v="11150"/>
    <n v="10150"/>
    <n v="9.3109999999999999"/>
    <n v="-7591.31"/>
    <n v="-7.31"/>
    <n v="96224.5"/>
    <n v="8.6300000000000008"/>
  </r>
  <r>
    <x v="61"/>
    <s v="002006"/>
    <s v="精功科技"/>
    <n v="2100"/>
    <n v="2100"/>
    <n v="8.4559999999999995"/>
    <n v="-1146.8800000000001"/>
    <n v="-6.46"/>
    <n v="16611"/>
    <n v="7.91"/>
  </r>
  <r>
    <x v="61"/>
    <s v="002140"/>
    <s v="东华科技"/>
    <n v="7500"/>
    <n v="7100"/>
    <n v="13.083"/>
    <n v="-2574.4499999999998"/>
    <n v="-2.62"/>
    <n v="95550"/>
    <n v="12.74"/>
  </r>
  <r>
    <x v="61"/>
    <s v="reserve"/>
    <s v="备用金"/>
    <m/>
    <m/>
    <m/>
    <m/>
    <m/>
    <n v="1806.4"/>
    <m/>
  </r>
  <r>
    <x v="62"/>
    <s v="519888"/>
    <s v="添富快线"/>
    <n v="15467865"/>
    <n v="15467865"/>
    <n v="0.01"/>
    <n v="1569.16"/>
    <n v="0"/>
    <n v="154678.65"/>
    <n v="0.01"/>
  </r>
  <r>
    <x v="62"/>
    <s v="600269"/>
    <s v="赣粤高速"/>
    <n v="100"/>
    <n v="100"/>
    <n v="4.9210000000000003"/>
    <n v="34.869999999999997"/>
    <n v="7.3"/>
    <n v="527"/>
    <n v="5.27"/>
  </r>
  <r>
    <x v="62"/>
    <s v="601398"/>
    <s v="工商银行"/>
    <n v="1000"/>
    <n v="1000"/>
    <n v="-0.60199999999999998"/>
    <n v="5682"/>
    <n v="0"/>
    <n v="5080"/>
    <n v="5.08"/>
  </r>
  <r>
    <x v="62"/>
    <s v="601998"/>
    <s v="中信银行"/>
    <n v="2600"/>
    <n v="2600"/>
    <n v="6.2290000000000001"/>
    <n v="523.67999999999995"/>
    <n v="3.23"/>
    <n v="16718"/>
    <n v="6.43"/>
  </r>
  <r>
    <x v="62"/>
    <s v="000402"/>
    <s v="金 融 街"/>
    <n v="1100"/>
    <n v="1100"/>
    <n v="4.1959999999999997"/>
    <n v="8187.93"/>
    <n v="177.41"/>
    <n v="12804"/>
    <n v="11.64"/>
  </r>
  <r>
    <x v="62"/>
    <s v="000415"/>
    <s v="渤海金控"/>
    <n v="100"/>
    <n v="100"/>
    <n v="-20.274999999999999"/>
    <n v="2719.5"/>
    <n v="0"/>
    <n v="692"/>
    <n v="6.92"/>
  </r>
  <r>
    <x v="62"/>
    <s v="000528"/>
    <s v="柳    工"/>
    <n v="10650"/>
    <n v="10650"/>
    <n v="9.3390000000000004"/>
    <n v="-5735.18"/>
    <n v="-5.77"/>
    <n v="93720"/>
    <n v="8.8000000000000007"/>
  </r>
  <r>
    <x v="62"/>
    <s v="002006"/>
    <s v="精功科技"/>
    <n v="2100"/>
    <n v="2100"/>
    <n v="8.4559999999999995"/>
    <n v="-1146.8800000000001"/>
    <n v="-6.46"/>
    <n v="16611"/>
    <n v="7.91"/>
  </r>
  <r>
    <x v="62"/>
    <s v="002140"/>
    <s v="东华科技"/>
    <n v="7300"/>
    <n v="7300"/>
    <n v="13.058999999999999"/>
    <n v="-941.81"/>
    <n v="-0.99"/>
    <n v="94389"/>
    <n v="12.93"/>
  </r>
  <r>
    <x v="62"/>
    <s v="reserve"/>
    <s v="备用金"/>
    <m/>
    <m/>
    <m/>
    <m/>
    <m/>
    <n v="16170.29"/>
    <m/>
  </r>
  <r>
    <x v="63"/>
    <s v="000402"/>
    <s v="金 融 街"/>
    <n v="1100"/>
    <n v="1100"/>
    <n v="4.1959999999999997"/>
    <n v="8319.93"/>
    <n v="180.27"/>
    <n v="12936"/>
    <n v="11.76"/>
  </r>
  <r>
    <x v="63"/>
    <s v="000415"/>
    <s v="渤海金控"/>
    <n v="100"/>
    <n v="100"/>
    <n v="-20.274999999999999"/>
    <n v="2721.5"/>
    <n v="0"/>
    <n v="694"/>
    <n v="6.94"/>
  </r>
  <r>
    <x v="63"/>
    <s v="000528"/>
    <s v="柳    工"/>
    <n v="10150"/>
    <n v="10150"/>
    <n v="9.3580000000000005"/>
    <n v="-3832.67"/>
    <n v="-4.04"/>
    <n v="91147"/>
    <n v="8.98"/>
  </r>
  <r>
    <x v="63"/>
    <s v="002006"/>
    <s v="精功科技"/>
    <n v="2100"/>
    <n v="2100"/>
    <n v="8.4559999999999995"/>
    <n v="-1146.8800000000001"/>
    <n v="-6.46"/>
    <n v="16611"/>
    <n v="7.91"/>
  </r>
  <r>
    <x v="63"/>
    <s v="002140"/>
    <s v="东华科技"/>
    <n v="7300"/>
    <n v="6900"/>
    <n v="13.058999999999999"/>
    <n v="-1963.81"/>
    <n v="-2.06"/>
    <n v="93367"/>
    <n v="12.79"/>
  </r>
  <r>
    <x v="63"/>
    <s v="519888"/>
    <s v="添富快线"/>
    <n v="15467865"/>
    <n v="15467865"/>
    <n v="0.01"/>
    <n v="1569.16"/>
    <n v="0"/>
    <n v="154678.65"/>
    <n v="0.01"/>
  </r>
  <r>
    <x v="63"/>
    <s v="600269"/>
    <s v="赣粤高速"/>
    <n v="100"/>
    <n v="100"/>
    <n v="4.9210000000000003"/>
    <n v="40.869999999999997"/>
    <n v="8.31"/>
    <n v="533"/>
    <n v="5.33"/>
  </r>
  <r>
    <x v="63"/>
    <s v="601398"/>
    <s v="工商银行"/>
    <n v="1000"/>
    <n v="1000"/>
    <n v="-0.60199999999999998"/>
    <n v="5762"/>
    <n v="0"/>
    <n v="5160"/>
    <n v="5.16"/>
  </r>
  <r>
    <x v="63"/>
    <s v="601998"/>
    <s v="中信银行"/>
    <n v="2600"/>
    <n v="2600"/>
    <n v="6.2290000000000001"/>
    <n v="809.68"/>
    <n v="4.99"/>
    <n v="17004"/>
    <n v="6.54"/>
  </r>
  <r>
    <x v="63"/>
    <s v="reserve"/>
    <s v="备用金"/>
    <m/>
    <m/>
    <m/>
    <m/>
    <m/>
    <n v="20622.060000000001"/>
    <m/>
  </r>
  <r>
    <x v="64"/>
    <s v="519888"/>
    <s v="添富快线"/>
    <n v="15470480"/>
    <n v="15470480"/>
    <n v="0.01"/>
    <n v="1595.31"/>
    <n v="0"/>
    <n v="154704.79999999999"/>
    <n v="0.01"/>
  </r>
  <r>
    <x v="64"/>
    <s v="600269"/>
    <s v="赣粤高速"/>
    <n v="100"/>
    <n v="100"/>
    <n v="4.9210000000000003"/>
    <n v="40.869999999999997"/>
    <n v="8.31"/>
    <n v="533"/>
    <n v="5.33"/>
  </r>
  <r>
    <x v="64"/>
    <s v="601398"/>
    <s v="工商银行"/>
    <n v="1000"/>
    <n v="1000"/>
    <n v="-0.60199999999999998"/>
    <n v="5772"/>
    <n v="0"/>
    <n v="5170"/>
    <n v="5.17"/>
  </r>
  <r>
    <x v="64"/>
    <s v="601998"/>
    <s v="中信银行"/>
    <n v="1600"/>
    <n v="1600"/>
    <n v="5.976"/>
    <n v="1126.8900000000001"/>
    <n v="11.78"/>
    <n v="10688"/>
    <n v="6.68"/>
  </r>
  <r>
    <x v="64"/>
    <s v="000402"/>
    <s v="金 融 街"/>
    <n v="700"/>
    <n v="700"/>
    <n v="-0.18"/>
    <n v="8519"/>
    <n v="0"/>
    <n v="8393"/>
    <n v="11.99"/>
  </r>
  <r>
    <x v="64"/>
    <s v="000415"/>
    <s v="渤海金控"/>
    <n v="100"/>
    <n v="100"/>
    <n v="-20.324999999999999"/>
    <n v="2719.5"/>
    <n v="0"/>
    <n v="687"/>
    <n v="6.87"/>
  </r>
  <r>
    <x v="64"/>
    <s v="000528"/>
    <s v="柳    工"/>
    <n v="10150"/>
    <n v="10150"/>
    <n v="9.3510000000000009"/>
    <n v="-4066.7"/>
    <n v="-4.29"/>
    <n v="90842.5"/>
    <n v="8.9499999999999993"/>
  </r>
  <r>
    <x v="64"/>
    <s v="002006"/>
    <s v="精功科技"/>
    <n v="2100"/>
    <n v="2100"/>
    <n v="8.4559999999999995"/>
    <n v="-1146.8800000000001"/>
    <n v="-6.46"/>
    <n v="16611"/>
    <n v="7.91"/>
  </r>
  <r>
    <x v="64"/>
    <s v="002140"/>
    <s v="东华科技"/>
    <n v="7800"/>
    <n v="7800"/>
    <n v="13.032999999999999"/>
    <n v="-2361.81"/>
    <n v="-2.3199999999999998"/>
    <n v="99294"/>
    <n v="12.73"/>
  </r>
  <r>
    <x v="64"/>
    <s v="reserve"/>
    <s v="备用金"/>
    <m/>
    <m/>
    <m/>
    <m/>
    <m/>
    <n v="25742.99"/>
    <m/>
  </r>
  <r>
    <x v="65"/>
    <s v="519888"/>
    <s v="添富快线"/>
    <n v="15470480"/>
    <n v="15470480"/>
    <n v="0.01"/>
    <n v="1595.31"/>
    <n v="0"/>
    <n v="154704.79999999999"/>
    <n v="0.01"/>
  </r>
  <r>
    <x v="65"/>
    <s v="600269"/>
    <s v="赣粤高速"/>
    <n v="100"/>
    <n v="100"/>
    <n v="4.9210000000000003"/>
    <n v="31.87"/>
    <n v="6.48"/>
    <n v="524"/>
    <n v="5.24"/>
  </r>
  <r>
    <x v="65"/>
    <s v="601398"/>
    <s v="工商银行"/>
    <n v="100"/>
    <n v="100"/>
    <n v="-53.579000000000001"/>
    <n v="5891.9"/>
    <n v="0"/>
    <n v="534"/>
    <n v="5.34"/>
  </r>
  <r>
    <x v="65"/>
    <s v="601998"/>
    <s v="中信银行"/>
    <n v="600"/>
    <n v="600"/>
    <n v="4.2969999999999997"/>
    <n v="1675.75"/>
    <n v="65"/>
    <n v="4254"/>
    <n v="7.09"/>
  </r>
  <r>
    <x v="65"/>
    <s v="000402"/>
    <s v="金 融 街"/>
    <n v="600"/>
    <n v="100"/>
    <n v="-2.355"/>
    <n v="8577"/>
    <n v="0"/>
    <n v="7164"/>
    <n v="11.94"/>
  </r>
  <r>
    <x v="65"/>
    <s v="000415"/>
    <s v="渤海金控"/>
    <n v="500"/>
    <n v="100"/>
    <n v="1.2649999999999999"/>
    <n v="2652.49"/>
    <n v="419.37"/>
    <n v="3285"/>
    <n v="6.57"/>
  </r>
  <r>
    <x v="65"/>
    <s v="000528"/>
    <s v="柳    工"/>
    <n v="10150"/>
    <n v="9150"/>
    <n v="9.3309999999999995"/>
    <n v="-6002.17"/>
    <n v="-6.33"/>
    <n v="88711"/>
    <n v="8.74"/>
  </r>
  <r>
    <x v="65"/>
    <s v="002006"/>
    <s v="精功科技"/>
    <n v="2100"/>
    <n v="2100"/>
    <n v="8.4559999999999995"/>
    <n v="-1146.8800000000001"/>
    <n v="-6.46"/>
    <n v="16611"/>
    <n v="7.91"/>
  </r>
  <r>
    <x v="65"/>
    <s v="002140"/>
    <s v="东华科技"/>
    <n v="9300"/>
    <n v="7800"/>
    <n v="12.836"/>
    <n v="-11402.81"/>
    <n v="-9.5500000000000007"/>
    <n v="107973"/>
    <n v="11.61"/>
  </r>
  <r>
    <x v="65"/>
    <s v="reserve"/>
    <s v="备用金"/>
    <m/>
    <m/>
    <m/>
    <m/>
    <m/>
    <n v="18579.740000000002"/>
    <m/>
  </r>
  <r>
    <x v="66"/>
    <s v="519888"/>
    <s v="添富快线"/>
    <n v="16674037"/>
    <n v="15474037"/>
    <n v="0.01"/>
    <n v="1630.88"/>
    <n v="0"/>
    <n v="166740.37"/>
    <n v="0.01"/>
  </r>
  <r>
    <x v="66"/>
    <s v="600269"/>
    <s v="赣粤高速"/>
    <n v="100"/>
    <n v="100"/>
    <n v="4.9210000000000003"/>
    <n v="34.869999999999997"/>
    <n v="7.09"/>
    <n v="527"/>
    <n v="5.27"/>
  </r>
  <r>
    <x v="66"/>
    <s v="601398"/>
    <s v="工商银行"/>
    <n v="100"/>
    <n v="100"/>
    <n v="-53.579000000000001"/>
    <n v="5885.9"/>
    <n v="0"/>
    <n v="528"/>
    <n v="5.28"/>
  </r>
  <r>
    <x v="66"/>
    <s v="601998"/>
    <s v="中信银行"/>
    <n v="600"/>
    <n v="600"/>
    <n v="4.2969999999999997"/>
    <n v="1639.75"/>
    <n v="63.6"/>
    <n v="4218"/>
    <n v="7.03"/>
  </r>
  <r>
    <x v="66"/>
    <s v="000402"/>
    <s v="金 融 街"/>
    <n v="200"/>
    <n v="200"/>
    <n v="-31.094999999999999"/>
    <n v="8653"/>
    <n v="0"/>
    <n v="2434"/>
    <n v="12.17"/>
  </r>
  <r>
    <x v="66"/>
    <s v="000415"/>
    <s v="渤海金控"/>
    <n v="100"/>
    <n v="100"/>
    <n v="-20.638000000000002"/>
    <n v="2739.8"/>
    <n v="0"/>
    <n v="676"/>
    <n v="6.76"/>
  </r>
  <r>
    <x v="66"/>
    <s v="000528"/>
    <s v="柳    工"/>
    <n v="7650"/>
    <n v="7650"/>
    <n v="9.44"/>
    <n v="-1835.72"/>
    <n v="-2.54"/>
    <n v="70380"/>
    <n v="9.1999999999999993"/>
  </r>
  <r>
    <x v="66"/>
    <s v="002006"/>
    <s v="精功科技"/>
    <n v="2100"/>
    <n v="2100"/>
    <n v="8.4559999999999995"/>
    <n v="-1146.8800000000001"/>
    <n v="-6.46"/>
    <n v="16611"/>
    <n v="7.91"/>
  </r>
  <r>
    <x v="66"/>
    <s v="002140"/>
    <s v="东华科技"/>
    <n v="8900"/>
    <n v="8900"/>
    <n v="12.884"/>
    <n v="-9111.5300000000007"/>
    <n v="-7.95"/>
    <n v="105554"/>
    <n v="11.86"/>
  </r>
  <r>
    <x v="66"/>
    <s v="SZRQ88"/>
    <s v="国标准券"/>
    <n v="20000"/>
    <n v="0"/>
    <n v="1"/>
    <n v="-0.2"/>
    <n v="0"/>
    <n v="20000"/>
    <n v="1"/>
  </r>
  <r>
    <x v="66"/>
    <s v="reserve"/>
    <s v="备用金"/>
    <m/>
    <m/>
    <m/>
    <m/>
    <m/>
    <n v="21289.75"/>
    <m/>
  </r>
  <r>
    <x v="67"/>
    <s v="519888"/>
    <s v="添富快线"/>
    <n v="16675450"/>
    <n v="16675450"/>
    <n v="0.01"/>
    <n v="1645.01"/>
    <n v="0"/>
    <n v="166754.5"/>
    <n v="0.01"/>
  </r>
  <r>
    <x v="67"/>
    <s v="600269"/>
    <s v="赣粤高速"/>
    <n v="100"/>
    <n v="100"/>
    <n v="4.9210000000000003"/>
    <n v="56.87"/>
    <n v="11.56"/>
    <n v="549"/>
    <n v="5.49"/>
  </r>
  <r>
    <x v="67"/>
    <s v="601398"/>
    <s v="工商银行"/>
    <n v="100"/>
    <n v="100"/>
    <n v="-53.579000000000001"/>
    <n v="5884.9"/>
    <n v="0"/>
    <n v="527"/>
    <n v="5.27"/>
  </r>
  <r>
    <x v="67"/>
    <s v="601998"/>
    <s v="中信银行"/>
    <n v="600"/>
    <n v="600"/>
    <n v="4.2969999999999997"/>
    <n v="1615.75"/>
    <n v="62.67"/>
    <n v="4194"/>
    <n v="6.99"/>
  </r>
  <r>
    <x v="67"/>
    <s v="000402"/>
    <s v="金 融 街"/>
    <n v="200"/>
    <n v="200"/>
    <n v="-31.094999999999999"/>
    <n v="8699"/>
    <n v="0"/>
    <n v="2480"/>
    <n v="12.4"/>
  </r>
  <r>
    <x v="67"/>
    <s v="000415"/>
    <s v="渤海金控"/>
    <n v="100"/>
    <n v="100"/>
    <n v="-20.638000000000002"/>
    <n v="2747.8"/>
    <n v="0"/>
    <n v="684"/>
    <n v="6.84"/>
  </r>
  <r>
    <x v="67"/>
    <s v="000528"/>
    <s v="柳    工"/>
    <n v="6650"/>
    <n v="6150"/>
    <n v="9.4570000000000007"/>
    <n v="-845.14"/>
    <n v="-1.34"/>
    <n v="62044.5"/>
    <n v="9.33"/>
  </r>
  <r>
    <x v="67"/>
    <s v="002006"/>
    <s v="精功科技"/>
    <n v="2100"/>
    <n v="2100"/>
    <n v="8.4559999999999995"/>
    <n v="-1146.8800000000001"/>
    <n v="-6.46"/>
    <n v="16611"/>
    <n v="7.91"/>
  </r>
  <r>
    <x v="67"/>
    <s v="002140"/>
    <s v="东华科技"/>
    <n v="8900"/>
    <n v="8900"/>
    <n v="12.884"/>
    <n v="-7687.53"/>
    <n v="-6.7"/>
    <n v="106978"/>
    <n v="12.02"/>
  </r>
  <r>
    <x v="67"/>
    <s v="SZRQ88"/>
    <s v="国标准券"/>
    <n v="61000"/>
    <n v="20000"/>
    <n v="1"/>
    <n v="-0.61"/>
    <n v="0"/>
    <n v="41000"/>
    <n v="1"/>
  </r>
  <r>
    <x v="67"/>
    <s v="reserve"/>
    <s v="备用金"/>
    <m/>
    <m/>
    <m/>
    <m/>
    <m/>
    <n v="9592.2800000000007"/>
    <m/>
  </r>
  <r>
    <x v="68"/>
    <s v="000402"/>
    <s v="金 融 街"/>
    <n v="200"/>
    <n v="200"/>
    <n v="-31.094999999999999"/>
    <n v="8693"/>
    <n v="0"/>
    <n v="2474"/>
    <n v="12.37"/>
  </r>
  <r>
    <x v="68"/>
    <s v="000415"/>
    <s v="渤海金控"/>
    <n v="100"/>
    <n v="100"/>
    <n v="-20.638000000000002"/>
    <n v="2771.8"/>
    <n v="0"/>
    <n v="708"/>
    <n v="7.08"/>
  </r>
  <r>
    <x v="68"/>
    <s v="000528"/>
    <s v="柳    工"/>
    <n v="7150"/>
    <n v="7150"/>
    <n v="9.4420000000000002"/>
    <n v="-1372.14"/>
    <n v="-2.0299999999999998"/>
    <n v="66137.5"/>
    <n v="9.25"/>
  </r>
  <r>
    <x v="68"/>
    <s v="002006"/>
    <s v="精功科技"/>
    <n v="2100"/>
    <n v="2100"/>
    <n v="8.4559999999999995"/>
    <n v="-1146.8800000000001"/>
    <n v="-6.46"/>
    <n v="16611"/>
    <n v="7.91"/>
  </r>
  <r>
    <x v="68"/>
    <s v="002140"/>
    <s v="东华科技"/>
    <n v="8100"/>
    <n v="8100"/>
    <n v="12.884"/>
    <n v="-3268.46"/>
    <n v="-2.75"/>
    <n v="101088"/>
    <n v="12.48"/>
  </r>
  <r>
    <x v="68"/>
    <s v="519888"/>
    <s v="添富快线"/>
    <n v="21765280"/>
    <n v="21765280"/>
    <n v="0.01"/>
    <n v="1678.31"/>
    <n v="0"/>
    <n v="217652.8"/>
    <n v="0.01"/>
  </r>
  <r>
    <x v="68"/>
    <s v="600269"/>
    <s v="赣粤高速"/>
    <n v="100"/>
    <n v="100"/>
    <n v="4.9210000000000003"/>
    <n v="55.87"/>
    <n v="11.36"/>
    <n v="548"/>
    <n v="5.48"/>
  </r>
  <r>
    <x v="68"/>
    <s v="601398"/>
    <s v="工商银行"/>
    <n v="100"/>
    <n v="100"/>
    <n v="-53.579000000000001"/>
    <n v="5886.9"/>
    <n v="0"/>
    <n v="529"/>
    <n v="5.29"/>
  </r>
  <r>
    <x v="68"/>
    <s v="601998"/>
    <s v="中信银行"/>
    <n v="600"/>
    <n v="600"/>
    <n v="4.2969999999999997"/>
    <n v="1663.75"/>
    <n v="64.53"/>
    <n v="4242"/>
    <n v="7.07"/>
  </r>
  <r>
    <x v="68"/>
    <s v="reserve"/>
    <s v="备用金"/>
    <m/>
    <m/>
    <m/>
    <m/>
    <m/>
    <n v="5411.6"/>
    <m/>
  </r>
  <r>
    <x v="69"/>
    <s v="519888"/>
    <s v="添富快线"/>
    <n v="21767334"/>
    <n v="21767334"/>
    <n v="0.01"/>
    <n v="1698.85"/>
    <n v="0"/>
    <n v="217673.34"/>
    <n v="0.01"/>
  </r>
  <r>
    <x v="69"/>
    <s v="600269"/>
    <s v="赣粤高速"/>
    <n v="100"/>
    <n v="100"/>
    <n v="4.9210000000000003"/>
    <n v="67.87"/>
    <n v="13.8"/>
    <n v="560"/>
    <n v="5.6"/>
  </r>
  <r>
    <x v="69"/>
    <s v="601398"/>
    <s v="工商银行"/>
    <n v="100"/>
    <n v="100"/>
    <n v="-53.579000000000001"/>
    <n v="5890.9"/>
    <n v="0"/>
    <n v="533"/>
    <n v="5.33"/>
  </r>
  <r>
    <x v="69"/>
    <s v="601998"/>
    <s v="中信银行"/>
    <n v="600"/>
    <n v="600"/>
    <n v="4.0819999999999999"/>
    <n v="1756.75"/>
    <n v="71.73"/>
    <n v="4206"/>
    <n v="7.01"/>
  </r>
  <r>
    <x v="69"/>
    <s v="000402"/>
    <s v="金 融 街"/>
    <n v="200"/>
    <n v="200"/>
    <n v="-31.094999999999999"/>
    <n v="8649"/>
    <n v="0"/>
    <n v="2430"/>
    <n v="12.15"/>
  </r>
  <r>
    <x v="69"/>
    <s v="000415"/>
    <s v="渤海金控"/>
    <n v="100"/>
    <n v="100"/>
    <n v="-20.638000000000002"/>
    <n v="2757.8"/>
    <n v="0"/>
    <n v="694"/>
    <n v="6.94"/>
  </r>
  <r>
    <x v="69"/>
    <s v="000528"/>
    <s v="柳    工"/>
    <n v="5250"/>
    <n v="5250"/>
    <n v="9.4480000000000004"/>
    <n v="-144.59"/>
    <n v="-0.3"/>
    <n v="49455"/>
    <n v="9.42"/>
  </r>
  <r>
    <x v="69"/>
    <s v="002006"/>
    <s v="精功科技"/>
    <n v="2100"/>
    <n v="2100"/>
    <n v="8.4559999999999995"/>
    <n v="-1146.8800000000001"/>
    <n v="-6.46"/>
    <n v="16611"/>
    <n v="7.91"/>
  </r>
  <r>
    <x v="69"/>
    <s v="002140"/>
    <s v="东华科技"/>
    <n v="8600"/>
    <n v="8600"/>
    <n v="12.848000000000001"/>
    <n v="-4711.46"/>
    <n v="-4.26"/>
    <n v="105780"/>
    <n v="12.3"/>
  </r>
  <r>
    <x v="69"/>
    <s v="reserve"/>
    <s v="备用金"/>
    <m/>
    <m/>
    <m/>
    <m/>
    <m/>
    <n v="17317.2"/>
    <m/>
  </r>
  <r>
    <x v="70"/>
    <s v="519888"/>
    <s v="添富快线"/>
    <n v="21273077"/>
    <n v="21273077"/>
    <n v="0.01"/>
    <n v="1756.28"/>
    <n v="0"/>
    <n v="212730.77"/>
    <n v="0.01"/>
  </r>
  <r>
    <x v="70"/>
    <s v="600269"/>
    <s v="赣粤高速"/>
    <n v="100"/>
    <n v="100"/>
    <n v="4.9210000000000003"/>
    <n v="108.87"/>
    <n v="22.13"/>
    <n v="601"/>
    <n v="6.01"/>
  </r>
  <r>
    <x v="70"/>
    <s v="601398"/>
    <s v="工商银行"/>
    <n v="100"/>
    <n v="100"/>
    <n v="-53.579000000000001"/>
    <n v="5896.9"/>
    <n v="0"/>
    <n v="539"/>
    <n v="5.39"/>
  </r>
  <r>
    <x v="70"/>
    <s v="601998"/>
    <s v="中信银行"/>
    <n v="1100"/>
    <n v="1100"/>
    <n v="5.2949999999999999"/>
    <n v="1622.68"/>
    <n v="27.86"/>
    <n v="7447"/>
    <n v="6.77"/>
  </r>
  <r>
    <x v="70"/>
    <s v="000402"/>
    <s v="金 融 街"/>
    <n v="200"/>
    <n v="200"/>
    <n v="-31.094999999999999"/>
    <n v="8691"/>
    <n v="0"/>
    <n v="2472"/>
    <n v="12.36"/>
  </r>
  <r>
    <x v="70"/>
    <s v="000415"/>
    <s v="渤海金控"/>
    <n v="100"/>
    <n v="100"/>
    <n v="-20.638000000000002"/>
    <n v="2782.8"/>
    <n v="0"/>
    <n v="719"/>
    <n v="7.19"/>
  </r>
  <r>
    <x v="70"/>
    <s v="000528"/>
    <s v="柳    工"/>
    <n v="5350"/>
    <n v="5350"/>
    <n v="9.4320000000000004"/>
    <n v="-704.43"/>
    <n v="-1.4"/>
    <n v="49755"/>
    <n v="9.3000000000000007"/>
  </r>
  <r>
    <x v="70"/>
    <s v="002006"/>
    <s v="精功科技"/>
    <n v="2100"/>
    <n v="2100"/>
    <n v="8.4559999999999995"/>
    <n v="-1146.8800000000001"/>
    <n v="-6.46"/>
    <n v="16611"/>
    <n v="7.91"/>
  </r>
  <r>
    <x v="70"/>
    <s v="002140"/>
    <s v="东华科技"/>
    <n v="8600"/>
    <n v="8600"/>
    <n v="12.848000000000001"/>
    <n v="-3421.46"/>
    <n v="-3.1"/>
    <n v="107070"/>
    <n v="12.45"/>
  </r>
  <r>
    <x v="70"/>
    <s v="reserve"/>
    <s v="备用金"/>
    <m/>
    <m/>
    <m/>
    <m/>
    <m/>
    <n v="18065.3"/>
    <m/>
  </r>
  <r>
    <x v="71"/>
    <s v="519888"/>
    <s v="添富快线"/>
    <n v="21275234"/>
    <n v="21275234"/>
    <n v="0.01"/>
    <n v="1777.85"/>
    <n v="0"/>
    <n v="212752.34"/>
    <n v="0.01"/>
  </r>
  <r>
    <x v="71"/>
    <s v="600269"/>
    <s v="赣粤高速"/>
    <n v="100"/>
    <n v="100"/>
    <n v="4.9210000000000003"/>
    <n v="88.87"/>
    <n v="18.07"/>
    <n v="581"/>
    <n v="5.81"/>
  </r>
  <r>
    <x v="71"/>
    <s v="601398"/>
    <s v="工商银行"/>
    <n v="100"/>
    <n v="100"/>
    <n v="-53.579000000000001"/>
    <n v="5905.9"/>
    <n v="0"/>
    <n v="548"/>
    <n v="5.48"/>
  </r>
  <r>
    <x v="71"/>
    <s v="601998"/>
    <s v="中信银行"/>
    <n v="1100"/>
    <n v="1100"/>
    <n v="5.2949999999999999"/>
    <n v="1589.68"/>
    <n v="27.29"/>
    <n v="7414"/>
    <n v="6.74"/>
  </r>
  <r>
    <x v="71"/>
    <s v="000402"/>
    <s v="金 融 街"/>
    <n v="600"/>
    <n v="600"/>
    <n v="-2.343"/>
    <n v="8605.7999999999993"/>
    <n v="0"/>
    <n v="7200"/>
    <n v="12"/>
  </r>
  <r>
    <x v="71"/>
    <s v="000415"/>
    <s v="渤海金控"/>
    <n v="100"/>
    <n v="100"/>
    <n v="-20.638000000000002"/>
    <n v="2771.8"/>
    <n v="0"/>
    <n v="708"/>
    <n v="7.08"/>
  </r>
  <r>
    <x v="71"/>
    <s v="000528"/>
    <s v="柳    工"/>
    <n v="4950"/>
    <n v="4950"/>
    <n v="9.4190000000000005"/>
    <n v="203.1"/>
    <n v="0.44"/>
    <n v="46827"/>
    <n v="9.4600000000000009"/>
  </r>
  <r>
    <x v="71"/>
    <s v="002006"/>
    <s v="精功科技"/>
    <n v="2100"/>
    <n v="2100"/>
    <n v="8.4559999999999995"/>
    <n v="-1146.8800000000001"/>
    <n v="-6.46"/>
    <n v="16611"/>
    <n v="7.91"/>
  </r>
  <r>
    <x v="71"/>
    <s v="002140"/>
    <s v="东华科技"/>
    <n v="8600"/>
    <n v="8600"/>
    <n v="12.848000000000001"/>
    <n v="-5743.46"/>
    <n v="-5.2"/>
    <n v="104748"/>
    <n v="12.18"/>
  </r>
  <r>
    <x v="71"/>
    <s v="reserve"/>
    <s v="备用金"/>
    <m/>
    <m/>
    <m/>
    <m/>
    <m/>
    <n v="17087.830000000002"/>
    <m/>
  </r>
  <r>
    <x v="72"/>
    <s v="519888"/>
    <s v="添富快线"/>
    <n v="21277213"/>
    <n v="21277213"/>
    <n v="0.01"/>
    <n v="1797.64"/>
    <n v="0"/>
    <n v="212772.13"/>
    <n v="0.01"/>
  </r>
  <r>
    <x v="72"/>
    <s v="600269"/>
    <s v="赣粤高速"/>
    <n v="100"/>
    <n v="100"/>
    <n v="4.9210000000000003"/>
    <n v="86.87"/>
    <n v="17.66"/>
    <n v="579"/>
    <n v="5.79"/>
  </r>
  <r>
    <x v="72"/>
    <s v="601398"/>
    <s v="工商银行"/>
    <n v="100"/>
    <n v="100"/>
    <n v="-53.579000000000001"/>
    <n v="5917.9"/>
    <n v="0"/>
    <n v="560"/>
    <n v="5.6"/>
  </r>
  <r>
    <x v="72"/>
    <s v="601998"/>
    <s v="中信银行"/>
    <n v="1600"/>
    <n v="1600"/>
    <n v="5.718"/>
    <n v="1538.61"/>
    <n v="16.829999999999998"/>
    <n v="10688"/>
    <n v="6.68"/>
  </r>
  <r>
    <x v="72"/>
    <s v="000402"/>
    <s v="金 融 街"/>
    <n v="1600"/>
    <n v="1600"/>
    <n v="6.5149999999999997"/>
    <n v="8456.09"/>
    <n v="81.12"/>
    <n v="18880"/>
    <n v="11.8"/>
  </r>
  <r>
    <x v="72"/>
    <s v="000415"/>
    <s v="渤海金控"/>
    <n v="100"/>
    <n v="100"/>
    <n v="-20.638000000000002"/>
    <n v="2765.8"/>
    <n v="0"/>
    <n v="702"/>
    <n v="7.02"/>
  </r>
  <r>
    <x v="72"/>
    <s v="000528"/>
    <s v="柳    工"/>
    <n v="4650"/>
    <n v="4650"/>
    <n v="9.3979999999999997"/>
    <n v="55"/>
    <n v="0.13"/>
    <n v="43756.5"/>
    <n v="9.41"/>
  </r>
  <r>
    <x v="72"/>
    <s v="002006"/>
    <s v="精功科技"/>
    <n v="2100"/>
    <n v="2100"/>
    <n v="8.4559999999999995"/>
    <n v="-1146.8800000000001"/>
    <n v="-6.46"/>
    <n v="16611"/>
    <n v="7.91"/>
  </r>
  <r>
    <x v="72"/>
    <s v="002140"/>
    <s v="东华科技"/>
    <n v="8600"/>
    <n v="8600"/>
    <n v="12.843999999999999"/>
    <n v="-4510.3999999999996"/>
    <n v="-4.08"/>
    <n v="105952"/>
    <n v="12.32"/>
  </r>
  <r>
    <x v="72"/>
    <s v="reserve"/>
    <s v="备用金"/>
    <m/>
    <m/>
    <m/>
    <m/>
    <m/>
    <n v="4880.22"/>
    <m/>
  </r>
  <r>
    <x v="73"/>
    <s v="519888"/>
    <s v="添富快线"/>
    <n v="21979342"/>
    <n v="21979342"/>
    <n v="0.01"/>
    <n v="1818.93"/>
    <n v="0"/>
    <n v="219793.42"/>
    <n v="0.01"/>
  </r>
  <r>
    <x v="73"/>
    <s v="600269"/>
    <s v="赣粤高速"/>
    <n v="100"/>
    <n v="100"/>
    <n v="4.9210000000000003"/>
    <n v="84.87"/>
    <n v="17.25"/>
    <n v="577"/>
    <n v="5.77"/>
  </r>
  <r>
    <x v="73"/>
    <s v="601398"/>
    <s v="工商银行"/>
    <n v="100"/>
    <n v="100"/>
    <n v="-53.579000000000001"/>
    <n v="5910.9"/>
    <n v="0"/>
    <n v="553"/>
    <n v="5.53"/>
  </r>
  <r>
    <x v="73"/>
    <s v="601998"/>
    <s v="中信银行"/>
    <n v="1600"/>
    <n v="1600"/>
    <n v="5.718"/>
    <n v="1490.61"/>
    <n v="16.3"/>
    <n v="10640"/>
    <n v="6.65"/>
  </r>
  <r>
    <x v="73"/>
    <s v="000402"/>
    <s v="金 融 街"/>
    <n v="1300"/>
    <n v="1300"/>
    <n v="5.2370000000000001"/>
    <n v="8557.61"/>
    <n v="125.7"/>
    <n v="15366"/>
    <n v="11.82"/>
  </r>
  <r>
    <x v="73"/>
    <s v="000415"/>
    <s v="渤海金控"/>
    <n v="100"/>
    <n v="100"/>
    <n v="-20.638000000000002"/>
    <n v="2770.8"/>
    <n v="0"/>
    <n v="707"/>
    <n v="7.07"/>
  </r>
  <r>
    <x v="73"/>
    <s v="000528"/>
    <s v="柳    工"/>
    <n v="5150"/>
    <n v="5150"/>
    <n v="9.3879999999999999"/>
    <n v="-915"/>
    <n v="-1.9"/>
    <n v="47431.5"/>
    <n v="9.2100000000000009"/>
  </r>
  <r>
    <x v="73"/>
    <s v="002006"/>
    <s v="精功科技"/>
    <n v="2100"/>
    <n v="2100"/>
    <n v="8.4559999999999995"/>
    <n v="-1146.8800000000001"/>
    <n v="-6.46"/>
    <n v="16611"/>
    <n v="7.91"/>
  </r>
  <r>
    <x v="73"/>
    <s v="002140"/>
    <s v="东华科技"/>
    <n v="7800"/>
    <n v="7800"/>
    <n v="12.891"/>
    <n v="-3050.33"/>
    <n v="-3.03"/>
    <n v="97500"/>
    <n v="12.5"/>
  </r>
  <r>
    <x v="73"/>
    <s v="reserve"/>
    <s v="备用金"/>
    <m/>
    <m/>
    <m/>
    <m/>
    <m/>
    <n v="6759.81"/>
    <m/>
  </r>
  <r>
    <x v="74"/>
    <s v="519888"/>
    <s v="添富快线"/>
    <n v="21981290"/>
    <n v="21981290"/>
    <n v="0.01"/>
    <n v="1838.41"/>
    <n v="0"/>
    <n v="219812.9"/>
    <n v="0.01"/>
  </r>
  <r>
    <x v="74"/>
    <s v="600269"/>
    <s v="赣粤高速"/>
    <n v="100"/>
    <n v="100"/>
    <n v="4.9210000000000003"/>
    <n v="77.87"/>
    <n v="15.83"/>
    <n v="570"/>
    <n v="5.7"/>
  </r>
  <r>
    <x v="74"/>
    <s v="601398"/>
    <s v="工商银行"/>
    <n v="100"/>
    <n v="100"/>
    <n v="-53.579000000000001"/>
    <n v="5912.9"/>
    <n v="0"/>
    <n v="555"/>
    <n v="5.55"/>
  </r>
  <r>
    <x v="74"/>
    <s v="601998"/>
    <s v="中信银行"/>
    <n v="1600"/>
    <n v="1600"/>
    <n v="5.718"/>
    <n v="1522.61"/>
    <n v="16.649999999999999"/>
    <n v="10672"/>
    <n v="6.67"/>
  </r>
  <r>
    <x v="74"/>
    <s v="000402"/>
    <s v="金 融 街"/>
    <n v="1400"/>
    <n v="1400"/>
    <n v="5.694"/>
    <n v="8548.84"/>
    <n v="107.24"/>
    <n v="16520"/>
    <n v="11.8"/>
  </r>
  <r>
    <x v="74"/>
    <s v="000415"/>
    <s v="渤海金控"/>
    <n v="100"/>
    <n v="100"/>
    <n v="-20.638000000000002"/>
    <n v="2765.8"/>
    <n v="0"/>
    <n v="702"/>
    <n v="7.02"/>
  </r>
  <r>
    <x v="74"/>
    <s v="000528"/>
    <s v="柳    工"/>
    <n v="5150"/>
    <n v="5150"/>
    <n v="9.3879999999999999"/>
    <n v="-1018"/>
    <n v="-2.11"/>
    <n v="47328.5"/>
    <n v="9.19"/>
  </r>
  <r>
    <x v="74"/>
    <s v="002006"/>
    <s v="精功科技"/>
    <n v="2100"/>
    <n v="2100"/>
    <n v="8.4559999999999995"/>
    <n v="-1146.8800000000001"/>
    <n v="-6.46"/>
    <n v="16611"/>
    <n v="7.91"/>
  </r>
  <r>
    <x v="74"/>
    <s v="002140"/>
    <s v="东华科技"/>
    <n v="7800"/>
    <n v="7800"/>
    <n v="12.891"/>
    <n v="-3752.33"/>
    <n v="-3.73"/>
    <n v="96798"/>
    <n v="12.41"/>
  </r>
  <r>
    <x v="74"/>
    <s v="reserve"/>
    <s v="备用金"/>
    <m/>
    <m/>
    <m/>
    <m/>
    <m/>
    <n v="5593.04"/>
    <m/>
  </r>
  <r>
    <x v="75"/>
    <s v="519888"/>
    <s v="添富快线"/>
    <n v="20987147"/>
    <n v="20987147"/>
    <n v="0.01"/>
    <n v="1896.98"/>
    <n v="0"/>
    <n v="209871.47"/>
    <n v="0.01"/>
  </r>
  <r>
    <x v="75"/>
    <s v="600269"/>
    <s v="赣粤高速"/>
    <n v="100"/>
    <n v="100"/>
    <n v="4.9210000000000003"/>
    <n v="88.87"/>
    <n v="18.07"/>
    <n v="581"/>
    <n v="5.81"/>
  </r>
  <r>
    <x v="75"/>
    <s v="601398"/>
    <s v="工商银行"/>
    <n v="100"/>
    <n v="100"/>
    <n v="-53.579000000000001"/>
    <n v="5908.9"/>
    <n v="0"/>
    <n v="551"/>
    <n v="5.51"/>
  </r>
  <r>
    <x v="75"/>
    <s v="601998"/>
    <s v="中信银行"/>
    <n v="2100"/>
    <n v="2100"/>
    <n v="5.9349999999999996"/>
    <n v="1500.54"/>
    <n v="12.05"/>
    <n v="13965"/>
    <n v="6.65"/>
  </r>
  <r>
    <x v="75"/>
    <s v="000402"/>
    <s v="金 融 街"/>
    <n v="1900"/>
    <n v="1900"/>
    <n v="7.29"/>
    <n v="8511.84"/>
    <n v="61.46"/>
    <n v="22363"/>
    <n v="11.77"/>
  </r>
  <r>
    <x v="75"/>
    <s v="000415"/>
    <s v="渤海金控"/>
    <n v="100"/>
    <n v="100"/>
    <n v="-20.638000000000002"/>
    <n v="2762.8"/>
    <n v="0"/>
    <n v="699"/>
    <n v="6.99"/>
  </r>
  <r>
    <x v="75"/>
    <s v="000528"/>
    <s v="柳    工"/>
    <n v="4650"/>
    <n v="4650"/>
    <n v="9.3960000000000008"/>
    <n v="-678.67"/>
    <n v="-1.55"/>
    <n v="43012.5"/>
    <n v="9.25"/>
  </r>
  <r>
    <x v="75"/>
    <s v="002006"/>
    <s v="精功科技"/>
    <n v="2100"/>
    <n v="2100"/>
    <n v="8.4559999999999995"/>
    <n v="-1146.8800000000001"/>
    <n v="-6.46"/>
    <n v="16611"/>
    <n v="7.91"/>
  </r>
  <r>
    <x v="75"/>
    <s v="002140"/>
    <s v="东华科技"/>
    <n v="7800"/>
    <n v="7800"/>
    <n v="12.891"/>
    <n v="-2504.33"/>
    <n v="-2.4900000000000002"/>
    <n v="98046"/>
    <n v="12.57"/>
  </r>
  <r>
    <x v="75"/>
    <s v="reserve"/>
    <s v="备用金"/>
    <m/>
    <m/>
    <m/>
    <m/>
    <m/>
    <n v="11053.3"/>
    <m/>
  </r>
  <r>
    <x v="76"/>
    <s v="519888"/>
    <s v="添富快线"/>
    <n v="20989359"/>
    <n v="20989359"/>
    <n v="0.01"/>
    <n v="1919.1"/>
    <n v="0"/>
    <n v="209893.59"/>
    <n v="0.01"/>
  </r>
  <r>
    <x v="76"/>
    <s v="600269"/>
    <s v="赣粤高速"/>
    <n v="100"/>
    <n v="100"/>
    <n v="4.9210000000000003"/>
    <n v="84.87"/>
    <n v="17.25"/>
    <n v="577"/>
    <n v="5.77"/>
  </r>
  <r>
    <x v="76"/>
    <s v="601398"/>
    <s v="工商银行"/>
    <n v="100"/>
    <n v="100"/>
    <n v="-53.579000000000001"/>
    <n v="5913.9"/>
    <n v="0"/>
    <n v="556"/>
    <n v="5.56"/>
  </r>
  <r>
    <x v="76"/>
    <s v="601998"/>
    <s v="中信银行"/>
    <n v="2100"/>
    <n v="2100"/>
    <n v="5.9349999999999996"/>
    <n v="1689.54"/>
    <n v="13.56"/>
    <n v="14154"/>
    <n v="6.74"/>
  </r>
  <r>
    <x v="76"/>
    <s v="000402"/>
    <s v="金 融 街"/>
    <n v="1200"/>
    <n v="1200"/>
    <n v="4.5380000000000003"/>
    <n v="8894.5400000000009"/>
    <n v="163.33000000000001"/>
    <n v="14340"/>
    <n v="11.95"/>
  </r>
  <r>
    <x v="76"/>
    <s v="000415"/>
    <s v="渤海金控"/>
    <n v="100"/>
    <n v="100"/>
    <n v="-20.638000000000002"/>
    <n v="2760.8"/>
    <n v="0"/>
    <n v="697"/>
    <n v="6.97"/>
  </r>
  <r>
    <x v="76"/>
    <s v="000528"/>
    <s v="柳    工"/>
    <n v="5250"/>
    <n v="5250"/>
    <n v="9.3770000000000007"/>
    <n v="-191.94"/>
    <n v="-0.39"/>
    <n v="49035"/>
    <n v="9.34"/>
  </r>
  <r>
    <x v="76"/>
    <s v="002006"/>
    <s v="精功科技"/>
    <n v="2100"/>
    <n v="2100"/>
    <n v="8.4559999999999995"/>
    <n v="-1146.8800000000001"/>
    <n v="-6.46"/>
    <n v="16611"/>
    <n v="7.91"/>
  </r>
  <r>
    <x v="76"/>
    <s v="002140"/>
    <s v="东华科技"/>
    <n v="7900"/>
    <n v="7900"/>
    <n v="12.877000000000001"/>
    <n v="-3297.39"/>
    <n v="-3.24"/>
    <n v="98434"/>
    <n v="12.46"/>
  </r>
  <r>
    <x v="76"/>
    <s v="reserve"/>
    <s v="备用金"/>
    <m/>
    <m/>
    <m/>
    <m/>
    <m/>
    <n v="12737.17"/>
    <m/>
  </r>
  <r>
    <x v="77"/>
    <s v="519888"/>
    <s v="添富快线"/>
    <n v="20001987"/>
    <n v="20001987"/>
    <n v="0.01"/>
    <n v="1938.38"/>
    <n v="0"/>
    <n v="200019.87"/>
    <n v="0.01"/>
  </r>
  <r>
    <x v="77"/>
    <s v="600269"/>
    <s v="赣粤高速"/>
    <n v="100"/>
    <n v="100"/>
    <n v="4.9210000000000003"/>
    <n v="77.87"/>
    <n v="15.83"/>
    <n v="570"/>
    <n v="5.7"/>
  </r>
  <r>
    <x v="77"/>
    <s v="601398"/>
    <s v="工商银行"/>
    <n v="100"/>
    <n v="100"/>
    <n v="-53.579000000000001"/>
    <n v="5927.9"/>
    <n v="0"/>
    <n v="570"/>
    <n v="5.7"/>
  </r>
  <r>
    <x v="77"/>
    <s v="601998"/>
    <s v="中信银行"/>
    <n v="1700"/>
    <n v="1700"/>
    <n v="5.7510000000000003"/>
    <n v="1681.79"/>
    <n v="17.2"/>
    <n v="11458"/>
    <n v="6.74"/>
  </r>
  <r>
    <x v="77"/>
    <s v="000402"/>
    <s v="金 融 街"/>
    <n v="2200"/>
    <n v="2200"/>
    <n v="7.83"/>
    <n v="8536.5400000000009"/>
    <n v="49.55"/>
    <n v="25762"/>
    <n v="11.71"/>
  </r>
  <r>
    <x v="77"/>
    <s v="000415"/>
    <s v="渤海金控"/>
    <n v="100"/>
    <n v="100"/>
    <n v="-20.638000000000002"/>
    <n v="2772.8"/>
    <n v="0"/>
    <n v="709"/>
    <n v="7.09"/>
  </r>
  <r>
    <x v="77"/>
    <s v="000528"/>
    <s v="柳    工"/>
    <n v="5750"/>
    <n v="5750"/>
    <n v="9.3550000000000004"/>
    <n v="-1409.44"/>
    <n v="-2.62"/>
    <n v="52382.5"/>
    <n v="9.11"/>
  </r>
  <r>
    <x v="77"/>
    <s v="002006"/>
    <s v="精功科技"/>
    <n v="2100"/>
    <n v="2100"/>
    <n v="8.4559999999999995"/>
    <n v="-1146.8800000000001"/>
    <n v="-6.46"/>
    <n v="16611"/>
    <n v="7.91"/>
  </r>
  <r>
    <x v="77"/>
    <s v="002140"/>
    <s v="东华科技"/>
    <n v="8400"/>
    <n v="8400"/>
    <n v="12.842000000000001"/>
    <n v="-4724.3900000000003"/>
    <n v="-4.38"/>
    <n v="103152"/>
    <n v="12.28"/>
  </r>
  <r>
    <x v="77"/>
    <s v="reserve"/>
    <s v="备用金"/>
    <m/>
    <m/>
    <m/>
    <m/>
    <m/>
    <n v="2828.42"/>
    <m/>
  </r>
  <r>
    <x v="78"/>
    <s v="519888"/>
    <s v="添富快线"/>
    <n v="18003934"/>
    <n v="18003934"/>
    <n v="0.01"/>
    <n v="1957.85"/>
    <n v="0"/>
    <n v="180039.34"/>
    <n v="0.01"/>
  </r>
  <r>
    <x v="78"/>
    <s v="600269"/>
    <s v="赣粤高速"/>
    <n v="100"/>
    <n v="100"/>
    <n v="4.9210000000000003"/>
    <n v="69.87"/>
    <n v="14.21"/>
    <n v="562"/>
    <n v="5.62"/>
  </r>
  <r>
    <x v="78"/>
    <s v="601398"/>
    <s v="工商银行"/>
    <n v="100"/>
    <n v="100"/>
    <n v="-53.579000000000001"/>
    <n v="5923.9"/>
    <n v="0"/>
    <n v="566"/>
    <n v="5.66"/>
  </r>
  <r>
    <x v="78"/>
    <s v="601998"/>
    <s v="中信银行"/>
    <n v="2200"/>
    <n v="2200"/>
    <n v="5.9509999999999996"/>
    <n v="1340.72"/>
    <n v="10.23"/>
    <n v="14432"/>
    <n v="6.56"/>
  </r>
  <r>
    <x v="78"/>
    <s v="000402"/>
    <s v="金 融 街"/>
    <n v="3200"/>
    <n v="3200"/>
    <n v="9.0030000000000001"/>
    <n v="7957.54"/>
    <n v="27.63"/>
    <n v="36768"/>
    <n v="11.49"/>
  </r>
  <r>
    <x v="78"/>
    <s v="000415"/>
    <s v="渤海金控"/>
    <n v="100"/>
    <n v="100"/>
    <n v="-20.638000000000002"/>
    <n v="2770.8"/>
    <n v="0"/>
    <n v="707"/>
    <n v="7.07"/>
  </r>
  <r>
    <x v="78"/>
    <s v="000528"/>
    <s v="柳    工"/>
    <n v="5750"/>
    <n v="5750"/>
    <n v="9.3550000000000004"/>
    <n v="-1236.94"/>
    <n v="-2.2999999999999998"/>
    <n v="52555"/>
    <n v="9.14"/>
  </r>
  <r>
    <x v="78"/>
    <s v="002006"/>
    <s v="精功科技"/>
    <n v="2100"/>
    <n v="2100"/>
    <n v="8.4559999999999995"/>
    <n v="-1146.8800000000001"/>
    <n v="-6.46"/>
    <n v="16611"/>
    <n v="7.91"/>
  </r>
  <r>
    <x v="78"/>
    <s v="002140"/>
    <s v="东华科技"/>
    <n v="8400"/>
    <n v="8400"/>
    <n v="12.842000000000001"/>
    <n v="-4556.3900000000003"/>
    <n v="-4.22"/>
    <n v="103320"/>
    <n v="12.3"/>
  </r>
  <r>
    <x v="78"/>
    <s v="reserve"/>
    <s v="备用金"/>
    <m/>
    <m/>
    <m/>
    <m/>
    <m/>
    <n v="7913.3"/>
    <m/>
  </r>
  <r>
    <x v="79"/>
    <s v="519888"/>
    <s v="添富快线"/>
    <n v="16510052"/>
    <n v="16510052"/>
    <n v="0.01"/>
    <n v="2019.03"/>
    <n v="0"/>
    <n v="165100.51999999999"/>
    <n v="0.01"/>
  </r>
  <r>
    <x v="79"/>
    <s v="600269"/>
    <s v="赣粤高速"/>
    <n v="100"/>
    <n v="100"/>
    <n v="4.9210000000000003"/>
    <n v="76.87"/>
    <n v="15.63"/>
    <n v="569"/>
    <n v="5.69"/>
  </r>
  <r>
    <x v="79"/>
    <s v="601398"/>
    <s v="工商银行"/>
    <n v="100"/>
    <n v="100"/>
    <n v="-53.579000000000001"/>
    <n v="5923.9"/>
    <n v="0"/>
    <n v="566"/>
    <n v="5.66"/>
  </r>
  <r>
    <x v="79"/>
    <s v="601998"/>
    <s v="中信银行"/>
    <n v="2700"/>
    <n v="2700"/>
    <n v="6.0430000000000001"/>
    <n v="1233.6600000000001"/>
    <n v="7.56"/>
    <n v="17550"/>
    <n v="6.5"/>
  </r>
  <r>
    <x v="79"/>
    <s v="000402"/>
    <s v="金 融 街"/>
    <n v="3800"/>
    <n v="3800"/>
    <n v="9.3740000000000006"/>
    <n v="8191.93"/>
    <n v="23"/>
    <n v="43814"/>
    <n v="11.53"/>
  </r>
  <r>
    <x v="79"/>
    <s v="000415"/>
    <s v="渤海金控"/>
    <n v="100"/>
    <n v="100"/>
    <n v="-20.638000000000002"/>
    <n v="2769.8"/>
    <n v="0"/>
    <n v="706"/>
    <n v="7.06"/>
  </r>
  <r>
    <x v="79"/>
    <s v="000528"/>
    <s v="柳    工"/>
    <n v="5750"/>
    <n v="5750"/>
    <n v="9.3320000000000007"/>
    <n v="-1273.73"/>
    <n v="-2.38"/>
    <n v="52382.5"/>
    <n v="9.11"/>
  </r>
  <r>
    <x v="79"/>
    <s v="002006"/>
    <s v="精功科技"/>
    <n v="2100"/>
    <n v="2100"/>
    <n v="8.4559999999999995"/>
    <n v="-1146.8800000000001"/>
    <n v="-6.46"/>
    <n v="16611"/>
    <n v="7.91"/>
  </r>
  <r>
    <x v="79"/>
    <s v="002140"/>
    <s v="东华科技"/>
    <n v="8000"/>
    <n v="8000"/>
    <n v="12.863"/>
    <n v="-3706.37"/>
    <n v="-3.6"/>
    <n v="99200"/>
    <n v="12.4"/>
  </r>
  <r>
    <x v="79"/>
    <s v="reserve"/>
    <s v="备用金"/>
    <m/>
    <m/>
    <m/>
    <m/>
    <m/>
    <n v="17975.36"/>
    <m/>
  </r>
  <r>
    <x v="80"/>
    <s v="519888"/>
    <s v="添富快线"/>
    <n v="16511430"/>
    <n v="16511430"/>
    <n v="0.01"/>
    <n v="2032.81"/>
    <n v="0"/>
    <n v="165114.29999999999"/>
    <n v="0.01"/>
  </r>
  <r>
    <x v="80"/>
    <s v="600269"/>
    <s v="赣粤高速"/>
    <n v="100"/>
    <n v="100"/>
    <n v="4.9210000000000003"/>
    <n v="85.87"/>
    <n v="17.46"/>
    <n v="578"/>
    <n v="5.78"/>
  </r>
  <r>
    <x v="80"/>
    <s v="601398"/>
    <s v="工商银行"/>
    <n v="100"/>
    <n v="100"/>
    <n v="-53.579000000000001"/>
    <n v="5925.9"/>
    <n v="0"/>
    <n v="568"/>
    <n v="5.68"/>
  </r>
  <r>
    <x v="80"/>
    <s v="601998"/>
    <s v="中信银行"/>
    <n v="2700"/>
    <n v="2700"/>
    <n v="6.0430000000000001"/>
    <n v="1341.66"/>
    <n v="8.23"/>
    <n v="17658"/>
    <n v="6.54"/>
  </r>
  <r>
    <x v="80"/>
    <s v="000402"/>
    <s v="金 融 街"/>
    <n v="4300"/>
    <n v="4300"/>
    <n v="9.6140000000000008"/>
    <n v="7849.93"/>
    <n v="18.989999999999998"/>
    <n v="49192"/>
    <n v="11.44"/>
  </r>
  <r>
    <x v="80"/>
    <s v="000415"/>
    <s v="渤海金控"/>
    <n v="100"/>
    <n v="100"/>
    <n v="-20.638000000000002"/>
    <n v="2768.8"/>
    <n v="0"/>
    <n v="705"/>
    <n v="7.05"/>
  </r>
  <r>
    <x v="80"/>
    <s v="000528"/>
    <s v="柳    工"/>
    <n v="4850"/>
    <n v="4850"/>
    <n v="9.3469999999999995"/>
    <n v="-129.58000000000001"/>
    <n v="-0.28999999999999998"/>
    <n v="45202"/>
    <n v="9.32"/>
  </r>
  <r>
    <x v="80"/>
    <s v="002006"/>
    <s v="精功科技"/>
    <n v="2100"/>
    <n v="2100"/>
    <n v="8.4559999999999995"/>
    <n v="-1146.8800000000001"/>
    <n v="-6.46"/>
    <n v="16611"/>
    <n v="7.91"/>
  </r>
  <r>
    <x v="80"/>
    <s v="002140"/>
    <s v="东华科技"/>
    <n v="8000"/>
    <n v="8000"/>
    <n v="12.863"/>
    <n v="-2986.37"/>
    <n v="-2.9"/>
    <n v="99920"/>
    <n v="12.49"/>
  </r>
  <r>
    <x v="80"/>
    <s v="reserve"/>
    <s v="备用金"/>
    <m/>
    <m/>
    <m/>
    <m/>
    <m/>
    <n v="20580.009999999998"/>
    <m/>
  </r>
  <r>
    <x v="81"/>
    <s v="519888"/>
    <s v="添富快线"/>
    <n v="13502897"/>
    <n v="13502897"/>
    <n v="0.01"/>
    <n v="2047.48"/>
    <n v="0"/>
    <n v="135028.97"/>
    <n v="0.01"/>
  </r>
  <r>
    <x v="81"/>
    <s v="600269"/>
    <s v="赣粤高速"/>
    <n v="600"/>
    <n v="100"/>
    <n v="5.4039999999999999"/>
    <n v="45.82"/>
    <n v="1.41"/>
    <n v="3288"/>
    <n v="5.48"/>
  </r>
  <r>
    <x v="81"/>
    <s v="601398"/>
    <s v="工商银行"/>
    <n v="100"/>
    <n v="100"/>
    <n v="-53.579000000000001"/>
    <n v="5909.9"/>
    <n v="0"/>
    <n v="552"/>
    <n v="5.52"/>
  </r>
  <r>
    <x v="81"/>
    <s v="601998"/>
    <s v="中信银行"/>
    <n v="2700"/>
    <n v="2700"/>
    <n v="6.0430000000000001"/>
    <n v="1098.6600000000001"/>
    <n v="6.74"/>
    <n v="17415"/>
    <n v="6.45"/>
  </r>
  <r>
    <x v="81"/>
    <s v="000402"/>
    <s v="金 融 街"/>
    <n v="6100"/>
    <n v="4100"/>
    <n v="10.111000000000001"/>
    <n v="7313.2"/>
    <n v="11.86"/>
    <n v="68991"/>
    <n v="11.31"/>
  </r>
  <r>
    <x v="81"/>
    <s v="000415"/>
    <s v="渤海金控"/>
    <n v="100"/>
    <n v="100"/>
    <n v="-20.638000000000002"/>
    <n v="2740.8"/>
    <n v="0"/>
    <n v="677"/>
    <n v="6.77"/>
  </r>
  <r>
    <x v="81"/>
    <s v="000528"/>
    <s v="柳    工"/>
    <n v="5550"/>
    <n v="4550"/>
    <n v="9.3059999999999992"/>
    <n v="-1030.1099999999999"/>
    <n v="-2"/>
    <n v="50616"/>
    <n v="9.1199999999999992"/>
  </r>
  <r>
    <x v="81"/>
    <s v="002006"/>
    <s v="精功科技"/>
    <n v="2100"/>
    <n v="2100"/>
    <n v="8.4559999999999995"/>
    <n v="-1146.8800000000001"/>
    <n v="-6.46"/>
    <n v="16611"/>
    <n v="7.91"/>
  </r>
  <r>
    <x v="81"/>
    <s v="002140"/>
    <s v="东华科技"/>
    <n v="8500"/>
    <n v="8000"/>
    <n v="12.826000000000001"/>
    <n v="-5661.37"/>
    <n v="-5.19"/>
    <n v="103360"/>
    <n v="12.16"/>
  </r>
  <r>
    <x v="81"/>
    <s v="reserve"/>
    <s v="备用金"/>
    <m/>
    <m/>
    <m/>
    <m/>
    <m/>
    <n v="15159.2"/>
    <m/>
  </r>
  <r>
    <x v="82"/>
    <s v="519888"/>
    <s v="添富快线"/>
    <n v="10504307"/>
    <n v="10504307"/>
    <n v="0.01"/>
    <n v="2061.58"/>
    <n v="0"/>
    <n v="105043.07"/>
    <n v="0.01"/>
  </r>
  <r>
    <x v="82"/>
    <s v="600269"/>
    <s v="赣粤高速"/>
    <n v="1100"/>
    <n v="600"/>
    <n v="5.4020000000000001"/>
    <n v="-35.229999999999997"/>
    <n v="-0.59"/>
    <n v="5907"/>
    <n v="5.37"/>
  </r>
  <r>
    <x v="82"/>
    <s v="601398"/>
    <s v="工商银行"/>
    <n v="100"/>
    <n v="100"/>
    <n v="-53.579000000000001"/>
    <n v="5912.9"/>
    <n v="0"/>
    <n v="555"/>
    <n v="5.55"/>
  </r>
  <r>
    <x v="82"/>
    <s v="601998"/>
    <s v="中信银行"/>
    <n v="3200"/>
    <n v="2700"/>
    <n v="6.093"/>
    <n v="695.6"/>
    <n v="3.56"/>
    <n v="20192"/>
    <n v="6.31"/>
  </r>
  <r>
    <x v="82"/>
    <s v="000402"/>
    <s v="金 融 街"/>
    <n v="7600"/>
    <n v="6100"/>
    <n v="10.314"/>
    <n v="5060.2"/>
    <n v="6.46"/>
    <n v="83448"/>
    <n v="10.98"/>
  </r>
  <r>
    <x v="82"/>
    <s v="000415"/>
    <s v="渤海金控"/>
    <n v="100"/>
    <n v="100"/>
    <n v="-20.638000000000002"/>
    <n v="2734.8"/>
    <n v="0"/>
    <n v="671"/>
    <n v="6.71"/>
  </r>
  <r>
    <x v="82"/>
    <s v="000528"/>
    <s v="柳    工"/>
    <n v="7050"/>
    <n v="5550"/>
    <n v="9.2050000000000001"/>
    <n v="-3490.61"/>
    <n v="-5.38"/>
    <n v="61405.5"/>
    <n v="8.7100000000000009"/>
  </r>
  <r>
    <x v="82"/>
    <s v="002006"/>
    <s v="精功科技"/>
    <n v="2100"/>
    <n v="2100"/>
    <n v="8.4559999999999995"/>
    <n v="-1146.8800000000001"/>
    <n v="-6.46"/>
    <n v="16611"/>
    <n v="7.91"/>
  </r>
  <r>
    <x v="82"/>
    <s v="002140"/>
    <s v="东华科技"/>
    <n v="8900"/>
    <n v="8500"/>
    <n v="12.792999999999999"/>
    <n v="-7770.37"/>
    <n v="-6.82"/>
    <n v="106088"/>
    <n v="11.92"/>
  </r>
  <r>
    <x v="82"/>
    <s v="reserve"/>
    <s v="备用金"/>
    <m/>
    <m/>
    <m/>
    <m/>
    <m/>
    <n v="4482.09"/>
    <m/>
  </r>
  <r>
    <x v="83"/>
    <s v="519888"/>
    <s v="添富快线"/>
    <n v="10508052"/>
    <n v="10508052"/>
    <n v="0.01"/>
    <n v="2099.0300000000002"/>
    <n v="0"/>
    <n v="105080.52"/>
    <n v="0.01"/>
  </r>
  <r>
    <x v="83"/>
    <s v="600269"/>
    <s v="赣粤高速"/>
    <n v="1100"/>
    <n v="1100"/>
    <n v="5.4020000000000001"/>
    <n v="30.77"/>
    <n v="0.52"/>
    <n v="5973"/>
    <n v="5.43"/>
  </r>
  <r>
    <x v="83"/>
    <s v="601398"/>
    <s v="工商银行"/>
    <n v="100"/>
    <n v="100"/>
    <n v="-53.579000000000001"/>
    <n v="5906.9"/>
    <n v="0"/>
    <n v="549"/>
    <n v="5.49"/>
  </r>
  <r>
    <x v="83"/>
    <s v="601998"/>
    <s v="中信银行"/>
    <n v="3200"/>
    <n v="3200"/>
    <n v="6.093"/>
    <n v="727.6"/>
    <n v="3.73"/>
    <n v="20224"/>
    <n v="6.32"/>
  </r>
  <r>
    <x v="83"/>
    <s v="000402"/>
    <s v="金 融 街"/>
    <n v="7200"/>
    <n v="7200"/>
    <n v="10.266"/>
    <n v="6438.72"/>
    <n v="8.7100000000000009"/>
    <n v="80352"/>
    <n v="11.16"/>
  </r>
  <r>
    <x v="83"/>
    <s v="000415"/>
    <s v="渤海金控"/>
    <n v="100"/>
    <n v="100"/>
    <n v="-20.638000000000002"/>
    <n v="2745.8"/>
    <n v="0"/>
    <n v="682"/>
    <n v="6.82"/>
  </r>
  <r>
    <x v="83"/>
    <s v="000528"/>
    <s v="柳    工"/>
    <n v="7050"/>
    <n v="7050"/>
    <n v="9.2050000000000001"/>
    <n v="-2856.11"/>
    <n v="-4.4000000000000004"/>
    <n v="62040"/>
    <n v="8.8000000000000007"/>
  </r>
  <r>
    <x v="83"/>
    <s v="002006"/>
    <s v="精功科技"/>
    <n v="2100"/>
    <n v="2100"/>
    <n v="8.4559999999999995"/>
    <n v="-1146.8800000000001"/>
    <n v="-6.46"/>
    <n v="16611"/>
    <n v="7.91"/>
  </r>
  <r>
    <x v="83"/>
    <s v="002140"/>
    <s v="东华科技"/>
    <n v="8900"/>
    <n v="8900"/>
    <n v="12.792999999999999"/>
    <n v="-5011.37"/>
    <n v="-4.4000000000000004"/>
    <n v="108847"/>
    <n v="12.23"/>
  </r>
  <r>
    <x v="83"/>
    <s v="reserve"/>
    <s v="备用金"/>
    <m/>
    <m/>
    <m/>
    <m/>
    <m/>
    <n v="8956.61"/>
    <m/>
  </r>
  <r>
    <x v="84"/>
    <s v="519888"/>
    <s v="添富快线"/>
    <n v="10509074"/>
    <n v="10509074"/>
    <n v="0.01"/>
    <n v="2109.25"/>
    <n v="0"/>
    <n v="105090.74"/>
    <n v="0.01"/>
  </r>
  <r>
    <x v="84"/>
    <s v="600269"/>
    <s v="赣粤高速"/>
    <n v="1100"/>
    <n v="1100"/>
    <n v="5.4020000000000001"/>
    <n v="-2.23"/>
    <n v="-0.04"/>
    <n v="5940"/>
    <n v="5.4"/>
  </r>
  <r>
    <x v="84"/>
    <s v="601398"/>
    <s v="工商银行"/>
    <n v="100"/>
    <n v="100"/>
    <n v="-53.579000000000001"/>
    <n v="5920.9"/>
    <n v="0"/>
    <n v="563"/>
    <n v="5.63"/>
  </r>
  <r>
    <x v="84"/>
    <s v="601998"/>
    <s v="中信银行"/>
    <n v="3200"/>
    <n v="3200"/>
    <n v="6.093"/>
    <n v="727.6"/>
    <n v="3.73"/>
    <n v="20224"/>
    <n v="6.32"/>
  </r>
  <r>
    <x v="84"/>
    <s v="000402"/>
    <s v="金 融 街"/>
    <n v="7200"/>
    <n v="7200"/>
    <n v="10.266"/>
    <n v="6726.72"/>
    <n v="9.1"/>
    <n v="80640"/>
    <n v="11.2"/>
  </r>
  <r>
    <x v="84"/>
    <s v="000415"/>
    <s v="渤海金控"/>
    <n v="100"/>
    <n v="100"/>
    <n v="-20.638000000000002"/>
    <n v="2745.8"/>
    <n v="0"/>
    <n v="682"/>
    <n v="6.82"/>
  </r>
  <r>
    <x v="84"/>
    <s v="000528"/>
    <s v="柳    工"/>
    <n v="7550"/>
    <n v="7550"/>
    <n v="9.1739999999999995"/>
    <n v="-2826.11"/>
    <n v="-4.08"/>
    <n v="66440"/>
    <n v="8.8000000000000007"/>
  </r>
  <r>
    <x v="84"/>
    <s v="002006"/>
    <s v="精功科技"/>
    <n v="2100"/>
    <n v="2100"/>
    <n v="8.4559999999999995"/>
    <n v="-1146.8800000000001"/>
    <n v="-6.46"/>
    <n v="16611"/>
    <n v="7.91"/>
  </r>
  <r>
    <x v="84"/>
    <s v="002140"/>
    <s v="东华科技"/>
    <n v="7900"/>
    <n v="7400"/>
    <n v="12.798"/>
    <n v="-534.91"/>
    <n v="-0.53"/>
    <n v="100567"/>
    <n v="12.73"/>
  </r>
  <r>
    <x v="84"/>
    <s v="reserve"/>
    <s v="备用金"/>
    <m/>
    <m/>
    <m/>
    <m/>
    <m/>
    <n v="17339.57"/>
    <m/>
  </r>
  <r>
    <x v="85"/>
    <s v="519888"/>
    <s v="添富快线"/>
    <n v="10510022"/>
    <n v="10510022"/>
    <n v="0.01"/>
    <n v="2118.73"/>
    <n v="0"/>
    <n v="105100.22"/>
    <n v="0.01"/>
  </r>
  <r>
    <x v="85"/>
    <s v="600269"/>
    <s v="赣粤高速"/>
    <n v="1100"/>
    <n v="1100"/>
    <n v="5.4020000000000001"/>
    <n v="63.77"/>
    <n v="1.26"/>
    <n v="6006"/>
    <n v="5.46"/>
  </r>
  <r>
    <x v="85"/>
    <s v="601398"/>
    <s v="工商银行"/>
    <n v="100"/>
    <n v="100"/>
    <n v="-53.579000000000001"/>
    <n v="5919.9"/>
    <n v="0"/>
    <n v="562"/>
    <n v="5.62"/>
  </r>
  <r>
    <x v="85"/>
    <s v="601998"/>
    <s v="中信银行"/>
    <n v="3200"/>
    <n v="3200"/>
    <n v="6.093"/>
    <n v="855.6"/>
    <n v="4.38"/>
    <n v="20352"/>
    <n v="6.36"/>
  </r>
  <r>
    <x v="85"/>
    <s v="000402"/>
    <s v="金 融 街"/>
    <n v="6800"/>
    <n v="6800"/>
    <n v="10.205"/>
    <n v="7649.19"/>
    <n v="11.03"/>
    <n v="77044"/>
    <n v="11.33"/>
  </r>
  <r>
    <x v="85"/>
    <s v="000415"/>
    <s v="渤海金控"/>
    <n v="100"/>
    <n v="100"/>
    <n v="-20.638000000000002"/>
    <n v="2748.8"/>
    <n v="0"/>
    <n v="685"/>
    <n v="6.85"/>
  </r>
  <r>
    <x v="85"/>
    <s v="000528"/>
    <s v="柳    工"/>
    <n v="7050"/>
    <n v="7050"/>
    <n v="9.1989999999999998"/>
    <n v="-2528.54"/>
    <n v="-3.9"/>
    <n v="62322"/>
    <n v="8.84"/>
  </r>
  <r>
    <x v="85"/>
    <s v="002006"/>
    <s v="精功科技"/>
    <n v="2100"/>
    <n v="2100"/>
    <n v="8.4559999999999995"/>
    <n v="-1146.8800000000001"/>
    <n v="-6.46"/>
    <n v="16611"/>
    <n v="7.91"/>
  </r>
  <r>
    <x v="85"/>
    <s v="002140"/>
    <s v="东华科技"/>
    <n v="7500"/>
    <n v="7500"/>
    <n v="12.785"/>
    <n v="1165.8599999999999"/>
    <n v="1.21"/>
    <n v="97050"/>
    <n v="12.94"/>
  </r>
  <r>
    <x v="85"/>
    <s v="SZRQ88"/>
    <s v="国标准券"/>
    <n v="31000"/>
    <n v="0"/>
    <n v="1"/>
    <n v="-0.31"/>
    <n v="0"/>
    <n v="31000"/>
    <n v="1"/>
  </r>
  <r>
    <x v="85"/>
    <s v="reserve"/>
    <s v="备用金"/>
    <m/>
    <m/>
    <m/>
    <m/>
    <m/>
    <n v="489.57"/>
    <m/>
  </r>
  <r>
    <x v="86"/>
    <s v="519888"/>
    <s v="添富快线"/>
    <n v="10512153"/>
    <n v="10512153"/>
    <n v="0.01"/>
    <n v="2140.04"/>
    <n v="0"/>
    <n v="105121.53"/>
    <n v="0.01"/>
  </r>
  <r>
    <x v="86"/>
    <s v="600269"/>
    <s v="赣粤高速"/>
    <n v="700"/>
    <n v="700"/>
    <n v="5.351"/>
    <n v="97.53"/>
    <n v="2.6"/>
    <n v="3843"/>
    <n v="5.49"/>
  </r>
  <r>
    <x v="86"/>
    <s v="601398"/>
    <s v="工商银行"/>
    <n v="100"/>
    <n v="100"/>
    <n v="-53.579000000000001"/>
    <n v="5919.9"/>
    <n v="0"/>
    <n v="562"/>
    <n v="5.62"/>
  </r>
  <r>
    <x v="86"/>
    <s v="601998"/>
    <s v="中信银行"/>
    <n v="3700"/>
    <n v="3700"/>
    <n v="6.1230000000000002"/>
    <n v="690.54"/>
    <n v="3.06"/>
    <n v="23347"/>
    <n v="6.31"/>
  </r>
  <r>
    <x v="86"/>
    <s v="000402"/>
    <s v="金 融 街"/>
    <n v="6000"/>
    <n v="6000"/>
    <n v="10.02"/>
    <n v="10017.9"/>
    <n v="16.670000000000002"/>
    <n v="70140"/>
    <n v="11.69"/>
  </r>
  <r>
    <x v="86"/>
    <s v="000415"/>
    <s v="渤海金控"/>
    <n v="100"/>
    <n v="100"/>
    <n v="-20.638000000000002"/>
    <n v="2751.8"/>
    <n v="0"/>
    <n v="688"/>
    <n v="6.88"/>
  </r>
  <r>
    <x v="86"/>
    <s v="000528"/>
    <s v="柳    工"/>
    <n v="7050"/>
    <n v="7050"/>
    <n v="9.1989999999999998"/>
    <n v="-2528.54"/>
    <n v="-3.9"/>
    <n v="62322"/>
    <n v="8.84"/>
  </r>
  <r>
    <x v="86"/>
    <s v="002006"/>
    <s v="精功科技"/>
    <n v="2100"/>
    <n v="2100"/>
    <n v="8.4559999999999995"/>
    <n v="-1146.8800000000001"/>
    <n v="-6.46"/>
    <n v="16611"/>
    <n v="7.91"/>
  </r>
  <r>
    <x v="86"/>
    <s v="002140"/>
    <s v="东华科技"/>
    <n v="7500"/>
    <n v="7500"/>
    <n v="12.785"/>
    <n v="-409.14"/>
    <n v="-0.43"/>
    <n v="95475"/>
    <n v="12.73"/>
  </r>
  <r>
    <x v="86"/>
    <s v="SZRQ88"/>
    <s v="国标准券"/>
    <n v="29000"/>
    <n v="29000"/>
    <n v="1"/>
    <n v="12.92"/>
    <n v="0"/>
    <m/>
    <n v="1"/>
  </r>
  <r>
    <x v="86"/>
    <s v="reserve"/>
    <s v="备用金"/>
    <m/>
    <m/>
    <m/>
    <m/>
    <m/>
    <n v="39813.480000000003"/>
    <m/>
  </r>
  <r>
    <x v="87"/>
    <s v="519888"/>
    <s v="添富快线"/>
    <n v="12514800"/>
    <n v="12514800"/>
    <n v="0.01"/>
    <n v="2166.5100000000002"/>
    <n v="0"/>
    <n v="125148"/>
    <n v="0.01"/>
  </r>
  <r>
    <x v="87"/>
    <s v="600269"/>
    <s v="赣粤高速"/>
    <n v="700"/>
    <n v="700"/>
    <n v="5.351"/>
    <n v="90.53"/>
    <n v="0"/>
    <n v="3836"/>
    <n v="5.48"/>
  </r>
  <r>
    <x v="87"/>
    <s v="601398"/>
    <s v="工商银行"/>
    <n v="100"/>
    <n v="100"/>
    <n v="-53.579000000000001"/>
    <n v="5920.9"/>
    <n v="0"/>
    <n v="563"/>
    <n v="5.63"/>
  </r>
  <r>
    <x v="87"/>
    <s v="601998"/>
    <s v="中信银行"/>
    <n v="3700"/>
    <n v="3700"/>
    <n v="6.1230000000000002"/>
    <n v="838.54"/>
    <n v="0"/>
    <n v="23495"/>
    <n v="6.35"/>
  </r>
  <r>
    <x v="87"/>
    <s v="000402"/>
    <s v="金 融 街"/>
    <n v="4400"/>
    <n v="4400"/>
    <n v="9.2919999999999998"/>
    <n v="12222.63"/>
    <n v="29.9"/>
    <n v="53108"/>
    <n v="12.07"/>
  </r>
  <r>
    <x v="87"/>
    <s v="000415"/>
    <s v="渤海金控"/>
    <n v="100"/>
    <n v="100"/>
    <n v="-20.638000000000002"/>
    <n v="2751.8"/>
    <n v="0"/>
    <n v="688"/>
    <n v="6.88"/>
  </r>
  <r>
    <x v="87"/>
    <s v="000528"/>
    <s v="柳    工"/>
    <n v="7050"/>
    <n v="7050"/>
    <n v="9.1989999999999998"/>
    <n v="-2246.54"/>
    <n v="-3.47"/>
    <n v="62604"/>
    <n v="8.8800000000000008"/>
  </r>
  <r>
    <x v="87"/>
    <s v="002006"/>
    <s v="精功科技"/>
    <n v="2100"/>
    <n v="2100"/>
    <n v="8.4559999999999995"/>
    <n v="-1146.8800000000001"/>
    <n v="-6.46"/>
    <n v="16611"/>
    <n v="7.91"/>
  </r>
  <r>
    <x v="87"/>
    <s v="002140"/>
    <s v="东华科技"/>
    <n v="7500"/>
    <n v="7500"/>
    <n v="12.785"/>
    <n v="-109.14"/>
    <n v="-0.12"/>
    <n v="95775"/>
    <n v="12.77"/>
  </r>
  <r>
    <x v="87"/>
    <s v="reserve"/>
    <s v="备用金"/>
    <m/>
    <m/>
    <m/>
    <m/>
    <m/>
    <n v="39050.21"/>
    <m/>
  </r>
  <r>
    <x v="88"/>
    <s v="519888"/>
    <s v="添富快线"/>
    <n v="12516215"/>
    <n v="12516215"/>
    <n v="0.01"/>
    <n v="2180.66"/>
    <n v="0"/>
    <n v="125162.15"/>
    <n v="0.01"/>
  </r>
  <r>
    <x v="88"/>
    <s v="600269"/>
    <s v="赣粤高速"/>
    <n v="700"/>
    <n v="700"/>
    <n v="5.351"/>
    <n v="41.53"/>
    <n v="1.1000000000000001"/>
    <n v="3787"/>
    <n v="5.41"/>
  </r>
  <r>
    <x v="88"/>
    <s v="601398"/>
    <s v="工商银行"/>
    <n v="100"/>
    <n v="100"/>
    <n v="-53.579000000000001"/>
    <n v="5942.9"/>
    <n v="0"/>
    <n v="585"/>
    <n v="5.85"/>
  </r>
  <r>
    <x v="88"/>
    <s v="601998"/>
    <s v="中信银行"/>
    <n v="3300"/>
    <n v="3300"/>
    <n v="6.0869999999999997"/>
    <n v="1196.9100000000001"/>
    <n v="5.96"/>
    <n v="21285"/>
    <n v="6.45"/>
  </r>
  <r>
    <x v="88"/>
    <s v="000402"/>
    <s v="金 融 街"/>
    <n v="5500"/>
    <n v="5000"/>
    <n v="9.8179999999999996"/>
    <n v="11617.82"/>
    <n v="21.51"/>
    <n v="65615"/>
    <n v="11.93"/>
  </r>
  <r>
    <x v="88"/>
    <s v="000415"/>
    <s v="渤海金控"/>
    <n v="100"/>
    <n v="100"/>
    <n v="-20.638000000000002"/>
    <n v="2746.8"/>
    <n v="0"/>
    <n v="683"/>
    <n v="6.83"/>
  </r>
  <r>
    <x v="88"/>
    <s v="000528"/>
    <s v="柳    工"/>
    <n v="7550"/>
    <n v="7050"/>
    <n v="9.1690000000000005"/>
    <n v="-3238.54"/>
    <n v="-4.68"/>
    <n v="65987"/>
    <n v="8.74"/>
  </r>
  <r>
    <x v="88"/>
    <s v="002006"/>
    <s v="精功科技"/>
    <n v="2100"/>
    <n v="2100"/>
    <n v="8.4559999999999995"/>
    <n v="-1146.8800000000001"/>
    <n v="-6.46"/>
    <n v="16611"/>
    <n v="7.91"/>
  </r>
  <r>
    <x v="88"/>
    <s v="002140"/>
    <s v="东华科技"/>
    <n v="7700"/>
    <n v="7700"/>
    <n v="12.768000000000001"/>
    <n v="-1142.3599999999999"/>
    <n v="-1.1599999999999999"/>
    <n v="97174"/>
    <n v="12.62"/>
  </r>
  <r>
    <x v="88"/>
    <s v="reserve"/>
    <s v="备用金"/>
    <m/>
    <m/>
    <m/>
    <m/>
    <m/>
    <n v="21199.55"/>
    <m/>
  </r>
  <r>
    <x v="89"/>
    <s v="519888"/>
    <s v="添富快线"/>
    <n v="14058579"/>
    <n v="14058579"/>
    <n v="0.01"/>
    <n v="2204.3000000000002"/>
    <n v="0"/>
    <n v="140585.79"/>
    <n v="0.01"/>
  </r>
  <r>
    <x v="89"/>
    <s v="600269"/>
    <s v="赣粤高速"/>
    <n v="700"/>
    <n v="700"/>
    <n v="5.351"/>
    <n v="-0.47"/>
    <n v="-0.02"/>
    <n v="3745"/>
    <n v="5.35"/>
  </r>
  <r>
    <x v="89"/>
    <s v="601398"/>
    <s v="工商银行"/>
    <n v="100"/>
    <n v="100"/>
    <n v="-53.579000000000001"/>
    <n v="5949.9"/>
    <n v="0"/>
    <n v="592"/>
    <n v="5.92"/>
  </r>
  <r>
    <x v="89"/>
    <s v="601998"/>
    <s v="中信银行"/>
    <n v="3300"/>
    <n v="3300"/>
    <n v="6.0869999999999997"/>
    <n v="800.91"/>
    <n v="3.99"/>
    <n v="20889"/>
    <n v="6.33"/>
  </r>
  <r>
    <x v="89"/>
    <s v="000402"/>
    <s v="金 融 街"/>
    <n v="5500"/>
    <n v="5500"/>
    <n v="9.8179999999999996"/>
    <n v="11232.82"/>
    <n v="20.8"/>
    <n v="65230"/>
    <n v="11.86"/>
  </r>
  <r>
    <x v="89"/>
    <s v="000415"/>
    <s v="渤海金控"/>
    <n v="100"/>
    <n v="100"/>
    <n v="-20.638000000000002"/>
    <n v="2737.8"/>
    <n v="0"/>
    <n v="674"/>
    <n v="6.74"/>
  </r>
  <r>
    <x v="89"/>
    <s v="000528"/>
    <s v="柳    工"/>
    <n v="8050"/>
    <n v="8050"/>
    <n v="9.1389999999999993"/>
    <n v="-4094.04"/>
    <n v="-5.57"/>
    <n v="69471.5"/>
    <n v="8.6300000000000008"/>
  </r>
  <r>
    <x v="89"/>
    <s v="002006"/>
    <s v="精功科技"/>
    <n v="2100"/>
    <n v="2100"/>
    <n v="8.4559999999999995"/>
    <n v="-1146.8800000000001"/>
    <n v="-6.46"/>
    <n v="16611"/>
    <n v="7.91"/>
  </r>
  <r>
    <x v="89"/>
    <s v="002140"/>
    <s v="东华科技"/>
    <n v="7300"/>
    <n v="7300"/>
    <n v="12.768000000000001"/>
    <n v="-569.48"/>
    <n v="-0.61"/>
    <n v="92637"/>
    <n v="12.69"/>
  </r>
  <r>
    <x v="89"/>
    <s v="reserve"/>
    <s v="备用金"/>
    <m/>
    <m/>
    <m/>
    <m/>
    <m/>
    <n v="6563.13"/>
    <m/>
  </r>
  <r>
    <x v="90"/>
    <n v="519888"/>
    <s v="添富快线"/>
    <n v="13458579"/>
    <n v="13458579"/>
    <n v="0.01"/>
    <n v="2204.3000000000002"/>
    <n v="0"/>
    <n v="134585.79999999999"/>
    <n v="0.01"/>
  </r>
  <r>
    <x v="90"/>
    <n v="600269"/>
    <s v="赣粤高速"/>
    <n v="700"/>
    <n v="700"/>
    <n v="5.351"/>
    <n v="69.53"/>
    <n v="1.85"/>
    <n v="3815"/>
    <n v="5.45"/>
  </r>
  <r>
    <x v="90"/>
    <n v="601398"/>
    <s v="工商银行"/>
    <n v="100"/>
    <n v="100"/>
    <n v="-53.579000000000001"/>
    <n v="5973.9"/>
    <n v="0"/>
    <n v="616"/>
    <n v="6.16"/>
  </r>
  <r>
    <x v="90"/>
    <n v="601998"/>
    <s v="中信银行"/>
    <n v="2900"/>
    <n v="2900"/>
    <n v="6.0289999999999999"/>
    <n v="1540.25"/>
    <n v="8.81"/>
    <n v="19024"/>
    <n v="6.56"/>
  </r>
  <r>
    <x v="90"/>
    <s v="000402"/>
    <s v="金 融 街"/>
    <n v="4700"/>
    <n v="4700"/>
    <n v="9.4429999999999996"/>
    <n v="12301.19"/>
    <n v="27.71"/>
    <n v="56682"/>
    <n v="12.06"/>
  </r>
  <r>
    <x v="90"/>
    <s v="000415"/>
    <s v="渤海金控"/>
    <n v="100"/>
    <n v="100"/>
    <n v="-20.638000000000002"/>
    <n v="2744.8"/>
    <n v="0"/>
    <n v="681"/>
    <n v="6.81"/>
  </r>
  <r>
    <x v="90"/>
    <s v="000528"/>
    <s v="柳    工"/>
    <n v="7050"/>
    <n v="7050"/>
    <n v="9.1850000000000005"/>
    <n v="-2220.87"/>
    <n v="-3.43"/>
    <n v="62533.5"/>
    <n v="8.8699999999999992"/>
  </r>
  <r>
    <x v="90"/>
    <s v="002006"/>
    <s v="精功科技"/>
    <n v="2100"/>
    <n v="2100"/>
    <n v="8.4559999999999995"/>
    <n v="-1146.8800000000001"/>
    <n v="-6.46"/>
    <n v="16611"/>
    <n v="7.91"/>
  </r>
  <r>
    <x v="90"/>
    <s v="002140"/>
    <s v="东华科技"/>
    <n v="7400"/>
    <n v="6900"/>
    <n v="12.759"/>
    <n v="155.4"/>
    <n v="0.17"/>
    <n v="94572"/>
    <n v="12.78"/>
  </r>
  <r>
    <x v="90"/>
    <s v="SZRQ88"/>
    <s v="国标准券"/>
    <n v="26000"/>
    <n v="0"/>
    <n v="1"/>
    <n v="-0.78"/>
    <n v="0"/>
    <n v="26000"/>
    <n v="1"/>
  </r>
  <r>
    <x v="90"/>
    <s v="reserve"/>
    <s v="备用金"/>
    <m/>
    <m/>
    <m/>
    <m/>
    <m/>
    <n v="6382.11"/>
    <m/>
  </r>
  <r>
    <x v="91"/>
    <s v="519888"/>
    <s v="添富快线"/>
    <n v="13459936"/>
    <n v="13459936"/>
    <n v="0.01"/>
    <n v="2217.87"/>
    <n v="0"/>
    <n v="134599.35999999999"/>
    <n v="0.01"/>
  </r>
  <r>
    <x v="91"/>
    <s v="600269"/>
    <s v="赣粤高速"/>
    <n v="700"/>
    <n v="700"/>
    <n v="5.351"/>
    <n v="111.53"/>
    <n v="2.97"/>
    <n v="3857"/>
    <n v="5.51"/>
  </r>
  <r>
    <x v="91"/>
    <s v="601398"/>
    <s v="工商银行"/>
    <n v="100"/>
    <n v="100"/>
    <n v="-53.579000000000001"/>
    <n v="5962.9"/>
    <n v="0"/>
    <n v="605"/>
    <n v="6.05"/>
  </r>
  <r>
    <x v="91"/>
    <s v="601998"/>
    <s v="中信银行"/>
    <n v="2500"/>
    <n v="2500"/>
    <n v="5.9370000000000003"/>
    <n v="1656.55"/>
    <n v="11.17"/>
    <n v="16500"/>
    <n v="6.6"/>
  </r>
  <r>
    <x v="91"/>
    <s v="000402"/>
    <s v="金 融 街"/>
    <n v="5300"/>
    <n v="4300"/>
    <n v="9.7080000000000002"/>
    <n v="11616.32"/>
    <n v="22.58"/>
    <n v="63070"/>
    <n v="11.9"/>
  </r>
  <r>
    <x v="91"/>
    <s v="000415"/>
    <s v="渤海金控"/>
    <n v="100"/>
    <n v="100"/>
    <n v="-20.638000000000002"/>
    <n v="2757.8"/>
    <n v="0"/>
    <n v="694"/>
    <n v="6.94"/>
  </r>
  <r>
    <x v="91"/>
    <s v="000528"/>
    <s v="柳    工"/>
    <n v="6050"/>
    <n v="6050"/>
    <n v="9.2149999999999999"/>
    <n v="-879.89"/>
    <n v="-1.57"/>
    <n v="54873.5"/>
    <n v="9.07"/>
  </r>
  <r>
    <x v="91"/>
    <s v="002006"/>
    <s v="精功科技"/>
    <n v="2100"/>
    <n v="2100"/>
    <n v="8.4559999999999995"/>
    <n v="-1146.8800000000001"/>
    <n v="-6.46"/>
    <n v="16611"/>
    <n v="7.91"/>
  </r>
  <r>
    <x v="91"/>
    <s v="002140"/>
    <s v="东华科技"/>
    <n v="7000"/>
    <n v="7000"/>
    <n v="12.755000000000001"/>
    <n v="527.26"/>
    <n v="0.59"/>
    <n v="89810"/>
    <n v="12.83"/>
  </r>
  <r>
    <x v="91"/>
    <s v="SZRQ88"/>
    <s v="国标准券"/>
    <n v="68000"/>
    <n v="26000"/>
    <n v="1"/>
    <n v="-1.2"/>
    <n v="0"/>
    <n v="42000"/>
    <n v="1"/>
  </r>
  <r>
    <x v="91"/>
    <s v="reserve"/>
    <s v="备用金"/>
    <m/>
    <m/>
    <m/>
    <m/>
    <m/>
    <n v="86.85"/>
    <m/>
  </r>
  <r>
    <x v="92"/>
    <s v="519888"/>
    <s v="添富快线"/>
    <n v="4849"/>
    <n v="4849"/>
    <n v="-0.45800000000000002"/>
    <n v="2269.3319999999999"/>
    <n v="0"/>
    <n v="48.49"/>
    <n v="0.01"/>
  </r>
  <r>
    <x v="92"/>
    <s v="600269"/>
    <s v="赣粤高速"/>
    <n v="300"/>
    <n v="300"/>
    <n v="5.0819999999999999"/>
    <n v="140.26"/>
    <n v="9.2100000000000009"/>
    <n v="1665"/>
    <n v="5.55"/>
  </r>
  <r>
    <x v="92"/>
    <s v="601398"/>
    <s v="工商银行"/>
    <n v="100"/>
    <n v="100"/>
    <n v="-53.579000000000001"/>
    <n v="5954.9"/>
    <n v="0"/>
    <n v="597"/>
    <n v="5.97"/>
  </r>
  <r>
    <x v="92"/>
    <s v="601998"/>
    <s v="中信银行"/>
    <n v="2600"/>
    <n v="2100"/>
    <n v="5.9569999999999999"/>
    <n v="1516.77"/>
    <n v="9.7899999999999991"/>
    <n v="17004"/>
    <n v="6.54"/>
  </r>
  <r>
    <x v="92"/>
    <s v="000402"/>
    <s v="金 融 街"/>
    <n v="3300"/>
    <n v="3300"/>
    <n v="8.3000000000000007"/>
    <n v="12506.21"/>
    <n v="45.66"/>
    <n v="39897"/>
    <n v="12.09"/>
  </r>
  <r>
    <x v="92"/>
    <s v="000415"/>
    <s v="渤海金控"/>
    <n v="100"/>
    <n v="100"/>
    <n v="-20.638000000000002"/>
    <n v="2761.8"/>
    <n v="0"/>
    <n v="698"/>
    <n v="6.98"/>
  </r>
  <r>
    <x v="92"/>
    <s v="000528"/>
    <s v="柳    工"/>
    <n v="5550"/>
    <n v="5550"/>
    <n v="9.2159999999999993"/>
    <n v="-198.52"/>
    <n v="-0.39"/>
    <n v="50949"/>
    <n v="9.18"/>
  </r>
  <r>
    <x v="92"/>
    <s v="002006"/>
    <s v="精功科技"/>
    <n v="2100"/>
    <n v="2100"/>
    <n v="8.4559999999999995"/>
    <n v="-1146.8800000000001"/>
    <n v="-6.46"/>
    <n v="16611"/>
    <n v="7.91"/>
  </r>
  <r>
    <x v="92"/>
    <s v="002140"/>
    <s v="东华科技"/>
    <n v="7100"/>
    <n v="6600"/>
    <n v="12.744"/>
    <n v="-310.95"/>
    <n v="-0.34"/>
    <n v="90170"/>
    <n v="12.7"/>
  </r>
  <r>
    <x v="92"/>
    <s v="SZRQ88"/>
    <s v="国标准券"/>
    <n v="322000"/>
    <n v="237000"/>
    <n v="1"/>
    <n v="-2.98"/>
    <n v="0"/>
    <n v="205000"/>
    <n v="1"/>
  </r>
  <r>
    <x v="92"/>
    <s v="reserve"/>
    <s v="备用金"/>
    <m/>
    <m/>
    <m/>
    <m/>
    <m/>
    <n v="735.65"/>
    <m/>
  </r>
  <r>
    <x v="93"/>
    <s v="519888"/>
    <s v="添富快线"/>
    <n v="6704851"/>
    <n v="6704851"/>
    <n v="0.01"/>
    <n v="2267.02"/>
    <n v="0"/>
    <n v="67048.509999999995"/>
    <n v="0.01"/>
  </r>
  <r>
    <x v="93"/>
    <s v="600269"/>
    <s v="赣粤高速"/>
    <n v="300"/>
    <n v="300"/>
    <n v="5.0819999999999999"/>
    <n v="134.26"/>
    <n v="8.82"/>
    <n v="1659"/>
    <n v="5.53"/>
  </r>
  <r>
    <x v="93"/>
    <s v="601398"/>
    <s v="工商银行"/>
    <n v="100"/>
    <n v="100"/>
    <n v="-53.579000000000001"/>
    <n v="5947.9"/>
    <n v="0"/>
    <n v="590"/>
    <n v="5.9"/>
  </r>
  <r>
    <x v="93"/>
    <s v="601998"/>
    <s v="中信银行"/>
    <n v="3100"/>
    <n v="3100"/>
    <n v="6.0430000000000001"/>
    <n v="1510.71"/>
    <n v="8.06"/>
    <n v="20243"/>
    <n v="6.53"/>
  </r>
  <r>
    <x v="93"/>
    <s v="000402"/>
    <s v="金 融 街"/>
    <n v="5900"/>
    <n v="5900"/>
    <n v="9.859"/>
    <n v="11744.49"/>
    <n v="20.2"/>
    <n v="69915"/>
    <n v="11.85"/>
  </r>
  <r>
    <x v="93"/>
    <s v="000415"/>
    <s v="渤海金控"/>
    <n v="100"/>
    <n v="100"/>
    <n v="-20.638000000000002"/>
    <n v="2762.8"/>
    <n v="0"/>
    <n v="699"/>
    <n v="6.99"/>
  </r>
  <r>
    <x v="93"/>
    <s v="000528"/>
    <s v="柳    工"/>
    <n v="5550"/>
    <n v="5550"/>
    <n v="9.2159999999999993"/>
    <n v="-476.02"/>
    <n v="-0.93"/>
    <n v="50671.5"/>
    <n v="9.1300000000000008"/>
  </r>
  <r>
    <x v="93"/>
    <s v="002006"/>
    <s v="精功科技"/>
    <n v="2100"/>
    <n v="2100"/>
    <n v="8.4559999999999995"/>
    <n v="-1146.8800000000001"/>
    <n v="-6.46"/>
    <n v="16611"/>
    <n v="7.91"/>
  </r>
  <r>
    <x v="93"/>
    <s v="002140"/>
    <s v="东华科技"/>
    <n v="5900"/>
    <n v="5900"/>
    <n v="12.696999999999999"/>
    <n v="2201.46"/>
    <n v="2.94"/>
    <n v="77113"/>
    <n v="13.07"/>
  </r>
  <r>
    <x v="93"/>
    <s v="SZRQ88"/>
    <s v="国标准券"/>
    <n v="180000"/>
    <n v="180000"/>
    <n v="1"/>
    <n v="20.77"/>
    <n v="0"/>
    <n v="120000"/>
    <n v="1"/>
  </r>
  <r>
    <x v="93"/>
    <s v="reserve"/>
    <s v="备用金"/>
    <m/>
    <m/>
    <m/>
    <m/>
    <m/>
    <n v="294.06"/>
    <m/>
  </r>
  <r>
    <x v="94"/>
    <s v="519888"/>
    <s v="添富快线"/>
    <n v="4704851"/>
    <n v="4704851"/>
    <n v="0.01"/>
    <n v="2267.02"/>
    <n v="0"/>
    <n v="47048.51"/>
    <n v="0.01"/>
  </r>
  <r>
    <x v="94"/>
    <s v="600269"/>
    <s v="赣粤高速"/>
    <n v="300"/>
    <n v="300"/>
    <n v="5.0819999999999999"/>
    <n v="140.26"/>
    <n v="9.2100000000000009"/>
    <n v="1665"/>
    <n v="5.55"/>
  </r>
  <r>
    <x v="94"/>
    <s v="601398"/>
    <s v="工商银行"/>
    <n v="100"/>
    <n v="100"/>
    <n v="-53.579000000000001"/>
    <n v="5936.9"/>
    <n v="0"/>
    <n v="579"/>
    <n v="5.79"/>
  </r>
  <r>
    <x v="94"/>
    <s v="601998"/>
    <s v="中信银行"/>
    <n v="3100"/>
    <n v="3100"/>
    <n v="6.0430000000000001"/>
    <n v="1293.71"/>
    <n v="6.9"/>
    <n v="20026"/>
    <n v="6.46"/>
  </r>
  <r>
    <x v="94"/>
    <s v="000402"/>
    <s v="金 融 街"/>
    <n v="6500"/>
    <n v="5500"/>
    <n v="10.031000000000001"/>
    <n v="11694.87"/>
    <n v="17.940000000000001"/>
    <n v="76895"/>
    <n v="11.83"/>
  </r>
  <r>
    <x v="94"/>
    <s v="000415"/>
    <s v="渤海金控"/>
    <n v="100"/>
    <n v="100"/>
    <n v="-20.638000000000002"/>
    <n v="2760.8"/>
    <n v="0"/>
    <n v="697"/>
    <n v="6.97"/>
  </r>
  <r>
    <x v="94"/>
    <s v="000528"/>
    <s v="柳    工"/>
    <n v="5550"/>
    <n v="5550"/>
    <n v="9.2159999999999993"/>
    <n v="-309.52"/>
    <n v="-0.61"/>
    <n v="50838"/>
    <n v="9.16"/>
  </r>
  <r>
    <x v="94"/>
    <s v="002006"/>
    <s v="精功科技"/>
    <n v="2100"/>
    <n v="2100"/>
    <n v="8.4559999999999995"/>
    <n v="-1146.8800000000001"/>
    <n v="-6.46"/>
    <n v="16611"/>
    <n v="7.91"/>
  </r>
  <r>
    <x v="94"/>
    <s v="002140"/>
    <s v="东华科技"/>
    <n v="6400"/>
    <n v="5900"/>
    <n v="12.721"/>
    <n v="1852.46"/>
    <n v="2.27"/>
    <n v="83264"/>
    <n v="13.01"/>
  </r>
  <r>
    <x v="94"/>
    <s v="SZRQ88"/>
    <s v="国标准券"/>
    <n v="180000"/>
    <n v="180000"/>
    <n v="1"/>
    <n v="20.77"/>
    <n v="0"/>
    <n v="120000"/>
    <n v="1"/>
  </r>
  <r>
    <x v="94"/>
    <s v="reserve"/>
    <s v="备用金"/>
    <m/>
    <m/>
    <m/>
    <m/>
    <m/>
    <n v="6764.06"/>
    <m/>
  </r>
  <r>
    <x v="95"/>
    <s v="519888"/>
    <s v="添富快线"/>
    <n v="15006997"/>
    <n v="15006997"/>
    <n v="0.01"/>
    <n v="2288.48"/>
    <n v="0"/>
    <n v="150069.97"/>
    <n v="0.01"/>
  </r>
  <r>
    <x v="95"/>
    <s v="600269"/>
    <s v="赣粤高速"/>
    <n v="300"/>
    <n v="300"/>
    <n v="5.0819999999999999"/>
    <n v="122.26"/>
    <n v="8.0299999999999994"/>
    <n v="1647"/>
    <n v="5.49"/>
  </r>
  <r>
    <x v="95"/>
    <s v="601398"/>
    <s v="工商银行"/>
    <n v="100"/>
    <n v="100"/>
    <n v="-53.579000000000001"/>
    <n v="5947.9"/>
    <n v="0"/>
    <n v="590"/>
    <n v="5.9"/>
  </r>
  <r>
    <x v="95"/>
    <s v="601998"/>
    <s v="中信银行"/>
    <n v="2700"/>
    <n v="2700"/>
    <n v="5.96"/>
    <n v="1593.01"/>
    <n v="9.9"/>
    <n v="17685"/>
    <n v="6.55"/>
  </r>
  <r>
    <x v="95"/>
    <s v="000402"/>
    <s v="金 融 街"/>
    <n v="6700"/>
    <n v="6200"/>
    <n v="10.067"/>
    <n v="11210.35"/>
    <n v="16.62"/>
    <n v="78658"/>
    <n v="11.74"/>
  </r>
  <r>
    <x v="95"/>
    <s v="000415"/>
    <s v="渤海金控"/>
    <n v="100"/>
    <n v="100"/>
    <n v="-20.638000000000002"/>
    <n v="2765.8"/>
    <n v="0"/>
    <n v="702"/>
    <n v="7.02"/>
  </r>
  <r>
    <x v="95"/>
    <s v="000528"/>
    <s v="柳    工"/>
    <n v="4750"/>
    <n v="4750"/>
    <n v="9.2170000000000005"/>
    <n v="61.59"/>
    <n v="0.14000000000000001"/>
    <n v="43842.5"/>
    <n v="9.23"/>
  </r>
  <r>
    <x v="95"/>
    <s v="002006"/>
    <s v="精功科技"/>
    <n v="2100"/>
    <n v="2100"/>
    <n v="8.4559999999999995"/>
    <n v="-1146.8800000000001"/>
    <n v="-6.46"/>
    <n v="16611"/>
    <n v="7.91"/>
  </r>
  <r>
    <x v="95"/>
    <s v="002140"/>
    <s v="东华科技"/>
    <n v="6900"/>
    <n v="6400"/>
    <n v="12.736000000000001"/>
    <n v="1542.46"/>
    <n v="1.76"/>
    <n v="89424"/>
    <n v="12.96"/>
  </r>
  <r>
    <x v="95"/>
    <s v="300701"/>
    <s v="森霸股份"/>
    <n v="0"/>
    <n v="0"/>
    <n v="13.14"/>
    <n v="0"/>
    <n v="0"/>
    <n v="0"/>
    <n v="13.14"/>
  </r>
  <r>
    <x v="95"/>
    <s v="reserve"/>
    <s v="备用金"/>
    <m/>
    <m/>
    <m/>
    <m/>
    <m/>
    <n v="25241.87"/>
    <m/>
  </r>
  <r>
    <x v="96"/>
    <s v="519888"/>
    <s v="添富快线"/>
    <n v="18009857"/>
    <n v="18009857"/>
    <n v="0.01"/>
    <n v="2317.08"/>
    <n v="0"/>
    <n v="180098.57"/>
    <n v="0.01"/>
  </r>
  <r>
    <x v="96"/>
    <s v="600269"/>
    <s v="赣粤高速"/>
    <n v="300"/>
    <n v="300"/>
    <n v="5.0819999999999999"/>
    <n v="119.26"/>
    <n v="7.83"/>
    <n v="1644"/>
    <n v="5.48"/>
  </r>
  <r>
    <x v="96"/>
    <s v="601398"/>
    <s v="工商银行"/>
    <n v="100"/>
    <n v="100"/>
    <n v="-53.579000000000001"/>
    <n v="5945.9"/>
    <n v="0"/>
    <n v="588"/>
    <n v="5.88"/>
  </r>
  <r>
    <x v="96"/>
    <s v="601998"/>
    <s v="中信银行"/>
    <n v="2700"/>
    <n v="2700"/>
    <n v="5.96"/>
    <n v="1485.01"/>
    <n v="9.23"/>
    <n v="17577"/>
    <n v="6.51"/>
  </r>
  <r>
    <x v="96"/>
    <s v="000402"/>
    <s v="金 融 街"/>
    <n v="5200"/>
    <n v="5200"/>
    <n v="9.5020000000000007"/>
    <n v="12988.24"/>
    <n v="26.29"/>
    <n v="62400"/>
    <n v="12"/>
  </r>
  <r>
    <x v="96"/>
    <s v="000415"/>
    <s v="渤海金控"/>
    <n v="100"/>
    <n v="100"/>
    <n v="-20.638000000000002"/>
    <n v="2758.8"/>
    <n v="0"/>
    <n v="695"/>
    <n v="6.95"/>
  </r>
  <r>
    <x v="96"/>
    <s v="000528"/>
    <s v="柳    工"/>
    <n v="5250"/>
    <n v="5250"/>
    <n v="9.2129999999999992"/>
    <n v="-695.91"/>
    <n v="-1.44"/>
    <n v="47670"/>
    <n v="9.08"/>
  </r>
  <r>
    <x v="96"/>
    <s v="002006"/>
    <s v="精功科技"/>
    <n v="2100"/>
    <n v="2100"/>
    <n v="8.4559999999999995"/>
    <n v="-1146.8800000000001"/>
    <n v="-6.46"/>
    <n v="16611"/>
    <n v="7.91"/>
  </r>
  <r>
    <x v="96"/>
    <s v="002140"/>
    <s v="东华科技"/>
    <n v="6100"/>
    <n v="6100"/>
    <n v="12.695"/>
    <n v="1675"/>
    <n v="2.17"/>
    <n v="79117"/>
    <n v="12.97"/>
  </r>
  <r>
    <x v="96"/>
    <s v="300701"/>
    <s v="森霸股份"/>
    <n v="500"/>
    <n v="0"/>
    <n v="13.14"/>
    <n v="0"/>
    <n v="0"/>
    <n v="6570"/>
    <n v="13.14"/>
  </r>
  <r>
    <x v="96"/>
    <s v="reserve"/>
    <s v="备用金"/>
    <m/>
    <m/>
    <m/>
    <m/>
    <m/>
    <n v="12562.3"/>
    <m/>
  </r>
  <r>
    <x v="97"/>
    <s v="519888"/>
    <s v="添富快线"/>
    <n v="20000033"/>
    <n v="17000033"/>
    <n v="0.01"/>
    <n v="2333.84"/>
    <n v="0"/>
    <n v="200000.33"/>
    <n v="0.01"/>
  </r>
  <r>
    <x v="97"/>
    <s v="600269"/>
    <s v="赣粤高速"/>
    <n v="300"/>
    <n v="300"/>
    <n v="5.0819999999999999"/>
    <n v="128.26"/>
    <n v="8.42"/>
    <n v="1653"/>
    <n v="5.51"/>
  </r>
  <r>
    <x v="97"/>
    <s v="601398"/>
    <s v="工商银行"/>
    <n v="100"/>
    <n v="100"/>
    <n v="-53.579000000000001"/>
    <n v="5946.9"/>
    <n v="0"/>
    <n v="589"/>
    <n v="5.89"/>
  </r>
  <r>
    <x v="97"/>
    <s v="601998"/>
    <s v="中信银行"/>
    <n v="2700"/>
    <n v="2700"/>
    <n v="5.96"/>
    <n v="1350.01"/>
    <n v="8.39"/>
    <n v="17442"/>
    <n v="6.46"/>
  </r>
  <r>
    <x v="97"/>
    <s v="000402"/>
    <s v="金 融 街"/>
    <n v="5200"/>
    <n v="3700"/>
    <n v="9.4649999999999999"/>
    <n v="13442.91"/>
    <n v="27.31"/>
    <n v="62660"/>
    <n v="12.05"/>
  </r>
  <r>
    <x v="97"/>
    <s v="000415"/>
    <s v="渤海金控"/>
    <n v="600"/>
    <n v="100"/>
    <n v="2.36"/>
    <n v="2747.79"/>
    <n v="194.07"/>
    <n v="4164"/>
    <n v="6.94"/>
  </r>
  <r>
    <x v="97"/>
    <s v="000528"/>
    <s v="柳    工"/>
    <n v="4450"/>
    <n v="4450"/>
    <n v="9.2140000000000004"/>
    <n v="114.72"/>
    <n v="0.28000000000000003"/>
    <n v="41118"/>
    <n v="9.24"/>
  </r>
  <r>
    <x v="97"/>
    <s v="002006"/>
    <s v="精功科技"/>
    <n v="2100"/>
    <n v="2100"/>
    <n v="8.4559999999999995"/>
    <n v="-1146.8800000000001"/>
    <n v="-6.46"/>
    <n v="16611"/>
    <n v="7.91"/>
  </r>
  <r>
    <x v="97"/>
    <s v="002140"/>
    <s v="东华科技"/>
    <n v="5500"/>
    <n v="5000"/>
    <n v="12.601000000000001"/>
    <n v="2965.61"/>
    <n v="4.28"/>
    <n v="72270"/>
    <n v="13.14"/>
  </r>
  <r>
    <x v="97"/>
    <s v="300701"/>
    <s v="森霸股份"/>
    <n v="500"/>
    <n v="500"/>
    <n v="13.14"/>
    <n v="0"/>
    <n v="0"/>
    <n v="6570"/>
    <n v="13.14"/>
  </r>
  <r>
    <x v="97"/>
    <s v="reserve"/>
    <s v="备用金"/>
    <m/>
    <m/>
    <m/>
    <m/>
    <m/>
    <n v="4882.71"/>
    <m/>
  </r>
  <r>
    <x v="98"/>
    <s v="519888"/>
    <s v="添富快线"/>
    <n v="17006691"/>
    <n v="17006691"/>
    <n v="0.01"/>
    <n v="2400.42"/>
    <n v="0"/>
    <n v="170066.91"/>
    <n v="0.01"/>
  </r>
  <r>
    <x v="98"/>
    <s v="600269"/>
    <s v="赣粤高速"/>
    <n v="300"/>
    <n v="300"/>
    <n v="5.0819999999999999"/>
    <n v="119.26"/>
    <n v="7.83"/>
    <n v="1644"/>
    <n v="5.48"/>
  </r>
  <r>
    <x v="98"/>
    <s v="601398"/>
    <s v="工商银行"/>
    <n v="100"/>
    <n v="100"/>
    <n v="-53.579000000000001"/>
    <n v="5950.9"/>
    <n v="0"/>
    <n v="593"/>
    <n v="5.93"/>
  </r>
  <r>
    <x v="98"/>
    <s v="601998"/>
    <s v="中信银行"/>
    <n v="3200"/>
    <n v="3200"/>
    <n v="6.0380000000000003"/>
    <n v="1317.95"/>
    <n v="6.82"/>
    <n v="20640"/>
    <n v="6.45"/>
  </r>
  <r>
    <x v="98"/>
    <s v="000402"/>
    <s v="金 融 街"/>
    <n v="6800"/>
    <n v="6800"/>
    <n v="10.026999999999999"/>
    <n v="12535.29"/>
    <n v="18.38"/>
    <n v="80716"/>
    <n v="11.87"/>
  </r>
  <r>
    <x v="98"/>
    <s v="000415"/>
    <s v="渤海金控"/>
    <n v="600"/>
    <n v="600"/>
    <n v="2.36"/>
    <n v="2771.79"/>
    <n v="195.76"/>
    <n v="4188"/>
    <n v="6.98"/>
  </r>
  <r>
    <x v="98"/>
    <s v="000528"/>
    <s v="柳    工"/>
    <n v="4250"/>
    <n v="4250"/>
    <n v="9.202"/>
    <n v="-349.38"/>
    <n v="-0.89"/>
    <n v="38760"/>
    <n v="9.1199999999999992"/>
  </r>
  <r>
    <x v="98"/>
    <s v="002006"/>
    <s v="精功科技"/>
    <n v="2100"/>
    <n v="2100"/>
    <n v="8.4559999999999995"/>
    <n v="-1146.8800000000001"/>
    <n v="-6.46"/>
    <n v="16611"/>
    <n v="7.91"/>
  </r>
  <r>
    <x v="98"/>
    <s v="002140"/>
    <s v="东华科技"/>
    <n v="5600"/>
    <n v="5600"/>
    <n v="12.596"/>
    <n v="2599.34"/>
    <n v="3.68"/>
    <n v="73136"/>
    <n v="13.06"/>
  </r>
  <r>
    <x v="98"/>
    <s v="300701"/>
    <s v="森霸股份"/>
    <n v="500"/>
    <n v="500"/>
    <n v="13.14"/>
    <n v="0"/>
    <n v="0"/>
    <n v="6570"/>
    <n v="13.14"/>
  </r>
  <r>
    <x v="98"/>
    <s v="reserve"/>
    <s v="备用金"/>
    <m/>
    <m/>
    <m/>
    <m/>
    <m/>
    <n v="13350.66"/>
    <m/>
  </r>
  <r>
    <x v="99"/>
    <s v="519888"/>
    <s v="添富快线"/>
    <n v="15008398"/>
    <n v="15008398"/>
    <n v="0.01"/>
    <n v="2417.4899999999998"/>
    <n v="0"/>
    <n v="150083.98000000001"/>
    <n v="0.01"/>
  </r>
  <r>
    <x v="99"/>
    <s v="600269"/>
    <s v="赣粤高速"/>
    <n v="800"/>
    <n v="800"/>
    <n v="5.3310000000000004"/>
    <n v="111.21"/>
    <n v="2.61"/>
    <n v="4376"/>
    <n v="5.47"/>
  </r>
  <r>
    <x v="99"/>
    <s v="601398"/>
    <s v="工商银行"/>
    <n v="100"/>
    <n v="100"/>
    <n v="-53.579000000000001"/>
    <n v="5950.9"/>
    <n v="0"/>
    <n v="593"/>
    <n v="5.93"/>
  </r>
  <r>
    <x v="99"/>
    <s v="601998"/>
    <s v="中信银行"/>
    <n v="3700"/>
    <n v="3700"/>
    <n v="6.0910000000000002"/>
    <n v="1253.8900000000001"/>
    <n v="5.57"/>
    <n v="23791"/>
    <n v="6.43"/>
  </r>
  <r>
    <x v="99"/>
    <s v="000402"/>
    <s v="金 融 街"/>
    <n v="6900"/>
    <n v="6900"/>
    <n v="10.050000000000001"/>
    <n v="12419.53"/>
    <n v="17.91"/>
    <n v="81765"/>
    <n v="11.85"/>
  </r>
  <r>
    <x v="99"/>
    <s v="000415"/>
    <s v="渤海金控"/>
    <n v="600"/>
    <n v="600"/>
    <n v="2.36"/>
    <n v="2759.79"/>
    <n v="194.92"/>
    <n v="4176"/>
    <n v="6.96"/>
  </r>
  <r>
    <x v="99"/>
    <s v="000528"/>
    <s v="柳    工"/>
    <n v="4350"/>
    <n v="4350"/>
    <n v="9.1959999999999997"/>
    <n v="-114.56"/>
    <n v="-0.28000000000000003"/>
    <n v="39889.5"/>
    <n v="9.17"/>
  </r>
  <r>
    <x v="99"/>
    <s v="002006"/>
    <s v="精功科技"/>
    <n v="2100"/>
    <n v="2100"/>
    <n v="8.4559999999999995"/>
    <n v="-1146.8800000000001"/>
    <n v="-6.46"/>
    <n v="16611"/>
    <n v="7.91"/>
  </r>
  <r>
    <x v="99"/>
    <s v="002140"/>
    <s v="东华科技"/>
    <n v="5600"/>
    <n v="5600"/>
    <n v="12.596"/>
    <n v="2599.34"/>
    <n v="3.68"/>
    <n v="73136"/>
    <n v="13.06"/>
  </r>
  <r>
    <x v="99"/>
    <s v="300701"/>
    <s v="森霸股份"/>
    <n v="500"/>
    <n v="500"/>
    <n v="13.14"/>
    <n v="0"/>
    <n v="0"/>
    <n v="6570"/>
    <n v="13.14"/>
  </r>
  <r>
    <x v="99"/>
    <s v="reserve"/>
    <s v="备用金"/>
    <m/>
    <m/>
    <m/>
    <m/>
    <m/>
    <n v="25336.11"/>
    <m/>
  </r>
  <r>
    <x v="100"/>
    <s v="519888"/>
    <s v="添富快线"/>
    <n v="17701383"/>
    <n v="17701383"/>
    <n v="0.01"/>
    <n v="2431.3200000000002"/>
    <n v="0"/>
    <n v="177013.83"/>
    <n v="0.01"/>
  </r>
  <r>
    <x v="100"/>
    <s v="600269"/>
    <s v="赣粤高速"/>
    <n v="800"/>
    <n v="800"/>
    <n v="5.3310000000000004"/>
    <n v="119.21"/>
    <n v="2.8"/>
    <n v="4384"/>
    <n v="5.48"/>
  </r>
  <r>
    <x v="100"/>
    <s v="601398"/>
    <s v="工商银行"/>
    <n v="100"/>
    <n v="100"/>
    <n v="-53.579000000000001"/>
    <n v="5945.9"/>
    <n v="0"/>
    <n v="588"/>
    <n v="5.88"/>
  </r>
  <r>
    <x v="100"/>
    <s v="601998"/>
    <s v="中信银行"/>
    <n v="3700"/>
    <n v="3700"/>
    <n v="6.0910000000000002"/>
    <n v="1179.8900000000001"/>
    <n v="5.24"/>
    <n v="23717"/>
    <n v="6.41"/>
  </r>
  <r>
    <x v="100"/>
    <s v="000402"/>
    <s v="金 融 街"/>
    <n v="5400"/>
    <n v="5400"/>
    <n v="9.4930000000000003"/>
    <n v="14188.41"/>
    <n v="27.67"/>
    <n v="65448"/>
    <n v="12.12"/>
  </r>
  <r>
    <x v="100"/>
    <s v="000415"/>
    <s v="渤海金控"/>
    <n v="600"/>
    <n v="600"/>
    <n v="2.36"/>
    <n v="2735.79"/>
    <n v="193.22"/>
    <n v="4152"/>
    <n v="6.92"/>
  </r>
  <r>
    <x v="100"/>
    <s v="000528"/>
    <s v="柳    工"/>
    <n v="4850"/>
    <n v="4850"/>
    <n v="9.1880000000000006"/>
    <n v="-380.56"/>
    <n v="-0.85"/>
    <n v="44183.5"/>
    <n v="9.11"/>
  </r>
  <r>
    <x v="100"/>
    <s v="002006"/>
    <s v="精功科技"/>
    <n v="2100"/>
    <n v="2100"/>
    <n v="8.4559999999999995"/>
    <n v="-1146.8800000000001"/>
    <n v="-6.46"/>
    <n v="16611"/>
    <n v="7.91"/>
  </r>
  <r>
    <x v="100"/>
    <s v="002140"/>
    <s v="东华科技"/>
    <n v="6100"/>
    <n v="6100"/>
    <n v="12.627000000000001"/>
    <n v="3310.34"/>
    <n v="4.3"/>
    <n v="80337"/>
    <n v="13.17"/>
  </r>
  <r>
    <x v="100"/>
    <s v="300701"/>
    <s v="森霸股份"/>
    <n v="500"/>
    <n v="500"/>
    <n v="13.14"/>
    <n v="0"/>
    <n v="0"/>
    <n v="6570"/>
    <n v="13.14"/>
  </r>
  <r>
    <x v="100"/>
    <s v="reserve"/>
    <s v="备用金"/>
    <m/>
    <m/>
    <m/>
    <m/>
    <m/>
    <n v="5455.97"/>
    <m/>
  </r>
  <r>
    <x v="101"/>
    <s v="519888"/>
    <s v="添富快线"/>
    <n v="17703023"/>
    <n v="17703023"/>
    <n v="0.01"/>
    <n v="2447.7199999999998"/>
    <n v="0"/>
    <n v="177030.23"/>
    <n v="0.01"/>
  </r>
  <r>
    <x v="101"/>
    <s v="600269"/>
    <s v="赣粤高速"/>
    <n v="800"/>
    <n v="800"/>
    <n v="5.3310000000000004"/>
    <n v="71.209999999999994"/>
    <n v="1.67"/>
    <n v="4336"/>
    <n v="5.42"/>
  </r>
  <r>
    <x v="101"/>
    <s v="601398"/>
    <s v="工商银行"/>
    <n v="100"/>
    <n v="100"/>
    <n v="-53.579000000000001"/>
    <n v="5934.9"/>
    <n v="0"/>
    <n v="577"/>
    <n v="5.77"/>
  </r>
  <r>
    <x v="101"/>
    <s v="601998"/>
    <s v="中信银行"/>
    <n v="4200"/>
    <n v="4200"/>
    <n v="6.1239999999999997"/>
    <n v="1115.83"/>
    <n v="4.34"/>
    <n v="26838"/>
    <n v="6.39"/>
  </r>
  <r>
    <x v="101"/>
    <s v="000402"/>
    <s v="金 融 街"/>
    <n v="3900"/>
    <n v="3900"/>
    <n v="8.4019999999999992"/>
    <n v="15317.71"/>
    <n v="46.75"/>
    <n v="48087"/>
    <n v="12.33"/>
  </r>
  <r>
    <x v="101"/>
    <s v="000415"/>
    <s v="渤海金控"/>
    <n v="1100"/>
    <n v="1100"/>
    <n v="4.4279999999999999"/>
    <n v="2707.79"/>
    <n v="55.6"/>
    <n v="7579"/>
    <n v="6.89"/>
  </r>
  <r>
    <x v="101"/>
    <s v="000528"/>
    <s v="柳    工"/>
    <n v="5850"/>
    <n v="5850"/>
    <n v="9.1549999999999994"/>
    <n v="-1260.06"/>
    <n v="-2.35"/>
    <n v="52299"/>
    <n v="8.94"/>
  </r>
  <r>
    <x v="101"/>
    <s v="002006"/>
    <s v="精功科技"/>
    <n v="2100"/>
    <n v="2100"/>
    <n v="8.4559999999999995"/>
    <n v="-1146.8800000000001"/>
    <n v="-6.46"/>
    <n v="16611"/>
    <n v="7.91"/>
  </r>
  <r>
    <x v="101"/>
    <s v="002140"/>
    <s v="东华科技"/>
    <n v="5700"/>
    <n v="5700"/>
    <n v="12.558999999999999"/>
    <n v="4680.8900000000003"/>
    <n v="6.54"/>
    <n v="76266"/>
    <n v="13.38"/>
  </r>
  <r>
    <x v="101"/>
    <s v="300701"/>
    <s v="森霸股份"/>
    <n v="500"/>
    <n v="500"/>
    <n v="13.14"/>
    <n v="2890"/>
    <n v="43.99"/>
    <n v="9460"/>
    <n v="18.920000000000002"/>
  </r>
  <r>
    <x v="101"/>
    <s v="reserve"/>
    <s v="备用金"/>
    <m/>
    <m/>
    <m/>
    <m/>
    <m/>
    <n v="13252.76"/>
    <m/>
  </r>
  <r>
    <x v="102"/>
    <s v="519888"/>
    <s v="添富快线"/>
    <n v="17707444"/>
    <n v="17707444"/>
    <n v="0.01"/>
    <n v="2491.9299999999998"/>
    <n v="0"/>
    <n v="177074.44"/>
    <n v="0.01"/>
  </r>
  <r>
    <x v="102"/>
    <s v="600269"/>
    <s v="赣粤高速"/>
    <n v="800"/>
    <n v="800"/>
    <n v="5.3310000000000004"/>
    <n v="71.209999999999994"/>
    <n v="1.67"/>
    <n v="4336"/>
    <n v="5.42"/>
  </r>
  <r>
    <x v="102"/>
    <s v="601398"/>
    <s v="工商银行"/>
    <n v="100"/>
    <n v="100"/>
    <n v="-53.579000000000001"/>
    <n v="5933.9"/>
    <n v="0"/>
    <n v="576"/>
    <n v="5.76"/>
  </r>
  <r>
    <x v="102"/>
    <s v="601998"/>
    <s v="中信银行"/>
    <n v="4200"/>
    <n v="4200"/>
    <n v="6.1239999999999997"/>
    <n v="1157.83"/>
    <n v="4.51"/>
    <n v="26880"/>
    <n v="6.4"/>
  </r>
  <r>
    <x v="102"/>
    <s v="000402"/>
    <s v="金 融 街"/>
    <n v="3100"/>
    <n v="3100"/>
    <n v="7.3529999999999998"/>
    <n v="15801.71"/>
    <n v="69.319999999999993"/>
    <n v="38595"/>
    <n v="12.45"/>
  </r>
  <r>
    <x v="102"/>
    <s v="000415"/>
    <s v="渤海金控"/>
    <n v="1600"/>
    <n v="1600"/>
    <n v="5.1950000000000003"/>
    <n v="2712.79"/>
    <n v="32.630000000000003"/>
    <n v="11024"/>
    <n v="6.89"/>
  </r>
  <r>
    <x v="102"/>
    <s v="000528"/>
    <s v="柳    工"/>
    <n v="5450"/>
    <n v="5450"/>
    <n v="9.1660000000000004"/>
    <n v="-633.16999999999996"/>
    <n v="-1.26"/>
    <n v="49322.5"/>
    <n v="9.0500000000000007"/>
  </r>
  <r>
    <x v="102"/>
    <s v="002006"/>
    <s v="精功科技"/>
    <n v="2100"/>
    <n v="2100"/>
    <n v="8.4559999999999995"/>
    <n v="-1146.8800000000001"/>
    <n v="-6.46"/>
    <n v="16611"/>
    <n v="7.91"/>
  </r>
  <r>
    <x v="102"/>
    <s v="002140"/>
    <s v="东华科技"/>
    <n v="5000"/>
    <n v="5000"/>
    <n v="12.396000000000001"/>
    <n v="6467.62"/>
    <n v="10.44"/>
    <n v="68450"/>
    <n v="13.69"/>
  </r>
  <r>
    <x v="102"/>
    <s v="300701"/>
    <s v="森霸股份"/>
    <n v="500"/>
    <n v="500"/>
    <n v="13.14"/>
    <n v="3835"/>
    <n v="58.37"/>
    <n v="10405"/>
    <n v="20.81"/>
  </r>
  <r>
    <x v="102"/>
    <s v="reserve"/>
    <s v="备用金"/>
    <m/>
    <m/>
    <m/>
    <m/>
    <m/>
    <n v="32992.879999999997"/>
    <m/>
  </r>
  <r>
    <x v="103"/>
    <s v="519888"/>
    <s v="添富快线"/>
    <n v="20001913"/>
    <n v="20001913"/>
    <n v="0.01"/>
    <n v="2510.62"/>
    <n v="0"/>
    <n v="200019.13"/>
    <n v="0.01"/>
  </r>
  <r>
    <x v="103"/>
    <s v="600269"/>
    <s v="赣粤高速"/>
    <n v="1300"/>
    <n v="1300"/>
    <n v="5.3689999999999998"/>
    <n v="40.159999999999997"/>
    <n v="0.57999999999999996"/>
    <n v="7020"/>
    <n v="5.4"/>
  </r>
  <r>
    <x v="103"/>
    <s v="601398"/>
    <s v="工商银行"/>
    <n v="100"/>
    <n v="100"/>
    <n v="-53.579000000000001"/>
    <n v="5935.9"/>
    <n v="0"/>
    <n v="578"/>
    <n v="5.78"/>
  </r>
  <r>
    <x v="103"/>
    <s v="601998"/>
    <s v="中信银行"/>
    <n v="4200"/>
    <n v="4200"/>
    <n v="6.1239999999999997"/>
    <n v="1199.83"/>
    <n v="4.67"/>
    <n v="26922"/>
    <n v="6.41"/>
  </r>
  <r>
    <x v="103"/>
    <s v="000402"/>
    <s v="金 融 街"/>
    <n v="2000"/>
    <n v="2000"/>
    <n v="4.2729999999999997"/>
    <n v="17413.900000000001"/>
    <n v="203.77"/>
    <n v="25960"/>
    <n v="12.98"/>
  </r>
  <r>
    <x v="103"/>
    <s v="000415"/>
    <s v="渤海金控"/>
    <n v="2100"/>
    <n v="2100"/>
    <n v="5.5860000000000003"/>
    <n v="2527.79"/>
    <n v="21.55"/>
    <n v="14259"/>
    <n v="6.79"/>
  </r>
  <r>
    <x v="103"/>
    <s v="000528"/>
    <s v="柳    工"/>
    <n v="5950"/>
    <n v="5950"/>
    <n v="9.15"/>
    <n v="-1247.67"/>
    <n v="-2.29"/>
    <n v="53193"/>
    <n v="8.94"/>
  </r>
  <r>
    <x v="103"/>
    <s v="002006"/>
    <s v="精功科技"/>
    <n v="2100"/>
    <n v="2100"/>
    <n v="8.4559999999999995"/>
    <n v="-1146.8800000000001"/>
    <n v="-6.46"/>
    <n v="16611"/>
    <n v="7.91"/>
  </r>
  <r>
    <x v="103"/>
    <s v="002140"/>
    <s v="东华科技"/>
    <n v="5500"/>
    <n v="5500"/>
    <n v="12.496"/>
    <n v="5412.62"/>
    <n v="7.88"/>
    <n v="74140"/>
    <n v="13.48"/>
  </r>
  <r>
    <x v="103"/>
    <s v="300701"/>
    <s v="森霸股份"/>
    <n v="500"/>
    <n v="500"/>
    <n v="13.14"/>
    <n v="4875"/>
    <n v="74.2"/>
    <n v="11445"/>
    <n v="22.89"/>
  </r>
  <r>
    <x v="103"/>
    <s v="reserve"/>
    <s v="备用金"/>
    <m/>
    <m/>
    <m/>
    <m/>
    <m/>
    <n v="6947.02"/>
    <m/>
  </r>
  <r>
    <x v="104"/>
    <s v="519888"/>
    <s v="添富快线"/>
    <n v="20002197"/>
    <n v="20002197"/>
    <n v="0.01"/>
    <n v="2532.46"/>
    <n v="0"/>
    <n v="200021.97"/>
    <n v="0.01"/>
  </r>
  <r>
    <x v="104"/>
    <s v="600269"/>
    <s v="赣粤高速"/>
    <n v="1800"/>
    <n v="1800"/>
    <n v="5.375"/>
    <n v="63.11"/>
    <n v="0.65"/>
    <n v="9738"/>
    <n v="5.41"/>
  </r>
  <r>
    <x v="104"/>
    <s v="601398"/>
    <s v="工商银行"/>
    <n v="100"/>
    <n v="100"/>
    <n v="-53.579000000000001"/>
    <n v="5936.9"/>
    <n v="0"/>
    <n v="579"/>
    <n v="5.79"/>
  </r>
  <r>
    <x v="104"/>
    <s v="601998"/>
    <s v="中信银行"/>
    <n v="4200"/>
    <n v="4200"/>
    <n v="6.1239999999999997"/>
    <n v="1157.83"/>
    <n v="4.51"/>
    <n v="26880"/>
    <n v="6.4"/>
  </r>
  <r>
    <x v="104"/>
    <s v="000402"/>
    <s v="金 融 街"/>
    <n v="1700"/>
    <n v="1700"/>
    <n v="2.649"/>
    <n v="17835.39"/>
    <n v="396.04"/>
    <n v="22338"/>
    <n v="13.14"/>
  </r>
  <r>
    <x v="104"/>
    <s v="000415"/>
    <s v="渤海金控"/>
    <n v="2100"/>
    <n v="2100"/>
    <n v="5.5860000000000003"/>
    <n v="2590.79"/>
    <n v="22.09"/>
    <n v="14322"/>
    <n v="6.82"/>
  </r>
  <r>
    <x v="104"/>
    <s v="000528"/>
    <s v="柳    工"/>
    <n v="5950"/>
    <n v="5950"/>
    <n v="9.15"/>
    <n v="-712.17"/>
    <n v="-1.31"/>
    <n v="53728.5"/>
    <n v="9.0299999999999994"/>
  </r>
  <r>
    <x v="104"/>
    <s v="002006"/>
    <s v="精功科技"/>
    <n v="2100"/>
    <n v="2100"/>
    <n v="8.4559999999999995"/>
    <n v="-1146.8800000000001"/>
    <n v="-6.46"/>
    <n v="16611"/>
    <n v="7.91"/>
  </r>
  <r>
    <x v="104"/>
    <s v="002140"/>
    <s v="东华科技"/>
    <n v="5500"/>
    <n v="5500"/>
    <n v="12.496"/>
    <n v="5577.62"/>
    <n v="8.1199999999999992"/>
    <n v="74305"/>
    <n v="13.51"/>
  </r>
  <r>
    <x v="104"/>
    <s v="300701"/>
    <s v="森霸股份"/>
    <n v="500"/>
    <n v="500"/>
    <n v="13.14"/>
    <n v="6020"/>
    <n v="91.63"/>
    <n v="12590"/>
    <n v="25.18"/>
  </r>
  <r>
    <x v="104"/>
    <s v="reserve"/>
    <s v="备用金"/>
    <m/>
    <m/>
    <m/>
    <m/>
    <m/>
    <n v="8324.93"/>
    <m/>
  </r>
  <r>
    <x v="105"/>
    <s v="519888"/>
    <s v="添富快线"/>
    <n v="9328359"/>
    <n v="9328359"/>
    <n v="0.01"/>
    <n v="2553.08"/>
    <n v="0"/>
    <n v="93283.59"/>
    <n v="0.01"/>
  </r>
  <r>
    <x v="105"/>
    <s v="600269"/>
    <s v="赣粤高速"/>
    <n v="1800"/>
    <n v="1800"/>
    <n v="5.375"/>
    <n v="-8.89"/>
    <n v="-0.09"/>
    <n v="9666"/>
    <n v="5.37"/>
  </r>
  <r>
    <x v="105"/>
    <s v="601398"/>
    <s v="工商银行"/>
    <n v="100"/>
    <n v="100"/>
    <n v="-53.579000000000001"/>
    <n v="5952.9"/>
    <n v="0"/>
    <n v="595"/>
    <n v="5.95"/>
  </r>
  <r>
    <x v="105"/>
    <s v="601998"/>
    <s v="中信银行"/>
    <n v="4200"/>
    <n v="4200"/>
    <n v="6.1239999999999997"/>
    <n v="1199.83"/>
    <n v="4.67"/>
    <n v="26922"/>
    <n v="6.41"/>
  </r>
  <r>
    <x v="105"/>
    <s v="000402"/>
    <s v="金 融 街"/>
    <n v="2600"/>
    <n v="2600"/>
    <n v="6.17"/>
    <n v="17030.39"/>
    <n v="106.16"/>
    <n v="33072"/>
    <n v="12.72"/>
  </r>
  <r>
    <x v="105"/>
    <s v="000415"/>
    <s v="渤海金控"/>
    <n v="2100"/>
    <n v="2100"/>
    <n v="5.5860000000000003"/>
    <n v="2485.79"/>
    <n v="21.2"/>
    <n v="14217"/>
    <n v="6.77"/>
  </r>
  <r>
    <x v="105"/>
    <s v="000528"/>
    <s v="柳    工"/>
    <n v="5550"/>
    <n v="5550"/>
    <n v="9.1509999999999998"/>
    <n v="-783.83"/>
    <n v="-1.54"/>
    <n v="50005.5"/>
    <n v="9.01"/>
  </r>
  <r>
    <x v="105"/>
    <s v="002006"/>
    <s v="精功科技"/>
    <n v="2100"/>
    <n v="2100"/>
    <n v="8.4559999999999995"/>
    <n v="-1146.8800000000001"/>
    <n v="-6.46"/>
    <n v="16611"/>
    <n v="7.91"/>
  </r>
  <r>
    <x v="105"/>
    <s v="002140"/>
    <s v="东华科技"/>
    <n v="6000"/>
    <n v="6000"/>
    <n v="12.57"/>
    <n v="3597.62"/>
    <n v="4.7699999999999996"/>
    <n v="79020"/>
    <n v="13.17"/>
  </r>
  <r>
    <x v="105"/>
    <s v="300701"/>
    <s v="森霸股份"/>
    <n v="500"/>
    <n v="500"/>
    <n v="13.14"/>
    <n v="7280"/>
    <n v="110.81"/>
    <n v="13850"/>
    <n v="27.7"/>
  </r>
  <r>
    <x v="105"/>
    <s v="reserve"/>
    <s v="备用金"/>
    <m/>
    <m/>
    <m/>
    <m/>
    <m/>
    <n v="100041.41"/>
    <m/>
  </r>
  <r>
    <x v="106"/>
    <s v="519888"/>
    <s v="添富快线"/>
    <n v="9329308"/>
    <n v="9329308"/>
    <n v="0.01"/>
    <n v="2562.5700000000002"/>
    <n v="0"/>
    <n v="93293.08"/>
    <n v="0.01"/>
  </r>
  <r>
    <x v="106"/>
    <s v="600269"/>
    <s v="赣粤高速"/>
    <n v="2300"/>
    <n v="2300"/>
    <n v="5.37"/>
    <n v="-67.94"/>
    <n v="-0.56000000000000005"/>
    <n v="12282"/>
    <n v="5.34"/>
  </r>
  <r>
    <x v="106"/>
    <s v="601398"/>
    <s v="工商银行"/>
    <n v="100"/>
    <n v="100"/>
    <n v="-53.579000000000001"/>
    <n v="5955.9"/>
    <n v="0"/>
    <n v="598"/>
    <n v="5.98"/>
  </r>
  <r>
    <x v="106"/>
    <s v="601998"/>
    <s v="中信银行"/>
    <n v="4200"/>
    <n v="4200"/>
    <n v="6.1239999999999997"/>
    <n v="1073.83"/>
    <n v="4.18"/>
    <n v="26796"/>
    <n v="6.38"/>
  </r>
  <r>
    <x v="106"/>
    <s v="000402"/>
    <s v="金 融 街"/>
    <n v="1400"/>
    <n v="1400"/>
    <n v="0.372"/>
    <n v="17581.84"/>
    <n v="3375.81"/>
    <n v="18102"/>
    <n v="12.93"/>
  </r>
  <r>
    <x v="106"/>
    <s v="000415"/>
    <s v="渤海金控"/>
    <n v="2600"/>
    <n v="2600"/>
    <n v="5.806"/>
    <n v="2401.79"/>
    <n v="15.92"/>
    <n v="17498"/>
    <n v="6.73"/>
  </r>
  <r>
    <x v="106"/>
    <s v="000528"/>
    <s v="柳    工"/>
    <n v="6550"/>
    <n v="6550"/>
    <n v="9.1140000000000008"/>
    <n v="-1731.83"/>
    <n v="-2.9"/>
    <n v="57967.5"/>
    <n v="8.85"/>
  </r>
  <r>
    <x v="106"/>
    <s v="002006"/>
    <s v="精功科技"/>
    <n v="2100"/>
    <n v="2100"/>
    <n v="8.4559999999999995"/>
    <n v="-1146.8800000000001"/>
    <n v="-6.46"/>
    <n v="16611"/>
    <n v="7.91"/>
  </r>
  <r>
    <x v="106"/>
    <s v="002140"/>
    <s v="东华科技"/>
    <n v="6100"/>
    <n v="6100"/>
    <n v="12.571"/>
    <n v="3716.29"/>
    <n v="4.8499999999999996"/>
    <n v="80398"/>
    <n v="13.18"/>
  </r>
  <r>
    <x v="106"/>
    <s v="300701"/>
    <s v="森霸股份"/>
    <n v="500"/>
    <n v="500"/>
    <n v="13.14"/>
    <n v="8665"/>
    <n v="131.88999999999999"/>
    <n v="15235"/>
    <n v="30.47"/>
  </r>
  <r>
    <x v="106"/>
    <s v="SZRQ88"/>
    <s v="国标准券"/>
    <n v="80000"/>
    <n v="80000"/>
    <n v="1"/>
    <n v="-3.2"/>
    <n v="0"/>
    <n v="80000"/>
    <n v="1"/>
  </r>
  <r>
    <x v="106"/>
    <s v="reserve"/>
    <s v="备用金"/>
    <m/>
    <m/>
    <m/>
    <m/>
    <m/>
    <n v="19350.28"/>
    <m/>
  </r>
  <r>
    <x v="107"/>
    <s v="519888"/>
    <s v="添富快线"/>
    <n v="2829308"/>
    <n v="2829308"/>
    <n v="8.9999999999999993E-3"/>
    <n v="2562.5700000000002"/>
    <n v="11.11"/>
    <n v="28293.08"/>
    <n v="0.01"/>
  </r>
  <r>
    <x v="107"/>
    <s v="600269"/>
    <s v="赣粤高速"/>
    <n v="2800"/>
    <n v="2300"/>
    <n v="5.359"/>
    <n v="-220.99"/>
    <n v="-1.47"/>
    <n v="14784"/>
    <n v="5.28"/>
  </r>
  <r>
    <x v="107"/>
    <s v="601398"/>
    <s v="工商银行"/>
    <n v="100"/>
    <n v="100"/>
    <n v="-53.579000000000001"/>
    <n v="5968.9"/>
    <n v="0"/>
    <n v="611"/>
    <n v="6.11"/>
  </r>
  <r>
    <x v="107"/>
    <s v="601998"/>
    <s v="中信银行"/>
    <n v="4700"/>
    <n v="4200"/>
    <n v="6.1459999999999999"/>
    <n v="910.77"/>
    <n v="3.16"/>
    <n v="29798"/>
    <n v="6.34"/>
  </r>
  <r>
    <x v="107"/>
    <s v="000402"/>
    <s v="金 融 街"/>
    <n v="4500"/>
    <n v="1000"/>
    <n v="8.5950000000000006"/>
    <n v="15457.91"/>
    <n v="39.97"/>
    <n v="54135"/>
    <n v="12.03"/>
  </r>
  <r>
    <x v="107"/>
    <s v="000415"/>
    <s v="渤海金控"/>
    <n v="3100"/>
    <n v="2600"/>
    <n v="5.9470000000000001"/>
    <n v="2178.79"/>
    <n v="11.82"/>
    <n v="20615"/>
    <n v="6.65"/>
  </r>
  <r>
    <x v="107"/>
    <s v="000528"/>
    <s v="柳    工"/>
    <n v="8050"/>
    <n v="6550"/>
    <n v="9.0510000000000002"/>
    <n v="-2909.83"/>
    <n v="-3.99"/>
    <n v="69954.5"/>
    <n v="8.69"/>
  </r>
  <r>
    <x v="107"/>
    <s v="002006"/>
    <s v="精功科技"/>
    <n v="2100"/>
    <n v="2100"/>
    <n v="8.4559999999999995"/>
    <n v="-1146.8800000000001"/>
    <n v="-6.46"/>
    <n v="16611"/>
    <n v="7.91"/>
  </r>
  <r>
    <x v="107"/>
    <s v="002140"/>
    <s v="东华科技"/>
    <n v="7600"/>
    <n v="6100"/>
    <n v="12.638"/>
    <n v="924.29"/>
    <n v="0.97"/>
    <n v="96976"/>
    <n v="12.76"/>
  </r>
  <r>
    <x v="107"/>
    <s v="300701"/>
    <s v="森霸股份"/>
    <n v="500"/>
    <n v="500"/>
    <n v="13.14"/>
    <n v="10190"/>
    <n v="155.1"/>
    <n v="16760"/>
    <n v="33.520000000000003"/>
  </r>
  <r>
    <x v="107"/>
    <s v="SZRQ88"/>
    <s v="国标准券"/>
    <n v="80000"/>
    <n v="80000"/>
    <n v="1"/>
    <n v="-3.2"/>
    <n v="0"/>
    <n v="80000"/>
    <n v="1"/>
  </r>
  <r>
    <x v="107"/>
    <s v="reserve"/>
    <s v="备用金"/>
    <m/>
    <m/>
    <m/>
    <m/>
    <m/>
    <n v="4498.24"/>
    <m/>
  </r>
  <r>
    <x v="108"/>
    <s v="519888"/>
    <s v="添富快线"/>
    <n v="8831725"/>
    <n v="2831725"/>
    <n v="0.01"/>
    <n v="2586.7399999999998"/>
    <n v="0"/>
    <n v="88317.25"/>
    <n v="0.01"/>
  </r>
  <r>
    <x v="108"/>
    <s v="600269"/>
    <s v="赣粤高速"/>
    <n v="2800"/>
    <n v="2800"/>
    <n v="5.359"/>
    <n v="-164.99"/>
    <n v="-1.1000000000000001"/>
    <n v="14840"/>
    <n v="5.3"/>
  </r>
  <r>
    <x v="108"/>
    <s v="601398"/>
    <s v="工商银行"/>
    <n v="100"/>
    <n v="100"/>
    <n v="-53.579000000000001"/>
    <n v="5964.9"/>
    <n v="0"/>
    <n v="607"/>
    <n v="6.07"/>
  </r>
  <r>
    <x v="108"/>
    <s v="601998"/>
    <s v="中信银行"/>
    <n v="4700"/>
    <n v="4700"/>
    <n v="6.1459999999999999"/>
    <n v="957.77"/>
    <n v="3.32"/>
    <n v="29845"/>
    <n v="6.35"/>
  </r>
  <r>
    <x v="108"/>
    <s v="000402"/>
    <s v="金 融 街"/>
    <n v="3900"/>
    <n v="2400"/>
    <n v="8.0269999999999992"/>
    <n v="15964.48"/>
    <n v="50.99"/>
    <n v="47268"/>
    <n v="12.12"/>
  </r>
  <r>
    <x v="108"/>
    <s v="000415"/>
    <s v="渤海金控"/>
    <n v="3100"/>
    <n v="3100"/>
    <n v="5.9470000000000001"/>
    <n v="2147.79"/>
    <n v="11.65"/>
    <n v="20584"/>
    <n v="6.64"/>
  </r>
  <r>
    <x v="108"/>
    <s v="000528"/>
    <s v="柳    工"/>
    <n v="8050"/>
    <n v="8050"/>
    <n v="9.0510000000000002"/>
    <n v="-2265.83"/>
    <n v="-3.1"/>
    <n v="70598.5"/>
    <n v="8.77"/>
  </r>
  <r>
    <x v="108"/>
    <s v="002006"/>
    <s v="精功科技"/>
    <n v="2100"/>
    <n v="2100"/>
    <n v="8.4559999999999995"/>
    <n v="-1146.8800000000001"/>
    <n v="-6.46"/>
    <n v="16611"/>
    <n v="7.91"/>
  </r>
  <r>
    <x v="108"/>
    <s v="002140"/>
    <s v="东华科技"/>
    <n v="7600"/>
    <n v="7600"/>
    <n v="12.638"/>
    <n v="1152.29"/>
    <n v="1.2"/>
    <n v="97204"/>
    <n v="12.79"/>
  </r>
  <r>
    <x v="108"/>
    <s v="300701"/>
    <s v="森霸股份"/>
    <n v="500"/>
    <n v="500"/>
    <n v="13.14"/>
    <n v="11865"/>
    <n v="180.59"/>
    <n v="18435"/>
    <n v="36.869999999999997"/>
  </r>
  <r>
    <x v="108"/>
    <s v="reserve"/>
    <s v="备用金"/>
    <m/>
    <m/>
    <m/>
    <m/>
    <m/>
    <n v="31892.33"/>
    <m/>
  </r>
  <r>
    <x v="109"/>
    <s v="519888"/>
    <s v="添富快线"/>
    <n v="13732073"/>
    <n v="8832073"/>
    <n v="0.01"/>
    <n v="2590.2199999999998"/>
    <n v="0"/>
    <n v="137320.73000000001"/>
    <n v="0.01"/>
  </r>
  <r>
    <x v="109"/>
    <s v="600269"/>
    <s v="赣粤高速"/>
    <n v="2800"/>
    <n v="2800"/>
    <n v="5.359"/>
    <n v="-80.989999999999995"/>
    <n v="-0.54"/>
    <n v="14924"/>
    <n v="5.33"/>
  </r>
  <r>
    <x v="109"/>
    <s v="601398"/>
    <s v="工商银行"/>
    <n v="100"/>
    <n v="100"/>
    <n v="-53.579000000000001"/>
    <n v="5959.9"/>
    <n v="0"/>
    <n v="602"/>
    <n v="6.02"/>
  </r>
  <r>
    <x v="109"/>
    <s v="601998"/>
    <s v="中信银行"/>
    <n v="4700"/>
    <n v="4700"/>
    <n v="6.1459999999999999"/>
    <n v="863.77"/>
    <n v="2.99"/>
    <n v="29751"/>
    <n v="6.33"/>
  </r>
  <r>
    <x v="109"/>
    <s v="000402"/>
    <s v="金 融 街"/>
    <n v="1900"/>
    <n v="1900"/>
    <n v="3.4009999999999998"/>
    <n v="18048.580000000002"/>
    <n v="279.3"/>
    <n v="24510"/>
    <n v="12.9"/>
  </r>
  <r>
    <x v="109"/>
    <s v="000415"/>
    <s v="渤海金控"/>
    <n v="3100"/>
    <n v="3100"/>
    <n v="5.9470000000000001"/>
    <n v="2147.79"/>
    <n v="11.65"/>
    <n v="20584"/>
    <n v="6.64"/>
  </r>
  <r>
    <x v="109"/>
    <s v="000528"/>
    <s v="柳    工"/>
    <n v="7650"/>
    <n v="7650"/>
    <n v="9.0640000000000001"/>
    <n v="-1787.37"/>
    <n v="-2.58"/>
    <n v="67549.5"/>
    <n v="8.83"/>
  </r>
  <r>
    <x v="109"/>
    <s v="002006"/>
    <s v="精功科技"/>
    <n v="2100"/>
    <n v="2100"/>
    <n v="8.4559999999999995"/>
    <n v="-1146.8800000000001"/>
    <n v="-6.46"/>
    <n v="16611"/>
    <n v="7.91"/>
  </r>
  <r>
    <x v="109"/>
    <s v="002140"/>
    <s v="东华科技"/>
    <n v="7200"/>
    <n v="7200"/>
    <n v="12.625"/>
    <n v="1258.1300000000001"/>
    <n v="1.39"/>
    <n v="92160"/>
    <n v="12.8"/>
  </r>
  <r>
    <x v="109"/>
    <s v="300701"/>
    <s v="森霸股份"/>
    <n v="500"/>
    <n v="500"/>
    <n v="13.14"/>
    <n v="13710"/>
    <n v="208.68"/>
    <n v="20280"/>
    <n v="40.56"/>
  </r>
  <r>
    <x v="109"/>
    <s v="reserve"/>
    <s v="备用金"/>
    <m/>
    <m/>
    <m/>
    <m/>
    <m/>
    <n v="16411.73"/>
    <m/>
  </r>
  <r>
    <x v="110"/>
    <s v="519888"/>
    <s v="添富快线"/>
    <n v="34446"/>
    <n v="34446"/>
    <n v="-6.6000000000000003E-2"/>
    <n v="2617.8960000000002"/>
    <n v="0"/>
    <n v="344.46"/>
    <n v="0.01"/>
  </r>
  <r>
    <x v="110"/>
    <s v="600269"/>
    <s v="赣粤高速"/>
    <n v="2800"/>
    <n v="2800"/>
    <n v="5.359"/>
    <n v="-108.99"/>
    <n v="-0.73"/>
    <n v="14896"/>
    <n v="5.32"/>
  </r>
  <r>
    <x v="110"/>
    <s v="601398"/>
    <s v="工商银行"/>
    <n v="100"/>
    <n v="100"/>
    <n v="-53.579000000000001"/>
    <n v="5957.9"/>
    <n v="0"/>
    <n v="600"/>
    <n v="6"/>
  </r>
  <r>
    <x v="110"/>
    <s v="601998"/>
    <s v="中信银行"/>
    <n v="4700"/>
    <n v="4700"/>
    <n v="6.1459999999999999"/>
    <n v="722.77"/>
    <n v="2.5099999999999998"/>
    <n v="29610"/>
    <n v="6.3"/>
  </r>
  <r>
    <x v="110"/>
    <s v="SHRQ88"/>
    <s v="标准券"/>
    <n v="500000"/>
    <n v="500000"/>
    <n v="1"/>
    <n v="-25"/>
    <n v="0"/>
    <n v="100000"/>
    <n v="1"/>
  </r>
  <r>
    <x v="110"/>
    <s v="000402"/>
    <s v="金 融 街"/>
    <n v="3600"/>
    <n v="1200"/>
    <n v="7.5529999999999999"/>
    <n v="16694.3"/>
    <n v="61.39"/>
    <n v="43884"/>
    <n v="12.19"/>
  </r>
  <r>
    <x v="110"/>
    <s v="000415"/>
    <s v="渤海金控"/>
    <n v="3100"/>
    <n v="3100"/>
    <n v="5.9470000000000001"/>
    <n v="2085.79"/>
    <n v="11.32"/>
    <n v="20522"/>
    <n v="6.62"/>
  </r>
  <r>
    <x v="110"/>
    <s v="000528"/>
    <s v="柳    工"/>
    <n v="7250"/>
    <n v="7250"/>
    <n v="9.0719999999999992"/>
    <n v="-1244.45"/>
    <n v="-1.89"/>
    <n v="64525"/>
    <n v="8.9"/>
  </r>
  <r>
    <x v="110"/>
    <s v="002006"/>
    <s v="精功科技"/>
    <n v="2100"/>
    <n v="2100"/>
    <n v="8.4559999999999995"/>
    <n v="-1146.8800000000001"/>
    <n v="-6.46"/>
    <n v="16611"/>
    <n v="7.91"/>
  </r>
  <r>
    <x v="110"/>
    <s v="002140"/>
    <s v="东华科技"/>
    <n v="7200"/>
    <n v="7200"/>
    <n v="12.625"/>
    <n v="538.13"/>
    <n v="0.6"/>
    <n v="91440"/>
    <n v="12.7"/>
  </r>
  <r>
    <x v="110"/>
    <s v="300701"/>
    <s v="森霸股份"/>
    <n v="500"/>
    <n v="500"/>
    <n v="13.14"/>
    <n v="17970"/>
    <n v="273.52"/>
    <n v="24540"/>
    <n v="49.08"/>
  </r>
  <r>
    <x v="110"/>
    <s v="SZRQ88"/>
    <s v="国标准券"/>
    <n v="36000"/>
    <n v="0"/>
    <n v="1"/>
    <n v="-1.8"/>
    <n v="0"/>
    <n v="36000"/>
    <n v="1"/>
  </r>
  <r>
    <x v="110"/>
    <s v="reserve"/>
    <s v="备用金"/>
    <m/>
    <m/>
    <m/>
    <m/>
    <m/>
    <n v="224.07"/>
    <m/>
  </r>
  <r>
    <x v="111"/>
    <s v="519888"/>
    <s v="添富快线"/>
    <n v="35729"/>
    <n v="35729"/>
    <n v="-6.4000000000000001E-2"/>
    <n v="2643.9459999999999"/>
    <n v="0"/>
    <n v="357.29"/>
    <n v="0.01"/>
  </r>
  <r>
    <x v="111"/>
    <s v="600269"/>
    <s v="赣粤高速"/>
    <n v="2400"/>
    <n v="2400"/>
    <n v="5.3570000000000002"/>
    <n v="55.81"/>
    <n v="0.43"/>
    <n v="12912"/>
    <n v="5.38"/>
  </r>
  <r>
    <x v="111"/>
    <s v="601398"/>
    <s v="工商银行"/>
    <n v="100"/>
    <n v="100"/>
    <n v="-53.579000000000001"/>
    <n v="5967.9"/>
    <n v="0"/>
    <n v="610"/>
    <n v="6.1"/>
  </r>
  <r>
    <x v="111"/>
    <s v="601998"/>
    <s v="中信银行"/>
    <n v="4200"/>
    <n v="4200"/>
    <n v="6.11"/>
    <n v="1093.47"/>
    <n v="4.26"/>
    <n v="26754"/>
    <n v="6.37"/>
  </r>
  <r>
    <x v="111"/>
    <s v="SHRQ88"/>
    <s v="标准券"/>
    <n v="500000"/>
    <n v="500000"/>
    <n v="1"/>
    <n v="107.89"/>
    <n v="0"/>
    <n v="100000"/>
    <n v="1"/>
  </r>
  <r>
    <x v="111"/>
    <s v="000402"/>
    <s v="金 融 街"/>
    <n v="3600"/>
    <n v="3600"/>
    <n v="7.5529999999999999"/>
    <n v="16910.3"/>
    <n v="62.19"/>
    <n v="44100"/>
    <n v="12.25"/>
  </r>
  <r>
    <x v="111"/>
    <s v="000415"/>
    <s v="渤海金控"/>
    <n v="3100"/>
    <n v="3100"/>
    <n v="5.9470000000000001"/>
    <n v="2271.79"/>
    <n v="12.33"/>
    <n v="20708"/>
    <n v="6.68"/>
  </r>
  <r>
    <x v="111"/>
    <s v="000528"/>
    <s v="柳    工"/>
    <n v="6450"/>
    <n v="6450"/>
    <n v="9.0730000000000004"/>
    <n v="-21.22"/>
    <n v="-0.03"/>
    <n v="58501.5"/>
    <n v="9.07"/>
  </r>
  <r>
    <x v="111"/>
    <s v="002006"/>
    <s v="精功科技"/>
    <n v="2100"/>
    <n v="2100"/>
    <n v="8.4559999999999995"/>
    <n v="-1146.8800000000001"/>
    <n v="-6.46"/>
    <n v="16611"/>
    <n v="7.91"/>
  </r>
  <r>
    <x v="111"/>
    <s v="002140"/>
    <s v="东华科技"/>
    <n v="6800"/>
    <n v="6800"/>
    <n v="12.609"/>
    <n v="1703.96"/>
    <n v="1.99"/>
    <n v="87448"/>
    <n v="12.86"/>
  </r>
  <r>
    <x v="111"/>
    <s v="300701"/>
    <s v="森霸股份"/>
    <n v="100"/>
    <n v="100"/>
    <n v="-130.48500000000001"/>
    <n v="17711.5"/>
    <n v="0"/>
    <n v="4663"/>
    <n v="46.63"/>
  </r>
  <r>
    <x v="111"/>
    <s v="SZRQ88"/>
    <s v="国标准券"/>
    <n v="73000"/>
    <n v="73000"/>
    <n v="1"/>
    <n v="8.19"/>
    <n v="0"/>
    <n v="73000"/>
    <n v="1"/>
  </r>
  <r>
    <x v="111"/>
    <s v="reserve"/>
    <s v="备用金"/>
    <m/>
    <m/>
    <m/>
    <m/>
    <m/>
    <n v="765.54"/>
    <m/>
  </r>
  <r>
    <x v="112"/>
    <s v="519888"/>
    <s v="添富快线"/>
    <n v="35734"/>
    <n v="35734"/>
    <n v="-6.4000000000000001E-2"/>
    <n v="2644.3159999999998"/>
    <n v="0"/>
    <n v="357.34"/>
    <n v="0.01"/>
  </r>
  <r>
    <x v="112"/>
    <s v="600269"/>
    <s v="赣粤高速"/>
    <n v="2400"/>
    <n v="2400"/>
    <n v="5.3570000000000002"/>
    <n v="103.81"/>
    <n v="0.8"/>
    <n v="12960"/>
    <n v="5.4"/>
  </r>
  <r>
    <x v="112"/>
    <s v="601398"/>
    <s v="工商银行"/>
    <n v="100"/>
    <n v="100"/>
    <n v="-53.579000000000001"/>
    <n v="5971.9"/>
    <n v="0"/>
    <n v="614"/>
    <n v="6.14"/>
  </r>
  <r>
    <x v="112"/>
    <s v="601998"/>
    <s v="中信银行"/>
    <n v="4200"/>
    <n v="4200"/>
    <n v="6.11"/>
    <n v="1219.47"/>
    <n v="4.75"/>
    <n v="26880"/>
    <n v="6.4"/>
  </r>
  <r>
    <x v="112"/>
    <s v="SHRQ88"/>
    <s v="标准券"/>
    <n v="200000"/>
    <n v="200000"/>
    <n v="0.999"/>
    <n v="166.09"/>
    <n v="0.1"/>
    <n v="0"/>
    <n v="1"/>
  </r>
  <r>
    <x v="112"/>
    <s v="000402"/>
    <s v="金 融 街"/>
    <n v="4700"/>
    <n v="4700"/>
    <n v="8.6039999999999992"/>
    <n v="16386.23"/>
    <n v="40.520000000000003"/>
    <n v="56823"/>
    <n v="12.09"/>
  </r>
  <r>
    <x v="112"/>
    <s v="000415"/>
    <s v="渤海金控"/>
    <n v="3100"/>
    <n v="3100"/>
    <n v="5.9470000000000001"/>
    <n v="2395.79"/>
    <n v="13"/>
    <n v="20832"/>
    <n v="6.72"/>
  </r>
  <r>
    <x v="112"/>
    <s v="000528"/>
    <s v="柳    工"/>
    <n v="6450"/>
    <n v="6450"/>
    <n v="9.0730000000000004"/>
    <n v="107.78"/>
    <n v="0.19"/>
    <n v="58630.5"/>
    <n v="9.09"/>
  </r>
  <r>
    <x v="112"/>
    <s v="002006"/>
    <s v="精功科技"/>
    <n v="2100"/>
    <n v="2100"/>
    <n v="8.4559999999999995"/>
    <n v="-1146.8800000000001"/>
    <n v="-6.46"/>
    <n v="16611"/>
    <n v="7.91"/>
  </r>
  <r>
    <x v="112"/>
    <s v="002140"/>
    <s v="东华科技"/>
    <n v="6800"/>
    <n v="6800"/>
    <n v="12.609"/>
    <n v="2859.96"/>
    <n v="3.34"/>
    <n v="88604"/>
    <n v="13.03"/>
  </r>
  <r>
    <x v="112"/>
    <s v="300701"/>
    <s v="森霸股份"/>
    <n v="100"/>
    <n v="100"/>
    <n v="-130.48500000000001"/>
    <n v="18177.5"/>
    <n v="0"/>
    <n v="5129"/>
    <n v="51.29"/>
  </r>
  <r>
    <x v="112"/>
    <s v="SZRQ88"/>
    <s v="国标准券"/>
    <n v="330000"/>
    <n v="330000"/>
    <n v="1"/>
    <n v="21.1"/>
    <n v="0"/>
    <n v="130000"/>
    <n v="1"/>
  </r>
  <r>
    <x v="112"/>
    <s v="reserve"/>
    <s v="备用金"/>
    <m/>
    <m/>
    <m/>
    <m/>
    <m/>
    <n v="30589.58"/>
    <m/>
  </r>
  <r>
    <x v="113"/>
    <s v="519888"/>
    <s v="添富快线"/>
    <n v="35737"/>
    <n v="35737"/>
    <n v="-6.4000000000000001E-2"/>
    <n v="2644.538"/>
    <n v="0"/>
    <n v="357.37"/>
    <n v="0.01"/>
  </r>
  <r>
    <x v="113"/>
    <s v="600269"/>
    <s v="赣粤高速"/>
    <n v="2400"/>
    <n v="2400"/>
    <n v="5.3570000000000002"/>
    <n v="79.81"/>
    <n v="0.62"/>
    <n v="12936"/>
    <n v="5.39"/>
  </r>
  <r>
    <x v="113"/>
    <s v="601398"/>
    <s v="工商银行"/>
    <n v="100"/>
    <n v="100"/>
    <n v="-53.579000000000001"/>
    <n v="5977.9"/>
    <n v="0"/>
    <n v="620"/>
    <n v="6.2"/>
  </r>
  <r>
    <x v="113"/>
    <s v="601998"/>
    <s v="中信银行"/>
    <n v="4200"/>
    <n v="4200"/>
    <n v="6.11"/>
    <n v="1219.47"/>
    <n v="4.75"/>
    <n v="26880"/>
    <n v="6.4"/>
  </r>
  <r>
    <x v="113"/>
    <s v="SHRQ88"/>
    <s v="标准券"/>
    <n v="200000"/>
    <n v="200000"/>
    <n v="0.999"/>
    <n v="166.09"/>
    <n v="0.1"/>
    <n v="0"/>
    <n v="1"/>
  </r>
  <r>
    <x v="113"/>
    <s v="000402"/>
    <s v="金 融 街"/>
    <n v="4700"/>
    <n v="4700"/>
    <n v="8.6039999999999992"/>
    <n v="16527.23"/>
    <n v="40.869999999999997"/>
    <n v="56964"/>
    <n v="12.12"/>
  </r>
  <r>
    <x v="113"/>
    <s v="000415"/>
    <s v="渤海金控"/>
    <n v="3100"/>
    <n v="3100"/>
    <n v="5.9470000000000001"/>
    <n v="2426.79"/>
    <n v="13.17"/>
    <n v="20863"/>
    <n v="6.73"/>
  </r>
  <r>
    <x v="113"/>
    <s v="000528"/>
    <s v="柳    工"/>
    <n v="5650"/>
    <n v="5650"/>
    <n v="9.07"/>
    <n v="396.98"/>
    <n v="0.77"/>
    <n v="51641"/>
    <n v="9.14"/>
  </r>
  <r>
    <x v="113"/>
    <s v="002006"/>
    <s v="精功科技"/>
    <n v="2100"/>
    <n v="2100"/>
    <n v="8.4559999999999995"/>
    <n v="-1146.8800000000001"/>
    <n v="-6.46"/>
    <n v="16611"/>
    <n v="7.91"/>
  </r>
  <r>
    <x v="113"/>
    <s v="002140"/>
    <s v="东华科技"/>
    <n v="6400"/>
    <n v="6400"/>
    <n v="12.574999999999999"/>
    <n v="2845.69"/>
    <n v="3.54"/>
    <n v="83328"/>
    <n v="13.02"/>
  </r>
  <r>
    <x v="113"/>
    <s v="300701"/>
    <s v="森霸股份"/>
    <n v="100"/>
    <n v="100"/>
    <n v="-130.48500000000001"/>
    <n v="17748.5"/>
    <n v="0"/>
    <n v="4700"/>
    <n v="47"/>
  </r>
  <r>
    <x v="113"/>
    <s v="reserve"/>
    <s v="备用金"/>
    <m/>
    <m/>
    <m/>
    <m/>
    <m/>
    <n v="172686.79"/>
    <m/>
  </r>
  <r>
    <x v="114"/>
    <s v="519888"/>
    <s v="添富快线"/>
    <n v="35737"/>
    <n v="35737"/>
    <n v="-6.4000000000000001E-2"/>
    <n v="2644.538"/>
    <n v="0"/>
    <n v="357.37"/>
    <n v="0.01"/>
  </r>
  <r>
    <x v="114"/>
    <s v="600269"/>
    <s v="赣粤高速"/>
    <n v="2400"/>
    <n v="2400"/>
    <n v="5.3570000000000002"/>
    <n v="7.81"/>
    <n v="0.06"/>
    <n v="12864"/>
    <n v="5.36"/>
  </r>
  <r>
    <x v="114"/>
    <s v="601398"/>
    <s v="工商银行"/>
    <n v="100"/>
    <n v="100"/>
    <n v="-53.579000000000001"/>
    <n v="5978.9"/>
    <n v="0"/>
    <n v="621"/>
    <n v="6.21"/>
  </r>
  <r>
    <x v="114"/>
    <s v="601998"/>
    <s v="中信银行"/>
    <n v="4200"/>
    <n v="4200"/>
    <n v="6.11"/>
    <n v="1135.47"/>
    <n v="4.42"/>
    <n v="26796"/>
    <n v="6.38"/>
  </r>
  <r>
    <x v="114"/>
    <s v="SHRQ88"/>
    <s v="标准券"/>
    <n v="200000"/>
    <n v="200000"/>
    <n v="0.999"/>
    <n v="166.09"/>
    <n v="0.1"/>
    <n v="130000"/>
    <n v="1"/>
  </r>
  <r>
    <x v="114"/>
    <s v="000402"/>
    <s v="金 融 街"/>
    <n v="6300"/>
    <n v="4700"/>
    <n v="9.4640000000000004"/>
    <n v="15785.23"/>
    <n v="26.48"/>
    <n v="75411"/>
    <n v="11.97"/>
  </r>
  <r>
    <x v="114"/>
    <s v="000415"/>
    <s v="渤海金控"/>
    <n v="3100"/>
    <n v="3100"/>
    <n v="5.9470000000000001"/>
    <n v="2209.79"/>
    <n v="11.99"/>
    <n v="20646"/>
    <n v="6.66"/>
  </r>
  <r>
    <x v="114"/>
    <s v="000528"/>
    <s v="柳    工"/>
    <n v="5650"/>
    <n v="5650"/>
    <n v="9.07"/>
    <n v="509.98"/>
    <n v="0.99"/>
    <n v="51754"/>
    <n v="9.16"/>
  </r>
  <r>
    <x v="114"/>
    <s v="002006"/>
    <s v="精功科技"/>
    <n v="2100"/>
    <n v="2100"/>
    <n v="8.4559999999999995"/>
    <n v="-1146.8800000000001"/>
    <n v="-6.46"/>
    <n v="16611"/>
    <n v="7.91"/>
  </r>
  <r>
    <x v="114"/>
    <s v="002140"/>
    <s v="东华科技"/>
    <n v="6900"/>
    <n v="6400"/>
    <n v="12.603999999999999"/>
    <n v="2042.69"/>
    <n v="2.35"/>
    <n v="89010"/>
    <n v="12.9"/>
  </r>
  <r>
    <x v="114"/>
    <s v="300701"/>
    <s v="森霸股份"/>
    <n v="100"/>
    <n v="100"/>
    <n v="-130.48500000000001"/>
    <n v="17798.5"/>
    <n v="0"/>
    <n v="4750"/>
    <n v="47.5"/>
  </r>
  <r>
    <x v="114"/>
    <s v="reserve"/>
    <s v="备用金"/>
    <m/>
    <m/>
    <m/>
    <m/>
    <m/>
    <n v="17012.79"/>
    <m/>
  </r>
  <r>
    <x v="115"/>
    <s v="519888"/>
    <s v="添富快线"/>
    <n v="35743"/>
    <n v="35743"/>
    <n v="-6.3E-2"/>
    <n v="2609.239"/>
    <n v="0"/>
    <n v="357.43"/>
    <n v="0.01"/>
  </r>
  <r>
    <x v="115"/>
    <s v="600269"/>
    <s v="赣粤高速"/>
    <n v="2400"/>
    <n v="2400"/>
    <n v="5.3570000000000002"/>
    <n v="7.81"/>
    <n v="0.06"/>
    <n v="12864"/>
    <n v="5.36"/>
  </r>
  <r>
    <x v="115"/>
    <s v="601398"/>
    <s v="工商银行"/>
    <n v="100"/>
    <n v="100"/>
    <n v="-53.579000000000001"/>
    <n v="5971.9"/>
    <n v="0"/>
    <n v="614"/>
    <n v="6.14"/>
  </r>
  <r>
    <x v="115"/>
    <s v="601998"/>
    <s v="中信银行"/>
    <n v="4200"/>
    <n v="4200"/>
    <n v="6.11"/>
    <n v="967.47"/>
    <n v="3.77"/>
    <n v="26628"/>
    <n v="6.34"/>
  </r>
  <r>
    <x v="115"/>
    <s v="SHRQ88"/>
    <s v="标准券"/>
    <n v="100000"/>
    <n v="100000"/>
    <n v="0.997"/>
    <n v="262.25"/>
    <n v="0.3"/>
    <n v="0"/>
    <n v="1"/>
  </r>
  <r>
    <x v="115"/>
    <s v="000402"/>
    <s v="金 融 街"/>
    <n v="5800"/>
    <n v="5800"/>
    <n v="9.2409999999999997"/>
    <n v="16409.189999999999"/>
    <n v="30.61"/>
    <n v="70006"/>
    <n v="12.07"/>
  </r>
  <r>
    <x v="115"/>
    <s v="000415"/>
    <s v="渤海金控"/>
    <n v="3100"/>
    <n v="3100"/>
    <n v="5.9470000000000001"/>
    <n v="2178.79"/>
    <n v="11.82"/>
    <n v="20615"/>
    <n v="6.65"/>
  </r>
  <r>
    <x v="115"/>
    <s v="000528"/>
    <s v="柳    工"/>
    <n v="5650"/>
    <n v="5650"/>
    <n v="9.07"/>
    <n v="283.98"/>
    <n v="0.55000000000000004"/>
    <n v="51528"/>
    <n v="9.1199999999999992"/>
  </r>
  <r>
    <x v="115"/>
    <s v="002006"/>
    <s v="精功科技"/>
    <n v="2100"/>
    <n v="2100"/>
    <n v="8.4559999999999995"/>
    <n v="-1146.8800000000001"/>
    <n v="-6.46"/>
    <n v="16611"/>
    <n v="7.91"/>
  </r>
  <r>
    <x v="115"/>
    <s v="002140"/>
    <s v="东华科技"/>
    <n v="6100"/>
    <n v="6100"/>
    <n v="12.531000000000001"/>
    <n v="4385.1400000000003"/>
    <n v="5.74"/>
    <n v="80825"/>
    <n v="13.25"/>
  </r>
  <r>
    <x v="115"/>
    <s v="300701"/>
    <s v="森霸股份"/>
    <n v="100"/>
    <n v="100"/>
    <n v="-130.48500000000001"/>
    <n v="17978.5"/>
    <n v="0"/>
    <n v="4930"/>
    <n v="49.3"/>
  </r>
  <r>
    <x v="115"/>
    <s v="reserve"/>
    <s v="备用金"/>
    <m/>
    <m/>
    <m/>
    <m/>
    <m/>
    <n v="163775.92000000001"/>
    <m/>
  </r>
  <r>
    <x v="116"/>
    <s v="519888"/>
    <s v="添富快线"/>
    <n v="10035743"/>
    <n v="35743"/>
    <n v="0.01"/>
    <n v="2626.92"/>
    <n v="0"/>
    <n v="100357.43"/>
    <n v="0.01"/>
  </r>
  <r>
    <x v="116"/>
    <s v="600269"/>
    <s v="赣粤高速"/>
    <n v="2400"/>
    <n v="2400"/>
    <n v="5.3570000000000002"/>
    <n v="-88.19"/>
    <n v="-0.69"/>
    <n v="12768"/>
    <n v="5.32"/>
  </r>
  <r>
    <x v="116"/>
    <s v="601398"/>
    <s v="工商银行"/>
    <n v="100"/>
    <n v="100"/>
    <n v="-53.579000000000001"/>
    <n v="5978.9"/>
    <n v="0"/>
    <n v="621"/>
    <n v="6.21"/>
  </r>
  <r>
    <x v="116"/>
    <s v="601998"/>
    <s v="中信银行"/>
    <n v="4200"/>
    <n v="4200"/>
    <n v="6.11"/>
    <n v="1093.47"/>
    <n v="4.26"/>
    <n v="26754"/>
    <n v="6.37"/>
  </r>
  <r>
    <x v="116"/>
    <s v="SHRQ88"/>
    <s v="标准券"/>
    <n v="100000"/>
    <n v="100000"/>
    <n v="0.997"/>
    <n v="262.25"/>
    <n v="0.3"/>
    <m/>
    <n v="1"/>
  </r>
  <r>
    <x v="116"/>
    <s v="000402"/>
    <s v="金 融 街"/>
    <n v="9500"/>
    <n v="5800"/>
    <n v="10.269"/>
    <n v="14359.19"/>
    <n v="14.72"/>
    <n v="111910"/>
    <n v="11.78"/>
  </r>
  <r>
    <x v="116"/>
    <s v="000415"/>
    <s v="渤海金控"/>
    <n v="3600"/>
    <n v="3100"/>
    <n v="6.0350000000000001"/>
    <n v="1817.79"/>
    <n v="8.3699999999999992"/>
    <n v="23544"/>
    <n v="6.54"/>
  </r>
  <r>
    <x v="116"/>
    <s v="000528"/>
    <s v="柳    工"/>
    <n v="5750"/>
    <n v="5250"/>
    <n v="9.0630000000000006"/>
    <n v="-16.7"/>
    <n v="-0.03"/>
    <n v="52095"/>
    <n v="9.06"/>
  </r>
  <r>
    <x v="116"/>
    <s v="002006"/>
    <s v="精功科技"/>
    <n v="2100"/>
    <n v="2100"/>
    <n v="8.4559999999999995"/>
    <n v="-1146.8800000000001"/>
    <n v="-6.46"/>
    <n v="16611"/>
    <n v="7.91"/>
  </r>
  <r>
    <x v="116"/>
    <s v="002140"/>
    <s v="东华科技"/>
    <n v="6200"/>
    <n v="5700"/>
    <n v="12.523999999999999"/>
    <n v="3820.75"/>
    <n v="4.92"/>
    <n v="81468"/>
    <n v="13.14"/>
  </r>
  <r>
    <x v="116"/>
    <s v="300701"/>
    <s v="森霸股份"/>
    <n v="100"/>
    <n v="100"/>
    <n v="-130.48500000000001"/>
    <n v="18471.5"/>
    <n v="0"/>
    <n v="5423"/>
    <n v="54.23"/>
  </r>
  <r>
    <x v="116"/>
    <s v="reserve"/>
    <s v="备用金"/>
    <m/>
    <m/>
    <m/>
    <m/>
    <m/>
    <n v="14456.85"/>
    <m/>
  </r>
  <r>
    <x v="117"/>
    <s v="519888"/>
    <s v="添富快线"/>
    <n v="8035752"/>
    <n v="8035752"/>
    <n v="0.01"/>
    <n v="2627.01"/>
    <n v="0"/>
    <n v="80357.52"/>
    <n v="0.01"/>
  </r>
  <r>
    <x v="117"/>
    <s v="600269"/>
    <s v="赣粤高速"/>
    <n v="2900"/>
    <n v="2400"/>
    <n v="5.3490000000000002"/>
    <n v="-141.24"/>
    <n v="-0.92"/>
    <n v="15370"/>
    <n v="5.3"/>
  </r>
  <r>
    <x v="117"/>
    <s v="601398"/>
    <s v="工商银行"/>
    <n v="100"/>
    <n v="100"/>
    <n v="-53.579000000000001"/>
    <n v="5972.9"/>
    <n v="0"/>
    <n v="615"/>
    <n v="6.15"/>
  </r>
  <r>
    <x v="117"/>
    <s v="601998"/>
    <s v="中信银行"/>
    <n v="4200"/>
    <n v="4200"/>
    <n v="6.11"/>
    <n v="1009.47"/>
    <n v="3.93"/>
    <n v="26670"/>
    <n v="6.35"/>
  </r>
  <r>
    <x v="117"/>
    <s v="603589"/>
    <s v="口子窖"/>
    <n v="100"/>
    <n v="0"/>
    <n v="49.420999999999999"/>
    <n v="8.9"/>
    <n v="3.93"/>
    <n v="4951"/>
    <n v="49.51"/>
  </r>
  <r>
    <x v="117"/>
    <s v="000402"/>
    <s v="金 融 街"/>
    <n v="11600"/>
    <n v="9000"/>
    <n v="10.510999999999999"/>
    <n v="13215.19"/>
    <n v="10.84"/>
    <n v="135140"/>
    <n v="11.65"/>
  </r>
  <r>
    <x v="117"/>
    <s v="000415"/>
    <s v="渤海金控"/>
    <n v="3600"/>
    <n v="3600"/>
    <n v="6.0350000000000001"/>
    <n v="1817.79"/>
    <n v="8.3699999999999992"/>
    <n v="23544"/>
    <n v="6.54"/>
  </r>
  <r>
    <x v="117"/>
    <s v="000528"/>
    <s v="柳    工"/>
    <n v="4950"/>
    <n v="4950"/>
    <n v="9.0389999999999997"/>
    <n v="893.91"/>
    <n v="2"/>
    <n v="45639"/>
    <n v="9.2200000000000006"/>
  </r>
  <r>
    <x v="117"/>
    <s v="002006"/>
    <s v="精功科技"/>
    <n v="2100"/>
    <n v="2100"/>
    <n v="8.4559999999999995"/>
    <n v="-1146.8800000000001"/>
    <n v="-6.46"/>
    <n v="16611"/>
    <n v="7.91"/>
  </r>
  <r>
    <x v="117"/>
    <s v="002140"/>
    <s v="东华科技"/>
    <n v="6700"/>
    <n v="6200"/>
    <n v="12.547000000000001"/>
    <n v="2228.75"/>
    <n v="2.66"/>
    <n v="86296"/>
    <n v="12.88"/>
  </r>
  <r>
    <x v="117"/>
    <s v="300701"/>
    <s v="森霸股份"/>
    <n v="100"/>
    <n v="100"/>
    <n v="-130.48500000000001"/>
    <n v="19013.5"/>
    <n v="0"/>
    <n v="5965"/>
    <n v="59.65"/>
  </r>
  <r>
    <x v="117"/>
    <s v="reserve"/>
    <s v="备用金"/>
    <m/>
    <m/>
    <m/>
    <m/>
    <m/>
    <n v="3432.31"/>
    <m/>
  </r>
  <r>
    <x v="118"/>
    <s v="519888"/>
    <s v="添富快线"/>
    <n v="8037294"/>
    <n v="8037294"/>
    <n v="0.01"/>
    <n v="2642.43"/>
    <n v="0"/>
    <n v="80372.94"/>
    <n v="0.01"/>
  </r>
  <r>
    <x v="118"/>
    <s v="600269"/>
    <s v="赣粤高速"/>
    <n v="2900"/>
    <n v="2900"/>
    <n v="5.3490000000000002"/>
    <n v="-170.24"/>
    <n v="-1.1000000000000001"/>
    <n v="15341"/>
    <n v="5.29"/>
  </r>
  <r>
    <x v="118"/>
    <s v="601398"/>
    <s v="工商银行"/>
    <n v="100"/>
    <n v="100"/>
    <n v="-53.579000000000001"/>
    <n v="5985.9"/>
    <n v="0"/>
    <n v="628"/>
    <n v="6.28"/>
  </r>
  <r>
    <x v="118"/>
    <s v="601998"/>
    <s v="中信银行"/>
    <n v="4200"/>
    <n v="4200"/>
    <n v="6.11"/>
    <n v="1177.47"/>
    <n v="4.58"/>
    <n v="26838"/>
    <n v="6.39"/>
  </r>
  <r>
    <x v="118"/>
    <s v="603589"/>
    <s v="口子窖"/>
    <n v="100"/>
    <n v="100"/>
    <n v="49.420999999999999"/>
    <n v="72.900000000000006"/>
    <n v="1.48"/>
    <n v="5015"/>
    <n v="50.15"/>
  </r>
  <r>
    <x v="118"/>
    <s v="000402"/>
    <s v="金 融 街"/>
    <n v="11100"/>
    <n v="11100"/>
    <n v="10.459"/>
    <n v="13330.35"/>
    <n v="11.48"/>
    <n v="129426"/>
    <n v="11.66"/>
  </r>
  <r>
    <x v="118"/>
    <s v="000415"/>
    <s v="渤海金控"/>
    <n v="3600"/>
    <n v="3600"/>
    <n v="6.0350000000000001"/>
    <n v="1889.79"/>
    <n v="8.6999999999999993"/>
    <n v="23616"/>
    <n v="6.56"/>
  </r>
  <r>
    <x v="118"/>
    <s v="000528"/>
    <s v="柳    工"/>
    <n v="5450"/>
    <n v="5450"/>
    <n v="9.0370000000000008"/>
    <n v="-91.09"/>
    <n v="-0.19"/>
    <n v="49159"/>
    <n v="9.02"/>
  </r>
  <r>
    <x v="118"/>
    <s v="002006"/>
    <s v="精功科技"/>
    <n v="2100"/>
    <n v="2100"/>
    <n v="8.4559999999999995"/>
    <n v="-1146.8800000000001"/>
    <n v="-6.46"/>
    <n v="16611"/>
    <n v="7.91"/>
  </r>
  <r>
    <x v="118"/>
    <s v="002140"/>
    <s v="东华科技"/>
    <n v="6800"/>
    <n v="6800"/>
    <n v="12.54"/>
    <n v="1292.55"/>
    <n v="1.52"/>
    <n v="86564"/>
    <n v="12.73"/>
  </r>
  <r>
    <x v="118"/>
    <s v="300701"/>
    <s v="森霸股份"/>
    <n v="100"/>
    <n v="100"/>
    <n v="-130.48500000000001"/>
    <n v="18471.5"/>
    <n v="0"/>
    <n v="5423"/>
    <n v="54.23"/>
  </r>
  <r>
    <x v="118"/>
    <s v="reserve"/>
    <s v="备用金"/>
    <m/>
    <m/>
    <m/>
    <m/>
    <m/>
    <n v="3552.27"/>
    <m/>
  </r>
  <r>
    <x v="119"/>
    <s v="519888"/>
    <s v="添富快线"/>
    <n v="6037931"/>
    <n v="6037931"/>
    <n v="0.01"/>
    <n v="2648.8"/>
    <n v="0"/>
    <n v="60379.31"/>
    <n v="0.01"/>
  </r>
  <r>
    <x v="119"/>
    <s v="600269"/>
    <s v="赣粤高速"/>
    <n v="2900"/>
    <n v="2900"/>
    <n v="5.3490000000000002"/>
    <n v="-286.24"/>
    <n v="-1.85"/>
    <n v="15225"/>
    <n v="5.25"/>
  </r>
  <r>
    <x v="119"/>
    <s v="601398"/>
    <s v="工商银行"/>
    <n v="100"/>
    <n v="100"/>
    <n v="-53.579000000000001"/>
    <n v="5991.9"/>
    <n v="0"/>
    <n v="634"/>
    <n v="6.34"/>
  </r>
  <r>
    <x v="119"/>
    <s v="601998"/>
    <s v="中信银行"/>
    <n v="4200"/>
    <n v="4200"/>
    <n v="6.11"/>
    <n v="1177.47"/>
    <n v="4.58"/>
    <n v="26838"/>
    <n v="6.39"/>
  </r>
  <r>
    <x v="119"/>
    <s v="000402"/>
    <s v="金 融 街"/>
    <n v="10600"/>
    <n v="10600"/>
    <n v="10.398999999999999"/>
    <n v="13152.47"/>
    <n v="11.93"/>
    <n v="123384"/>
    <n v="11.64"/>
  </r>
  <r>
    <x v="119"/>
    <s v="000415"/>
    <s v="渤海金控"/>
    <n v="4100"/>
    <n v="4100"/>
    <n v="6.0810000000000004"/>
    <n v="1308.79"/>
    <n v="5.25"/>
    <n v="26240"/>
    <n v="6.4"/>
  </r>
  <r>
    <x v="119"/>
    <s v="000528"/>
    <s v="柳    工"/>
    <n v="6450"/>
    <n v="6450"/>
    <n v="9.0050000000000008"/>
    <n v="-1578.09"/>
    <n v="-2.72"/>
    <n v="56502"/>
    <n v="8.76"/>
  </r>
  <r>
    <x v="119"/>
    <s v="002006"/>
    <s v="精功科技"/>
    <n v="2100"/>
    <n v="2100"/>
    <n v="8.4559999999999995"/>
    <n v="-1146.8800000000001"/>
    <n v="-6.46"/>
    <n v="16611"/>
    <n v="7.91"/>
  </r>
  <r>
    <x v="119"/>
    <s v="002140"/>
    <s v="东华科技"/>
    <n v="7800"/>
    <n v="7800"/>
    <n v="12.518000000000001"/>
    <n v="-2247.4499999999998"/>
    <n v="-2.2999999999999998"/>
    <n v="95394"/>
    <n v="12.23"/>
  </r>
  <r>
    <x v="119"/>
    <s v="300701"/>
    <s v="森霸股份"/>
    <n v="100"/>
    <n v="100"/>
    <n v="-130.48500000000001"/>
    <n v="18257.5"/>
    <n v="0"/>
    <n v="5209"/>
    <n v="52.09"/>
  </r>
  <r>
    <x v="119"/>
    <s v="reserve"/>
    <s v="备用金"/>
    <m/>
    <m/>
    <m/>
    <m/>
    <m/>
    <n v="10030.26"/>
    <m/>
  </r>
  <r>
    <x v="120"/>
    <s v="519888"/>
    <s v="添富快线"/>
    <n v="6038468"/>
    <n v="6038468"/>
    <n v="0.01"/>
    <n v="2654.17"/>
    <n v="0"/>
    <n v="60384.68"/>
    <n v="0.01"/>
  </r>
  <r>
    <x v="120"/>
    <s v="600269"/>
    <s v="赣粤高速"/>
    <n v="2900"/>
    <n v="2900"/>
    <n v="5.3490000000000002"/>
    <n v="-170.24"/>
    <n v="-1.1000000000000001"/>
    <n v="15341"/>
    <n v="5.29"/>
  </r>
  <r>
    <x v="120"/>
    <s v="601398"/>
    <s v="工商银行"/>
    <n v="100"/>
    <n v="100"/>
    <n v="-53.579000000000001"/>
    <n v="5981.9"/>
    <n v="0"/>
    <n v="624"/>
    <n v="6.24"/>
  </r>
  <r>
    <x v="120"/>
    <s v="601998"/>
    <s v="中信银行"/>
    <n v="4200"/>
    <n v="4200"/>
    <n v="6.11"/>
    <n v="1177.47"/>
    <n v="4.58"/>
    <n v="26838"/>
    <n v="6.39"/>
  </r>
  <r>
    <x v="120"/>
    <s v="000402"/>
    <s v="金 融 街"/>
    <n v="11400"/>
    <n v="11400"/>
    <n v="10.492000000000001"/>
    <n v="14117.47"/>
    <n v="11.8"/>
    <n v="133722"/>
    <n v="11.73"/>
  </r>
  <r>
    <x v="120"/>
    <s v="000415"/>
    <s v="渤海金控"/>
    <n v="4100"/>
    <n v="4100"/>
    <n v="6.0810000000000004"/>
    <n v="1349.79"/>
    <n v="5.41"/>
    <n v="26281"/>
    <n v="6.41"/>
  </r>
  <r>
    <x v="120"/>
    <s v="000528"/>
    <s v="柳    工"/>
    <n v="6450"/>
    <n v="6450"/>
    <n v="9.0050000000000008"/>
    <n v="-1191.0899999999999"/>
    <n v="-2.0499999999999998"/>
    <n v="56889"/>
    <n v="8.82"/>
  </r>
  <r>
    <x v="120"/>
    <s v="002006"/>
    <s v="精功科技"/>
    <n v="2100"/>
    <n v="2100"/>
    <n v="8.4559999999999995"/>
    <n v="-1146.8800000000001"/>
    <n v="-6.46"/>
    <n v="16611"/>
    <n v="7.91"/>
  </r>
  <r>
    <x v="120"/>
    <s v="002140"/>
    <s v="东华科技"/>
    <n v="7800"/>
    <n v="7800"/>
    <n v="12.518000000000001"/>
    <n v="-1077.45"/>
    <n v="-1.1000000000000001"/>
    <n v="96564"/>
    <n v="12.38"/>
  </r>
  <r>
    <x v="120"/>
    <s v="300701"/>
    <s v="森霸股份"/>
    <n v="100"/>
    <n v="100"/>
    <n v="-130.48500000000001"/>
    <n v="18036.5"/>
    <n v="0"/>
    <n v="4988"/>
    <n v="49.88"/>
  </r>
  <r>
    <x v="120"/>
    <s v="reserve"/>
    <s v="备用金"/>
    <m/>
    <m/>
    <m/>
    <m/>
    <m/>
    <n v="657.26"/>
    <m/>
  </r>
  <r>
    <x v="121"/>
    <s v="519888"/>
    <s v="添富快线"/>
    <n v="6039868"/>
    <n v="6039868"/>
    <n v="0.01"/>
    <n v="2668.17"/>
    <n v="0"/>
    <n v="60398.68"/>
    <n v="0.01"/>
  </r>
  <r>
    <x v="121"/>
    <s v="600269"/>
    <s v="赣粤高速"/>
    <n v="2900"/>
    <n v="2900"/>
    <n v="5.3490000000000002"/>
    <n v="-112.24"/>
    <n v="-0.73"/>
    <n v="15399"/>
    <n v="5.31"/>
  </r>
  <r>
    <x v="121"/>
    <s v="601398"/>
    <s v="工商银行"/>
    <n v="100"/>
    <n v="100"/>
    <n v="-53.579000000000001"/>
    <n v="5976.9"/>
    <n v="0"/>
    <n v="619"/>
    <n v="6.19"/>
  </r>
  <r>
    <x v="121"/>
    <s v="601998"/>
    <s v="中信银行"/>
    <n v="4200"/>
    <n v="4200"/>
    <n v="6.11"/>
    <n v="1009.47"/>
    <n v="3.93"/>
    <n v="26670"/>
    <n v="6.35"/>
  </r>
  <r>
    <x v="121"/>
    <s v="000402"/>
    <s v="金 融 街"/>
    <n v="10100"/>
    <n v="10100"/>
    <n v="10.32"/>
    <n v="15349.07"/>
    <n v="14.73"/>
    <n v="119584"/>
    <n v="11.84"/>
  </r>
  <r>
    <x v="121"/>
    <s v="000415"/>
    <s v="渤海金控"/>
    <n v="4100"/>
    <n v="4100"/>
    <n v="6.0810000000000004"/>
    <n v="1595.79"/>
    <n v="6.4"/>
    <n v="26527"/>
    <n v="6.47"/>
  </r>
  <r>
    <x v="121"/>
    <s v="000528"/>
    <s v="柳    工"/>
    <n v="6050"/>
    <n v="6050"/>
    <n v="9.016"/>
    <n v="-1006.13"/>
    <n v="-1.84"/>
    <n v="53542.5"/>
    <n v="8.85"/>
  </r>
  <r>
    <x v="121"/>
    <s v="002006"/>
    <s v="精功科技"/>
    <n v="2100"/>
    <n v="2100"/>
    <n v="8.4559999999999995"/>
    <n v="-1146.8800000000001"/>
    <n v="-6.46"/>
    <n v="16611"/>
    <n v="7.91"/>
  </r>
  <r>
    <x v="121"/>
    <s v="002140"/>
    <s v="东华科技"/>
    <n v="7800"/>
    <n v="7800"/>
    <n v="12.518000000000001"/>
    <n v="-297.45"/>
    <n v="-0.3"/>
    <n v="97344"/>
    <n v="12.48"/>
  </r>
  <r>
    <x v="121"/>
    <s v="300701"/>
    <s v="森霸股份"/>
    <n v="100"/>
    <n v="100"/>
    <n v="-130.48500000000001"/>
    <n v="18117.5"/>
    <n v="0"/>
    <n v="5069"/>
    <n v="50.69"/>
  </r>
  <r>
    <x v="121"/>
    <s v="reserve"/>
    <s v="备用金"/>
    <m/>
    <m/>
    <m/>
    <m/>
    <m/>
    <n v="19558.32"/>
    <m/>
  </r>
  <r>
    <x v="122"/>
    <s v="519888"/>
    <s v="添富快线"/>
    <n v="6039868"/>
    <n v="6039868"/>
    <n v="0.01"/>
    <n v="2668.17"/>
    <n v="0"/>
    <n v="60398.68"/>
    <n v="0.01"/>
  </r>
  <r>
    <x v="122"/>
    <s v="600269"/>
    <s v="赣粤高速"/>
    <n v="2900"/>
    <n v="2900"/>
    <n v="5.3490000000000002"/>
    <n v="-170.24"/>
    <n v="-1.1000000000000001"/>
    <n v="15341"/>
    <n v="5.29"/>
  </r>
  <r>
    <x v="122"/>
    <s v="601398"/>
    <s v="工商银行"/>
    <n v="100"/>
    <n v="100"/>
    <n v="-53.579000000000001"/>
    <n v="5980.9"/>
    <n v="0"/>
    <n v="623"/>
    <n v="6.23"/>
  </r>
  <r>
    <x v="122"/>
    <s v="601998"/>
    <s v="中信银行"/>
    <n v="4200"/>
    <n v="4200"/>
    <n v="6.11"/>
    <n v="1177.47"/>
    <n v="4.58"/>
    <n v="26838"/>
    <n v="6.39"/>
  </r>
  <r>
    <x v="122"/>
    <s v="000402"/>
    <s v="金 融 街"/>
    <n v="8600"/>
    <n v="8600"/>
    <n v="10.032999999999999"/>
    <n v="16912.080000000002"/>
    <n v="19.61"/>
    <n v="103200"/>
    <n v="12"/>
  </r>
  <r>
    <x v="122"/>
    <s v="000415"/>
    <s v="渤海金控"/>
    <n v="4100"/>
    <n v="4100"/>
    <n v="6.0810000000000004"/>
    <n v="1431.79"/>
    <n v="5.74"/>
    <n v="26363"/>
    <n v="6.43"/>
  </r>
  <r>
    <x v="122"/>
    <s v="000528"/>
    <s v="柳    工"/>
    <n v="6050"/>
    <n v="6050"/>
    <n v="9.016"/>
    <n v="-1006.13"/>
    <n v="-1.84"/>
    <n v="53542.5"/>
    <n v="8.85"/>
  </r>
  <r>
    <x v="122"/>
    <s v="000987"/>
    <s v="越秀金控"/>
    <n v="500"/>
    <n v="0"/>
    <n v="11.57"/>
    <n v="20"/>
    <n v="0.35"/>
    <n v="5805"/>
    <n v="11.61"/>
  </r>
  <r>
    <x v="122"/>
    <s v="002006"/>
    <s v="精功科技"/>
    <n v="2100"/>
    <n v="2100"/>
    <n v="8.4559999999999995"/>
    <n v="-1146.8800000000001"/>
    <n v="-6.46"/>
    <n v="16611"/>
    <n v="7.91"/>
  </r>
  <r>
    <x v="122"/>
    <s v="002140"/>
    <s v="东华科技"/>
    <n v="7800"/>
    <n v="7400"/>
    <n v="12.518000000000001"/>
    <n v="-453.45"/>
    <n v="-0.46"/>
    <n v="97188"/>
    <n v="12.46"/>
  </r>
  <r>
    <x v="122"/>
    <s v="300701"/>
    <s v="森霸股份"/>
    <n v="100"/>
    <n v="100"/>
    <n v="-130.48500000000001"/>
    <n v="17765.5"/>
    <n v="0"/>
    <n v="4717"/>
    <n v="47.17"/>
  </r>
  <r>
    <x v="122"/>
    <s v="reserve"/>
    <s v="备用金"/>
    <m/>
    <m/>
    <m/>
    <m/>
    <m/>
    <n v="31720.33"/>
    <m/>
  </r>
  <r>
    <x v="123"/>
    <s v="000402"/>
    <s v="金 融 街"/>
    <n v="8600"/>
    <n v="8600"/>
    <n v="10.032999999999999"/>
    <n v="17084.080000000002"/>
    <n v="19.809999999999999"/>
    <n v="103372"/>
    <n v="12.02"/>
  </r>
  <r>
    <x v="123"/>
    <s v="000415"/>
    <s v="渤海金控"/>
    <n v="3700"/>
    <n v="3700"/>
    <n v="6.0250000000000004"/>
    <n v="1981.14"/>
    <n v="8.8800000000000008"/>
    <n v="24272"/>
    <n v="6.56"/>
  </r>
  <r>
    <x v="123"/>
    <s v="000528"/>
    <s v="柳    工"/>
    <n v="5650"/>
    <n v="5650"/>
    <n v="9.0180000000000007"/>
    <n v="-42.74"/>
    <n v="-0.09"/>
    <n v="50906.5"/>
    <n v="9.01"/>
  </r>
  <r>
    <x v="123"/>
    <s v="000987"/>
    <s v="越秀金控"/>
    <n v="100"/>
    <n v="100"/>
    <n v="10.987"/>
    <n v="104.3"/>
    <n v="9.49"/>
    <n v="1203"/>
    <n v="12.03"/>
  </r>
  <r>
    <x v="123"/>
    <s v="002006"/>
    <s v="精功科技"/>
    <n v="2100"/>
    <n v="2100"/>
    <n v="8.4559999999999995"/>
    <n v="-1146.8800000000001"/>
    <n v="-6.46"/>
    <n v="16611"/>
    <n v="7.91"/>
  </r>
  <r>
    <x v="123"/>
    <s v="002140"/>
    <s v="东华科技"/>
    <n v="7400"/>
    <n v="7400"/>
    <n v="12.519"/>
    <n v="-139.46"/>
    <n v="-0.15"/>
    <n v="92500"/>
    <n v="12.5"/>
  </r>
  <r>
    <x v="123"/>
    <s v="300701"/>
    <s v="森霸股份"/>
    <n v="100"/>
    <n v="100"/>
    <n v="-130.48500000000001"/>
    <n v="17892.5"/>
    <n v="0"/>
    <n v="4844"/>
    <n v="48.44"/>
  </r>
  <r>
    <x v="123"/>
    <s v="519888"/>
    <s v="添富快线"/>
    <n v="10040379"/>
    <n v="6040379"/>
    <n v="0.01"/>
    <n v="2673.28"/>
    <n v="0"/>
    <n v="100403.79"/>
    <n v="0.01"/>
  </r>
  <r>
    <x v="123"/>
    <s v="600269"/>
    <s v="赣粤高速"/>
    <n v="2900"/>
    <n v="2900"/>
    <n v="5.3490000000000002"/>
    <n v="-141.24"/>
    <n v="-0.92"/>
    <n v="15370"/>
    <n v="5.3"/>
  </r>
  <r>
    <x v="123"/>
    <s v="601398"/>
    <s v="工商银行"/>
    <n v="100"/>
    <n v="100"/>
    <n v="-53.579000000000001"/>
    <n v="5973.9"/>
    <n v="0"/>
    <n v="616"/>
    <n v="6.16"/>
  </r>
  <r>
    <x v="123"/>
    <s v="601998"/>
    <s v="中信银行"/>
    <n v="4200"/>
    <n v="4200"/>
    <n v="6.11"/>
    <n v="1093.47"/>
    <n v="4.26"/>
    <n v="26754"/>
    <n v="6.37"/>
  </r>
  <r>
    <x v="123"/>
    <s v="reserve"/>
    <s v="备用金"/>
    <m/>
    <m/>
    <m/>
    <m/>
    <m/>
    <n v="7648.36"/>
    <m/>
  </r>
  <r>
    <x v="124"/>
    <s v="519888"/>
    <s v="添富快线"/>
    <n v="10040888"/>
    <n v="10040888"/>
    <n v="0.01"/>
    <n v="2678.37"/>
    <n v="0"/>
    <n v="100408.88"/>
    <n v="0.01"/>
  </r>
  <r>
    <x v="124"/>
    <s v="600269"/>
    <s v="赣粤高速"/>
    <n v="2900"/>
    <n v="2900"/>
    <n v="5.3490000000000002"/>
    <n v="-25.24"/>
    <n v="-0.17"/>
    <n v="15486"/>
    <n v="5.34"/>
  </r>
  <r>
    <x v="124"/>
    <s v="601398"/>
    <s v="工商银行"/>
    <n v="100"/>
    <n v="100"/>
    <n v="-53.579000000000001"/>
    <n v="5963.9"/>
    <n v="0"/>
    <n v="606"/>
    <n v="6.06"/>
  </r>
  <r>
    <x v="124"/>
    <s v="601998"/>
    <s v="中信银行"/>
    <n v="4700"/>
    <n v="4200"/>
    <n v="6.1319999999999997"/>
    <n v="836.41"/>
    <n v="2.9"/>
    <n v="29657"/>
    <n v="6.31"/>
  </r>
  <r>
    <x v="124"/>
    <s v="000402"/>
    <s v="金 融 街"/>
    <n v="9000"/>
    <n v="8600"/>
    <n v="10.116"/>
    <n v="16329.08"/>
    <n v="17.93"/>
    <n v="107370"/>
    <n v="11.93"/>
  </r>
  <r>
    <x v="124"/>
    <s v="000415"/>
    <s v="渤海金控"/>
    <n v="3700"/>
    <n v="3700"/>
    <n v="6.0250000000000004"/>
    <n v="1981.14"/>
    <n v="8.8800000000000008"/>
    <n v="24272"/>
    <n v="6.56"/>
  </r>
  <r>
    <x v="124"/>
    <s v="000528"/>
    <s v="柳    工"/>
    <n v="4850"/>
    <n v="4850"/>
    <n v="9.0020000000000007"/>
    <n v="815.95"/>
    <n v="1.87"/>
    <n v="44474.5"/>
    <n v="9.17"/>
  </r>
  <r>
    <x v="124"/>
    <s v="000987"/>
    <s v="越秀金控"/>
    <n v="100"/>
    <n v="100"/>
    <n v="10.987"/>
    <n v="116.3"/>
    <n v="10.59"/>
    <n v="1215"/>
    <n v="12.15"/>
  </r>
  <r>
    <x v="124"/>
    <s v="002006"/>
    <s v="精功科技"/>
    <n v="2100"/>
    <n v="2100"/>
    <n v="8.4559999999999995"/>
    <n v="-1146.8800000000001"/>
    <n v="-6.46"/>
    <n v="16611"/>
    <n v="7.91"/>
  </r>
  <r>
    <x v="124"/>
    <s v="002140"/>
    <s v="东华科技"/>
    <n v="7400"/>
    <n v="7400"/>
    <n v="12.519"/>
    <n v="-213.46"/>
    <n v="-0.23"/>
    <n v="92426"/>
    <n v="12.49"/>
  </r>
  <r>
    <x v="124"/>
    <s v="300701"/>
    <s v="森霸股份"/>
    <n v="100"/>
    <n v="100"/>
    <n v="-130.48500000000001"/>
    <n v="18001.5"/>
    <n v="0"/>
    <n v="4953"/>
    <n v="49.53"/>
  </r>
  <r>
    <x v="124"/>
    <s v="reserve"/>
    <s v="备用金"/>
    <m/>
    <m/>
    <m/>
    <m/>
    <m/>
    <n v="7025.99"/>
    <m/>
  </r>
  <r>
    <x v="125"/>
    <s v="519888"/>
    <s v="添富快线"/>
    <n v="6042875"/>
    <n v="6042875"/>
    <n v="0.01"/>
    <n v="2698.24"/>
    <n v="0"/>
    <n v="60428.75"/>
    <n v="0.01"/>
  </r>
  <r>
    <x v="125"/>
    <s v="600269"/>
    <s v="赣粤高速"/>
    <n v="2900"/>
    <n v="2900"/>
    <n v="5.3490000000000002"/>
    <n v="-112.24"/>
    <n v="-0.73"/>
    <n v="15399"/>
    <n v="5.31"/>
  </r>
  <r>
    <x v="125"/>
    <s v="601398"/>
    <s v="工商银行"/>
    <n v="100"/>
    <n v="100"/>
    <n v="-53.579000000000001"/>
    <n v="5976.9"/>
    <n v="0"/>
    <n v="619"/>
    <n v="6.19"/>
  </r>
  <r>
    <x v="125"/>
    <s v="601998"/>
    <s v="中信银行"/>
    <n v="4700"/>
    <n v="4700"/>
    <n v="6.1319999999999997"/>
    <n v="930.41"/>
    <n v="3.23"/>
    <n v="29751"/>
    <n v="6.33"/>
  </r>
  <r>
    <x v="125"/>
    <s v="603116"/>
    <s v="红蜻蜓"/>
    <n v="1500"/>
    <n v="1500"/>
    <n v="18.004000000000001"/>
    <n v="-200.54"/>
    <n v="-0.74"/>
    <n v="26805"/>
    <n v="17.87"/>
  </r>
  <r>
    <x v="125"/>
    <s v="603589"/>
    <s v="口子窖"/>
    <n v="200"/>
    <n v="200"/>
    <n v="48.975999999999999"/>
    <n v="316.8"/>
    <n v="3.24"/>
    <n v="10112"/>
    <n v="50.56"/>
  </r>
  <r>
    <x v="125"/>
    <s v="000402"/>
    <s v="金 融 街"/>
    <n v="9100"/>
    <n v="9100"/>
    <n v="10.129"/>
    <n v="15204.28"/>
    <n v="16.5"/>
    <n v="107380"/>
    <n v="11.8"/>
  </r>
  <r>
    <x v="125"/>
    <s v="000415"/>
    <s v="渤海金控"/>
    <n v="3700"/>
    <n v="3700"/>
    <n v="6.0250000000000004"/>
    <n v="1907.14"/>
    <n v="8.5500000000000007"/>
    <n v="24198"/>
    <n v="6.54"/>
  </r>
  <r>
    <x v="125"/>
    <s v="000528"/>
    <s v="柳    工"/>
    <n v="4850"/>
    <n v="4850"/>
    <n v="9.0020000000000007"/>
    <n v="524.95000000000005"/>
    <n v="1.2"/>
    <n v="44183.5"/>
    <n v="9.11"/>
  </r>
  <r>
    <x v="125"/>
    <s v="000987"/>
    <s v="越秀金控"/>
    <n v="100"/>
    <n v="100"/>
    <n v="10.987"/>
    <n v="87.3"/>
    <n v="7.95"/>
    <n v="1186"/>
    <n v="11.86"/>
  </r>
  <r>
    <x v="125"/>
    <s v="002006"/>
    <s v="精功科技"/>
    <n v="2100"/>
    <n v="2100"/>
    <n v="8.4559999999999995"/>
    <n v="-1146.8800000000001"/>
    <n v="-6.46"/>
    <n v="16611"/>
    <n v="7.91"/>
  </r>
  <r>
    <x v="125"/>
    <s v="002140"/>
    <s v="东华科技"/>
    <n v="7900"/>
    <n v="7900"/>
    <n v="12.513"/>
    <n v="-2000.46"/>
    <n v="-2.02"/>
    <n v="96854"/>
    <n v="12.26"/>
  </r>
  <r>
    <x v="125"/>
    <s v="300701"/>
    <s v="森霸股份"/>
    <n v="100"/>
    <n v="100"/>
    <n v="-130.48500000000001"/>
    <n v="17908.5"/>
    <n v="0"/>
    <n v="4860"/>
    <n v="48.6"/>
  </r>
  <r>
    <x v="125"/>
    <s v="reserve"/>
    <s v="备用金"/>
    <m/>
    <m/>
    <m/>
    <m/>
    <m/>
    <n v="2875.45"/>
    <m/>
  </r>
  <r>
    <x v="126"/>
    <s v="519888"/>
    <s v="添富快线"/>
    <n v="24379"/>
    <n v="24379"/>
    <n v="-0.10100000000000001"/>
    <n v="2706.069"/>
    <n v="0"/>
    <n v="243.79"/>
    <n v="0.01"/>
  </r>
  <r>
    <x v="126"/>
    <s v="600269"/>
    <s v="赣粤高速"/>
    <n v="2900"/>
    <n v="2900"/>
    <n v="5.3490000000000002"/>
    <n v="-257.24"/>
    <n v="-1.66"/>
    <n v="15254"/>
    <n v="5.26"/>
  </r>
  <r>
    <x v="126"/>
    <s v="601398"/>
    <s v="工商银行"/>
    <n v="100"/>
    <n v="100"/>
    <n v="-53.579000000000001"/>
    <n v="5982.9"/>
    <n v="0"/>
    <n v="625"/>
    <n v="6.25"/>
  </r>
  <r>
    <x v="126"/>
    <s v="601998"/>
    <s v="中信银行"/>
    <n v="5200"/>
    <n v="5200"/>
    <n v="6.141"/>
    <n v="408.35"/>
    <n v="1.29"/>
    <n v="32344"/>
    <n v="6.22"/>
  </r>
  <r>
    <x v="126"/>
    <s v="603116"/>
    <s v="红蜻蜓"/>
    <n v="2000"/>
    <n v="2000"/>
    <n v="17.873000000000001"/>
    <n v="-1005.71"/>
    <n v="-2.81"/>
    <n v="34740"/>
    <n v="17.37"/>
  </r>
  <r>
    <x v="126"/>
    <s v="603589"/>
    <s v="口子窖"/>
    <n v="200"/>
    <n v="200"/>
    <n v="48.975999999999999"/>
    <n v="4.8"/>
    <n v="0.05"/>
    <n v="9800"/>
    <n v="49"/>
  </r>
  <r>
    <x v="126"/>
    <s v="000402"/>
    <s v="金 融 街"/>
    <n v="10100"/>
    <n v="10100"/>
    <n v="10.275"/>
    <n v="12374.28"/>
    <n v="11.92"/>
    <n v="116150"/>
    <n v="11.5"/>
  </r>
  <r>
    <x v="126"/>
    <s v="000415"/>
    <s v="渤海金控"/>
    <n v="4200"/>
    <n v="4200"/>
    <n v="6.069"/>
    <n v="1305.1400000000001"/>
    <n v="5.13"/>
    <n v="26796"/>
    <n v="6.38"/>
  </r>
  <r>
    <x v="126"/>
    <s v="000528"/>
    <s v="柳    工"/>
    <n v="5350"/>
    <n v="5350"/>
    <n v="9.0009999999999994"/>
    <n v="-110.55"/>
    <n v="-0.23"/>
    <n v="48043"/>
    <n v="8.98"/>
  </r>
  <r>
    <x v="126"/>
    <s v="000987"/>
    <s v="越秀金控"/>
    <n v="100"/>
    <n v="100"/>
    <n v="10.987"/>
    <n v="112.3"/>
    <n v="10.220000000000001"/>
    <n v="1211"/>
    <n v="12.11"/>
  </r>
  <r>
    <x v="126"/>
    <s v="002006"/>
    <s v="精功科技"/>
    <n v="2100"/>
    <n v="2100"/>
    <n v="8.4559999999999995"/>
    <n v="-1146.8800000000001"/>
    <n v="-6.46"/>
    <n v="16611"/>
    <n v="7.91"/>
  </r>
  <r>
    <x v="126"/>
    <s v="002140"/>
    <s v="东华科技"/>
    <n v="8400"/>
    <n v="8400"/>
    <n v="12.481"/>
    <n v="-5551.46"/>
    <n v="-5.3"/>
    <n v="99288"/>
    <n v="11.82"/>
  </r>
  <r>
    <x v="126"/>
    <s v="300701"/>
    <s v="森霸股份"/>
    <n v="100"/>
    <n v="100"/>
    <n v="-130.48500000000001"/>
    <n v="17422.5"/>
    <n v="0"/>
    <n v="4374"/>
    <n v="43.74"/>
  </r>
  <r>
    <x v="126"/>
    <s v="reserve"/>
    <s v="备用金"/>
    <m/>
    <m/>
    <m/>
    <m/>
    <m/>
    <n v="25940.22"/>
    <m/>
  </r>
  <r>
    <x v="127"/>
    <s v="519888"/>
    <s v="添富快线"/>
    <n v="24382"/>
    <n v="24382"/>
    <n v="-0.10100000000000001"/>
    <n v="2706.402"/>
    <n v="0"/>
    <n v="243.82"/>
    <n v="0.01"/>
  </r>
  <r>
    <x v="127"/>
    <s v="600269"/>
    <s v="赣粤高速"/>
    <n v="2900"/>
    <n v="2900"/>
    <n v="5.3490000000000002"/>
    <n v="-228.24"/>
    <n v="-1.48"/>
    <n v="15283"/>
    <n v="5.27"/>
  </r>
  <r>
    <x v="127"/>
    <s v="601398"/>
    <s v="工商银行"/>
    <n v="100"/>
    <n v="100"/>
    <n v="-53.579000000000001"/>
    <n v="5967.9"/>
    <n v="0"/>
    <n v="610"/>
    <n v="6.1"/>
  </r>
  <r>
    <x v="127"/>
    <s v="601998"/>
    <s v="中信银行"/>
    <n v="5200"/>
    <n v="5200"/>
    <n v="6.141"/>
    <n v="408.35"/>
    <n v="1.29"/>
    <n v="32344"/>
    <n v="6.22"/>
  </r>
  <r>
    <x v="127"/>
    <s v="603116"/>
    <s v="红蜻蜓"/>
    <n v="2000"/>
    <n v="2000"/>
    <n v="17.873000000000001"/>
    <n v="-725.71"/>
    <n v="-2.0299999999999998"/>
    <n v="35020"/>
    <n v="17.510000000000002"/>
  </r>
  <r>
    <x v="127"/>
    <s v="603589"/>
    <s v="口子窖"/>
    <n v="200"/>
    <n v="200"/>
    <n v="48.975999999999999"/>
    <n v="-117.2"/>
    <n v="-1.2"/>
    <n v="9678"/>
    <n v="48.39"/>
  </r>
  <r>
    <x v="127"/>
    <s v="000402"/>
    <s v="金 融 街"/>
    <n v="10100"/>
    <n v="10100"/>
    <n v="10.275"/>
    <n v="13384.28"/>
    <n v="12.9"/>
    <n v="117160"/>
    <n v="11.6"/>
  </r>
  <r>
    <x v="127"/>
    <s v="000415"/>
    <s v="渤海金控"/>
    <n v="4200"/>
    <n v="4200"/>
    <n v="6.069"/>
    <n v="1305.1400000000001"/>
    <n v="5.13"/>
    <n v="26796"/>
    <n v="6.38"/>
  </r>
  <r>
    <x v="127"/>
    <s v="000528"/>
    <s v="柳    工"/>
    <n v="5850"/>
    <n v="5850"/>
    <n v="8.9909999999999997"/>
    <n v="-592.04999999999995"/>
    <n v="-1.1200000000000001"/>
    <n v="52006.5"/>
    <n v="8.89"/>
  </r>
  <r>
    <x v="127"/>
    <s v="000987"/>
    <s v="越秀金控"/>
    <n v="100"/>
    <n v="100"/>
    <n v="10.987"/>
    <n v="128.30000000000001"/>
    <n v="11.68"/>
    <n v="1227"/>
    <n v="12.27"/>
  </r>
  <r>
    <x v="127"/>
    <s v="002006"/>
    <s v="精功科技"/>
    <n v="2100"/>
    <n v="2100"/>
    <n v="8.4559999999999995"/>
    <n v="-1146.8800000000001"/>
    <n v="-6.46"/>
    <n v="16611"/>
    <n v="7.91"/>
  </r>
  <r>
    <x v="127"/>
    <s v="002140"/>
    <s v="东华科技"/>
    <n v="8400"/>
    <n v="8400"/>
    <n v="12.481"/>
    <n v="-4711.46"/>
    <n v="-4.49"/>
    <n v="100128"/>
    <n v="11.92"/>
  </r>
  <r>
    <x v="127"/>
    <s v="300701"/>
    <s v="森霸股份"/>
    <n v="100"/>
    <n v="100"/>
    <n v="-130.48500000000001"/>
    <n v="17502.5"/>
    <n v="0"/>
    <n v="4454"/>
    <n v="44.54"/>
  </r>
  <r>
    <x v="127"/>
    <s v="reserve"/>
    <s v="备用金"/>
    <m/>
    <m/>
    <m/>
    <m/>
    <m/>
    <n v="21495.22"/>
    <m/>
  </r>
  <r>
    <x v="128"/>
    <s v="519888"/>
    <s v="添富快线"/>
    <n v="24384"/>
    <n v="24384"/>
    <n v="-0.10100000000000001"/>
    <n v="2706.6239999999998"/>
    <n v="0"/>
    <n v="243.84"/>
    <n v="0.01"/>
  </r>
  <r>
    <x v="128"/>
    <s v="600269"/>
    <s v="赣粤高速"/>
    <n v="2900"/>
    <n v="2900"/>
    <n v="5.3490000000000002"/>
    <n v="-228.24"/>
    <n v="-1.48"/>
    <n v="15283"/>
    <n v="5.27"/>
  </r>
  <r>
    <x v="128"/>
    <s v="601398"/>
    <s v="工商银行"/>
    <n v="100"/>
    <n v="100"/>
    <n v="-53.579000000000001"/>
    <n v="5966.9"/>
    <n v="0"/>
    <n v="609"/>
    <n v="6.09"/>
  </r>
  <r>
    <x v="128"/>
    <s v="601998"/>
    <s v="中信银行"/>
    <n v="5200"/>
    <n v="5200"/>
    <n v="6.141"/>
    <n v="96.35"/>
    <n v="0.31"/>
    <n v="32032"/>
    <n v="6.16"/>
  </r>
  <r>
    <x v="128"/>
    <s v="603116"/>
    <s v="红蜻蜓"/>
    <n v="2000"/>
    <n v="2000"/>
    <n v="17.873000000000001"/>
    <n v="-585.71"/>
    <n v="-1.64"/>
    <n v="35160"/>
    <n v="17.579999999999998"/>
  </r>
  <r>
    <x v="128"/>
    <s v="603589"/>
    <s v="口子窖"/>
    <n v="200"/>
    <n v="200"/>
    <n v="48.975999999999999"/>
    <n v="-185.2"/>
    <n v="-1.89"/>
    <n v="9610"/>
    <n v="48.05"/>
  </r>
  <r>
    <x v="128"/>
    <s v="000402"/>
    <s v="金 融 街"/>
    <n v="10100"/>
    <n v="10100"/>
    <n v="10.275"/>
    <n v="12576.28"/>
    <n v="12.12"/>
    <n v="116352"/>
    <n v="11.52"/>
  </r>
  <r>
    <x v="128"/>
    <s v="000415"/>
    <s v="渤海金控"/>
    <n v="4200"/>
    <n v="4200"/>
    <n v="6.069"/>
    <n v="1347.14"/>
    <n v="5.29"/>
    <n v="26838"/>
    <n v="6.39"/>
  </r>
  <r>
    <x v="128"/>
    <s v="000528"/>
    <s v="柳    工"/>
    <n v="6350"/>
    <n v="6350"/>
    <n v="8.9710000000000001"/>
    <n v="-1337.55"/>
    <n v="-2.35"/>
    <n v="55626"/>
    <n v="8.76"/>
  </r>
  <r>
    <x v="128"/>
    <s v="000987"/>
    <s v="越秀金控"/>
    <n v="100"/>
    <n v="100"/>
    <n v="10.987"/>
    <n v="112.3"/>
    <n v="10.220000000000001"/>
    <n v="1211"/>
    <n v="12.11"/>
  </r>
  <r>
    <x v="128"/>
    <s v="002006"/>
    <s v="精功科技"/>
    <n v="2100"/>
    <n v="2100"/>
    <n v="8.4559999999999995"/>
    <n v="-1146.8800000000001"/>
    <n v="-6.46"/>
    <n v="16611"/>
    <n v="7.91"/>
  </r>
  <r>
    <x v="128"/>
    <s v="002140"/>
    <s v="东华科技"/>
    <n v="8400"/>
    <n v="8400"/>
    <n v="12.481"/>
    <n v="-4207.46"/>
    <n v="-4.01"/>
    <n v="100632"/>
    <n v="11.98"/>
  </r>
  <r>
    <x v="128"/>
    <s v="300701"/>
    <s v="森霸股份"/>
    <n v="100"/>
    <n v="100"/>
    <n v="-130.48500000000001"/>
    <n v="17645.5"/>
    <n v="0"/>
    <n v="4597"/>
    <n v="45.97"/>
  </r>
  <r>
    <x v="128"/>
    <s v="reserve"/>
    <s v="备用金"/>
    <m/>
    <m/>
    <m/>
    <m/>
    <m/>
    <n v="17130.22"/>
    <m/>
  </r>
  <r>
    <x v="129"/>
    <s v="519888"/>
    <s v="添富快线"/>
    <n v="24388"/>
    <n v="24388"/>
    <n v="-0.10100000000000001"/>
    <n v="2707.0680000000002"/>
    <n v="0"/>
    <n v="243.88"/>
    <n v="0.01"/>
  </r>
  <r>
    <x v="129"/>
    <s v="600269"/>
    <s v="赣粤高速"/>
    <n v="2900"/>
    <n v="2900"/>
    <n v="5.3490000000000002"/>
    <n v="-199.24"/>
    <n v="-1.29"/>
    <n v="15312"/>
    <n v="5.28"/>
  </r>
  <r>
    <x v="129"/>
    <s v="601398"/>
    <s v="工商银行"/>
    <n v="100"/>
    <n v="100"/>
    <n v="-53.579000000000001"/>
    <n v="5967.9"/>
    <n v="0"/>
    <n v="610"/>
    <n v="6.1"/>
  </r>
  <r>
    <x v="129"/>
    <s v="601998"/>
    <s v="中信银行"/>
    <n v="5700"/>
    <n v="5700"/>
    <n v="6.1369999999999996"/>
    <n v="-39.71"/>
    <n v="-0.11"/>
    <n v="34941"/>
    <n v="6.13"/>
  </r>
  <r>
    <x v="129"/>
    <s v="603116"/>
    <s v="红蜻蜓"/>
    <n v="2500"/>
    <n v="2500"/>
    <n v="17.736000000000001"/>
    <n v="-1315.88"/>
    <n v="-2.96"/>
    <n v="43025"/>
    <n v="17.21"/>
  </r>
  <r>
    <x v="129"/>
    <s v="603589"/>
    <s v="口子窖"/>
    <n v="100"/>
    <n v="100"/>
    <n v="48.232999999999997"/>
    <n v="116.72"/>
    <n v="2.42"/>
    <n v="4940"/>
    <n v="49.4"/>
  </r>
  <r>
    <x v="129"/>
    <s v="000402"/>
    <s v="金 融 街"/>
    <n v="11700"/>
    <n v="11700"/>
    <n v="10.412000000000001"/>
    <n v="9337.2800000000007"/>
    <n v="7.67"/>
    <n v="131157"/>
    <n v="11.21"/>
  </r>
  <r>
    <x v="129"/>
    <s v="000415"/>
    <s v="渤海金控"/>
    <n v="4200"/>
    <n v="4200"/>
    <n v="6.069"/>
    <n v="927.14"/>
    <n v="3.64"/>
    <n v="26418"/>
    <n v="6.29"/>
  </r>
  <r>
    <x v="129"/>
    <s v="000528"/>
    <s v="柳    工"/>
    <n v="9350"/>
    <n v="9350"/>
    <n v="8.7840000000000007"/>
    <n v="-5370.05"/>
    <n v="-6.53"/>
    <n v="76763.5"/>
    <n v="8.2100000000000009"/>
  </r>
  <r>
    <x v="129"/>
    <s v="000987"/>
    <s v="越秀金控"/>
    <n v="100"/>
    <n v="100"/>
    <n v="10.987"/>
    <n v="74.3"/>
    <n v="6.76"/>
    <n v="1173"/>
    <n v="11.73"/>
  </r>
  <r>
    <x v="129"/>
    <s v="002006"/>
    <s v="精功科技"/>
    <n v="1700"/>
    <n v="1700"/>
    <n v="8.4039999999999999"/>
    <n v="-380.36"/>
    <n v="-2.66"/>
    <n v="13906"/>
    <n v="8.18"/>
  </r>
  <r>
    <x v="129"/>
    <s v="002140"/>
    <s v="东华科技"/>
    <n v="8400"/>
    <n v="8400"/>
    <n v="12.481"/>
    <n v="-6307.46"/>
    <n v="-6.02"/>
    <n v="98532"/>
    <n v="11.73"/>
  </r>
  <r>
    <x v="129"/>
    <s v="300701"/>
    <s v="森霸股份"/>
    <n v="100"/>
    <n v="100"/>
    <n v="-130.48500000000001"/>
    <n v="17873.5"/>
    <n v="0"/>
    <n v="4825"/>
    <n v="48.25"/>
  </r>
  <r>
    <x v="129"/>
    <s v="reserve"/>
    <s v="备用金"/>
    <m/>
    <m/>
    <m/>
    <m/>
    <m/>
    <n v="20718.63"/>
    <m/>
  </r>
  <r>
    <x v="130"/>
    <s v="519888"/>
    <s v="添富快线"/>
    <n v="24388"/>
    <n v="24388"/>
    <n v="-0.10100000000000001"/>
    <n v="2707.0680000000002"/>
    <n v="0"/>
    <n v="243.88"/>
    <n v="0.01"/>
  </r>
  <r>
    <x v="130"/>
    <s v="600269"/>
    <s v="赣粤高速"/>
    <n v="2900"/>
    <n v="2900"/>
    <n v="5.3490000000000002"/>
    <n v="-199.24"/>
    <n v="-1.29"/>
    <n v="15312"/>
    <n v="5.28"/>
  </r>
  <r>
    <x v="130"/>
    <s v="601398"/>
    <s v="工商银行"/>
    <n v="100"/>
    <n v="100"/>
    <n v="-53.579000000000001"/>
    <n v="5963.9"/>
    <n v="0"/>
    <n v="606"/>
    <n v="6.06"/>
  </r>
  <r>
    <x v="130"/>
    <s v="601998"/>
    <s v="中信银行"/>
    <n v="5700"/>
    <n v="5700"/>
    <n v="6.1369999999999996"/>
    <n v="-153.71"/>
    <n v="-0.44"/>
    <n v="34827"/>
    <n v="6.11"/>
  </r>
  <r>
    <x v="130"/>
    <s v="603116"/>
    <s v="红蜻蜓"/>
    <n v="2500"/>
    <n v="2500"/>
    <n v="17.736000000000001"/>
    <n v="-1190.8800000000001"/>
    <n v="-2.68"/>
    <n v="43150"/>
    <n v="17.260000000000002"/>
  </r>
  <r>
    <x v="130"/>
    <s v="603589"/>
    <s v="口子窖"/>
    <n v="0"/>
    <n v="0"/>
    <n v="0"/>
    <n v="600.17999999999995"/>
    <n v="0"/>
    <n v="0"/>
    <n v="54.14"/>
  </r>
  <r>
    <x v="130"/>
    <s v="000402"/>
    <s v="金 融 街"/>
    <n v="11800"/>
    <n v="11300"/>
    <n v="10.412000000000001"/>
    <n v="8351.7999999999993"/>
    <n v="6.8"/>
    <n v="131216"/>
    <n v="11.12"/>
  </r>
  <r>
    <x v="130"/>
    <s v="000415"/>
    <s v="渤海金控"/>
    <n v="4200"/>
    <n v="4200"/>
    <n v="6.069"/>
    <n v="1179.1400000000001"/>
    <n v="4.63"/>
    <n v="26670"/>
    <n v="6.35"/>
  </r>
  <r>
    <x v="130"/>
    <s v="000528"/>
    <s v="柳    工"/>
    <n v="9850"/>
    <n v="9350"/>
    <n v="8.7469999999999999"/>
    <n v="-6570.55"/>
    <n v="-7.62"/>
    <n v="79588"/>
    <n v="8.08"/>
  </r>
  <r>
    <x v="130"/>
    <s v="000987"/>
    <s v="越秀金控"/>
    <n v="100"/>
    <n v="100"/>
    <n v="10.987"/>
    <n v="39.299999999999997"/>
    <n v="3.58"/>
    <n v="1138"/>
    <n v="11.38"/>
  </r>
  <r>
    <x v="130"/>
    <s v="002006"/>
    <s v="精功科技"/>
    <n v="2200"/>
    <n v="1700"/>
    <n v="8.3140000000000001"/>
    <n v="-823.36"/>
    <n v="-4.5"/>
    <n v="17468"/>
    <n v="7.94"/>
  </r>
  <r>
    <x v="130"/>
    <s v="002140"/>
    <s v="东华科技"/>
    <n v="8400"/>
    <n v="8400"/>
    <n v="12.481"/>
    <n v="-5299.46"/>
    <n v="-5.05"/>
    <n v="99540"/>
    <n v="11.85"/>
  </r>
  <r>
    <x v="130"/>
    <s v="300701"/>
    <s v="森霸股份"/>
    <n v="100"/>
    <n v="100"/>
    <n v="-130.48500000000001"/>
    <n v="17873.5"/>
    <n v="0"/>
    <n v="4825"/>
    <n v="48.25"/>
  </r>
  <r>
    <x v="130"/>
    <s v="reserve"/>
    <s v="备用金"/>
    <m/>
    <m/>
    <m/>
    <m/>
    <m/>
    <n v="17067.61"/>
    <m/>
  </r>
  <r>
    <x v="131"/>
    <s v="519888"/>
    <s v="添富快线"/>
    <n v="24394"/>
    <n v="24394"/>
    <n v="-0.10100000000000001"/>
    <n v="2707.7339999999999"/>
    <n v="0"/>
    <n v="243.94"/>
    <n v="0.01"/>
  </r>
  <r>
    <x v="131"/>
    <s v="600269"/>
    <s v="赣粤高速"/>
    <n v="2900"/>
    <n v="2900"/>
    <n v="5.3490000000000002"/>
    <n v="-141.24"/>
    <n v="-0.92"/>
    <n v="15370"/>
    <n v="5.3"/>
  </r>
  <r>
    <x v="131"/>
    <s v="601398"/>
    <s v="工商银行"/>
    <n v="100"/>
    <n v="100"/>
    <n v="-53.579000000000001"/>
    <n v="5960.9"/>
    <n v="0"/>
    <n v="603"/>
    <n v="6.03"/>
  </r>
  <r>
    <x v="131"/>
    <s v="601998"/>
    <s v="中信银行"/>
    <n v="5700"/>
    <n v="5700"/>
    <n v="6.1369999999999996"/>
    <n v="-96.71"/>
    <n v="-0.28000000000000003"/>
    <n v="34884"/>
    <n v="6.12"/>
  </r>
  <r>
    <x v="131"/>
    <s v="603116"/>
    <s v="红蜻蜓"/>
    <n v="2500"/>
    <n v="2500"/>
    <n v="17.736000000000001"/>
    <n v="-1215.8800000000001"/>
    <n v="-2.74"/>
    <n v="43125"/>
    <n v="17.25"/>
  </r>
  <r>
    <x v="131"/>
    <s v="000402"/>
    <s v="金 融 街"/>
    <n v="11800"/>
    <n v="11800"/>
    <n v="10.412000000000001"/>
    <n v="10121.799999999999"/>
    <n v="8.24"/>
    <n v="132986"/>
    <n v="11.27"/>
  </r>
  <r>
    <x v="131"/>
    <s v="000415"/>
    <s v="渤海金控"/>
    <n v="4200"/>
    <n v="4200"/>
    <n v="6.069"/>
    <n v="1389.14"/>
    <n v="5.45"/>
    <n v="26880"/>
    <n v="6.4"/>
  </r>
  <r>
    <x v="131"/>
    <s v="000528"/>
    <s v="柳    工"/>
    <n v="9850"/>
    <n v="9850"/>
    <n v="8.7469999999999999"/>
    <n v="-6275.05"/>
    <n v="-7.28"/>
    <n v="79883.5"/>
    <n v="8.11"/>
  </r>
  <r>
    <x v="131"/>
    <s v="000987"/>
    <s v="越秀金控"/>
    <n v="100"/>
    <n v="100"/>
    <n v="10.987"/>
    <n v="31.3"/>
    <n v="2.85"/>
    <n v="1130"/>
    <n v="11.3"/>
  </r>
  <r>
    <x v="131"/>
    <s v="002006"/>
    <s v="精功科技"/>
    <n v="2700"/>
    <n v="2200"/>
    <n v="8.23"/>
    <n v="-891.36"/>
    <n v="-4.01"/>
    <n v="21330"/>
    <n v="7.9"/>
  </r>
  <r>
    <x v="131"/>
    <s v="002140"/>
    <s v="东华科技"/>
    <n v="8400"/>
    <n v="8400"/>
    <n v="12.481"/>
    <n v="-5383.46"/>
    <n v="-5.13"/>
    <n v="99456"/>
    <n v="11.84"/>
  </r>
  <r>
    <x v="131"/>
    <s v="300701"/>
    <s v="森霸股份"/>
    <n v="100"/>
    <n v="100"/>
    <n v="-130.48500000000001"/>
    <n v="17786.5"/>
    <n v="0"/>
    <n v="4738"/>
    <n v="47.38"/>
  </r>
  <r>
    <x v="131"/>
    <s v="reserve"/>
    <s v="备用金"/>
    <m/>
    <m/>
    <m/>
    <m/>
    <m/>
    <n v="13137.61"/>
    <m/>
  </r>
  <r>
    <x v="132"/>
    <s v="519888"/>
    <s v="添富快线"/>
    <n v="24396"/>
    <n v="24396"/>
    <n v="-0.10100000000000001"/>
    <n v="2707.9560000000001"/>
    <n v="0"/>
    <n v="243.96"/>
    <n v="0.01"/>
  </r>
  <r>
    <x v="132"/>
    <s v="600269"/>
    <s v="赣粤高速"/>
    <n v="2500"/>
    <n v="2500"/>
    <n v="5.351"/>
    <n v="-3.42"/>
    <n v="-0.02"/>
    <n v="13375"/>
    <n v="5.35"/>
  </r>
  <r>
    <x v="132"/>
    <s v="601398"/>
    <s v="工商银行"/>
    <n v="100"/>
    <n v="100"/>
    <n v="-53.579000000000001"/>
    <n v="5960.9"/>
    <n v="0"/>
    <n v="603"/>
    <n v="6.03"/>
  </r>
  <r>
    <x v="132"/>
    <s v="601998"/>
    <s v="中信银行"/>
    <n v="5300"/>
    <n v="5300"/>
    <n v="6.1340000000000003"/>
    <n v="298.76"/>
    <n v="0.91"/>
    <n v="32807"/>
    <n v="6.19"/>
  </r>
  <r>
    <x v="132"/>
    <s v="603116"/>
    <s v="红蜻蜓"/>
    <n v="2500"/>
    <n v="2500"/>
    <n v="17.736000000000001"/>
    <n v="-965.88"/>
    <n v="-2.1800000000000002"/>
    <n v="43375"/>
    <n v="17.350000000000001"/>
  </r>
  <r>
    <x v="132"/>
    <s v="000402"/>
    <s v="金 融 街"/>
    <n v="11400"/>
    <n v="11400"/>
    <n v="10.381"/>
    <n v="10368.26"/>
    <n v="8.76"/>
    <n v="128706"/>
    <n v="11.29"/>
  </r>
  <r>
    <x v="132"/>
    <s v="000415"/>
    <s v="渤海金控"/>
    <n v="4200"/>
    <n v="4200"/>
    <n v="6.069"/>
    <n v="1767.14"/>
    <n v="6.94"/>
    <n v="27258"/>
    <n v="6.49"/>
  </r>
  <r>
    <x v="132"/>
    <s v="000528"/>
    <s v="柳    工"/>
    <n v="9850"/>
    <n v="9850"/>
    <n v="8.7469999999999999"/>
    <n v="-6078.05"/>
    <n v="-7.05"/>
    <n v="80080.5"/>
    <n v="8.1300000000000008"/>
  </r>
  <r>
    <x v="132"/>
    <s v="000987"/>
    <s v="越秀金控"/>
    <n v="100"/>
    <n v="100"/>
    <n v="10.987"/>
    <n v="59.3"/>
    <n v="5.4"/>
    <n v="1158"/>
    <n v="11.58"/>
  </r>
  <r>
    <x v="132"/>
    <s v="002006"/>
    <s v="精功科技"/>
    <n v="2300"/>
    <n v="2300"/>
    <n v="8.2650000000000006"/>
    <n v="-678.58"/>
    <n v="-3.57"/>
    <n v="18331"/>
    <n v="7.97"/>
  </r>
  <r>
    <x v="132"/>
    <s v="002140"/>
    <s v="东华科技"/>
    <n v="8400"/>
    <n v="8400"/>
    <n v="12.481"/>
    <n v="-4879.46"/>
    <n v="-4.6500000000000004"/>
    <n v="99960"/>
    <n v="11.9"/>
  </r>
  <r>
    <x v="132"/>
    <s v="300701"/>
    <s v="森霸股份"/>
    <n v="100"/>
    <n v="100"/>
    <n v="-130.48500000000001"/>
    <n v="18198.5"/>
    <n v="0"/>
    <n v="5150"/>
    <n v="51.5"/>
  </r>
  <r>
    <x v="132"/>
    <s v="reserve"/>
    <s v="备用金"/>
    <m/>
    <m/>
    <m/>
    <m/>
    <m/>
    <n v="25481.14"/>
    <m/>
  </r>
  <r>
    <x v="133"/>
    <s v="519888"/>
    <s v="添富快线"/>
    <n v="24398"/>
    <n v="24398"/>
    <n v="-0.10100000000000001"/>
    <n v="2708.1779999999999"/>
    <n v="0"/>
    <n v="243.98"/>
    <n v="0.01"/>
  </r>
  <r>
    <x v="133"/>
    <s v="600269"/>
    <s v="赣粤高速"/>
    <n v="2500"/>
    <n v="2500"/>
    <n v="5.351"/>
    <n v="-3.42"/>
    <n v="-0.02"/>
    <n v="13375"/>
    <n v="5.35"/>
  </r>
  <r>
    <x v="133"/>
    <s v="601398"/>
    <s v="工商银行"/>
    <n v="100"/>
    <n v="100"/>
    <n v="-53.579000000000001"/>
    <n v="5951.9"/>
    <n v="0"/>
    <n v="594"/>
    <n v="5.94"/>
  </r>
  <r>
    <x v="133"/>
    <s v="601998"/>
    <s v="中信银行"/>
    <n v="5300"/>
    <n v="5300"/>
    <n v="6.1340000000000003"/>
    <n v="245.76"/>
    <n v="0.75"/>
    <n v="32754"/>
    <n v="6.18"/>
  </r>
  <r>
    <x v="133"/>
    <s v="603116"/>
    <s v="红蜻蜓"/>
    <n v="2500"/>
    <n v="2500"/>
    <n v="17.736000000000001"/>
    <n v="-865.88"/>
    <n v="-1.95"/>
    <n v="43475"/>
    <n v="17.39"/>
  </r>
  <r>
    <x v="133"/>
    <s v="000402"/>
    <s v="金 融 街"/>
    <n v="11800"/>
    <n v="11400"/>
    <n v="10.407"/>
    <n v="9707.26"/>
    <n v="7.91"/>
    <n v="132514"/>
    <n v="11.23"/>
  </r>
  <r>
    <x v="133"/>
    <s v="000415"/>
    <s v="渤海金控"/>
    <n v="3800"/>
    <n v="3800"/>
    <n v="6.024"/>
    <n v="1847.53"/>
    <n v="8.07"/>
    <n v="24738"/>
    <n v="6.51"/>
  </r>
  <r>
    <x v="133"/>
    <s v="000528"/>
    <s v="柳    工"/>
    <n v="9450"/>
    <n v="9450"/>
    <n v="8.77"/>
    <n v="-5573.84"/>
    <n v="-6.73"/>
    <n v="77301"/>
    <n v="8.18"/>
  </r>
  <r>
    <x v="133"/>
    <s v="000987"/>
    <s v="越秀金控"/>
    <n v="100"/>
    <n v="100"/>
    <n v="10.987"/>
    <n v="54.3"/>
    <n v="4.9400000000000004"/>
    <n v="1153"/>
    <n v="11.53"/>
  </r>
  <r>
    <x v="133"/>
    <s v="002006"/>
    <s v="精功科技"/>
    <n v="2800"/>
    <n v="2300"/>
    <n v="8.1690000000000005"/>
    <n v="-1258.58"/>
    <n v="-5.5"/>
    <n v="21616"/>
    <n v="7.72"/>
  </r>
  <r>
    <x v="133"/>
    <s v="002140"/>
    <s v="东华科技"/>
    <n v="8400"/>
    <n v="8400"/>
    <n v="12.481"/>
    <n v="-4207.46"/>
    <n v="-4.01"/>
    <n v="100632"/>
    <n v="11.98"/>
  </r>
  <r>
    <x v="133"/>
    <s v="300701"/>
    <s v="森霸股份"/>
    <n v="100"/>
    <n v="100"/>
    <n v="-130.48500000000001"/>
    <n v="18128.5"/>
    <n v="0"/>
    <n v="5080"/>
    <n v="50.8"/>
  </r>
  <r>
    <x v="133"/>
    <s v="reserve"/>
    <s v="备用金"/>
    <m/>
    <m/>
    <m/>
    <m/>
    <m/>
    <n v="23030.44"/>
    <m/>
  </r>
  <r>
    <x v="134"/>
    <s v="519888"/>
    <s v="添富快线"/>
    <n v="24400"/>
    <n v="24400"/>
    <n v="-0.10100000000000001"/>
    <n v="2708.4"/>
    <n v="0"/>
    <n v="244"/>
    <n v="0.01"/>
  </r>
  <r>
    <x v="134"/>
    <s v="600269"/>
    <s v="赣粤高速"/>
    <n v="2500"/>
    <n v="2500"/>
    <n v="5.351"/>
    <n v="-53.42"/>
    <n v="-0.39"/>
    <n v="13325"/>
    <n v="5.33"/>
  </r>
  <r>
    <x v="134"/>
    <s v="601398"/>
    <s v="工商银行"/>
    <n v="100"/>
    <n v="100"/>
    <n v="-53.579000000000001"/>
    <n v="5939.9"/>
    <n v="0"/>
    <n v="582"/>
    <n v="5.82"/>
  </r>
  <r>
    <x v="134"/>
    <s v="601998"/>
    <s v="中信银行"/>
    <n v="5300"/>
    <n v="5300"/>
    <n v="6.1340000000000003"/>
    <n v="-72.239999999999995"/>
    <n v="-0.23"/>
    <n v="32436"/>
    <n v="6.12"/>
  </r>
  <r>
    <x v="134"/>
    <s v="603116"/>
    <s v="红蜻蜓"/>
    <n v="2500"/>
    <n v="2500"/>
    <n v="17.736000000000001"/>
    <n v="-1290.8800000000001"/>
    <n v="-2.91"/>
    <n v="43050"/>
    <n v="17.22"/>
  </r>
  <r>
    <x v="134"/>
    <s v="000402"/>
    <s v="金 融 街"/>
    <n v="11800"/>
    <n v="11800"/>
    <n v="10.407"/>
    <n v="8055.26"/>
    <n v="6.56"/>
    <n v="130862"/>
    <n v="11.09"/>
  </r>
  <r>
    <x v="134"/>
    <s v="000415"/>
    <s v="渤海金控"/>
    <n v="3800"/>
    <n v="3800"/>
    <n v="6.024"/>
    <n v="1999.53"/>
    <n v="8.73"/>
    <n v="24890"/>
    <n v="6.55"/>
  </r>
  <r>
    <x v="134"/>
    <s v="000528"/>
    <s v="柳    工"/>
    <n v="9450"/>
    <n v="9450"/>
    <n v="8.77"/>
    <n v="-5573.84"/>
    <n v="-6.73"/>
    <n v="77301"/>
    <n v="8.18"/>
  </r>
  <r>
    <x v="134"/>
    <s v="000987"/>
    <s v="越秀金控"/>
    <n v="100"/>
    <n v="100"/>
    <n v="10.987"/>
    <n v="54.3"/>
    <n v="4.9400000000000004"/>
    <n v="1153"/>
    <n v="11.53"/>
  </r>
  <r>
    <x v="134"/>
    <s v="002006"/>
    <s v="精功科技"/>
    <n v="2900"/>
    <n v="2400"/>
    <n v="8.1050000000000004"/>
    <n v="-798.73"/>
    <n v="-3.39"/>
    <n v="22707"/>
    <n v="7.83"/>
  </r>
  <r>
    <x v="134"/>
    <s v="002140"/>
    <s v="东华科技"/>
    <n v="8400"/>
    <n v="8400"/>
    <n v="12.481"/>
    <n v="-4711.46"/>
    <n v="-4.49"/>
    <n v="100128"/>
    <n v="11.92"/>
  </r>
  <r>
    <x v="134"/>
    <s v="300701"/>
    <s v="森霸股份"/>
    <n v="100"/>
    <n v="100"/>
    <n v="-130.48500000000001"/>
    <n v="18328.5"/>
    <n v="0"/>
    <n v="5280"/>
    <n v="52.8"/>
  </r>
  <r>
    <x v="134"/>
    <s v="reserve"/>
    <s v="备用金"/>
    <m/>
    <m/>
    <m/>
    <m/>
    <m/>
    <n v="22399.29"/>
    <m/>
  </r>
  <r>
    <x v="135"/>
    <s v="519888"/>
    <s v="添富快线"/>
    <n v="24402"/>
    <n v="24402"/>
    <n v="-0.10100000000000001"/>
    <n v="2708.6219999999998"/>
    <n v="0"/>
    <n v="244.02"/>
    <n v="0.01"/>
  </r>
  <r>
    <x v="135"/>
    <s v="600269"/>
    <s v="赣粤高速"/>
    <n v="2500"/>
    <n v="2500"/>
    <n v="5.351"/>
    <n v="-103.42"/>
    <n v="-0.77"/>
    <n v="13275"/>
    <n v="5.31"/>
  </r>
  <r>
    <x v="135"/>
    <s v="601398"/>
    <s v="工商银行"/>
    <n v="100"/>
    <n v="100"/>
    <n v="-53.579000000000001"/>
    <n v="5953.9"/>
    <n v="0"/>
    <n v="596"/>
    <n v="5.96"/>
  </r>
  <r>
    <x v="135"/>
    <s v="601998"/>
    <s v="中信银行"/>
    <n v="5300"/>
    <n v="5300"/>
    <n v="6.1340000000000003"/>
    <n v="245.76"/>
    <n v="0.75"/>
    <n v="32754"/>
    <n v="6.18"/>
  </r>
  <r>
    <x v="135"/>
    <s v="603116"/>
    <s v="红蜻蜓"/>
    <n v="2500"/>
    <n v="2500"/>
    <n v="17.736000000000001"/>
    <n v="-1215.8800000000001"/>
    <n v="-2.74"/>
    <n v="43125"/>
    <n v="17.25"/>
  </r>
  <r>
    <x v="135"/>
    <s v="000402"/>
    <s v="金 融 街"/>
    <n v="11800"/>
    <n v="11800"/>
    <n v="10.407"/>
    <n v="8409.26"/>
    <n v="6.85"/>
    <n v="131216"/>
    <n v="11.12"/>
  </r>
  <r>
    <x v="135"/>
    <s v="000415"/>
    <s v="渤海金控"/>
    <n v="3800"/>
    <n v="3800"/>
    <n v="6.024"/>
    <n v="1619.53"/>
    <n v="7.07"/>
    <n v="24510"/>
    <n v="6.45"/>
  </r>
  <r>
    <x v="135"/>
    <s v="000528"/>
    <s v="柳    工"/>
    <n v="9850"/>
    <n v="9450"/>
    <n v="8.7420000000000009"/>
    <n v="-6322.84"/>
    <n v="-7.34"/>
    <n v="79785"/>
    <n v="8.1"/>
  </r>
  <r>
    <x v="135"/>
    <s v="000987"/>
    <s v="越秀金控"/>
    <n v="100"/>
    <n v="100"/>
    <n v="10.987"/>
    <n v="54.3"/>
    <n v="4.9400000000000004"/>
    <n v="1153"/>
    <n v="11.53"/>
  </r>
  <r>
    <x v="135"/>
    <s v="002006"/>
    <s v="精功科技"/>
    <n v="1700"/>
    <n v="1700"/>
    <n v="8.1259999999999994"/>
    <n v="23.56"/>
    <n v="0.17"/>
    <n v="13838"/>
    <n v="8.14"/>
  </r>
  <r>
    <x v="135"/>
    <s v="002140"/>
    <s v="东华科技"/>
    <n v="8900"/>
    <n v="8400"/>
    <n v="12.44"/>
    <n v="-6495.46"/>
    <n v="-5.87"/>
    <n v="104219"/>
    <n v="11.71"/>
  </r>
  <r>
    <x v="135"/>
    <s v="300701"/>
    <s v="森霸股份"/>
    <n v="100"/>
    <n v="100"/>
    <n v="-130.48500000000001"/>
    <n v="18378.5"/>
    <n v="0"/>
    <n v="5330"/>
    <n v="53.3"/>
  </r>
  <r>
    <x v="135"/>
    <s v="reserve"/>
    <s v="备用金"/>
    <m/>
    <m/>
    <m/>
    <m/>
    <m/>
    <n v="22982.58"/>
    <m/>
  </r>
  <r>
    <x v="136"/>
    <s v="519888"/>
    <s v="添富快线"/>
    <n v="5024408"/>
    <n v="24408"/>
    <n v="8.9999999999999993E-3"/>
    <n v="2713.57"/>
    <n v="11.11"/>
    <n v="50244.08"/>
    <n v="0.01"/>
  </r>
  <r>
    <x v="136"/>
    <s v="600269"/>
    <s v="赣粤高速"/>
    <n v="2500"/>
    <n v="2500"/>
    <n v="5.351"/>
    <n v="-203.42"/>
    <n v="-1.51"/>
    <n v="13175"/>
    <n v="5.27"/>
  </r>
  <r>
    <x v="136"/>
    <s v="601398"/>
    <s v="工商银行"/>
    <n v="100"/>
    <n v="100"/>
    <n v="-53.579000000000001"/>
    <n v="5948.9"/>
    <n v="0"/>
    <n v="591"/>
    <n v="5.91"/>
  </r>
  <r>
    <x v="136"/>
    <s v="601998"/>
    <s v="中信银行"/>
    <n v="5300"/>
    <n v="5300"/>
    <n v="6.1340000000000003"/>
    <n v="-231.24"/>
    <n v="-0.72"/>
    <n v="32277"/>
    <n v="6.09"/>
  </r>
  <r>
    <x v="136"/>
    <s v="603116"/>
    <s v="红蜻蜓"/>
    <n v="2500"/>
    <n v="2500"/>
    <n v="17.736000000000001"/>
    <n v="-1690.88"/>
    <n v="-3.81"/>
    <n v="42650"/>
    <n v="17.059999999999999"/>
  </r>
  <r>
    <x v="136"/>
    <s v="000402"/>
    <s v="金 融 街"/>
    <n v="11700"/>
    <n v="11300"/>
    <n v="10.396000000000001"/>
    <n v="9051.6299999999992"/>
    <n v="7.45"/>
    <n v="130689"/>
    <n v="11.17"/>
  </r>
  <r>
    <x v="136"/>
    <s v="000415"/>
    <s v="渤海金控"/>
    <n v="3800"/>
    <n v="3800"/>
    <n v="6.024"/>
    <n v="1353.53"/>
    <n v="5.91"/>
    <n v="24244"/>
    <n v="6.38"/>
  </r>
  <r>
    <x v="136"/>
    <s v="000528"/>
    <s v="柳    工"/>
    <n v="10250"/>
    <n v="9850"/>
    <n v="8.7129999999999992"/>
    <n v="-7411.34"/>
    <n v="-8.3000000000000007"/>
    <n v="81897.5"/>
    <n v="7.99"/>
  </r>
  <r>
    <x v="136"/>
    <s v="000987"/>
    <s v="越秀金控"/>
    <n v="100"/>
    <n v="100"/>
    <n v="10.987"/>
    <n v="54.3"/>
    <n v="4.9400000000000004"/>
    <n v="1153"/>
    <n v="11.53"/>
  </r>
  <r>
    <x v="136"/>
    <s v="002006"/>
    <s v="精功科技"/>
    <n v="1300"/>
    <n v="1300"/>
    <n v="8.0939999999999994"/>
    <n v="124.26"/>
    <n v="1.19"/>
    <n v="10647"/>
    <n v="8.19"/>
  </r>
  <r>
    <x v="136"/>
    <s v="002140"/>
    <s v="东华科技"/>
    <n v="9400"/>
    <n v="8900"/>
    <n v="12.396000000000001"/>
    <n v="-7291.46"/>
    <n v="-6.26"/>
    <n v="109228"/>
    <n v="11.62"/>
  </r>
  <r>
    <x v="136"/>
    <s v="300701"/>
    <s v="森霸股份"/>
    <n v="100"/>
    <n v="100"/>
    <n v="-130.48500000000001"/>
    <n v="18116.5"/>
    <n v="0"/>
    <n v="5068"/>
    <n v="50.68"/>
  </r>
  <r>
    <x v="136"/>
    <s v="reserve"/>
    <s v="备用金"/>
    <m/>
    <m/>
    <m/>
    <m/>
    <m/>
    <n v="28435.25"/>
    <m/>
  </r>
  <r>
    <x v="137"/>
    <s v="519888"/>
    <s v="添富快线"/>
    <n v="5024832"/>
    <n v="5024832"/>
    <n v="8.9999999999999993E-3"/>
    <n v="2717.81"/>
    <n v="11.11"/>
    <n v="50248.32"/>
    <n v="0.01"/>
  </r>
  <r>
    <x v="137"/>
    <s v="600269"/>
    <s v="赣粤高速"/>
    <n v="2500"/>
    <n v="2500"/>
    <n v="5.351"/>
    <n v="-303.42"/>
    <n v="-2.2599999999999998"/>
    <n v="13075"/>
    <n v="5.23"/>
  </r>
  <r>
    <x v="137"/>
    <s v="601398"/>
    <s v="工商银行"/>
    <n v="100"/>
    <n v="100"/>
    <n v="-53.579000000000001"/>
    <n v="5948.9"/>
    <n v="0"/>
    <n v="591"/>
    <n v="5.91"/>
  </r>
  <r>
    <x v="137"/>
    <s v="601998"/>
    <s v="中信银行"/>
    <n v="5300"/>
    <n v="5300"/>
    <n v="6.1340000000000003"/>
    <n v="-231.24"/>
    <n v="-0.72"/>
    <n v="32277"/>
    <n v="6.09"/>
  </r>
  <r>
    <x v="137"/>
    <s v="603116"/>
    <s v="红蜻蜓"/>
    <n v="2500"/>
    <n v="2500"/>
    <n v="17.736000000000001"/>
    <n v="-1740.88"/>
    <n v="-3.92"/>
    <n v="42600"/>
    <n v="17.04"/>
  </r>
  <r>
    <x v="137"/>
    <s v="000402"/>
    <s v="金 融 街"/>
    <n v="11700"/>
    <n v="11700"/>
    <n v="10.396000000000001"/>
    <n v="9753.6299999999992"/>
    <n v="8.02"/>
    <n v="131391"/>
    <n v="11.23"/>
  </r>
  <r>
    <x v="137"/>
    <s v="000415"/>
    <s v="渤海金控"/>
    <n v="3800"/>
    <n v="3800"/>
    <n v="6.024"/>
    <n v="1315.53"/>
    <n v="5.74"/>
    <n v="24206"/>
    <n v="6.37"/>
  </r>
  <r>
    <x v="137"/>
    <s v="000528"/>
    <s v="柳    工"/>
    <n v="10250"/>
    <n v="10250"/>
    <n v="8.7129999999999992"/>
    <n v="-7411.34"/>
    <n v="-8.3000000000000007"/>
    <n v="81897.5"/>
    <n v="7.99"/>
  </r>
  <r>
    <x v="137"/>
    <s v="000987"/>
    <s v="越秀金控"/>
    <n v="100"/>
    <n v="100"/>
    <n v="10.987"/>
    <n v="54.3"/>
    <n v="4.9400000000000004"/>
    <n v="1153"/>
    <n v="11.53"/>
  </r>
  <r>
    <x v="137"/>
    <s v="002006"/>
    <s v="精功科技"/>
    <n v="1800"/>
    <n v="1800"/>
    <n v="8.0739999999999998"/>
    <n v="119.26"/>
    <n v="0.82"/>
    <n v="14652"/>
    <n v="8.14"/>
  </r>
  <r>
    <x v="137"/>
    <s v="002140"/>
    <s v="东华科技"/>
    <n v="9400"/>
    <n v="9400"/>
    <n v="12.396000000000001"/>
    <n v="-7479.46"/>
    <n v="-6.42"/>
    <n v="109040"/>
    <n v="11.6"/>
  </r>
  <r>
    <x v="137"/>
    <s v="300701"/>
    <s v="森霸股份"/>
    <n v="100"/>
    <n v="100"/>
    <n v="-130.48500000000001"/>
    <n v="17880.5"/>
    <n v="0"/>
    <n v="4832"/>
    <n v="48.32"/>
  </r>
  <r>
    <x v="137"/>
    <s v="reserve"/>
    <s v="备用金"/>
    <m/>
    <m/>
    <m/>
    <m/>
    <m/>
    <n v="24425.05"/>
    <m/>
  </r>
  <r>
    <x v="138"/>
    <s v="519888"/>
    <s v="添富快线"/>
    <n v="5025336"/>
    <n v="5025336"/>
    <n v="8.9999999999999993E-3"/>
    <n v="2722.85"/>
    <n v="11.11"/>
    <n v="50253.36"/>
    <n v="0.01"/>
  </r>
  <r>
    <x v="138"/>
    <s v="600269"/>
    <s v="赣粤高速"/>
    <n v="3000"/>
    <n v="3000"/>
    <n v="5.3330000000000002"/>
    <n v="-278.47000000000003"/>
    <n v="-1.74"/>
    <n v="15720"/>
    <n v="5.24"/>
  </r>
  <r>
    <x v="138"/>
    <s v="601398"/>
    <s v="工商银行"/>
    <n v="100"/>
    <n v="100"/>
    <n v="-53.579000000000001"/>
    <n v="5942.9"/>
    <n v="0"/>
    <n v="585"/>
    <n v="5.85"/>
  </r>
  <r>
    <x v="138"/>
    <s v="601998"/>
    <s v="中信银行"/>
    <n v="5800"/>
    <n v="5800"/>
    <n v="6.1230000000000002"/>
    <n v="-655.29999999999995"/>
    <n v="-1.84"/>
    <n v="34858"/>
    <n v="6.01"/>
  </r>
  <r>
    <x v="138"/>
    <s v="603116"/>
    <s v="红蜻蜓"/>
    <n v="3000"/>
    <n v="3000"/>
    <n v="17.605"/>
    <n v="-1906.05"/>
    <n v="-3.61"/>
    <n v="50910"/>
    <n v="16.97"/>
  </r>
  <r>
    <x v="138"/>
    <s v="000402"/>
    <s v="金 融 街"/>
    <n v="10900"/>
    <n v="10900"/>
    <n v="10.33"/>
    <n v="11005.58"/>
    <n v="9.7799999999999994"/>
    <n v="123606"/>
    <n v="11.34"/>
  </r>
  <r>
    <x v="138"/>
    <s v="000415"/>
    <s v="渤海金控"/>
    <n v="3800"/>
    <n v="3800"/>
    <n v="6.024"/>
    <n v="1087.53"/>
    <n v="4.75"/>
    <n v="23978"/>
    <n v="6.31"/>
  </r>
  <r>
    <x v="138"/>
    <s v="000528"/>
    <s v="柳    工"/>
    <n v="10250"/>
    <n v="10250"/>
    <n v="8.7129999999999992"/>
    <n v="-7616.34"/>
    <n v="-8.5299999999999994"/>
    <n v="81692.5"/>
    <n v="7.97"/>
  </r>
  <r>
    <x v="138"/>
    <s v="000987"/>
    <s v="越秀金控"/>
    <n v="100"/>
    <n v="100"/>
    <n v="10.987"/>
    <n v="54.3"/>
    <n v="4.9400000000000004"/>
    <n v="1153"/>
    <n v="11.53"/>
  </r>
  <r>
    <x v="138"/>
    <s v="002006"/>
    <s v="精功科技"/>
    <n v="1000"/>
    <n v="1000"/>
    <n v="7.9089999999999998"/>
    <n v="520.62"/>
    <n v="6.59"/>
    <n v="8430"/>
    <n v="8.43"/>
  </r>
  <r>
    <x v="138"/>
    <s v="002140"/>
    <s v="东华科技"/>
    <n v="9400"/>
    <n v="9400"/>
    <n v="12.396000000000001"/>
    <n v="-7479.46"/>
    <n v="-6.42"/>
    <n v="109040"/>
    <n v="11.6"/>
  </r>
  <r>
    <x v="138"/>
    <s v="300701"/>
    <s v="森霸股份"/>
    <n v="100"/>
    <n v="100"/>
    <n v="-130.48500000000001"/>
    <n v="17591.5"/>
    <n v="0"/>
    <n v="4543"/>
    <n v="45.43"/>
  </r>
  <r>
    <x v="138"/>
    <s v="reserve"/>
    <s v="备用金"/>
    <m/>
    <m/>
    <m/>
    <m/>
    <m/>
    <n v="25985.08"/>
    <m/>
  </r>
  <r>
    <x v="139"/>
    <s v="519888"/>
    <s v="添富快线"/>
    <n v="3025748"/>
    <n v="3025748"/>
    <n v="8.9999999999999993E-3"/>
    <n v="2726.97"/>
    <n v="11.11"/>
    <n v="30257.48"/>
    <n v="0.01"/>
  </r>
  <r>
    <x v="139"/>
    <s v="600269"/>
    <s v="赣粤高速"/>
    <n v="3000"/>
    <n v="3000"/>
    <n v="5.3330000000000002"/>
    <n v="-488.47"/>
    <n v="-3.06"/>
    <n v="15510"/>
    <n v="5.17"/>
  </r>
  <r>
    <x v="139"/>
    <s v="601398"/>
    <s v="工商银行"/>
    <n v="100"/>
    <n v="100"/>
    <n v="-53.579000000000001"/>
    <n v="5960.9"/>
    <n v="0"/>
    <n v="603"/>
    <n v="6.03"/>
  </r>
  <r>
    <x v="139"/>
    <s v="601998"/>
    <s v="中信银行"/>
    <n v="4900"/>
    <n v="4900"/>
    <n v="6.1289999999999996"/>
    <n v="5.09"/>
    <n v="0.02"/>
    <n v="30037"/>
    <n v="6.13"/>
  </r>
  <r>
    <x v="139"/>
    <s v="603116"/>
    <s v="红蜻蜓"/>
    <n v="4000"/>
    <n v="4000"/>
    <n v="17.338000000000001"/>
    <n v="-4031.38"/>
    <n v="-5.81"/>
    <n v="65320"/>
    <n v="16.329999999999998"/>
  </r>
  <r>
    <x v="139"/>
    <s v="000402"/>
    <s v="金 融 街"/>
    <n v="11900"/>
    <n v="11900"/>
    <n v="10.391999999999999"/>
    <n v="8900.1200000000008"/>
    <n v="7.2"/>
    <n v="132566"/>
    <n v="11.14"/>
  </r>
  <r>
    <x v="139"/>
    <s v="000415"/>
    <s v="渤海金控"/>
    <n v="3800"/>
    <n v="3800"/>
    <n v="6.024"/>
    <n v="973.53"/>
    <n v="4.25"/>
    <n v="23864"/>
    <n v="6.28"/>
  </r>
  <r>
    <x v="139"/>
    <s v="000528"/>
    <s v="柳    工"/>
    <n v="10750"/>
    <n v="10750"/>
    <n v="8.673"/>
    <n v="-9496.34"/>
    <n v="-10.18"/>
    <n v="83742.5"/>
    <n v="7.79"/>
  </r>
  <r>
    <x v="139"/>
    <s v="000987"/>
    <s v="越秀金控"/>
    <n v="100"/>
    <n v="100"/>
    <n v="10.987"/>
    <n v="54.3"/>
    <n v="4.9400000000000004"/>
    <n v="1153"/>
    <n v="11.53"/>
  </r>
  <r>
    <x v="139"/>
    <s v="002006"/>
    <s v="精功科技"/>
    <n v="1100"/>
    <n v="1100"/>
    <n v="7.7809999999999997"/>
    <n v="31.45"/>
    <n v="0.37"/>
    <n v="8591"/>
    <n v="7.81"/>
  </r>
  <r>
    <x v="139"/>
    <s v="002140"/>
    <s v="东华科技"/>
    <n v="9900"/>
    <n v="9900"/>
    <n v="12.346"/>
    <n v="-11542.46"/>
    <n v="-9.44"/>
    <n v="110682"/>
    <n v="11.18"/>
  </r>
  <r>
    <x v="139"/>
    <s v="300701"/>
    <s v="森霸股份"/>
    <n v="100"/>
    <n v="100"/>
    <n v="-130.48500000000001"/>
    <n v="17393.5"/>
    <n v="0"/>
    <n v="4345"/>
    <n v="43.45"/>
  </r>
  <r>
    <x v="139"/>
    <s v="reserve"/>
    <s v="备用金"/>
    <m/>
    <m/>
    <m/>
    <m/>
    <m/>
    <n v="13580.51"/>
    <m/>
  </r>
  <r>
    <x v="140"/>
    <s v="519888"/>
    <s v="添富快线"/>
    <n v="25748"/>
    <n v="25748"/>
    <n v="-9.6000000000000002E-2"/>
    <n v="2729.288"/>
    <n v="0"/>
    <n v="257.48"/>
    <n v="0.01"/>
  </r>
  <r>
    <x v="140"/>
    <s v="600269"/>
    <s v="赣粤高速"/>
    <n v="3500"/>
    <n v="3000"/>
    <n v="5.3070000000000004"/>
    <n v="-548.52"/>
    <n v="-2.96"/>
    <n v="18025"/>
    <n v="5.15"/>
  </r>
  <r>
    <x v="140"/>
    <s v="601398"/>
    <s v="工商银行"/>
    <n v="100"/>
    <n v="100"/>
    <n v="-53.579000000000001"/>
    <n v="5969.9"/>
    <n v="0"/>
    <n v="612"/>
    <n v="6.12"/>
  </r>
  <r>
    <x v="140"/>
    <s v="601998"/>
    <s v="中信银行"/>
    <n v="4900"/>
    <n v="4900"/>
    <n v="6.1289999999999996"/>
    <n v="740.09"/>
    <n v="2.46"/>
    <n v="30772"/>
    <n v="6.28"/>
  </r>
  <r>
    <x v="140"/>
    <s v="603116"/>
    <s v="红蜻蜓"/>
    <n v="4500"/>
    <n v="4000"/>
    <n v="17.189"/>
    <n v="-4226.54"/>
    <n v="-5.46"/>
    <n v="73125"/>
    <n v="16.25"/>
  </r>
  <r>
    <x v="140"/>
    <s v="000402"/>
    <s v="金 融 街"/>
    <n v="13000"/>
    <n v="11500"/>
    <n v="10.429"/>
    <n v="6386.77"/>
    <n v="4.71"/>
    <n v="141960"/>
    <n v="10.92"/>
  </r>
  <r>
    <x v="140"/>
    <s v="000415"/>
    <s v="渤海金控"/>
    <n v="3800"/>
    <n v="3800"/>
    <n v="6.024"/>
    <n v="707.53"/>
    <n v="3.09"/>
    <n v="23598"/>
    <n v="6.21"/>
  </r>
  <r>
    <x v="140"/>
    <s v="000528"/>
    <s v="柳    工"/>
    <n v="10850"/>
    <n v="10350"/>
    <n v="8.6620000000000008"/>
    <n v="-8697.99"/>
    <n v="-9.26"/>
    <n v="85281"/>
    <n v="7.86"/>
  </r>
  <r>
    <x v="140"/>
    <s v="000987"/>
    <s v="越秀金控"/>
    <n v="100"/>
    <n v="100"/>
    <n v="10.987"/>
    <n v="67.3"/>
    <n v="6.13"/>
    <n v="1166"/>
    <n v="11.66"/>
  </r>
  <r>
    <x v="140"/>
    <s v="002006"/>
    <s v="精功科技"/>
    <n v="1600"/>
    <n v="1100"/>
    <n v="7.6280000000000001"/>
    <n v="-252.55"/>
    <n v="-2.0699999999999998"/>
    <n v="11952"/>
    <n v="7.47"/>
  </r>
  <r>
    <x v="140"/>
    <s v="002140"/>
    <s v="东华科技"/>
    <n v="10400"/>
    <n v="9900"/>
    <n v="12.282999999999999"/>
    <n v="-10635.46"/>
    <n v="-8.33"/>
    <n v="117104"/>
    <n v="11.26"/>
  </r>
  <r>
    <x v="140"/>
    <s v="300701"/>
    <s v="森霸股份"/>
    <n v="100"/>
    <n v="100"/>
    <n v="-130.48500000000001"/>
    <n v="17511.5"/>
    <n v="0"/>
    <n v="4463"/>
    <n v="44.63"/>
  </r>
  <r>
    <x v="140"/>
    <s v="reserve"/>
    <s v="备用金"/>
    <m/>
    <m/>
    <m/>
    <m/>
    <m/>
    <n v="11197.8"/>
    <m/>
  </r>
  <r>
    <x v="141"/>
    <s v="519888"/>
    <s v="添富快线"/>
    <n v="26462"/>
    <n v="26462"/>
    <n v="-9.2999999999999999E-2"/>
    <n v="2725.5859999999998"/>
    <n v="0"/>
    <n v="264.62"/>
    <n v="0.01"/>
  </r>
  <r>
    <x v="141"/>
    <s v="600269"/>
    <s v="赣粤高速"/>
    <n v="3500"/>
    <n v="3500"/>
    <n v="5.3070000000000004"/>
    <n v="-408.52"/>
    <n v="-2.2000000000000002"/>
    <n v="18165"/>
    <n v="5.19"/>
  </r>
  <r>
    <x v="141"/>
    <s v="601398"/>
    <s v="工商银行"/>
    <n v="100"/>
    <n v="100"/>
    <n v="-53.579000000000001"/>
    <n v="5969.9"/>
    <n v="0"/>
    <n v="612"/>
    <n v="6.12"/>
  </r>
  <r>
    <x v="141"/>
    <s v="601998"/>
    <s v="中信银行"/>
    <n v="4100"/>
    <n v="4100"/>
    <n v="6.09"/>
    <n v="944.91"/>
    <n v="3.78"/>
    <n v="25912"/>
    <n v="6.32"/>
  </r>
  <r>
    <x v="141"/>
    <s v="603116"/>
    <s v="红蜻蜓"/>
    <n v="4500"/>
    <n v="4500"/>
    <n v="17.189"/>
    <n v="-4226.54"/>
    <n v="-5.46"/>
    <n v="73125"/>
    <n v="16.25"/>
  </r>
  <r>
    <x v="141"/>
    <s v="000402"/>
    <s v="金 融 街"/>
    <n v="12600"/>
    <n v="12600"/>
    <n v="10.407999999999999"/>
    <n v="9221.33"/>
    <n v="7.03"/>
    <n v="140364"/>
    <n v="11.14"/>
  </r>
  <r>
    <x v="141"/>
    <s v="000415"/>
    <s v="渤海金控"/>
    <n v="3800"/>
    <n v="3800"/>
    <n v="6.024"/>
    <n v="821.53"/>
    <n v="3.59"/>
    <n v="23712"/>
    <n v="6.24"/>
  </r>
  <r>
    <x v="141"/>
    <s v="000528"/>
    <s v="柳    工"/>
    <n v="10850"/>
    <n v="10850"/>
    <n v="8.6620000000000008"/>
    <n v="-7938.49"/>
    <n v="-8.4499999999999993"/>
    <n v="86040.5"/>
    <n v="7.93"/>
  </r>
  <r>
    <x v="141"/>
    <s v="000987"/>
    <s v="越秀金控"/>
    <n v="100"/>
    <n v="100"/>
    <n v="10.987"/>
    <n v="118.3"/>
    <n v="10.77"/>
    <n v="1217"/>
    <n v="12.17"/>
  </r>
  <r>
    <x v="141"/>
    <s v="002006"/>
    <s v="精功科技"/>
    <n v="2100"/>
    <n v="2100"/>
    <n v="7.4969999999999999"/>
    <n v="-960.55"/>
    <n v="-6.09"/>
    <n v="14784"/>
    <n v="7.04"/>
  </r>
  <r>
    <x v="141"/>
    <s v="002140"/>
    <s v="东华科技"/>
    <n v="10400"/>
    <n v="10400"/>
    <n v="12.282999999999999"/>
    <n v="-10427.459999999999"/>
    <n v="-8.16"/>
    <n v="117312"/>
    <n v="11.28"/>
  </r>
  <r>
    <x v="141"/>
    <s v="300701"/>
    <s v="森霸股份"/>
    <n v="100"/>
    <n v="100"/>
    <n v="-130.48500000000001"/>
    <n v="17308.5"/>
    <n v="0"/>
    <n v="4260"/>
    <n v="42.6"/>
  </r>
  <r>
    <x v="141"/>
    <s v="reserve"/>
    <s v="备用金"/>
    <m/>
    <m/>
    <m/>
    <m/>
    <m/>
    <n v="17153.18"/>
    <m/>
  </r>
  <r>
    <x v="142"/>
    <s v="519888"/>
    <s v="添富快线"/>
    <n v="26462"/>
    <n v="26462"/>
    <n v="-9.2999999999999999E-2"/>
    <n v="2725.5859999999998"/>
    <n v="0"/>
    <n v="264.62"/>
    <n v="0.01"/>
  </r>
  <r>
    <x v="142"/>
    <s v="600269"/>
    <s v="赣粤高速"/>
    <n v="3500"/>
    <n v="3500"/>
    <n v="5.3070000000000004"/>
    <n v="-268.52"/>
    <n v="-1.45"/>
    <n v="18305"/>
    <n v="5.23"/>
  </r>
  <r>
    <x v="142"/>
    <s v="601398"/>
    <s v="工商银行"/>
    <n v="100"/>
    <n v="100"/>
    <n v="-53.579000000000001"/>
    <n v="5982.9"/>
    <n v="0"/>
    <n v="625"/>
    <n v="6.25"/>
  </r>
  <r>
    <x v="142"/>
    <s v="601998"/>
    <s v="中信银行"/>
    <n v="3700"/>
    <n v="3700"/>
    <n v="6.0449999999999999"/>
    <n v="1683.25"/>
    <n v="7.53"/>
    <n v="24050"/>
    <n v="6.5"/>
  </r>
  <r>
    <x v="142"/>
    <s v="603116"/>
    <s v="红蜻蜓"/>
    <n v="4500"/>
    <n v="4500"/>
    <n v="17.189"/>
    <n v="-4316.54"/>
    <n v="-5.58"/>
    <n v="73035"/>
    <n v="16.23"/>
  </r>
  <r>
    <x v="142"/>
    <s v="000402"/>
    <s v="金 融 街"/>
    <n v="12600"/>
    <n v="12200"/>
    <n v="10.407999999999999"/>
    <n v="10481.33"/>
    <n v="7.99"/>
    <n v="141624"/>
    <n v="11.24"/>
  </r>
  <r>
    <x v="142"/>
    <s v="000415"/>
    <s v="渤海金控"/>
    <n v="4300"/>
    <n v="3800"/>
    <n v="6.0469999999999997"/>
    <n v="616.53"/>
    <n v="2.37"/>
    <n v="26617"/>
    <n v="6.19"/>
  </r>
  <r>
    <x v="142"/>
    <s v="000528"/>
    <s v="柳    工"/>
    <n v="10850"/>
    <n v="10450"/>
    <n v="8.6620000000000008"/>
    <n v="-8480.99"/>
    <n v="-9.0299999999999994"/>
    <n v="85498"/>
    <n v="7.88"/>
  </r>
  <r>
    <x v="142"/>
    <s v="000987"/>
    <s v="越秀金控"/>
    <n v="100"/>
    <n v="100"/>
    <n v="10.987"/>
    <n v="110.3"/>
    <n v="10.039999999999999"/>
    <n v="1209"/>
    <n v="12.09"/>
  </r>
  <r>
    <x v="142"/>
    <s v="002006"/>
    <s v="精功科技"/>
    <n v="2100"/>
    <n v="2100"/>
    <n v="7.4969999999999999"/>
    <n v="-960.55"/>
    <n v="-6.09"/>
    <n v="14784"/>
    <n v="7.04"/>
  </r>
  <r>
    <x v="142"/>
    <s v="002140"/>
    <s v="东华科技"/>
    <n v="10400"/>
    <n v="10000"/>
    <n v="12.282999999999999"/>
    <n v="-10947.46"/>
    <n v="-8.57"/>
    <n v="116792"/>
    <n v="11.23"/>
  </r>
  <r>
    <x v="142"/>
    <s v="300701"/>
    <s v="森霸股份"/>
    <n v="100"/>
    <n v="100"/>
    <n v="-130.48500000000001"/>
    <n v="17281.5"/>
    <n v="0"/>
    <n v="4233"/>
    <n v="42.33"/>
  </r>
  <r>
    <x v="142"/>
    <s v="reserve"/>
    <s v="备用金"/>
    <m/>
    <m/>
    <m/>
    <m/>
    <m/>
    <n v="16643.52"/>
    <m/>
  </r>
  <r>
    <x v="143"/>
    <s v="519888"/>
    <s v="添富快线"/>
    <n v="26465"/>
    <n v="26465"/>
    <n v="-9.2999999999999999E-2"/>
    <n v="2725.895"/>
    <n v="0"/>
    <n v="264.64999999999998"/>
    <n v="0.01"/>
  </r>
  <r>
    <x v="143"/>
    <s v="600269"/>
    <s v="赣粤高速"/>
    <n v="3500"/>
    <n v="3500"/>
    <n v="5.3070000000000004"/>
    <n v="-408.52"/>
    <n v="-2.2000000000000002"/>
    <n v="18165"/>
    <n v="5.19"/>
  </r>
  <r>
    <x v="143"/>
    <s v="601398"/>
    <s v="工商银行"/>
    <n v="100"/>
    <n v="100"/>
    <n v="-53.579000000000001"/>
    <n v="5969.9"/>
    <n v="0"/>
    <n v="612"/>
    <n v="6.12"/>
  </r>
  <r>
    <x v="143"/>
    <s v="601998"/>
    <s v="中信银行"/>
    <n v="3700"/>
    <n v="3700"/>
    <n v="6.0449999999999999"/>
    <n v="1017.25"/>
    <n v="4.55"/>
    <n v="23384"/>
    <n v="6.32"/>
  </r>
  <r>
    <x v="143"/>
    <s v="603116"/>
    <s v="红蜻蜓"/>
    <n v="4500"/>
    <n v="4500"/>
    <n v="17.189"/>
    <n v="-5711.54"/>
    <n v="-7.38"/>
    <n v="71640"/>
    <n v="15.92"/>
  </r>
  <r>
    <x v="143"/>
    <s v="000402"/>
    <s v="金 融 街"/>
    <n v="12600"/>
    <n v="12600"/>
    <n v="10.407999999999999"/>
    <n v="7961.33"/>
    <n v="6.07"/>
    <n v="139104"/>
    <n v="11.04"/>
  </r>
  <r>
    <x v="143"/>
    <s v="000415"/>
    <s v="渤海金控"/>
    <n v="4300"/>
    <n v="4300"/>
    <n v="6.0469999999999997"/>
    <n v="-28.47"/>
    <n v="-0.11"/>
    <n v="25972"/>
    <n v="6.04"/>
  </r>
  <r>
    <x v="143"/>
    <s v="000528"/>
    <s v="柳    工"/>
    <n v="10850"/>
    <n v="10850"/>
    <n v="8.6620000000000008"/>
    <n v="-9565.99"/>
    <n v="-10.18"/>
    <n v="84413"/>
    <n v="7.78"/>
  </r>
  <r>
    <x v="143"/>
    <s v="000987"/>
    <s v="越秀金控"/>
    <n v="100"/>
    <n v="100"/>
    <n v="10.987"/>
    <n v="51.3"/>
    <n v="4.67"/>
    <n v="1150"/>
    <n v="11.5"/>
  </r>
  <r>
    <x v="143"/>
    <s v="002006"/>
    <s v="精功科技"/>
    <n v="3100"/>
    <n v="2100"/>
    <n v="7.2480000000000002"/>
    <n v="-1792.55"/>
    <n v="-7.97"/>
    <n v="20677"/>
    <n v="6.67"/>
  </r>
  <r>
    <x v="143"/>
    <s v="002140"/>
    <s v="东华科技"/>
    <n v="10400"/>
    <n v="10400"/>
    <n v="12.282999999999999"/>
    <n v="-13963.46"/>
    <n v="-10.93"/>
    <n v="113776"/>
    <n v="10.94"/>
  </r>
  <r>
    <x v="143"/>
    <s v="300701"/>
    <s v="森霸股份"/>
    <n v="100"/>
    <n v="100"/>
    <n v="-130.48500000000001"/>
    <n v="17114.5"/>
    <n v="0"/>
    <n v="4066"/>
    <n v="40.659999999999997"/>
  </r>
  <r>
    <x v="143"/>
    <s v="reserve"/>
    <s v="备用金"/>
    <m/>
    <m/>
    <m/>
    <m/>
    <m/>
    <n v="9918.52"/>
    <m/>
  </r>
  <r>
    <x v="144"/>
    <s v="519888"/>
    <s v="添富快线"/>
    <n v="26468"/>
    <n v="26468"/>
    <n v="-9.2999999999999999E-2"/>
    <n v="2726.2040000000002"/>
    <n v="0"/>
    <n v="264.68"/>
    <n v="0.01"/>
  </r>
  <r>
    <x v="144"/>
    <s v="600269"/>
    <s v="赣粤高速"/>
    <n v="3500"/>
    <n v="3500"/>
    <n v="5.3070000000000004"/>
    <n v="-443.52"/>
    <n v="-2.39"/>
    <n v="18130"/>
    <n v="5.18"/>
  </r>
  <r>
    <x v="144"/>
    <s v="601398"/>
    <s v="工商银行"/>
    <n v="100"/>
    <n v="100"/>
    <n v="-53.579000000000001"/>
    <n v="5964.9"/>
    <n v="0"/>
    <n v="607"/>
    <n v="6.07"/>
  </r>
  <r>
    <x v="144"/>
    <s v="601998"/>
    <s v="中信银行"/>
    <n v="3200"/>
    <n v="3200"/>
    <n v="6.0030000000000001"/>
    <n v="1046.02"/>
    <n v="5.45"/>
    <n v="20256"/>
    <n v="6.33"/>
  </r>
  <r>
    <x v="144"/>
    <s v="603116"/>
    <s v="红蜻蜓"/>
    <n v="4500"/>
    <n v="4500"/>
    <n v="17.189"/>
    <n v="-5711.54"/>
    <n v="-7.38"/>
    <n v="71640"/>
    <n v="15.92"/>
  </r>
  <r>
    <x v="144"/>
    <s v="000402"/>
    <s v="金 融 街"/>
    <n v="12600"/>
    <n v="12600"/>
    <n v="10.407999999999999"/>
    <n v="9599.33"/>
    <n v="7.32"/>
    <n v="140742"/>
    <n v="11.17"/>
  </r>
  <r>
    <x v="144"/>
    <s v="000415"/>
    <s v="渤海金控"/>
    <n v="4800"/>
    <n v="4300"/>
    <n v="6.0410000000000004"/>
    <n v="-339.47"/>
    <n v="-1.17"/>
    <n v="28656"/>
    <n v="5.97"/>
  </r>
  <r>
    <x v="144"/>
    <s v="000528"/>
    <s v="柳    工"/>
    <n v="11350"/>
    <n v="10850"/>
    <n v="8.6189999999999998"/>
    <n v="-10320.49"/>
    <n v="-10.55"/>
    <n v="87508.5"/>
    <n v="7.71"/>
  </r>
  <r>
    <x v="144"/>
    <s v="000987"/>
    <s v="越秀金控"/>
    <n v="100"/>
    <n v="100"/>
    <n v="10.987"/>
    <n v="17.3"/>
    <n v="1.58"/>
    <n v="1116"/>
    <n v="11.16"/>
  </r>
  <r>
    <x v="144"/>
    <s v="002006"/>
    <s v="精功科技"/>
    <n v="3100"/>
    <n v="2700"/>
    <n v="7.2480000000000002"/>
    <n v="-1606.55"/>
    <n v="-7.15"/>
    <n v="20863"/>
    <n v="6.73"/>
  </r>
  <r>
    <x v="144"/>
    <s v="002140"/>
    <s v="东华科技"/>
    <n v="10900"/>
    <n v="10400"/>
    <n v="12.218"/>
    <n v="-14582.46"/>
    <n v="-10.95"/>
    <n v="118592"/>
    <n v="10.88"/>
  </r>
  <r>
    <x v="144"/>
    <s v="300701"/>
    <s v="森霸股份"/>
    <n v="100"/>
    <n v="100"/>
    <n v="-130.48500000000001"/>
    <n v="16943.5"/>
    <n v="0"/>
    <n v="3895"/>
    <n v="38.950000000000003"/>
  </r>
  <r>
    <x v="144"/>
    <s v="reserve"/>
    <s v="备用金"/>
    <m/>
    <m/>
    <m/>
    <m/>
    <m/>
    <n v="795.29"/>
    <m/>
  </r>
  <r>
    <x v="145"/>
    <s v="519888"/>
    <s v="添富快线"/>
    <n v="26477"/>
    <n v="26477"/>
    <n v="-9.2999999999999999E-2"/>
    <n v="2727.1309999999999"/>
    <n v="0"/>
    <n v="264.77"/>
    <n v="0.01"/>
  </r>
  <r>
    <x v="145"/>
    <s v="600269"/>
    <s v="赣粤高速"/>
    <n v="3500"/>
    <n v="3500"/>
    <n v="5.3070000000000004"/>
    <n v="-548.52"/>
    <n v="-2.96"/>
    <n v="18025"/>
    <n v="5.15"/>
  </r>
  <r>
    <x v="145"/>
    <s v="601398"/>
    <s v="工商银行"/>
    <n v="100"/>
    <n v="100"/>
    <n v="-53.579000000000001"/>
    <n v="5955.9"/>
    <n v="0"/>
    <n v="598"/>
    <n v="5.98"/>
  </r>
  <r>
    <x v="145"/>
    <s v="601998"/>
    <s v="中信银行"/>
    <n v="3200"/>
    <n v="3200"/>
    <n v="6.0030000000000001"/>
    <n v="1078.02"/>
    <n v="5.61"/>
    <n v="20288"/>
    <n v="6.34"/>
  </r>
  <r>
    <x v="145"/>
    <s v="603116"/>
    <s v="红蜻蜓"/>
    <n v="4500"/>
    <n v="4500"/>
    <n v="17.189"/>
    <n v="-6026.54"/>
    <n v="-7.79"/>
    <n v="71325"/>
    <n v="15.85"/>
  </r>
  <r>
    <x v="145"/>
    <s v="000402"/>
    <s v="金 融 街"/>
    <n v="12600"/>
    <n v="12600"/>
    <n v="10.407999999999999"/>
    <n v="9977.33"/>
    <n v="7.61"/>
    <n v="141120"/>
    <n v="11.2"/>
  </r>
  <r>
    <x v="145"/>
    <s v="000415"/>
    <s v="渤海金控"/>
    <n v="4800"/>
    <n v="4800"/>
    <n v="6.0410000000000004"/>
    <n v="-627.47"/>
    <n v="-2.17"/>
    <n v="28368"/>
    <n v="5.91"/>
  </r>
  <r>
    <x v="145"/>
    <s v="000528"/>
    <s v="柳    工"/>
    <n v="11350"/>
    <n v="11350"/>
    <n v="8.6189999999999998"/>
    <n v="-9979.99"/>
    <n v="-10.199999999999999"/>
    <n v="87849"/>
    <n v="7.74"/>
  </r>
  <r>
    <x v="145"/>
    <s v="000987"/>
    <s v="越秀金控"/>
    <n v="100"/>
    <n v="100"/>
    <n v="10.987"/>
    <n v="17.3"/>
    <n v="1.58"/>
    <n v="1116"/>
    <n v="11.16"/>
  </r>
  <r>
    <x v="145"/>
    <s v="002006"/>
    <s v="精功科技"/>
    <n v="3100"/>
    <n v="3100"/>
    <n v="7.2480000000000002"/>
    <n v="-1420.55"/>
    <n v="-6.32"/>
    <n v="21049"/>
    <n v="6.79"/>
  </r>
  <r>
    <x v="145"/>
    <s v="002140"/>
    <s v="东华科技"/>
    <n v="10900"/>
    <n v="10900"/>
    <n v="12.218"/>
    <n v="-14909.46"/>
    <n v="-11.2"/>
    <n v="118265"/>
    <n v="10.85"/>
  </r>
  <r>
    <x v="145"/>
    <s v="300701"/>
    <s v="森霸股份"/>
    <n v="100"/>
    <n v="100"/>
    <n v="-130.48500000000001"/>
    <n v="16739.5"/>
    <n v="0"/>
    <n v="3691"/>
    <n v="36.909999999999997"/>
  </r>
  <r>
    <x v="145"/>
    <s v="reserve"/>
    <s v="备用金"/>
    <m/>
    <m/>
    <m/>
    <m/>
    <m/>
    <n v="795.29"/>
    <m/>
  </r>
  <r>
    <x v="146"/>
    <s v="519888"/>
    <s v="添富快线"/>
    <n v="26477"/>
    <n v="26477"/>
    <n v="-9.2999999999999999E-2"/>
    <n v="2727.1309999999999"/>
    <n v="0"/>
    <n v="264.77"/>
    <n v="0.01"/>
  </r>
  <r>
    <x v="146"/>
    <s v="600269"/>
    <s v="赣粤高速"/>
    <n v="3500"/>
    <n v="3500"/>
    <n v="5.3070000000000004"/>
    <n v="-408.52"/>
    <n v="-2.2000000000000002"/>
    <n v="18165"/>
    <n v="5.19"/>
  </r>
  <r>
    <x v="146"/>
    <s v="601398"/>
    <s v="工商银行"/>
    <n v="100"/>
    <n v="100"/>
    <n v="-53.579000000000001"/>
    <n v="5948.9"/>
    <n v="0"/>
    <n v="591"/>
    <n v="5.91"/>
  </r>
  <r>
    <x v="146"/>
    <s v="601998"/>
    <s v="中信银行"/>
    <n v="3200"/>
    <n v="3200"/>
    <n v="6.0030000000000001"/>
    <n v="854.02"/>
    <n v="4.45"/>
    <n v="20064"/>
    <n v="6.27"/>
  </r>
  <r>
    <x v="146"/>
    <s v="603116"/>
    <s v="红蜻蜓"/>
    <n v="4500"/>
    <n v="4500"/>
    <n v="17.189"/>
    <n v="-4991.54"/>
    <n v="-6.45"/>
    <n v="72360"/>
    <n v="16.079999999999998"/>
  </r>
  <r>
    <x v="146"/>
    <s v="000402"/>
    <s v="金 融 街"/>
    <n v="12600"/>
    <n v="12600"/>
    <n v="10.407999999999999"/>
    <n v="8717.33"/>
    <n v="6.65"/>
    <n v="139860"/>
    <n v="11.1"/>
  </r>
  <r>
    <x v="146"/>
    <s v="000415"/>
    <s v="渤海金控"/>
    <n v="4800"/>
    <n v="4800"/>
    <n v="6.0410000000000004"/>
    <n v="-531.47"/>
    <n v="-1.84"/>
    <n v="28464"/>
    <n v="5.93"/>
  </r>
  <r>
    <x v="146"/>
    <s v="000528"/>
    <s v="柳    工"/>
    <n v="10950"/>
    <n v="10950"/>
    <n v="8.6489999999999991"/>
    <n v="-8853.1299999999992"/>
    <n v="-9.35"/>
    <n v="85848"/>
    <n v="7.84"/>
  </r>
  <r>
    <x v="146"/>
    <s v="000987"/>
    <s v="越秀金控"/>
    <n v="100"/>
    <n v="100"/>
    <n v="10.987"/>
    <n v="29.3"/>
    <n v="2.67"/>
    <n v="1128"/>
    <n v="11.28"/>
  </r>
  <r>
    <x v="146"/>
    <s v="002006"/>
    <s v="精功科技"/>
    <n v="3100"/>
    <n v="3100"/>
    <n v="7.2480000000000002"/>
    <n v="-1234.55"/>
    <n v="-5.49"/>
    <n v="21235"/>
    <n v="6.85"/>
  </r>
  <r>
    <x v="146"/>
    <s v="002140"/>
    <s v="东华科技"/>
    <n v="10900"/>
    <n v="10900"/>
    <n v="12.218"/>
    <n v="-13274.46"/>
    <n v="-9.9700000000000006"/>
    <n v="119900"/>
    <n v="11"/>
  </r>
  <r>
    <x v="146"/>
    <s v="300701"/>
    <s v="森霸股份"/>
    <n v="100"/>
    <n v="100"/>
    <n v="-130.48500000000001"/>
    <n v="16845.5"/>
    <n v="0"/>
    <n v="3797"/>
    <n v="37.97"/>
  </r>
  <r>
    <x v="146"/>
    <s v="reserve"/>
    <s v="备用金"/>
    <m/>
    <m/>
    <m/>
    <m/>
    <m/>
    <n v="3923.15"/>
    <m/>
  </r>
  <r>
    <x v="147"/>
    <s v="519888"/>
    <s v="添富快线"/>
    <n v="26482"/>
    <n v="26482"/>
    <n v="-9.2999999999999999E-2"/>
    <n v="2727.6460000000002"/>
    <n v="0"/>
    <n v="264.82"/>
    <n v="0.01"/>
  </r>
  <r>
    <x v="147"/>
    <s v="600269"/>
    <s v="赣粤高速"/>
    <n v="3500"/>
    <n v="3500"/>
    <n v="5.3070000000000004"/>
    <n v="-408.52"/>
    <n v="-2.2000000000000002"/>
    <n v="18165"/>
    <n v="5.19"/>
  </r>
  <r>
    <x v="147"/>
    <s v="601398"/>
    <s v="工商银行"/>
    <n v="100"/>
    <n v="100"/>
    <n v="-53.579000000000001"/>
    <n v="5949.9"/>
    <n v="0"/>
    <n v="592"/>
    <n v="5.92"/>
  </r>
  <r>
    <x v="147"/>
    <s v="601998"/>
    <s v="中信银行"/>
    <n v="3200"/>
    <n v="3200"/>
    <n v="6.0030000000000001"/>
    <n v="726.02"/>
    <n v="3.78"/>
    <n v="19936"/>
    <n v="6.23"/>
  </r>
  <r>
    <x v="147"/>
    <s v="603116"/>
    <s v="红蜻蜓"/>
    <n v="4500"/>
    <n v="4500"/>
    <n v="17.189"/>
    <n v="-5396.54"/>
    <n v="-6.97"/>
    <n v="71955"/>
    <n v="15.99"/>
  </r>
  <r>
    <x v="147"/>
    <s v="000402"/>
    <s v="金 融 街"/>
    <n v="12200"/>
    <n v="12200"/>
    <n v="10.375999999999999"/>
    <n v="13223.77"/>
    <n v="10.45"/>
    <n v="139812"/>
    <n v="11.46"/>
  </r>
  <r>
    <x v="147"/>
    <s v="000415"/>
    <s v="渤海金控"/>
    <n v="4800"/>
    <n v="4800"/>
    <n v="6.0410000000000004"/>
    <n v="-819.47"/>
    <n v="-2.83"/>
    <n v="28176"/>
    <n v="5.87"/>
  </r>
  <r>
    <x v="147"/>
    <s v="000528"/>
    <s v="柳    工"/>
    <n v="10550"/>
    <n v="10550"/>
    <n v="8.6720000000000006"/>
    <n v="-6245.35"/>
    <n v="-6.83"/>
    <n v="85244"/>
    <n v="8.08"/>
  </r>
  <r>
    <x v="147"/>
    <s v="000987"/>
    <s v="越秀金控"/>
    <n v="100"/>
    <n v="100"/>
    <n v="10.987"/>
    <n v="30.3"/>
    <n v="2.76"/>
    <n v="1129"/>
    <n v="11.29"/>
  </r>
  <r>
    <x v="147"/>
    <s v="002006"/>
    <s v="精功科技"/>
    <n v="3100"/>
    <n v="3100"/>
    <n v="7.2480000000000002"/>
    <n v="-1048.55"/>
    <n v="-4.66"/>
    <n v="21421"/>
    <n v="6.91"/>
  </r>
  <r>
    <x v="147"/>
    <s v="002140"/>
    <s v="东华科技"/>
    <n v="10900"/>
    <n v="10900"/>
    <n v="12.218"/>
    <n v="-14037.46"/>
    <n v="-10.54"/>
    <n v="119137"/>
    <n v="10.93"/>
  </r>
  <r>
    <x v="147"/>
    <s v="300701"/>
    <s v="森霸股份"/>
    <n v="100"/>
    <n v="100"/>
    <n v="-130.48500000000001"/>
    <n v="16766.5"/>
    <n v="0"/>
    <n v="3718"/>
    <n v="37.18"/>
  </r>
  <r>
    <x v="147"/>
    <s v="reserve"/>
    <s v="备用金"/>
    <m/>
    <m/>
    <m/>
    <m/>
    <m/>
    <n v="11689.37"/>
    <m/>
  </r>
  <r>
    <x v="148"/>
    <s v="519888"/>
    <s v="添富快线"/>
    <n v="26482"/>
    <n v="26482"/>
    <n v="-9.2999999999999999E-2"/>
    <n v="2727.6460000000002"/>
    <n v="0"/>
    <n v="264.82"/>
    <n v="0.01"/>
  </r>
  <r>
    <x v="148"/>
    <s v="600269"/>
    <s v="赣粤高速"/>
    <n v="3500"/>
    <n v="3500"/>
    <n v="5.3070000000000004"/>
    <n v="-443.52"/>
    <n v="-2.39"/>
    <n v="18130"/>
    <n v="5.18"/>
  </r>
  <r>
    <x v="148"/>
    <s v="601398"/>
    <s v="工商银行"/>
    <n v="100"/>
    <n v="100"/>
    <n v="-53.579000000000001"/>
    <n v="5949.9"/>
    <n v="0"/>
    <n v="592"/>
    <n v="5.92"/>
  </r>
  <r>
    <x v="148"/>
    <s v="601998"/>
    <s v="中信银行"/>
    <n v="3200"/>
    <n v="2800"/>
    <n v="6.0030000000000001"/>
    <n v="1142.02"/>
    <n v="5.95"/>
    <n v="20352"/>
    <n v="6.36"/>
  </r>
  <r>
    <x v="148"/>
    <s v="603116"/>
    <s v="红蜻蜓"/>
    <n v="4500"/>
    <n v="4500"/>
    <n v="17.189"/>
    <n v="-5486.54"/>
    <n v="-7.09"/>
    <n v="71865"/>
    <n v="15.97"/>
  </r>
  <r>
    <x v="148"/>
    <s v="000402"/>
    <s v="金 融 街"/>
    <n v="12200"/>
    <n v="12200"/>
    <n v="10.375999999999999"/>
    <n v="9807.77"/>
    <n v="7.75"/>
    <n v="136396"/>
    <n v="11.18"/>
  </r>
  <r>
    <x v="148"/>
    <s v="000415"/>
    <s v="渤海金控"/>
    <n v="4800"/>
    <n v="4800"/>
    <n v="6.0410000000000004"/>
    <n v="-771.47"/>
    <n v="-2.66"/>
    <n v="28224"/>
    <n v="5.88"/>
  </r>
  <r>
    <x v="148"/>
    <s v="000528"/>
    <s v="柳    工"/>
    <n v="10550"/>
    <n v="10550"/>
    <n v="8.6720000000000006"/>
    <n v="-7089.35"/>
    <n v="-7.75"/>
    <n v="84400"/>
    <n v="8"/>
  </r>
  <r>
    <x v="148"/>
    <s v="000987"/>
    <s v="越秀金控"/>
    <n v="100"/>
    <n v="100"/>
    <n v="10.987"/>
    <n v="29.3"/>
    <n v="2.67"/>
    <n v="1128"/>
    <n v="11.28"/>
  </r>
  <r>
    <x v="148"/>
    <s v="002006"/>
    <s v="精功科技"/>
    <n v="2700"/>
    <n v="2700"/>
    <n v="7.298"/>
    <n v="-994.32"/>
    <n v="-5.04"/>
    <n v="18711"/>
    <n v="6.93"/>
  </r>
  <r>
    <x v="148"/>
    <s v="002140"/>
    <s v="东华科技"/>
    <n v="10100"/>
    <n v="10100"/>
    <n v="12.294"/>
    <n v="-10540.48"/>
    <n v="-8.49"/>
    <n v="113625"/>
    <n v="11.25"/>
  </r>
  <r>
    <x v="148"/>
    <s v="300701"/>
    <s v="森霸股份"/>
    <n v="100"/>
    <n v="100"/>
    <n v="-130.48500000000001"/>
    <n v="16816.5"/>
    <n v="0"/>
    <n v="3768"/>
    <n v="37.68"/>
  </r>
  <r>
    <x v="148"/>
    <s v="reserve"/>
    <s v="备用金"/>
    <m/>
    <m/>
    <m/>
    <m/>
    <m/>
    <n v="23462.58"/>
    <m/>
  </r>
  <r>
    <x v="149"/>
    <s v="519888"/>
    <s v="添富快线"/>
    <n v="26485"/>
    <n v="26485"/>
    <n v="-9.2999999999999999E-2"/>
    <n v="2727.9549999999999"/>
    <n v="0"/>
    <n v="264.85000000000002"/>
    <n v="0.01"/>
  </r>
  <r>
    <x v="149"/>
    <s v="600269"/>
    <s v="赣粤高速"/>
    <n v="3500"/>
    <n v="3500"/>
    <n v="5.3070000000000004"/>
    <n v="-443.52"/>
    <n v="-2.39"/>
    <n v="18130"/>
    <n v="5.18"/>
  </r>
  <r>
    <x v="149"/>
    <s v="601398"/>
    <s v="工商银行"/>
    <n v="100"/>
    <n v="100"/>
    <n v="-53.579000000000001"/>
    <n v="5946.9"/>
    <n v="0"/>
    <n v="589"/>
    <n v="5.89"/>
  </r>
  <r>
    <x v="149"/>
    <s v="601998"/>
    <s v="中信银行"/>
    <n v="3200"/>
    <n v="3200"/>
    <n v="6.0030000000000001"/>
    <n v="1238.02"/>
    <n v="6.45"/>
    <n v="20448"/>
    <n v="6.39"/>
  </r>
  <r>
    <x v="149"/>
    <s v="603116"/>
    <s v="红蜻蜓"/>
    <n v="4500"/>
    <n v="4500"/>
    <n v="17.189"/>
    <n v="-5081.54"/>
    <n v="-6.57"/>
    <n v="72270"/>
    <n v="16.059999999999999"/>
  </r>
  <r>
    <x v="149"/>
    <s v="000402"/>
    <s v="金 融 街"/>
    <n v="12200"/>
    <n v="12200"/>
    <n v="10.375999999999999"/>
    <n v="10173.77"/>
    <n v="8.0399999999999991"/>
    <n v="136762"/>
    <n v="11.21"/>
  </r>
  <r>
    <x v="149"/>
    <s v="000415"/>
    <s v="渤海金控"/>
    <n v="4800"/>
    <n v="4800"/>
    <n v="6.0410000000000004"/>
    <n v="-483.47"/>
    <n v="-1.67"/>
    <n v="28512"/>
    <n v="5.94"/>
  </r>
  <r>
    <x v="149"/>
    <s v="000528"/>
    <s v="柳    工"/>
    <n v="10550"/>
    <n v="10550"/>
    <n v="8.6720000000000006"/>
    <n v="-6245.35"/>
    <n v="-6.83"/>
    <n v="85244"/>
    <n v="8.08"/>
  </r>
  <r>
    <x v="149"/>
    <s v="000987"/>
    <s v="越秀金控"/>
    <n v="100"/>
    <n v="100"/>
    <n v="10.987"/>
    <n v="39.299999999999997"/>
    <n v="3.58"/>
    <n v="1138"/>
    <n v="11.38"/>
  </r>
  <r>
    <x v="149"/>
    <s v="002006"/>
    <s v="精功科技"/>
    <n v="2700"/>
    <n v="2700"/>
    <n v="7.298"/>
    <n v="-805.32"/>
    <n v="-4.08"/>
    <n v="18900"/>
    <n v="7"/>
  </r>
  <r>
    <x v="149"/>
    <s v="002140"/>
    <s v="东华科技"/>
    <n v="10100"/>
    <n v="10100"/>
    <n v="12.294"/>
    <n v="-10641.48"/>
    <n v="-8.57"/>
    <n v="113524"/>
    <n v="11.24"/>
  </r>
  <r>
    <x v="149"/>
    <s v="300701"/>
    <s v="森霸股份"/>
    <n v="100"/>
    <n v="100"/>
    <n v="-130.48500000000001"/>
    <n v="16851.5"/>
    <n v="0"/>
    <n v="3803"/>
    <n v="38.03"/>
  </r>
  <r>
    <x v="149"/>
    <s v="reserve"/>
    <s v="备用金"/>
    <m/>
    <m/>
    <m/>
    <m/>
    <m/>
    <n v="23462.58"/>
    <m/>
  </r>
  <r>
    <x v="150"/>
    <s v="519888"/>
    <s v="添富快线"/>
    <n v="26487"/>
    <n v="26487"/>
    <n v="-9.2999999999999999E-2"/>
    <n v="2728.1610000000001"/>
    <n v="0"/>
    <n v="264.87"/>
    <n v="0.01"/>
  </r>
  <r>
    <x v="150"/>
    <s v="600269"/>
    <s v="赣粤高速"/>
    <n v="3500"/>
    <n v="3500"/>
    <n v="5.3070000000000004"/>
    <n v="-478.52"/>
    <n v="-2.58"/>
    <n v="18095"/>
    <n v="5.17"/>
  </r>
  <r>
    <x v="150"/>
    <s v="601398"/>
    <s v="工商银行"/>
    <n v="100"/>
    <n v="100"/>
    <n v="-53.579000000000001"/>
    <n v="5946.9"/>
    <n v="0"/>
    <n v="589"/>
    <n v="5.89"/>
  </r>
  <r>
    <x v="150"/>
    <s v="601998"/>
    <s v="中信银行"/>
    <n v="2800"/>
    <n v="2800"/>
    <n v="5.9390000000000001"/>
    <n v="1402.38"/>
    <n v="8.44"/>
    <n v="18032"/>
    <n v="6.44"/>
  </r>
  <r>
    <x v="150"/>
    <s v="603116"/>
    <s v="红蜻蜓"/>
    <n v="4500"/>
    <n v="4500"/>
    <n v="17.189"/>
    <n v="-6116.54"/>
    <n v="-7.91"/>
    <n v="71235"/>
    <n v="15.83"/>
  </r>
  <r>
    <x v="150"/>
    <s v="000402"/>
    <s v="金 融 街"/>
    <n v="12600"/>
    <n v="12200"/>
    <n v="10.398999999999999"/>
    <n v="8834.77"/>
    <n v="6.74"/>
    <n v="139860"/>
    <n v="11.1"/>
  </r>
  <r>
    <x v="150"/>
    <s v="000415"/>
    <s v="渤海金控"/>
    <n v="4800"/>
    <n v="4800"/>
    <n v="6.0410000000000004"/>
    <n v="-1539.47"/>
    <n v="-5.31"/>
    <n v="27456"/>
    <n v="5.72"/>
  </r>
  <r>
    <x v="150"/>
    <s v="000528"/>
    <s v="柳    工"/>
    <n v="10550"/>
    <n v="10550"/>
    <n v="8.6720000000000006"/>
    <n v="-6561.85"/>
    <n v="-7.17"/>
    <n v="84927.5"/>
    <n v="8.0500000000000007"/>
  </r>
  <r>
    <x v="150"/>
    <s v="000987"/>
    <s v="越秀金控"/>
    <n v="100"/>
    <n v="100"/>
    <n v="10.987"/>
    <n v="17.3"/>
    <n v="1.58"/>
    <n v="1116"/>
    <n v="11.16"/>
  </r>
  <r>
    <x v="150"/>
    <s v="002006"/>
    <s v="精功科技"/>
    <n v="2300"/>
    <n v="2300"/>
    <n v="7.3049999999999997"/>
    <n v="-57.23"/>
    <n v="-0.34"/>
    <n v="16744"/>
    <n v="7.28"/>
  </r>
  <r>
    <x v="150"/>
    <s v="002140"/>
    <s v="东华科技"/>
    <n v="10100"/>
    <n v="10100"/>
    <n v="12.294"/>
    <n v="-12661.48"/>
    <n v="-10.199999999999999"/>
    <n v="111504"/>
    <n v="11.04"/>
  </r>
  <r>
    <x v="150"/>
    <s v="300701"/>
    <s v="森霸股份"/>
    <n v="100"/>
    <n v="100"/>
    <n v="-130.48500000000001"/>
    <n v="16510.5"/>
    <n v="0"/>
    <n v="3462"/>
    <n v="34.619999999999997"/>
  </r>
  <r>
    <x v="150"/>
    <s v="reserve"/>
    <s v="备用金"/>
    <m/>
    <m/>
    <m/>
    <m/>
    <m/>
    <n v="24510.03"/>
    <m/>
  </r>
  <r>
    <x v="151"/>
    <s v="519888"/>
    <s v="添富快线"/>
    <n v="26496"/>
    <n v="26496"/>
    <n v="-9.2999999999999999E-2"/>
    <n v="2729.0880000000002"/>
    <n v="0"/>
    <n v="264.95999999999998"/>
    <n v="0.01"/>
  </r>
  <r>
    <x v="151"/>
    <s v="600269"/>
    <s v="赣粤高速"/>
    <n v="3500"/>
    <n v="3500"/>
    <n v="5.3070000000000004"/>
    <n v="-583.52"/>
    <n v="-3.15"/>
    <n v="17990"/>
    <n v="5.14"/>
  </r>
  <r>
    <x v="151"/>
    <s v="601398"/>
    <s v="工商银行"/>
    <n v="100"/>
    <n v="100"/>
    <n v="-53.579000000000001"/>
    <n v="5957.9"/>
    <n v="0"/>
    <n v="600"/>
    <n v="6"/>
  </r>
  <r>
    <x v="151"/>
    <s v="601998"/>
    <s v="中信银行"/>
    <n v="2800"/>
    <n v="2800"/>
    <n v="5.9390000000000001"/>
    <n v="1598.38"/>
    <n v="9.6199999999999992"/>
    <n v="18228"/>
    <n v="6.51"/>
  </r>
  <r>
    <x v="151"/>
    <s v="603116"/>
    <s v="红蜻蜓"/>
    <n v="5500"/>
    <n v="5500"/>
    <n v="16.844999999999999"/>
    <n v="-9431.84"/>
    <n v="-10.18"/>
    <n v="83215"/>
    <n v="15.13"/>
  </r>
  <r>
    <x v="151"/>
    <s v="000402"/>
    <s v="金 融 街"/>
    <n v="12200"/>
    <n v="12200"/>
    <n v="10.372999999999999"/>
    <n v="9845.2900000000009"/>
    <n v="7.78"/>
    <n v="136396"/>
    <n v="11.18"/>
  </r>
  <r>
    <x v="151"/>
    <s v="000415"/>
    <s v="渤海金控"/>
    <n v="5300"/>
    <n v="5300"/>
    <n v="6.0039999999999996"/>
    <n v="-2087.4699999999998"/>
    <n v="-6.56"/>
    <n v="29733"/>
    <n v="5.61"/>
  </r>
  <r>
    <x v="151"/>
    <s v="000528"/>
    <s v="柳    工"/>
    <n v="11050"/>
    <n v="11050"/>
    <n v="8.6340000000000003"/>
    <n v="-8882.85"/>
    <n v="-9.31"/>
    <n v="86521.5"/>
    <n v="7.83"/>
  </r>
  <r>
    <x v="151"/>
    <s v="000987"/>
    <s v="越秀金控"/>
    <n v="100"/>
    <n v="100"/>
    <n v="10.987"/>
    <n v="-13.7"/>
    <n v="-1.25"/>
    <n v="1085"/>
    <n v="10.85"/>
  </r>
  <r>
    <x v="151"/>
    <s v="002006"/>
    <s v="精功科技"/>
    <n v="2300"/>
    <n v="2300"/>
    <n v="7.3049999999999997"/>
    <n v="-586.23"/>
    <n v="-3.49"/>
    <n v="16215"/>
    <n v="7.05"/>
  </r>
  <r>
    <x v="151"/>
    <s v="002140"/>
    <s v="东华科技"/>
    <n v="10600"/>
    <n v="10600"/>
    <n v="12.228999999999999"/>
    <n v="-16740.48"/>
    <n v="-12.91"/>
    <n v="112890"/>
    <n v="10.65"/>
  </r>
  <r>
    <x v="151"/>
    <s v="300701"/>
    <s v="森霸股份"/>
    <n v="100"/>
    <n v="100"/>
    <n v="-130.48500000000001"/>
    <n v="16309.5"/>
    <n v="0"/>
    <n v="3261"/>
    <n v="32.61"/>
  </r>
  <r>
    <x v="151"/>
    <s v="reserve"/>
    <s v="备用金"/>
    <m/>
    <m/>
    <m/>
    <m/>
    <m/>
    <n v="1484.25"/>
    <m/>
  </r>
  <r>
    <x v="152"/>
    <s v="519888"/>
    <s v="添富快线"/>
    <n v="26496"/>
    <n v="26496"/>
    <n v="-9.2999999999999999E-2"/>
    <n v="2729.0880000000002"/>
    <n v="0"/>
    <n v="264.95999999999998"/>
    <n v="0.01"/>
  </r>
  <r>
    <x v="152"/>
    <s v="600269"/>
    <s v="赣粤高速"/>
    <n v="3500"/>
    <n v="3500"/>
    <n v="5.3070000000000004"/>
    <n v="-618.52"/>
    <n v="-3.33"/>
    <n v="17955"/>
    <n v="5.13"/>
  </r>
  <r>
    <x v="152"/>
    <s v="601398"/>
    <s v="工商银行"/>
    <n v="100"/>
    <n v="100"/>
    <n v="-53.579000000000001"/>
    <n v="5954.9"/>
    <n v="0"/>
    <n v="597"/>
    <n v="5.97"/>
  </r>
  <r>
    <x v="152"/>
    <s v="601998"/>
    <s v="中信银行"/>
    <n v="2800"/>
    <n v="2800"/>
    <n v="5.9390000000000001"/>
    <n v="1290.3800000000001"/>
    <n v="7.76"/>
    <n v="17920"/>
    <n v="6.4"/>
  </r>
  <r>
    <x v="152"/>
    <s v="603116"/>
    <s v="红蜻蜓"/>
    <n v="5500"/>
    <n v="5500"/>
    <n v="16.844999999999999"/>
    <n v="-8936.84"/>
    <n v="-9.65"/>
    <n v="83710"/>
    <n v="15.22"/>
  </r>
  <r>
    <x v="152"/>
    <s v="000402"/>
    <s v="金 融 街"/>
    <n v="12200"/>
    <n v="12200"/>
    <n v="10.372999999999999"/>
    <n v="10089.290000000001"/>
    <n v="7.97"/>
    <n v="136640"/>
    <n v="11.2"/>
  </r>
  <r>
    <x v="152"/>
    <s v="000415"/>
    <s v="渤海金控"/>
    <n v="5300"/>
    <n v="5300"/>
    <n v="6.0039999999999996"/>
    <n v="-1822.47"/>
    <n v="-5.73"/>
    <n v="29998"/>
    <n v="5.66"/>
  </r>
  <r>
    <x v="152"/>
    <s v="000528"/>
    <s v="柳    工"/>
    <n v="11050"/>
    <n v="11050"/>
    <n v="8.6340000000000003"/>
    <n v="-7998.85"/>
    <n v="-8.3800000000000008"/>
    <n v="87405.5"/>
    <n v="7.91"/>
  </r>
  <r>
    <x v="152"/>
    <s v="000987"/>
    <s v="越秀金控"/>
    <n v="600"/>
    <n v="100"/>
    <n v="10.680999999999999"/>
    <n v="-0.7"/>
    <n v="-0.01"/>
    <n v="6408"/>
    <n v="10.68"/>
  </r>
  <r>
    <x v="152"/>
    <s v="002006"/>
    <s v="精功科技"/>
    <n v="2300"/>
    <n v="2300"/>
    <n v="7.3049999999999997"/>
    <n v="-333.23"/>
    <n v="-1.98"/>
    <n v="16468"/>
    <n v="7.16"/>
  </r>
  <r>
    <x v="152"/>
    <s v="002140"/>
    <s v="东华科技"/>
    <n v="11100"/>
    <n v="10600"/>
    <n v="12.154"/>
    <n v="-16135.48"/>
    <n v="-11.96"/>
    <n v="118770"/>
    <n v="10.7"/>
  </r>
  <r>
    <x v="152"/>
    <s v="300701"/>
    <s v="森霸股份"/>
    <n v="100"/>
    <n v="100"/>
    <n v="-130.48500000000001"/>
    <n v="16458.5"/>
    <n v="0"/>
    <n v="3410"/>
    <n v="34.1"/>
  </r>
  <r>
    <x v="152"/>
    <s v="reserve"/>
    <s v="备用金"/>
    <m/>
    <m/>
    <m/>
    <m/>
    <m/>
    <n v="40899.25"/>
    <m/>
  </r>
  <r>
    <x v="153"/>
    <s v="519888"/>
    <s v="添富快线"/>
    <n v="26498"/>
    <n v="26498"/>
    <n v="-9.2999999999999999E-2"/>
    <n v="2729.2939999999999"/>
    <n v="0"/>
    <n v="264.98"/>
    <n v="0.01"/>
  </r>
  <r>
    <x v="153"/>
    <s v="600269"/>
    <s v="赣粤高速"/>
    <n v="3500"/>
    <n v="3500"/>
    <n v="5.3070000000000004"/>
    <n v="-583.52"/>
    <n v="-3.15"/>
    <n v="17990"/>
    <n v="5.14"/>
  </r>
  <r>
    <x v="153"/>
    <s v="601398"/>
    <s v="工商银行"/>
    <n v="100"/>
    <n v="100"/>
    <n v="-53.579000000000001"/>
    <n v="5947.9"/>
    <n v="0"/>
    <n v="590"/>
    <n v="5.9"/>
  </r>
  <r>
    <x v="153"/>
    <s v="601998"/>
    <s v="中信银行"/>
    <n v="2800"/>
    <n v="2800"/>
    <n v="5.9390000000000001"/>
    <n v="1290.3800000000001"/>
    <n v="7.76"/>
    <n v="17920"/>
    <n v="6.4"/>
  </r>
  <r>
    <x v="153"/>
    <s v="603116"/>
    <s v="红蜻蜓"/>
    <n v="5500"/>
    <n v="5500"/>
    <n v="16.844999999999999"/>
    <n v="-9321.84"/>
    <n v="-10.06"/>
    <n v="83325"/>
    <n v="15.15"/>
  </r>
  <r>
    <x v="153"/>
    <s v="000402"/>
    <s v="金 融 街"/>
    <n v="12200"/>
    <n v="12200"/>
    <n v="10.372999999999999"/>
    <n v="10089.290000000001"/>
    <n v="7.97"/>
    <n v="136640"/>
    <n v="11.2"/>
  </r>
  <r>
    <x v="153"/>
    <s v="000415"/>
    <s v="渤海金控"/>
    <n v="5800"/>
    <n v="5300"/>
    <n v="5.96"/>
    <n v="-2607.4699999999998"/>
    <n v="-7.55"/>
    <n v="31958"/>
    <n v="5.51"/>
  </r>
  <r>
    <x v="153"/>
    <s v="000528"/>
    <s v="柳    工"/>
    <n v="11050"/>
    <n v="11050"/>
    <n v="8.6340000000000003"/>
    <n v="-9103.85"/>
    <n v="-9.5399999999999991"/>
    <n v="86300.5"/>
    <n v="7.81"/>
  </r>
  <r>
    <x v="153"/>
    <s v="000987"/>
    <s v="越秀金控"/>
    <n v="600"/>
    <n v="600"/>
    <n v="10.680999999999999"/>
    <n v="-120.7"/>
    <n v="-1.88"/>
    <n v="6288"/>
    <n v="10.48"/>
  </r>
  <r>
    <x v="153"/>
    <s v="002006"/>
    <s v="精功科技"/>
    <n v="2300"/>
    <n v="2300"/>
    <n v="7.3049999999999997"/>
    <n v="-149.22999999999999"/>
    <n v="-0.89"/>
    <n v="16652"/>
    <n v="7.24"/>
  </r>
  <r>
    <x v="153"/>
    <s v="002140"/>
    <s v="东华科技"/>
    <n v="11100"/>
    <n v="11100"/>
    <n v="12.154"/>
    <n v="-16579.48"/>
    <n v="-12.29"/>
    <n v="118326"/>
    <n v="10.66"/>
  </r>
  <r>
    <x v="153"/>
    <s v="300701"/>
    <s v="森霸股份"/>
    <n v="100"/>
    <n v="100"/>
    <n v="-130.48500000000001"/>
    <n v="16628.5"/>
    <n v="0"/>
    <n v="3580"/>
    <n v="35.799999999999997"/>
  </r>
  <r>
    <x v="153"/>
    <s v="reserve"/>
    <s v="备用金"/>
    <m/>
    <m/>
    <m/>
    <m/>
    <m/>
    <n v="38154.25"/>
    <m/>
  </r>
  <r>
    <x v="154"/>
    <s v="519888"/>
    <s v="添富快线"/>
    <n v="26500"/>
    <n v="26500"/>
    <n v="-9.2999999999999999E-2"/>
    <n v="2729.5"/>
    <n v="0"/>
    <n v="265"/>
    <n v="0.01"/>
  </r>
  <r>
    <x v="154"/>
    <s v="600269"/>
    <s v="赣粤高速"/>
    <n v="3500"/>
    <n v="3500"/>
    <n v="5.3070000000000004"/>
    <n v="-478.52"/>
    <n v="-2.58"/>
    <n v="18095"/>
    <n v="5.17"/>
  </r>
  <r>
    <x v="154"/>
    <s v="601398"/>
    <s v="工商银行"/>
    <n v="100"/>
    <n v="100"/>
    <n v="-53.579000000000001"/>
    <n v="5945.9"/>
    <n v="0"/>
    <n v="588"/>
    <n v="5.88"/>
  </r>
  <r>
    <x v="154"/>
    <s v="601998"/>
    <s v="中信银行"/>
    <n v="2800"/>
    <n v="2800"/>
    <n v="5.9390000000000001"/>
    <n v="1150.3800000000001"/>
    <n v="6.92"/>
    <n v="17780"/>
    <n v="6.35"/>
  </r>
  <r>
    <x v="154"/>
    <s v="603116"/>
    <s v="红蜻蜓"/>
    <n v="5500"/>
    <n v="5100"/>
    <n v="16.844999999999999"/>
    <n v="-8276.84"/>
    <n v="-8.93"/>
    <n v="84370"/>
    <n v="15.34"/>
  </r>
  <r>
    <x v="154"/>
    <s v="000402"/>
    <s v="金 融 街"/>
    <n v="12200"/>
    <n v="12200"/>
    <n v="10.372999999999999"/>
    <n v="9723.2900000000009"/>
    <n v="7.68"/>
    <n v="136274"/>
    <n v="11.17"/>
  </r>
  <r>
    <x v="154"/>
    <s v="000415"/>
    <s v="渤海金控"/>
    <n v="5800"/>
    <n v="5800"/>
    <n v="5.96"/>
    <n v="-1215.47"/>
    <n v="-3.52"/>
    <n v="33350"/>
    <n v="5.75"/>
  </r>
  <r>
    <x v="154"/>
    <s v="000528"/>
    <s v="柳    工"/>
    <n v="11050"/>
    <n v="11050"/>
    <n v="8.6340000000000003"/>
    <n v="-8219.85"/>
    <n v="-8.6199999999999992"/>
    <n v="87184.5"/>
    <n v="7.89"/>
  </r>
  <r>
    <x v="154"/>
    <s v="000987"/>
    <s v="越秀金控"/>
    <n v="600"/>
    <n v="600"/>
    <n v="10.680999999999999"/>
    <n v="-36.700000000000003"/>
    <n v="-0.56999999999999995"/>
    <n v="6372"/>
    <n v="10.62"/>
  </r>
  <r>
    <x v="154"/>
    <s v="002006"/>
    <s v="精功科技"/>
    <n v="1900"/>
    <n v="1900"/>
    <n v="7.2930000000000001"/>
    <n v="12.82"/>
    <n v="0.1"/>
    <n v="13870"/>
    <n v="7.3"/>
  </r>
  <r>
    <x v="154"/>
    <s v="002140"/>
    <s v="东华科技"/>
    <n v="10700"/>
    <n v="10700"/>
    <n v="12.205"/>
    <n v="-15038.8"/>
    <n v="-11.51"/>
    <n v="115560"/>
    <n v="10.8"/>
  </r>
  <r>
    <x v="154"/>
    <s v="300701"/>
    <s v="森霸股份"/>
    <n v="100"/>
    <n v="100"/>
    <n v="-130.48500000000001"/>
    <n v="16665.5"/>
    <n v="0"/>
    <n v="3617"/>
    <n v="36.17"/>
  </r>
  <r>
    <x v="154"/>
    <s v="reserve"/>
    <s v="备用金"/>
    <m/>
    <m/>
    <m/>
    <m/>
    <m/>
    <n v="45404.98"/>
    <m/>
  </r>
  <r>
    <x v="155"/>
    <s v="519888"/>
    <s v="添富快线"/>
    <n v="26503"/>
    <n v="26503"/>
    <n v="-9.2999999999999999E-2"/>
    <n v="2729.8090000000002"/>
    <n v="0"/>
    <n v="265.02999999999997"/>
    <n v="0.01"/>
  </r>
  <r>
    <x v="155"/>
    <s v="600269"/>
    <s v="赣粤高速"/>
    <n v="3500"/>
    <n v="3500"/>
    <n v="5.3070000000000004"/>
    <n v="-443.52"/>
    <n v="-2.39"/>
    <n v="18130"/>
    <n v="5.18"/>
  </r>
  <r>
    <x v="155"/>
    <s v="601398"/>
    <s v="工商银行"/>
    <n v="100"/>
    <n v="100"/>
    <n v="-53.579000000000001"/>
    <n v="5946.9"/>
    <n v="0"/>
    <n v="589"/>
    <n v="5.89"/>
  </r>
  <r>
    <x v="155"/>
    <s v="601998"/>
    <s v="中信银行"/>
    <n v="2800"/>
    <n v="2800"/>
    <n v="5.9390000000000001"/>
    <n v="1178.3800000000001"/>
    <n v="7.09"/>
    <n v="17808"/>
    <n v="6.36"/>
  </r>
  <r>
    <x v="155"/>
    <s v="603116"/>
    <s v="红蜻蜓"/>
    <n v="5100"/>
    <n v="5100"/>
    <n v="16.952999999999999"/>
    <n v="-7612.16"/>
    <n v="-8.81"/>
    <n v="78846"/>
    <n v="15.46"/>
  </r>
  <r>
    <x v="155"/>
    <s v="000402"/>
    <s v="金 融 街"/>
    <n v="12200"/>
    <n v="12200"/>
    <n v="10.372999999999999"/>
    <n v="10089.290000000001"/>
    <n v="7.97"/>
    <n v="136640"/>
    <n v="11.2"/>
  </r>
  <r>
    <x v="155"/>
    <s v="000415"/>
    <s v="渤海金控"/>
    <n v="5400"/>
    <n v="5400"/>
    <n v="5.9820000000000002"/>
    <n v="-1520.74"/>
    <n v="-4.71"/>
    <n v="30780"/>
    <n v="5.7"/>
  </r>
  <r>
    <x v="155"/>
    <s v="000528"/>
    <s v="柳    工"/>
    <n v="10250"/>
    <n v="10250"/>
    <n v="8.6839999999999993"/>
    <n v="-6496.26"/>
    <n v="-7.3"/>
    <n v="82512.5"/>
    <n v="8.0500000000000007"/>
  </r>
  <r>
    <x v="155"/>
    <s v="000987"/>
    <s v="越秀金控"/>
    <n v="600"/>
    <n v="600"/>
    <n v="10.680999999999999"/>
    <n v="17.3"/>
    <n v="0.27"/>
    <n v="6426"/>
    <n v="10.71"/>
  </r>
  <r>
    <x v="155"/>
    <s v="002006"/>
    <s v="精功科技"/>
    <n v="1900"/>
    <n v="1900"/>
    <n v="7.2930000000000001"/>
    <n v="145.82"/>
    <n v="1.06"/>
    <n v="14003"/>
    <n v="7.37"/>
  </r>
  <r>
    <x v="155"/>
    <s v="002140"/>
    <s v="东华科技"/>
    <n v="10700"/>
    <n v="10700"/>
    <n v="12.205"/>
    <n v="-13968.8"/>
    <n v="-10.69"/>
    <n v="116630"/>
    <n v="10.9"/>
  </r>
  <r>
    <x v="155"/>
    <s v="300701"/>
    <s v="森霸股份"/>
    <n v="100"/>
    <n v="100"/>
    <n v="-130.48500000000001"/>
    <n v="16704.5"/>
    <n v="0"/>
    <n v="3656"/>
    <n v="36.56"/>
  </r>
  <r>
    <x v="155"/>
    <s v="reserve"/>
    <s v="备用金"/>
    <m/>
    <m/>
    <m/>
    <m/>
    <m/>
    <n v="60253.98"/>
    <m/>
  </r>
  <r>
    <x v="156"/>
    <s v="519888"/>
    <s v="添富快线"/>
    <n v="26509"/>
    <n v="26509"/>
    <n v="-9.2999999999999999E-2"/>
    <n v="2730.4270000000001"/>
    <n v="0"/>
    <n v="265.08999999999997"/>
    <n v="0.01"/>
  </r>
  <r>
    <x v="156"/>
    <s v="600269"/>
    <s v="赣粤高速"/>
    <n v="3500"/>
    <n v="3500"/>
    <n v="5.3070000000000004"/>
    <n v="-583.52"/>
    <n v="-3.15"/>
    <n v="17990"/>
    <n v="5.14"/>
  </r>
  <r>
    <x v="156"/>
    <s v="601398"/>
    <s v="工商银行"/>
    <n v="100"/>
    <n v="100"/>
    <n v="-53.579000000000001"/>
    <n v="5941.9"/>
    <n v="0"/>
    <n v="584"/>
    <n v="5.84"/>
  </r>
  <r>
    <x v="156"/>
    <s v="601998"/>
    <s v="中信银行"/>
    <n v="2800"/>
    <n v="2800"/>
    <n v="5.9390000000000001"/>
    <n v="842.38"/>
    <n v="5.07"/>
    <n v="17472"/>
    <n v="6.24"/>
  </r>
  <r>
    <x v="156"/>
    <s v="603116"/>
    <s v="红蜻蜓"/>
    <n v="5100"/>
    <n v="5100"/>
    <n v="16.952999999999999"/>
    <n v="-9040.16"/>
    <n v="-10.46"/>
    <n v="77418"/>
    <n v="15.18"/>
  </r>
  <r>
    <x v="156"/>
    <s v="000402"/>
    <s v="金 融 街"/>
    <n v="12200"/>
    <n v="12200"/>
    <n v="10.372999999999999"/>
    <n v="8625.2900000000009"/>
    <n v="6.82"/>
    <n v="135176"/>
    <n v="11.08"/>
  </r>
  <r>
    <x v="156"/>
    <s v="000415"/>
    <s v="渤海金控"/>
    <n v="5400"/>
    <n v="5400"/>
    <n v="5.9820000000000002"/>
    <n v="-1574.74"/>
    <n v="-4.88"/>
    <n v="30726"/>
    <n v="5.69"/>
  </r>
  <r>
    <x v="156"/>
    <s v="000528"/>
    <s v="柳    工"/>
    <n v="10250"/>
    <n v="10250"/>
    <n v="8.6839999999999993"/>
    <n v="-7828.76"/>
    <n v="-8.8000000000000007"/>
    <n v="81180"/>
    <n v="7.92"/>
  </r>
  <r>
    <x v="156"/>
    <s v="000987"/>
    <s v="越秀金控"/>
    <n v="600"/>
    <n v="600"/>
    <n v="10.680999999999999"/>
    <n v="-60.7"/>
    <n v="-0.94"/>
    <n v="6348"/>
    <n v="10.58"/>
  </r>
  <r>
    <x v="156"/>
    <s v="002006"/>
    <s v="精功科技"/>
    <n v="1900"/>
    <n v="1900"/>
    <n v="7.2930000000000001"/>
    <n v="-348.18"/>
    <n v="-2.5099999999999998"/>
    <n v="13509"/>
    <n v="7.11"/>
  </r>
  <r>
    <x v="156"/>
    <s v="002140"/>
    <s v="东华科技"/>
    <n v="10700"/>
    <n v="10300"/>
    <n v="12.205"/>
    <n v="-14503.8"/>
    <n v="-11.1"/>
    <n v="116095"/>
    <n v="10.85"/>
  </r>
  <r>
    <x v="156"/>
    <s v="300701"/>
    <s v="森霸股份"/>
    <n v="100"/>
    <n v="100"/>
    <n v="-130.48500000000001"/>
    <n v="16513.5"/>
    <n v="0"/>
    <n v="3465"/>
    <n v="34.65"/>
  </r>
  <r>
    <x v="156"/>
    <s v="370433"/>
    <s v="蓝思发债"/>
    <n v="0"/>
    <n v="0"/>
    <n v="100"/>
    <n v="0"/>
    <n v="0"/>
    <n v="0"/>
    <n v="100"/>
  </r>
  <r>
    <x v="156"/>
    <s v="reserve"/>
    <s v="备用金"/>
    <m/>
    <m/>
    <m/>
    <m/>
    <m/>
    <n v="60253.98"/>
    <m/>
  </r>
  <r>
    <x v="157"/>
    <s v="519888"/>
    <s v="添富快线"/>
    <n v="26512"/>
    <n v="26512"/>
    <n v="-9.2999999999999999E-2"/>
    <n v="2730.7359999999999"/>
    <n v="0"/>
    <n v="265.12"/>
    <n v="0.01"/>
  </r>
  <r>
    <x v="157"/>
    <s v="600269"/>
    <s v="赣粤高速"/>
    <n v="3500"/>
    <n v="3500"/>
    <n v="5.3070000000000004"/>
    <n v="-548.52"/>
    <n v="-2.96"/>
    <n v="18025"/>
    <n v="5.15"/>
  </r>
  <r>
    <x v="157"/>
    <s v="601398"/>
    <s v="工商银行"/>
    <n v="100"/>
    <n v="100"/>
    <n v="-53.579000000000001"/>
    <n v="5947.9"/>
    <n v="0"/>
    <n v="590"/>
    <n v="5.9"/>
  </r>
  <r>
    <x v="157"/>
    <s v="601998"/>
    <s v="中信银行"/>
    <n v="2800"/>
    <n v="2800"/>
    <n v="5.9390000000000001"/>
    <n v="898.38"/>
    <n v="5.41"/>
    <n v="17528"/>
    <n v="6.26"/>
  </r>
  <r>
    <x v="157"/>
    <s v="603116"/>
    <s v="红蜻蜓"/>
    <n v="5100"/>
    <n v="5100"/>
    <n v="16.952999999999999"/>
    <n v="-7969.16"/>
    <n v="-9.2200000000000006"/>
    <n v="78489"/>
    <n v="15.39"/>
  </r>
  <r>
    <x v="157"/>
    <s v="000402"/>
    <s v="金 融 街"/>
    <n v="12700"/>
    <n v="12200"/>
    <n v="10.4"/>
    <n v="8254.2900000000009"/>
    <n v="6.25"/>
    <n v="140335"/>
    <n v="11.05"/>
  </r>
  <r>
    <x v="157"/>
    <s v="000415"/>
    <s v="渤海金控"/>
    <n v="5000"/>
    <n v="5000"/>
    <n v="5.9980000000000002"/>
    <n v="-988.06"/>
    <n v="-3.3"/>
    <n v="29000"/>
    <n v="5.8"/>
  </r>
  <r>
    <x v="157"/>
    <s v="000528"/>
    <s v="柳    工"/>
    <n v="10250"/>
    <n v="10250"/>
    <n v="8.6839999999999993"/>
    <n v="-7008.76"/>
    <n v="-7.88"/>
    <n v="82000"/>
    <n v="8"/>
  </r>
  <r>
    <x v="157"/>
    <s v="000987"/>
    <s v="越秀金控"/>
    <n v="600"/>
    <n v="600"/>
    <n v="10.680999999999999"/>
    <n v="-72.7"/>
    <n v="-1.1299999999999999"/>
    <n v="6336"/>
    <n v="10.56"/>
  </r>
  <r>
    <x v="157"/>
    <s v="002006"/>
    <s v="精功科技"/>
    <n v="1900"/>
    <n v="1900"/>
    <n v="7.2930000000000001"/>
    <n v="-405.18"/>
    <n v="-2.92"/>
    <n v="13452"/>
    <n v="7.08"/>
  </r>
  <r>
    <x v="157"/>
    <s v="002140"/>
    <s v="东华科技"/>
    <n v="10300"/>
    <n v="10300"/>
    <n v="12.253"/>
    <n v="-12908.2"/>
    <n v="-10.23"/>
    <n v="113300"/>
    <n v="11"/>
  </r>
  <r>
    <x v="157"/>
    <s v="300701"/>
    <s v="森霸股份"/>
    <n v="100"/>
    <n v="100"/>
    <n v="-130.48500000000001"/>
    <n v="16708.5"/>
    <n v="0"/>
    <n v="3660"/>
    <n v="36.6"/>
  </r>
  <r>
    <x v="157"/>
    <s v="370433"/>
    <s v="蓝思发债"/>
    <n v="0"/>
    <n v="0"/>
    <n v="100"/>
    <n v="0"/>
    <n v="0"/>
    <n v="0"/>
    <n v="100"/>
  </r>
  <r>
    <x v="157"/>
    <s v="reserve"/>
    <s v="备用金"/>
    <m/>
    <m/>
    <m/>
    <m/>
    <m/>
    <n v="57427.26"/>
    <m/>
  </r>
  <r>
    <x v="158"/>
    <s v="519888"/>
    <s v="添富快线"/>
    <n v="26514"/>
    <n v="26514"/>
    <n v="-9.2999999999999999E-2"/>
    <n v="2730.942"/>
    <n v="0"/>
    <n v="265.14"/>
    <n v="0.01"/>
  </r>
  <r>
    <x v="158"/>
    <s v="600269"/>
    <s v="赣粤高速"/>
    <n v="3500"/>
    <n v="3500"/>
    <n v="5.3070000000000004"/>
    <n v="-583.52"/>
    <n v="-3.15"/>
    <n v="17990"/>
    <n v="5.14"/>
  </r>
  <r>
    <x v="158"/>
    <s v="601398"/>
    <s v="工商银行"/>
    <n v="100"/>
    <n v="100"/>
    <n v="-53.579000000000001"/>
    <n v="5946.9"/>
    <n v="0"/>
    <n v="589"/>
    <n v="5.89"/>
  </r>
  <r>
    <x v="158"/>
    <s v="601998"/>
    <s v="中信银行"/>
    <n v="2800"/>
    <n v="2800"/>
    <n v="5.9390000000000001"/>
    <n v="674.38"/>
    <n v="4.0599999999999996"/>
    <n v="17304"/>
    <n v="6.18"/>
  </r>
  <r>
    <x v="158"/>
    <s v="603116"/>
    <s v="红蜻蜓"/>
    <n v="5100"/>
    <n v="5100"/>
    <n v="16.952999999999999"/>
    <n v="-8122.16"/>
    <n v="-9.4"/>
    <n v="78336"/>
    <n v="15.36"/>
  </r>
  <r>
    <x v="158"/>
    <s v="000402"/>
    <s v="金 融 街"/>
    <n v="13200"/>
    <n v="12700"/>
    <n v="10.417999999999999"/>
    <n v="5572.29"/>
    <n v="4.05"/>
    <n v="143088"/>
    <n v="10.84"/>
  </r>
  <r>
    <x v="158"/>
    <s v="000415"/>
    <s v="渤海金控"/>
    <n v="5000"/>
    <n v="5000"/>
    <n v="5.9980000000000002"/>
    <n v="-838.06"/>
    <n v="-2.8"/>
    <n v="29150"/>
    <n v="5.83"/>
  </r>
  <r>
    <x v="158"/>
    <s v="000528"/>
    <s v="柳    工"/>
    <n v="9850"/>
    <n v="9450"/>
    <n v="8.7029999999999994"/>
    <n v="-5451.55"/>
    <n v="-6.35"/>
    <n v="80277.5"/>
    <n v="8.15"/>
  </r>
  <r>
    <x v="158"/>
    <s v="000987"/>
    <s v="越秀金控"/>
    <n v="600"/>
    <n v="600"/>
    <n v="10.680999999999999"/>
    <n v="-84.7"/>
    <n v="-1.32"/>
    <n v="6324"/>
    <n v="10.54"/>
  </r>
  <r>
    <x v="158"/>
    <s v="002006"/>
    <s v="精功科技"/>
    <n v="2400"/>
    <n v="1900"/>
    <n v="7.2279999999999998"/>
    <n v="-691.18"/>
    <n v="-3.98"/>
    <n v="16656"/>
    <n v="6.94"/>
  </r>
  <r>
    <x v="158"/>
    <s v="002140"/>
    <s v="东华科技"/>
    <n v="10300"/>
    <n v="10300"/>
    <n v="12.253"/>
    <n v="-12702.2"/>
    <n v="-10.06"/>
    <n v="113506"/>
    <n v="11.02"/>
  </r>
  <r>
    <x v="158"/>
    <s v="300701"/>
    <s v="森霸股份"/>
    <n v="100"/>
    <n v="100"/>
    <n v="-130.48500000000001"/>
    <n v="16757.5"/>
    <n v="0"/>
    <n v="3709"/>
    <n v="37.090000000000003"/>
  </r>
  <r>
    <x v="158"/>
    <s v="370433"/>
    <s v="蓝思发债"/>
    <n v="40"/>
    <n v="0"/>
    <n v="100"/>
    <n v="0"/>
    <n v="0"/>
    <n v="4000"/>
    <n v="100"/>
  </r>
  <r>
    <x v="158"/>
    <s v="reserve"/>
    <s v="备用金"/>
    <m/>
    <m/>
    <m/>
    <m/>
    <m/>
    <n v="51781.97"/>
    <m/>
  </r>
  <r>
    <x v="159"/>
    <s v="519888"/>
    <s v="添富快线"/>
    <n v="26517"/>
    <n v="26517"/>
    <n v="-9.2999999999999999E-2"/>
    <n v="2731.2510000000002"/>
    <n v="0"/>
    <n v="265.17"/>
    <n v="0.01"/>
  </r>
  <r>
    <x v="159"/>
    <s v="600269"/>
    <s v="赣粤高速"/>
    <n v="3500"/>
    <n v="3500"/>
    <n v="5.3070000000000004"/>
    <n v="-688.52"/>
    <n v="-3.71"/>
    <n v="17885"/>
    <n v="5.1100000000000003"/>
  </r>
  <r>
    <x v="159"/>
    <s v="601398"/>
    <s v="工商银行"/>
    <n v="100"/>
    <n v="100"/>
    <n v="-53.579000000000001"/>
    <n v="5943.9"/>
    <n v="0"/>
    <n v="586"/>
    <n v="5.86"/>
  </r>
  <r>
    <x v="159"/>
    <s v="601998"/>
    <s v="中信银行"/>
    <n v="2800"/>
    <n v="2800"/>
    <n v="5.9390000000000001"/>
    <n v="506.38"/>
    <n v="3.05"/>
    <n v="17136"/>
    <n v="6.12"/>
  </r>
  <r>
    <x v="159"/>
    <s v="603116"/>
    <s v="红蜻蜓"/>
    <n v="5100"/>
    <n v="5100"/>
    <n v="16.952999999999999"/>
    <n v="-8071.16"/>
    <n v="-9.34"/>
    <n v="78387"/>
    <n v="15.37"/>
  </r>
  <r>
    <x v="159"/>
    <s v="000402"/>
    <s v="金 融 街"/>
    <n v="13700"/>
    <n v="13200"/>
    <n v="10.43"/>
    <n v="4252.29"/>
    <n v="2.97"/>
    <n v="147138"/>
    <n v="10.74"/>
  </r>
  <r>
    <x v="159"/>
    <s v="000415"/>
    <s v="渤海金控"/>
    <n v="5000"/>
    <n v="5000"/>
    <n v="5.9980000000000002"/>
    <n v="-888.06"/>
    <n v="-2.97"/>
    <n v="29100"/>
    <n v="5.82"/>
  </r>
  <r>
    <x v="159"/>
    <s v="000528"/>
    <s v="柳    工"/>
    <n v="10350"/>
    <n v="9850"/>
    <n v="8.6679999999999993"/>
    <n v="-6500.05"/>
    <n v="-7.24"/>
    <n v="83214"/>
    <n v="8.0399999999999991"/>
  </r>
  <r>
    <x v="159"/>
    <s v="000987"/>
    <s v="越秀金控"/>
    <n v="600"/>
    <n v="600"/>
    <n v="10.680999999999999"/>
    <n v="-210.7"/>
    <n v="-3.29"/>
    <n v="6198"/>
    <n v="10.33"/>
  </r>
  <r>
    <x v="159"/>
    <s v="002006"/>
    <s v="精功科技"/>
    <n v="2000"/>
    <n v="2000"/>
    <n v="7.2060000000000004"/>
    <n v="268.88"/>
    <n v="1.86"/>
    <n v="14680"/>
    <n v="7.34"/>
  </r>
  <r>
    <x v="159"/>
    <s v="002140"/>
    <s v="东华科技"/>
    <n v="9900"/>
    <n v="9900"/>
    <n v="12.287000000000001"/>
    <n v="-10955.78"/>
    <n v="-9.01"/>
    <n v="110682"/>
    <n v="11.18"/>
  </r>
  <r>
    <x v="159"/>
    <s v="300701"/>
    <s v="森霸股份"/>
    <n v="100"/>
    <n v="100"/>
    <n v="-130.48500000000001"/>
    <n v="16650.5"/>
    <n v="0"/>
    <n v="3602"/>
    <n v="36.020000000000003"/>
  </r>
  <r>
    <x v="159"/>
    <s v="370433"/>
    <s v="蓝思发债"/>
    <n v="40"/>
    <n v="0"/>
    <n v="100"/>
    <n v="0"/>
    <n v="0"/>
    <n v="4000"/>
    <n v="100"/>
  </r>
  <r>
    <x v="159"/>
    <s v="reserve"/>
    <s v="备用金"/>
    <m/>
    <m/>
    <m/>
    <m/>
    <m/>
    <n v="49933.45"/>
    <m/>
  </r>
  <r>
    <x v="160"/>
    <s v="519888"/>
    <s v="添富快线"/>
    <n v="26519"/>
    <n v="26519"/>
    <n v="-9.2999999999999999E-2"/>
    <n v="2731.4569999999999"/>
    <n v="0"/>
    <n v="265.19"/>
    <n v="0.01"/>
  </r>
  <r>
    <x v="160"/>
    <s v="600269"/>
    <s v="赣粤高速"/>
    <n v="3500"/>
    <n v="3500"/>
    <n v="5.3070000000000004"/>
    <n v="-723.52"/>
    <n v="-3.9"/>
    <n v="17850"/>
    <n v="5.0999999999999996"/>
  </r>
  <r>
    <x v="160"/>
    <s v="601398"/>
    <s v="工商银行"/>
    <n v="100"/>
    <n v="100"/>
    <n v="-53.579000000000001"/>
    <n v="5949.9"/>
    <n v="0"/>
    <n v="592"/>
    <n v="5.92"/>
  </r>
  <r>
    <x v="160"/>
    <s v="601998"/>
    <s v="中信银行"/>
    <n v="2800"/>
    <n v="2800"/>
    <n v="5.9390000000000001"/>
    <n v="534.38"/>
    <n v="3.22"/>
    <n v="17164"/>
    <n v="6.13"/>
  </r>
  <r>
    <x v="160"/>
    <s v="603116"/>
    <s v="红蜻蜓"/>
    <n v="5100"/>
    <n v="5100"/>
    <n v="16.952999999999999"/>
    <n v="-8989.16"/>
    <n v="-10.4"/>
    <n v="77469"/>
    <n v="15.19"/>
  </r>
  <r>
    <x v="160"/>
    <s v="000402"/>
    <s v="金 融 街"/>
    <n v="13700"/>
    <n v="13700"/>
    <n v="10.43"/>
    <n v="2882.29"/>
    <n v="2.0099999999999998"/>
    <n v="145768"/>
    <n v="10.64"/>
  </r>
  <r>
    <x v="160"/>
    <s v="000415"/>
    <s v="渤海金控"/>
    <n v="5000"/>
    <n v="5000"/>
    <n v="5.9980000000000002"/>
    <n v="-1088.06"/>
    <n v="-3.63"/>
    <n v="28900"/>
    <n v="5.78"/>
  </r>
  <r>
    <x v="160"/>
    <s v="000528"/>
    <s v="柳    工"/>
    <n v="10350"/>
    <n v="10350"/>
    <n v="8.6679999999999993"/>
    <n v="-6396.55"/>
    <n v="-7.13"/>
    <n v="83317.5"/>
    <n v="8.0500000000000007"/>
  </r>
  <r>
    <x v="160"/>
    <s v="000987"/>
    <s v="越秀金控"/>
    <n v="1100"/>
    <n v="600"/>
    <n v="10.449"/>
    <n v="-350.7"/>
    <n v="-3.05"/>
    <n v="11143"/>
    <n v="10.130000000000001"/>
  </r>
  <r>
    <x v="160"/>
    <s v="002006"/>
    <s v="精功科技"/>
    <n v="2000"/>
    <n v="2000"/>
    <n v="7.2060000000000004"/>
    <n v="8.8800000000000008"/>
    <n v="0.06"/>
    <n v="14420"/>
    <n v="7.21"/>
  </r>
  <r>
    <x v="160"/>
    <s v="002140"/>
    <s v="东华科技"/>
    <n v="9900"/>
    <n v="9900"/>
    <n v="12.287000000000001"/>
    <n v="-12440.78"/>
    <n v="-10.23"/>
    <n v="109197"/>
    <n v="11.03"/>
  </r>
  <r>
    <x v="160"/>
    <s v="123003"/>
    <s v="新增证券"/>
    <n v="40"/>
    <n v="40"/>
    <n v="100"/>
    <n v="0"/>
    <n v="0"/>
    <n v="4000"/>
    <n v="0"/>
  </r>
  <r>
    <x v="160"/>
    <s v="300701"/>
    <s v="森霸股份"/>
    <n v="100"/>
    <n v="100"/>
    <n v="-130.48500000000001"/>
    <n v="16688.5"/>
    <n v="0"/>
    <n v="3640"/>
    <n v="36.4"/>
  </r>
  <r>
    <x v="160"/>
    <s v="reserve"/>
    <s v="备用金"/>
    <m/>
    <m/>
    <m/>
    <m/>
    <m/>
    <n v="44848.45"/>
    <m/>
  </r>
  <r>
    <x v="161"/>
    <s v="519888"/>
    <s v="添富快线"/>
    <n v="26526"/>
    <n v="26526"/>
    <n v="-9.2999999999999999E-2"/>
    <n v="2732.1779999999999"/>
    <n v="0"/>
    <n v="265.26"/>
    <n v="0.01"/>
  </r>
  <r>
    <x v="161"/>
    <s v="600269"/>
    <s v="赣粤高速"/>
    <n v="3500"/>
    <n v="3500"/>
    <n v="5.3070000000000004"/>
    <n v="-688.52"/>
    <n v="-3.71"/>
    <n v="17885"/>
    <n v="5.1100000000000003"/>
  </r>
  <r>
    <x v="161"/>
    <s v="601398"/>
    <s v="工商银行"/>
    <n v="100"/>
    <n v="100"/>
    <n v="-53.579000000000001"/>
    <n v="5955.9"/>
    <n v="0"/>
    <n v="598"/>
    <n v="5.98"/>
  </r>
  <r>
    <x v="161"/>
    <s v="601998"/>
    <s v="中信银行"/>
    <n v="2800"/>
    <n v="2800"/>
    <n v="5.9390000000000001"/>
    <n v="702.38"/>
    <n v="4.2300000000000004"/>
    <n v="17332"/>
    <n v="6.19"/>
  </r>
  <r>
    <x v="161"/>
    <s v="603116"/>
    <s v="红蜻蜓"/>
    <n v="5100"/>
    <n v="5100"/>
    <n v="16.952999999999999"/>
    <n v="-8224.16"/>
    <n v="-9.51"/>
    <n v="78234"/>
    <n v="15.34"/>
  </r>
  <r>
    <x v="161"/>
    <s v="000402"/>
    <s v="金 融 街"/>
    <n v="13800"/>
    <n v="13300"/>
    <n v="10.427"/>
    <n v="3209.01"/>
    <n v="2.2400000000000002"/>
    <n v="147108"/>
    <n v="10.66"/>
  </r>
  <r>
    <x v="161"/>
    <s v="000415"/>
    <s v="渤海金控"/>
    <n v="5000"/>
    <n v="5000"/>
    <n v="5.9980000000000002"/>
    <n v="-1138.06"/>
    <n v="-3.8"/>
    <n v="28850"/>
    <n v="5.77"/>
  </r>
  <r>
    <x v="161"/>
    <s v="000528"/>
    <s v="柳    工"/>
    <n v="10350"/>
    <n v="10350"/>
    <n v="8.6679999999999993"/>
    <n v="-5982.55"/>
    <n v="-6.67"/>
    <n v="83731.5"/>
    <n v="8.09"/>
  </r>
  <r>
    <x v="161"/>
    <s v="000987"/>
    <s v="越秀金控"/>
    <n v="1100"/>
    <n v="1100"/>
    <n v="10.449"/>
    <n v="-262.7"/>
    <n v="-2.29"/>
    <n v="11231"/>
    <n v="10.210000000000001"/>
  </r>
  <r>
    <x v="161"/>
    <s v="002006"/>
    <s v="精功科技"/>
    <n v="2000"/>
    <n v="2000"/>
    <n v="7.2060000000000004"/>
    <n v="88.88"/>
    <n v="0.61"/>
    <n v="14500"/>
    <n v="7.25"/>
  </r>
  <r>
    <x v="161"/>
    <s v="002140"/>
    <s v="东华科技"/>
    <n v="9900"/>
    <n v="9900"/>
    <n v="12.287000000000001"/>
    <n v="-12440.78"/>
    <n v="-10.23"/>
    <n v="109197"/>
    <n v="11.03"/>
  </r>
  <r>
    <x v="161"/>
    <s v="123003"/>
    <s v="新增证券"/>
    <n v="40"/>
    <n v="40"/>
    <n v="100"/>
    <n v="0"/>
    <n v="0"/>
    <n v="4000"/>
    <n v="0"/>
  </r>
  <r>
    <x v="161"/>
    <s v="300701"/>
    <s v="森霸股份"/>
    <n v="100"/>
    <n v="100"/>
    <n v="-130.48500000000001"/>
    <n v="16698.5"/>
    <n v="0"/>
    <n v="3650"/>
    <n v="36.5"/>
  </r>
  <r>
    <x v="161"/>
    <s v="reserve"/>
    <s v="备用金"/>
    <m/>
    <m/>
    <m/>
    <m/>
    <m/>
    <n v="43835.17"/>
    <m/>
  </r>
  <r>
    <x v="162"/>
    <s v="519888"/>
    <s v="添富快线"/>
    <n v="26532"/>
    <n v="26532"/>
    <n v="-9.2999999999999999E-2"/>
    <n v="2732.7959999999998"/>
    <n v="0"/>
    <n v="265.32"/>
    <n v="0.01"/>
  </r>
  <r>
    <x v="162"/>
    <s v="600269"/>
    <s v="赣粤高速"/>
    <n v="3500"/>
    <n v="3500"/>
    <n v="5.3070000000000004"/>
    <n v="-793.52"/>
    <n v="-4.28"/>
    <n v="17780"/>
    <n v="5.08"/>
  </r>
  <r>
    <x v="162"/>
    <s v="601398"/>
    <s v="工商银行"/>
    <n v="100"/>
    <n v="100"/>
    <n v="-53.579000000000001"/>
    <n v="5954.9"/>
    <n v="0"/>
    <n v="597"/>
    <n v="5.97"/>
  </r>
  <r>
    <x v="162"/>
    <s v="601998"/>
    <s v="中信银行"/>
    <n v="2800"/>
    <n v="2800"/>
    <n v="5.9390000000000001"/>
    <n v="702.38"/>
    <n v="4.2300000000000004"/>
    <n v="17332"/>
    <n v="6.19"/>
  </r>
  <r>
    <x v="162"/>
    <s v="603116"/>
    <s v="红蜻蜓"/>
    <n v="5100"/>
    <n v="5100"/>
    <n v="16.952999999999999"/>
    <n v="-8734.16"/>
    <n v="-10.1"/>
    <n v="77724"/>
    <n v="15.24"/>
  </r>
  <r>
    <x v="162"/>
    <s v="000402"/>
    <s v="金 融 街"/>
    <n v="14300"/>
    <n v="14300"/>
    <n v="10.430999999999999"/>
    <n v="-157.99"/>
    <n v="-0.1"/>
    <n v="149006"/>
    <n v="10.42"/>
  </r>
  <r>
    <x v="162"/>
    <s v="000415"/>
    <s v="渤海金控"/>
    <n v="5000"/>
    <n v="5000"/>
    <n v="5.9980000000000002"/>
    <n v="-1388.06"/>
    <n v="-4.63"/>
    <n v="28600"/>
    <n v="5.72"/>
  </r>
  <r>
    <x v="162"/>
    <s v="000528"/>
    <s v="柳    工"/>
    <n v="10850"/>
    <n v="10850"/>
    <n v="8.6359999999999992"/>
    <n v="-7224.55"/>
    <n v="-7.71"/>
    <n v="86474.5"/>
    <n v="7.97"/>
  </r>
  <r>
    <x v="162"/>
    <s v="000987"/>
    <s v="越秀金控"/>
    <n v="1100"/>
    <n v="1100"/>
    <n v="10.449"/>
    <n v="-460.7"/>
    <n v="-4.01"/>
    <n v="11033"/>
    <n v="10.029999999999999"/>
  </r>
  <r>
    <x v="162"/>
    <s v="002006"/>
    <s v="精功科技"/>
    <n v="2000"/>
    <n v="2000"/>
    <n v="7.2060000000000004"/>
    <n v="-191.12"/>
    <n v="-1.33"/>
    <n v="14220"/>
    <n v="7.11"/>
  </r>
  <r>
    <x v="162"/>
    <s v="002140"/>
    <s v="东华科技"/>
    <n v="10400"/>
    <n v="10400"/>
    <n v="12.218999999999999"/>
    <n v="-15074.78"/>
    <n v="-11.86"/>
    <n v="112008"/>
    <n v="10.77"/>
  </r>
  <r>
    <x v="162"/>
    <s v="123003"/>
    <s v="新增证券"/>
    <n v="40"/>
    <n v="40"/>
    <n v="100"/>
    <n v="0"/>
    <n v="0"/>
    <n v="4000"/>
    <n v="0"/>
  </r>
  <r>
    <x v="162"/>
    <s v="300701"/>
    <s v="森霸股份"/>
    <n v="100"/>
    <n v="100"/>
    <n v="-130.48500000000001"/>
    <n v="16738.5"/>
    <n v="0"/>
    <n v="3690"/>
    <n v="36.9"/>
  </r>
  <r>
    <x v="162"/>
    <s v="reserve"/>
    <s v="备用金"/>
    <m/>
    <m/>
    <m/>
    <m/>
    <m/>
    <n v="29199.51"/>
    <m/>
  </r>
  <r>
    <x v="163"/>
    <s v="519888"/>
    <s v="添富快线"/>
    <n v="26532"/>
    <n v="26532"/>
    <n v="-9.2999999999999999E-2"/>
    <n v="2732.7959999999998"/>
    <n v="0"/>
    <n v="265.32"/>
    <n v="0.01"/>
  </r>
  <r>
    <x v="163"/>
    <s v="600269"/>
    <s v="赣粤高速"/>
    <n v="3500"/>
    <n v="3500"/>
    <n v="5.3070000000000004"/>
    <n v="-863.52"/>
    <n v="-4.6500000000000004"/>
    <n v="17710"/>
    <n v="5.0599999999999996"/>
  </r>
  <r>
    <x v="163"/>
    <s v="601398"/>
    <s v="工商银行"/>
    <n v="100"/>
    <n v="100"/>
    <n v="-53.579000000000001"/>
    <n v="5953.9"/>
    <n v="0"/>
    <n v="596"/>
    <n v="5.96"/>
  </r>
  <r>
    <x v="163"/>
    <s v="601998"/>
    <s v="中信银行"/>
    <n v="2800"/>
    <n v="2800"/>
    <n v="5.9390000000000001"/>
    <n v="674.38"/>
    <n v="4.0599999999999996"/>
    <n v="17304"/>
    <n v="6.18"/>
  </r>
  <r>
    <x v="163"/>
    <s v="603116"/>
    <s v="红蜻蜓"/>
    <n v="5100"/>
    <n v="5100"/>
    <n v="16.952999999999999"/>
    <n v="-8989.16"/>
    <n v="-10.4"/>
    <n v="77469"/>
    <n v="15.19"/>
  </r>
  <r>
    <x v="163"/>
    <s v="000402"/>
    <s v="金 融 街"/>
    <n v="13600"/>
    <n v="13600"/>
    <n v="10.414"/>
    <n v="4429.46"/>
    <n v="3.13"/>
    <n v="146064"/>
    <n v="10.74"/>
  </r>
  <r>
    <x v="163"/>
    <s v="000415"/>
    <s v="渤海金控"/>
    <n v="5000"/>
    <n v="5000"/>
    <n v="5.9980000000000002"/>
    <n v="-1388.06"/>
    <n v="-4.63"/>
    <n v="28600"/>
    <n v="5.72"/>
  </r>
  <r>
    <x v="163"/>
    <s v="000528"/>
    <s v="柳    工"/>
    <n v="10850"/>
    <n v="10850"/>
    <n v="8.6359999999999992"/>
    <n v="-7116.05"/>
    <n v="-7.6"/>
    <n v="86583"/>
    <n v="7.98"/>
  </r>
  <r>
    <x v="163"/>
    <s v="000987"/>
    <s v="越秀金控"/>
    <n v="1100"/>
    <n v="1100"/>
    <n v="10.449"/>
    <n v="-581.70000000000005"/>
    <n v="-5.0599999999999996"/>
    <n v="10912"/>
    <n v="9.92"/>
  </r>
  <r>
    <x v="163"/>
    <s v="002006"/>
    <s v="精功科技"/>
    <n v="2000"/>
    <n v="2000"/>
    <n v="7.2060000000000004"/>
    <n v="-111.12"/>
    <n v="-0.78"/>
    <n v="14300"/>
    <n v="7.15"/>
  </r>
  <r>
    <x v="163"/>
    <s v="002140"/>
    <s v="东华科技"/>
    <n v="10400"/>
    <n v="10400"/>
    <n v="12.218999999999999"/>
    <n v="-14866.78"/>
    <n v="-11.69"/>
    <n v="112216"/>
    <n v="10.79"/>
  </r>
  <r>
    <x v="163"/>
    <s v="123003"/>
    <s v="新增证券"/>
    <n v="40"/>
    <n v="40"/>
    <n v="100"/>
    <n v="0"/>
    <n v="0"/>
    <n v="4000"/>
    <n v="0"/>
  </r>
  <r>
    <x v="163"/>
    <s v="300701"/>
    <s v="森霸股份"/>
    <n v="100"/>
    <n v="100"/>
    <n v="-130.48500000000001"/>
    <n v="16672.5"/>
    <n v="0"/>
    <n v="3624"/>
    <n v="36.24"/>
  </r>
  <r>
    <x v="163"/>
    <s v="reserve"/>
    <s v="备用金"/>
    <m/>
    <m/>
    <m/>
    <m/>
    <m/>
    <n v="36728.959999999999"/>
    <m/>
  </r>
  <r>
    <x v="164"/>
    <s v="519888"/>
    <s v="添富快线"/>
    <n v="26535"/>
    <n v="26535"/>
    <n v="-9.2999999999999999E-2"/>
    <n v="2733.105"/>
    <n v="0"/>
    <n v="265.35000000000002"/>
    <n v="0.01"/>
  </r>
  <r>
    <x v="164"/>
    <s v="600269"/>
    <s v="赣粤高速"/>
    <n v="3500"/>
    <n v="3500"/>
    <n v="5.3070000000000004"/>
    <n v="-898.52"/>
    <n v="-4.84"/>
    <n v="17675"/>
    <n v="5.05"/>
  </r>
  <r>
    <x v="164"/>
    <s v="601398"/>
    <s v="工商银行"/>
    <n v="100"/>
    <n v="100"/>
    <n v="-53.579000000000001"/>
    <n v="5949.9"/>
    <n v="0"/>
    <n v="592"/>
    <n v="5.92"/>
  </r>
  <r>
    <x v="164"/>
    <s v="601998"/>
    <s v="中信银行"/>
    <n v="2800"/>
    <n v="2800"/>
    <n v="5.9390000000000001"/>
    <n v="702.38"/>
    <n v="4.2300000000000004"/>
    <n v="17332"/>
    <n v="6.19"/>
  </r>
  <r>
    <x v="164"/>
    <s v="603116"/>
    <s v="红蜻蜓"/>
    <n v="5100"/>
    <n v="5100"/>
    <n v="16.952999999999999"/>
    <n v="-9295.16"/>
    <n v="-10.75"/>
    <n v="77163"/>
    <n v="15.13"/>
  </r>
  <r>
    <x v="164"/>
    <s v="000402"/>
    <s v="金 融 街"/>
    <n v="13600"/>
    <n v="13600"/>
    <n v="10.414"/>
    <n v="4565.46"/>
    <n v="3.23"/>
    <n v="146200"/>
    <n v="10.75"/>
  </r>
  <r>
    <x v="164"/>
    <s v="000415"/>
    <s v="渤海金控"/>
    <n v="5000"/>
    <n v="5000"/>
    <n v="5.9980000000000002"/>
    <n v="-1438.06"/>
    <n v="-4.8"/>
    <n v="28550"/>
    <n v="5.71"/>
  </r>
  <r>
    <x v="164"/>
    <s v="000528"/>
    <s v="柳    工"/>
    <n v="10850"/>
    <n v="10850"/>
    <n v="8.6359999999999992"/>
    <n v="-7550.05"/>
    <n v="-8.06"/>
    <n v="86149"/>
    <n v="7.94"/>
  </r>
  <r>
    <x v="164"/>
    <s v="000987"/>
    <s v="越秀金控"/>
    <n v="1100"/>
    <n v="1100"/>
    <n v="10.449"/>
    <n v="-603.70000000000005"/>
    <n v="-5.25"/>
    <n v="10890"/>
    <n v="9.9"/>
  </r>
  <r>
    <x v="164"/>
    <s v="002006"/>
    <s v="精功科技"/>
    <n v="2000"/>
    <n v="2000"/>
    <n v="7.2060000000000004"/>
    <n v="-171.12"/>
    <n v="-1.19"/>
    <n v="14240"/>
    <n v="7.12"/>
  </r>
  <r>
    <x v="164"/>
    <s v="002140"/>
    <s v="东华科技"/>
    <n v="10400"/>
    <n v="10400"/>
    <n v="12.218999999999999"/>
    <n v="-14242.78"/>
    <n v="-11.2"/>
    <n v="112840"/>
    <n v="10.85"/>
  </r>
  <r>
    <x v="164"/>
    <s v="123003"/>
    <s v="新增证券"/>
    <n v="40"/>
    <n v="40"/>
    <n v="100"/>
    <n v="0"/>
    <n v="0"/>
    <n v="4000"/>
    <n v="0"/>
  </r>
  <r>
    <x v="164"/>
    <s v="300701"/>
    <s v="森霸股份"/>
    <n v="100"/>
    <n v="100"/>
    <n v="-130.48500000000001"/>
    <n v="16590.5"/>
    <n v="0"/>
    <n v="3542"/>
    <n v="35.42"/>
  </r>
  <r>
    <x v="164"/>
    <s v="reserve"/>
    <s v="备用金"/>
    <m/>
    <m/>
    <m/>
    <m/>
    <m/>
    <n v="36728.959999999999"/>
    <m/>
  </r>
  <r>
    <x v="165"/>
    <s v="519888"/>
    <s v="添富快线"/>
    <n v="26537"/>
    <n v="26537"/>
    <n v="-9.2999999999999999E-2"/>
    <n v="2733.3110000000001"/>
    <n v="0"/>
    <n v="265.37"/>
    <n v="0.01"/>
  </r>
  <r>
    <x v="165"/>
    <s v="600269"/>
    <s v="赣粤高速"/>
    <n v="3500"/>
    <n v="3500"/>
    <n v="5.3070000000000004"/>
    <n v="-968.52"/>
    <n v="-5.22"/>
    <n v="17605"/>
    <n v="5.03"/>
  </r>
  <r>
    <x v="165"/>
    <s v="601398"/>
    <s v="工商银行"/>
    <n v="100"/>
    <n v="100"/>
    <n v="-53.579000000000001"/>
    <n v="5957.9"/>
    <n v="0"/>
    <n v="600"/>
    <n v="6"/>
  </r>
  <r>
    <x v="165"/>
    <s v="601998"/>
    <s v="中信银行"/>
    <n v="2800"/>
    <n v="2800"/>
    <n v="5.9390000000000001"/>
    <n v="618.38"/>
    <n v="3.72"/>
    <n v="17248"/>
    <n v="6.16"/>
  </r>
  <r>
    <x v="165"/>
    <s v="603116"/>
    <s v="红蜻蜓"/>
    <n v="5100"/>
    <n v="5100"/>
    <n v="16.952999999999999"/>
    <n v="-9958.16"/>
    <n v="-11.52"/>
    <n v="76500"/>
    <n v="15"/>
  </r>
  <r>
    <x v="165"/>
    <s v="000402"/>
    <s v="金 融 街"/>
    <n v="13200"/>
    <n v="13200"/>
    <n v="10.397"/>
    <n v="4924.0600000000004"/>
    <n v="3.59"/>
    <n v="142164"/>
    <n v="10.77"/>
  </r>
  <r>
    <x v="165"/>
    <s v="000415"/>
    <s v="渤海金控"/>
    <n v="5000"/>
    <n v="5000"/>
    <n v="5.9980000000000002"/>
    <n v="-1438.06"/>
    <n v="-4.8"/>
    <n v="28550"/>
    <n v="5.71"/>
  </r>
  <r>
    <x v="165"/>
    <s v="000528"/>
    <s v="柳    工"/>
    <n v="10850"/>
    <n v="10850"/>
    <n v="8.6359999999999992"/>
    <n v="-6573.55"/>
    <n v="-7.02"/>
    <n v="87125.5"/>
    <n v="8.0299999999999994"/>
  </r>
  <r>
    <x v="165"/>
    <s v="000987"/>
    <s v="越秀金控"/>
    <n v="1600"/>
    <n v="1100"/>
    <n v="10.268000000000001"/>
    <n v="-732.7"/>
    <n v="-4.46"/>
    <n v="15696"/>
    <n v="9.81"/>
  </r>
  <r>
    <x v="165"/>
    <s v="002006"/>
    <s v="精功科技"/>
    <n v="2500"/>
    <n v="2000"/>
    <n v="7.1520000000000001"/>
    <n v="-556.12"/>
    <n v="-3.1"/>
    <n v="17325"/>
    <n v="6.93"/>
  </r>
  <r>
    <x v="165"/>
    <s v="002140"/>
    <s v="东华科技"/>
    <n v="10400"/>
    <n v="10400"/>
    <n v="12.218999999999999"/>
    <n v="-13202.78"/>
    <n v="-10.38"/>
    <n v="113880"/>
    <n v="10.95"/>
  </r>
  <r>
    <x v="165"/>
    <s v="123003"/>
    <s v="新增证券"/>
    <n v="40"/>
    <n v="40"/>
    <n v="100"/>
    <n v="0"/>
    <n v="0"/>
    <n v="4000"/>
    <n v="0"/>
  </r>
  <r>
    <x v="165"/>
    <s v="300701"/>
    <s v="森霸股份"/>
    <n v="100"/>
    <n v="100"/>
    <n v="-130.48500000000001"/>
    <n v="16519.5"/>
    <n v="0"/>
    <n v="3471"/>
    <n v="34.71"/>
  </r>
  <r>
    <x v="165"/>
    <s v="reserve"/>
    <s v="备用金"/>
    <m/>
    <m/>
    <m/>
    <m/>
    <m/>
    <n v="32718.560000000001"/>
    <m/>
  </r>
  <r>
    <x v="166"/>
    <s v="519888"/>
    <s v="添富快线"/>
    <n v="26544"/>
    <n v="26544"/>
    <n v="-9.2999999999999999E-2"/>
    <n v="2734.0320000000002"/>
    <n v="0"/>
    <n v="265.44"/>
    <n v="0.01"/>
  </r>
  <r>
    <x v="166"/>
    <s v="600269"/>
    <s v="赣粤高速"/>
    <n v="3500"/>
    <n v="3500"/>
    <n v="5.3070000000000004"/>
    <n v="-793.52"/>
    <n v="-4.28"/>
    <n v="17780"/>
    <n v="5.08"/>
  </r>
  <r>
    <x v="166"/>
    <s v="601398"/>
    <s v="工商银行"/>
    <n v="100"/>
    <n v="100"/>
    <n v="-53.579000000000001"/>
    <n v="5965.9"/>
    <n v="0"/>
    <n v="608"/>
    <n v="6.08"/>
  </r>
  <r>
    <x v="166"/>
    <s v="601998"/>
    <s v="中信银行"/>
    <n v="2800"/>
    <n v="2800"/>
    <n v="5.9390000000000001"/>
    <n v="814.38"/>
    <n v="4.9000000000000004"/>
    <n v="17444"/>
    <n v="6.23"/>
  </r>
  <r>
    <x v="166"/>
    <s v="603116"/>
    <s v="红蜻蜓"/>
    <n v="5100"/>
    <n v="5100"/>
    <n v="16.952999999999999"/>
    <n v="-8479.16"/>
    <n v="-9.81"/>
    <n v="77979"/>
    <n v="15.29"/>
  </r>
  <r>
    <x v="166"/>
    <s v="000402"/>
    <s v="金 融 街"/>
    <n v="13200"/>
    <n v="13200"/>
    <n v="10.397"/>
    <n v="6376.06"/>
    <n v="4.6500000000000004"/>
    <n v="143616"/>
    <n v="10.88"/>
  </r>
  <r>
    <x v="166"/>
    <s v="000415"/>
    <s v="渤海金控"/>
    <n v="5000"/>
    <n v="5000"/>
    <n v="5.9980000000000002"/>
    <n v="-1188.06"/>
    <n v="-3.97"/>
    <n v="28800"/>
    <n v="5.76"/>
  </r>
  <r>
    <x v="166"/>
    <s v="000528"/>
    <s v="柳    工"/>
    <n v="9250"/>
    <n v="9250"/>
    <n v="8.6850000000000005"/>
    <n v="-1803.95"/>
    <n v="-2.2400000000000002"/>
    <n v="78532.5"/>
    <n v="8.49"/>
  </r>
  <r>
    <x v="166"/>
    <s v="000987"/>
    <s v="越秀金控"/>
    <n v="1600"/>
    <n v="1600"/>
    <n v="10.268000000000001"/>
    <n v="-684.7"/>
    <n v="-4.17"/>
    <n v="15744"/>
    <n v="9.84"/>
  </r>
  <r>
    <x v="166"/>
    <s v="002006"/>
    <s v="精功科技"/>
    <n v="2100"/>
    <n v="2100"/>
    <n v="7.1740000000000004"/>
    <n v="-217.94"/>
    <n v="-1.45"/>
    <n v="14847"/>
    <n v="7.07"/>
  </r>
  <r>
    <x v="166"/>
    <s v="002140"/>
    <s v="东华科技"/>
    <n v="10400"/>
    <n v="10400"/>
    <n v="12.218999999999999"/>
    <n v="-12786.78"/>
    <n v="-10.06"/>
    <n v="114296"/>
    <n v="10.99"/>
  </r>
  <r>
    <x v="166"/>
    <s v="123003"/>
    <s v="新增证券"/>
    <n v="40"/>
    <n v="40"/>
    <n v="100"/>
    <n v="0"/>
    <n v="0"/>
    <n v="4000"/>
    <n v="0"/>
  </r>
  <r>
    <x v="166"/>
    <s v="300701"/>
    <s v="森霸股份"/>
    <n v="100"/>
    <n v="100"/>
    <n v="-130.48500000000001"/>
    <n v="16753.5"/>
    <n v="0"/>
    <n v="3705"/>
    <n v="37.049999999999997"/>
  </r>
  <r>
    <x v="166"/>
    <s v="reserve"/>
    <s v="备用金"/>
    <m/>
    <m/>
    <m/>
    <m/>
    <m/>
    <n v="48897.34"/>
    <m/>
  </r>
  <r>
    <x v="167"/>
    <s v="519888"/>
    <s v="添富快线"/>
    <n v="26547"/>
    <n v="26547"/>
    <n v="-9.2999999999999999E-2"/>
    <n v="2734.3409999999999"/>
    <n v="0"/>
    <n v="265.47000000000003"/>
    <n v="0.01"/>
  </r>
  <r>
    <x v="167"/>
    <s v="600269"/>
    <s v="赣粤高速"/>
    <n v="3500"/>
    <n v="3500"/>
    <n v="5.3070000000000004"/>
    <n v="-898.52"/>
    <n v="-4.84"/>
    <n v="17675"/>
    <n v="5.05"/>
  </r>
  <r>
    <x v="167"/>
    <s v="601398"/>
    <s v="工商银行"/>
    <n v="100"/>
    <n v="100"/>
    <n v="-53.579000000000001"/>
    <n v="5962.9"/>
    <n v="0"/>
    <n v="605"/>
    <n v="6.05"/>
  </r>
  <r>
    <x v="167"/>
    <s v="601998"/>
    <s v="中信银行"/>
    <n v="2800"/>
    <n v="2800"/>
    <n v="5.9390000000000001"/>
    <n v="730.38"/>
    <n v="4.4000000000000004"/>
    <n v="17360"/>
    <n v="6.2"/>
  </r>
  <r>
    <x v="167"/>
    <s v="603116"/>
    <s v="红蜻蜓"/>
    <n v="5100"/>
    <n v="5100"/>
    <n v="16.952999999999999"/>
    <n v="-9244.16"/>
    <n v="-10.69"/>
    <n v="77214"/>
    <n v="15.14"/>
  </r>
  <r>
    <x v="167"/>
    <s v="000402"/>
    <s v="金 融 街"/>
    <n v="12800"/>
    <n v="12800"/>
    <n v="10.378"/>
    <n v="7582.64"/>
    <n v="5.71"/>
    <n v="140416"/>
    <n v="10.97"/>
  </r>
  <r>
    <x v="167"/>
    <s v="000415"/>
    <s v="渤海金控"/>
    <n v="5000"/>
    <n v="5000"/>
    <n v="5.9980000000000002"/>
    <n v="-1238.06"/>
    <n v="-4.13"/>
    <n v="28750"/>
    <n v="5.75"/>
  </r>
  <r>
    <x v="167"/>
    <s v="000528"/>
    <s v="柳    工"/>
    <n v="9250"/>
    <n v="9250"/>
    <n v="8.6850000000000005"/>
    <n v="-3468.95"/>
    <n v="-4.32"/>
    <n v="76867.5"/>
    <n v="8.31"/>
  </r>
  <r>
    <x v="167"/>
    <s v="000987"/>
    <s v="越秀金控"/>
    <n v="2100"/>
    <n v="1600"/>
    <n v="10.148999999999999"/>
    <n v="-754.7"/>
    <n v="-3.54"/>
    <n v="20559"/>
    <n v="9.7899999999999991"/>
  </r>
  <r>
    <x v="167"/>
    <s v="002006"/>
    <s v="精功科技"/>
    <n v="1700"/>
    <n v="1700"/>
    <n v="7.17"/>
    <n v="51.18"/>
    <n v="0.42"/>
    <n v="12240"/>
    <n v="7.2"/>
  </r>
  <r>
    <x v="167"/>
    <s v="002140"/>
    <s v="东华科技"/>
    <n v="10000"/>
    <n v="10000"/>
    <n v="12.266"/>
    <n v="-12864.21"/>
    <n v="-10.48"/>
    <n v="109800"/>
    <n v="10.98"/>
  </r>
  <r>
    <x v="167"/>
    <s v="123003"/>
    <s v="新增证券"/>
    <n v="40"/>
    <n v="40"/>
    <n v="100"/>
    <n v="0"/>
    <n v="0"/>
    <n v="4000"/>
    <n v="0"/>
  </r>
  <r>
    <x v="167"/>
    <s v="300701"/>
    <s v="森霸股份"/>
    <n v="100"/>
    <n v="100"/>
    <n v="-130.48500000000001"/>
    <n v="16753.5"/>
    <n v="0"/>
    <n v="3705"/>
    <n v="37.049999999999997"/>
  </r>
  <r>
    <x v="167"/>
    <s v="reserve"/>
    <s v="备用金"/>
    <m/>
    <m/>
    <m/>
    <m/>
    <m/>
    <n v="35538.61"/>
    <m/>
  </r>
  <r>
    <x v="168"/>
    <s v="519888"/>
    <s v="添富快线"/>
    <n v="26550"/>
    <n v="26550"/>
    <n v="-9.2999999999999999E-2"/>
    <n v="2734.65"/>
    <n v="0"/>
    <n v="265.5"/>
    <n v="0.01"/>
  </r>
  <r>
    <x v="168"/>
    <s v="600269"/>
    <s v="赣粤高速"/>
    <n v="3500"/>
    <n v="3500"/>
    <n v="5.3070000000000004"/>
    <n v="-688.52"/>
    <n v="-3.71"/>
    <n v="17885"/>
    <n v="5.1100000000000003"/>
  </r>
  <r>
    <x v="168"/>
    <s v="601398"/>
    <s v="工商银行"/>
    <n v="100"/>
    <n v="100"/>
    <n v="-53.579000000000001"/>
    <n v="5971.9"/>
    <n v="0"/>
    <n v="614"/>
    <n v="6.14"/>
  </r>
  <r>
    <x v="168"/>
    <s v="601998"/>
    <s v="中信银行"/>
    <n v="2800"/>
    <n v="2800"/>
    <n v="5.9390000000000001"/>
    <n v="730.38"/>
    <n v="4.4000000000000004"/>
    <n v="17360"/>
    <n v="6.2"/>
  </r>
  <r>
    <x v="168"/>
    <s v="603116"/>
    <s v="红蜻蜓"/>
    <n v="5100"/>
    <n v="5100"/>
    <n v="16.952999999999999"/>
    <n v="-8530.16"/>
    <n v="-9.8699999999999992"/>
    <n v="77928"/>
    <n v="15.28"/>
  </r>
  <r>
    <x v="168"/>
    <s v="000402"/>
    <s v="金 融 街"/>
    <n v="12800"/>
    <n v="12800"/>
    <n v="10.378"/>
    <n v="7966.64"/>
    <n v="5.99"/>
    <n v="140800"/>
    <n v="11"/>
  </r>
  <r>
    <x v="168"/>
    <s v="000415"/>
    <s v="渤海金控"/>
    <n v="5000"/>
    <n v="5000"/>
    <n v="5.9980000000000002"/>
    <n v="-1188.06"/>
    <n v="-3.97"/>
    <n v="28800"/>
    <n v="5.76"/>
  </r>
  <r>
    <x v="168"/>
    <s v="000528"/>
    <s v="柳    工"/>
    <n v="9250"/>
    <n v="9250"/>
    <n v="8.6850000000000005"/>
    <n v="-1618.95"/>
    <n v="-2.0099999999999998"/>
    <n v="78717.5"/>
    <n v="8.51"/>
  </r>
  <r>
    <x v="168"/>
    <s v="000987"/>
    <s v="越秀金控"/>
    <n v="2100"/>
    <n v="2100"/>
    <n v="10.148999999999999"/>
    <n v="-754.7"/>
    <n v="-3.54"/>
    <n v="20559"/>
    <n v="9.7899999999999991"/>
  </r>
  <r>
    <x v="168"/>
    <s v="002006"/>
    <s v="精功科技"/>
    <n v="1700"/>
    <n v="1700"/>
    <n v="7.17"/>
    <n v="0.18"/>
    <n v="0"/>
    <n v="12189"/>
    <n v="7.17"/>
  </r>
  <r>
    <x v="168"/>
    <s v="002140"/>
    <s v="东华科技"/>
    <n v="10000"/>
    <n v="10000"/>
    <n v="12.266"/>
    <n v="-12664.21"/>
    <n v="-10.32"/>
    <n v="110000"/>
    <n v="11"/>
  </r>
  <r>
    <x v="168"/>
    <s v="123003"/>
    <s v="新增证券"/>
    <n v="40"/>
    <n v="40"/>
    <n v="100"/>
    <n v="0"/>
    <n v="0"/>
    <n v="4000"/>
    <n v="0"/>
  </r>
  <r>
    <x v="168"/>
    <s v="300701"/>
    <s v="森霸股份"/>
    <n v="100"/>
    <n v="100"/>
    <n v="-130.48500000000001"/>
    <n v="16845.5"/>
    <n v="0"/>
    <n v="3797"/>
    <n v="37.97"/>
  </r>
  <r>
    <x v="168"/>
    <s v="reserve"/>
    <s v="备用金"/>
    <m/>
    <m/>
    <m/>
    <m/>
    <m/>
    <n v="35538.61"/>
    <m/>
  </r>
  <r>
    <x v="169"/>
    <s v="519888"/>
    <s v="添富快线"/>
    <n v="26553"/>
    <n v="26553"/>
    <n v="-9.2999999999999999E-2"/>
    <n v="2734.9589999999998"/>
    <n v="0"/>
    <n v="265.52999999999997"/>
    <n v="0.01"/>
  </r>
  <r>
    <x v="169"/>
    <s v="600269"/>
    <s v="赣粤高速"/>
    <n v="3500"/>
    <n v="3500"/>
    <n v="5.3070000000000004"/>
    <n v="-758.52"/>
    <n v="-4.09"/>
    <n v="17815"/>
    <n v="5.09"/>
  </r>
  <r>
    <x v="169"/>
    <s v="601398"/>
    <s v="工商银行"/>
    <n v="100"/>
    <n v="100"/>
    <n v="-53.579000000000001"/>
    <n v="5976.9"/>
    <n v="0"/>
    <n v="619"/>
    <n v="6.19"/>
  </r>
  <r>
    <x v="169"/>
    <s v="601998"/>
    <s v="中信银行"/>
    <n v="2800"/>
    <n v="2800"/>
    <n v="5.9390000000000001"/>
    <n v="674.38"/>
    <n v="4.0599999999999996"/>
    <n v="17304"/>
    <n v="6.18"/>
  </r>
  <r>
    <x v="169"/>
    <s v="603116"/>
    <s v="红蜻蜓"/>
    <n v="5100"/>
    <n v="5100"/>
    <n v="16.952999999999999"/>
    <n v="-8020.16"/>
    <n v="-9.2799999999999994"/>
    <n v="78438"/>
    <n v="15.38"/>
  </r>
  <r>
    <x v="169"/>
    <s v="000402"/>
    <s v="金 融 街"/>
    <n v="12400"/>
    <n v="12400"/>
    <n v="10.353999999999999"/>
    <n v="9501.18"/>
    <n v="7.4"/>
    <n v="137888"/>
    <n v="11.12"/>
  </r>
  <r>
    <x v="169"/>
    <s v="000415"/>
    <s v="渤海金控"/>
    <n v="5000"/>
    <n v="5000"/>
    <n v="5.9980000000000002"/>
    <n v="-1138.06"/>
    <n v="-3.8"/>
    <n v="28850"/>
    <n v="5.77"/>
  </r>
  <r>
    <x v="169"/>
    <s v="000528"/>
    <s v="柳    工"/>
    <n v="9250"/>
    <n v="9250"/>
    <n v="8.6850000000000005"/>
    <n v="-1526.45"/>
    <n v="-1.9"/>
    <n v="78810"/>
    <n v="8.52"/>
  </r>
  <r>
    <x v="169"/>
    <s v="000987"/>
    <s v="越秀金控"/>
    <n v="2100"/>
    <n v="2100"/>
    <n v="10.148999999999999"/>
    <n v="-670.7"/>
    <n v="-3.14"/>
    <n v="20643"/>
    <n v="9.83"/>
  </r>
  <r>
    <x v="169"/>
    <s v="002006"/>
    <s v="精功科技"/>
    <n v="1700"/>
    <n v="1700"/>
    <n v="7.17"/>
    <n v="17.18"/>
    <n v="0.14000000000000001"/>
    <n v="12206"/>
    <n v="7.18"/>
  </r>
  <r>
    <x v="169"/>
    <s v="002140"/>
    <s v="东华科技"/>
    <n v="10000"/>
    <n v="10000"/>
    <n v="12.266"/>
    <n v="-11864.21"/>
    <n v="-9.67"/>
    <n v="110800"/>
    <n v="11.08"/>
  </r>
  <r>
    <x v="169"/>
    <s v="123003"/>
    <s v="新增证券"/>
    <n v="40"/>
    <n v="40"/>
    <n v="100"/>
    <n v="0"/>
    <n v="0"/>
    <n v="4000"/>
    <n v="0"/>
  </r>
  <r>
    <x v="169"/>
    <s v="300701"/>
    <s v="森霸股份"/>
    <n v="100"/>
    <n v="100"/>
    <n v="-130.48500000000001"/>
    <n v="16831.5"/>
    <n v="0"/>
    <n v="3783"/>
    <n v="37.83"/>
  </r>
  <r>
    <x v="169"/>
    <s v="SZRQ88"/>
    <s v="国标准券"/>
    <n v="39000"/>
    <n v="0"/>
    <n v="1"/>
    <n v="-1.56"/>
    <n v="0"/>
    <n v="39000"/>
    <n v="1"/>
  </r>
  <r>
    <x v="169"/>
    <s v="reserve"/>
    <s v="备用金"/>
    <m/>
    <m/>
    <m/>
    <m/>
    <m/>
    <n v="983.59"/>
    <m/>
  </r>
  <r>
    <x v="170"/>
    <s v="519888"/>
    <s v="添富快线"/>
    <n v="26556"/>
    <n v="26556"/>
    <n v="-9.2999999999999999E-2"/>
    <n v="2735.268"/>
    <n v="0"/>
    <n v="265.56"/>
    <n v="0.01"/>
  </r>
  <r>
    <x v="170"/>
    <s v="600269"/>
    <s v="赣粤高速"/>
    <n v="3500"/>
    <n v="3500"/>
    <n v="5.3070000000000004"/>
    <n v="-478.52"/>
    <n v="-2.58"/>
    <n v="18095"/>
    <n v="5.17"/>
  </r>
  <r>
    <x v="170"/>
    <s v="601398"/>
    <s v="工商银行"/>
    <n v="100"/>
    <n v="100"/>
    <n v="-53.579000000000001"/>
    <n v="5975.9"/>
    <n v="0"/>
    <n v="618"/>
    <n v="6.18"/>
  </r>
  <r>
    <x v="170"/>
    <s v="601998"/>
    <s v="中信银行"/>
    <n v="2800"/>
    <n v="2800"/>
    <n v="5.9390000000000001"/>
    <n v="1066.3800000000001"/>
    <n v="6.42"/>
    <n v="17696"/>
    <n v="6.32"/>
  </r>
  <r>
    <x v="170"/>
    <s v="603116"/>
    <s v="红蜻蜓"/>
    <n v="5100"/>
    <n v="5100"/>
    <n v="16.952999999999999"/>
    <n v="-7408.16"/>
    <n v="-8.57"/>
    <n v="79050"/>
    <n v="15.5"/>
  </r>
  <r>
    <x v="170"/>
    <s v="000402"/>
    <s v="金 融 街"/>
    <n v="12000"/>
    <n v="12000"/>
    <n v="10.319000000000001"/>
    <n v="12371.61"/>
    <n v="9.99"/>
    <n v="136200"/>
    <n v="11.35"/>
  </r>
  <r>
    <x v="170"/>
    <s v="000415"/>
    <s v="渤海金控"/>
    <n v="4600"/>
    <n v="4600"/>
    <n v="6.0060000000000002"/>
    <n v="-395.43"/>
    <n v="-1.43"/>
    <n v="27232"/>
    <n v="5.92"/>
  </r>
  <r>
    <x v="170"/>
    <s v="000528"/>
    <s v="柳    工"/>
    <n v="7650"/>
    <n v="7650"/>
    <n v="8.6769999999999996"/>
    <n v="406.06"/>
    <n v="0.61"/>
    <n v="66784.5"/>
    <n v="8.73"/>
  </r>
  <r>
    <x v="170"/>
    <s v="000987"/>
    <s v="越秀金控"/>
    <n v="1300"/>
    <n v="1300"/>
    <n v="10.271000000000001"/>
    <n v="-260.68"/>
    <n v="-1.96"/>
    <n v="13091"/>
    <n v="10.07"/>
  </r>
  <r>
    <x v="170"/>
    <s v="002006"/>
    <s v="精功科技"/>
    <n v="1700"/>
    <n v="1700"/>
    <n v="7.17"/>
    <n v="221.18"/>
    <n v="1.81"/>
    <n v="12410"/>
    <n v="7.3"/>
  </r>
  <r>
    <x v="170"/>
    <s v="002140"/>
    <s v="东华科技"/>
    <n v="10000"/>
    <n v="10000"/>
    <n v="12.266"/>
    <n v="-11564.21"/>
    <n v="-9.42"/>
    <n v="111100"/>
    <n v="11.11"/>
  </r>
  <r>
    <x v="170"/>
    <s v="123003"/>
    <s v="新增证券"/>
    <n v="40"/>
    <n v="40"/>
    <n v="100"/>
    <n v="0"/>
    <n v="0"/>
    <n v="4000"/>
    <n v="0"/>
  </r>
  <r>
    <x v="170"/>
    <s v="300701"/>
    <s v="森霸股份"/>
    <n v="100"/>
    <n v="100"/>
    <n v="-130.48500000000001"/>
    <n v="16866.5"/>
    <n v="0"/>
    <n v="3818"/>
    <n v="38.18"/>
  </r>
  <r>
    <x v="170"/>
    <s v="SZRQ88"/>
    <s v="国标准券"/>
    <n v="77000"/>
    <n v="39000"/>
    <n v="1"/>
    <n v="-1.94"/>
    <n v="0"/>
    <n v="38000"/>
    <n v="1"/>
  </r>
  <r>
    <x v="170"/>
    <s v="reserve"/>
    <s v="备用金"/>
    <m/>
    <m/>
    <m/>
    <m/>
    <m/>
    <n v="30836.51"/>
    <m/>
  </r>
  <r>
    <x v="171"/>
    <s v="519888"/>
    <s v="添富快线"/>
    <n v="4526565"/>
    <n v="26565"/>
    <n v="8.9999999999999993E-3"/>
    <n v="2735.14"/>
    <n v="11.11"/>
    <n v="45265.65"/>
    <n v="0.01"/>
  </r>
  <r>
    <x v="171"/>
    <s v="600269"/>
    <s v="赣粤高速"/>
    <n v="3500"/>
    <n v="3500"/>
    <n v="5.3070000000000004"/>
    <n v="-408.52"/>
    <n v="-2.2000000000000002"/>
    <n v="18165"/>
    <n v="5.19"/>
  </r>
  <r>
    <x v="171"/>
    <s v="601398"/>
    <s v="工商银行"/>
    <n v="100"/>
    <n v="100"/>
    <n v="-53.579000000000001"/>
    <n v="5973.9"/>
    <n v="0"/>
    <n v="616"/>
    <n v="6.16"/>
  </r>
  <r>
    <x v="171"/>
    <s v="601998"/>
    <s v="中信银行"/>
    <n v="2800"/>
    <n v="2800"/>
    <n v="5.9390000000000001"/>
    <n v="1206.3800000000001"/>
    <n v="7.26"/>
    <n v="17836"/>
    <n v="6.37"/>
  </r>
  <r>
    <x v="171"/>
    <s v="603116"/>
    <s v="红蜻蜓"/>
    <n v="5100"/>
    <n v="5100"/>
    <n v="16.952999999999999"/>
    <n v="-7408.16"/>
    <n v="-8.57"/>
    <n v="79050"/>
    <n v="15.5"/>
  </r>
  <r>
    <x v="171"/>
    <s v="000402"/>
    <s v="金 融 街"/>
    <n v="12000"/>
    <n v="12000"/>
    <n v="10.319000000000001"/>
    <n v="12011.61"/>
    <n v="9.6999999999999993"/>
    <n v="135840"/>
    <n v="11.32"/>
  </r>
  <r>
    <x v="171"/>
    <s v="000415"/>
    <s v="渤海金控"/>
    <n v="4200"/>
    <n v="4200"/>
    <n v="6.0039999999999996"/>
    <n v="65.150000000000006"/>
    <n v="0.27"/>
    <n v="25284"/>
    <n v="6.02"/>
  </r>
  <r>
    <x v="171"/>
    <s v="000528"/>
    <s v="柳    工"/>
    <n v="7650"/>
    <n v="7650"/>
    <n v="8.6769999999999996"/>
    <n v="253.06"/>
    <n v="0.38"/>
    <n v="66631.5"/>
    <n v="8.7100000000000009"/>
  </r>
  <r>
    <x v="171"/>
    <s v="000987"/>
    <s v="越秀金控"/>
    <n v="1300"/>
    <n v="1300"/>
    <n v="10.271000000000001"/>
    <n v="-195.68"/>
    <n v="-1.47"/>
    <n v="13156"/>
    <n v="10.119999999999999"/>
  </r>
  <r>
    <x v="171"/>
    <s v="002006"/>
    <s v="精功科技"/>
    <n v="1700"/>
    <n v="1700"/>
    <n v="7.17"/>
    <n v="238.18"/>
    <n v="1.95"/>
    <n v="12427"/>
    <n v="7.31"/>
  </r>
  <r>
    <x v="171"/>
    <s v="002140"/>
    <s v="东华科技"/>
    <n v="9600"/>
    <n v="9600"/>
    <n v="12.311"/>
    <n v="-10085.700000000001"/>
    <n v="-8.5399999999999991"/>
    <n v="108096"/>
    <n v="11.26"/>
  </r>
  <r>
    <x v="171"/>
    <s v="123003"/>
    <s v="新增证券"/>
    <n v="40"/>
    <n v="40"/>
    <n v="100"/>
    <n v="0"/>
    <n v="0"/>
    <n v="4000"/>
    <n v="0"/>
  </r>
  <r>
    <x v="171"/>
    <s v="300701"/>
    <s v="森霸股份"/>
    <n v="100"/>
    <n v="100"/>
    <n v="-130.48500000000001"/>
    <n v="16814.5"/>
    <n v="0"/>
    <n v="3766"/>
    <n v="37.659999999999997"/>
  </r>
  <r>
    <x v="171"/>
    <s v="reserve"/>
    <s v="备用金"/>
    <m/>
    <m/>
    <m/>
    <m/>
    <m/>
    <n v="707.65"/>
    <m/>
  </r>
  <r>
    <x v="172"/>
    <s v="519888"/>
    <s v="添富快线"/>
    <n v="2526568"/>
    <n v="2526568"/>
    <n v="8.9999999999999993E-3"/>
    <n v="2735.17"/>
    <n v="11.11"/>
    <n v="25265.68"/>
    <n v="0.01"/>
  </r>
  <r>
    <x v="172"/>
    <s v="600269"/>
    <s v="赣粤高速"/>
    <n v="3500"/>
    <n v="3500"/>
    <n v="5.3070000000000004"/>
    <n v="-408.52"/>
    <n v="-2.2000000000000002"/>
    <n v="18165"/>
    <n v="5.19"/>
  </r>
  <r>
    <x v="172"/>
    <s v="601398"/>
    <s v="工商银行"/>
    <n v="100"/>
    <n v="100"/>
    <n v="-53.579000000000001"/>
    <n v="5964.9"/>
    <n v="0"/>
    <n v="607"/>
    <n v="6.07"/>
  </r>
  <r>
    <x v="172"/>
    <s v="601998"/>
    <s v="中信银行"/>
    <n v="2800"/>
    <n v="2800"/>
    <n v="5.9390000000000001"/>
    <n v="1262.3800000000001"/>
    <n v="7.59"/>
    <n v="17892"/>
    <n v="6.39"/>
  </r>
  <r>
    <x v="172"/>
    <s v="603116"/>
    <s v="红蜻蜓"/>
    <n v="4700"/>
    <n v="4700"/>
    <n v="17.062000000000001"/>
    <n v="-6493.57"/>
    <n v="-8.1"/>
    <n v="73696"/>
    <n v="15.68"/>
  </r>
  <r>
    <x v="172"/>
    <s v="000402"/>
    <s v="金 融 街"/>
    <n v="12500"/>
    <n v="12000"/>
    <n v="10.351000000000001"/>
    <n v="10231.61"/>
    <n v="7.91"/>
    <n v="139625"/>
    <n v="11.17"/>
  </r>
  <r>
    <x v="172"/>
    <s v="000415"/>
    <s v="渤海金控"/>
    <n v="4200"/>
    <n v="4200"/>
    <n v="6.0039999999999996"/>
    <n v="-102.85"/>
    <n v="-0.4"/>
    <n v="25116"/>
    <n v="5.98"/>
  </r>
  <r>
    <x v="172"/>
    <s v="000528"/>
    <s v="柳    工"/>
    <n v="7650"/>
    <n v="7650"/>
    <n v="8.6769999999999996"/>
    <n v="712.06"/>
    <n v="1.07"/>
    <n v="67090.5"/>
    <n v="8.77"/>
  </r>
  <r>
    <x v="172"/>
    <s v="000987"/>
    <s v="越秀金控"/>
    <n v="1300"/>
    <n v="1300"/>
    <n v="10.271000000000001"/>
    <n v="-338.68"/>
    <n v="-2.54"/>
    <n v="13013"/>
    <n v="10.01"/>
  </r>
  <r>
    <x v="172"/>
    <s v="002006"/>
    <s v="精功科技"/>
    <n v="1300"/>
    <n v="900"/>
    <n v="7.1239999999999997"/>
    <n v="177.24"/>
    <n v="1.91"/>
    <n v="9438"/>
    <n v="7.26"/>
  </r>
  <r>
    <x v="172"/>
    <s v="002140"/>
    <s v="东华科技"/>
    <n v="9600"/>
    <n v="9600"/>
    <n v="12.311"/>
    <n v="-9797.7000000000007"/>
    <n v="-8.2899999999999991"/>
    <n v="108384"/>
    <n v="11.29"/>
  </r>
  <r>
    <x v="172"/>
    <s v="123003"/>
    <s v="新增证券"/>
    <n v="40"/>
    <n v="40"/>
    <n v="100"/>
    <n v="0"/>
    <n v="0"/>
    <n v="4000"/>
    <n v="0"/>
  </r>
  <r>
    <x v="172"/>
    <s v="300701"/>
    <s v="森霸股份"/>
    <n v="100"/>
    <n v="100"/>
    <n v="-130.48500000000001"/>
    <n v="16758.5"/>
    <n v="0"/>
    <n v="3710"/>
    <n v="37.1"/>
  </r>
  <r>
    <x v="172"/>
    <s v="reserve"/>
    <s v="备用金"/>
    <m/>
    <m/>
    <m/>
    <m/>
    <m/>
    <n v="24339.3"/>
    <m/>
  </r>
  <r>
    <x v="173"/>
    <s v="519888"/>
    <s v="添富快线"/>
    <n v="0"/>
    <n v="0"/>
    <n v="0"/>
    <n v="2738.93"/>
    <n v="0"/>
    <n v="0"/>
    <n v="0.01"/>
  </r>
  <r>
    <x v="173"/>
    <s v="600269"/>
    <s v="赣粤高速"/>
    <n v="3500"/>
    <n v="3500"/>
    <n v="5.3070000000000004"/>
    <n v="-373.52"/>
    <n v="-2.02"/>
    <n v="18200"/>
    <n v="5.2"/>
  </r>
  <r>
    <x v="173"/>
    <s v="601398"/>
    <s v="工商银行"/>
    <n v="100"/>
    <n v="100"/>
    <n v="-53.579000000000001"/>
    <n v="5965.9"/>
    <n v="0"/>
    <n v="608"/>
    <n v="6.08"/>
  </r>
  <r>
    <x v="173"/>
    <s v="601998"/>
    <s v="中信银行"/>
    <n v="2800"/>
    <n v="2800"/>
    <n v="5.9390000000000001"/>
    <n v="1402.38"/>
    <n v="8.44"/>
    <n v="18032"/>
    <n v="6.44"/>
  </r>
  <r>
    <x v="173"/>
    <s v="603116"/>
    <s v="红蜻蜓"/>
    <n v="4700"/>
    <n v="4700"/>
    <n v="17.062000000000001"/>
    <n v="-6916.57"/>
    <n v="-8.6300000000000008"/>
    <n v="73273"/>
    <n v="15.59"/>
  </r>
  <r>
    <x v="173"/>
    <s v="000402"/>
    <s v="金 融 街"/>
    <n v="10600"/>
    <n v="9700"/>
    <n v="10.132999999999999"/>
    <n v="17352.68"/>
    <n v="16.16"/>
    <n v="124762"/>
    <n v="11.77"/>
  </r>
  <r>
    <x v="173"/>
    <s v="000415"/>
    <s v="渤海金控"/>
    <n v="4200"/>
    <n v="4200"/>
    <n v="6.0039999999999996"/>
    <n v="-102.85"/>
    <n v="-0.4"/>
    <n v="25116"/>
    <n v="5.98"/>
  </r>
  <r>
    <x v="173"/>
    <s v="000528"/>
    <s v="柳    工"/>
    <n v="7650"/>
    <n v="7650"/>
    <n v="8.6769999999999996"/>
    <n v="406.06"/>
    <n v="0.61"/>
    <n v="66784.5"/>
    <n v="8.73"/>
  </r>
  <r>
    <x v="173"/>
    <s v="000987"/>
    <s v="越秀金控"/>
    <n v="900"/>
    <n v="900"/>
    <n v="10.29"/>
    <n v="-80.78"/>
    <n v="-0.87"/>
    <n v="9180"/>
    <n v="10.199999999999999"/>
  </r>
  <r>
    <x v="173"/>
    <s v="002006"/>
    <s v="精功科技"/>
    <n v="900"/>
    <n v="900"/>
    <n v="6.9740000000000002"/>
    <n v="482.25"/>
    <n v="7.69"/>
    <n v="6759"/>
    <n v="7.51"/>
  </r>
  <r>
    <x v="173"/>
    <s v="002140"/>
    <s v="东华科技"/>
    <n v="9600"/>
    <n v="9600"/>
    <n v="12.311"/>
    <n v="-10853.7"/>
    <n v="-9.19"/>
    <n v="107328"/>
    <n v="11.18"/>
  </r>
  <r>
    <x v="173"/>
    <s v="123003"/>
    <s v="新增证券"/>
    <n v="40"/>
    <n v="40"/>
    <n v="100"/>
    <n v="0"/>
    <n v="0"/>
    <n v="4000"/>
    <n v="0"/>
  </r>
  <r>
    <x v="173"/>
    <s v="300701"/>
    <s v="森霸股份"/>
    <n v="100"/>
    <n v="100"/>
    <n v="-130.48500000000001"/>
    <n v="16674.5"/>
    <n v="0"/>
    <n v="3626"/>
    <n v="36.26"/>
  </r>
  <r>
    <x v="173"/>
    <s v="reserve"/>
    <s v="备用金"/>
    <m/>
    <m/>
    <m/>
    <m/>
    <m/>
    <n v="77258.81"/>
    <m/>
  </r>
  <r>
    <x v="174"/>
    <s v="519888"/>
    <s v="添富快线"/>
    <n v="8000215"/>
    <n v="215"/>
    <n v="0.01"/>
    <n v="2741.08"/>
    <n v="0"/>
    <n v="80002.149999999994"/>
    <n v="0.01"/>
  </r>
  <r>
    <x v="174"/>
    <s v="600269"/>
    <s v="赣粤高速"/>
    <n v="3500"/>
    <n v="3500"/>
    <n v="5.3070000000000004"/>
    <n v="-303.52"/>
    <n v="-1.64"/>
    <n v="18270"/>
    <n v="5.22"/>
  </r>
  <r>
    <x v="174"/>
    <s v="601398"/>
    <s v="工商银行"/>
    <n v="100"/>
    <n v="100"/>
    <n v="-53.579000000000001"/>
    <n v="5964.9"/>
    <n v="0"/>
    <n v="607"/>
    <n v="6.07"/>
  </r>
  <r>
    <x v="174"/>
    <s v="601998"/>
    <s v="中信银行"/>
    <n v="2400"/>
    <n v="2400"/>
    <n v="5.8460000000000001"/>
    <n v="1666.72"/>
    <n v="11.87"/>
    <n v="15696"/>
    <n v="6.54"/>
  </r>
  <r>
    <x v="174"/>
    <s v="603116"/>
    <s v="红蜻蜓"/>
    <n v="4700"/>
    <n v="4700"/>
    <n v="17.062000000000001"/>
    <n v="-6963.57"/>
    <n v="-8.68"/>
    <n v="73226"/>
    <n v="15.58"/>
  </r>
  <r>
    <x v="174"/>
    <s v="000402"/>
    <s v="金 融 街"/>
    <n v="10300"/>
    <n v="9800"/>
    <n v="10.065"/>
    <n v="18386.02"/>
    <n v="17.739999999999998"/>
    <n v="122055"/>
    <n v="11.85"/>
  </r>
  <r>
    <x v="174"/>
    <s v="000415"/>
    <s v="渤海金控"/>
    <n v="4200"/>
    <n v="4200"/>
    <n v="6.0039999999999996"/>
    <n v="-18.850000000000001"/>
    <n v="-7.0000000000000007E-2"/>
    <n v="25200"/>
    <n v="6"/>
  </r>
  <r>
    <x v="174"/>
    <s v="000528"/>
    <s v="柳    工"/>
    <n v="6850"/>
    <n v="6850"/>
    <n v="8.6549999999999994"/>
    <n v="1677.46"/>
    <n v="2.83"/>
    <n v="60965"/>
    <n v="8.9"/>
  </r>
  <r>
    <x v="174"/>
    <s v="000987"/>
    <s v="越秀金控"/>
    <n v="900"/>
    <n v="900"/>
    <n v="10.29"/>
    <n v="-80.78"/>
    <n v="-0.87"/>
    <n v="9180"/>
    <n v="10.199999999999999"/>
  </r>
  <r>
    <x v="174"/>
    <s v="002006"/>
    <s v="精功科技"/>
    <n v="900"/>
    <n v="900"/>
    <n v="6.9740000000000002"/>
    <n v="428.25"/>
    <n v="6.83"/>
    <n v="6705"/>
    <n v="7.45"/>
  </r>
  <r>
    <x v="174"/>
    <s v="002140"/>
    <s v="东华科技"/>
    <n v="9600"/>
    <n v="9600"/>
    <n v="12.311"/>
    <n v="-10373.700000000001"/>
    <n v="-8.7799999999999994"/>
    <n v="107808"/>
    <n v="11.23"/>
  </r>
  <r>
    <x v="174"/>
    <s v="123003"/>
    <s v="新增证券"/>
    <n v="40"/>
    <n v="40"/>
    <n v="100"/>
    <n v="0"/>
    <n v="0"/>
    <n v="4000"/>
    <n v="0"/>
  </r>
  <r>
    <x v="174"/>
    <s v="300701"/>
    <s v="森霸股份"/>
    <n v="100"/>
    <n v="100"/>
    <n v="-130.48500000000001"/>
    <n v="16745.5"/>
    <n v="0"/>
    <n v="3697"/>
    <n v="36.97"/>
  </r>
  <r>
    <x v="174"/>
    <s v="reserve"/>
    <s v="备用金"/>
    <m/>
    <m/>
    <m/>
    <m/>
    <m/>
    <n v="10690.39"/>
    <m/>
  </r>
  <r>
    <x v="175"/>
    <s v="519888"/>
    <s v="添富快线"/>
    <n v="8546045"/>
    <n v="8546045"/>
    <n v="0.01"/>
    <n v="2747.38"/>
    <n v="0"/>
    <n v="85460.45"/>
    <n v="0.01"/>
  </r>
  <r>
    <x v="175"/>
    <s v="600269"/>
    <s v="赣粤高速"/>
    <n v="3500"/>
    <n v="3500"/>
    <n v="5.3070000000000004"/>
    <n v="-338.52"/>
    <n v="-1.83"/>
    <n v="18235"/>
    <n v="5.21"/>
  </r>
  <r>
    <x v="175"/>
    <s v="601398"/>
    <s v="工商银行"/>
    <n v="100"/>
    <n v="100"/>
    <n v="-53.579000000000001"/>
    <n v="5966.9"/>
    <n v="0"/>
    <n v="609"/>
    <n v="6.09"/>
  </r>
  <r>
    <x v="175"/>
    <s v="601998"/>
    <s v="中信银行"/>
    <n v="2400"/>
    <n v="2400"/>
    <n v="5.8460000000000001"/>
    <n v="1522.72"/>
    <n v="10.85"/>
    <n v="15552"/>
    <n v="6.48"/>
  </r>
  <r>
    <x v="175"/>
    <s v="603116"/>
    <s v="红蜻蜓"/>
    <n v="4700"/>
    <n v="4700"/>
    <n v="17.062000000000001"/>
    <n v="-6728.57"/>
    <n v="-8.39"/>
    <n v="73461"/>
    <n v="15.63"/>
  </r>
  <r>
    <x v="175"/>
    <s v="000402"/>
    <s v="金 融 街"/>
    <n v="9900"/>
    <n v="9900"/>
    <n v="9.9909999999999997"/>
    <n v="17022.25"/>
    <n v="17.21"/>
    <n v="115929"/>
    <n v="11.71"/>
  </r>
  <r>
    <x v="175"/>
    <s v="000415"/>
    <s v="渤海金控"/>
    <n v="4200"/>
    <n v="4200"/>
    <n v="6.0039999999999996"/>
    <n v="-60.85"/>
    <n v="-0.23"/>
    <n v="25158"/>
    <n v="5.99"/>
  </r>
  <r>
    <x v="175"/>
    <s v="000528"/>
    <s v="柳    工"/>
    <n v="6850"/>
    <n v="6850"/>
    <n v="8.6549999999999994"/>
    <n v="581.46"/>
    <n v="0.98"/>
    <n v="59869"/>
    <n v="8.74"/>
  </r>
  <r>
    <x v="175"/>
    <s v="000987"/>
    <s v="越秀金控"/>
    <n v="900"/>
    <n v="900"/>
    <n v="10.29"/>
    <n v="-89.78"/>
    <n v="-0.97"/>
    <n v="9171"/>
    <n v="10.19"/>
  </r>
  <r>
    <x v="175"/>
    <s v="002006"/>
    <s v="精功科技"/>
    <n v="900"/>
    <n v="900"/>
    <n v="6.9740000000000002"/>
    <n v="347.25"/>
    <n v="5.54"/>
    <n v="6624"/>
    <n v="7.36"/>
  </r>
  <r>
    <x v="175"/>
    <s v="002140"/>
    <s v="东华科技"/>
    <n v="9200"/>
    <n v="9200"/>
    <n v="12.352"/>
    <n v="-8943.25"/>
    <n v="-7.87"/>
    <n v="104696"/>
    <n v="11.38"/>
  </r>
  <r>
    <x v="175"/>
    <s v="123003"/>
    <s v="新增证券"/>
    <n v="40"/>
    <n v="40"/>
    <n v="100"/>
    <n v="0"/>
    <n v="0"/>
    <n v="4000"/>
    <n v="0"/>
  </r>
  <r>
    <x v="175"/>
    <s v="300701"/>
    <s v="森霸股份"/>
    <n v="100"/>
    <n v="100"/>
    <n v="-130.48500000000001"/>
    <n v="16896.5"/>
    <n v="0"/>
    <n v="3848"/>
    <n v="38.479999999999997"/>
  </r>
  <r>
    <x v="175"/>
    <s v="reserve"/>
    <s v="备用金"/>
    <m/>
    <m/>
    <m/>
    <m/>
    <m/>
    <n v="14543.07"/>
    <m/>
  </r>
  <r>
    <x v="176"/>
    <s v="519888"/>
    <s v="添富快线"/>
    <n v="8546045"/>
    <n v="8546045"/>
    <n v="0.01"/>
    <n v="2747.38"/>
    <n v="0"/>
    <n v="85460.45"/>
    <n v="0.01"/>
  </r>
  <r>
    <x v="176"/>
    <s v="600269"/>
    <s v="赣粤高速"/>
    <n v="3500"/>
    <n v="3500"/>
    <n v="5.3070000000000004"/>
    <n v="-408.52"/>
    <n v="-2.2000000000000002"/>
    <n v="18165"/>
    <n v="5.19"/>
  </r>
  <r>
    <x v="176"/>
    <s v="601398"/>
    <s v="工商银行"/>
    <n v="100"/>
    <n v="100"/>
    <n v="-53.579000000000001"/>
    <n v="5973.9"/>
    <n v="0"/>
    <n v="616"/>
    <n v="6.16"/>
  </r>
  <r>
    <x v="176"/>
    <s v="601998"/>
    <s v="中信银行"/>
    <n v="2000"/>
    <n v="2000"/>
    <n v="5.6859999999999999"/>
    <n v="1827.01"/>
    <n v="16.079999999999998"/>
    <n v="13200"/>
    <n v="6.6"/>
  </r>
  <r>
    <x v="176"/>
    <s v="603116"/>
    <s v="红蜻蜓"/>
    <n v="4700"/>
    <n v="4700"/>
    <n v="17.062000000000001"/>
    <n v="-7715.57"/>
    <n v="-9.6199999999999992"/>
    <n v="72474"/>
    <n v="15.42"/>
  </r>
  <r>
    <x v="176"/>
    <s v="000402"/>
    <s v="金 融 街"/>
    <n v="10400"/>
    <n v="9900"/>
    <n v="10.071"/>
    <n v="16210.25"/>
    <n v="15.48"/>
    <n v="120952"/>
    <n v="11.63"/>
  </r>
  <r>
    <x v="176"/>
    <s v="000415"/>
    <s v="渤海金控"/>
    <n v="4200"/>
    <n v="4200"/>
    <n v="6.0039999999999996"/>
    <n v="-270.85000000000002"/>
    <n v="-1.06"/>
    <n v="24948"/>
    <n v="5.94"/>
  </r>
  <r>
    <x v="176"/>
    <s v="000528"/>
    <s v="柳    工"/>
    <n v="7850"/>
    <n v="6450"/>
    <n v="8.6489999999999991"/>
    <n v="4.96"/>
    <n v="0.01"/>
    <n v="67902.5"/>
    <n v="8.65"/>
  </r>
  <r>
    <x v="176"/>
    <s v="000987"/>
    <s v="越秀金控"/>
    <n v="900"/>
    <n v="900"/>
    <n v="10.29"/>
    <n v="-296.77999999999997"/>
    <n v="-3.21"/>
    <n v="8964"/>
    <n v="9.9600000000000009"/>
  </r>
  <r>
    <x v="176"/>
    <s v="002006"/>
    <s v="精功科技"/>
    <n v="1400"/>
    <n v="900"/>
    <n v="7.0620000000000003"/>
    <n v="95.25"/>
    <n v="0.96"/>
    <n v="9982"/>
    <n v="7.13"/>
  </r>
  <r>
    <x v="176"/>
    <s v="002140"/>
    <s v="东华科技"/>
    <n v="8800"/>
    <n v="8800"/>
    <n v="12.388"/>
    <n v="-7024.88"/>
    <n v="-6.44"/>
    <n v="101992"/>
    <n v="11.59"/>
  </r>
  <r>
    <x v="176"/>
    <s v="123003"/>
    <s v="新增证券"/>
    <n v="40"/>
    <n v="40"/>
    <n v="100"/>
    <n v="0"/>
    <n v="0"/>
    <n v="4000"/>
    <n v="0"/>
  </r>
  <r>
    <x v="176"/>
    <s v="300701"/>
    <s v="森霸股份"/>
    <n v="100"/>
    <n v="100"/>
    <n v="-130.48500000000001"/>
    <n v="16756.5"/>
    <n v="0"/>
    <n v="3708"/>
    <n v="37.08"/>
  </r>
  <r>
    <x v="176"/>
    <s v="reserve"/>
    <s v="备用金"/>
    <m/>
    <m/>
    <m/>
    <m/>
    <m/>
    <n v="3766.73"/>
    <m/>
  </r>
  <r>
    <x v="177"/>
    <s v="519888"/>
    <s v="添富快线"/>
    <n v="8000000"/>
    <n v="8000000"/>
    <n v="0.01"/>
    <n v="2754.56"/>
    <n v="0"/>
    <n v="80000"/>
    <n v="0.01"/>
  </r>
  <r>
    <x v="177"/>
    <s v="600269"/>
    <s v="赣粤高速"/>
    <n v="3500"/>
    <n v="3500"/>
    <n v="5.3070000000000004"/>
    <n v="-373.52"/>
    <n v="-2.02"/>
    <n v="18200"/>
    <n v="5.2"/>
  </r>
  <r>
    <x v="177"/>
    <s v="601398"/>
    <s v="工商银行"/>
    <n v="100"/>
    <n v="100"/>
    <n v="-53.579000000000001"/>
    <n v="5978.9"/>
    <n v="0"/>
    <n v="621"/>
    <n v="6.21"/>
  </r>
  <r>
    <x v="177"/>
    <s v="601998"/>
    <s v="中信银行"/>
    <n v="1600"/>
    <n v="1600"/>
    <n v="5.4249999999999998"/>
    <n v="2071.2600000000002"/>
    <n v="23.87"/>
    <n v="10752"/>
    <n v="6.72"/>
  </r>
  <r>
    <x v="177"/>
    <s v="603116"/>
    <s v="红蜻蜓"/>
    <n v="4700"/>
    <n v="4700"/>
    <n v="17.062000000000001"/>
    <n v="-7433.57"/>
    <n v="-9.27"/>
    <n v="72756"/>
    <n v="15.48"/>
  </r>
  <r>
    <x v="177"/>
    <s v="000402"/>
    <s v="金 融 街"/>
    <n v="10400"/>
    <n v="10400"/>
    <n v="10.071"/>
    <n v="15898.25"/>
    <n v="15.18"/>
    <n v="120640"/>
    <n v="11.6"/>
  </r>
  <r>
    <x v="177"/>
    <s v="000415"/>
    <s v="渤海金控"/>
    <n v="3800"/>
    <n v="3800"/>
    <n v="6.0010000000000003"/>
    <n v="187.73"/>
    <n v="0.82"/>
    <n v="22990"/>
    <n v="6.05"/>
  </r>
  <r>
    <x v="177"/>
    <s v="000528"/>
    <s v="柳    工"/>
    <n v="7850"/>
    <n v="7450"/>
    <n v="8.6489999999999991"/>
    <n v="-544.54"/>
    <n v="-0.8"/>
    <n v="67353"/>
    <n v="8.58"/>
  </r>
  <r>
    <x v="177"/>
    <s v="000987"/>
    <s v="越秀金控"/>
    <n v="1400"/>
    <n v="900"/>
    <n v="10.151"/>
    <n v="-294.77999999999997"/>
    <n v="-2.08"/>
    <n v="13916"/>
    <n v="9.94"/>
  </r>
  <r>
    <x v="177"/>
    <s v="002006"/>
    <s v="精功科技"/>
    <n v="1400"/>
    <n v="1400"/>
    <n v="7.0620000000000003"/>
    <n v="179.25"/>
    <n v="1.81"/>
    <n v="10066"/>
    <n v="7.19"/>
  </r>
  <r>
    <x v="177"/>
    <s v="002140"/>
    <s v="东华科技"/>
    <n v="8800"/>
    <n v="8800"/>
    <n v="12.388"/>
    <n v="-7640.88"/>
    <n v="-7.01"/>
    <n v="101376"/>
    <n v="11.52"/>
  </r>
  <r>
    <x v="177"/>
    <s v="123003"/>
    <s v="新增证券"/>
    <n v="40"/>
    <n v="40"/>
    <n v="100"/>
    <n v="0"/>
    <n v="0"/>
    <n v="4000"/>
    <n v="0"/>
  </r>
  <r>
    <x v="177"/>
    <s v="300701"/>
    <s v="森霸股份"/>
    <n v="100"/>
    <n v="100"/>
    <n v="-130.48500000000001"/>
    <n v="16966.5"/>
    <n v="0"/>
    <n v="3918"/>
    <n v="39.18"/>
  </r>
  <r>
    <x v="177"/>
    <s v="reserve"/>
    <s v="备用金"/>
    <m/>
    <m/>
    <m/>
    <m/>
    <m/>
    <n v="9393.19"/>
    <m/>
  </r>
  <r>
    <x v="178"/>
    <s v="519888"/>
    <s v="添富快线"/>
    <n v="8000692"/>
    <n v="8000692"/>
    <n v="0.01"/>
    <n v="2761.48"/>
    <n v="0"/>
    <n v="80006.92"/>
    <n v="0.01"/>
  </r>
  <r>
    <x v="178"/>
    <s v="600269"/>
    <s v="赣粤高速"/>
    <n v="3500"/>
    <n v="3500"/>
    <n v="5.3070000000000004"/>
    <n v="-408.52"/>
    <n v="-2.2000000000000002"/>
    <n v="18165"/>
    <n v="5.19"/>
  </r>
  <r>
    <x v="178"/>
    <s v="601398"/>
    <s v="工商银行"/>
    <n v="100"/>
    <n v="100"/>
    <n v="-53.579000000000001"/>
    <n v="5982.9"/>
    <n v="0"/>
    <n v="625"/>
    <n v="6.25"/>
  </r>
  <r>
    <x v="178"/>
    <s v="601998"/>
    <s v="中信银行"/>
    <n v="800"/>
    <n v="800"/>
    <n v="3.99"/>
    <n v="2287.65"/>
    <n v="71.680000000000007"/>
    <n v="5480"/>
    <n v="6.85"/>
  </r>
  <r>
    <x v="178"/>
    <s v="603116"/>
    <s v="红蜻蜓"/>
    <n v="4700"/>
    <n v="4700"/>
    <n v="17.062000000000001"/>
    <n v="-7386.57"/>
    <n v="-9.2100000000000009"/>
    <n v="72803"/>
    <n v="15.49"/>
  </r>
  <r>
    <x v="178"/>
    <s v="000402"/>
    <s v="金 融 街"/>
    <n v="10100"/>
    <n v="9600"/>
    <n v="10.009"/>
    <n v="17380.73"/>
    <n v="17.2"/>
    <n v="118473"/>
    <n v="11.73"/>
  </r>
  <r>
    <x v="178"/>
    <s v="000415"/>
    <s v="渤海金控"/>
    <n v="3800"/>
    <n v="3800"/>
    <n v="6.0010000000000003"/>
    <n v="187.73"/>
    <n v="0.82"/>
    <n v="22990"/>
    <n v="6.05"/>
  </r>
  <r>
    <x v="178"/>
    <s v="000528"/>
    <s v="柳    工"/>
    <n v="7450"/>
    <n v="7450"/>
    <n v="8.6470000000000002"/>
    <n v="-352.02"/>
    <n v="-0.54"/>
    <n v="64070"/>
    <n v="8.6"/>
  </r>
  <r>
    <x v="178"/>
    <s v="000987"/>
    <s v="越秀金控"/>
    <n v="1400"/>
    <n v="1400"/>
    <n v="10.151"/>
    <n v="-238.78"/>
    <n v="-1.68"/>
    <n v="13972"/>
    <n v="9.98"/>
  </r>
  <r>
    <x v="178"/>
    <s v="002006"/>
    <s v="精功科技"/>
    <n v="1400"/>
    <n v="1400"/>
    <n v="7.0620000000000003"/>
    <n v="53.25"/>
    <n v="0.54"/>
    <n v="9940"/>
    <n v="7.1"/>
  </r>
  <r>
    <x v="178"/>
    <s v="002140"/>
    <s v="东华科技"/>
    <n v="9300"/>
    <n v="8800"/>
    <n v="12.331"/>
    <n v="-9679.8799999999992"/>
    <n v="-8.44"/>
    <n v="104997"/>
    <n v="11.29"/>
  </r>
  <r>
    <x v="178"/>
    <s v="123003"/>
    <s v="新增证券"/>
    <n v="40"/>
    <n v="40"/>
    <n v="100"/>
    <n v="0"/>
    <n v="0"/>
    <n v="4000"/>
    <n v="0"/>
  </r>
  <r>
    <x v="178"/>
    <s v="300701"/>
    <s v="森霸股份"/>
    <n v="100"/>
    <n v="100"/>
    <n v="-130.48500000000001"/>
    <n v="16940.5"/>
    <n v="0"/>
    <n v="3892"/>
    <n v="38.92"/>
  </r>
  <r>
    <x v="178"/>
    <s v="reserve"/>
    <s v="备用金"/>
    <m/>
    <m/>
    <m/>
    <m/>
    <m/>
    <n v="16346.58"/>
    <m/>
  </r>
  <r>
    <x v="179"/>
    <s v="519888"/>
    <s v="添富快线"/>
    <n v="7503240"/>
    <n v="7503240"/>
    <n v="0.01"/>
    <n v="2786.96"/>
    <n v="0"/>
    <n v="75032.399999999994"/>
    <n v="0.01"/>
  </r>
  <r>
    <x v="179"/>
    <s v="600269"/>
    <s v="赣粤高速"/>
    <n v="3500"/>
    <n v="3500"/>
    <n v="5.3070000000000004"/>
    <n v="-583.52"/>
    <n v="-3.15"/>
    <n v="17990"/>
    <n v="5.14"/>
  </r>
  <r>
    <x v="179"/>
    <s v="601398"/>
    <s v="工商银行"/>
    <n v="100"/>
    <n v="100"/>
    <n v="-53.579000000000001"/>
    <n v="6000.9"/>
    <n v="0"/>
    <n v="643"/>
    <n v="6.43"/>
  </r>
  <r>
    <x v="179"/>
    <s v="601998"/>
    <s v="中信银行"/>
    <n v="100"/>
    <n v="100"/>
    <n v="-17.085999999999999"/>
    <n v="2405.6"/>
    <n v="0"/>
    <n v="697"/>
    <n v="6.97"/>
  </r>
  <r>
    <x v="179"/>
    <s v="603116"/>
    <s v="红蜻蜓"/>
    <n v="4700"/>
    <n v="4700"/>
    <n v="17.062000000000001"/>
    <n v="-9219.57"/>
    <n v="-11.5"/>
    <n v="70970"/>
    <n v="15.1"/>
  </r>
  <r>
    <x v="179"/>
    <s v="000402"/>
    <s v="金 融 街"/>
    <n v="9700"/>
    <n v="9700"/>
    <n v="9.9339999999999993"/>
    <n v="18683.990000000002"/>
    <n v="19.39"/>
    <n v="115042"/>
    <n v="11.86"/>
  </r>
  <r>
    <x v="179"/>
    <s v="000415"/>
    <s v="渤海金控"/>
    <n v="4300"/>
    <n v="4300"/>
    <n v="5.9779999999999998"/>
    <n v="-767.27"/>
    <n v="-2.98"/>
    <n v="24940"/>
    <n v="5.8"/>
  </r>
  <r>
    <x v="179"/>
    <s v="000528"/>
    <s v="柳    工"/>
    <n v="7950"/>
    <n v="7950"/>
    <n v="8.6319999999999997"/>
    <n v="-2160.02"/>
    <n v="-3.15"/>
    <n v="66462"/>
    <n v="8.36"/>
  </r>
  <r>
    <x v="179"/>
    <s v="000987"/>
    <s v="越秀金控"/>
    <n v="1400"/>
    <n v="1400"/>
    <n v="10.151"/>
    <n v="-350.78"/>
    <n v="-2.4700000000000002"/>
    <n v="13860"/>
    <n v="9.9"/>
  </r>
  <r>
    <x v="179"/>
    <s v="002006"/>
    <s v="精功科技"/>
    <n v="1900"/>
    <n v="1900"/>
    <n v="7.0460000000000003"/>
    <n v="-105.75"/>
    <n v="-0.79"/>
    <n v="13281"/>
    <n v="6.99"/>
  </r>
  <r>
    <x v="179"/>
    <s v="002140"/>
    <s v="东华科技"/>
    <n v="10800"/>
    <n v="10800"/>
    <n v="12.141999999999999"/>
    <n v="-15031.88"/>
    <n v="-11.46"/>
    <n v="116100"/>
    <n v="10.75"/>
  </r>
  <r>
    <x v="179"/>
    <s v="123003"/>
    <s v="新增证券"/>
    <n v="40"/>
    <n v="40"/>
    <n v="100"/>
    <n v="0"/>
    <n v="0"/>
    <n v="4000"/>
    <n v="0"/>
  </r>
  <r>
    <x v="179"/>
    <s v="300701"/>
    <s v="森霸股份"/>
    <n v="100"/>
    <n v="100"/>
    <n v="-130.48500000000001"/>
    <n v="16818.5"/>
    <n v="0"/>
    <n v="3770"/>
    <n v="37.700000000000003"/>
  </r>
  <r>
    <x v="179"/>
    <s v="reserve"/>
    <s v="备用金"/>
    <m/>
    <m/>
    <m/>
    <m/>
    <m/>
    <n v="3921.83"/>
    <m/>
  </r>
  <r>
    <x v="180"/>
    <s v="519888"/>
    <s v="添富快线"/>
    <n v="9741540"/>
    <n v="7503240"/>
    <n v="0.01"/>
    <n v="2786.96"/>
    <n v="0"/>
    <n v="97415.4"/>
    <n v="0.01"/>
  </r>
  <r>
    <x v="180"/>
    <s v="600269"/>
    <s v="赣粤高速"/>
    <n v="3500"/>
    <n v="3500"/>
    <n v="5.3070000000000004"/>
    <n v="-478.52"/>
    <n v="-2.58"/>
    <n v="18095"/>
    <n v="5.17"/>
  </r>
  <r>
    <x v="180"/>
    <s v="601398"/>
    <s v="工商银行"/>
    <n v="100"/>
    <n v="100"/>
    <n v="-53.579000000000001"/>
    <n v="6016.9"/>
    <n v="0"/>
    <n v="659"/>
    <n v="6.59"/>
  </r>
  <r>
    <x v="180"/>
    <s v="601998"/>
    <s v="中信银行"/>
    <n v="100"/>
    <n v="100"/>
    <n v="-17.085999999999999"/>
    <n v="2408.6"/>
    <n v="0"/>
    <n v="700"/>
    <n v="7"/>
  </r>
  <r>
    <x v="180"/>
    <s v="603116"/>
    <s v="红蜻蜓"/>
    <n v="4700"/>
    <n v="4700"/>
    <n v="17.062000000000001"/>
    <n v="-8608.57"/>
    <n v="-10.74"/>
    <n v="71581"/>
    <n v="15.23"/>
  </r>
  <r>
    <x v="180"/>
    <s v="000402"/>
    <s v="金 融 街"/>
    <n v="7200"/>
    <n v="7200"/>
    <n v="9.0570000000000004"/>
    <n v="25150.77"/>
    <n v="38.57"/>
    <n v="90360"/>
    <n v="12.55"/>
  </r>
  <r>
    <x v="180"/>
    <s v="000415"/>
    <s v="渤海金控"/>
    <n v="4300"/>
    <n v="4300"/>
    <n v="5.9779999999999998"/>
    <n v="-595.27"/>
    <n v="-2.31"/>
    <n v="25112"/>
    <n v="5.84"/>
  </r>
  <r>
    <x v="180"/>
    <s v="000528"/>
    <s v="柳    工"/>
    <n v="7550"/>
    <n v="7550"/>
    <n v="8.64"/>
    <n v="-1130.92"/>
    <n v="-1.74"/>
    <n v="64099.5"/>
    <n v="8.49"/>
  </r>
  <r>
    <x v="180"/>
    <s v="000987"/>
    <s v="越秀金控"/>
    <n v="1400"/>
    <n v="1400"/>
    <n v="10.151"/>
    <n v="-280.77999999999997"/>
    <n v="-1.98"/>
    <n v="13930"/>
    <n v="9.9499999999999993"/>
  </r>
  <r>
    <x v="180"/>
    <s v="002006"/>
    <s v="精功科技"/>
    <n v="1900"/>
    <n v="1900"/>
    <n v="7.0460000000000003"/>
    <n v="-105.75"/>
    <n v="-0.79"/>
    <n v="13281"/>
    <n v="6.99"/>
  </r>
  <r>
    <x v="180"/>
    <s v="002140"/>
    <s v="东华科技"/>
    <n v="10800"/>
    <n v="10800"/>
    <n v="12.141999999999999"/>
    <n v="-13735.88"/>
    <n v="-10.48"/>
    <n v="117396"/>
    <n v="10.87"/>
  </r>
  <r>
    <x v="180"/>
    <s v="123003"/>
    <s v="新增证券"/>
    <n v="40"/>
    <n v="40"/>
    <n v="100"/>
    <n v="0"/>
    <n v="0"/>
    <n v="4000"/>
    <n v="0"/>
  </r>
  <r>
    <x v="180"/>
    <s v="300701"/>
    <s v="森霸股份"/>
    <n v="100"/>
    <n v="100"/>
    <n v="-130.48500000000001"/>
    <n v="17034.5"/>
    <n v="0"/>
    <n v="3986"/>
    <n v="39.86"/>
  </r>
  <r>
    <x v="180"/>
    <s v="reserve"/>
    <s v="备用金"/>
    <m/>
    <m/>
    <m/>
    <m/>
    <m/>
    <n v="16079.06"/>
    <m/>
  </r>
  <r>
    <x v="181"/>
    <s v="519888"/>
    <s v="添富快线"/>
    <n v="9999975"/>
    <n v="9742175"/>
    <n v="0.01"/>
    <n v="2793.31"/>
    <n v="0"/>
    <n v="99999.75"/>
    <n v="0.01"/>
  </r>
  <r>
    <x v="181"/>
    <s v="600269"/>
    <s v="赣粤高速"/>
    <n v="3100"/>
    <n v="3100"/>
    <n v="5.3179999999999996"/>
    <n v="-178.66"/>
    <n v="-1.0900000000000001"/>
    <n v="16306"/>
    <n v="5.26"/>
  </r>
  <r>
    <x v="181"/>
    <s v="601398"/>
    <s v="工商银行"/>
    <n v="100"/>
    <n v="100"/>
    <n v="-53.579000000000001"/>
    <n v="6026.9"/>
    <n v="0"/>
    <n v="669"/>
    <n v="6.69"/>
  </r>
  <r>
    <x v="181"/>
    <s v="601998"/>
    <s v="中信银行"/>
    <n v="100"/>
    <n v="100"/>
    <n v="-17.085999999999999"/>
    <n v="2403.6"/>
    <n v="0"/>
    <n v="695"/>
    <n v="6.95"/>
  </r>
  <r>
    <x v="181"/>
    <s v="603116"/>
    <s v="红蜻蜓"/>
    <n v="4800"/>
    <n v="4300"/>
    <n v="17.009"/>
    <n v="-8489.92"/>
    <n v="-10.4"/>
    <n v="73152"/>
    <n v="15.24"/>
  </r>
  <r>
    <x v="181"/>
    <s v="000402"/>
    <s v="金 融 街"/>
    <n v="7900"/>
    <n v="6700"/>
    <n v="9.3520000000000003"/>
    <n v="22659.66"/>
    <n v="30.67"/>
    <n v="96538"/>
    <n v="12.22"/>
  </r>
  <r>
    <x v="181"/>
    <s v="000415"/>
    <s v="渤海金控"/>
    <n v="4300"/>
    <n v="4300"/>
    <n v="5.9779999999999998"/>
    <n v="-595.27"/>
    <n v="-2.31"/>
    <n v="25112"/>
    <n v="5.84"/>
  </r>
  <r>
    <x v="181"/>
    <s v="000528"/>
    <s v="柳    工"/>
    <n v="8050"/>
    <n v="7550"/>
    <n v="8.6219999999999999"/>
    <n v="-2509.92"/>
    <n v="-3.62"/>
    <n v="66895.5"/>
    <n v="8.31"/>
  </r>
  <r>
    <x v="181"/>
    <s v="000987"/>
    <s v="越秀金控"/>
    <n v="600"/>
    <n v="600"/>
    <n v="10.095000000000001"/>
    <n v="21.05"/>
    <n v="0.35"/>
    <n v="6078"/>
    <n v="10.130000000000001"/>
  </r>
  <r>
    <x v="181"/>
    <s v="002006"/>
    <s v="精功科技"/>
    <n v="1900"/>
    <n v="1900"/>
    <n v="7.0460000000000003"/>
    <n v="-276.75"/>
    <n v="-2.0699999999999998"/>
    <n v="13110"/>
    <n v="6.9"/>
  </r>
  <r>
    <x v="181"/>
    <s v="002140"/>
    <s v="东华科技"/>
    <n v="10800"/>
    <n v="10800"/>
    <n v="12.141999999999999"/>
    <n v="-14275.88"/>
    <n v="-10.89"/>
    <n v="116856"/>
    <n v="10.82"/>
  </r>
  <r>
    <x v="181"/>
    <s v="123003"/>
    <s v="蓝思转债"/>
    <n v="40"/>
    <n v="40"/>
    <n v="100"/>
    <n v="-163.16"/>
    <n v="-4.08"/>
    <n v="3836.84"/>
    <n v="95.921000000000006"/>
  </r>
  <r>
    <x v="181"/>
    <s v="300701"/>
    <s v="森霸股份"/>
    <n v="100"/>
    <n v="100"/>
    <n v="-130.48500000000001"/>
    <n v="17092.5"/>
    <n v="0"/>
    <n v="4044"/>
    <n v="40.44"/>
  </r>
  <r>
    <x v="181"/>
    <s v="reserve"/>
    <s v="备用金"/>
    <m/>
    <m/>
    <m/>
    <m/>
    <m/>
    <n v="9447.44"/>
    <m/>
  </r>
  <r>
    <x v="182"/>
    <s v="519888"/>
    <s v="添富快线"/>
    <n v="10000838"/>
    <n v="10000838"/>
    <n v="0.01"/>
    <n v="2801.94"/>
    <n v="0"/>
    <n v="100008.38"/>
    <n v="0.01"/>
  </r>
  <r>
    <x v="182"/>
    <s v="600269"/>
    <s v="赣粤高速"/>
    <n v="3100"/>
    <n v="3100"/>
    <n v="5.3179999999999996"/>
    <n v="-178.66"/>
    <n v="-1.0900000000000001"/>
    <n v="16306"/>
    <n v="5.26"/>
  </r>
  <r>
    <x v="182"/>
    <s v="601398"/>
    <s v="工商银行"/>
    <n v="100"/>
    <n v="100"/>
    <n v="-53.579000000000001"/>
    <n v="6070.9"/>
    <n v="0"/>
    <n v="713"/>
    <n v="7.13"/>
  </r>
  <r>
    <x v="182"/>
    <s v="601998"/>
    <s v="中信银行"/>
    <n v="100"/>
    <n v="100"/>
    <n v="-17.085999999999999"/>
    <n v="2428.6"/>
    <n v="0"/>
    <n v="720"/>
    <n v="7.2"/>
  </r>
  <r>
    <x v="182"/>
    <s v="603116"/>
    <s v="红蜻蜓"/>
    <n v="4800"/>
    <n v="4800"/>
    <n v="17.009"/>
    <n v="-7673.92"/>
    <n v="-9.4"/>
    <n v="73968"/>
    <n v="15.41"/>
  </r>
  <r>
    <x v="182"/>
    <s v="000402"/>
    <s v="金 融 街"/>
    <n v="7900"/>
    <n v="7900"/>
    <n v="9.3520000000000003"/>
    <n v="21948.66"/>
    <n v="29.71"/>
    <n v="95827"/>
    <n v="12.13"/>
  </r>
  <r>
    <x v="182"/>
    <s v="000415"/>
    <s v="渤海金控"/>
    <n v="4300"/>
    <n v="4300"/>
    <n v="5.9779999999999998"/>
    <n v="-595.27"/>
    <n v="-2.31"/>
    <n v="25112"/>
    <n v="5.84"/>
  </r>
  <r>
    <x v="182"/>
    <s v="000528"/>
    <s v="柳    工"/>
    <n v="7650"/>
    <n v="7650"/>
    <n v="8.6340000000000003"/>
    <n v="-1717.28"/>
    <n v="-2.59"/>
    <n v="64336.5"/>
    <n v="8.41"/>
  </r>
  <r>
    <x v="182"/>
    <s v="000987"/>
    <s v="越秀金控"/>
    <n v="600"/>
    <n v="600"/>
    <n v="10.095000000000001"/>
    <n v="-32.950000000000003"/>
    <n v="-0.54"/>
    <n v="6024"/>
    <n v="10.039999999999999"/>
  </r>
  <r>
    <x v="182"/>
    <s v="002006"/>
    <s v="精功科技"/>
    <n v="1900"/>
    <n v="1900"/>
    <n v="7.0460000000000003"/>
    <n v="-257.75"/>
    <n v="-1.93"/>
    <n v="13129"/>
    <n v="6.91"/>
  </r>
  <r>
    <x v="182"/>
    <s v="002140"/>
    <s v="东华科技"/>
    <n v="10400"/>
    <n v="10300"/>
    <n v="12.188000000000001"/>
    <n v="-13085.26"/>
    <n v="-10.32"/>
    <n v="113672"/>
    <n v="10.93"/>
  </r>
  <r>
    <x v="182"/>
    <s v="123003"/>
    <s v="蓝思转债"/>
    <n v="40"/>
    <n v="40"/>
    <n v="100"/>
    <n v="-164.8"/>
    <n v="-4.12"/>
    <n v="3835.2"/>
    <n v="95.88"/>
  </r>
  <r>
    <x v="182"/>
    <s v="300701"/>
    <s v="森霸股份"/>
    <n v="100"/>
    <n v="100"/>
    <n v="-130.48500000000001"/>
    <n v="17055.5"/>
    <n v="0"/>
    <n v="4007"/>
    <n v="40.07"/>
  </r>
  <r>
    <x v="182"/>
    <s v="reserve"/>
    <s v="备用金"/>
    <m/>
    <m/>
    <m/>
    <m/>
    <m/>
    <n v="17173.7"/>
    <m/>
  </r>
  <r>
    <x v="183"/>
    <s v="519888"/>
    <s v="添富快线"/>
    <n v="10001801"/>
    <n v="10001801"/>
    <n v="0.01"/>
    <n v="2811.57"/>
    <n v="0"/>
    <n v="100018.01"/>
    <n v="0.01"/>
  </r>
  <r>
    <x v="183"/>
    <s v="600269"/>
    <s v="赣粤高速"/>
    <n v="2700"/>
    <n v="2700"/>
    <n v="5.3179999999999996"/>
    <n v="4.17"/>
    <n v="0.04"/>
    <n v="14364"/>
    <n v="5.32"/>
  </r>
  <r>
    <x v="183"/>
    <s v="601398"/>
    <s v="工商银行"/>
    <n v="100"/>
    <n v="100"/>
    <n v="-53.579000000000001"/>
    <n v="6069.9"/>
    <n v="0"/>
    <n v="712"/>
    <n v="7.12"/>
  </r>
  <r>
    <x v="183"/>
    <s v="601998"/>
    <s v="中信银行"/>
    <n v="100"/>
    <n v="100"/>
    <n v="-17.085999999999999"/>
    <n v="2428.6"/>
    <n v="0"/>
    <n v="720"/>
    <n v="7.2"/>
  </r>
  <r>
    <x v="183"/>
    <s v="603116"/>
    <s v="红蜻蜓"/>
    <n v="4800"/>
    <n v="4800"/>
    <n v="17.009"/>
    <n v="-7193.92"/>
    <n v="-8.81"/>
    <n v="74448"/>
    <n v="15.51"/>
  </r>
  <r>
    <x v="183"/>
    <s v="000402"/>
    <s v="金 融 街"/>
    <n v="7800"/>
    <n v="7400"/>
    <n v="9.2989999999999995"/>
    <n v="20597.5"/>
    <n v="28.4"/>
    <n v="93132"/>
    <n v="11.94"/>
  </r>
  <r>
    <x v="183"/>
    <s v="000415"/>
    <s v="渤海金控"/>
    <n v="4300"/>
    <n v="4300"/>
    <n v="5.9779999999999998"/>
    <n v="-595.27"/>
    <n v="-2.31"/>
    <n v="25112"/>
    <n v="5.84"/>
  </r>
  <r>
    <x v="183"/>
    <s v="000528"/>
    <s v="柳    工"/>
    <n v="7650"/>
    <n v="6750"/>
    <n v="8.6319999999999997"/>
    <n v="-1239.7"/>
    <n v="-1.88"/>
    <n v="64795.5"/>
    <n v="8.4700000000000006"/>
  </r>
  <r>
    <x v="183"/>
    <s v="000987"/>
    <s v="越秀金控"/>
    <n v="100"/>
    <n v="100"/>
    <n v="8.8810000000000002"/>
    <n v="161.87"/>
    <n v="18.23"/>
    <n v="1050"/>
    <n v="10.5"/>
  </r>
  <r>
    <x v="183"/>
    <s v="002006"/>
    <s v="精功科技"/>
    <n v="1900"/>
    <n v="1900"/>
    <n v="7.0460000000000003"/>
    <n v="-181.75"/>
    <n v="-1.36"/>
    <n v="13205"/>
    <n v="6.95"/>
  </r>
  <r>
    <x v="183"/>
    <s v="002140"/>
    <s v="东华科技"/>
    <n v="10400"/>
    <n v="10400"/>
    <n v="12.188000000000001"/>
    <n v="-14021.26"/>
    <n v="-11.06"/>
    <n v="112736"/>
    <n v="10.84"/>
  </r>
  <r>
    <x v="183"/>
    <s v="123003"/>
    <s v="蓝思转债"/>
    <n v="40"/>
    <n v="40"/>
    <n v="100"/>
    <n v="-128.4"/>
    <n v="-3.21"/>
    <n v="3871.6"/>
    <n v="96.79"/>
  </r>
  <r>
    <x v="183"/>
    <s v="300701"/>
    <s v="森霸股份"/>
    <n v="100"/>
    <n v="100"/>
    <n v="-130.48500000000001"/>
    <n v="17034.5"/>
    <n v="0"/>
    <n v="3986"/>
    <n v="39.86"/>
  </r>
  <r>
    <x v="183"/>
    <s v="reserve"/>
    <s v="备用金"/>
    <m/>
    <m/>
    <m/>
    <m/>
    <m/>
    <n v="25829.77"/>
    <m/>
  </r>
  <r>
    <x v="184"/>
    <s v="519888"/>
    <s v="添富快线"/>
    <n v="12873222"/>
    <n v="10002722"/>
    <n v="0.01"/>
    <n v="2820.78"/>
    <n v="0"/>
    <n v="128732.22"/>
    <n v="0.01"/>
  </r>
  <r>
    <x v="184"/>
    <s v="600269"/>
    <s v="赣粤高速"/>
    <n v="2700"/>
    <n v="2700"/>
    <n v="5.3179999999999996"/>
    <n v="58.17"/>
    <n v="0.41"/>
    <n v="14418"/>
    <n v="5.34"/>
  </r>
  <r>
    <x v="184"/>
    <s v="601398"/>
    <s v="工商银行"/>
    <n v="100"/>
    <n v="100"/>
    <n v="-53.579000000000001"/>
    <n v="6074.9"/>
    <n v="0"/>
    <n v="717"/>
    <n v="7.17"/>
  </r>
  <r>
    <x v="184"/>
    <s v="601998"/>
    <s v="中信银行"/>
    <n v="100"/>
    <n v="100"/>
    <n v="-17.085999999999999"/>
    <n v="2420.6"/>
    <n v="0"/>
    <n v="712"/>
    <n v="7.12"/>
  </r>
  <r>
    <x v="184"/>
    <s v="603116"/>
    <s v="红蜻蜓"/>
    <n v="4400"/>
    <n v="4400"/>
    <n v="17.143000000000001"/>
    <n v="-7053.27"/>
    <n v="-9.35"/>
    <n v="68376"/>
    <n v="15.54"/>
  </r>
  <r>
    <x v="184"/>
    <s v="000402"/>
    <s v="金 融 街"/>
    <n v="7400"/>
    <n v="7400"/>
    <n v="9.1519999999999992"/>
    <n v="20997.68"/>
    <n v="31.01"/>
    <n v="88726"/>
    <n v="11.99"/>
  </r>
  <r>
    <x v="184"/>
    <s v="000415"/>
    <s v="渤海金控"/>
    <n v="4300"/>
    <n v="4300"/>
    <n v="5.9779999999999998"/>
    <n v="-595.27"/>
    <n v="-2.31"/>
    <n v="25112"/>
    <n v="5.84"/>
  </r>
  <r>
    <x v="184"/>
    <s v="000528"/>
    <s v="柳    工"/>
    <n v="8050"/>
    <n v="7650"/>
    <n v="8.6180000000000003"/>
    <n v="-1671.7"/>
    <n v="-2.41"/>
    <n v="67700.5"/>
    <n v="8.41"/>
  </r>
  <r>
    <x v="184"/>
    <s v="000987"/>
    <s v="越秀金控"/>
    <n v="100"/>
    <n v="100"/>
    <n v="8.8810000000000002"/>
    <n v="153.87"/>
    <n v="17.329999999999998"/>
    <n v="1042"/>
    <n v="10.42"/>
  </r>
  <r>
    <x v="184"/>
    <s v="002006"/>
    <s v="精功科技"/>
    <n v="2400"/>
    <n v="1900"/>
    <n v="7.0259999999999998"/>
    <n v="-61.75"/>
    <n v="-0.37"/>
    <n v="16800"/>
    <n v="7"/>
  </r>
  <r>
    <x v="184"/>
    <s v="002140"/>
    <s v="东华科技"/>
    <n v="10400"/>
    <n v="10400"/>
    <n v="12.188000000000001"/>
    <n v="-12981.26"/>
    <n v="-10.24"/>
    <n v="113776"/>
    <n v="10.94"/>
  </r>
  <r>
    <x v="184"/>
    <s v="123003"/>
    <s v="蓝思转债"/>
    <n v="40"/>
    <n v="40"/>
    <n v="100"/>
    <n v="-56"/>
    <n v="-1.4"/>
    <n v="3944"/>
    <n v="98.6"/>
  </r>
  <r>
    <x v="184"/>
    <s v="300701"/>
    <s v="森霸股份"/>
    <n v="100"/>
    <n v="100"/>
    <n v="-130.48500000000001"/>
    <n v="16731.5"/>
    <n v="0"/>
    <n v="3683"/>
    <n v="36.83"/>
  </r>
  <r>
    <x v="184"/>
    <s v="reserve"/>
    <s v="备用金"/>
    <m/>
    <m/>
    <m/>
    <m/>
    <m/>
    <n v="1331.6"/>
    <m/>
  </r>
  <r>
    <x v="185"/>
    <s v="519888"/>
    <s v="添富快线"/>
    <n v="12875700"/>
    <n v="12875700"/>
    <n v="0.01"/>
    <n v="2845.56"/>
    <n v="0"/>
    <n v="128757"/>
    <n v="0.01"/>
  </r>
  <r>
    <x v="185"/>
    <s v="600269"/>
    <s v="赣粤高速"/>
    <n v="2300"/>
    <n v="2300"/>
    <n v="5.3140000000000001"/>
    <n v="104.99"/>
    <n v="0.87"/>
    <n v="12328"/>
    <n v="5.36"/>
  </r>
  <r>
    <x v="185"/>
    <s v="601398"/>
    <s v="工商银行"/>
    <n v="100"/>
    <n v="100"/>
    <n v="-53.579000000000001"/>
    <n v="6106.9"/>
    <n v="0"/>
    <n v="749"/>
    <n v="7.49"/>
  </r>
  <r>
    <x v="185"/>
    <s v="601998"/>
    <s v="中信银行"/>
    <n v="100"/>
    <n v="100"/>
    <n v="-17.085999999999999"/>
    <n v="2446.6"/>
    <n v="0"/>
    <n v="738"/>
    <n v="7.38"/>
  </r>
  <r>
    <x v="185"/>
    <s v="603116"/>
    <s v="红蜻蜓"/>
    <n v="4400"/>
    <n v="4400"/>
    <n v="17.143000000000001"/>
    <n v="-6921.27"/>
    <n v="-9.17"/>
    <n v="68508"/>
    <n v="15.57"/>
  </r>
  <r>
    <x v="185"/>
    <s v="000402"/>
    <s v="金 融 街"/>
    <n v="6800"/>
    <n v="5900"/>
    <n v="8.8780000000000001"/>
    <n v="22796.48"/>
    <n v="37.76"/>
    <n v="83164"/>
    <n v="12.23"/>
  </r>
  <r>
    <x v="185"/>
    <s v="000415"/>
    <s v="渤海金控"/>
    <n v="4300"/>
    <n v="4300"/>
    <n v="5.9779999999999998"/>
    <n v="-595.27"/>
    <n v="-2.31"/>
    <n v="25112"/>
    <n v="5.84"/>
  </r>
  <r>
    <x v="185"/>
    <s v="000528"/>
    <s v="柳    工"/>
    <n v="7650"/>
    <n v="7650"/>
    <n v="8.6240000000000006"/>
    <n v="-335.61"/>
    <n v="-0.51"/>
    <n v="65637"/>
    <n v="8.58"/>
  </r>
  <r>
    <x v="185"/>
    <s v="000987"/>
    <s v="越秀金控"/>
    <n v="100"/>
    <n v="100"/>
    <n v="8.8810000000000002"/>
    <n v="151.87"/>
    <n v="17.100000000000001"/>
    <n v="1040"/>
    <n v="10.4"/>
  </r>
  <r>
    <x v="185"/>
    <s v="002006"/>
    <s v="精功科技"/>
    <n v="2400"/>
    <n v="2400"/>
    <n v="7.0259999999999998"/>
    <n v="-133.75"/>
    <n v="-0.8"/>
    <n v="16728"/>
    <n v="6.97"/>
  </r>
  <r>
    <x v="185"/>
    <s v="002140"/>
    <s v="东华科技"/>
    <n v="10400"/>
    <n v="10400"/>
    <n v="12.188000000000001"/>
    <n v="-13397.26"/>
    <n v="-10.57"/>
    <n v="113360"/>
    <n v="10.9"/>
  </r>
  <r>
    <x v="185"/>
    <s v="123003"/>
    <s v="蓝思转债"/>
    <n v="40"/>
    <n v="40"/>
    <n v="100"/>
    <n v="-80"/>
    <n v="-2"/>
    <n v="3920"/>
    <n v="98"/>
  </r>
  <r>
    <x v="185"/>
    <s v="300701"/>
    <s v="森霸股份"/>
    <n v="100"/>
    <n v="100"/>
    <n v="-130.48500000000001"/>
    <n v="16762.5"/>
    <n v="0"/>
    <n v="3714"/>
    <n v="37.14"/>
  </r>
  <r>
    <x v="185"/>
    <s v="reserve"/>
    <s v="备用金"/>
    <m/>
    <m/>
    <m/>
    <m/>
    <m/>
    <n v="14228.81"/>
    <m/>
  </r>
  <r>
    <x v="186"/>
    <s v="519888"/>
    <s v="添富快线"/>
    <n v="13868677"/>
    <n v="12876877"/>
    <n v="0.01"/>
    <n v="2857.33"/>
    <n v="0"/>
    <n v="138686.76999999999"/>
    <n v="0.01"/>
  </r>
  <r>
    <x v="186"/>
    <s v="600269"/>
    <s v="赣粤高速"/>
    <n v="1800"/>
    <n v="1800"/>
    <n v="5.2809999999999997"/>
    <n v="232.21"/>
    <n v="2.44"/>
    <n v="9738"/>
    <n v="5.41"/>
  </r>
  <r>
    <x v="186"/>
    <s v="601398"/>
    <s v="工商银行"/>
    <n v="100"/>
    <n v="100"/>
    <n v="-53.579000000000001"/>
    <n v="6092.9"/>
    <n v="0"/>
    <n v="735"/>
    <n v="7.35"/>
  </r>
  <r>
    <x v="186"/>
    <s v="601998"/>
    <s v="中信银行"/>
    <n v="100"/>
    <n v="100"/>
    <n v="-17.085999999999999"/>
    <n v="2447.6"/>
    <n v="0"/>
    <n v="739"/>
    <n v="7.39"/>
  </r>
  <r>
    <x v="186"/>
    <s v="603116"/>
    <s v="红蜻蜓"/>
    <n v="4400"/>
    <n v="4400"/>
    <n v="17.143000000000001"/>
    <n v="-6833.27"/>
    <n v="-9.06"/>
    <n v="68596"/>
    <n v="15.59"/>
  </r>
  <r>
    <x v="186"/>
    <s v="000402"/>
    <s v="金 融 街"/>
    <n v="6300"/>
    <n v="5800"/>
    <n v="8.6029999999999998"/>
    <n v="22598.3"/>
    <n v="41.7"/>
    <n v="76797"/>
    <n v="12.19"/>
  </r>
  <r>
    <x v="186"/>
    <s v="000415"/>
    <s v="渤海金控"/>
    <n v="4300"/>
    <n v="4300"/>
    <n v="5.9779999999999998"/>
    <n v="-595.27"/>
    <n v="-2.31"/>
    <n v="25112"/>
    <n v="5.84"/>
  </r>
  <r>
    <x v="186"/>
    <s v="000528"/>
    <s v="柳    工"/>
    <n v="7650"/>
    <n v="7650"/>
    <n v="8.6240000000000006"/>
    <n v="-794.61"/>
    <n v="-1.2"/>
    <n v="65178"/>
    <n v="8.52"/>
  </r>
  <r>
    <x v="186"/>
    <s v="000987"/>
    <s v="越秀金控"/>
    <n v="100"/>
    <n v="100"/>
    <n v="8.8810000000000002"/>
    <n v="159.87"/>
    <n v="18.010000000000002"/>
    <n v="1048"/>
    <n v="10.48"/>
  </r>
  <r>
    <x v="186"/>
    <s v="002006"/>
    <s v="精功科技"/>
    <n v="2000"/>
    <n v="2000"/>
    <n v="7.0270000000000001"/>
    <n v="26.43"/>
    <n v="0.19"/>
    <n v="14080"/>
    <n v="7.04"/>
  </r>
  <r>
    <x v="186"/>
    <s v="002140"/>
    <s v="东华科技"/>
    <n v="10400"/>
    <n v="10400"/>
    <n v="12.188000000000001"/>
    <n v="-13085.26"/>
    <n v="-10.32"/>
    <n v="113672"/>
    <n v="10.93"/>
  </r>
  <r>
    <x v="186"/>
    <s v="123003"/>
    <s v="蓝思转债"/>
    <n v="0"/>
    <n v="0"/>
    <n v="0"/>
    <n v="-4.04"/>
    <n v="0"/>
    <n v="0"/>
    <n v="99.802000000000007"/>
  </r>
  <r>
    <x v="186"/>
    <s v="300701"/>
    <s v="森霸股份"/>
    <n v="100"/>
    <n v="100"/>
    <n v="-130.48500000000001"/>
    <n v="16814.5"/>
    <n v="0"/>
    <n v="3766"/>
    <n v="37.659999999999997"/>
  </r>
  <r>
    <x v="186"/>
    <s v="reserve"/>
    <s v="备用金"/>
    <m/>
    <m/>
    <m/>
    <m/>
    <m/>
    <n v="20000.990000000002"/>
    <m/>
  </r>
  <r>
    <x v="187"/>
    <s v="519888"/>
    <s v="添富快线"/>
    <n v="14263004"/>
    <n v="11869904"/>
    <n v="0.01"/>
    <n v="2869.6"/>
    <n v="0"/>
    <n v="142630.04"/>
    <n v="0.01"/>
  </r>
  <r>
    <x v="187"/>
    <s v="600269"/>
    <s v="赣粤高速"/>
    <n v="1800"/>
    <n v="1800"/>
    <n v="5.2809999999999997"/>
    <n v="196.21"/>
    <n v="2.06"/>
    <n v="9702"/>
    <n v="5.39"/>
  </r>
  <r>
    <x v="187"/>
    <s v="601398"/>
    <s v="工商银行"/>
    <n v="100"/>
    <n v="100"/>
    <n v="-53.579000000000001"/>
    <n v="6092.9"/>
    <n v="0"/>
    <n v="735"/>
    <n v="7.35"/>
  </r>
  <r>
    <x v="187"/>
    <s v="601998"/>
    <s v="中信银行"/>
    <n v="100"/>
    <n v="100"/>
    <n v="-17.085999999999999"/>
    <n v="2434.6"/>
    <n v="0"/>
    <n v="726"/>
    <n v="7.26"/>
  </r>
  <r>
    <x v="187"/>
    <s v="603116"/>
    <s v="红蜻蜓"/>
    <n v="4400"/>
    <n v="4400"/>
    <n v="17.143000000000001"/>
    <n v="-7097.27"/>
    <n v="-9.41"/>
    <n v="68332"/>
    <n v="15.53"/>
  </r>
  <r>
    <x v="187"/>
    <s v="000402"/>
    <s v="金 融 街"/>
    <n v="6500"/>
    <n v="5300"/>
    <n v="8.7040000000000006"/>
    <n v="20969.3"/>
    <n v="37.06"/>
    <n v="77545"/>
    <n v="11.93"/>
  </r>
  <r>
    <x v="187"/>
    <s v="000415"/>
    <s v="渤海金控"/>
    <n v="4300"/>
    <n v="4300"/>
    <n v="5.9779999999999998"/>
    <n v="-595.27"/>
    <n v="-2.31"/>
    <n v="25112"/>
    <n v="5.84"/>
  </r>
  <r>
    <x v="187"/>
    <s v="000528"/>
    <s v="柳    工"/>
    <n v="7250"/>
    <n v="7250"/>
    <n v="8.625"/>
    <n v="-618.05999999999995"/>
    <n v="-0.98"/>
    <n v="61915"/>
    <n v="8.5399999999999991"/>
  </r>
  <r>
    <x v="187"/>
    <s v="000987"/>
    <s v="越秀金控"/>
    <n v="100"/>
    <n v="100"/>
    <n v="8.8810000000000002"/>
    <n v="142.87"/>
    <n v="16.09"/>
    <n v="1031"/>
    <n v="10.31"/>
  </r>
  <r>
    <x v="187"/>
    <s v="002006"/>
    <s v="精功科技"/>
    <n v="1600"/>
    <n v="1600"/>
    <n v="6.9909999999999997"/>
    <n v="286.55"/>
    <n v="2.56"/>
    <n v="11472"/>
    <n v="7.17"/>
  </r>
  <r>
    <x v="187"/>
    <s v="002140"/>
    <s v="东华科技"/>
    <n v="10000"/>
    <n v="10000"/>
    <n v="12.237"/>
    <n v="-12966.66"/>
    <n v="-10.6"/>
    <n v="109400"/>
    <n v="10.94"/>
  </r>
  <r>
    <x v="187"/>
    <s v="300701"/>
    <s v="森霸股份"/>
    <n v="100"/>
    <n v="100"/>
    <n v="-130.48500000000001"/>
    <n v="16745.5"/>
    <n v="0"/>
    <n v="3697"/>
    <n v="36.97"/>
  </r>
  <r>
    <x v="187"/>
    <s v="reserve"/>
    <s v="备用金"/>
    <m/>
    <m/>
    <m/>
    <m/>
    <m/>
    <n v="4391.26"/>
    <m/>
  </r>
  <r>
    <x v="188"/>
    <s v="519888"/>
    <s v="添富快线"/>
    <n v="14264290"/>
    <n v="14264290"/>
    <n v="0.01"/>
    <n v="2882.46"/>
    <n v="0"/>
    <n v="142642.9"/>
    <n v="0.01"/>
  </r>
  <r>
    <x v="188"/>
    <s v="600269"/>
    <s v="赣粤高速"/>
    <n v="1800"/>
    <n v="1800"/>
    <n v="5.2809999999999997"/>
    <n v="214.21"/>
    <n v="2.25"/>
    <n v="9720"/>
    <n v="5.4"/>
  </r>
  <r>
    <x v="188"/>
    <s v="601398"/>
    <s v="工商银行"/>
    <n v="100"/>
    <n v="100"/>
    <n v="-53.579000000000001"/>
    <n v="6099.9"/>
    <n v="0"/>
    <n v="742"/>
    <n v="7.42"/>
  </r>
  <r>
    <x v="188"/>
    <s v="601998"/>
    <s v="中信银行"/>
    <n v="100"/>
    <n v="100"/>
    <n v="-17.085999999999999"/>
    <n v="2446.6"/>
    <n v="0"/>
    <n v="738"/>
    <n v="7.38"/>
  </r>
  <r>
    <x v="188"/>
    <s v="603116"/>
    <s v="红蜻蜓"/>
    <n v="4400"/>
    <n v="4400"/>
    <n v="17.143000000000001"/>
    <n v="-7185.27"/>
    <n v="-9.52"/>
    <n v="68244"/>
    <n v="15.51"/>
  </r>
  <r>
    <x v="188"/>
    <s v="000402"/>
    <s v="金 融 街"/>
    <n v="4900"/>
    <n v="4900"/>
    <n v="7.5730000000000004"/>
    <n v="23015.8"/>
    <n v="62.02"/>
    <n v="60123"/>
    <n v="12.27"/>
  </r>
  <r>
    <x v="188"/>
    <s v="000415"/>
    <s v="渤海金控"/>
    <n v="4300"/>
    <n v="4300"/>
    <n v="5.9779999999999998"/>
    <n v="-595.27"/>
    <n v="-2.31"/>
    <n v="25112"/>
    <n v="5.84"/>
  </r>
  <r>
    <x v="188"/>
    <s v="000528"/>
    <s v="柳    工"/>
    <n v="5650"/>
    <n v="5650"/>
    <n v="8.6110000000000007"/>
    <n v="782.53"/>
    <n v="1.62"/>
    <n v="49437.5"/>
    <n v="8.75"/>
  </r>
  <r>
    <x v="188"/>
    <s v="000987"/>
    <s v="越秀金控"/>
    <n v="100"/>
    <n v="100"/>
    <n v="8.8810000000000002"/>
    <n v="146.87"/>
    <n v="16.54"/>
    <n v="1035"/>
    <n v="10.35"/>
  </r>
  <r>
    <x v="188"/>
    <s v="002006"/>
    <s v="精功科技"/>
    <n v="2100"/>
    <n v="1600"/>
    <n v="7.01"/>
    <n v="42.55"/>
    <n v="0.28999999999999998"/>
    <n v="14763"/>
    <n v="7.03"/>
  </r>
  <r>
    <x v="188"/>
    <s v="002140"/>
    <s v="东华科技"/>
    <n v="10000"/>
    <n v="10000"/>
    <n v="12.237"/>
    <n v="-12866.66"/>
    <n v="-10.52"/>
    <n v="109500"/>
    <n v="10.95"/>
  </r>
  <r>
    <x v="188"/>
    <s v="300701"/>
    <s v="森霸股份"/>
    <n v="100"/>
    <n v="100"/>
    <n v="-130.48500000000001"/>
    <n v="16708.5"/>
    <n v="0"/>
    <n v="3660"/>
    <n v="36.6"/>
  </r>
  <r>
    <x v="188"/>
    <s v="reserve"/>
    <s v="备用金"/>
    <m/>
    <m/>
    <m/>
    <m/>
    <m/>
    <n v="34202.85"/>
    <m/>
  </r>
  <r>
    <x v="189"/>
    <s v="519888"/>
    <s v="添富快线"/>
    <n v="16465624"/>
    <n v="13465624"/>
    <n v="0.01"/>
    <n v="2895.8"/>
    <n v="0"/>
    <n v="164656.24"/>
    <n v="0.01"/>
  </r>
  <r>
    <x v="189"/>
    <s v="600269"/>
    <s v="赣粤高速"/>
    <n v="1800"/>
    <n v="1800"/>
    <n v="5.2809999999999997"/>
    <n v="106.21"/>
    <n v="1.1200000000000001"/>
    <n v="9612"/>
    <n v="5.34"/>
  </r>
  <r>
    <x v="189"/>
    <s v="601398"/>
    <s v="工商银行"/>
    <n v="100"/>
    <n v="100"/>
    <n v="-53.579000000000001"/>
    <n v="6100.9"/>
    <n v="0"/>
    <n v="743"/>
    <n v="7.43"/>
  </r>
  <r>
    <x v="189"/>
    <s v="601998"/>
    <s v="中信银行"/>
    <n v="100"/>
    <n v="100"/>
    <n v="-17.085999999999999"/>
    <n v="2436.6"/>
    <n v="0"/>
    <n v="728"/>
    <n v="7.28"/>
  </r>
  <r>
    <x v="189"/>
    <s v="603116"/>
    <s v="红蜻蜓"/>
    <n v="4400"/>
    <n v="4400"/>
    <n v="17.143000000000001"/>
    <n v="-6613.27"/>
    <n v="-8.77"/>
    <n v="68816"/>
    <n v="15.64"/>
  </r>
  <r>
    <x v="189"/>
    <s v="000402"/>
    <s v="金 融 街"/>
    <n v="5700"/>
    <n v="4100"/>
    <n v="8.1890000000000001"/>
    <n v="22180.93"/>
    <n v="47.52"/>
    <n v="68856"/>
    <n v="12.08"/>
  </r>
  <r>
    <x v="189"/>
    <s v="000415"/>
    <s v="渤海金控"/>
    <n v="4300"/>
    <n v="4300"/>
    <n v="5.9779999999999998"/>
    <n v="-595.27"/>
    <n v="-2.31"/>
    <n v="25112"/>
    <n v="5.84"/>
  </r>
  <r>
    <x v="189"/>
    <s v="000528"/>
    <s v="柳    工"/>
    <n v="4850"/>
    <n v="4850"/>
    <n v="8.5839999999999996"/>
    <n v="999.49"/>
    <n v="2.4"/>
    <n v="42631.5"/>
    <n v="8.7899999999999991"/>
  </r>
  <r>
    <x v="189"/>
    <s v="000987"/>
    <s v="越秀金控"/>
    <n v="100"/>
    <n v="100"/>
    <n v="8.8810000000000002"/>
    <n v="133.87"/>
    <n v="15.08"/>
    <n v="1022"/>
    <n v="10.220000000000001"/>
  </r>
  <r>
    <x v="189"/>
    <s v="002006"/>
    <s v="精功科技"/>
    <n v="2600"/>
    <n v="1700"/>
    <n v="6.9960000000000004"/>
    <n v="-302.45"/>
    <n v="-1.66"/>
    <n v="17888"/>
    <n v="6.88"/>
  </r>
  <r>
    <x v="189"/>
    <s v="002140"/>
    <s v="东华科技"/>
    <n v="10000"/>
    <n v="10000"/>
    <n v="12.237"/>
    <n v="-13566.66"/>
    <n v="-11.09"/>
    <n v="108800"/>
    <n v="10.88"/>
  </r>
  <r>
    <x v="189"/>
    <s v="300701"/>
    <s v="森霸股份"/>
    <n v="100"/>
    <n v="100"/>
    <n v="-130.48500000000001"/>
    <n v="16646.5"/>
    <n v="0"/>
    <n v="3598"/>
    <n v="35.979999999999997"/>
  </r>
  <r>
    <x v="189"/>
    <s v="reserve"/>
    <s v="备用金"/>
    <m/>
    <m/>
    <m/>
    <m/>
    <m/>
    <n v="6187.94"/>
    <m/>
  </r>
  <r>
    <x v="190"/>
    <s v="519888"/>
    <s v="添富快线"/>
    <n v="16469285"/>
    <n v="16469285"/>
    <n v="0.01"/>
    <n v="2932.41"/>
    <n v="0"/>
    <n v="164692.85"/>
    <n v="0.01"/>
  </r>
  <r>
    <x v="190"/>
    <s v="600269"/>
    <s v="赣粤高速"/>
    <n v="1800"/>
    <n v="1800"/>
    <n v="5.2809999999999997"/>
    <n v="52.21"/>
    <n v="0.55000000000000004"/>
    <n v="9558"/>
    <n v="5.31"/>
  </r>
  <r>
    <x v="190"/>
    <s v="601398"/>
    <s v="工商银行"/>
    <n v="100"/>
    <n v="100"/>
    <n v="-53.579000000000001"/>
    <n v="6085.9"/>
    <n v="0"/>
    <n v="728"/>
    <n v="7.28"/>
  </r>
  <r>
    <x v="190"/>
    <s v="601998"/>
    <s v="中信银行"/>
    <n v="100"/>
    <n v="100"/>
    <n v="-17.085999999999999"/>
    <n v="2423.6"/>
    <n v="0"/>
    <n v="715"/>
    <n v="7.15"/>
  </r>
  <r>
    <x v="190"/>
    <s v="603116"/>
    <s v="红蜻蜓"/>
    <n v="3200"/>
    <n v="3200"/>
    <n v="17.548999999999999"/>
    <n v="-4571.97"/>
    <n v="-8.14"/>
    <n v="51584"/>
    <n v="16.12"/>
  </r>
  <r>
    <x v="190"/>
    <s v="000402"/>
    <s v="金 融 街"/>
    <n v="6400"/>
    <n v="5200"/>
    <n v="8.5619999999999994"/>
    <n v="19888.8"/>
    <n v="36.299999999999997"/>
    <n v="74688"/>
    <n v="11.67"/>
  </r>
  <r>
    <x v="190"/>
    <s v="000415"/>
    <s v="渤海金控"/>
    <n v="4300"/>
    <n v="4300"/>
    <n v="5.9779999999999998"/>
    <n v="-595.27"/>
    <n v="-2.31"/>
    <n v="25112"/>
    <n v="5.84"/>
  </r>
  <r>
    <x v="190"/>
    <s v="000528"/>
    <s v="柳    工"/>
    <n v="5350"/>
    <n v="4850"/>
    <n v="8.5839999999999996"/>
    <n v="136.49"/>
    <n v="0.3"/>
    <n v="46063.5"/>
    <n v="8.61"/>
  </r>
  <r>
    <x v="190"/>
    <s v="000987"/>
    <s v="越秀金控"/>
    <n v="100"/>
    <n v="100"/>
    <n v="8.8810000000000002"/>
    <n v="115.87"/>
    <n v="13.05"/>
    <n v="1004"/>
    <n v="10.039999999999999"/>
  </r>
  <r>
    <x v="190"/>
    <s v="002006"/>
    <s v="精功科技"/>
    <n v="3100"/>
    <n v="2600"/>
    <n v="6.95"/>
    <n v="-620.45000000000005"/>
    <n v="-2.88"/>
    <n v="20925"/>
    <n v="6.75"/>
  </r>
  <r>
    <x v="190"/>
    <s v="002140"/>
    <s v="东华科技"/>
    <n v="10000"/>
    <n v="10000"/>
    <n v="12.237"/>
    <n v="-14866.66"/>
    <n v="-12.15"/>
    <n v="107500"/>
    <n v="10.75"/>
  </r>
  <r>
    <x v="190"/>
    <s v="300701"/>
    <s v="森霸股份"/>
    <n v="100"/>
    <n v="100"/>
    <n v="-130.48500000000001"/>
    <n v="16591.5"/>
    <n v="0"/>
    <n v="3543"/>
    <n v="35.43"/>
  </r>
  <r>
    <x v="190"/>
    <s v="reserve"/>
    <s v="备用金"/>
    <m/>
    <m/>
    <m/>
    <m/>
    <m/>
    <n v="9687.11"/>
    <m/>
  </r>
  <r>
    <x v="191"/>
    <s v="519888"/>
    <s v="添富快线"/>
    <n v="15395882"/>
    <n v="13470882"/>
    <n v="0.01"/>
    <n v="2948.38"/>
    <n v="0"/>
    <n v="153958.82"/>
    <n v="0.01"/>
  </r>
  <r>
    <x v="191"/>
    <s v="600269"/>
    <s v="赣粤高速"/>
    <n v="1800"/>
    <n v="1800"/>
    <n v="5.2809999999999997"/>
    <n v="-19.79"/>
    <n v="-0.21"/>
    <n v="9486"/>
    <n v="5.27"/>
  </r>
  <r>
    <x v="191"/>
    <s v="601398"/>
    <s v="工商银行"/>
    <n v="100"/>
    <n v="100"/>
    <n v="-53.579000000000001"/>
    <n v="6105.9"/>
    <n v="0"/>
    <n v="748"/>
    <n v="7.48"/>
  </r>
  <r>
    <x v="191"/>
    <s v="601998"/>
    <s v="中信银行"/>
    <n v="100"/>
    <n v="100"/>
    <n v="-17.085999999999999"/>
    <n v="2430.6"/>
    <n v="0"/>
    <n v="722"/>
    <n v="7.22"/>
  </r>
  <r>
    <x v="191"/>
    <s v="603116"/>
    <s v="红蜻蜓"/>
    <n v="3700"/>
    <n v="3200"/>
    <n v="17.321000000000002"/>
    <n v="-5293.13"/>
    <n v="-8.26"/>
    <n v="58793"/>
    <n v="15.89"/>
  </r>
  <r>
    <x v="191"/>
    <s v="000402"/>
    <s v="金 融 街"/>
    <n v="6000"/>
    <n v="5600"/>
    <n v="8.3409999999999993"/>
    <n v="20752.310000000001"/>
    <n v="41.47"/>
    <n v="70800"/>
    <n v="11.8"/>
  </r>
  <r>
    <x v="191"/>
    <s v="000415"/>
    <s v="渤海金控"/>
    <n v="4300"/>
    <n v="4300"/>
    <n v="5.9779999999999998"/>
    <n v="-595.27"/>
    <n v="-2.31"/>
    <n v="25112"/>
    <n v="5.84"/>
  </r>
  <r>
    <x v="191"/>
    <s v="000528"/>
    <s v="柳    工"/>
    <n v="5150"/>
    <n v="4150"/>
    <n v="8.5660000000000007"/>
    <n v="791.59"/>
    <n v="1.8"/>
    <n v="44908"/>
    <n v="8.7200000000000006"/>
  </r>
  <r>
    <x v="191"/>
    <s v="000987"/>
    <s v="越秀金控"/>
    <n v="600"/>
    <n v="100"/>
    <n v="9.6890000000000001"/>
    <n v="42.87"/>
    <n v="0.73"/>
    <n v="5856"/>
    <n v="9.76"/>
  </r>
  <r>
    <x v="191"/>
    <s v="002006"/>
    <s v="精功科技"/>
    <n v="3100"/>
    <n v="2700"/>
    <n v="6.95"/>
    <n v="-589.45000000000005"/>
    <n v="-2.73"/>
    <n v="20956"/>
    <n v="6.76"/>
  </r>
  <r>
    <x v="191"/>
    <s v="002140"/>
    <s v="东华科技"/>
    <n v="11000"/>
    <n v="10000"/>
    <n v="12.005000000000001"/>
    <n v="-25571.66"/>
    <n v="-19.37"/>
    <n v="106480"/>
    <n v="9.68"/>
  </r>
  <r>
    <x v="191"/>
    <s v="300701"/>
    <s v="森霸股份"/>
    <n v="100"/>
    <n v="100"/>
    <n v="-130.48500000000001"/>
    <n v="16355.5"/>
    <n v="0"/>
    <n v="3307"/>
    <n v="33.07"/>
  </r>
  <r>
    <x v="191"/>
    <s v="reserve"/>
    <s v="备用金"/>
    <m/>
    <m/>
    <m/>
    <m/>
    <m/>
    <n v="4459.0600000000004"/>
    <m/>
  </r>
  <r>
    <x v="192"/>
    <s v="519888"/>
    <s v="添富快线"/>
    <n v="10397478"/>
    <n v="10397478"/>
    <n v="0.01"/>
    <n v="2964.34"/>
    <n v="0"/>
    <n v="103974.78"/>
    <n v="0.01"/>
  </r>
  <r>
    <x v="192"/>
    <s v="600269"/>
    <s v="赣粤高速"/>
    <n v="1800"/>
    <n v="1800"/>
    <n v="5.2809999999999997"/>
    <n v="-199.79"/>
    <n v="-2.1"/>
    <n v="9306"/>
    <n v="5.17"/>
  </r>
  <r>
    <x v="192"/>
    <s v="601398"/>
    <s v="工商银行"/>
    <n v="100"/>
    <n v="100"/>
    <n v="-53.579000000000001"/>
    <n v="6125.9"/>
    <n v="0"/>
    <n v="768"/>
    <n v="7.68"/>
  </r>
  <r>
    <x v="192"/>
    <s v="601998"/>
    <s v="中信银行"/>
    <n v="100"/>
    <n v="100"/>
    <n v="-17.085999999999999"/>
    <n v="2446.6"/>
    <n v="0"/>
    <n v="738"/>
    <n v="7.38"/>
  </r>
  <r>
    <x v="192"/>
    <s v="603116"/>
    <s v="红蜻蜓"/>
    <n v="4700"/>
    <n v="3700"/>
    <n v="16.88"/>
    <n v="-8460.43"/>
    <n v="-10.66"/>
    <n v="70876"/>
    <n v="15.08"/>
  </r>
  <r>
    <x v="192"/>
    <s v="000402"/>
    <s v="金 融 街"/>
    <n v="6400"/>
    <n v="6000"/>
    <n v="8.5399999999999991"/>
    <n v="19071.310000000001"/>
    <n v="34.9"/>
    <n v="73728"/>
    <n v="11.52"/>
  </r>
  <r>
    <x v="192"/>
    <s v="000415"/>
    <s v="渤海金控"/>
    <n v="4300"/>
    <n v="4300"/>
    <n v="5.9779999999999998"/>
    <n v="-595.27"/>
    <n v="-2.31"/>
    <n v="25112"/>
    <n v="5.84"/>
  </r>
  <r>
    <x v="192"/>
    <s v="000528"/>
    <s v="柳    工"/>
    <n v="5650"/>
    <n v="5150"/>
    <n v="8.5489999999999995"/>
    <n v="-1236.9100000000001"/>
    <n v="-2.56"/>
    <n v="47064.5"/>
    <n v="8.33"/>
  </r>
  <r>
    <x v="192"/>
    <s v="000987"/>
    <s v="越秀金控"/>
    <n v="1600"/>
    <n v="600"/>
    <n v="9.43"/>
    <n v="-528.13"/>
    <n v="-3.5"/>
    <n v="14560"/>
    <n v="9.1"/>
  </r>
  <r>
    <x v="192"/>
    <s v="002006"/>
    <s v="精功科技"/>
    <n v="3600"/>
    <n v="3100"/>
    <n v="6.8849999999999998"/>
    <n v="-2213.4499999999998"/>
    <n v="-8.93"/>
    <n v="22572"/>
    <n v="6.27"/>
  </r>
  <r>
    <x v="192"/>
    <s v="002140"/>
    <s v="东华科技"/>
    <n v="12000"/>
    <n v="11000"/>
    <n v="11.731"/>
    <n v="-36246.660000000003"/>
    <n v="-25.75"/>
    <n v="104520"/>
    <n v="8.7100000000000009"/>
  </r>
  <r>
    <x v="192"/>
    <s v="300701"/>
    <s v="森霸股份"/>
    <n v="100"/>
    <n v="100"/>
    <n v="-130.48500000000001"/>
    <n v="16323.5"/>
    <n v="0"/>
    <n v="3275"/>
    <n v="32.75"/>
  </r>
  <r>
    <x v="192"/>
    <s v="reserve"/>
    <s v="备用金"/>
    <m/>
    <m/>
    <m/>
    <m/>
    <m/>
    <n v="9184.76"/>
    <m/>
  </r>
  <r>
    <x v="193"/>
    <s v="519888"/>
    <s v="添富快线"/>
    <n v="8399886"/>
    <n v="8399886"/>
    <n v="0.01"/>
    <n v="2988.42"/>
    <n v="0"/>
    <n v="83998.86"/>
    <n v="0.01"/>
  </r>
  <r>
    <x v="193"/>
    <s v="600269"/>
    <s v="赣粤高速"/>
    <n v="2300"/>
    <n v="2300"/>
    <n v="5.2679999999999998"/>
    <n v="-132.84"/>
    <n v="-1.1000000000000001"/>
    <n v="11983"/>
    <n v="5.21"/>
  </r>
  <r>
    <x v="193"/>
    <s v="601398"/>
    <s v="工商银行"/>
    <n v="100"/>
    <n v="100"/>
    <n v="-53.579000000000001"/>
    <n v="6117.9"/>
    <n v="0"/>
    <n v="760"/>
    <n v="7.6"/>
  </r>
  <r>
    <x v="193"/>
    <s v="601998"/>
    <s v="中信银行"/>
    <n v="100"/>
    <n v="100"/>
    <n v="-17.085999999999999"/>
    <n v="2450.6"/>
    <n v="0"/>
    <n v="742"/>
    <n v="7.42"/>
  </r>
  <r>
    <x v="193"/>
    <s v="603116"/>
    <s v="红蜻蜓"/>
    <n v="5200"/>
    <n v="5200"/>
    <n v="16.669"/>
    <n v="-10288.58"/>
    <n v="-11.87"/>
    <n v="76388"/>
    <n v="14.69"/>
  </r>
  <r>
    <x v="193"/>
    <s v="000402"/>
    <s v="金 融 街"/>
    <n v="6800"/>
    <n v="6800"/>
    <n v="8.69"/>
    <n v="17818.310000000001"/>
    <n v="30.15"/>
    <n v="76908"/>
    <n v="11.31"/>
  </r>
  <r>
    <x v="193"/>
    <s v="000415"/>
    <s v="渤海金控"/>
    <n v="4300"/>
    <n v="4300"/>
    <n v="5.9779999999999998"/>
    <n v="-595.27"/>
    <n v="-2.31"/>
    <n v="25112"/>
    <n v="5.84"/>
  </r>
  <r>
    <x v="193"/>
    <s v="000528"/>
    <s v="柳    工"/>
    <n v="5750"/>
    <n v="5750"/>
    <n v="8.5299999999999994"/>
    <n v="-1090.75"/>
    <n v="-2.23"/>
    <n v="47955"/>
    <n v="8.34"/>
  </r>
  <r>
    <x v="193"/>
    <s v="000987"/>
    <s v="越秀金控"/>
    <n v="1600"/>
    <n v="1600"/>
    <n v="9.43"/>
    <n v="-544.13"/>
    <n v="-3.6"/>
    <n v="14544"/>
    <n v="9.09"/>
  </r>
  <r>
    <x v="193"/>
    <s v="002006"/>
    <s v="精功科技"/>
    <n v="4000"/>
    <n v="4000"/>
    <n v="6.8109999999999999"/>
    <n v="-2602.4499999999998"/>
    <n v="-9.56"/>
    <n v="24640"/>
    <n v="6.16"/>
  </r>
  <r>
    <x v="193"/>
    <s v="002140"/>
    <s v="东华科技"/>
    <n v="13000"/>
    <n v="13000"/>
    <n v="11.477"/>
    <n v="-41821.660000000003"/>
    <n v="-28.03"/>
    <n v="107380"/>
    <n v="8.26"/>
  </r>
  <r>
    <x v="193"/>
    <s v="300701"/>
    <s v="森霸股份"/>
    <n v="100"/>
    <n v="100"/>
    <n v="-130.48500000000001"/>
    <n v="16281.5"/>
    <n v="0"/>
    <n v="3233"/>
    <n v="32.33"/>
  </r>
  <r>
    <x v="193"/>
    <s v="reserve"/>
    <s v="备用金"/>
    <m/>
    <m/>
    <m/>
    <m/>
    <m/>
    <n v="3165.22"/>
    <m/>
  </r>
  <r>
    <x v="194"/>
    <s v="519888"/>
    <s v="添富快线"/>
    <n v="7786086"/>
    <n v="5399886"/>
    <n v="0.01"/>
    <n v="2988.42"/>
    <n v="0"/>
    <n v="77860.86"/>
    <n v="0.01"/>
  </r>
  <r>
    <x v="194"/>
    <s v="600269"/>
    <s v="赣粤高速"/>
    <n v="2300"/>
    <n v="2300"/>
    <n v="5.2679999999999998"/>
    <n v="5.16"/>
    <n v="0.04"/>
    <n v="12121"/>
    <n v="5.27"/>
  </r>
  <r>
    <x v="194"/>
    <s v="601398"/>
    <s v="工商银行"/>
    <n v="100"/>
    <n v="100"/>
    <n v="-53.579000000000001"/>
    <n v="6132.9"/>
    <n v="0"/>
    <n v="775"/>
    <n v="7.75"/>
  </r>
  <r>
    <x v="194"/>
    <s v="601998"/>
    <s v="中信银行"/>
    <n v="100"/>
    <n v="100"/>
    <n v="-17.085999999999999"/>
    <n v="2522.6"/>
    <n v="0"/>
    <n v="814"/>
    <n v="8.14"/>
  </r>
  <r>
    <x v="194"/>
    <s v="603116"/>
    <s v="红蜻蜓"/>
    <n v="5200"/>
    <n v="5200"/>
    <n v="16.669"/>
    <n v="-11016.58"/>
    <n v="-12.71"/>
    <n v="75660"/>
    <n v="14.55"/>
  </r>
  <r>
    <x v="194"/>
    <s v="000402"/>
    <s v="金 融 街"/>
    <n v="6400"/>
    <n v="6400"/>
    <n v="8.5139999999999993"/>
    <n v="19112.7"/>
    <n v="35.07"/>
    <n v="73600"/>
    <n v="11.5"/>
  </r>
  <r>
    <x v="194"/>
    <s v="000415"/>
    <s v="渤海金控"/>
    <n v="4300"/>
    <n v="4300"/>
    <n v="5.9779999999999998"/>
    <n v="-595.27"/>
    <n v="-2.31"/>
    <n v="25112"/>
    <n v="5.84"/>
  </r>
  <r>
    <x v="194"/>
    <s v="000528"/>
    <s v="柳    工"/>
    <n v="4550"/>
    <n v="4550"/>
    <n v="8.5340000000000007"/>
    <n v="208.01"/>
    <n v="0.54"/>
    <n v="39039"/>
    <n v="8.58"/>
  </r>
  <r>
    <x v="194"/>
    <s v="000987"/>
    <s v="越秀金控"/>
    <n v="1600"/>
    <n v="1600"/>
    <n v="9.43"/>
    <n v="-592.13"/>
    <n v="-3.92"/>
    <n v="14496"/>
    <n v="9.06"/>
  </r>
  <r>
    <x v="194"/>
    <s v="002006"/>
    <s v="精功科技"/>
    <n v="4000"/>
    <n v="4000"/>
    <n v="6.8109999999999999"/>
    <n v="-2322.4499999999998"/>
    <n v="-8.5299999999999994"/>
    <n v="24920"/>
    <n v="6.23"/>
  </r>
  <r>
    <x v="194"/>
    <s v="002140"/>
    <s v="东华科技"/>
    <n v="13500"/>
    <n v="13000"/>
    <n v="11.36"/>
    <n v="-40911.660000000003"/>
    <n v="-26.67"/>
    <n v="112455"/>
    <n v="8.33"/>
  </r>
  <r>
    <x v="194"/>
    <s v="300701"/>
    <s v="森霸股份"/>
    <n v="100"/>
    <n v="100"/>
    <n v="-130.48500000000001"/>
    <n v="16085.5"/>
    <n v="0"/>
    <n v="3037"/>
    <n v="30.37"/>
  </r>
  <r>
    <x v="194"/>
    <s v="reserve"/>
    <s v="备用金"/>
    <m/>
    <m/>
    <m/>
    <m/>
    <m/>
    <n v="19955.37"/>
    <m/>
  </r>
  <r>
    <x v="195"/>
    <s v="519888"/>
    <s v="添富快线"/>
    <n v="4788280"/>
    <n v="4788280"/>
    <n v="8.9999999999999993E-3"/>
    <n v="3010.36"/>
    <n v="11.11"/>
    <n v="47882.8"/>
    <n v="0.01"/>
  </r>
  <r>
    <x v="195"/>
    <s v="600269"/>
    <s v="赣粤高速"/>
    <n v="2300"/>
    <n v="2300"/>
    <n v="5.2679999999999998"/>
    <n v="-293.83999999999997"/>
    <n v="-2.4300000000000002"/>
    <n v="11822"/>
    <n v="5.14"/>
  </r>
  <r>
    <x v="195"/>
    <s v="601398"/>
    <s v="工商银行"/>
    <n v="100"/>
    <n v="100"/>
    <n v="-53.579000000000001"/>
    <n v="6114.9"/>
    <n v="0"/>
    <n v="757"/>
    <n v="7.57"/>
  </r>
  <r>
    <x v="195"/>
    <s v="601998"/>
    <s v="中信银行"/>
    <n v="100"/>
    <n v="100"/>
    <n v="-17.085999999999999"/>
    <n v="2509.6"/>
    <n v="0"/>
    <n v="801"/>
    <n v="8.01"/>
  </r>
  <r>
    <x v="195"/>
    <s v="603116"/>
    <s v="红蜻蜓"/>
    <n v="6200"/>
    <n v="5200"/>
    <n v="16.262"/>
    <n v="-15757.86"/>
    <n v="-15.63"/>
    <n v="85064"/>
    <n v="13.72"/>
  </r>
  <r>
    <x v="195"/>
    <s v="000402"/>
    <s v="金 融 街"/>
    <n v="7300"/>
    <n v="6400"/>
    <n v="8.8339999999999996"/>
    <n v="16173.7"/>
    <n v="25.09"/>
    <n v="80665"/>
    <n v="11.05"/>
  </r>
  <r>
    <x v="195"/>
    <s v="000415"/>
    <s v="渤海金控"/>
    <n v="4300"/>
    <n v="4300"/>
    <n v="5.9779999999999998"/>
    <n v="-595.27"/>
    <n v="-2.31"/>
    <n v="25112"/>
    <n v="5.84"/>
  </r>
  <r>
    <x v="195"/>
    <s v="000528"/>
    <s v="柳    工"/>
    <n v="3050"/>
    <n v="2550"/>
    <n v="8.4120000000000008"/>
    <n v="605.04"/>
    <n v="2.35"/>
    <n v="26260.5"/>
    <n v="8.61"/>
  </r>
  <r>
    <x v="195"/>
    <s v="000987"/>
    <s v="越秀金控"/>
    <n v="2600"/>
    <n v="1600"/>
    <n v="9.1549999999999994"/>
    <n v="-1703.13"/>
    <n v="-7.15"/>
    <n v="22100"/>
    <n v="8.5"/>
  </r>
  <r>
    <x v="195"/>
    <s v="002006"/>
    <s v="精功科技"/>
    <n v="4000"/>
    <n v="4000"/>
    <n v="6.8109999999999999"/>
    <n v="-4362.45"/>
    <n v="-16.02"/>
    <n v="22880"/>
    <n v="5.72"/>
  </r>
  <r>
    <x v="195"/>
    <s v="002140"/>
    <s v="东华科技"/>
    <n v="13100"/>
    <n v="13100"/>
    <n v="11.451000000000001"/>
    <n v="-44286.03"/>
    <n v="-29.52"/>
    <n v="105717"/>
    <n v="8.07"/>
  </r>
  <r>
    <x v="195"/>
    <s v="300701"/>
    <s v="森霸股份"/>
    <n v="100"/>
    <n v="100"/>
    <n v="-130.48500000000001"/>
    <n v="15781.5"/>
    <n v="0"/>
    <n v="2733"/>
    <n v="27.33"/>
  </r>
  <r>
    <x v="195"/>
    <s v="reserve"/>
    <s v="备用金"/>
    <m/>
    <m/>
    <m/>
    <m/>
    <m/>
    <n v="33630.25"/>
    <m/>
  </r>
  <r>
    <x v="196"/>
    <s v="519888"/>
    <s v="添富快线"/>
    <n v="4789017"/>
    <n v="4789017"/>
    <n v="8.9999999999999993E-3"/>
    <n v="3017.73"/>
    <n v="11.11"/>
    <n v="47890.17"/>
    <n v="0.01"/>
  </r>
  <r>
    <x v="196"/>
    <s v="600269"/>
    <s v="赣粤高速"/>
    <n v="2300"/>
    <n v="2300"/>
    <n v="5.2679999999999998"/>
    <n v="-316.83999999999997"/>
    <n v="-2.62"/>
    <n v="11799"/>
    <n v="5.13"/>
  </r>
  <r>
    <x v="196"/>
    <s v="601398"/>
    <s v="工商银行"/>
    <n v="100"/>
    <n v="100"/>
    <n v="-53.579000000000001"/>
    <n v="6070.9"/>
    <n v="0"/>
    <n v="713"/>
    <n v="7.13"/>
  </r>
  <r>
    <x v="196"/>
    <s v="601998"/>
    <s v="中信银行"/>
    <n v="100"/>
    <n v="100"/>
    <n v="-17.085999999999999"/>
    <n v="2483.6"/>
    <n v="0"/>
    <n v="775"/>
    <n v="7.75"/>
  </r>
  <r>
    <x v="196"/>
    <s v="603116"/>
    <s v="红蜻蜓"/>
    <n v="6200"/>
    <n v="6200"/>
    <n v="16.262"/>
    <n v="-14517.86"/>
    <n v="-14.4"/>
    <n v="86304"/>
    <n v="13.92"/>
  </r>
  <r>
    <x v="196"/>
    <s v="000402"/>
    <s v="金 融 街"/>
    <n v="8500"/>
    <n v="6900"/>
    <n v="9.0980000000000008"/>
    <n v="13621.21"/>
    <n v="17.61"/>
    <n v="90950"/>
    <n v="10.7"/>
  </r>
  <r>
    <x v="196"/>
    <s v="000415"/>
    <s v="渤海金控"/>
    <n v="4300"/>
    <n v="4300"/>
    <n v="5.9779999999999998"/>
    <n v="-595.27"/>
    <n v="-2.31"/>
    <n v="25112"/>
    <n v="5.84"/>
  </r>
  <r>
    <x v="196"/>
    <s v="000528"/>
    <s v="柳    工"/>
    <n v="3050"/>
    <n v="1850"/>
    <n v="8.3659999999999997"/>
    <n v="1110.48"/>
    <n v="4.3499999999999996"/>
    <n v="26626.5"/>
    <n v="8.73"/>
  </r>
  <r>
    <x v="196"/>
    <s v="000987"/>
    <s v="越秀金控"/>
    <n v="2600"/>
    <n v="2600"/>
    <n v="9.1549999999999994"/>
    <n v="-1677.13"/>
    <n v="-7.04"/>
    <n v="22126"/>
    <n v="8.51"/>
  </r>
  <r>
    <x v="196"/>
    <s v="002006"/>
    <s v="精功科技"/>
    <n v="4500"/>
    <n v="4000"/>
    <n v="6.694"/>
    <n v="-4157.45"/>
    <n v="-13.8"/>
    <n v="25965"/>
    <n v="5.77"/>
  </r>
  <r>
    <x v="196"/>
    <s v="002140"/>
    <s v="东华科技"/>
    <n v="14100"/>
    <n v="13100"/>
    <n v="11.212"/>
    <n v="-45142.03"/>
    <n v="-28.56"/>
    <n v="112941"/>
    <n v="8.01"/>
  </r>
  <r>
    <x v="196"/>
    <s v="300701"/>
    <s v="森霸股份"/>
    <n v="100"/>
    <n v="100"/>
    <n v="-130.48500000000001"/>
    <n v="15866.5"/>
    <n v="0"/>
    <n v="2818"/>
    <n v="28.18"/>
  </r>
  <r>
    <x v="196"/>
    <s v="reserve"/>
    <s v="备用金"/>
    <m/>
    <m/>
    <m/>
    <m/>
    <m/>
    <n v="9972.2000000000007"/>
    <m/>
  </r>
  <r>
    <x v="197"/>
    <s v="519888"/>
    <s v="添富快线"/>
    <n v="6789475"/>
    <n v="4789475"/>
    <n v="0.01"/>
    <n v="3022.31"/>
    <n v="0"/>
    <n v="67894.75"/>
    <n v="0.01"/>
  </r>
  <r>
    <x v="197"/>
    <s v="600269"/>
    <s v="赣粤高速"/>
    <n v="2300"/>
    <n v="2300"/>
    <n v="5.2679999999999998"/>
    <n v="-362.84"/>
    <n v="-3"/>
    <n v="11753"/>
    <n v="5.1100000000000003"/>
  </r>
  <r>
    <x v="197"/>
    <s v="601398"/>
    <s v="工商银行"/>
    <n v="100"/>
    <n v="100"/>
    <n v="-53.579000000000001"/>
    <n v="6039.9"/>
    <n v="0"/>
    <n v="682"/>
    <n v="6.82"/>
  </r>
  <r>
    <x v="197"/>
    <s v="601998"/>
    <s v="中信银行"/>
    <n v="100"/>
    <n v="100"/>
    <n v="-17.085999999999999"/>
    <n v="2433.6"/>
    <n v="0"/>
    <n v="725"/>
    <n v="7.25"/>
  </r>
  <r>
    <x v="197"/>
    <s v="603116"/>
    <s v="红蜻蜓"/>
    <n v="6200"/>
    <n v="6200"/>
    <n v="16.262"/>
    <n v="-13277.86"/>
    <n v="-13.17"/>
    <n v="87544"/>
    <n v="14.12"/>
  </r>
  <r>
    <x v="197"/>
    <s v="000402"/>
    <s v="金 融 街"/>
    <n v="8100"/>
    <n v="8100"/>
    <n v="9.0129999999999999"/>
    <n v="14149.88"/>
    <n v="19.38"/>
    <n v="87156"/>
    <n v="10.76"/>
  </r>
  <r>
    <x v="197"/>
    <s v="000415"/>
    <s v="渤海金控"/>
    <n v="4300"/>
    <n v="4300"/>
    <n v="5.9779999999999998"/>
    <n v="-595.27"/>
    <n v="-2.31"/>
    <n v="25112"/>
    <n v="5.84"/>
  </r>
  <r>
    <x v="197"/>
    <s v="000528"/>
    <s v="柳    工"/>
    <n v="2250"/>
    <n v="2250"/>
    <n v="8.1690000000000005"/>
    <n v="1913.83"/>
    <n v="10.42"/>
    <n v="20295"/>
    <n v="9.02"/>
  </r>
  <r>
    <x v="197"/>
    <s v="000987"/>
    <s v="越秀金控"/>
    <n v="2600"/>
    <n v="2600"/>
    <n v="9.1549999999999994"/>
    <n v="-1521.13"/>
    <n v="-6.39"/>
    <n v="22282"/>
    <n v="8.57"/>
  </r>
  <r>
    <x v="197"/>
    <s v="002006"/>
    <s v="精功科技"/>
    <n v="4500"/>
    <n v="4500"/>
    <n v="6.694"/>
    <n v="-3707.45"/>
    <n v="-12.31"/>
    <n v="26415"/>
    <n v="5.87"/>
  </r>
  <r>
    <x v="197"/>
    <s v="002140"/>
    <s v="东华科技"/>
    <n v="14100"/>
    <n v="14100"/>
    <n v="11.212"/>
    <n v="-43450.03"/>
    <n v="-27.49"/>
    <n v="114633"/>
    <n v="8.1300000000000008"/>
  </r>
  <r>
    <x v="197"/>
    <s v="300701"/>
    <s v="森霸股份"/>
    <n v="100"/>
    <n v="100"/>
    <n v="-130.48500000000001"/>
    <n v="15915.5"/>
    <n v="0"/>
    <n v="2867"/>
    <n v="28.67"/>
  </r>
  <r>
    <x v="197"/>
    <s v="reserve"/>
    <s v="备用金"/>
    <m/>
    <m/>
    <m/>
    <m/>
    <m/>
    <n v="1429.72"/>
    <m/>
  </r>
  <r>
    <x v="198"/>
    <s v="519888"/>
    <s v="添富快线"/>
    <n v="2590664"/>
    <n v="2590664"/>
    <n v="8.9999999999999993E-3"/>
    <n v="3034.2"/>
    <n v="11.11"/>
    <n v="25906.639999999999"/>
    <n v="0.01"/>
  </r>
  <r>
    <x v="198"/>
    <s v="600269"/>
    <s v="赣粤高速"/>
    <n v="2800"/>
    <n v="2800"/>
    <n v="5.2069999999999999"/>
    <n v="-832.89"/>
    <n v="-5.7"/>
    <n v="13748"/>
    <n v="4.91"/>
  </r>
  <r>
    <x v="198"/>
    <s v="601398"/>
    <s v="工商银行"/>
    <n v="100"/>
    <n v="100"/>
    <n v="-53.579000000000001"/>
    <n v="6025.9"/>
    <n v="0"/>
    <n v="668"/>
    <n v="6.68"/>
  </r>
  <r>
    <x v="198"/>
    <s v="601998"/>
    <s v="中信银行"/>
    <n v="100"/>
    <n v="100"/>
    <n v="-17.085999999999999"/>
    <n v="2398.6"/>
    <n v="0"/>
    <n v="690"/>
    <n v="6.9"/>
  </r>
  <r>
    <x v="198"/>
    <s v="603116"/>
    <s v="红蜻蜓"/>
    <n v="6200"/>
    <n v="6200"/>
    <n v="16.262"/>
    <n v="-15261.86"/>
    <n v="-15.14"/>
    <n v="85560"/>
    <n v="13.8"/>
  </r>
  <r>
    <x v="198"/>
    <s v="000402"/>
    <s v="金 融 街"/>
    <n v="9800"/>
    <n v="9800"/>
    <n v="9.2140000000000004"/>
    <n v="12304.84"/>
    <n v="13.63"/>
    <n v="102606"/>
    <n v="10.47"/>
  </r>
  <r>
    <x v="198"/>
    <s v="000415"/>
    <s v="渤海金控"/>
    <n v="4300"/>
    <n v="4300"/>
    <n v="5.9779999999999998"/>
    <n v="-595.27"/>
    <n v="-2.31"/>
    <n v="25112"/>
    <n v="5.84"/>
  </r>
  <r>
    <x v="198"/>
    <s v="000528"/>
    <s v="柳    工"/>
    <n v="2950"/>
    <n v="2950"/>
    <n v="8.2170000000000005"/>
    <n v="1749.38"/>
    <n v="7.22"/>
    <n v="25989.5"/>
    <n v="8.81"/>
  </r>
  <r>
    <x v="198"/>
    <s v="000987"/>
    <s v="越秀金控"/>
    <n v="3100"/>
    <n v="3100"/>
    <n v="9.02"/>
    <n v="246.87"/>
    <n v="0.89"/>
    <n v="28210"/>
    <n v="9.1"/>
  </r>
  <r>
    <x v="198"/>
    <s v="002006"/>
    <s v="精功科技"/>
    <n v="4100"/>
    <n v="4100"/>
    <n v="6.758"/>
    <n v="-2695.87"/>
    <n v="-9.74"/>
    <n v="25010"/>
    <n v="6.1"/>
  </r>
  <r>
    <x v="198"/>
    <s v="002140"/>
    <s v="东华科技"/>
    <n v="14100"/>
    <n v="14100"/>
    <n v="11.212"/>
    <n v="-44296.03"/>
    <n v="-28.02"/>
    <n v="113787"/>
    <n v="8.07"/>
  </r>
  <r>
    <x v="198"/>
    <s v="300701"/>
    <s v="森霸股份"/>
    <n v="100"/>
    <n v="100"/>
    <n v="-130.48500000000001"/>
    <n v="15879.5"/>
    <n v="0"/>
    <n v="2831"/>
    <n v="28.31"/>
  </r>
  <r>
    <x v="198"/>
    <s v="reserve"/>
    <s v="备用金"/>
    <m/>
    <m/>
    <m/>
    <m/>
    <m/>
    <n v="16067.26"/>
    <m/>
  </r>
  <r>
    <x v="199"/>
    <s v="519888"/>
    <s v="添富快线"/>
    <n v="2590664"/>
    <n v="2590664"/>
    <n v="8.9999999999999993E-3"/>
    <n v="3034.2"/>
    <n v="11.11"/>
    <n v="25906.639999999999"/>
    <n v="0.01"/>
  </r>
  <r>
    <x v="199"/>
    <s v="600269"/>
    <s v="赣粤高速"/>
    <n v="2800"/>
    <n v="2800"/>
    <n v="5.2069999999999999"/>
    <n v="-748.89"/>
    <n v="-5.13"/>
    <n v="13832"/>
    <n v="4.9400000000000004"/>
  </r>
  <r>
    <x v="199"/>
    <s v="601398"/>
    <s v="工商银行"/>
    <n v="100"/>
    <n v="100"/>
    <n v="-53.579000000000001"/>
    <n v="6018.9"/>
    <n v="0"/>
    <n v="661"/>
    <n v="6.61"/>
  </r>
  <r>
    <x v="199"/>
    <s v="601998"/>
    <s v="中信银行"/>
    <n v="100"/>
    <n v="100"/>
    <n v="-17.085999999999999"/>
    <n v="2379.6"/>
    <n v="0"/>
    <n v="671"/>
    <n v="6.71"/>
  </r>
  <r>
    <x v="199"/>
    <s v="603116"/>
    <s v="红蜻蜓"/>
    <n v="6200"/>
    <n v="6200"/>
    <n v="16.262"/>
    <n v="-13277.86"/>
    <n v="-13.17"/>
    <n v="87544"/>
    <n v="14.12"/>
  </r>
  <r>
    <x v="199"/>
    <s v="000402"/>
    <s v="金 融 街"/>
    <n v="9800"/>
    <n v="9800"/>
    <n v="9.2140000000000004"/>
    <n v="8776.84"/>
    <n v="9.73"/>
    <n v="99078"/>
    <n v="10.11"/>
  </r>
  <r>
    <x v="199"/>
    <s v="000415"/>
    <s v="渤海金控"/>
    <n v="4300"/>
    <n v="4300"/>
    <n v="5.9779999999999998"/>
    <n v="-595.27"/>
    <n v="-2.31"/>
    <n v="25112"/>
    <n v="5.84"/>
  </r>
  <r>
    <x v="199"/>
    <s v="000528"/>
    <s v="柳    工"/>
    <n v="2550"/>
    <n v="2550"/>
    <n v="8.1560000000000006"/>
    <n v="1158.93"/>
    <n v="5.57"/>
    <n v="21955.5"/>
    <n v="8.61"/>
  </r>
  <r>
    <x v="199"/>
    <s v="000987"/>
    <s v="越秀金控"/>
    <n v="3100"/>
    <n v="3100"/>
    <n v="9.02"/>
    <n v="-1830.13"/>
    <n v="-6.54"/>
    <n v="26133"/>
    <n v="8.43"/>
  </r>
  <r>
    <x v="199"/>
    <s v="002006"/>
    <s v="精功科技"/>
    <n v="4100"/>
    <n v="4100"/>
    <n v="6.758"/>
    <n v="-2490.87"/>
    <n v="-9"/>
    <n v="25215"/>
    <n v="6.15"/>
  </r>
  <r>
    <x v="199"/>
    <s v="002140"/>
    <s v="东华科技"/>
    <n v="14100"/>
    <n v="14100"/>
    <n v="11.212"/>
    <n v="-45001.03"/>
    <n v="-28.47"/>
    <n v="113082"/>
    <n v="8.02"/>
  </r>
  <r>
    <x v="199"/>
    <s v="300701"/>
    <s v="森霸股份"/>
    <n v="100"/>
    <n v="100"/>
    <n v="-130.48500000000001"/>
    <n v="15983.5"/>
    <n v="0"/>
    <n v="2935"/>
    <n v="29.35"/>
  </r>
  <r>
    <x v="199"/>
    <s v="reserve"/>
    <s v="备用金"/>
    <m/>
    <m/>
    <m/>
    <m/>
    <m/>
    <n v="19510.810000000001"/>
    <m/>
  </r>
  <r>
    <x v="200"/>
    <s v="519888"/>
    <s v="添富快线"/>
    <n v="5926352"/>
    <n v="2591352"/>
    <n v="8.9999999999999993E-3"/>
    <n v="3041.08"/>
    <n v="11.11"/>
    <n v="59263.519999999997"/>
    <n v="0.01"/>
  </r>
  <r>
    <x v="200"/>
    <s v="600269"/>
    <s v="赣粤高速"/>
    <n v="2800"/>
    <n v="2800"/>
    <n v="5.2069999999999999"/>
    <n v="-720.89"/>
    <n v="-4.93"/>
    <n v="13860"/>
    <n v="4.95"/>
  </r>
  <r>
    <x v="200"/>
    <s v="601398"/>
    <s v="工商银行"/>
    <n v="100"/>
    <n v="100"/>
    <n v="-53.579000000000001"/>
    <n v="6038.9"/>
    <n v="0"/>
    <n v="681"/>
    <n v="6.81"/>
  </r>
  <r>
    <x v="200"/>
    <s v="601998"/>
    <s v="中信银行"/>
    <n v="100"/>
    <n v="100"/>
    <n v="-17.085999999999999"/>
    <n v="2389.6"/>
    <n v="0"/>
    <n v="681"/>
    <n v="6.81"/>
  </r>
  <r>
    <x v="200"/>
    <s v="603116"/>
    <s v="红蜻蜓"/>
    <n v="6200"/>
    <n v="5800"/>
    <n v="16.262"/>
    <n v="-13587.86"/>
    <n v="-13.48"/>
    <n v="87234"/>
    <n v="14.07"/>
  </r>
  <r>
    <x v="200"/>
    <s v="000402"/>
    <s v="金 融 街"/>
    <n v="9400"/>
    <n v="9400"/>
    <n v="9.17"/>
    <n v="9023.73"/>
    <n v="10.47"/>
    <n v="95222"/>
    <n v="10.130000000000001"/>
  </r>
  <r>
    <x v="200"/>
    <s v="000415"/>
    <s v="渤海金控"/>
    <n v="4300"/>
    <n v="4300"/>
    <n v="5.9779999999999998"/>
    <n v="-595.27"/>
    <n v="-2.31"/>
    <n v="25112"/>
    <n v="5.84"/>
  </r>
  <r>
    <x v="200"/>
    <s v="000528"/>
    <s v="柳    工"/>
    <n v="950"/>
    <n v="550"/>
    <n v="6.7270000000000003"/>
    <n v="2396.5"/>
    <n v="37.51"/>
    <n v="8787.5"/>
    <n v="9.25"/>
  </r>
  <r>
    <x v="200"/>
    <s v="000987"/>
    <s v="越秀金控"/>
    <n v="2700"/>
    <n v="2700"/>
    <n v="9.0890000000000004"/>
    <n v="-1589.56"/>
    <n v="-6.48"/>
    <n v="22950"/>
    <n v="8.5"/>
  </r>
  <r>
    <x v="200"/>
    <s v="002006"/>
    <s v="精功科技"/>
    <n v="4100"/>
    <n v="4100"/>
    <n v="6.758"/>
    <n v="-2408.87"/>
    <n v="-8.6999999999999993"/>
    <n v="25297"/>
    <n v="6.17"/>
  </r>
  <r>
    <x v="200"/>
    <s v="002140"/>
    <s v="东华科技"/>
    <n v="15100"/>
    <n v="14100"/>
    <n v="11.005000000000001"/>
    <n v="-43707.03"/>
    <n v="-26.31"/>
    <n v="122461"/>
    <n v="8.11"/>
  </r>
  <r>
    <x v="200"/>
    <s v="300701"/>
    <s v="森霸股份"/>
    <n v="100"/>
    <n v="100"/>
    <n v="-130.48500000000001"/>
    <n v="15976.5"/>
    <n v="0"/>
    <n v="2928"/>
    <n v="29.28"/>
  </r>
  <r>
    <x v="200"/>
    <s v="reserve"/>
    <s v="备用金"/>
    <m/>
    <m/>
    <m/>
    <m/>
    <m/>
    <n v="7.84"/>
    <m/>
  </r>
  <r>
    <x v="201"/>
    <s v="519888"/>
    <s v="添富快线"/>
    <n v="4927186"/>
    <n v="4927186"/>
    <n v="8.9999999999999993E-3"/>
    <n v="3049.42"/>
    <n v="11.11"/>
    <n v="49271.86"/>
    <n v="0.01"/>
  </r>
  <r>
    <x v="201"/>
    <s v="600269"/>
    <s v="赣粤高速"/>
    <n v="2800"/>
    <n v="2800"/>
    <n v="5.2069999999999999"/>
    <n v="-804.89"/>
    <n v="-5.51"/>
    <n v="13776"/>
    <n v="4.92"/>
  </r>
  <r>
    <x v="201"/>
    <s v="601398"/>
    <s v="工商银行"/>
    <n v="100"/>
    <n v="100"/>
    <n v="-53.579000000000001"/>
    <n v="6045.9"/>
    <n v="0"/>
    <n v="688"/>
    <n v="6.88"/>
  </r>
  <r>
    <x v="201"/>
    <s v="601998"/>
    <s v="中信银行"/>
    <n v="100"/>
    <n v="100"/>
    <n v="-17.085999999999999"/>
    <n v="2382.6"/>
    <n v="0"/>
    <n v="674"/>
    <n v="6.74"/>
  </r>
  <r>
    <x v="201"/>
    <s v="603116"/>
    <s v="红蜻蜓"/>
    <n v="6200"/>
    <n v="6200"/>
    <n v="16.262"/>
    <n v="-13401.86"/>
    <n v="-13.29"/>
    <n v="87420"/>
    <n v="14.1"/>
  </r>
  <r>
    <x v="201"/>
    <s v="000402"/>
    <s v="金 融 街"/>
    <n v="9400"/>
    <n v="9400"/>
    <n v="9.17"/>
    <n v="8741.73"/>
    <n v="10.14"/>
    <n v="94940"/>
    <n v="10.1"/>
  </r>
  <r>
    <x v="201"/>
    <s v="000415"/>
    <s v="渤海金控"/>
    <n v="4300"/>
    <n v="4300"/>
    <n v="5.9779999999999998"/>
    <n v="-595.27"/>
    <n v="-2.31"/>
    <n v="25112"/>
    <n v="5.84"/>
  </r>
  <r>
    <x v="201"/>
    <s v="000528"/>
    <s v="柳    工"/>
    <n v="950"/>
    <n v="950"/>
    <n v="6.7270000000000003"/>
    <n v="2349"/>
    <n v="36.76"/>
    <n v="8740"/>
    <n v="9.1999999999999993"/>
  </r>
  <r>
    <x v="201"/>
    <s v="000987"/>
    <s v="越秀金控"/>
    <n v="2700"/>
    <n v="2700"/>
    <n v="9.0890000000000004"/>
    <n v="-1535.56"/>
    <n v="-6.26"/>
    <n v="23004"/>
    <n v="8.52"/>
  </r>
  <r>
    <x v="201"/>
    <s v="002006"/>
    <s v="精功科技"/>
    <n v="4100"/>
    <n v="4100"/>
    <n v="6.758"/>
    <n v="-2408.87"/>
    <n v="-8.6999999999999993"/>
    <n v="25297"/>
    <n v="6.17"/>
  </r>
  <r>
    <x v="201"/>
    <s v="002140"/>
    <s v="东华科技"/>
    <n v="15100"/>
    <n v="15100"/>
    <n v="11.005000000000001"/>
    <n v="-41593.03"/>
    <n v="-25.03"/>
    <n v="124575"/>
    <n v="8.25"/>
  </r>
  <r>
    <x v="201"/>
    <s v="300701"/>
    <s v="森霸股份"/>
    <n v="100"/>
    <n v="100"/>
    <n v="-130.48500000000001"/>
    <n v="15945.5"/>
    <n v="0"/>
    <n v="2897"/>
    <n v="28.97"/>
  </r>
  <r>
    <x v="201"/>
    <s v="reserve"/>
    <s v="备用金"/>
    <m/>
    <m/>
    <m/>
    <m/>
    <m/>
    <n v="10007.84"/>
    <m/>
  </r>
  <r>
    <x v="202"/>
    <s v="519888"/>
    <s v="添富快线"/>
    <n v="6500386"/>
    <n v="4927186"/>
    <n v="0.01"/>
    <n v="3049.42"/>
    <n v="0"/>
    <n v="65003.86"/>
    <n v="0.01"/>
  </r>
  <r>
    <x v="202"/>
    <s v="600269"/>
    <s v="赣粤高速"/>
    <n v="2800"/>
    <n v="2800"/>
    <n v="5.2069999999999999"/>
    <n v="-608.89"/>
    <n v="-4.17"/>
    <n v="13972"/>
    <n v="4.99"/>
  </r>
  <r>
    <x v="202"/>
    <s v="601398"/>
    <s v="工商银行"/>
    <n v="100"/>
    <n v="100"/>
    <n v="-53.579000000000001"/>
    <n v="6057.9"/>
    <n v="0"/>
    <n v="700"/>
    <n v="7"/>
  </r>
  <r>
    <x v="202"/>
    <s v="601998"/>
    <s v="中信银行"/>
    <n v="100"/>
    <n v="100"/>
    <n v="-17.085999999999999"/>
    <n v="2419.6"/>
    <n v="0"/>
    <n v="711"/>
    <n v="7.11"/>
  </r>
  <r>
    <x v="202"/>
    <s v="603116"/>
    <s v="红蜻蜓"/>
    <n v="5800"/>
    <n v="5800"/>
    <n v="16.396000000000001"/>
    <n v="-12272.71"/>
    <n v="-12.9"/>
    <n v="82824"/>
    <n v="14.28"/>
  </r>
  <r>
    <x v="202"/>
    <s v="000402"/>
    <s v="金 融 街"/>
    <n v="9400"/>
    <n v="9400"/>
    <n v="9.17"/>
    <n v="10433.73"/>
    <n v="12.11"/>
    <n v="96632"/>
    <n v="10.28"/>
  </r>
  <r>
    <x v="202"/>
    <s v="000415"/>
    <s v="渤海金控"/>
    <n v="4300"/>
    <n v="4300"/>
    <n v="5.9779999999999998"/>
    <n v="-595.27"/>
    <n v="-2.31"/>
    <n v="25112"/>
    <n v="5.84"/>
  </r>
  <r>
    <x v="202"/>
    <s v="000528"/>
    <s v="柳    工"/>
    <n v="550"/>
    <n v="550"/>
    <n v="4.8719999999999999"/>
    <n v="2435.2800000000002"/>
    <n v="90.89"/>
    <n v="5115"/>
    <n v="9.3000000000000007"/>
  </r>
  <r>
    <x v="202"/>
    <s v="000987"/>
    <s v="越秀金控"/>
    <n v="2700"/>
    <n v="2700"/>
    <n v="9.0890000000000004"/>
    <n v="-1238.56"/>
    <n v="-5.05"/>
    <n v="23301"/>
    <n v="8.6300000000000008"/>
  </r>
  <r>
    <x v="202"/>
    <s v="002006"/>
    <s v="精功科技"/>
    <n v="4100"/>
    <n v="3700"/>
    <n v="6.758"/>
    <n v="-2326.87"/>
    <n v="-8.4"/>
    <n v="25379"/>
    <n v="6.19"/>
  </r>
  <r>
    <x v="202"/>
    <s v="002140"/>
    <s v="东华科技"/>
    <n v="15100"/>
    <n v="15100"/>
    <n v="11.005000000000001"/>
    <n v="-40838.03"/>
    <n v="-24.58"/>
    <n v="125330"/>
    <n v="8.3000000000000007"/>
  </r>
  <r>
    <x v="202"/>
    <s v="300701"/>
    <s v="森霸股份"/>
    <n v="100"/>
    <n v="100"/>
    <n v="-130.48500000000001"/>
    <n v="16001.5"/>
    <n v="0"/>
    <n v="2953"/>
    <n v="29.53"/>
  </r>
  <r>
    <x v="202"/>
    <s v="reserve"/>
    <s v="备用金"/>
    <m/>
    <m/>
    <m/>
    <m/>
    <m/>
    <n v="3712.27"/>
    <m/>
  </r>
  <r>
    <x v="203"/>
    <s v="519888"/>
    <s v="添富快线"/>
    <n v="6504307"/>
    <n v="6504307"/>
    <n v="0.01"/>
    <n v="3088.63"/>
    <n v="0"/>
    <n v="65043.07"/>
    <n v="0.01"/>
  </r>
  <r>
    <x v="203"/>
    <s v="600269"/>
    <s v="赣粤高速"/>
    <n v="2800"/>
    <n v="2800"/>
    <n v="5.2069999999999999"/>
    <n v="-552.89"/>
    <n v="-3.78"/>
    <n v="14028"/>
    <n v="5.01"/>
  </r>
  <r>
    <x v="203"/>
    <s v="601398"/>
    <s v="工商银行"/>
    <n v="100"/>
    <n v="100"/>
    <n v="-53.579000000000001"/>
    <n v="6058.9"/>
    <n v="0"/>
    <n v="701"/>
    <n v="7.01"/>
  </r>
  <r>
    <x v="203"/>
    <s v="601998"/>
    <s v="中信银行"/>
    <n v="100"/>
    <n v="100"/>
    <n v="-17.085999999999999"/>
    <n v="2422.6"/>
    <n v="0"/>
    <n v="714"/>
    <n v="7.14"/>
  </r>
  <r>
    <x v="203"/>
    <s v="603116"/>
    <s v="红蜻蜓"/>
    <n v="5800"/>
    <n v="5800"/>
    <n v="16.396000000000001"/>
    <n v="-12098.71"/>
    <n v="-12.72"/>
    <n v="82998"/>
    <n v="14.31"/>
  </r>
  <r>
    <x v="203"/>
    <s v="000402"/>
    <s v="金 融 街"/>
    <n v="8600"/>
    <n v="8600"/>
    <n v="9.0500000000000007"/>
    <n v="12213.34"/>
    <n v="15.69"/>
    <n v="90042"/>
    <n v="10.47"/>
  </r>
  <r>
    <x v="203"/>
    <s v="000415"/>
    <s v="渤海金控"/>
    <n v="4300"/>
    <n v="4300"/>
    <n v="5.9779999999999998"/>
    <n v="-595.27"/>
    <n v="-2.31"/>
    <n v="25112"/>
    <n v="5.84"/>
  </r>
  <r>
    <x v="203"/>
    <s v="000528"/>
    <s v="柳    工"/>
    <n v="550"/>
    <n v="150"/>
    <n v="4.8319999999999999"/>
    <n v="2408.0700000000002"/>
    <n v="90.61"/>
    <n v="5065.5"/>
    <n v="9.2100000000000009"/>
  </r>
  <r>
    <x v="203"/>
    <s v="000987"/>
    <s v="越秀金控"/>
    <n v="2700"/>
    <n v="2700"/>
    <n v="9.0890000000000004"/>
    <n v="-1211.56"/>
    <n v="-4.9400000000000004"/>
    <n v="23328"/>
    <n v="8.64"/>
  </r>
  <r>
    <x v="203"/>
    <s v="002006"/>
    <s v="精功科技"/>
    <n v="4100"/>
    <n v="4100"/>
    <n v="6.758"/>
    <n v="-2449.87"/>
    <n v="-8.85"/>
    <n v="25256"/>
    <n v="6.16"/>
  </r>
  <r>
    <x v="203"/>
    <s v="002140"/>
    <s v="东华科技"/>
    <n v="14700"/>
    <n v="14700"/>
    <n v="11.077999999999999"/>
    <n v="-41124.370000000003"/>
    <n v="-25.26"/>
    <n v="121716"/>
    <n v="8.2799999999999994"/>
  </r>
  <r>
    <x v="203"/>
    <s v="300701"/>
    <s v="森霸股份"/>
    <n v="100"/>
    <n v="100"/>
    <n v="-130.48500000000001"/>
    <n v="16003.5"/>
    <n v="0"/>
    <n v="2955"/>
    <n v="29.55"/>
  </r>
  <r>
    <x v="203"/>
    <s v="reserve"/>
    <s v="备用金"/>
    <m/>
    <m/>
    <m/>
    <m/>
    <m/>
    <n v="15431.83"/>
    <m/>
  </r>
  <r>
    <x v="204"/>
    <s v="519888"/>
    <s v="添富快线"/>
    <n v="6504804"/>
    <n v="6504804"/>
    <n v="0.01"/>
    <n v="3093.6"/>
    <n v="0"/>
    <n v="65048.04"/>
    <n v="0.01"/>
  </r>
  <r>
    <x v="204"/>
    <s v="600269"/>
    <s v="赣粤高速"/>
    <n v="2800"/>
    <n v="2800"/>
    <n v="5.2069999999999999"/>
    <n v="-468.89"/>
    <n v="-3.21"/>
    <n v="14112"/>
    <n v="5.04"/>
  </r>
  <r>
    <x v="204"/>
    <s v="601398"/>
    <s v="工商银行"/>
    <n v="100"/>
    <n v="100"/>
    <n v="-53.579000000000001"/>
    <n v="6059.9"/>
    <n v="0"/>
    <n v="702"/>
    <n v="7.02"/>
  </r>
  <r>
    <x v="204"/>
    <s v="601998"/>
    <s v="中信银行"/>
    <n v="100"/>
    <n v="100"/>
    <n v="-17.085999999999999"/>
    <n v="2422.6"/>
    <n v="0"/>
    <n v="714"/>
    <n v="7.14"/>
  </r>
  <r>
    <x v="204"/>
    <s v="603116"/>
    <s v="红蜻蜓"/>
    <n v="5800"/>
    <n v="5800"/>
    <n v="16.396000000000001"/>
    <n v="-11054.71"/>
    <n v="-11.62"/>
    <n v="84042"/>
    <n v="14.49"/>
  </r>
  <r>
    <x v="204"/>
    <s v="000402"/>
    <s v="金 融 街"/>
    <n v="8600"/>
    <n v="8200"/>
    <n v="9.0410000000000004"/>
    <n v="13065.13"/>
    <n v="16.8"/>
    <n v="90816"/>
    <n v="10.56"/>
  </r>
  <r>
    <x v="204"/>
    <s v="000415"/>
    <s v="渤海金控"/>
    <n v="4300"/>
    <n v="4300"/>
    <n v="5.9779999999999998"/>
    <n v="-595.27"/>
    <n v="-2.31"/>
    <n v="25112"/>
    <n v="5.84"/>
  </r>
  <r>
    <x v="204"/>
    <s v="000528"/>
    <s v="柳    工"/>
    <n v="150"/>
    <n v="150"/>
    <n v="-7.452"/>
    <n v="2571.3000000000002"/>
    <n v="0"/>
    <n v="1453.5"/>
    <n v="9.69"/>
  </r>
  <r>
    <x v="204"/>
    <s v="000987"/>
    <s v="越秀金控"/>
    <n v="2300"/>
    <n v="2300"/>
    <n v="9.157"/>
    <n v="-843.05"/>
    <n v="-4.01"/>
    <n v="20217"/>
    <n v="8.7899999999999991"/>
  </r>
  <r>
    <x v="204"/>
    <s v="002006"/>
    <s v="精功科技"/>
    <n v="3700"/>
    <n v="3700"/>
    <n v="6.8140000000000001"/>
    <n v="-2014.38"/>
    <n v="-7.98"/>
    <n v="23199"/>
    <n v="6.27"/>
  </r>
  <r>
    <x v="204"/>
    <s v="002140"/>
    <s v="东华科技"/>
    <n v="14700"/>
    <n v="14300"/>
    <n v="11.077999999999999"/>
    <n v="-39360.370000000003"/>
    <n v="-24.17"/>
    <n v="123480"/>
    <n v="8.4"/>
  </r>
  <r>
    <x v="204"/>
    <s v="300701"/>
    <s v="森霸股份"/>
    <n v="100"/>
    <n v="100"/>
    <n v="-130.48500000000001"/>
    <n v="16118.5"/>
    <n v="0"/>
    <n v="3070"/>
    <n v="30.7"/>
  </r>
  <r>
    <x v="204"/>
    <s v="reserve"/>
    <s v="备用金"/>
    <m/>
    <m/>
    <m/>
    <m/>
    <m/>
    <n v="25256.84"/>
    <m/>
  </r>
  <r>
    <x v="205"/>
    <s v="519888"/>
    <s v="添富快线"/>
    <n v="7706539"/>
    <n v="6506539"/>
    <n v="0.01"/>
    <n v="3110.95"/>
    <n v="0"/>
    <n v="77065.39"/>
    <n v="0.01"/>
  </r>
  <r>
    <x v="205"/>
    <s v="600269"/>
    <s v="赣粤高速"/>
    <n v="2800"/>
    <n v="2800"/>
    <n v="5.2069999999999999"/>
    <n v="-552.89"/>
    <n v="-3.78"/>
    <n v="14028"/>
    <n v="5.01"/>
  </r>
  <r>
    <x v="205"/>
    <s v="601398"/>
    <s v="工商银行"/>
    <n v="100"/>
    <n v="100"/>
    <n v="-53.579000000000001"/>
    <n v="6031.9"/>
    <n v="0"/>
    <n v="674"/>
    <n v="6.74"/>
  </r>
  <r>
    <x v="205"/>
    <s v="601998"/>
    <s v="中信银行"/>
    <n v="100"/>
    <n v="100"/>
    <n v="-17.085999999999999"/>
    <n v="2407.6"/>
    <n v="0"/>
    <n v="699"/>
    <n v="6.99"/>
  </r>
  <r>
    <x v="205"/>
    <s v="603116"/>
    <s v="红蜻蜓"/>
    <n v="5800"/>
    <n v="5800"/>
    <n v="16.396000000000001"/>
    <n v="-11344.71"/>
    <n v="-11.93"/>
    <n v="83752"/>
    <n v="14.44"/>
  </r>
  <r>
    <x v="205"/>
    <s v="000402"/>
    <s v="金 融 街"/>
    <n v="9000"/>
    <n v="8600"/>
    <n v="9.0980000000000008"/>
    <n v="10640.13"/>
    <n v="12.99"/>
    <n v="92520"/>
    <n v="10.28"/>
  </r>
  <r>
    <x v="205"/>
    <s v="000415"/>
    <s v="渤海金控"/>
    <n v="4300"/>
    <n v="4300"/>
    <n v="5.9779999999999998"/>
    <n v="-595.27"/>
    <n v="-2.31"/>
    <n v="25112"/>
    <n v="5.84"/>
  </r>
  <r>
    <x v="205"/>
    <s v="000528"/>
    <s v="柳    工"/>
    <n v="100"/>
    <n v="100"/>
    <n v="-16.027999999999999"/>
    <n v="2577.8000000000002"/>
    <n v="0"/>
    <n v="975"/>
    <n v="9.75"/>
  </r>
  <r>
    <x v="205"/>
    <s v="000987"/>
    <s v="越秀金控"/>
    <n v="2300"/>
    <n v="2300"/>
    <n v="9.157"/>
    <n v="-958.05"/>
    <n v="-4.55"/>
    <n v="20102"/>
    <n v="8.74"/>
  </r>
  <r>
    <x v="205"/>
    <s v="002006"/>
    <s v="精功科技"/>
    <n v="3700"/>
    <n v="3700"/>
    <n v="6.8140000000000001"/>
    <n v="-2088.38"/>
    <n v="-8.2799999999999994"/>
    <n v="23125"/>
    <n v="6.25"/>
  </r>
  <r>
    <x v="205"/>
    <s v="002140"/>
    <s v="东华科技"/>
    <n v="13900"/>
    <n v="13900"/>
    <n v="11.211"/>
    <n v="-36845.39"/>
    <n v="-23.65"/>
    <n v="118984"/>
    <n v="8.56"/>
  </r>
  <r>
    <x v="205"/>
    <s v="300701"/>
    <s v="森霸股份"/>
    <n v="100"/>
    <n v="100"/>
    <n v="-130.48500000000001"/>
    <n v="16176.5"/>
    <n v="0"/>
    <n v="3128"/>
    <n v="31.28"/>
  </r>
  <r>
    <x v="205"/>
    <s v="reserve"/>
    <s v="备用金"/>
    <m/>
    <m/>
    <m/>
    <m/>
    <m/>
    <n v="16623.830000000002"/>
    <m/>
  </r>
  <r>
    <x v="206"/>
    <s v="519888"/>
    <s v="添富快线"/>
    <n v="7707205"/>
    <n v="7707205"/>
    <n v="0.01"/>
    <n v="3117.61"/>
    <n v="0"/>
    <n v="77072.05"/>
    <n v="0.01"/>
  </r>
  <r>
    <x v="206"/>
    <s v="600269"/>
    <s v="赣粤高速"/>
    <n v="2800"/>
    <n v="2800"/>
    <n v="5.2069999999999999"/>
    <n v="-636.89"/>
    <n v="-4.3600000000000003"/>
    <n v="13944"/>
    <n v="4.9800000000000004"/>
  </r>
  <r>
    <x v="206"/>
    <s v="601398"/>
    <s v="工商银行"/>
    <n v="100"/>
    <n v="100"/>
    <n v="-53.579000000000001"/>
    <n v="6024.9"/>
    <n v="0"/>
    <n v="667"/>
    <n v="6.67"/>
  </r>
  <r>
    <x v="206"/>
    <s v="601998"/>
    <s v="中信银行"/>
    <n v="600"/>
    <n v="100"/>
    <n v="2.8769999999999998"/>
    <n v="2377.5700000000002"/>
    <n v="137.75"/>
    <n v="4104"/>
    <n v="6.84"/>
  </r>
  <r>
    <x v="206"/>
    <s v="603116"/>
    <s v="红蜻蜓"/>
    <n v="5800"/>
    <n v="5800"/>
    <n v="16.396000000000001"/>
    <n v="-11750.71"/>
    <n v="-12.36"/>
    <n v="83346"/>
    <n v="14.37"/>
  </r>
  <r>
    <x v="206"/>
    <s v="000402"/>
    <s v="金 融 街"/>
    <n v="9000"/>
    <n v="9000"/>
    <n v="9.0980000000000008"/>
    <n v="10820.13"/>
    <n v="13.21"/>
    <n v="92700"/>
    <n v="10.3"/>
  </r>
  <r>
    <x v="206"/>
    <s v="000415"/>
    <s v="渤海金控"/>
    <n v="4300"/>
    <n v="4300"/>
    <n v="5.9779999999999998"/>
    <n v="-595.27"/>
    <n v="-2.31"/>
    <n v="25112"/>
    <n v="5.84"/>
  </r>
  <r>
    <x v="206"/>
    <s v="000528"/>
    <s v="柳    工"/>
    <n v="100"/>
    <n v="100"/>
    <n v="-16.027999999999999"/>
    <n v="2565.8000000000002"/>
    <n v="0"/>
    <n v="963"/>
    <n v="9.6300000000000008"/>
  </r>
  <r>
    <x v="206"/>
    <s v="000987"/>
    <s v="越秀金控"/>
    <n v="2300"/>
    <n v="2300"/>
    <n v="9.157"/>
    <n v="-981.05"/>
    <n v="-4.66"/>
    <n v="20079"/>
    <n v="8.73"/>
  </r>
  <r>
    <x v="206"/>
    <s v="002006"/>
    <s v="精功科技"/>
    <n v="3300"/>
    <n v="3300"/>
    <n v="6.8769999999999998"/>
    <n v="-1869.91"/>
    <n v="-8.24"/>
    <n v="20823"/>
    <n v="6.31"/>
  </r>
  <r>
    <x v="206"/>
    <s v="002140"/>
    <s v="东华科技"/>
    <n v="13900"/>
    <n v="13900"/>
    <n v="11.211"/>
    <n v="-38235.39"/>
    <n v="-24.54"/>
    <n v="117594"/>
    <n v="8.4600000000000009"/>
  </r>
  <r>
    <x v="206"/>
    <s v="300701"/>
    <s v="森霸股份"/>
    <n v="100"/>
    <n v="100"/>
    <n v="-130.48500000000001"/>
    <n v="16111.5"/>
    <n v="0"/>
    <n v="3063"/>
    <n v="30.63"/>
  </r>
  <r>
    <x v="206"/>
    <s v="reserve"/>
    <s v="备用金"/>
    <m/>
    <m/>
    <m/>
    <m/>
    <m/>
    <n v="15709.23"/>
    <m/>
  </r>
  <r>
    <x v="207"/>
    <s v="519888"/>
    <s v="添富快线"/>
    <n v="7707946"/>
    <n v="7707946"/>
    <n v="0.01"/>
    <n v="3125.02"/>
    <n v="0"/>
    <n v="77079.460000000006"/>
    <n v="0.01"/>
  </r>
  <r>
    <x v="207"/>
    <s v="600269"/>
    <s v="赣粤高速"/>
    <n v="2800"/>
    <n v="2800"/>
    <n v="5.2069999999999999"/>
    <n v="-608.89"/>
    <n v="-4.17"/>
    <n v="13972"/>
    <n v="4.99"/>
  </r>
  <r>
    <x v="207"/>
    <s v="601398"/>
    <s v="工商银行"/>
    <n v="100"/>
    <n v="100"/>
    <n v="-53.579000000000001"/>
    <n v="6026.9"/>
    <n v="0"/>
    <n v="669"/>
    <n v="6.69"/>
  </r>
  <r>
    <x v="207"/>
    <s v="601998"/>
    <s v="中信银行"/>
    <n v="600"/>
    <n v="600"/>
    <n v="2.8769999999999998"/>
    <n v="2365.5700000000002"/>
    <n v="137.05000000000001"/>
    <n v="4092"/>
    <n v="6.82"/>
  </r>
  <r>
    <x v="207"/>
    <s v="603116"/>
    <s v="红蜻蜓"/>
    <n v="5800"/>
    <n v="5800"/>
    <n v="16.396000000000001"/>
    <n v="-10938.71"/>
    <n v="-11.5"/>
    <n v="84158"/>
    <n v="14.51"/>
  </r>
  <r>
    <x v="207"/>
    <s v="000402"/>
    <s v="金 融 街"/>
    <n v="9000"/>
    <n v="9000"/>
    <n v="9.0980000000000008"/>
    <n v="12080.13"/>
    <n v="14.75"/>
    <n v="93960"/>
    <n v="10.44"/>
  </r>
  <r>
    <x v="207"/>
    <s v="000415"/>
    <s v="渤海金控"/>
    <n v="4300"/>
    <n v="4300"/>
    <n v="5.9779999999999998"/>
    <n v="-595.27"/>
    <n v="-2.31"/>
    <n v="25112"/>
    <n v="5.84"/>
  </r>
  <r>
    <x v="207"/>
    <s v="000528"/>
    <s v="柳    工"/>
    <n v="100"/>
    <n v="100"/>
    <n v="-16.027999999999999"/>
    <n v="2572.8000000000002"/>
    <n v="0"/>
    <n v="970"/>
    <n v="9.6999999999999993"/>
  </r>
  <r>
    <x v="207"/>
    <s v="000987"/>
    <s v="越秀金控"/>
    <n v="2300"/>
    <n v="2300"/>
    <n v="9.157"/>
    <n v="-889.05"/>
    <n v="-4.2300000000000004"/>
    <n v="20171"/>
    <n v="8.77"/>
  </r>
  <r>
    <x v="207"/>
    <s v="002006"/>
    <s v="精功科技"/>
    <n v="3300"/>
    <n v="3300"/>
    <n v="6.8769999999999998"/>
    <n v="-1572.91"/>
    <n v="-6.94"/>
    <n v="21120"/>
    <n v="6.4"/>
  </r>
  <r>
    <x v="207"/>
    <s v="002140"/>
    <s v="东华科技"/>
    <n v="13900"/>
    <n v="13900"/>
    <n v="11.211"/>
    <n v="-35177.39"/>
    <n v="-22.58"/>
    <n v="120652"/>
    <n v="8.68"/>
  </r>
  <r>
    <x v="207"/>
    <s v="300701"/>
    <s v="森霸股份"/>
    <n v="100"/>
    <n v="100"/>
    <n v="-130.48500000000001"/>
    <n v="16201.5"/>
    <n v="0"/>
    <n v="3153"/>
    <n v="31.53"/>
  </r>
  <r>
    <x v="207"/>
    <s v="reserve"/>
    <s v="备用金"/>
    <m/>
    <m/>
    <m/>
    <m/>
    <m/>
    <n v="15709.23"/>
    <m/>
  </r>
  <r>
    <x v="208"/>
    <s v="519888"/>
    <s v="添富快线"/>
    <n v="7708632"/>
    <n v="7708632"/>
    <n v="0.01"/>
    <n v="3131.88"/>
    <n v="0"/>
    <n v="77086.320000000007"/>
    <n v="0.01"/>
  </r>
  <r>
    <x v="208"/>
    <s v="600269"/>
    <s v="赣粤高速"/>
    <n v="2800"/>
    <n v="2800"/>
    <n v="5.2069999999999999"/>
    <n v="-664.89"/>
    <n v="-4.55"/>
    <n v="13916"/>
    <n v="4.97"/>
  </r>
  <r>
    <x v="208"/>
    <s v="601398"/>
    <s v="工商银行"/>
    <n v="100"/>
    <n v="100"/>
    <n v="-53.579000000000001"/>
    <n v="6025.9"/>
    <n v="0"/>
    <n v="668"/>
    <n v="6.68"/>
  </r>
  <r>
    <x v="208"/>
    <s v="601998"/>
    <s v="中信银行"/>
    <n v="1100"/>
    <n v="600"/>
    <n v="4.6100000000000003"/>
    <n v="2320.5"/>
    <n v="45.77"/>
    <n v="7392"/>
    <n v="6.72"/>
  </r>
  <r>
    <x v="208"/>
    <s v="603116"/>
    <s v="红蜻蜓"/>
    <n v="5800"/>
    <n v="5800"/>
    <n v="16.396000000000001"/>
    <n v="-11402.71"/>
    <n v="-11.99"/>
    <n v="83694"/>
    <n v="14.43"/>
  </r>
  <r>
    <x v="208"/>
    <s v="000402"/>
    <s v="金 融 街"/>
    <n v="9000"/>
    <n v="9000"/>
    <n v="9.0980000000000008"/>
    <n v="11090.13"/>
    <n v="13.54"/>
    <n v="92970"/>
    <n v="10.33"/>
  </r>
  <r>
    <x v="208"/>
    <s v="000415"/>
    <s v="渤海金控"/>
    <n v="4300"/>
    <n v="4300"/>
    <n v="5.9779999999999998"/>
    <n v="-595.27"/>
    <n v="-2.31"/>
    <n v="25112"/>
    <n v="5.84"/>
  </r>
  <r>
    <x v="208"/>
    <s v="000528"/>
    <s v="柳    工"/>
    <n v="100"/>
    <n v="100"/>
    <n v="-16.027999999999999"/>
    <n v="2539.8000000000002"/>
    <n v="0"/>
    <n v="937"/>
    <n v="9.3699999999999992"/>
  </r>
  <r>
    <x v="208"/>
    <s v="000987"/>
    <s v="越秀金控"/>
    <n v="1000"/>
    <n v="1000"/>
    <n v="8.6579999999999995"/>
    <n v="991.52"/>
    <n v="11.46"/>
    <n v="9650"/>
    <n v="9.65"/>
  </r>
  <r>
    <x v="208"/>
    <s v="002006"/>
    <s v="精功科技"/>
    <n v="3300"/>
    <n v="3300"/>
    <n v="6.8769999999999998"/>
    <n v="-1638.91"/>
    <n v="-7.23"/>
    <n v="21054"/>
    <n v="6.38"/>
  </r>
  <r>
    <x v="208"/>
    <s v="002140"/>
    <s v="东华科技"/>
    <n v="13900"/>
    <n v="13900"/>
    <n v="11.211"/>
    <n v="-34899.39"/>
    <n v="-22.4"/>
    <n v="120930"/>
    <n v="8.6999999999999993"/>
  </r>
  <r>
    <x v="208"/>
    <s v="300701"/>
    <s v="森霸股份"/>
    <n v="100"/>
    <n v="100"/>
    <n v="-130.48500000000001"/>
    <n v="16263.5"/>
    <n v="0"/>
    <n v="3215"/>
    <n v="32.15"/>
  </r>
  <r>
    <x v="208"/>
    <s v="reserve"/>
    <s v="备用金"/>
    <m/>
    <m/>
    <m/>
    <m/>
    <m/>
    <n v="24765.73"/>
    <m/>
  </r>
  <r>
    <x v="209"/>
    <s v="519888"/>
    <s v="添富快线"/>
    <n v="7709385"/>
    <n v="7709385"/>
    <n v="0.01"/>
    <n v="3139.41"/>
    <n v="0"/>
    <n v="77093.850000000006"/>
    <n v="0.01"/>
  </r>
  <r>
    <x v="209"/>
    <s v="600269"/>
    <s v="赣粤高速"/>
    <n v="2800"/>
    <n v="2800"/>
    <n v="5.2069999999999999"/>
    <n v="-692.89"/>
    <n v="-4.74"/>
    <n v="13888"/>
    <n v="4.96"/>
  </r>
  <r>
    <x v="209"/>
    <s v="601398"/>
    <s v="工商银行"/>
    <n v="100"/>
    <n v="100"/>
    <n v="-53.579000000000001"/>
    <n v="6019.9"/>
    <n v="0"/>
    <n v="662"/>
    <n v="6.62"/>
  </r>
  <r>
    <x v="209"/>
    <s v="601998"/>
    <s v="中信银行"/>
    <n v="1100"/>
    <n v="1100"/>
    <n v="4.6100000000000003"/>
    <n v="2276.5"/>
    <n v="44.9"/>
    <n v="7348"/>
    <n v="6.68"/>
  </r>
  <r>
    <x v="209"/>
    <s v="603116"/>
    <s v="红蜻蜓"/>
    <n v="5800"/>
    <n v="5800"/>
    <n v="16.396000000000001"/>
    <n v="-11518.71"/>
    <n v="-12.11"/>
    <n v="83578"/>
    <n v="14.41"/>
  </r>
  <r>
    <x v="209"/>
    <s v="000402"/>
    <s v="金 融 街"/>
    <n v="9000"/>
    <n v="9000"/>
    <n v="9.0980000000000008"/>
    <n v="11450.13"/>
    <n v="13.98"/>
    <n v="93330"/>
    <n v="10.37"/>
  </r>
  <r>
    <x v="209"/>
    <s v="000415"/>
    <s v="渤海金控"/>
    <n v="4300"/>
    <n v="4300"/>
    <n v="5.9779999999999998"/>
    <n v="-595.27"/>
    <n v="-2.31"/>
    <n v="25112"/>
    <n v="5.84"/>
  </r>
  <r>
    <x v="209"/>
    <s v="000528"/>
    <s v="柳    工"/>
    <n v="100"/>
    <n v="100"/>
    <n v="-16.027999999999999"/>
    <n v="2556.8000000000002"/>
    <n v="0"/>
    <n v="954"/>
    <n v="9.5399999999999991"/>
  </r>
  <r>
    <x v="209"/>
    <s v="000987"/>
    <s v="越秀金控"/>
    <n v="200"/>
    <n v="200"/>
    <n v="3.0830000000000002"/>
    <n v="1443.45"/>
    <n v="234.09"/>
    <n v="2060"/>
    <n v="10.3"/>
  </r>
  <r>
    <x v="209"/>
    <s v="002006"/>
    <s v="精功科技"/>
    <n v="3300"/>
    <n v="3300"/>
    <n v="6.8769999999999998"/>
    <n v="-1374.91"/>
    <n v="-6.06"/>
    <n v="21318"/>
    <n v="6.46"/>
  </r>
  <r>
    <x v="209"/>
    <s v="002140"/>
    <s v="东华科技"/>
    <n v="13900"/>
    <n v="13900"/>
    <n v="11.211"/>
    <n v="-32814.39"/>
    <n v="-21.06"/>
    <n v="123015"/>
    <n v="8.85"/>
  </r>
  <r>
    <x v="209"/>
    <s v="300701"/>
    <s v="森霸股份"/>
    <n v="100"/>
    <n v="100"/>
    <n v="-130.48500000000001"/>
    <n v="16318.5"/>
    <n v="0"/>
    <n v="3270"/>
    <n v="32.700000000000003"/>
  </r>
  <r>
    <x v="209"/>
    <s v="reserve"/>
    <s v="备用金"/>
    <m/>
    <m/>
    <m/>
    <m/>
    <m/>
    <n v="32807.660000000003"/>
    <m/>
  </r>
  <r>
    <x v="210"/>
    <s v="519888"/>
    <s v="添富快线"/>
    <n v="11211361"/>
    <n v="7711361"/>
    <n v="0.01"/>
    <n v="3159.17"/>
    <n v="0"/>
    <n v="112113.61"/>
    <n v="0.01"/>
  </r>
  <r>
    <x v="210"/>
    <s v="600269"/>
    <s v="赣粤高速"/>
    <n v="2800"/>
    <n v="2800"/>
    <n v="5.2069999999999999"/>
    <n v="-524.89"/>
    <n v="-3.59"/>
    <n v="14056"/>
    <n v="5.0199999999999996"/>
  </r>
  <r>
    <x v="210"/>
    <s v="601398"/>
    <s v="工商银行"/>
    <n v="100"/>
    <n v="100"/>
    <n v="-53.579000000000001"/>
    <n v="6012.9"/>
    <n v="0"/>
    <n v="655"/>
    <n v="6.55"/>
  </r>
  <r>
    <x v="210"/>
    <s v="601998"/>
    <s v="中信银行"/>
    <n v="1100"/>
    <n v="1100"/>
    <n v="4.6100000000000003"/>
    <n v="2331.5"/>
    <n v="45.99"/>
    <n v="7403"/>
    <n v="6.73"/>
  </r>
  <r>
    <x v="210"/>
    <s v="603116"/>
    <s v="红蜻蜓"/>
    <n v="5400"/>
    <n v="5400"/>
    <n v="16.536000000000001"/>
    <n v="-10725.64"/>
    <n v="-12.01"/>
    <n v="78570"/>
    <n v="14.55"/>
  </r>
  <r>
    <x v="210"/>
    <s v="000402"/>
    <s v="金 融 街"/>
    <n v="8200"/>
    <n v="8200"/>
    <n v="8.9640000000000004"/>
    <n v="12515.74"/>
    <n v="17.02"/>
    <n v="86018"/>
    <n v="10.49"/>
  </r>
  <r>
    <x v="210"/>
    <s v="000415"/>
    <s v="渤海金控"/>
    <n v="4300"/>
    <n v="4300"/>
    <n v="5.9779999999999998"/>
    <n v="-595.27"/>
    <n v="-2.31"/>
    <n v="25112"/>
    <n v="5.84"/>
  </r>
  <r>
    <x v="210"/>
    <s v="000528"/>
    <s v="柳    工"/>
    <n v="100"/>
    <n v="100"/>
    <n v="-16.027999999999999"/>
    <n v="2560.8000000000002"/>
    <n v="0"/>
    <n v="958"/>
    <n v="9.58"/>
  </r>
  <r>
    <x v="210"/>
    <s v="000987"/>
    <s v="越秀金控"/>
    <n v="200"/>
    <n v="200"/>
    <n v="3.0830000000000002"/>
    <n v="1405.45"/>
    <n v="227.93"/>
    <n v="2022"/>
    <n v="10.11"/>
  </r>
  <r>
    <x v="210"/>
    <s v="002006"/>
    <s v="精功科技"/>
    <n v="3300"/>
    <n v="3300"/>
    <n v="6.8769999999999998"/>
    <n v="-1242.9100000000001"/>
    <n v="-5.48"/>
    <n v="21450"/>
    <n v="6.5"/>
  </r>
  <r>
    <x v="210"/>
    <s v="002140"/>
    <s v="东华科技"/>
    <n v="13900"/>
    <n v="13900"/>
    <n v="11.211"/>
    <n v="-33092.39"/>
    <n v="-21.24"/>
    <n v="122737"/>
    <n v="8.83"/>
  </r>
  <r>
    <x v="210"/>
    <s v="300701"/>
    <s v="森霸股份"/>
    <n v="100"/>
    <n v="100"/>
    <n v="-130.48500000000001"/>
    <n v="16351.5"/>
    <n v="0"/>
    <n v="3303"/>
    <n v="33.03"/>
  </r>
  <r>
    <x v="210"/>
    <s v="reserve"/>
    <s v="备用金"/>
    <m/>
    <m/>
    <m/>
    <m/>
    <m/>
    <n v="11986.34"/>
    <m/>
  </r>
  <r>
    <x v="211"/>
    <s v="519888"/>
    <s v="添富快线"/>
    <n v="11212085"/>
    <n v="11212085"/>
    <n v="0.01"/>
    <n v="3166.41"/>
    <n v="0"/>
    <n v="112120.85"/>
    <n v="0.01"/>
  </r>
  <r>
    <x v="211"/>
    <s v="600269"/>
    <s v="赣粤高速"/>
    <n v="2800"/>
    <n v="2800"/>
    <n v="5.2069999999999999"/>
    <n v="-552.89"/>
    <n v="-3.78"/>
    <n v="14028"/>
    <n v="5.01"/>
  </r>
  <r>
    <x v="211"/>
    <s v="601398"/>
    <s v="工商银行"/>
    <n v="100"/>
    <n v="100"/>
    <n v="-53.579000000000001"/>
    <n v="6020.9"/>
    <n v="0"/>
    <n v="663"/>
    <n v="6.63"/>
  </r>
  <r>
    <x v="211"/>
    <s v="601998"/>
    <s v="中信银行"/>
    <n v="1100"/>
    <n v="1100"/>
    <n v="4.6100000000000003"/>
    <n v="2353.5"/>
    <n v="46.42"/>
    <n v="7425"/>
    <n v="6.75"/>
  </r>
  <r>
    <x v="211"/>
    <s v="603116"/>
    <s v="红蜻蜓"/>
    <n v="5400"/>
    <n v="5400"/>
    <n v="16.536000000000001"/>
    <n v="-11643.64"/>
    <n v="-13.04"/>
    <n v="77652"/>
    <n v="14.38"/>
  </r>
  <r>
    <x v="211"/>
    <s v="000402"/>
    <s v="金 融 街"/>
    <n v="8600"/>
    <n v="8200"/>
    <n v="9.032"/>
    <n v="11760.74"/>
    <n v="15.15"/>
    <n v="89440"/>
    <n v="10.4"/>
  </r>
  <r>
    <x v="211"/>
    <s v="000415"/>
    <s v="渤海金控"/>
    <n v="4300"/>
    <n v="4300"/>
    <n v="5.9779999999999998"/>
    <n v="-595.27"/>
    <n v="-2.31"/>
    <n v="25112"/>
    <n v="5.84"/>
  </r>
  <r>
    <x v="211"/>
    <s v="000528"/>
    <s v="柳    工"/>
    <n v="100"/>
    <n v="100"/>
    <n v="-16.027999999999999"/>
    <n v="2596.8000000000002"/>
    <n v="0"/>
    <n v="994"/>
    <n v="9.94"/>
  </r>
  <r>
    <x v="211"/>
    <s v="000987"/>
    <s v="越秀金控"/>
    <n v="200"/>
    <n v="200"/>
    <n v="3.0830000000000002"/>
    <n v="1395.45"/>
    <n v="226.31"/>
    <n v="2012"/>
    <n v="10.06"/>
  </r>
  <r>
    <x v="211"/>
    <s v="002006"/>
    <s v="精功科技"/>
    <n v="2900"/>
    <n v="2900"/>
    <n v="6.9160000000000004"/>
    <n v="-1003.55"/>
    <n v="-5"/>
    <n v="19053"/>
    <n v="6.57"/>
  </r>
  <r>
    <x v="211"/>
    <s v="002140"/>
    <s v="东华科技"/>
    <n v="13900"/>
    <n v="13900"/>
    <n v="11.211"/>
    <n v="-34621.39"/>
    <n v="-22.22"/>
    <n v="121208"/>
    <n v="8.7200000000000006"/>
  </r>
  <r>
    <x v="211"/>
    <s v="300701"/>
    <s v="森霸股份"/>
    <n v="100"/>
    <n v="100"/>
    <n v="-130.48500000000001"/>
    <n v="16440.5"/>
    <n v="0"/>
    <n v="3392"/>
    <n v="33.92"/>
  </r>
  <r>
    <x v="211"/>
    <s v="reserve"/>
    <s v="备用金"/>
    <m/>
    <m/>
    <m/>
    <m/>
    <m/>
    <n v="10445.700000000001"/>
    <m/>
  </r>
  <r>
    <x v="212"/>
    <s v="519888"/>
    <s v="添富快线"/>
    <n v="11213089"/>
    <n v="11213089"/>
    <n v="0.01"/>
    <n v="3176.45"/>
    <n v="0"/>
    <n v="112130.89"/>
    <n v="0.01"/>
  </r>
  <r>
    <x v="212"/>
    <s v="600269"/>
    <s v="赣粤高速"/>
    <n v="2400"/>
    <n v="2400"/>
    <n v="5.2380000000000004"/>
    <n v="-451.95"/>
    <n v="-3.59"/>
    <n v="12120"/>
    <n v="5.05"/>
  </r>
  <r>
    <x v="212"/>
    <s v="601398"/>
    <s v="工商银行"/>
    <n v="100"/>
    <n v="100"/>
    <n v="-53.579000000000001"/>
    <n v="6012.9"/>
    <n v="0"/>
    <n v="655"/>
    <n v="6.55"/>
  </r>
  <r>
    <x v="212"/>
    <s v="601998"/>
    <s v="中信银行"/>
    <n v="1100"/>
    <n v="1100"/>
    <n v="4.6100000000000003"/>
    <n v="2320.5"/>
    <n v="45.77"/>
    <n v="7392"/>
    <n v="6.72"/>
  </r>
  <r>
    <x v="212"/>
    <s v="603116"/>
    <s v="红蜻蜓"/>
    <n v="5400"/>
    <n v="5400"/>
    <n v="16.536000000000001"/>
    <n v="-11049.64"/>
    <n v="-12.37"/>
    <n v="78246"/>
    <n v="14.49"/>
  </r>
  <r>
    <x v="212"/>
    <s v="000402"/>
    <s v="金 融 街"/>
    <n v="8600"/>
    <n v="8600"/>
    <n v="9.032"/>
    <n v="12018.74"/>
    <n v="15.48"/>
    <n v="89698"/>
    <n v="10.43"/>
  </r>
  <r>
    <x v="212"/>
    <s v="000415"/>
    <s v="渤海金控"/>
    <n v="4300"/>
    <n v="4300"/>
    <n v="5.9779999999999998"/>
    <n v="-595.27"/>
    <n v="-2.31"/>
    <n v="25112"/>
    <n v="5.84"/>
  </r>
  <r>
    <x v="212"/>
    <s v="000528"/>
    <s v="柳    工"/>
    <n v="100"/>
    <n v="100"/>
    <n v="-16.027999999999999"/>
    <n v="2602.8000000000002"/>
    <n v="0"/>
    <n v="1000"/>
    <n v="10"/>
  </r>
  <r>
    <x v="212"/>
    <s v="000987"/>
    <s v="越秀金控"/>
    <n v="500"/>
    <n v="0"/>
    <n v="7.1289999999999996"/>
    <n v="1415.45"/>
    <n v="39.71"/>
    <n v="4980"/>
    <n v="9.9600000000000009"/>
  </r>
  <r>
    <x v="212"/>
    <s v="002006"/>
    <s v="精功科技"/>
    <n v="2900"/>
    <n v="2900"/>
    <n v="6.9160000000000004"/>
    <n v="-1206.55"/>
    <n v="-6.01"/>
    <n v="18850"/>
    <n v="6.5"/>
  </r>
  <r>
    <x v="212"/>
    <s v="002140"/>
    <s v="东华科技"/>
    <n v="13900"/>
    <n v="13900"/>
    <n v="11.211"/>
    <n v="-33092.39"/>
    <n v="-21.24"/>
    <n v="122737"/>
    <n v="8.83"/>
  </r>
  <r>
    <x v="212"/>
    <s v="300701"/>
    <s v="森霸股份"/>
    <n v="100"/>
    <n v="100"/>
    <n v="-130.48500000000001"/>
    <n v="16606.5"/>
    <n v="0"/>
    <n v="3558"/>
    <n v="35.58"/>
  </r>
  <r>
    <x v="212"/>
    <s v="reserve"/>
    <s v="备用金"/>
    <m/>
    <m/>
    <m/>
    <m/>
    <m/>
    <n v="9506.64"/>
    <m/>
  </r>
  <r>
    <x v="213"/>
    <s v="519888"/>
    <s v="添富快线"/>
    <n v="11214089"/>
    <n v="11214089"/>
    <n v="0.01"/>
    <n v="3186.45"/>
    <n v="0"/>
    <n v="112140.89"/>
    <n v="0.01"/>
  </r>
  <r>
    <x v="213"/>
    <s v="600269"/>
    <s v="赣粤高速"/>
    <n v="2400"/>
    <n v="2400"/>
    <n v="5.2380000000000004"/>
    <n v="-451.95"/>
    <n v="-3.59"/>
    <n v="12120"/>
    <n v="5.05"/>
  </r>
  <r>
    <x v="213"/>
    <s v="601398"/>
    <s v="工商银行"/>
    <n v="100"/>
    <n v="100"/>
    <n v="-53.579000000000001"/>
    <n v="6012.9"/>
    <n v="0"/>
    <n v="655"/>
    <n v="6.55"/>
  </r>
  <r>
    <x v="213"/>
    <s v="601998"/>
    <s v="中信银行"/>
    <n v="1100"/>
    <n v="1100"/>
    <n v="4.6100000000000003"/>
    <n v="2320.5"/>
    <n v="45.77"/>
    <n v="7392"/>
    <n v="6.72"/>
  </r>
  <r>
    <x v="213"/>
    <s v="603116"/>
    <s v="红蜻蜓"/>
    <n v="5000"/>
    <n v="5000"/>
    <n v="16.681000000000001"/>
    <n v="-9806.66"/>
    <n v="-11.75"/>
    <n v="73600"/>
    <n v="14.72"/>
  </r>
  <r>
    <x v="213"/>
    <s v="000402"/>
    <s v="金 融 街"/>
    <n v="8600"/>
    <n v="8600"/>
    <n v="9.032"/>
    <n v="12276.74"/>
    <n v="15.81"/>
    <n v="89956"/>
    <n v="10.46"/>
  </r>
  <r>
    <x v="213"/>
    <s v="000415"/>
    <s v="渤海金控"/>
    <n v="4300"/>
    <n v="4300"/>
    <n v="5.9779999999999998"/>
    <n v="-595.27"/>
    <n v="-2.31"/>
    <n v="25112"/>
    <n v="5.84"/>
  </r>
  <r>
    <x v="213"/>
    <s v="000528"/>
    <s v="柳    工"/>
    <n v="100"/>
    <n v="100"/>
    <n v="-16.027999999999999"/>
    <n v="2602.8000000000002"/>
    <n v="0"/>
    <n v="1000"/>
    <n v="10"/>
  </r>
  <r>
    <x v="213"/>
    <s v="000987"/>
    <s v="越秀金控"/>
    <n v="100"/>
    <n v="100"/>
    <n v="-4.9039999999999999"/>
    <n v="1512.4"/>
    <n v="0"/>
    <n v="1022"/>
    <n v="10.220000000000001"/>
  </r>
  <r>
    <x v="213"/>
    <s v="002006"/>
    <s v="精功科技"/>
    <n v="2900"/>
    <n v="2900"/>
    <n v="6.9160000000000004"/>
    <n v="-684.55"/>
    <n v="-3.41"/>
    <n v="19372"/>
    <n v="6.68"/>
  </r>
  <r>
    <x v="213"/>
    <s v="002140"/>
    <s v="东华科技"/>
    <n v="13500"/>
    <n v="13500"/>
    <n v="11.28"/>
    <n v="-31448.95"/>
    <n v="-20.66"/>
    <n v="120825"/>
    <n v="8.9499999999999993"/>
  </r>
  <r>
    <x v="213"/>
    <s v="300701"/>
    <s v="森霸股份"/>
    <n v="100"/>
    <n v="100"/>
    <n v="-130.48500000000001"/>
    <n v="16722.5"/>
    <n v="0"/>
    <n v="3674"/>
    <n v="36.74"/>
  </r>
  <r>
    <x v="213"/>
    <s v="reserve"/>
    <s v="备用金"/>
    <m/>
    <m/>
    <m/>
    <m/>
    <m/>
    <n v="23006"/>
    <m/>
  </r>
  <r>
    <x v="214"/>
    <s v="519888"/>
    <s v="添富快线"/>
    <n v="11215212"/>
    <n v="11215212"/>
    <n v="0.01"/>
    <n v="3197.68"/>
    <n v="0"/>
    <n v="112152.12"/>
    <n v="0.01"/>
  </r>
  <r>
    <x v="214"/>
    <s v="600269"/>
    <s v="赣粤高速"/>
    <n v="2400"/>
    <n v="2400"/>
    <n v="5.2380000000000004"/>
    <n v="-427.95"/>
    <n v="-3.4"/>
    <n v="12144"/>
    <n v="5.0599999999999996"/>
  </r>
  <r>
    <x v="214"/>
    <s v="601398"/>
    <s v="工商银行"/>
    <n v="100"/>
    <n v="100"/>
    <n v="-53.579000000000001"/>
    <n v="6005.9"/>
    <n v="0"/>
    <n v="648"/>
    <n v="6.48"/>
  </r>
  <r>
    <x v="214"/>
    <s v="601998"/>
    <s v="中信银行"/>
    <n v="1100"/>
    <n v="1100"/>
    <n v="4.6100000000000003"/>
    <n v="2320.5"/>
    <n v="45.77"/>
    <n v="7392"/>
    <n v="6.72"/>
  </r>
  <r>
    <x v="214"/>
    <s v="603116"/>
    <s v="红蜻蜓"/>
    <n v="5000"/>
    <n v="5000"/>
    <n v="16.681000000000001"/>
    <n v="-9306.66"/>
    <n v="-11.16"/>
    <n v="74100"/>
    <n v="14.82"/>
  </r>
  <r>
    <x v="214"/>
    <s v="000402"/>
    <s v="金 融 街"/>
    <n v="9600"/>
    <n v="8600"/>
    <n v="9.1739999999999995"/>
    <n v="11573.74"/>
    <n v="13.15"/>
    <n v="99648"/>
    <n v="10.38"/>
  </r>
  <r>
    <x v="214"/>
    <s v="000415"/>
    <s v="渤海金控"/>
    <n v="4300"/>
    <n v="4300"/>
    <n v="5.9779999999999998"/>
    <n v="-595.27"/>
    <n v="-2.31"/>
    <n v="25112"/>
    <n v="5.84"/>
  </r>
  <r>
    <x v="214"/>
    <s v="000528"/>
    <s v="柳    工"/>
    <n v="100"/>
    <n v="100"/>
    <n v="-16.027999999999999"/>
    <n v="2603.8000000000002"/>
    <n v="0"/>
    <n v="1001"/>
    <n v="10.01"/>
  </r>
  <r>
    <x v="214"/>
    <s v="000987"/>
    <s v="越秀金控"/>
    <n v="100"/>
    <n v="100"/>
    <n v="-4.9039999999999999"/>
    <n v="1570.4"/>
    <n v="0"/>
    <n v="1080"/>
    <n v="10.8"/>
  </r>
  <r>
    <x v="214"/>
    <s v="002006"/>
    <s v="精功科技"/>
    <n v="2900"/>
    <n v="2900"/>
    <n v="6.9160000000000004"/>
    <n v="-510.55"/>
    <n v="-2.54"/>
    <n v="19546"/>
    <n v="6.74"/>
  </r>
  <r>
    <x v="214"/>
    <s v="002140"/>
    <s v="东华科技"/>
    <n v="13500"/>
    <n v="13100"/>
    <n v="11.28"/>
    <n v="-31178.95"/>
    <n v="-20.48"/>
    <n v="121095"/>
    <n v="8.9700000000000006"/>
  </r>
  <r>
    <x v="214"/>
    <s v="300701"/>
    <s v="森霸股份"/>
    <n v="100"/>
    <n v="100"/>
    <n v="-130.48500000000001"/>
    <n v="16771.5"/>
    <n v="0"/>
    <n v="3723"/>
    <n v="37.229999999999997"/>
  </r>
  <r>
    <x v="214"/>
    <s v="reserve"/>
    <s v="备用金"/>
    <m/>
    <m/>
    <m/>
    <m/>
    <m/>
    <n v="12611"/>
    <m/>
  </r>
  <r>
    <x v="215"/>
    <s v="519888"/>
    <s v="添富快线"/>
    <n v="11998062"/>
    <n v="11218062"/>
    <n v="0.01"/>
    <n v="3226.18"/>
    <n v="0"/>
    <n v="119980.62"/>
    <n v="0.01"/>
  </r>
  <r>
    <x v="215"/>
    <s v="600269"/>
    <s v="赣粤高速"/>
    <n v="2400"/>
    <n v="2400"/>
    <n v="5.2380000000000004"/>
    <n v="-523.95000000000005"/>
    <n v="-4.16"/>
    <n v="12048"/>
    <n v="5.0199999999999996"/>
  </r>
  <r>
    <x v="215"/>
    <s v="601398"/>
    <s v="工商银行"/>
    <n v="100"/>
    <n v="100"/>
    <n v="-53.579000000000001"/>
    <n v="6007.9"/>
    <n v="0"/>
    <n v="650"/>
    <n v="6.5"/>
  </r>
  <r>
    <x v="215"/>
    <s v="601998"/>
    <s v="中信银行"/>
    <n v="1100"/>
    <n v="1100"/>
    <n v="4.6100000000000003"/>
    <n v="2320.5"/>
    <n v="45.77"/>
    <n v="7392"/>
    <n v="6.72"/>
  </r>
  <r>
    <x v="215"/>
    <s v="603116"/>
    <s v="红蜻蜓"/>
    <n v="5000"/>
    <n v="5000"/>
    <n v="16.681000000000001"/>
    <n v="-10006.66"/>
    <n v="-11.99"/>
    <n v="73400"/>
    <n v="14.68"/>
  </r>
  <r>
    <x v="215"/>
    <s v="000402"/>
    <s v="金 融 街"/>
    <n v="9700"/>
    <n v="9200"/>
    <n v="9.1820000000000004"/>
    <n v="11327.54"/>
    <n v="12.72"/>
    <n v="100395"/>
    <n v="10.35"/>
  </r>
  <r>
    <x v="215"/>
    <s v="000415"/>
    <s v="渤海金控"/>
    <n v="4300"/>
    <n v="4300"/>
    <n v="5.9779999999999998"/>
    <n v="-595.27"/>
    <n v="-2.31"/>
    <n v="25112"/>
    <n v="5.84"/>
  </r>
  <r>
    <x v="215"/>
    <s v="000528"/>
    <s v="柳    工"/>
    <n v="100"/>
    <n v="100"/>
    <n v="-16.027999999999999"/>
    <n v="2577.8000000000002"/>
    <n v="0"/>
    <n v="975"/>
    <n v="9.75"/>
  </r>
  <r>
    <x v="215"/>
    <s v="000987"/>
    <s v="越秀金控"/>
    <n v="100"/>
    <n v="100"/>
    <n v="-4.9039999999999999"/>
    <n v="1533.4"/>
    <n v="0"/>
    <n v="1043"/>
    <n v="10.43"/>
  </r>
  <r>
    <x v="215"/>
    <s v="002006"/>
    <s v="精功科技"/>
    <n v="2500"/>
    <n v="2500"/>
    <n v="6.9379999999999997"/>
    <n v="-294.27"/>
    <n v="-1.7"/>
    <n v="17050"/>
    <n v="6.82"/>
  </r>
  <r>
    <x v="215"/>
    <s v="002140"/>
    <s v="东华科技"/>
    <n v="13100"/>
    <n v="13100"/>
    <n v="11.346"/>
    <n v="-30083.59"/>
    <n v="-20.239999999999998"/>
    <n v="118555"/>
    <n v="9.0500000000000007"/>
  </r>
  <r>
    <x v="215"/>
    <s v="300701"/>
    <s v="森霸股份"/>
    <n v="100"/>
    <n v="100"/>
    <n v="-130.48500000000001"/>
    <n v="16688.5"/>
    <n v="0"/>
    <n v="3640"/>
    <n v="36.4"/>
  </r>
  <r>
    <x v="215"/>
    <s v="reserve"/>
    <s v="备用金"/>
    <m/>
    <m/>
    <m/>
    <m/>
    <m/>
    <n v="10165.44"/>
    <m/>
  </r>
  <r>
    <x v="216"/>
    <s v="519888"/>
    <s v="添富快线"/>
    <n v="12000219"/>
    <n v="12000219"/>
    <n v="0.01"/>
    <n v="3247.75"/>
    <n v="0"/>
    <n v="120002.19"/>
    <n v="0.01"/>
  </r>
  <r>
    <x v="216"/>
    <s v="600269"/>
    <s v="赣粤高速"/>
    <n v="2400"/>
    <n v="2400"/>
    <n v="5.2380000000000004"/>
    <n v="-595.95000000000005"/>
    <n v="-4.7300000000000004"/>
    <n v="11976"/>
    <n v="4.99"/>
  </r>
  <r>
    <x v="216"/>
    <s v="601398"/>
    <s v="工商银行"/>
    <n v="100"/>
    <n v="100"/>
    <n v="-53.579000000000001"/>
    <n v="6001.9"/>
    <n v="0"/>
    <n v="644"/>
    <n v="6.44"/>
  </r>
  <r>
    <x v="216"/>
    <s v="601998"/>
    <s v="中信银行"/>
    <n v="1100"/>
    <n v="1100"/>
    <n v="4.6100000000000003"/>
    <n v="2254.5"/>
    <n v="44.47"/>
    <n v="7326"/>
    <n v="6.66"/>
  </r>
  <r>
    <x v="216"/>
    <s v="603116"/>
    <s v="红蜻蜓"/>
    <n v="5000"/>
    <n v="5000"/>
    <n v="16.681000000000001"/>
    <n v="-10256.66"/>
    <n v="-12.29"/>
    <n v="73150"/>
    <n v="14.63"/>
  </r>
  <r>
    <x v="216"/>
    <s v="000402"/>
    <s v="金 融 街"/>
    <n v="10200"/>
    <n v="10200"/>
    <n v="9.2349999999999994"/>
    <n v="10663.54"/>
    <n v="11.32"/>
    <n v="104856"/>
    <n v="10.28"/>
  </r>
  <r>
    <x v="216"/>
    <s v="000415"/>
    <s v="渤海金控"/>
    <n v="4300"/>
    <n v="4300"/>
    <n v="5.9779999999999998"/>
    <n v="-595.27"/>
    <n v="-2.31"/>
    <n v="25112"/>
    <n v="5.84"/>
  </r>
  <r>
    <x v="216"/>
    <s v="000528"/>
    <s v="柳    工"/>
    <n v="100"/>
    <n v="100"/>
    <n v="-16.027999999999999"/>
    <n v="2576.8000000000002"/>
    <n v="0"/>
    <n v="974"/>
    <n v="9.74"/>
  </r>
  <r>
    <x v="216"/>
    <s v="000987"/>
    <s v="越秀金控"/>
    <n v="100"/>
    <n v="100"/>
    <n v="-4.9039999999999999"/>
    <n v="1543.4"/>
    <n v="0"/>
    <n v="1053"/>
    <n v="10.53"/>
  </r>
  <r>
    <x v="216"/>
    <s v="002006"/>
    <s v="精功科技"/>
    <n v="2500"/>
    <n v="2500"/>
    <n v="6.9379999999999997"/>
    <n v="-694.27"/>
    <n v="-4.01"/>
    <n v="16650"/>
    <n v="6.66"/>
  </r>
  <r>
    <x v="216"/>
    <s v="002140"/>
    <s v="东华科技"/>
    <n v="13100"/>
    <n v="13100"/>
    <n v="11.346"/>
    <n v="-32834.589999999997"/>
    <n v="-22.09"/>
    <n v="115804"/>
    <n v="8.84"/>
  </r>
  <r>
    <x v="216"/>
    <s v="300701"/>
    <s v="森霸股份"/>
    <n v="100"/>
    <n v="100"/>
    <n v="-130.48500000000001"/>
    <n v="16608.5"/>
    <n v="0"/>
    <n v="3560"/>
    <n v="35.6"/>
  </r>
  <r>
    <x v="216"/>
    <s v="reserve"/>
    <s v="备用金"/>
    <m/>
    <m/>
    <m/>
    <m/>
    <m/>
    <n v="5040.4399999999996"/>
    <m/>
  </r>
  <r>
    <x v="217"/>
    <s v="519888"/>
    <s v="添富快线"/>
    <n v="11000219"/>
    <n v="11000219"/>
    <n v="0.01"/>
    <n v="3247.75"/>
    <n v="0"/>
    <n v="110002.19"/>
    <n v="0.01"/>
  </r>
  <r>
    <x v="217"/>
    <s v="600269"/>
    <s v="赣粤高速"/>
    <n v="2400"/>
    <n v="2400"/>
    <n v="5.2380000000000004"/>
    <n v="-643.95000000000005"/>
    <n v="-5.12"/>
    <n v="11928"/>
    <n v="4.97"/>
  </r>
  <r>
    <x v="217"/>
    <s v="601398"/>
    <s v="工商银行"/>
    <n v="100"/>
    <n v="100"/>
    <n v="-53.579000000000001"/>
    <n v="6002.9"/>
    <n v="0"/>
    <n v="645"/>
    <n v="6.45"/>
  </r>
  <r>
    <x v="217"/>
    <s v="601998"/>
    <s v="中信银行"/>
    <n v="1100"/>
    <n v="1100"/>
    <n v="4.6100000000000003"/>
    <n v="2221.5"/>
    <n v="43.82"/>
    <n v="7293"/>
    <n v="6.63"/>
  </r>
  <r>
    <x v="217"/>
    <s v="603116"/>
    <s v="红蜻蜓"/>
    <n v="5000"/>
    <n v="5000"/>
    <n v="16.681000000000001"/>
    <n v="-11156.66"/>
    <n v="-13.37"/>
    <n v="72250"/>
    <n v="14.45"/>
  </r>
  <r>
    <x v="217"/>
    <s v="000402"/>
    <s v="金 融 街"/>
    <n v="10700"/>
    <n v="10200"/>
    <n v="9.2799999999999994"/>
    <n v="9098.5400000000009"/>
    <n v="9.16"/>
    <n v="108391"/>
    <n v="10.130000000000001"/>
  </r>
  <r>
    <x v="217"/>
    <s v="000415"/>
    <s v="渤海金控"/>
    <n v="4300"/>
    <n v="4300"/>
    <n v="5.9779999999999998"/>
    <n v="-595.27"/>
    <n v="-2.31"/>
    <n v="25112"/>
    <n v="5.84"/>
  </r>
  <r>
    <x v="217"/>
    <s v="000528"/>
    <s v="柳    工"/>
    <n v="100"/>
    <n v="100"/>
    <n v="-16.027999999999999"/>
    <n v="2561.8000000000002"/>
    <n v="0"/>
    <n v="959"/>
    <n v="9.59"/>
  </r>
  <r>
    <x v="217"/>
    <s v="000987"/>
    <s v="越秀金控"/>
    <n v="100"/>
    <n v="100"/>
    <n v="-4.9039999999999999"/>
    <n v="1548.4"/>
    <n v="0"/>
    <n v="1058"/>
    <n v="10.58"/>
  </r>
  <r>
    <x v="217"/>
    <s v="002006"/>
    <s v="精功科技"/>
    <n v="3000"/>
    <n v="2500"/>
    <n v="6.8650000000000002"/>
    <n v="-1124.27"/>
    <n v="-5.46"/>
    <n v="19470"/>
    <n v="6.49"/>
  </r>
  <r>
    <x v="217"/>
    <s v="002140"/>
    <s v="东华科技"/>
    <n v="13600"/>
    <n v="13100"/>
    <n v="11.25"/>
    <n v="-35625.589999999997"/>
    <n v="-23.29"/>
    <n v="117368"/>
    <n v="8.6300000000000008"/>
  </r>
  <r>
    <x v="217"/>
    <s v="300701"/>
    <s v="森霸股份"/>
    <n v="100"/>
    <n v="100"/>
    <n v="-130.48500000000001"/>
    <n v="16302.5"/>
    <n v="0"/>
    <n v="3254"/>
    <n v="32.54"/>
  </r>
  <r>
    <x v="217"/>
    <s v="reserve"/>
    <s v="备用金"/>
    <m/>
    <m/>
    <m/>
    <m/>
    <m/>
    <n v="2335.44"/>
    <m/>
  </r>
  <r>
    <x v="218"/>
    <s v="519888"/>
    <s v="添富快线"/>
    <n v="10001258"/>
    <n v="10001258"/>
    <n v="0.01"/>
    <n v="3258.14"/>
    <n v="0"/>
    <n v="100012.58"/>
    <n v="0.01"/>
  </r>
  <r>
    <x v="218"/>
    <s v="600269"/>
    <s v="赣粤高速"/>
    <n v="2400"/>
    <n v="2400"/>
    <n v="5.2380000000000004"/>
    <n v="-619.95000000000005"/>
    <n v="-4.92"/>
    <n v="11952"/>
    <n v="4.9800000000000004"/>
  </r>
  <r>
    <x v="218"/>
    <s v="601398"/>
    <s v="工商银行"/>
    <n v="100"/>
    <n v="100"/>
    <n v="-53.579000000000001"/>
    <n v="5993.9"/>
    <n v="0"/>
    <n v="636"/>
    <n v="6.36"/>
  </r>
  <r>
    <x v="218"/>
    <s v="601998"/>
    <s v="中信银行"/>
    <n v="1100"/>
    <n v="1100"/>
    <n v="4.6100000000000003"/>
    <n v="2188.5"/>
    <n v="43.17"/>
    <n v="7260"/>
    <n v="6.6"/>
  </r>
  <r>
    <x v="218"/>
    <s v="603116"/>
    <s v="红蜻蜓"/>
    <n v="5000"/>
    <n v="5000"/>
    <n v="16.681000000000001"/>
    <n v="-10756.66"/>
    <n v="-12.89"/>
    <n v="72650"/>
    <n v="14.53"/>
  </r>
  <r>
    <x v="218"/>
    <s v="000402"/>
    <s v="金 融 街"/>
    <n v="10700"/>
    <n v="10700"/>
    <n v="9.2799999999999994"/>
    <n v="9847.5400000000009"/>
    <n v="9.91"/>
    <n v="109140"/>
    <n v="10.199999999999999"/>
  </r>
  <r>
    <x v="218"/>
    <s v="000415"/>
    <s v="渤海金控"/>
    <n v="4300"/>
    <n v="4300"/>
    <n v="5.9779999999999998"/>
    <n v="-595.27"/>
    <n v="-2.31"/>
    <n v="25112"/>
    <n v="5.84"/>
  </r>
  <r>
    <x v="218"/>
    <s v="000528"/>
    <s v="柳    工"/>
    <n v="100"/>
    <n v="100"/>
    <n v="-16.027999999999999"/>
    <n v="2568.8000000000002"/>
    <n v="0"/>
    <n v="966"/>
    <n v="9.66"/>
  </r>
  <r>
    <x v="218"/>
    <s v="000987"/>
    <s v="越秀金控"/>
    <n v="100"/>
    <n v="100"/>
    <n v="-4.9039999999999999"/>
    <n v="1645.4"/>
    <n v="0"/>
    <n v="1155"/>
    <n v="11.55"/>
  </r>
  <r>
    <x v="218"/>
    <s v="002006"/>
    <s v="精功科技"/>
    <n v="3000"/>
    <n v="3000"/>
    <n v="6.8650000000000002"/>
    <n v="-1034.27"/>
    <n v="-5.0199999999999996"/>
    <n v="19560"/>
    <n v="6.52"/>
  </r>
  <r>
    <x v="218"/>
    <s v="002140"/>
    <s v="东华科技"/>
    <n v="13600"/>
    <n v="13600"/>
    <n v="11.25"/>
    <n v="-34265.589999999997"/>
    <n v="-22.4"/>
    <n v="118728"/>
    <n v="8.73"/>
  </r>
  <r>
    <x v="218"/>
    <s v="300701"/>
    <s v="森霸股份"/>
    <n v="100"/>
    <n v="100"/>
    <n v="-130.48500000000001"/>
    <n v="16572.5"/>
    <n v="0"/>
    <n v="3524"/>
    <n v="35.24"/>
  </r>
  <r>
    <x v="218"/>
    <s v="reserve"/>
    <s v="备用金"/>
    <m/>
    <m/>
    <m/>
    <m/>
    <m/>
    <n v="12335.44"/>
    <m/>
  </r>
  <r>
    <x v="219"/>
    <s v="519888"/>
    <s v="添富快线"/>
    <n v="10002322"/>
    <n v="10002322"/>
    <n v="0.01"/>
    <n v="3268.78"/>
    <n v="0"/>
    <n v="100023.22"/>
    <n v="0.01"/>
  </r>
  <r>
    <x v="219"/>
    <s v="600269"/>
    <s v="赣粤高速"/>
    <n v="2400"/>
    <n v="2400"/>
    <n v="5.2380000000000004"/>
    <n v="-643.95000000000005"/>
    <n v="-5.12"/>
    <n v="11928"/>
    <n v="4.97"/>
  </r>
  <r>
    <x v="219"/>
    <s v="601398"/>
    <s v="工商银行"/>
    <n v="100"/>
    <n v="100"/>
    <n v="-53.579000000000001"/>
    <n v="5997.9"/>
    <n v="0"/>
    <n v="640"/>
    <n v="6.4"/>
  </r>
  <r>
    <x v="219"/>
    <s v="601998"/>
    <s v="中信银行"/>
    <n v="1100"/>
    <n v="1100"/>
    <n v="4.6100000000000003"/>
    <n v="2243.5"/>
    <n v="44.25"/>
    <n v="7315"/>
    <n v="6.65"/>
  </r>
  <r>
    <x v="219"/>
    <s v="603116"/>
    <s v="红蜻蜓"/>
    <n v="5000"/>
    <n v="5000"/>
    <n v="16.681000000000001"/>
    <n v="-10656.66"/>
    <n v="-12.77"/>
    <n v="72750"/>
    <n v="14.55"/>
  </r>
  <r>
    <x v="219"/>
    <s v="000402"/>
    <s v="金 融 街"/>
    <n v="11200"/>
    <n v="10700"/>
    <n v="9.3170000000000002"/>
    <n v="7983.54"/>
    <n v="7.65"/>
    <n v="112336"/>
    <n v="10.029999999999999"/>
  </r>
  <r>
    <x v="219"/>
    <s v="000415"/>
    <s v="渤海金控"/>
    <n v="4300"/>
    <n v="4300"/>
    <n v="5.9779999999999998"/>
    <n v="-595.27"/>
    <n v="-2.31"/>
    <n v="25112"/>
    <n v="5.84"/>
  </r>
  <r>
    <x v="219"/>
    <s v="000528"/>
    <s v="柳    工"/>
    <n v="600"/>
    <n v="100"/>
    <n v="5.07"/>
    <n v="2531.8000000000002"/>
    <n v="83.24"/>
    <n v="5574"/>
    <n v="9.2899999999999991"/>
  </r>
  <r>
    <x v="219"/>
    <s v="000987"/>
    <s v="越秀金控"/>
    <n v="100"/>
    <n v="100"/>
    <n v="-4.9039999999999999"/>
    <n v="1601.4"/>
    <n v="0"/>
    <n v="1111"/>
    <n v="11.11"/>
  </r>
  <r>
    <x v="219"/>
    <s v="002006"/>
    <s v="精功科技"/>
    <n v="3000"/>
    <n v="3000"/>
    <n v="6.8650000000000002"/>
    <n v="-1094.27"/>
    <n v="-5.32"/>
    <n v="19500"/>
    <n v="6.5"/>
  </r>
  <r>
    <x v="219"/>
    <s v="002140"/>
    <s v="东华科技"/>
    <n v="13200"/>
    <n v="12800"/>
    <n v="11.321999999999999"/>
    <n v="-32630.14"/>
    <n v="-21.83"/>
    <n v="116820"/>
    <n v="8.85"/>
  </r>
  <r>
    <x v="219"/>
    <s v="300701"/>
    <s v="森霸股份"/>
    <n v="100"/>
    <n v="100"/>
    <n v="-130.48500000000001"/>
    <n v="16640.5"/>
    <n v="0"/>
    <n v="3592"/>
    <n v="35.92"/>
  </r>
  <r>
    <x v="219"/>
    <s v="reserve"/>
    <s v="备用金"/>
    <m/>
    <m/>
    <m/>
    <m/>
    <m/>
    <n v="6173.89"/>
    <m/>
  </r>
  <r>
    <x v="220"/>
    <s v="519888"/>
    <s v="添富快线"/>
    <n v="8904983"/>
    <n v="8904983"/>
    <n v="0.01"/>
    <n v="3295.39"/>
    <n v="0"/>
    <n v="89049.83"/>
    <n v="0.01"/>
  </r>
  <r>
    <x v="220"/>
    <s v="600269"/>
    <s v="赣粤高速"/>
    <n v="2400"/>
    <n v="2400"/>
    <n v="5.2380000000000004"/>
    <n v="-619.95000000000005"/>
    <n v="-4.92"/>
    <n v="11952"/>
    <n v="4.9800000000000004"/>
  </r>
  <r>
    <x v="220"/>
    <s v="601398"/>
    <s v="工商银行"/>
    <n v="100"/>
    <n v="100"/>
    <n v="-53.579000000000001"/>
    <n v="6010.9"/>
    <n v="0"/>
    <n v="653"/>
    <n v="6.53"/>
  </r>
  <r>
    <x v="220"/>
    <s v="601998"/>
    <s v="中信银行"/>
    <n v="1100"/>
    <n v="1100"/>
    <n v="4.6100000000000003"/>
    <n v="2331.5"/>
    <n v="45.99"/>
    <n v="7403"/>
    <n v="6.73"/>
  </r>
  <r>
    <x v="220"/>
    <s v="603116"/>
    <s v="红蜻蜓"/>
    <n v="5000"/>
    <n v="5000"/>
    <n v="16.681000000000001"/>
    <n v="-10556.66"/>
    <n v="-12.65"/>
    <n v="72850"/>
    <n v="14.57"/>
  </r>
  <r>
    <x v="220"/>
    <s v="000402"/>
    <s v="金 融 街"/>
    <n v="11700"/>
    <n v="11200"/>
    <n v="9.3460000000000001"/>
    <n v="7881.54"/>
    <n v="7.21"/>
    <n v="117234"/>
    <n v="10.02"/>
  </r>
  <r>
    <x v="220"/>
    <s v="000415"/>
    <s v="渤海金控"/>
    <n v="4300"/>
    <n v="4300"/>
    <n v="5.9779999999999998"/>
    <n v="-595.27"/>
    <n v="-2.31"/>
    <n v="25112"/>
    <n v="5.84"/>
  </r>
  <r>
    <x v="220"/>
    <s v="000528"/>
    <s v="柳    工"/>
    <n v="700"/>
    <n v="200"/>
    <n v="5.5810000000000004"/>
    <n v="2540.1"/>
    <n v="65.03"/>
    <n v="6447"/>
    <n v="9.2100000000000009"/>
  </r>
  <r>
    <x v="220"/>
    <s v="000987"/>
    <s v="越秀金控"/>
    <n v="100"/>
    <n v="100"/>
    <n v="-4.9039999999999999"/>
    <n v="1615.4"/>
    <n v="0"/>
    <n v="1125"/>
    <n v="11.25"/>
  </r>
  <r>
    <x v="220"/>
    <s v="002006"/>
    <s v="精功科技"/>
    <n v="3000"/>
    <n v="3000"/>
    <n v="6.8650000000000002"/>
    <n v="-344.27"/>
    <n v="-1.67"/>
    <n v="20250"/>
    <n v="6.75"/>
  </r>
  <r>
    <x v="220"/>
    <s v="002140"/>
    <s v="东华科技"/>
    <n v="13200"/>
    <n v="13200"/>
    <n v="11.321999999999999"/>
    <n v="-31970.14"/>
    <n v="-21.39"/>
    <n v="117480"/>
    <n v="8.9"/>
  </r>
  <r>
    <x v="220"/>
    <s v="300701"/>
    <s v="森霸股份"/>
    <n v="100"/>
    <n v="100"/>
    <n v="-130.48500000000001"/>
    <n v="16774.5"/>
    <n v="0"/>
    <n v="3726"/>
    <n v="37.26"/>
  </r>
  <r>
    <x v="220"/>
    <s v="reserve"/>
    <s v="备用金"/>
    <m/>
    <m/>
    <m/>
    <m/>
    <m/>
    <n v="11309.19"/>
    <m/>
  </r>
  <r>
    <x v="221"/>
    <s v="519888"/>
    <s v="添富快线"/>
    <n v="8905972"/>
    <n v="8905972"/>
    <n v="0.01"/>
    <n v="3305.28"/>
    <n v="0"/>
    <n v="89059.72"/>
    <n v="0.01"/>
  </r>
  <r>
    <x v="221"/>
    <s v="600269"/>
    <s v="赣粤高速"/>
    <n v="2400"/>
    <n v="2400"/>
    <n v="5.2380000000000004"/>
    <n v="-499.95"/>
    <n v="-3.97"/>
    <n v="12072"/>
    <n v="5.03"/>
  </r>
  <r>
    <x v="221"/>
    <s v="601398"/>
    <s v="工商银行"/>
    <n v="100"/>
    <n v="100"/>
    <n v="-53.579000000000001"/>
    <n v="6006.9"/>
    <n v="0"/>
    <n v="649"/>
    <n v="6.49"/>
  </r>
  <r>
    <x v="221"/>
    <s v="601998"/>
    <s v="中信银行"/>
    <n v="1100"/>
    <n v="1100"/>
    <n v="4.6100000000000003"/>
    <n v="2353.5"/>
    <n v="46.42"/>
    <n v="7425"/>
    <n v="6.75"/>
  </r>
  <r>
    <x v="221"/>
    <s v="603116"/>
    <s v="红蜻蜓"/>
    <n v="5000"/>
    <n v="5000"/>
    <n v="16.681000000000001"/>
    <n v="-10506.66"/>
    <n v="-12.59"/>
    <n v="72900"/>
    <n v="14.58"/>
  </r>
  <r>
    <x v="221"/>
    <s v="000402"/>
    <s v="金 融 街"/>
    <n v="11700"/>
    <n v="11700"/>
    <n v="9.3460000000000001"/>
    <n v="8115.54"/>
    <n v="7.43"/>
    <n v="117468"/>
    <n v="10.039999999999999"/>
  </r>
  <r>
    <x v="221"/>
    <s v="000415"/>
    <s v="渤海金控"/>
    <n v="4300"/>
    <n v="4300"/>
    <n v="5.9779999999999998"/>
    <n v="-595.27"/>
    <n v="-2.31"/>
    <n v="25112"/>
    <n v="5.84"/>
  </r>
  <r>
    <x v="221"/>
    <s v="000528"/>
    <s v="柳    工"/>
    <n v="700"/>
    <n v="700"/>
    <n v="5.5810000000000004"/>
    <n v="2421.1"/>
    <n v="61.98"/>
    <n v="6328"/>
    <n v="9.0399999999999991"/>
  </r>
  <r>
    <x v="221"/>
    <s v="000987"/>
    <s v="越秀金控"/>
    <n v="100"/>
    <n v="100"/>
    <n v="-4.9039999999999999"/>
    <n v="1578.4"/>
    <n v="0"/>
    <n v="1088"/>
    <n v="10.88"/>
  </r>
  <r>
    <x v="221"/>
    <s v="002006"/>
    <s v="精功科技"/>
    <n v="3000"/>
    <n v="3000"/>
    <n v="6.8650000000000002"/>
    <n v="-584.27"/>
    <n v="-2.84"/>
    <n v="20010"/>
    <n v="6.67"/>
  </r>
  <r>
    <x v="221"/>
    <s v="002140"/>
    <s v="东华科技"/>
    <n v="13200"/>
    <n v="13200"/>
    <n v="11.321999999999999"/>
    <n v="-33158.14"/>
    <n v="-22.19"/>
    <n v="116292"/>
    <n v="8.81"/>
  </r>
  <r>
    <x v="221"/>
    <s v="300701"/>
    <s v="森霸股份"/>
    <n v="100"/>
    <n v="100"/>
    <n v="-130.48500000000001"/>
    <n v="17014.5"/>
    <n v="0"/>
    <n v="3966"/>
    <n v="39.659999999999997"/>
  </r>
  <r>
    <x v="221"/>
    <s v="reserve"/>
    <s v="备用金"/>
    <m/>
    <m/>
    <m/>
    <m/>
    <m/>
    <n v="11322.08"/>
    <m/>
  </r>
  <r>
    <x v="222"/>
    <s v="519888"/>
    <s v="添富快线"/>
    <n v="8906840"/>
    <n v="8906840"/>
    <n v="0.01"/>
    <n v="3313.96"/>
    <n v="0"/>
    <n v="89068.4"/>
    <n v="0.01"/>
  </r>
  <r>
    <x v="222"/>
    <s v="600269"/>
    <s v="赣粤高速"/>
    <n v="2400"/>
    <n v="2400"/>
    <n v="5.2380000000000004"/>
    <n v="-475.95"/>
    <n v="-3.78"/>
    <n v="12096"/>
    <n v="5.04"/>
  </r>
  <r>
    <x v="222"/>
    <s v="601398"/>
    <s v="工商银行"/>
    <n v="100"/>
    <n v="100"/>
    <n v="-53.579000000000001"/>
    <n v="6004.9"/>
    <n v="0"/>
    <n v="647"/>
    <n v="6.47"/>
  </r>
  <r>
    <x v="222"/>
    <s v="601998"/>
    <s v="中信银行"/>
    <n v="1100"/>
    <n v="1100"/>
    <n v="4.6100000000000003"/>
    <n v="2342.5"/>
    <n v="46.2"/>
    <n v="7414"/>
    <n v="6.74"/>
  </r>
  <r>
    <x v="222"/>
    <s v="603116"/>
    <s v="红蜻蜓"/>
    <n v="5000"/>
    <n v="5000"/>
    <n v="16.681000000000001"/>
    <n v="-9706.66"/>
    <n v="-11.63"/>
    <n v="73700"/>
    <n v="14.74"/>
  </r>
  <r>
    <x v="222"/>
    <s v="000402"/>
    <s v="金 融 街"/>
    <n v="11700"/>
    <n v="11700"/>
    <n v="9.3460000000000001"/>
    <n v="7530.54"/>
    <n v="6.89"/>
    <n v="116883"/>
    <n v="9.99"/>
  </r>
  <r>
    <x v="222"/>
    <s v="000415"/>
    <s v="渤海金控"/>
    <n v="4300"/>
    <n v="4300"/>
    <n v="5.9779999999999998"/>
    <n v="-595.27"/>
    <n v="-2.31"/>
    <n v="25112"/>
    <n v="5.84"/>
  </r>
  <r>
    <x v="222"/>
    <s v="000528"/>
    <s v="柳    工"/>
    <n v="800"/>
    <n v="300"/>
    <n v="5.9619999999999997"/>
    <n v="2526.44"/>
    <n v="52.97"/>
    <n v="7296"/>
    <n v="9.1199999999999992"/>
  </r>
  <r>
    <x v="222"/>
    <s v="000987"/>
    <s v="越秀金控"/>
    <n v="100"/>
    <n v="100"/>
    <n v="-4.9039999999999999"/>
    <n v="1539.4"/>
    <n v="0"/>
    <n v="1049"/>
    <n v="10.49"/>
  </r>
  <r>
    <x v="222"/>
    <s v="002006"/>
    <s v="精功科技"/>
    <n v="3000"/>
    <n v="3000"/>
    <n v="6.8650000000000002"/>
    <n v="-914.27"/>
    <n v="-4.4400000000000004"/>
    <n v="19680"/>
    <n v="6.56"/>
  </r>
  <r>
    <x v="222"/>
    <s v="002140"/>
    <s v="东华科技"/>
    <n v="12800"/>
    <n v="12800"/>
    <n v="11.395"/>
    <n v="-29498.75"/>
    <n v="-20.23"/>
    <n v="116352"/>
    <n v="9.09"/>
  </r>
  <r>
    <x v="222"/>
    <s v="300701"/>
    <s v="森霸股份"/>
    <n v="100"/>
    <n v="100"/>
    <n v="-130.48500000000001"/>
    <n v="16954.5"/>
    <n v="0"/>
    <n v="3906"/>
    <n v="39.06"/>
  </r>
  <r>
    <x v="222"/>
    <s v="reserve"/>
    <s v="备用金"/>
    <m/>
    <m/>
    <m/>
    <m/>
    <m/>
    <n v="14058.81"/>
    <m/>
  </r>
  <r>
    <x v="223"/>
    <s v="519888"/>
    <s v="添富快线"/>
    <n v="4907679"/>
    <n v="4907679"/>
    <n v="8.9999999999999993E-3"/>
    <n v="3322.35"/>
    <n v="11.11"/>
    <n v="49076.79"/>
    <n v="0.01"/>
  </r>
  <r>
    <x v="223"/>
    <s v="600269"/>
    <s v="赣粤高速"/>
    <n v="2900"/>
    <n v="2400"/>
    <n v="5.18"/>
    <n v="-928"/>
    <n v="-6.18"/>
    <n v="14094"/>
    <n v="4.8600000000000003"/>
  </r>
  <r>
    <x v="223"/>
    <s v="601398"/>
    <s v="工商银行"/>
    <n v="100"/>
    <n v="100"/>
    <n v="-53.579000000000001"/>
    <n v="5985.9"/>
    <n v="0"/>
    <n v="628"/>
    <n v="6.28"/>
  </r>
  <r>
    <x v="223"/>
    <s v="601998"/>
    <s v="中信银行"/>
    <n v="1100"/>
    <n v="1100"/>
    <n v="4.6100000000000003"/>
    <n v="2254.5"/>
    <n v="44.47"/>
    <n v="7326"/>
    <n v="6.66"/>
  </r>
  <r>
    <x v="223"/>
    <s v="603116"/>
    <s v="红蜻蜓"/>
    <n v="6000"/>
    <n v="5000"/>
    <n v="16.242999999999999"/>
    <n v="-14296.94"/>
    <n v="-14.67"/>
    <n v="83160"/>
    <n v="13.86"/>
  </r>
  <r>
    <x v="223"/>
    <s v="000402"/>
    <s v="金 融 街"/>
    <n v="12700"/>
    <n v="11700"/>
    <n v="9.3719999999999999"/>
    <n v="3913.54"/>
    <n v="3.29"/>
    <n v="122936"/>
    <n v="9.68"/>
  </r>
  <r>
    <x v="223"/>
    <s v="000415"/>
    <s v="渤海金控"/>
    <n v="4300"/>
    <n v="4300"/>
    <n v="5.9779999999999998"/>
    <n v="-595.27"/>
    <n v="-2.31"/>
    <n v="25112"/>
    <n v="5.84"/>
  </r>
  <r>
    <x v="223"/>
    <s v="000528"/>
    <s v="柳    工"/>
    <n v="2800"/>
    <n v="800"/>
    <n v="7.7460000000000004"/>
    <n v="1522.44"/>
    <n v="7.02"/>
    <n v="23212"/>
    <n v="8.2899999999999991"/>
  </r>
  <r>
    <x v="223"/>
    <s v="000987"/>
    <s v="越秀金控"/>
    <n v="100"/>
    <n v="100"/>
    <n v="-4.9039999999999999"/>
    <n v="1449.4"/>
    <n v="0"/>
    <n v="959"/>
    <n v="9.59"/>
  </r>
  <r>
    <x v="223"/>
    <s v="002006"/>
    <s v="精功科技"/>
    <n v="4000"/>
    <n v="3000"/>
    <n v="6.7039999999999997"/>
    <n v="-2774.27"/>
    <n v="-10.35"/>
    <n v="24040"/>
    <n v="6.01"/>
  </r>
  <r>
    <x v="223"/>
    <s v="002140"/>
    <s v="东华科技"/>
    <n v="13300"/>
    <n v="12800"/>
    <n v="11.291"/>
    <n v="-38189.75"/>
    <n v="-25.43"/>
    <n v="111986"/>
    <n v="8.42"/>
  </r>
  <r>
    <x v="223"/>
    <s v="300701"/>
    <s v="森霸股份"/>
    <n v="100"/>
    <n v="100"/>
    <n v="-130.48500000000001"/>
    <n v="16688.5"/>
    <n v="0"/>
    <n v="3640"/>
    <n v="36.4"/>
  </r>
  <r>
    <x v="223"/>
    <s v="reserve"/>
    <s v="备用金"/>
    <m/>
    <m/>
    <m/>
    <m/>
    <m/>
    <n v="423.48"/>
    <m/>
  </r>
  <r>
    <x v="224"/>
    <s v="519888"/>
    <s v="添富快线"/>
    <n v="2908503"/>
    <n v="2908503"/>
    <n v="8.9999999999999993E-3"/>
    <n v="3330.59"/>
    <n v="11.11"/>
    <n v="29085.03"/>
    <n v="0.01"/>
  </r>
  <r>
    <x v="224"/>
    <s v="600269"/>
    <s v="赣粤高速"/>
    <n v="2900"/>
    <n v="2900"/>
    <n v="5.18"/>
    <n v="-841"/>
    <n v="-5.6"/>
    <n v="14181"/>
    <n v="4.8899999999999997"/>
  </r>
  <r>
    <x v="224"/>
    <s v="601398"/>
    <s v="工商银行"/>
    <n v="100"/>
    <n v="100"/>
    <n v="-53.579000000000001"/>
    <n v="5959.9"/>
    <n v="0"/>
    <n v="602"/>
    <n v="6.02"/>
  </r>
  <r>
    <x v="224"/>
    <s v="601998"/>
    <s v="中信银行"/>
    <n v="1600"/>
    <n v="1100"/>
    <n v="5.16"/>
    <n v="1983.44"/>
    <n v="24.03"/>
    <n v="10240"/>
    <n v="6.4"/>
  </r>
  <r>
    <x v="224"/>
    <s v="603116"/>
    <s v="红蜻蜓"/>
    <n v="6100"/>
    <n v="5600"/>
    <n v="16.187000000000001"/>
    <n v="-13401.78"/>
    <n v="-13.57"/>
    <n v="85339"/>
    <n v="13.99"/>
  </r>
  <r>
    <x v="224"/>
    <s v="000402"/>
    <s v="金 融 街"/>
    <n v="12800"/>
    <n v="12300"/>
    <n v="9.3689999999999998"/>
    <n v="6412.63"/>
    <n v="5.35"/>
    <n v="126336"/>
    <n v="9.8699999999999992"/>
  </r>
  <r>
    <x v="224"/>
    <s v="000415"/>
    <s v="渤海金控"/>
    <n v="4300"/>
    <n v="4300"/>
    <n v="5.9779999999999998"/>
    <n v="-595.27"/>
    <n v="-2.31"/>
    <n v="25112"/>
    <n v="5.84"/>
  </r>
  <r>
    <x v="224"/>
    <s v="000528"/>
    <s v="柳    工"/>
    <n v="2900"/>
    <n v="2400"/>
    <n v="7.7489999999999997"/>
    <n v="1974.12"/>
    <n v="8.7899999999999991"/>
    <n v="24447"/>
    <n v="8.43"/>
  </r>
  <r>
    <x v="224"/>
    <s v="000987"/>
    <s v="越秀金控"/>
    <n v="100"/>
    <n v="100"/>
    <n v="-4.9039999999999999"/>
    <n v="1461.4"/>
    <n v="0"/>
    <n v="971"/>
    <n v="9.7100000000000009"/>
  </r>
  <r>
    <x v="224"/>
    <s v="002006"/>
    <s v="精功科技"/>
    <n v="4000"/>
    <n v="4000"/>
    <n v="6.7039999999999997"/>
    <n v="-2414.27"/>
    <n v="-9.01"/>
    <n v="24400"/>
    <n v="6.1"/>
  </r>
  <r>
    <x v="224"/>
    <s v="002140"/>
    <s v="东华科技"/>
    <n v="13400"/>
    <n v="12900"/>
    <n v="11.262"/>
    <n v="-36877.14"/>
    <n v="-24.44"/>
    <n v="114034"/>
    <n v="8.51"/>
  </r>
  <r>
    <x v="224"/>
    <s v="300701"/>
    <s v="森霸股份"/>
    <n v="100"/>
    <n v="100"/>
    <n v="-130.48500000000001"/>
    <n v="16591.5"/>
    <n v="0"/>
    <n v="3543"/>
    <n v="35.43"/>
  </r>
  <r>
    <x v="224"/>
    <s v="reserve"/>
    <s v="备用金"/>
    <m/>
    <m/>
    <m/>
    <m/>
    <m/>
    <n v="13534.96"/>
    <m/>
  </r>
  <r>
    <x v="225"/>
    <s v="519888"/>
    <s v="添富快线"/>
    <n v="5009810"/>
    <n v="2909810"/>
    <n v="8.9999999999999993E-3"/>
    <n v="3343.66"/>
    <n v="11.11"/>
    <n v="50098.1"/>
    <n v="0.01"/>
  </r>
  <r>
    <x v="225"/>
    <s v="600269"/>
    <s v="赣粤高速"/>
    <n v="2900"/>
    <n v="2900"/>
    <n v="5.18"/>
    <n v="-841"/>
    <n v="-5.6"/>
    <n v="14181"/>
    <n v="4.8899999999999997"/>
  </r>
  <r>
    <x v="225"/>
    <s v="601398"/>
    <s v="工商银行"/>
    <n v="100"/>
    <n v="100"/>
    <n v="-53.579000000000001"/>
    <n v="5955.9"/>
    <n v="0"/>
    <n v="598"/>
    <n v="5.98"/>
  </r>
  <r>
    <x v="225"/>
    <s v="601998"/>
    <s v="中信银行"/>
    <n v="1600"/>
    <n v="1600"/>
    <n v="5.16"/>
    <n v="2015.44"/>
    <n v="24.42"/>
    <n v="10272"/>
    <n v="6.42"/>
  </r>
  <r>
    <x v="225"/>
    <s v="603116"/>
    <s v="红蜻蜓"/>
    <n v="5700"/>
    <n v="5700"/>
    <n v="16.323"/>
    <n v="-12099.6"/>
    <n v="-13.01"/>
    <n v="80940"/>
    <n v="14.2"/>
  </r>
  <r>
    <x v="225"/>
    <s v="000402"/>
    <s v="金 融 街"/>
    <n v="12800"/>
    <n v="12400"/>
    <n v="9.3689999999999998"/>
    <n v="6156.63"/>
    <n v="5.13"/>
    <n v="126080"/>
    <n v="9.85"/>
  </r>
  <r>
    <x v="225"/>
    <s v="000415"/>
    <s v="渤海金控"/>
    <n v="4300"/>
    <n v="4300"/>
    <n v="5.9779999999999998"/>
    <n v="-595.27"/>
    <n v="-2.31"/>
    <n v="25112"/>
    <n v="5.84"/>
  </r>
  <r>
    <x v="225"/>
    <s v="000528"/>
    <s v="柳    工"/>
    <n v="2500"/>
    <n v="2500"/>
    <n v="7.625"/>
    <n v="1963.7"/>
    <n v="10.3"/>
    <n v="21025"/>
    <n v="8.41"/>
  </r>
  <r>
    <x v="225"/>
    <s v="000987"/>
    <s v="越秀金控"/>
    <n v="100"/>
    <n v="100"/>
    <n v="-4.9039999999999999"/>
    <n v="1506.4"/>
    <n v="0"/>
    <n v="1016"/>
    <n v="10.16"/>
  </r>
  <r>
    <x v="225"/>
    <s v="002006"/>
    <s v="精功科技"/>
    <n v="3600"/>
    <n v="3600"/>
    <n v="6.7519999999999998"/>
    <n v="-1661.79"/>
    <n v="-6.84"/>
    <n v="22644"/>
    <n v="6.29"/>
  </r>
  <r>
    <x v="225"/>
    <s v="002140"/>
    <s v="东华科技"/>
    <n v="12600"/>
    <n v="12600"/>
    <n v="11.423"/>
    <n v="-33296.14"/>
    <n v="-23.14"/>
    <n v="110628"/>
    <n v="8.7799999999999994"/>
  </r>
  <r>
    <x v="225"/>
    <s v="300701"/>
    <s v="森霸股份"/>
    <n v="100"/>
    <n v="100"/>
    <n v="-130.48500000000001"/>
    <n v="16716.5"/>
    <n v="0"/>
    <n v="3668"/>
    <n v="36.68"/>
  </r>
  <r>
    <x v="225"/>
    <s v="reserve"/>
    <s v="备用金"/>
    <m/>
    <m/>
    <m/>
    <m/>
    <m/>
    <n v="11143.2"/>
    <m/>
  </r>
  <r>
    <x v="226"/>
    <s v="519888"/>
    <s v="添富快线"/>
    <n v="5010121"/>
    <n v="5010121"/>
    <n v="8.9999999999999993E-3"/>
    <n v="3346.77"/>
    <n v="11.11"/>
    <n v="50101.21"/>
    <n v="0.01"/>
  </r>
  <r>
    <x v="226"/>
    <s v="600269"/>
    <s v="赣粤高速"/>
    <n v="2900"/>
    <n v="2900"/>
    <n v="5.18"/>
    <n v="-1044"/>
    <n v="-6.95"/>
    <n v="13978"/>
    <n v="4.82"/>
  </r>
  <r>
    <x v="226"/>
    <s v="601398"/>
    <s v="工商银行"/>
    <n v="100"/>
    <n v="100"/>
    <n v="-53.579000000000001"/>
    <n v="5955.9"/>
    <n v="0"/>
    <n v="598"/>
    <n v="5.98"/>
  </r>
  <r>
    <x v="226"/>
    <s v="601998"/>
    <s v="中信银行"/>
    <n v="1600"/>
    <n v="1600"/>
    <n v="5.16"/>
    <n v="2015.44"/>
    <n v="24.42"/>
    <n v="10272"/>
    <n v="6.42"/>
  </r>
  <r>
    <x v="226"/>
    <s v="603116"/>
    <s v="红蜻蜓"/>
    <n v="5700"/>
    <n v="5700"/>
    <n v="16.323"/>
    <n v="-12099.6"/>
    <n v="-13.01"/>
    <n v="80940"/>
    <n v="14.2"/>
  </r>
  <r>
    <x v="226"/>
    <s v="000402"/>
    <s v="金 融 街"/>
    <n v="13300"/>
    <n v="12800"/>
    <n v="9.3810000000000002"/>
    <n v="4246.63"/>
    <n v="3.4"/>
    <n v="129010"/>
    <n v="9.6999999999999993"/>
  </r>
  <r>
    <x v="226"/>
    <s v="000415"/>
    <s v="渤海金控"/>
    <n v="4300"/>
    <n v="4300"/>
    <n v="5.9779999999999998"/>
    <n v="-595.27"/>
    <n v="-2.31"/>
    <n v="25112"/>
    <n v="5.84"/>
  </r>
  <r>
    <x v="226"/>
    <s v="000528"/>
    <s v="柳    工"/>
    <n v="3000"/>
    <n v="2500"/>
    <n v="7.734"/>
    <n v="1218.7"/>
    <n v="5.25"/>
    <n v="24420"/>
    <n v="8.14"/>
  </r>
  <r>
    <x v="226"/>
    <s v="000987"/>
    <s v="越秀金控"/>
    <n v="100"/>
    <n v="100"/>
    <n v="-4.9039999999999999"/>
    <n v="1480.4"/>
    <n v="0"/>
    <n v="990"/>
    <n v="9.9"/>
  </r>
  <r>
    <x v="226"/>
    <s v="002006"/>
    <s v="精功科技"/>
    <n v="3600"/>
    <n v="3600"/>
    <n v="6.7519999999999998"/>
    <n v="-1589.79"/>
    <n v="-6.55"/>
    <n v="22716"/>
    <n v="6.31"/>
  </r>
  <r>
    <x v="226"/>
    <s v="002140"/>
    <s v="东华科技"/>
    <n v="11700"/>
    <n v="11700"/>
    <n v="11.618"/>
    <n v="-32973.160000000003"/>
    <n v="-24.25"/>
    <n v="102960"/>
    <n v="8.8000000000000007"/>
  </r>
  <r>
    <x v="226"/>
    <s v="300701"/>
    <s v="森霸股份"/>
    <n v="100"/>
    <n v="100"/>
    <n v="-130.48500000000001"/>
    <n v="16666.5"/>
    <n v="0"/>
    <n v="3618"/>
    <n v="36.18"/>
  </r>
  <r>
    <x v="226"/>
    <s v="reserve"/>
    <s v="备用金"/>
    <m/>
    <m/>
    <m/>
    <m/>
    <m/>
    <n v="10154.18"/>
    <m/>
  </r>
  <r>
    <x v="227"/>
    <s v="519888"/>
    <s v="添富快线"/>
    <n v="5010634"/>
    <n v="5010634"/>
    <n v="8.9999999999999993E-3"/>
    <n v="3351.9"/>
    <n v="11.11"/>
    <n v="50106.34"/>
    <n v="0.01"/>
  </r>
  <r>
    <x v="227"/>
    <s v="600269"/>
    <s v="赣粤高速"/>
    <n v="2900"/>
    <n v="2900"/>
    <n v="5.18"/>
    <n v="-1015"/>
    <n v="-6.76"/>
    <n v="14007"/>
    <n v="4.83"/>
  </r>
  <r>
    <x v="227"/>
    <s v="601398"/>
    <s v="工商银行"/>
    <n v="100"/>
    <n v="100"/>
    <n v="-53.579000000000001"/>
    <n v="5966.9"/>
    <n v="0"/>
    <n v="609"/>
    <n v="6.09"/>
  </r>
  <r>
    <x v="227"/>
    <s v="601998"/>
    <s v="中信银行"/>
    <n v="1600"/>
    <n v="1600"/>
    <n v="5.16"/>
    <n v="2127.44"/>
    <n v="25.78"/>
    <n v="10384"/>
    <n v="6.49"/>
  </r>
  <r>
    <x v="227"/>
    <s v="603116"/>
    <s v="红蜻蜓"/>
    <n v="5700"/>
    <n v="5700"/>
    <n v="16.323"/>
    <n v="-11073.6"/>
    <n v="-11.9"/>
    <n v="81966"/>
    <n v="14.38"/>
  </r>
  <r>
    <x v="227"/>
    <s v="000402"/>
    <s v="金 融 街"/>
    <n v="13300"/>
    <n v="13300"/>
    <n v="9.3810000000000002"/>
    <n v="7438.63"/>
    <n v="5.96"/>
    <n v="132202"/>
    <n v="9.94"/>
  </r>
  <r>
    <x v="227"/>
    <s v="000415"/>
    <s v="渤海金控"/>
    <n v="4300"/>
    <n v="4300"/>
    <n v="5.9779999999999998"/>
    <n v="-595.27"/>
    <n v="-2.31"/>
    <n v="25112"/>
    <n v="5.84"/>
  </r>
  <r>
    <x v="227"/>
    <s v="000528"/>
    <s v="柳    工"/>
    <n v="3000"/>
    <n v="3000"/>
    <n v="7.734"/>
    <n v="2298.6999999999998"/>
    <n v="9.91"/>
    <n v="25500"/>
    <n v="8.5"/>
  </r>
  <r>
    <x v="227"/>
    <s v="000987"/>
    <s v="越秀金控"/>
    <n v="100"/>
    <n v="100"/>
    <n v="-4.9039999999999999"/>
    <n v="1504.4"/>
    <n v="0"/>
    <n v="1014"/>
    <n v="10.14"/>
  </r>
  <r>
    <x v="227"/>
    <s v="002006"/>
    <s v="精功科技"/>
    <n v="3600"/>
    <n v="3600"/>
    <n v="6.7519999999999998"/>
    <n v="-1301.79"/>
    <n v="-5.36"/>
    <n v="23004"/>
    <n v="6.39"/>
  </r>
  <r>
    <x v="227"/>
    <s v="002140"/>
    <s v="东华科技"/>
    <n v="11700"/>
    <n v="11700"/>
    <n v="11.618"/>
    <n v="-31101.16"/>
    <n v="-22.88"/>
    <n v="104832"/>
    <n v="8.9600000000000009"/>
  </r>
  <r>
    <x v="227"/>
    <s v="300701"/>
    <s v="森霸股份"/>
    <n v="100"/>
    <n v="100"/>
    <n v="-130.48500000000001"/>
    <n v="17028.5"/>
    <n v="0"/>
    <n v="3980"/>
    <n v="39.799999999999997"/>
  </r>
  <r>
    <x v="227"/>
    <s v="reserve"/>
    <s v="备用金"/>
    <m/>
    <m/>
    <m/>
    <m/>
    <m/>
    <n v="10154.18"/>
    <m/>
  </r>
  <r>
    <x v="228"/>
    <s v="519888"/>
    <s v="添富快线"/>
    <n v="5011184"/>
    <n v="5011184"/>
    <n v="8.9999999999999993E-3"/>
    <n v="3357.4"/>
    <n v="11.11"/>
    <n v="50111.839999999997"/>
    <n v="0.01"/>
  </r>
  <r>
    <x v="228"/>
    <s v="600269"/>
    <s v="赣粤高速"/>
    <n v="2900"/>
    <n v="2900"/>
    <n v="5.18"/>
    <n v="-1044"/>
    <n v="-6.95"/>
    <n v="13978"/>
    <n v="4.82"/>
  </r>
  <r>
    <x v="228"/>
    <s v="601398"/>
    <s v="工商银行"/>
    <n v="100"/>
    <n v="100"/>
    <n v="-53.579000000000001"/>
    <n v="5966.9"/>
    <n v="0"/>
    <n v="609"/>
    <n v="6.09"/>
  </r>
  <r>
    <x v="228"/>
    <s v="601998"/>
    <s v="中信银行"/>
    <n v="1600"/>
    <n v="1600"/>
    <n v="5.16"/>
    <n v="2047.44"/>
    <n v="24.81"/>
    <n v="10304"/>
    <n v="6.44"/>
  </r>
  <r>
    <x v="228"/>
    <s v="603116"/>
    <s v="红蜻蜓"/>
    <n v="5700"/>
    <n v="5300"/>
    <n v="16.323"/>
    <n v="-10617.6"/>
    <n v="-11.41"/>
    <n v="82422"/>
    <n v="14.46"/>
  </r>
  <r>
    <x v="228"/>
    <s v="000402"/>
    <s v="金 融 街"/>
    <n v="13300"/>
    <n v="12900"/>
    <n v="9.3810000000000002"/>
    <n v="5443.63"/>
    <n v="4.3600000000000003"/>
    <n v="130207"/>
    <n v="9.7899999999999991"/>
  </r>
  <r>
    <x v="228"/>
    <s v="000415"/>
    <s v="渤海金控"/>
    <n v="4300"/>
    <n v="4300"/>
    <n v="5.9779999999999998"/>
    <n v="-595.27"/>
    <n v="-2.31"/>
    <n v="25112"/>
    <n v="5.84"/>
  </r>
  <r>
    <x v="228"/>
    <s v="000528"/>
    <s v="柳    工"/>
    <n v="1400"/>
    <n v="1400"/>
    <n v="6.6020000000000003"/>
    <n v="3230.7"/>
    <n v="34.96"/>
    <n v="12474"/>
    <n v="8.91"/>
  </r>
  <r>
    <x v="228"/>
    <s v="000987"/>
    <s v="越秀金控"/>
    <n v="100"/>
    <n v="100"/>
    <n v="-4.9039999999999999"/>
    <n v="1511.4"/>
    <n v="0"/>
    <n v="1021"/>
    <n v="10.210000000000001"/>
  </r>
  <r>
    <x v="228"/>
    <s v="002006"/>
    <s v="精功科技"/>
    <n v="3200"/>
    <n v="3200"/>
    <n v="6.782"/>
    <n v="-805.41"/>
    <n v="-3.71"/>
    <n v="20896"/>
    <n v="6.53"/>
  </r>
  <r>
    <x v="228"/>
    <s v="002140"/>
    <s v="东华科技"/>
    <n v="11700"/>
    <n v="11700"/>
    <n v="11.618"/>
    <n v="-30867.16"/>
    <n v="-22.71"/>
    <n v="105066"/>
    <n v="8.98"/>
  </r>
  <r>
    <x v="228"/>
    <s v="300701"/>
    <s v="森霸股份"/>
    <n v="100"/>
    <n v="100"/>
    <n v="-130.48500000000001"/>
    <n v="17426.5"/>
    <n v="0"/>
    <n v="4378"/>
    <n v="43.78"/>
  </r>
  <r>
    <x v="228"/>
    <s v="SZRQ88"/>
    <s v="国标准券"/>
    <n v="26000"/>
    <n v="0"/>
    <n v="1"/>
    <n v="-0.78"/>
    <n v="0"/>
    <n v="26000"/>
    <n v="1"/>
  </r>
  <r>
    <x v="228"/>
    <s v="reserve"/>
    <s v="备用金"/>
    <m/>
    <m/>
    <m/>
    <m/>
    <m/>
    <n v="715.78"/>
    <m/>
  </r>
  <r>
    <x v="229"/>
    <s v="519888"/>
    <s v="添富快线"/>
    <n v="5011744"/>
    <n v="5011744"/>
    <n v="8.9999999999999993E-3"/>
    <n v="3363"/>
    <n v="11.11"/>
    <n v="50117.440000000002"/>
    <n v="0.01"/>
  </r>
  <r>
    <x v="229"/>
    <s v="600269"/>
    <s v="赣粤高速"/>
    <n v="2900"/>
    <n v="2900"/>
    <n v="5.18"/>
    <n v="-1131"/>
    <n v="-7.53"/>
    <n v="13891"/>
    <n v="4.79"/>
  </r>
  <r>
    <x v="229"/>
    <s v="601398"/>
    <s v="工商银行"/>
    <n v="100"/>
    <n v="100"/>
    <n v="-53.579000000000001"/>
    <n v="5953.9"/>
    <n v="0"/>
    <n v="596"/>
    <n v="5.96"/>
  </r>
  <r>
    <x v="229"/>
    <s v="601998"/>
    <s v="中信银行"/>
    <n v="1600"/>
    <n v="1200"/>
    <n v="5.16"/>
    <n v="1983.44"/>
    <n v="24.03"/>
    <n v="10240"/>
    <n v="6.4"/>
  </r>
  <r>
    <x v="229"/>
    <s v="603116"/>
    <s v="红蜻蜓"/>
    <n v="5700"/>
    <n v="5700"/>
    <n v="16.323"/>
    <n v="-10446.6"/>
    <n v="-11.23"/>
    <n v="82593"/>
    <n v="14.49"/>
  </r>
  <r>
    <x v="229"/>
    <s v="000402"/>
    <s v="金 融 街"/>
    <n v="13300"/>
    <n v="12900"/>
    <n v="9.3810000000000002"/>
    <n v="4778.63"/>
    <n v="3.83"/>
    <n v="129542"/>
    <n v="9.74"/>
  </r>
  <r>
    <x v="229"/>
    <s v="000415"/>
    <s v="渤海金控"/>
    <n v="4300"/>
    <n v="4300"/>
    <n v="5.9779999999999998"/>
    <n v="-595.27"/>
    <n v="-2.31"/>
    <n v="25112"/>
    <n v="5.84"/>
  </r>
  <r>
    <x v="229"/>
    <s v="000528"/>
    <s v="柳    工"/>
    <n v="1600"/>
    <n v="600"/>
    <n v="6.8120000000000003"/>
    <n v="3469.35"/>
    <n v="31.83"/>
    <n v="14368"/>
    <n v="8.98"/>
  </r>
  <r>
    <x v="229"/>
    <s v="000987"/>
    <s v="越秀金控"/>
    <n v="100"/>
    <n v="100"/>
    <n v="-4.9039999999999999"/>
    <n v="1573.4"/>
    <n v="0"/>
    <n v="1083"/>
    <n v="10.83"/>
  </r>
  <r>
    <x v="229"/>
    <s v="002006"/>
    <s v="精功科技"/>
    <n v="3200"/>
    <n v="3200"/>
    <n v="6.782"/>
    <n v="-645.41"/>
    <n v="-2.98"/>
    <n v="21056"/>
    <n v="6.58"/>
  </r>
  <r>
    <x v="229"/>
    <s v="002140"/>
    <s v="东华科技"/>
    <n v="11700"/>
    <n v="11700"/>
    <n v="11.618"/>
    <n v="-31569.16"/>
    <n v="-23.22"/>
    <n v="104364"/>
    <n v="8.92"/>
  </r>
  <r>
    <x v="229"/>
    <s v="300701"/>
    <s v="森霸股份"/>
    <n v="100"/>
    <n v="100"/>
    <n v="-130.48500000000001"/>
    <n v="17864.5"/>
    <n v="0"/>
    <n v="4816"/>
    <n v="48.16"/>
  </r>
  <r>
    <x v="229"/>
    <s v="reserve"/>
    <s v="备用金"/>
    <m/>
    <m/>
    <m/>
    <m/>
    <m/>
    <n v="25068.45"/>
    <m/>
  </r>
  <r>
    <x v="230"/>
    <s v="519888"/>
    <s v="添富快线"/>
    <n v="5013041"/>
    <n v="5013041"/>
    <n v="8.9999999999999993E-3"/>
    <n v="3375.97"/>
    <n v="11.11"/>
    <n v="50130.41"/>
    <n v="0.01"/>
  </r>
  <r>
    <x v="230"/>
    <s v="600269"/>
    <s v="赣粤高速"/>
    <n v="3400"/>
    <n v="2900"/>
    <n v="5.1180000000000003"/>
    <n v="-1286.05"/>
    <n v="-7.38"/>
    <n v="16116"/>
    <n v="4.74"/>
  </r>
  <r>
    <x v="230"/>
    <s v="601398"/>
    <s v="工商银行"/>
    <n v="100"/>
    <n v="100"/>
    <n v="-53.579000000000001"/>
    <n v="5945.9"/>
    <n v="0"/>
    <n v="588"/>
    <n v="5.88"/>
  </r>
  <r>
    <x v="230"/>
    <s v="601998"/>
    <s v="中信银行"/>
    <n v="1600"/>
    <n v="1600"/>
    <n v="5.16"/>
    <n v="1871.44"/>
    <n v="22.68"/>
    <n v="10128"/>
    <n v="6.33"/>
  </r>
  <r>
    <x v="230"/>
    <s v="603116"/>
    <s v="红蜻蜓"/>
    <n v="5700"/>
    <n v="5700"/>
    <n v="16.323"/>
    <n v="-11016.6"/>
    <n v="-11.84"/>
    <n v="82023"/>
    <n v="14.39"/>
  </r>
  <r>
    <x v="230"/>
    <s v="000402"/>
    <s v="金 融 街"/>
    <n v="13800"/>
    <n v="13300"/>
    <n v="9.3870000000000005"/>
    <n v="2251.63"/>
    <n v="1.74"/>
    <n v="131790"/>
    <n v="9.5500000000000007"/>
  </r>
  <r>
    <x v="230"/>
    <s v="000415"/>
    <s v="渤海金控"/>
    <n v="4300"/>
    <n v="4300"/>
    <n v="5.9779999999999998"/>
    <n v="-595.27"/>
    <n v="-2.31"/>
    <n v="25112"/>
    <n v="5.84"/>
  </r>
  <r>
    <x v="230"/>
    <s v="000528"/>
    <s v="柳    工"/>
    <n v="1700"/>
    <n v="1200"/>
    <n v="6.899"/>
    <n v="3333.79"/>
    <n v="28.43"/>
    <n v="15062"/>
    <n v="8.86"/>
  </r>
  <r>
    <x v="230"/>
    <s v="000987"/>
    <s v="越秀金控"/>
    <n v="100"/>
    <n v="100"/>
    <n v="-4.9039999999999999"/>
    <n v="1592.4"/>
    <n v="0"/>
    <n v="1102"/>
    <n v="11.02"/>
  </r>
  <r>
    <x v="230"/>
    <s v="002006"/>
    <s v="精功科技"/>
    <n v="3200"/>
    <n v="3200"/>
    <n v="6.782"/>
    <n v="-1029.4100000000001"/>
    <n v="-4.75"/>
    <n v="20672"/>
    <n v="6.46"/>
  </r>
  <r>
    <x v="230"/>
    <s v="002140"/>
    <s v="东华科技"/>
    <n v="12200"/>
    <n v="11700"/>
    <n v="11.499000000000001"/>
    <n v="-33787.160000000003"/>
    <n v="-24.08"/>
    <n v="106506"/>
    <n v="8.73"/>
  </r>
  <r>
    <x v="230"/>
    <s v="300701"/>
    <s v="森霸股份"/>
    <n v="100"/>
    <n v="100"/>
    <n v="-130.48500000000001"/>
    <n v="18194.5"/>
    <n v="0"/>
    <n v="5146"/>
    <n v="51.46"/>
  </r>
  <r>
    <x v="230"/>
    <s v="reserve"/>
    <s v="备用金"/>
    <m/>
    <m/>
    <m/>
    <m/>
    <m/>
    <n v="12723.84"/>
    <m/>
  </r>
  <r>
    <x v="231"/>
    <s v="519888"/>
    <s v="添富快线"/>
    <n v="5013601"/>
    <n v="5013601"/>
    <n v="8.9999999999999993E-3"/>
    <n v="3381.57"/>
    <n v="11.11"/>
    <n v="50136.01"/>
    <n v="0.01"/>
  </r>
  <r>
    <x v="231"/>
    <s v="600269"/>
    <s v="赣粤高速"/>
    <n v="3400"/>
    <n v="3400"/>
    <n v="5.1180000000000003"/>
    <n v="-1354.05"/>
    <n v="-7.78"/>
    <n v="16048"/>
    <n v="4.72"/>
  </r>
  <r>
    <x v="231"/>
    <s v="601398"/>
    <s v="工商银行"/>
    <n v="100"/>
    <n v="100"/>
    <n v="-53.579000000000001"/>
    <n v="5944.9"/>
    <n v="0"/>
    <n v="587"/>
    <n v="5.87"/>
  </r>
  <r>
    <x v="231"/>
    <s v="601998"/>
    <s v="中信银行"/>
    <n v="1600"/>
    <n v="1600"/>
    <n v="5.16"/>
    <n v="1855.44"/>
    <n v="22.48"/>
    <n v="10112"/>
    <n v="6.32"/>
  </r>
  <r>
    <x v="231"/>
    <s v="603116"/>
    <s v="红蜻蜓"/>
    <n v="5700"/>
    <n v="5700"/>
    <n v="16.323"/>
    <n v="-11016.6"/>
    <n v="-11.84"/>
    <n v="82023"/>
    <n v="14.39"/>
  </r>
  <r>
    <x v="231"/>
    <s v="000402"/>
    <s v="金 融 街"/>
    <n v="14300"/>
    <n v="13800"/>
    <n v="9.39"/>
    <n v="1280.6300000000001"/>
    <n v="0.96"/>
    <n v="135564"/>
    <n v="9.48"/>
  </r>
  <r>
    <x v="231"/>
    <s v="000415"/>
    <s v="渤海金控"/>
    <n v="4300"/>
    <n v="4300"/>
    <n v="5.9779999999999998"/>
    <n v="-595.27"/>
    <n v="-2.31"/>
    <n v="25112"/>
    <n v="5.84"/>
  </r>
  <r>
    <x v="231"/>
    <s v="000528"/>
    <s v="柳    工"/>
    <n v="900"/>
    <n v="900"/>
    <n v="4.8860000000000001"/>
    <n v="3765.44"/>
    <n v="85.63"/>
    <n v="8163"/>
    <n v="9.07"/>
  </r>
  <r>
    <x v="231"/>
    <s v="000987"/>
    <s v="越秀金控"/>
    <n v="100"/>
    <n v="100"/>
    <n v="-4.9039999999999999"/>
    <n v="1553.4"/>
    <n v="0"/>
    <n v="1063"/>
    <n v="10.63"/>
  </r>
  <r>
    <x v="231"/>
    <s v="002006"/>
    <s v="精功科技"/>
    <n v="3200"/>
    <n v="3200"/>
    <n v="6.782"/>
    <n v="-965.41"/>
    <n v="-4.45"/>
    <n v="20736"/>
    <n v="6.48"/>
  </r>
  <r>
    <x v="231"/>
    <s v="002140"/>
    <s v="东华科技"/>
    <n v="11400"/>
    <n v="11400"/>
    <n v="11.68"/>
    <n v="-32142.32"/>
    <n v="-24.14"/>
    <n v="101004"/>
    <n v="8.86"/>
  </r>
  <r>
    <x v="231"/>
    <s v="300701"/>
    <s v="森霸股份"/>
    <n v="100"/>
    <n v="100"/>
    <n v="-130.48500000000001"/>
    <n v="18598.5"/>
    <n v="0"/>
    <n v="5550"/>
    <n v="55.5"/>
  </r>
  <r>
    <x v="231"/>
    <s v="reserve"/>
    <s v="备用金"/>
    <m/>
    <m/>
    <m/>
    <m/>
    <m/>
    <n v="22456.33"/>
    <m/>
  </r>
  <r>
    <x v="232"/>
    <s v="519888"/>
    <s v="添富快线"/>
    <n v="5014060"/>
    <n v="5014060"/>
    <n v="8.9999999999999993E-3"/>
    <n v="3386.16"/>
    <n v="11.11"/>
    <n v="50140.6"/>
    <n v="0.01"/>
  </r>
  <r>
    <x v="232"/>
    <s v="600269"/>
    <s v="赣粤高速"/>
    <n v="3400"/>
    <n v="3400"/>
    <n v="5.1180000000000003"/>
    <n v="-1354.05"/>
    <n v="-7.78"/>
    <n v="16048"/>
    <n v="4.72"/>
  </r>
  <r>
    <x v="232"/>
    <s v="601398"/>
    <s v="工商银行"/>
    <n v="100"/>
    <n v="100"/>
    <n v="-53.579000000000001"/>
    <n v="5943.9"/>
    <n v="0"/>
    <n v="586"/>
    <n v="5.86"/>
  </r>
  <r>
    <x v="232"/>
    <s v="601998"/>
    <s v="中信银行"/>
    <n v="1600"/>
    <n v="1600"/>
    <n v="5.16"/>
    <n v="1727.44"/>
    <n v="20.93"/>
    <n v="9984"/>
    <n v="6.24"/>
  </r>
  <r>
    <x v="232"/>
    <s v="603116"/>
    <s v="红蜻蜓"/>
    <n v="5700"/>
    <n v="5700"/>
    <n v="16.323"/>
    <n v="-11529.6"/>
    <n v="-12.39"/>
    <n v="81510"/>
    <n v="14.3"/>
  </r>
  <r>
    <x v="232"/>
    <s v="000402"/>
    <s v="金 融 街"/>
    <n v="14800"/>
    <n v="14300"/>
    <n v="9.39"/>
    <n v="-6.37"/>
    <n v="0"/>
    <n v="138972"/>
    <n v="9.39"/>
  </r>
  <r>
    <x v="232"/>
    <s v="000415"/>
    <s v="渤海金控"/>
    <n v="4300"/>
    <n v="4300"/>
    <n v="5.9779999999999998"/>
    <n v="-595.27"/>
    <n v="-2.31"/>
    <n v="25112"/>
    <n v="5.84"/>
  </r>
  <r>
    <x v="232"/>
    <s v="000528"/>
    <s v="柳    工"/>
    <n v="1000"/>
    <n v="500"/>
    <n v="5.2389999999999999"/>
    <n v="3740.79"/>
    <n v="71.41"/>
    <n v="8980"/>
    <n v="8.98"/>
  </r>
  <r>
    <x v="232"/>
    <s v="000987"/>
    <s v="越秀金控"/>
    <n v="100"/>
    <n v="100"/>
    <n v="-4.9039999999999999"/>
    <n v="1546.4"/>
    <n v="0"/>
    <n v="1056"/>
    <n v="10.56"/>
  </r>
  <r>
    <x v="232"/>
    <s v="002006"/>
    <s v="精功科技"/>
    <n v="3200"/>
    <n v="3200"/>
    <n v="6.782"/>
    <n v="-1029.4100000000001"/>
    <n v="-4.75"/>
    <n v="20672"/>
    <n v="6.46"/>
  </r>
  <r>
    <x v="232"/>
    <s v="002140"/>
    <s v="东华科技"/>
    <n v="11900"/>
    <n v="11400"/>
    <n v="11.551"/>
    <n v="-34397.32"/>
    <n v="-25.03"/>
    <n v="103054"/>
    <n v="8.66"/>
  </r>
  <r>
    <x v="232"/>
    <s v="300701"/>
    <s v="森霸股份"/>
    <n v="100"/>
    <n v="100"/>
    <n v="-130.48500000000001"/>
    <n v="18044.5"/>
    <n v="0"/>
    <n v="4996"/>
    <n v="49.96"/>
  </r>
  <r>
    <x v="232"/>
    <s v="reserve"/>
    <s v="备用金"/>
    <m/>
    <m/>
    <m/>
    <m/>
    <m/>
    <n v="12614.68"/>
    <m/>
  </r>
  <r>
    <x v="233"/>
    <s v="519888"/>
    <s v="添富快线"/>
    <n v="5016224"/>
    <n v="5016224"/>
    <n v="8.9999999999999993E-3"/>
    <n v="3407.8"/>
    <n v="11.11"/>
    <n v="50162.239999999998"/>
    <n v="0.01"/>
  </r>
  <r>
    <x v="233"/>
    <s v="600269"/>
    <s v="赣粤高速"/>
    <n v="3400"/>
    <n v="3400"/>
    <n v="5.1180000000000003"/>
    <n v="-1184.05"/>
    <n v="-6.8"/>
    <n v="16218"/>
    <n v="4.7699999999999996"/>
  </r>
  <r>
    <x v="233"/>
    <s v="601398"/>
    <s v="工商银行"/>
    <n v="100"/>
    <n v="100"/>
    <n v="-53.579000000000001"/>
    <n v="5969.9"/>
    <n v="0"/>
    <n v="612"/>
    <n v="6.12"/>
  </r>
  <r>
    <x v="233"/>
    <s v="601998"/>
    <s v="中信银行"/>
    <n v="1600"/>
    <n v="1600"/>
    <n v="5.16"/>
    <n v="2031.44"/>
    <n v="24.61"/>
    <n v="10288"/>
    <n v="6.43"/>
  </r>
  <r>
    <x v="233"/>
    <s v="603116"/>
    <s v="红蜻蜓"/>
    <n v="5700"/>
    <n v="5700"/>
    <n v="16.323"/>
    <n v="-10674.6"/>
    <n v="-11.47"/>
    <n v="82365"/>
    <n v="14.45"/>
  </r>
  <r>
    <x v="233"/>
    <s v="000402"/>
    <s v="金 融 街"/>
    <n v="14400"/>
    <n v="14400"/>
    <n v="9.3879999999999999"/>
    <n v="2768.83"/>
    <n v="2.0499999999999998"/>
    <n v="137952"/>
    <n v="9.58"/>
  </r>
  <r>
    <x v="233"/>
    <s v="000415"/>
    <s v="渤海金控"/>
    <n v="4300"/>
    <n v="4300"/>
    <n v="5.9779999999999998"/>
    <n v="-595.27"/>
    <n v="-2.31"/>
    <n v="25112"/>
    <n v="5.84"/>
  </r>
  <r>
    <x v="233"/>
    <s v="000528"/>
    <s v="柳    工"/>
    <n v="600"/>
    <n v="600"/>
    <n v="2.6659999999999999"/>
    <n v="3866.14"/>
    <n v="241.71"/>
    <n v="5466"/>
    <n v="9.11"/>
  </r>
  <r>
    <x v="233"/>
    <s v="000987"/>
    <s v="越秀金控"/>
    <n v="100"/>
    <n v="100"/>
    <n v="-4.9039999999999999"/>
    <n v="1547.4"/>
    <n v="0"/>
    <n v="1057"/>
    <n v="10.57"/>
  </r>
  <r>
    <x v="233"/>
    <s v="002006"/>
    <s v="精功科技"/>
    <n v="3200"/>
    <n v="3200"/>
    <n v="6.782"/>
    <n v="-869.41"/>
    <n v="-4.01"/>
    <n v="20832"/>
    <n v="6.51"/>
  </r>
  <r>
    <x v="233"/>
    <s v="002140"/>
    <s v="东华科技"/>
    <n v="11900"/>
    <n v="11900"/>
    <n v="11.551"/>
    <n v="-34159.32"/>
    <n v="-24.85"/>
    <n v="103292"/>
    <n v="8.68"/>
  </r>
  <r>
    <x v="233"/>
    <s v="300701"/>
    <s v="森霸股份"/>
    <n v="100"/>
    <n v="100"/>
    <n v="-130.48500000000001"/>
    <n v="17781.5"/>
    <n v="0"/>
    <n v="4733"/>
    <n v="47.33"/>
  </r>
  <r>
    <x v="233"/>
    <s v="reserve"/>
    <s v="备用金"/>
    <m/>
    <m/>
    <m/>
    <m/>
    <m/>
    <n v="20049.23"/>
    <m/>
  </r>
  <r>
    <x v="234"/>
    <s v="519888"/>
    <s v="添富快线"/>
    <n v="7016642"/>
    <n v="5016642"/>
    <n v="0.01"/>
    <n v="3411.98"/>
    <n v="0"/>
    <n v="70166.42"/>
    <n v="0.01"/>
  </r>
  <r>
    <x v="234"/>
    <s v="600269"/>
    <s v="赣粤高速"/>
    <n v="3400"/>
    <n v="3400"/>
    <n v="5.1180000000000003"/>
    <n v="-1184.05"/>
    <n v="-6.8"/>
    <n v="16218"/>
    <n v="4.7699999999999996"/>
  </r>
  <r>
    <x v="234"/>
    <s v="601398"/>
    <s v="工商银行"/>
    <n v="100"/>
    <n v="100"/>
    <n v="-53.579000000000001"/>
    <n v="5981.9"/>
    <n v="0"/>
    <n v="624"/>
    <n v="6.24"/>
  </r>
  <r>
    <x v="234"/>
    <s v="601998"/>
    <s v="中信银行"/>
    <n v="1200"/>
    <n v="1200"/>
    <n v="4.6740000000000004"/>
    <n v="2347.73"/>
    <n v="41.85"/>
    <n v="7956"/>
    <n v="6.63"/>
  </r>
  <r>
    <x v="234"/>
    <s v="603116"/>
    <s v="红蜻蜓"/>
    <n v="5700"/>
    <n v="5700"/>
    <n v="16.323"/>
    <n v="-9990.6"/>
    <n v="-10.74"/>
    <n v="83049"/>
    <n v="14.57"/>
  </r>
  <r>
    <x v="234"/>
    <s v="000402"/>
    <s v="金 融 街"/>
    <n v="13600"/>
    <n v="13600"/>
    <n v="9.3719999999999999"/>
    <n v="3515.08"/>
    <n v="2.75"/>
    <n v="130968"/>
    <n v="9.6300000000000008"/>
  </r>
  <r>
    <x v="234"/>
    <s v="000415"/>
    <s v="渤海金控"/>
    <n v="4300"/>
    <n v="4300"/>
    <n v="5.9779999999999998"/>
    <n v="-595.27"/>
    <n v="-2.31"/>
    <n v="25112"/>
    <n v="5.84"/>
  </r>
  <r>
    <x v="234"/>
    <s v="000528"/>
    <s v="柳    工"/>
    <n v="200"/>
    <n v="200"/>
    <n v="-10.397"/>
    <n v="3929.4"/>
    <n v="0"/>
    <n v="1850"/>
    <n v="9.25"/>
  </r>
  <r>
    <x v="234"/>
    <s v="000987"/>
    <s v="越秀金控"/>
    <n v="100"/>
    <n v="100"/>
    <n v="-4.9039999999999999"/>
    <n v="1523.4"/>
    <n v="0"/>
    <n v="1033"/>
    <n v="10.33"/>
  </r>
  <r>
    <x v="234"/>
    <s v="002006"/>
    <s v="精功科技"/>
    <n v="2800"/>
    <n v="2800"/>
    <n v="6.806"/>
    <n v="-185.06"/>
    <n v="-0.97"/>
    <n v="18872"/>
    <n v="6.74"/>
  </r>
  <r>
    <x v="234"/>
    <s v="002140"/>
    <s v="东华科技"/>
    <n v="11900"/>
    <n v="11900"/>
    <n v="11.551"/>
    <n v="-33802.32"/>
    <n v="-24.59"/>
    <n v="103649"/>
    <n v="8.7100000000000009"/>
  </r>
  <r>
    <x v="234"/>
    <s v="300701"/>
    <s v="森霸股份"/>
    <n v="100"/>
    <n v="100"/>
    <n v="-130.48500000000001"/>
    <n v="17782.5"/>
    <n v="0"/>
    <n v="4734"/>
    <n v="47.34"/>
  </r>
  <r>
    <x v="234"/>
    <s v="reserve"/>
    <s v="备用金"/>
    <m/>
    <m/>
    <m/>
    <m/>
    <m/>
    <n v="16751.439999999999"/>
    <m/>
  </r>
  <r>
    <x v="235"/>
    <s v="519888"/>
    <s v="添富快线"/>
    <n v="7017054"/>
    <n v="7017054"/>
    <n v="0.01"/>
    <n v="3416.1"/>
    <n v="0"/>
    <n v="70170.539999999994"/>
    <n v="0.01"/>
  </r>
  <r>
    <x v="235"/>
    <s v="600269"/>
    <s v="赣粤高速"/>
    <n v="3400"/>
    <n v="3400"/>
    <n v="5.1180000000000003"/>
    <n v="-1320.05"/>
    <n v="-7.58"/>
    <n v="16082"/>
    <n v="4.7300000000000004"/>
  </r>
  <r>
    <x v="235"/>
    <s v="601398"/>
    <s v="工商银行"/>
    <n v="100"/>
    <n v="100"/>
    <n v="-53.579000000000001"/>
    <n v="5965.9"/>
    <n v="0"/>
    <n v="608"/>
    <n v="6.08"/>
  </r>
  <r>
    <x v="235"/>
    <s v="601998"/>
    <s v="中信银行"/>
    <n v="1700"/>
    <n v="1200"/>
    <n v="5.2080000000000002"/>
    <n v="2179.67"/>
    <n v="24.62"/>
    <n v="11033"/>
    <n v="6.49"/>
  </r>
  <r>
    <x v="235"/>
    <s v="603116"/>
    <s v="红蜻蜓"/>
    <n v="5300"/>
    <n v="5300"/>
    <n v="16.452999999999999"/>
    <n v="-9818.57"/>
    <n v="-11.26"/>
    <n v="77380"/>
    <n v="14.6"/>
  </r>
  <r>
    <x v="235"/>
    <s v="000402"/>
    <s v="金 融 街"/>
    <n v="13600"/>
    <n v="13600"/>
    <n v="9.3719999999999999"/>
    <n v="2427.08"/>
    <n v="1.9"/>
    <n v="129880"/>
    <n v="9.5500000000000007"/>
  </r>
  <r>
    <x v="235"/>
    <s v="000415"/>
    <s v="渤海金控"/>
    <n v="4300"/>
    <n v="4300"/>
    <n v="5.9779999999999998"/>
    <n v="-595.27"/>
    <n v="-2.31"/>
    <n v="25112"/>
    <n v="5.84"/>
  </r>
  <r>
    <x v="235"/>
    <s v="000528"/>
    <s v="柳    工"/>
    <n v="200"/>
    <n v="200"/>
    <n v="-10.397"/>
    <n v="3931.4"/>
    <n v="0"/>
    <n v="1852"/>
    <n v="9.26"/>
  </r>
  <r>
    <x v="235"/>
    <s v="000987"/>
    <s v="越秀金控"/>
    <n v="100"/>
    <n v="100"/>
    <n v="-4.9039999999999999"/>
    <n v="1560.4"/>
    <n v="0"/>
    <n v="1070"/>
    <n v="10.7"/>
  </r>
  <r>
    <x v="235"/>
    <s v="002006"/>
    <s v="精功科技"/>
    <n v="2800"/>
    <n v="2800"/>
    <n v="6.806"/>
    <n v="-605.05999999999995"/>
    <n v="-3.17"/>
    <n v="18452"/>
    <n v="6.59"/>
  </r>
  <r>
    <x v="235"/>
    <s v="002140"/>
    <s v="东华科技"/>
    <n v="11900"/>
    <n v="11900"/>
    <n v="11.551"/>
    <n v="-33445.32"/>
    <n v="-24.33"/>
    <n v="104006"/>
    <n v="8.74"/>
  </r>
  <r>
    <x v="235"/>
    <s v="300701"/>
    <s v="森霸股份"/>
    <n v="100"/>
    <n v="100"/>
    <n v="-130.48500000000001"/>
    <n v="17573.5"/>
    <n v="0"/>
    <n v="4525"/>
    <n v="45.25"/>
  </r>
  <r>
    <x v="235"/>
    <s v="reserve"/>
    <s v="备用金"/>
    <m/>
    <m/>
    <m/>
    <m/>
    <m/>
    <n v="19347.41"/>
    <m/>
  </r>
  <r>
    <x v="236"/>
    <s v="519888"/>
    <s v="添富快线"/>
    <n v="7017616"/>
    <n v="7017616"/>
    <n v="0.01"/>
    <n v="3421.72"/>
    <n v="0"/>
    <n v="70176.160000000003"/>
    <n v="0.01"/>
  </r>
  <r>
    <x v="236"/>
    <s v="600269"/>
    <s v="赣粤高速"/>
    <n v="3400"/>
    <n v="3400"/>
    <n v="5.1180000000000003"/>
    <n v="-1320.05"/>
    <n v="-7.58"/>
    <n v="16082"/>
    <n v="4.7300000000000004"/>
  </r>
  <r>
    <x v="236"/>
    <s v="601398"/>
    <s v="工商银行"/>
    <n v="100"/>
    <n v="100"/>
    <n v="-53.579000000000001"/>
    <n v="5960.9"/>
    <n v="0"/>
    <n v="603"/>
    <n v="6.03"/>
  </r>
  <r>
    <x v="236"/>
    <s v="601998"/>
    <s v="中信银行"/>
    <n v="1700"/>
    <n v="1700"/>
    <n v="5.2080000000000002"/>
    <n v="2162.67"/>
    <n v="24.42"/>
    <n v="11016"/>
    <n v="6.48"/>
  </r>
  <r>
    <x v="236"/>
    <s v="603116"/>
    <s v="红蜻蜓"/>
    <n v="5300"/>
    <n v="5300"/>
    <n v="16.452999999999999"/>
    <n v="-11090.57"/>
    <n v="-12.72"/>
    <n v="76108"/>
    <n v="14.36"/>
  </r>
  <r>
    <x v="236"/>
    <s v="000402"/>
    <s v="金 融 街"/>
    <n v="13600"/>
    <n v="13600"/>
    <n v="9.3719999999999999"/>
    <n v="2563.08"/>
    <n v="2.0099999999999998"/>
    <n v="130016"/>
    <n v="9.56"/>
  </r>
  <r>
    <x v="236"/>
    <s v="000415"/>
    <s v="渤海金控"/>
    <n v="4300"/>
    <n v="4300"/>
    <n v="5.9779999999999998"/>
    <n v="-595.27"/>
    <n v="-2.31"/>
    <n v="25112"/>
    <n v="5.84"/>
  </r>
  <r>
    <x v="236"/>
    <s v="000528"/>
    <s v="柳    工"/>
    <n v="200"/>
    <n v="200"/>
    <n v="-10.397"/>
    <n v="3909.4"/>
    <n v="0"/>
    <n v="1830"/>
    <n v="9.15"/>
  </r>
  <r>
    <x v="236"/>
    <s v="000987"/>
    <s v="越秀金控"/>
    <n v="100"/>
    <n v="100"/>
    <n v="-4.9039999999999999"/>
    <n v="1531.4"/>
    <n v="0"/>
    <n v="1041"/>
    <n v="10.41"/>
  </r>
  <r>
    <x v="236"/>
    <s v="002006"/>
    <s v="精功科技"/>
    <n v="2800"/>
    <n v="2800"/>
    <n v="6.806"/>
    <n v="-549.05999999999995"/>
    <n v="-2.88"/>
    <n v="18508"/>
    <n v="6.61"/>
  </r>
  <r>
    <x v="236"/>
    <s v="002140"/>
    <s v="东华科技"/>
    <n v="11900"/>
    <n v="11900"/>
    <n v="11.551"/>
    <n v="-32612.32"/>
    <n v="-23.73"/>
    <n v="104839"/>
    <n v="8.81"/>
  </r>
  <r>
    <x v="236"/>
    <s v="300701"/>
    <s v="森霸股份"/>
    <n v="100"/>
    <n v="100"/>
    <n v="-130.48500000000001"/>
    <n v="17525.5"/>
    <n v="0"/>
    <n v="4477"/>
    <n v="44.77"/>
  </r>
  <r>
    <x v="236"/>
    <s v="reserve"/>
    <s v="备用金"/>
    <m/>
    <m/>
    <m/>
    <m/>
    <m/>
    <n v="19347.41"/>
    <m/>
  </r>
  <r>
    <x v="237"/>
    <s v="519888"/>
    <s v="添富快线"/>
    <n v="5018212"/>
    <n v="5018212"/>
    <n v="8.9999999999999993E-3"/>
    <n v="3427.68"/>
    <n v="11.11"/>
    <n v="50182.12"/>
    <n v="0.01"/>
  </r>
  <r>
    <x v="237"/>
    <s v="600269"/>
    <s v="赣粤高速"/>
    <n v="3400"/>
    <n v="3400"/>
    <n v="5.1180000000000003"/>
    <n v="-1524.05"/>
    <n v="-8.75"/>
    <n v="15878"/>
    <n v="4.67"/>
  </r>
  <r>
    <x v="237"/>
    <s v="601398"/>
    <s v="工商银行"/>
    <n v="100"/>
    <n v="100"/>
    <n v="-53.579000000000001"/>
    <n v="5939.9"/>
    <n v="0"/>
    <n v="582"/>
    <n v="5.82"/>
  </r>
  <r>
    <x v="237"/>
    <s v="601998"/>
    <s v="中信银行"/>
    <n v="1700"/>
    <n v="1700"/>
    <n v="5.2080000000000002"/>
    <n v="1805.67"/>
    <n v="20.39"/>
    <n v="10659"/>
    <n v="6.27"/>
  </r>
  <r>
    <x v="237"/>
    <s v="603116"/>
    <s v="红蜻蜓"/>
    <n v="5800"/>
    <n v="5300"/>
    <n v="16.260999999999999"/>
    <n v="-12475.71"/>
    <n v="-13.23"/>
    <n v="81838"/>
    <n v="14.11"/>
  </r>
  <r>
    <x v="237"/>
    <s v="000402"/>
    <s v="金 融 街"/>
    <n v="15100"/>
    <n v="13600"/>
    <n v="9.3719999999999999"/>
    <n v="-1092.92"/>
    <n v="-0.77"/>
    <n v="140430"/>
    <n v="9.3000000000000007"/>
  </r>
  <r>
    <x v="237"/>
    <s v="000415"/>
    <s v="渤海金控"/>
    <n v="4300"/>
    <n v="4300"/>
    <n v="5.9779999999999998"/>
    <n v="-595.27"/>
    <n v="-2.31"/>
    <n v="25112"/>
    <n v="5.84"/>
  </r>
  <r>
    <x v="237"/>
    <s v="000528"/>
    <s v="柳    工"/>
    <n v="1200"/>
    <n v="200"/>
    <n v="5.6420000000000003"/>
    <n v="3801.46"/>
    <n v="56.15"/>
    <n v="10572"/>
    <n v="8.81"/>
  </r>
  <r>
    <x v="237"/>
    <s v="000987"/>
    <s v="越秀金控"/>
    <n v="100"/>
    <n v="100"/>
    <n v="-4.9039999999999999"/>
    <n v="1500.4"/>
    <n v="0"/>
    <n v="1010"/>
    <n v="10.1"/>
  </r>
  <r>
    <x v="237"/>
    <s v="002006"/>
    <s v="精功科技"/>
    <n v="2800"/>
    <n v="2800"/>
    <n v="6.806"/>
    <n v="-1081.06"/>
    <n v="-5.67"/>
    <n v="17976"/>
    <n v="6.42"/>
  </r>
  <r>
    <x v="237"/>
    <s v="002140"/>
    <s v="东华科技"/>
    <n v="11900"/>
    <n v="11900"/>
    <n v="11.551"/>
    <n v="-34397.32"/>
    <n v="-25.03"/>
    <n v="103054"/>
    <n v="8.66"/>
  </r>
  <r>
    <x v="237"/>
    <s v="300701"/>
    <s v="森霸股份"/>
    <n v="100"/>
    <n v="100"/>
    <n v="-130.48500000000001"/>
    <n v="17616.5"/>
    <n v="0"/>
    <n v="4568"/>
    <n v="45.68"/>
  </r>
  <r>
    <x v="237"/>
    <s v="reserve"/>
    <s v="备用金"/>
    <m/>
    <m/>
    <m/>
    <m/>
    <m/>
    <n v="9312.27"/>
    <m/>
  </r>
  <r>
    <x v="238"/>
    <s v="519888"/>
    <s v="添富快线"/>
    <n v="4019802"/>
    <n v="4019802"/>
    <n v="8.9999999999999993E-3"/>
    <n v="3443.58"/>
    <n v="11.11"/>
    <n v="40198.019999999997"/>
    <n v="0.01"/>
  </r>
  <r>
    <x v="238"/>
    <s v="600269"/>
    <s v="赣粤高速"/>
    <n v="3400"/>
    <n v="3400"/>
    <n v="5.1180000000000003"/>
    <n v="-1626.05"/>
    <n v="-9.34"/>
    <n v="15776"/>
    <n v="4.6399999999999997"/>
  </r>
  <r>
    <x v="238"/>
    <s v="601398"/>
    <s v="工商银行"/>
    <n v="100"/>
    <n v="100"/>
    <n v="-53.579000000000001"/>
    <n v="5936.9"/>
    <n v="0"/>
    <n v="579"/>
    <n v="5.79"/>
  </r>
  <r>
    <x v="238"/>
    <s v="601998"/>
    <s v="中信银行"/>
    <n v="1700"/>
    <n v="1700"/>
    <n v="5.2080000000000002"/>
    <n v="1907.67"/>
    <n v="21.54"/>
    <n v="10761"/>
    <n v="6.33"/>
  </r>
  <r>
    <x v="238"/>
    <s v="603116"/>
    <s v="红蜻蜓"/>
    <n v="5800"/>
    <n v="5800"/>
    <n v="16.260999999999999"/>
    <n v="-11721.71"/>
    <n v="-12.43"/>
    <n v="82592"/>
    <n v="14.24"/>
  </r>
  <r>
    <x v="238"/>
    <s v="000402"/>
    <s v="金 融 街"/>
    <n v="15600"/>
    <n v="15100"/>
    <n v="9.3680000000000003"/>
    <n v="-3251.92"/>
    <n v="-2.2200000000000002"/>
    <n v="142896"/>
    <n v="9.16"/>
  </r>
  <r>
    <x v="238"/>
    <s v="000415"/>
    <s v="渤海金控"/>
    <n v="4300"/>
    <n v="4300"/>
    <n v="5.9779999999999998"/>
    <n v="-595.27"/>
    <n v="-2.31"/>
    <n v="25112"/>
    <n v="5.84"/>
  </r>
  <r>
    <x v="238"/>
    <s v="000528"/>
    <s v="柳    工"/>
    <n v="1300"/>
    <n v="800"/>
    <n v="5.819"/>
    <n v="3575.9"/>
    <n v="47.28"/>
    <n v="11141"/>
    <n v="8.57"/>
  </r>
  <r>
    <x v="238"/>
    <s v="000987"/>
    <s v="越秀金控"/>
    <n v="100"/>
    <n v="100"/>
    <n v="-4.9039999999999999"/>
    <n v="1478.4"/>
    <n v="0"/>
    <n v="988"/>
    <n v="9.8800000000000008"/>
  </r>
  <r>
    <x v="238"/>
    <s v="002006"/>
    <s v="精功科技"/>
    <n v="3300"/>
    <n v="2800"/>
    <n v="6.7370000000000001"/>
    <n v="-1574.06"/>
    <n v="-7.08"/>
    <n v="20658"/>
    <n v="6.26"/>
  </r>
  <r>
    <x v="238"/>
    <s v="002140"/>
    <s v="东华科技"/>
    <n v="11900"/>
    <n v="11900"/>
    <n v="11.551"/>
    <n v="-34278.32"/>
    <n v="-24.94"/>
    <n v="103173"/>
    <n v="8.67"/>
  </r>
  <r>
    <x v="238"/>
    <s v="300701"/>
    <s v="森霸股份"/>
    <n v="100"/>
    <n v="100"/>
    <n v="-130.48500000000001"/>
    <n v="17251.5"/>
    <n v="0"/>
    <n v="4203"/>
    <n v="42.03"/>
  </r>
  <r>
    <x v="238"/>
    <s v="reserve"/>
    <s v="备用金"/>
    <m/>
    <m/>
    <m/>
    <m/>
    <m/>
    <n v="10717.71"/>
    <m/>
  </r>
  <r>
    <x v="239"/>
    <s v="519888"/>
    <s v="添富快线"/>
    <n v="4020202"/>
    <n v="4020202"/>
    <n v="8.9999999999999993E-3"/>
    <n v="3447.58"/>
    <n v="11.11"/>
    <n v="40202.019999999997"/>
    <n v="0.01"/>
  </r>
  <r>
    <x v="239"/>
    <s v="600269"/>
    <s v="赣粤高速"/>
    <n v="3400"/>
    <n v="3400"/>
    <n v="5.1180000000000003"/>
    <n v="-1626.05"/>
    <n v="-9.34"/>
    <n v="15776"/>
    <n v="4.6399999999999997"/>
  </r>
  <r>
    <x v="239"/>
    <s v="601398"/>
    <s v="工商银行"/>
    <n v="100"/>
    <n v="100"/>
    <n v="-53.579000000000001"/>
    <n v="5945.9"/>
    <n v="0"/>
    <n v="588"/>
    <n v="5.88"/>
  </r>
  <r>
    <x v="239"/>
    <s v="601998"/>
    <s v="中信银行"/>
    <n v="1700"/>
    <n v="1700"/>
    <n v="5.2080000000000002"/>
    <n v="2043.67"/>
    <n v="23.08"/>
    <n v="10897"/>
    <n v="6.41"/>
  </r>
  <r>
    <x v="239"/>
    <s v="603116"/>
    <s v="红蜻蜓"/>
    <n v="5800"/>
    <n v="5800"/>
    <n v="16.260999999999999"/>
    <n v="-11605.71"/>
    <n v="-12.3"/>
    <n v="82708"/>
    <n v="14.26"/>
  </r>
  <r>
    <x v="239"/>
    <s v="000402"/>
    <s v="金 融 街"/>
    <n v="16100"/>
    <n v="15600"/>
    <n v="9.3620000000000001"/>
    <n v="-2285.92"/>
    <n v="-1.52"/>
    <n v="148442"/>
    <n v="9.2200000000000006"/>
  </r>
  <r>
    <x v="239"/>
    <s v="000415"/>
    <s v="渤海金控"/>
    <n v="4300"/>
    <n v="4300"/>
    <n v="5.9779999999999998"/>
    <n v="-595.27"/>
    <n v="-2.31"/>
    <n v="25112"/>
    <n v="5.84"/>
  </r>
  <r>
    <x v="239"/>
    <s v="000528"/>
    <s v="柳    工"/>
    <n v="500"/>
    <n v="500"/>
    <n v="0.996"/>
    <n v="3996.82"/>
    <n v="802.61"/>
    <n v="4495"/>
    <n v="8.99"/>
  </r>
  <r>
    <x v="239"/>
    <s v="000987"/>
    <s v="越秀金控"/>
    <n v="100"/>
    <n v="100"/>
    <n v="-4.9039999999999999"/>
    <n v="1493.4"/>
    <n v="0"/>
    <n v="1003"/>
    <n v="10.029999999999999"/>
  </r>
  <r>
    <x v="239"/>
    <s v="002006"/>
    <s v="精功科技"/>
    <n v="3300"/>
    <n v="3300"/>
    <n v="6.7370000000000001"/>
    <n v="-1244.06"/>
    <n v="-5.59"/>
    <n v="20988"/>
    <n v="6.36"/>
  </r>
  <r>
    <x v="239"/>
    <s v="002140"/>
    <s v="东华科技"/>
    <n v="11900"/>
    <n v="11900"/>
    <n v="11.551"/>
    <n v="-30827.32"/>
    <n v="-22.43"/>
    <n v="106624"/>
    <n v="8.9600000000000009"/>
  </r>
  <r>
    <x v="239"/>
    <s v="300701"/>
    <s v="森霸股份"/>
    <n v="100"/>
    <n v="100"/>
    <n v="-130.48500000000001"/>
    <n v="17368.5"/>
    <n v="0"/>
    <n v="4320"/>
    <n v="43.2"/>
  </r>
  <r>
    <x v="239"/>
    <s v="reserve"/>
    <s v="备用金"/>
    <m/>
    <m/>
    <m/>
    <m/>
    <m/>
    <n v="13204.63"/>
    <m/>
  </r>
  <r>
    <x v="240"/>
    <s v="519888"/>
    <s v="添富快线"/>
    <n v="4020537"/>
    <n v="4020537"/>
    <n v="8.9999999999999993E-3"/>
    <n v="3450.93"/>
    <n v="11.11"/>
    <n v="40205.370000000003"/>
    <n v="0.01"/>
  </r>
  <r>
    <x v="240"/>
    <s v="600269"/>
    <s v="赣粤高速"/>
    <n v="3400"/>
    <n v="3400"/>
    <n v="5.1180000000000003"/>
    <n v="-1558.05"/>
    <n v="-8.9499999999999993"/>
    <n v="15844"/>
    <n v="4.66"/>
  </r>
  <r>
    <x v="240"/>
    <s v="601398"/>
    <s v="工商银行"/>
    <n v="100"/>
    <n v="100"/>
    <n v="-53.579000000000001"/>
    <n v="5949.9"/>
    <n v="0"/>
    <n v="592"/>
    <n v="5.92"/>
  </r>
  <r>
    <x v="240"/>
    <s v="601998"/>
    <s v="中信银行"/>
    <n v="1700"/>
    <n v="1700"/>
    <n v="5.2080000000000002"/>
    <n v="2026.67"/>
    <n v="22.89"/>
    <n v="10880"/>
    <n v="6.4"/>
  </r>
  <r>
    <x v="240"/>
    <s v="603116"/>
    <s v="红蜻蜓"/>
    <n v="5800"/>
    <n v="5800"/>
    <n v="16.260999999999999"/>
    <n v="-11489.71"/>
    <n v="-12.18"/>
    <n v="82824"/>
    <n v="14.28"/>
  </r>
  <r>
    <x v="240"/>
    <s v="000402"/>
    <s v="金 融 街"/>
    <n v="16100"/>
    <n v="16100"/>
    <n v="9.3620000000000001"/>
    <n v="-2124.92"/>
    <n v="-1.41"/>
    <n v="148603"/>
    <n v="9.23"/>
  </r>
  <r>
    <x v="240"/>
    <s v="000415"/>
    <s v="渤海金控"/>
    <n v="4300"/>
    <n v="4300"/>
    <n v="5.9779999999999998"/>
    <n v="-595.27"/>
    <n v="-2.31"/>
    <n v="25112"/>
    <n v="5.84"/>
  </r>
  <r>
    <x v="240"/>
    <s v="000528"/>
    <s v="柳    工"/>
    <n v="100"/>
    <n v="100"/>
    <n v="-31.292000000000002"/>
    <n v="4041.2"/>
    <n v="0"/>
    <n v="912"/>
    <n v="9.1199999999999992"/>
  </r>
  <r>
    <x v="240"/>
    <s v="000987"/>
    <s v="越秀金控"/>
    <n v="100"/>
    <n v="100"/>
    <n v="-4.9039999999999999"/>
    <n v="1490.4"/>
    <n v="0"/>
    <n v="1000"/>
    <n v="10"/>
  </r>
  <r>
    <x v="240"/>
    <s v="002006"/>
    <s v="精功科技"/>
    <n v="3300"/>
    <n v="3300"/>
    <n v="6.7370000000000001"/>
    <n v="-1013.06"/>
    <n v="-4.5599999999999996"/>
    <n v="21219"/>
    <n v="6.43"/>
  </r>
  <r>
    <x v="240"/>
    <s v="002140"/>
    <s v="东华科技"/>
    <n v="11100"/>
    <n v="11100"/>
    <n v="11.728"/>
    <n v="-28389.61"/>
    <n v="-21.81"/>
    <n v="101787"/>
    <n v="9.17"/>
  </r>
  <r>
    <x v="240"/>
    <s v="300701"/>
    <s v="森霸传感"/>
    <n v="100"/>
    <n v="100"/>
    <n v="-130.48500000000001"/>
    <n v="17569.5"/>
    <n v="0"/>
    <n v="4521"/>
    <n v="45.21"/>
  </r>
  <r>
    <x v="240"/>
    <s v="reserve"/>
    <s v="备用金"/>
    <m/>
    <m/>
    <m/>
    <m/>
    <m/>
    <n v="24106.7"/>
    <m/>
  </r>
  <r>
    <x v="241"/>
    <s v="519888"/>
    <s v="添富快线"/>
    <n v="4021571"/>
    <n v="4021571"/>
    <n v="8.9999999999999993E-3"/>
    <n v="3461.27"/>
    <n v="11.11"/>
    <n v="40215.71"/>
    <n v="0.01"/>
  </r>
  <r>
    <x v="241"/>
    <s v="600269"/>
    <s v="赣粤高速"/>
    <n v="3400"/>
    <n v="3400"/>
    <n v="5.1180000000000003"/>
    <n v="-1762.05"/>
    <n v="-10.119999999999999"/>
    <n v="15640"/>
    <n v="4.5999999999999996"/>
  </r>
  <r>
    <x v="241"/>
    <s v="601398"/>
    <s v="工商银行"/>
    <n v="100"/>
    <n v="100"/>
    <n v="-53.579000000000001"/>
    <n v="5959.9"/>
    <n v="0"/>
    <n v="602"/>
    <n v="6.02"/>
  </r>
  <r>
    <x v="241"/>
    <s v="601998"/>
    <s v="中信银行"/>
    <n v="1700"/>
    <n v="1700"/>
    <n v="5.2080000000000002"/>
    <n v="1992.67"/>
    <n v="22.5"/>
    <n v="10846"/>
    <n v="6.38"/>
  </r>
  <r>
    <x v="241"/>
    <s v="603116"/>
    <s v="红蜻蜓"/>
    <n v="6300"/>
    <n v="5800"/>
    <n v="16.077000000000002"/>
    <n v="-13524.85"/>
    <n v="-13.35"/>
    <n v="87759"/>
    <n v="13.93"/>
  </r>
  <r>
    <x v="241"/>
    <s v="000402"/>
    <s v="金 融 街"/>
    <n v="17100"/>
    <n v="16600"/>
    <n v="9.343"/>
    <n v="-3986.92"/>
    <n v="-2.4900000000000002"/>
    <n v="155781"/>
    <n v="9.11"/>
  </r>
  <r>
    <x v="241"/>
    <s v="000415"/>
    <s v="渤海金控"/>
    <n v="4300"/>
    <n v="4300"/>
    <n v="5.9779999999999998"/>
    <n v="-595.27"/>
    <n v="-2.31"/>
    <n v="25112"/>
    <n v="5.84"/>
  </r>
  <r>
    <x v="241"/>
    <s v="000528"/>
    <s v="柳    工"/>
    <n v="600"/>
    <n v="600"/>
    <n v="2.3010000000000002"/>
    <n v="4067.18"/>
    <n v="294.61"/>
    <n v="5448"/>
    <n v="9.08"/>
  </r>
  <r>
    <x v="241"/>
    <s v="000987"/>
    <s v="越秀金控"/>
    <n v="600"/>
    <n v="100"/>
    <n v="6.9409999999999998"/>
    <n v="1445.39"/>
    <n v="34.71"/>
    <n v="5610"/>
    <n v="9.35"/>
  </r>
  <r>
    <x v="241"/>
    <s v="002006"/>
    <s v="精功科技"/>
    <n v="2500"/>
    <n v="2100"/>
    <n v="6.774"/>
    <n v="-60.37"/>
    <n v="-0.35"/>
    <n v="16875"/>
    <n v="6.75"/>
  </r>
  <r>
    <x v="241"/>
    <s v="002140"/>
    <s v="东华科技"/>
    <n v="11100"/>
    <n v="11100"/>
    <n v="11.728"/>
    <n v="-29832.61"/>
    <n v="-22.92"/>
    <n v="100344"/>
    <n v="9.0399999999999991"/>
  </r>
  <r>
    <x v="241"/>
    <s v="300701"/>
    <s v="森霸传感"/>
    <n v="100"/>
    <n v="100"/>
    <n v="-130.48500000000001"/>
    <n v="17170.5"/>
    <n v="0"/>
    <n v="4122"/>
    <n v="41.22"/>
  </r>
  <r>
    <x v="241"/>
    <s v="reserve"/>
    <s v="备用金"/>
    <m/>
    <m/>
    <m/>
    <m/>
    <m/>
    <n v="4228.25"/>
    <m/>
  </r>
  <r>
    <x v="242"/>
    <s v="519888"/>
    <s v="添富快线"/>
    <n v="4022552"/>
    <n v="4022552"/>
    <n v="8.9999999999999993E-3"/>
    <n v="3471.08"/>
    <n v="11.11"/>
    <n v="40225.519999999997"/>
    <n v="0.01"/>
  </r>
  <r>
    <x v="242"/>
    <s v="600269"/>
    <s v="赣粤高速"/>
    <n v="3400"/>
    <n v="3400"/>
    <n v="5.1180000000000003"/>
    <n v="-1592.05"/>
    <n v="-9.14"/>
    <n v="15810"/>
    <n v="4.6500000000000004"/>
  </r>
  <r>
    <x v="242"/>
    <s v="601398"/>
    <s v="工商银行"/>
    <n v="100"/>
    <n v="100"/>
    <n v="-53.579000000000001"/>
    <n v="5965.9"/>
    <n v="0"/>
    <n v="608"/>
    <n v="6.08"/>
  </r>
  <r>
    <x v="242"/>
    <s v="601998"/>
    <s v="中信银行"/>
    <n v="1700"/>
    <n v="1700"/>
    <n v="5.2080000000000002"/>
    <n v="2162.67"/>
    <n v="24.42"/>
    <n v="11016"/>
    <n v="6.48"/>
  </r>
  <r>
    <x v="242"/>
    <s v="603116"/>
    <s v="红蜻蜓"/>
    <n v="5900"/>
    <n v="5900"/>
    <n v="16.209"/>
    <n v="-11736.62"/>
    <n v="-12.27"/>
    <n v="83898"/>
    <n v="14.22"/>
  </r>
  <r>
    <x v="242"/>
    <s v="000402"/>
    <s v="金 融 街"/>
    <n v="16300"/>
    <n v="16300"/>
    <n v="9.3490000000000002"/>
    <n v="-1618.31"/>
    <n v="-1.06"/>
    <n v="150775"/>
    <n v="9.25"/>
  </r>
  <r>
    <x v="242"/>
    <s v="000415"/>
    <s v="渤海金控"/>
    <n v="4300"/>
    <n v="4300"/>
    <n v="5.9779999999999998"/>
    <n v="-595.27"/>
    <n v="-2.31"/>
    <n v="25112"/>
    <n v="5.84"/>
  </r>
  <r>
    <x v="242"/>
    <s v="000528"/>
    <s v="柳    工"/>
    <n v="200"/>
    <n v="200"/>
    <n v="-11.313000000000001"/>
    <n v="4136.6000000000004"/>
    <n v="0"/>
    <n v="1874"/>
    <n v="9.3699999999999992"/>
  </r>
  <r>
    <x v="242"/>
    <s v="000987"/>
    <s v="越秀金控"/>
    <n v="600"/>
    <n v="600"/>
    <n v="6.9409999999999998"/>
    <n v="1523.39"/>
    <n v="36.58"/>
    <n v="5688"/>
    <n v="9.48"/>
  </r>
  <r>
    <x v="242"/>
    <s v="002006"/>
    <s v="精功科技"/>
    <n v="1700"/>
    <n v="1700"/>
    <n v="6.75"/>
    <n v="204.16"/>
    <n v="1.78"/>
    <n v="11679"/>
    <n v="6.87"/>
  </r>
  <r>
    <x v="242"/>
    <s v="002140"/>
    <s v="东华科技"/>
    <n v="11100"/>
    <n v="11100"/>
    <n v="11.728"/>
    <n v="-28389.61"/>
    <n v="-21.81"/>
    <n v="101787"/>
    <n v="9.17"/>
  </r>
  <r>
    <x v="242"/>
    <s v="300701"/>
    <s v="森霸传感"/>
    <n v="100"/>
    <n v="100"/>
    <n v="-130.48500000000001"/>
    <n v="17431.5"/>
    <n v="0"/>
    <n v="4383"/>
    <n v="43.83"/>
  </r>
  <r>
    <x v="242"/>
    <s v="SZRQ88"/>
    <s v="国标准券"/>
    <n v="20000"/>
    <n v="0"/>
    <n v="1"/>
    <n v="-0.2"/>
    <n v="0"/>
    <n v="20000"/>
    <n v="1"/>
  </r>
  <r>
    <x v="242"/>
    <s v="reserve"/>
    <s v="备用金"/>
    <m/>
    <m/>
    <m/>
    <m/>
    <m/>
    <n v="6355.77"/>
    <m/>
  </r>
  <r>
    <x v="243"/>
    <s v="519888"/>
    <s v="添富快线"/>
    <n v="4023198"/>
    <n v="4023198"/>
    <n v="8.9999999999999993E-3"/>
    <n v="3477.54"/>
    <n v="11.11"/>
    <n v="40231.980000000003"/>
    <n v="0.01"/>
  </r>
  <r>
    <x v="243"/>
    <s v="600269"/>
    <s v="赣粤高速"/>
    <n v="3400"/>
    <n v="3400"/>
    <n v="5.1180000000000003"/>
    <n v="-1660.05"/>
    <n v="-9.5299999999999994"/>
    <n v="15742"/>
    <n v="4.63"/>
  </r>
  <r>
    <x v="243"/>
    <s v="601398"/>
    <s v="工商银行"/>
    <n v="100"/>
    <n v="100"/>
    <n v="-53.579000000000001"/>
    <n v="5956.9"/>
    <n v="0"/>
    <n v="599"/>
    <n v="5.99"/>
  </r>
  <r>
    <x v="243"/>
    <s v="601998"/>
    <s v="中信银行"/>
    <n v="1700"/>
    <n v="1700"/>
    <n v="5.2080000000000002"/>
    <n v="2026.67"/>
    <n v="22.89"/>
    <n v="10880"/>
    <n v="6.4"/>
  </r>
  <r>
    <x v="243"/>
    <s v="603116"/>
    <s v="红蜻蜓"/>
    <n v="5900"/>
    <n v="5900"/>
    <n v="16.209"/>
    <n v="-11028.62"/>
    <n v="-11.53"/>
    <n v="84606"/>
    <n v="14.34"/>
  </r>
  <r>
    <x v="243"/>
    <s v="000402"/>
    <s v="金 融 街"/>
    <n v="16800"/>
    <n v="16300"/>
    <n v="9.3450000000000006"/>
    <n v="-2932.31"/>
    <n v="-1.87"/>
    <n v="154056"/>
    <n v="9.17"/>
  </r>
  <r>
    <x v="243"/>
    <s v="000415"/>
    <s v="渤海金控"/>
    <n v="4300"/>
    <n v="4300"/>
    <n v="5.9779999999999998"/>
    <n v="-595.27"/>
    <n v="-2.31"/>
    <n v="25112"/>
    <n v="5.84"/>
  </r>
  <r>
    <x v="243"/>
    <s v="000528"/>
    <s v="柳    工"/>
    <n v="200"/>
    <n v="200"/>
    <n v="-11.313000000000001"/>
    <n v="4150.6000000000004"/>
    <n v="0"/>
    <n v="1888"/>
    <n v="9.44"/>
  </r>
  <r>
    <x v="243"/>
    <s v="000987"/>
    <s v="越秀金控"/>
    <n v="600"/>
    <n v="600"/>
    <n v="6.9409999999999998"/>
    <n v="1487.39"/>
    <n v="35.72"/>
    <n v="5652"/>
    <n v="9.42"/>
  </r>
  <r>
    <x v="243"/>
    <s v="002006"/>
    <s v="精功科技"/>
    <n v="1700"/>
    <n v="1700"/>
    <n v="6.75"/>
    <n v="119.16"/>
    <n v="1.04"/>
    <n v="11594"/>
    <n v="6.82"/>
  </r>
  <r>
    <x v="243"/>
    <s v="002140"/>
    <s v="东华科技"/>
    <n v="11100"/>
    <n v="11100"/>
    <n v="11.728"/>
    <n v="-27723.61"/>
    <n v="-21.3"/>
    <n v="102453"/>
    <n v="9.23"/>
  </r>
  <r>
    <x v="243"/>
    <s v="300701"/>
    <s v="森霸传感"/>
    <n v="100"/>
    <n v="100"/>
    <n v="-130.48500000000001"/>
    <n v="17483.5"/>
    <n v="0"/>
    <n v="4435"/>
    <n v="44.35"/>
  </r>
  <r>
    <x v="243"/>
    <s v="SZRQ88"/>
    <s v="国标准券"/>
    <n v="20000"/>
    <n v="20000"/>
    <n v="1"/>
    <n v="-0.2"/>
    <n v="0"/>
    <n v="0"/>
    <n v="1"/>
  </r>
  <r>
    <x v="243"/>
    <s v="reserve"/>
    <s v="备用金"/>
    <m/>
    <m/>
    <m/>
    <m/>
    <m/>
    <n v="21765.88"/>
    <m/>
  </r>
  <r>
    <x v="244"/>
    <s v="519888"/>
    <s v="添富快线"/>
    <n v="5523664"/>
    <n v="3523664"/>
    <n v="8.9999999999999993E-3"/>
    <n v="3482.2"/>
    <n v="11.11"/>
    <n v="55236.639999999999"/>
    <n v="0.01"/>
  </r>
  <r>
    <x v="244"/>
    <s v="600269"/>
    <s v="赣粤高速"/>
    <n v="3900"/>
    <n v="3400"/>
    <n v="5.0519999999999996"/>
    <n v="-1840.1"/>
    <n v="-9.34"/>
    <n v="17862"/>
    <n v="4.58"/>
  </r>
  <r>
    <x v="244"/>
    <s v="601398"/>
    <s v="工商银行"/>
    <n v="100"/>
    <n v="100"/>
    <n v="-53.579000000000001"/>
    <n v="5952.9"/>
    <n v="0"/>
    <n v="595"/>
    <n v="5.95"/>
  </r>
  <r>
    <x v="244"/>
    <s v="601998"/>
    <s v="中信银行"/>
    <n v="1700"/>
    <n v="1700"/>
    <n v="5.2080000000000002"/>
    <n v="1992.67"/>
    <n v="22.5"/>
    <n v="10846"/>
    <n v="6.38"/>
  </r>
  <r>
    <x v="244"/>
    <s v="603116"/>
    <s v="红蜻蜓"/>
    <n v="5500"/>
    <n v="5500"/>
    <n v="16.326000000000001"/>
    <n v="-10648.6"/>
    <n v="-11.86"/>
    <n v="79145"/>
    <n v="14.39"/>
  </r>
  <r>
    <x v="244"/>
    <s v="000402"/>
    <s v="金 融 街"/>
    <n v="17300"/>
    <n v="16800"/>
    <n v="9.3369999999999997"/>
    <n v="-4439.3100000000004"/>
    <n v="-2.75"/>
    <n v="157084"/>
    <n v="9.08"/>
  </r>
  <r>
    <x v="244"/>
    <s v="000415"/>
    <s v="渤海金控"/>
    <n v="4300"/>
    <n v="4300"/>
    <n v="5.9779999999999998"/>
    <n v="-595.27"/>
    <n v="-2.31"/>
    <n v="25112"/>
    <n v="5.84"/>
  </r>
  <r>
    <x v="244"/>
    <s v="000528"/>
    <s v="柳    工"/>
    <n v="200"/>
    <n v="200"/>
    <n v="-11.313000000000001"/>
    <n v="4120.6000000000004"/>
    <n v="0"/>
    <n v="1858"/>
    <n v="9.2899999999999991"/>
  </r>
  <r>
    <x v="244"/>
    <s v="000987"/>
    <s v="越秀金控"/>
    <n v="600"/>
    <n v="600"/>
    <n v="6.9409999999999998"/>
    <n v="1325.39"/>
    <n v="31.83"/>
    <n v="5490"/>
    <n v="9.15"/>
  </r>
  <r>
    <x v="244"/>
    <s v="002006"/>
    <s v="精功科技"/>
    <n v="900"/>
    <n v="500"/>
    <n v="6.5229999999999997"/>
    <n v="510.54"/>
    <n v="8.69"/>
    <n v="6381"/>
    <n v="7.09"/>
  </r>
  <r>
    <x v="244"/>
    <s v="002140"/>
    <s v="东华科技"/>
    <n v="12100"/>
    <n v="11100"/>
    <n v="11.500999999999999"/>
    <n v="-30750.61"/>
    <n v="-22.09"/>
    <n v="108416"/>
    <n v="8.9600000000000009"/>
  </r>
  <r>
    <x v="244"/>
    <s v="300701"/>
    <s v="森霸传感"/>
    <n v="100"/>
    <n v="100"/>
    <n v="-130.48500000000001"/>
    <n v="17198.5"/>
    <n v="0"/>
    <n v="4150"/>
    <n v="41.5"/>
  </r>
  <r>
    <x v="244"/>
    <s v="reserve"/>
    <s v="备用金"/>
    <m/>
    <m/>
    <m/>
    <m/>
    <m/>
    <n v="2386.23"/>
    <m/>
  </r>
  <r>
    <x v="245"/>
    <s v="002140"/>
    <s v="东华科技"/>
    <n v="11700"/>
    <n v="11700"/>
    <n v="11.583"/>
    <n v="-27996.27"/>
    <n v="-20.66"/>
    <n v="107523"/>
    <n v="9.19"/>
  </r>
  <r>
    <x v="245"/>
    <s v="603116"/>
    <s v="红蜻蜓"/>
    <n v="5500"/>
    <n v="5500"/>
    <n v="16.326000000000001"/>
    <n v="-9493.6"/>
    <n v="-10.57"/>
    <n v="80300"/>
    <n v="14.6"/>
  </r>
  <r>
    <x v="245"/>
    <s v="000402"/>
    <s v="金 融 街"/>
    <n v="17300"/>
    <n v="17300"/>
    <n v="9.3369999999999997"/>
    <n v="-4785.3100000000004"/>
    <n v="-2.97"/>
    <n v="156738"/>
    <n v="9.06"/>
  </r>
  <r>
    <x v="245"/>
    <s v="600269"/>
    <s v="赣粤高速"/>
    <n v="3900"/>
    <n v="3900"/>
    <n v="5.0519999999999996"/>
    <n v="-1879.1"/>
    <n v="-9.5399999999999991"/>
    <n v="17823"/>
    <n v="4.57"/>
  </r>
  <r>
    <x v="245"/>
    <s v="000415"/>
    <s v="渤海金控"/>
    <n v="4300"/>
    <n v="4300"/>
    <n v="5.9779999999999998"/>
    <n v="-595.27"/>
    <n v="-2.31"/>
    <n v="25112"/>
    <n v="5.84"/>
  </r>
  <r>
    <x v="245"/>
    <s v="002006"/>
    <s v="精功科技"/>
    <n v="900"/>
    <n v="900"/>
    <n v="6.5229999999999997"/>
    <n v="492.54"/>
    <n v="8.39"/>
    <n v="6363"/>
    <n v="7.07"/>
  </r>
  <r>
    <x v="245"/>
    <s v="000987"/>
    <s v="越秀金控"/>
    <n v="600"/>
    <n v="600"/>
    <n v="6.9409999999999998"/>
    <n v="1361.39"/>
    <n v="32.69"/>
    <n v="5526"/>
    <n v="9.2100000000000009"/>
  </r>
  <r>
    <x v="245"/>
    <s v="601998"/>
    <s v="中信银行"/>
    <n v="1700"/>
    <n v="1700"/>
    <n v="5.2080000000000002"/>
    <n v="2009.67"/>
    <n v="22.7"/>
    <n v="10863"/>
    <n v="6.39"/>
  </r>
  <r>
    <x v="245"/>
    <s v="519888"/>
    <s v="添富快线"/>
    <n v="5524085"/>
    <n v="5524085"/>
    <n v="8.9999999999999993E-3"/>
    <n v="3486.41"/>
    <n v="11.11"/>
    <n v="55240.85"/>
    <n v="0.01"/>
  </r>
  <r>
    <x v="245"/>
    <s v="000528"/>
    <s v="柳    工"/>
    <n v="200"/>
    <n v="200"/>
    <n v="-11.313000000000001"/>
    <n v="4140.6000000000004"/>
    <n v="0"/>
    <n v="1878"/>
    <n v="9.39"/>
  </r>
  <r>
    <x v="245"/>
    <s v="601398"/>
    <s v="工商银行"/>
    <n v="100"/>
    <n v="100"/>
    <n v="-53.579000000000001"/>
    <n v="5957.9"/>
    <n v="0"/>
    <n v="600"/>
    <n v="6"/>
  </r>
  <r>
    <x v="245"/>
    <s v="300701"/>
    <s v="森霸传感"/>
    <n v="100"/>
    <n v="100"/>
    <n v="-130.48500000000001"/>
    <n v="17186.5"/>
    <n v="0"/>
    <n v="4138"/>
    <n v="41.38"/>
  </r>
  <r>
    <x v="245"/>
    <s v="reserve"/>
    <s v="备用金"/>
    <m/>
    <m/>
    <m/>
    <m/>
    <m/>
    <n v="6033.57"/>
    <m/>
  </r>
  <r>
    <x v="246"/>
    <s v="519888"/>
    <s v="添富快线"/>
    <n v="5524648"/>
    <n v="5524648"/>
    <n v="8.9999999999999993E-3"/>
    <n v="3492.04"/>
    <n v="11.11"/>
    <n v="55246.48"/>
    <n v="0.01"/>
  </r>
  <r>
    <x v="246"/>
    <s v="600269"/>
    <s v="赣粤高速"/>
    <n v="3900"/>
    <n v="3900"/>
    <n v="5.0519999999999996"/>
    <n v="-1840.1"/>
    <n v="-9.34"/>
    <n v="17862"/>
    <n v="4.58"/>
  </r>
  <r>
    <x v="246"/>
    <s v="601398"/>
    <s v="工商银行"/>
    <n v="100"/>
    <n v="100"/>
    <n v="-53.579000000000001"/>
    <n v="5955.9"/>
    <n v="0"/>
    <n v="598"/>
    <n v="5.98"/>
  </r>
  <r>
    <x v="246"/>
    <s v="601998"/>
    <s v="中信银行"/>
    <n v="1700"/>
    <n v="1700"/>
    <n v="5.2080000000000002"/>
    <n v="2281.67"/>
    <n v="25.77"/>
    <n v="11135"/>
    <n v="6.55"/>
  </r>
  <r>
    <x v="246"/>
    <s v="603116"/>
    <s v="红蜻蜓"/>
    <n v="5500"/>
    <n v="5500"/>
    <n v="16.326000000000001"/>
    <n v="-10428.6"/>
    <n v="-11.61"/>
    <n v="79365"/>
    <n v="14.43"/>
  </r>
  <r>
    <x v="246"/>
    <s v="000402"/>
    <s v="金 融 街"/>
    <n v="17800"/>
    <n v="17300"/>
    <n v="9.3249999999999993"/>
    <n v="-6668.31"/>
    <n v="-4.0199999999999996"/>
    <n v="159310"/>
    <n v="8.9499999999999993"/>
  </r>
  <r>
    <x v="246"/>
    <s v="000415"/>
    <s v="渤海金控"/>
    <n v="4300"/>
    <n v="4300"/>
    <n v="5.9779999999999998"/>
    <n v="-595.27"/>
    <n v="-2.31"/>
    <n v="25112"/>
    <n v="5.84"/>
  </r>
  <r>
    <x v="246"/>
    <s v="000528"/>
    <s v="柳    工"/>
    <n v="200"/>
    <n v="200"/>
    <n v="-11.313000000000001"/>
    <n v="4172.6000000000004"/>
    <n v="0"/>
    <n v="1910"/>
    <n v="9.5500000000000007"/>
  </r>
  <r>
    <x v="246"/>
    <s v="000987"/>
    <s v="越秀金控"/>
    <n v="600"/>
    <n v="600"/>
    <n v="6.9409999999999998"/>
    <n v="1349.39"/>
    <n v="32.4"/>
    <n v="5514"/>
    <n v="9.19"/>
  </r>
  <r>
    <x v="246"/>
    <s v="002006"/>
    <s v="精功科技"/>
    <n v="900"/>
    <n v="900"/>
    <n v="6.5229999999999997"/>
    <n v="312.54000000000002"/>
    <n v="5.32"/>
    <n v="6183"/>
    <n v="6.87"/>
  </r>
  <r>
    <x v="246"/>
    <s v="002140"/>
    <s v="东华科技"/>
    <n v="11700"/>
    <n v="11700"/>
    <n v="11.583"/>
    <n v="-28815.27"/>
    <n v="-21.26"/>
    <n v="106704"/>
    <n v="9.1199999999999992"/>
  </r>
  <r>
    <x v="246"/>
    <s v="300701"/>
    <s v="森霸传感"/>
    <n v="100"/>
    <n v="100"/>
    <n v="-130.48500000000001"/>
    <n v="17053.5"/>
    <n v="0"/>
    <n v="4005"/>
    <n v="40.049999999999997"/>
  </r>
  <r>
    <x v="246"/>
    <s v="reserve"/>
    <s v="备用金"/>
    <m/>
    <m/>
    <m/>
    <m/>
    <m/>
    <n v="1578.57"/>
    <m/>
  </r>
  <r>
    <x v="247"/>
    <s v="519888"/>
    <s v="添富快线"/>
    <n v="5027975"/>
    <n v="5027975"/>
    <n v="8.9999999999999993E-3"/>
    <n v="3525.31"/>
    <n v="11.11"/>
    <n v="50279.75"/>
    <n v="0.01"/>
  </r>
  <r>
    <x v="247"/>
    <s v="600269"/>
    <s v="赣粤高速"/>
    <n v="3900"/>
    <n v="3900"/>
    <n v="5.0519999999999996"/>
    <n v="-1801.1"/>
    <n v="-9.14"/>
    <n v="17901"/>
    <n v="4.59"/>
  </r>
  <r>
    <x v="247"/>
    <s v="601398"/>
    <s v="工商银行"/>
    <n v="100"/>
    <n v="100"/>
    <n v="-53.579000000000001"/>
    <n v="5952.9"/>
    <n v="0"/>
    <n v="595"/>
    <n v="5.95"/>
  </r>
  <r>
    <x v="247"/>
    <s v="601998"/>
    <s v="中信银行"/>
    <n v="1700"/>
    <n v="1700"/>
    <n v="5.2080000000000002"/>
    <n v="2281.67"/>
    <n v="25.77"/>
    <n v="11135"/>
    <n v="6.55"/>
  </r>
  <r>
    <x v="247"/>
    <s v="603116"/>
    <s v="红蜻蜓"/>
    <n v="5500"/>
    <n v="5500"/>
    <n v="16.326000000000001"/>
    <n v="-10263.6"/>
    <n v="-11.43"/>
    <n v="79530"/>
    <n v="14.46"/>
  </r>
  <r>
    <x v="247"/>
    <s v="000402"/>
    <s v="金 融 街"/>
    <n v="17800"/>
    <n v="17800"/>
    <n v="9.3249999999999993"/>
    <n v="-7914.31"/>
    <n v="-4.7699999999999996"/>
    <n v="158064"/>
    <n v="8.8800000000000008"/>
  </r>
  <r>
    <x v="247"/>
    <s v="000415"/>
    <s v="渤海金控"/>
    <n v="4300"/>
    <n v="4300"/>
    <n v="5.9779999999999998"/>
    <n v="-595.27"/>
    <n v="-2.31"/>
    <n v="25112"/>
    <n v="5.84"/>
  </r>
  <r>
    <x v="247"/>
    <s v="000528"/>
    <s v="柳    工"/>
    <n v="100"/>
    <n v="100"/>
    <n v="-32.534999999999997"/>
    <n v="4247.5"/>
    <n v="0"/>
    <n v="994"/>
    <n v="9.94"/>
  </r>
  <r>
    <x v="247"/>
    <s v="000987"/>
    <s v="越秀金控"/>
    <n v="600"/>
    <n v="600"/>
    <n v="6.9409999999999998"/>
    <n v="1355.39"/>
    <n v="32.549999999999997"/>
    <n v="5520"/>
    <n v="9.1999999999999993"/>
  </r>
  <r>
    <x v="247"/>
    <s v="002006"/>
    <s v="精功科技"/>
    <n v="1400"/>
    <n v="1400"/>
    <n v="6.5970000000000004"/>
    <n v="410.54"/>
    <n v="4.4400000000000004"/>
    <n v="9646"/>
    <n v="6.89"/>
  </r>
  <r>
    <x v="247"/>
    <s v="002140"/>
    <s v="东华科技"/>
    <n v="11700"/>
    <n v="11700"/>
    <n v="11.583"/>
    <n v="-28698.27"/>
    <n v="-21.18"/>
    <n v="106821"/>
    <n v="9.1300000000000008"/>
  </r>
  <r>
    <x v="247"/>
    <s v="300701"/>
    <s v="森霸传感"/>
    <n v="100"/>
    <n v="100"/>
    <n v="-130.48500000000001"/>
    <n v="17454.5"/>
    <n v="0"/>
    <n v="4406"/>
    <n v="44.06"/>
  </r>
  <r>
    <x v="247"/>
    <s v="reserve"/>
    <s v="备用金"/>
    <m/>
    <m/>
    <m/>
    <m/>
    <m/>
    <n v="4204.57"/>
    <m/>
  </r>
  <r>
    <x v="248"/>
    <s v="519888"/>
    <s v="添富快线"/>
    <n v="5027975"/>
    <n v="5027975"/>
    <n v="8.9999999999999993E-3"/>
    <n v="3525.31"/>
    <n v="11.11"/>
    <n v="50279.75"/>
    <n v="0.01"/>
  </r>
  <r>
    <x v="248"/>
    <s v="600269"/>
    <s v="赣粤高速"/>
    <n v="3900"/>
    <n v="3900"/>
    <n v="5.0519999999999996"/>
    <n v="-1879.1"/>
    <n v="-9.5399999999999991"/>
    <n v="17823"/>
    <n v="4.57"/>
  </r>
  <r>
    <x v="248"/>
    <s v="601398"/>
    <s v="工商银行"/>
    <n v="100"/>
    <n v="100"/>
    <n v="-53.579000000000001"/>
    <n v="5948.9"/>
    <n v="0"/>
    <n v="591"/>
    <n v="5.91"/>
  </r>
  <r>
    <x v="248"/>
    <s v="601998"/>
    <s v="中信银行"/>
    <n v="1700"/>
    <n v="1700"/>
    <n v="5.2080000000000002"/>
    <n v="2247.67"/>
    <n v="25.39"/>
    <n v="11101"/>
    <n v="6.53"/>
  </r>
  <r>
    <x v="248"/>
    <s v="603116"/>
    <s v="红蜻蜓"/>
    <n v="5500"/>
    <n v="5500"/>
    <n v="16.326000000000001"/>
    <n v="-9658.6"/>
    <n v="-10.75"/>
    <n v="80135"/>
    <n v="14.57"/>
  </r>
  <r>
    <x v="248"/>
    <s v="000402"/>
    <s v="金 融 街"/>
    <n v="18300"/>
    <n v="17800"/>
    <n v="9.3109999999999999"/>
    <n v="-10258.31"/>
    <n v="-6.02"/>
    <n v="160125"/>
    <n v="8.75"/>
  </r>
  <r>
    <x v="248"/>
    <s v="000415"/>
    <s v="渤海金控"/>
    <n v="4300"/>
    <n v="4300"/>
    <n v="5.9779999999999998"/>
    <n v="-595.27"/>
    <n v="-2.31"/>
    <n v="25112"/>
    <n v="5.84"/>
  </r>
  <r>
    <x v="248"/>
    <s v="000528"/>
    <s v="柳    工"/>
    <n v="100"/>
    <n v="100"/>
    <n v="-32.534999999999997"/>
    <n v="4244.5"/>
    <n v="0"/>
    <n v="991"/>
    <n v="9.91"/>
  </r>
  <r>
    <x v="248"/>
    <s v="000987"/>
    <s v="越秀金控"/>
    <n v="600"/>
    <n v="600"/>
    <n v="6.9409999999999998"/>
    <n v="1391.39"/>
    <n v="33.409999999999997"/>
    <n v="5556"/>
    <n v="9.26"/>
  </r>
  <r>
    <x v="248"/>
    <s v="002006"/>
    <s v="精功科技"/>
    <n v="600"/>
    <n v="600"/>
    <n v="5.9850000000000003"/>
    <n v="644.88"/>
    <n v="17.96"/>
    <n v="4236"/>
    <n v="7.06"/>
  </r>
  <r>
    <x v="248"/>
    <s v="002140"/>
    <s v="东华科技"/>
    <n v="11700"/>
    <n v="11700"/>
    <n v="11.583"/>
    <n v="-28581.27"/>
    <n v="-21.09"/>
    <n v="106938"/>
    <n v="9.14"/>
  </r>
  <r>
    <x v="248"/>
    <s v="300701"/>
    <s v="森霸传感"/>
    <n v="100"/>
    <n v="100"/>
    <n v="-130.48500000000001"/>
    <n v="17386.5"/>
    <n v="0"/>
    <n v="4338"/>
    <n v="43.38"/>
  </r>
  <r>
    <x v="248"/>
    <s v="reserve"/>
    <s v="备用金"/>
    <m/>
    <m/>
    <m/>
    <m/>
    <m/>
    <n v="5443.91"/>
    <m/>
  </r>
  <r>
    <x v="249"/>
    <s v="519888"/>
    <s v="添富快线"/>
    <n v="5028405"/>
    <n v="5028405"/>
    <n v="8.9999999999999993E-3"/>
    <n v="3529.61"/>
    <n v="11.11"/>
    <n v="50284.05"/>
    <n v="0.01"/>
  </r>
  <r>
    <x v="249"/>
    <s v="600269"/>
    <s v="赣粤高速"/>
    <n v="3900"/>
    <n v="3900"/>
    <n v="5.0519999999999996"/>
    <n v="-1684.1"/>
    <n v="-8.5500000000000007"/>
    <n v="18018"/>
    <n v="4.62"/>
  </r>
  <r>
    <x v="249"/>
    <s v="601398"/>
    <s v="工商银行"/>
    <n v="100"/>
    <n v="100"/>
    <n v="-53.579000000000001"/>
    <n v="5952.9"/>
    <n v="0"/>
    <n v="595"/>
    <n v="5.95"/>
  </r>
  <r>
    <x v="249"/>
    <s v="601998"/>
    <s v="中信银行"/>
    <n v="1700"/>
    <n v="1700"/>
    <n v="5.2080000000000002"/>
    <n v="2315.67"/>
    <n v="26.15"/>
    <n v="11169"/>
    <n v="6.57"/>
  </r>
  <r>
    <x v="249"/>
    <s v="603116"/>
    <s v="红蜻蜓"/>
    <n v="5100"/>
    <n v="5100"/>
    <n v="16.452000000000002"/>
    <n v="-8883.6200000000008"/>
    <n v="-10.59"/>
    <n v="75021"/>
    <n v="14.71"/>
  </r>
  <r>
    <x v="249"/>
    <s v="000402"/>
    <s v="金 融 街"/>
    <n v="18300"/>
    <n v="18300"/>
    <n v="9.3109999999999999"/>
    <n v="-7879.31"/>
    <n v="-4.63"/>
    <n v="162504"/>
    <n v="8.8800000000000008"/>
  </r>
  <r>
    <x v="249"/>
    <s v="000415"/>
    <s v="渤海金控"/>
    <n v="4300"/>
    <n v="4300"/>
    <n v="5.9779999999999998"/>
    <n v="-595.27"/>
    <n v="-2.31"/>
    <n v="25112"/>
    <n v="5.84"/>
  </r>
  <r>
    <x v="249"/>
    <s v="000528"/>
    <s v="柳    工"/>
    <n v="100"/>
    <n v="100"/>
    <n v="-32.534999999999997"/>
    <n v="4251.5"/>
    <n v="0"/>
    <n v="998"/>
    <n v="9.98"/>
  </r>
  <r>
    <x v="249"/>
    <s v="000987"/>
    <s v="越秀金控"/>
    <n v="600"/>
    <n v="600"/>
    <n v="6.9409999999999998"/>
    <n v="1451.39"/>
    <n v="34.85"/>
    <n v="5616"/>
    <n v="9.36"/>
  </r>
  <r>
    <x v="249"/>
    <s v="002006"/>
    <s v="精功科技"/>
    <n v="600"/>
    <n v="600"/>
    <n v="5.9850000000000003"/>
    <n v="704.88"/>
    <n v="19.63"/>
    <n v="4296"/>
    <n v="7.16"/>
  </r>
  <r>
    <x v="249"/>
    <s v="002140"/>
    <s v="东华科技"/>
    <n v="11300"/>
    <n v="11300"/>
    <n v="11.66"/>
    <n v="-26331.040000000001"/>
    <n v="-19.98"/>
    <n v="105429"/>
    <n v="9.33"/>
  </r>
  <r>
    <x v="249"/>
    <s v="300701"/>
    <s v="森霸传感"/>
    <n v="100"/>
    <n v="100"/>
    <n v="-130.48500000000001"/>
    <n v="17536.5"/>
    <n v="0"/>
    <n v="4488"/>
    <n v="44.88"/>
  </r>
  <r>
    <x v="249"/>
    <s v="reserve"/>
    <s v="备用金"/>
    <m/>
    <m/>
    <m/>
    <m/>
    <m/>
    <n v="15092.12"/>
    <m/>
  </r>
  <r>
    <x v="250"/>
    <s v="519888"/>
    <s v="添富快线"/>
    <n v="7029703"/>
    <n v="5029703"/>
    <n v="8.9999999999999993E-3"/>
    <n v="3542.59"/>
    <n v="11.11"/>
    <n v="70297.03"/>
    <n v="0.01"/>
  </r>
  <r>
    <x v="250"/>
    <s v="600269"/>
    <s v="赣粤高速"/>
    <n v="3900"/>
    <n v="3900"/>
    <n v="5.0519999999999996"/>
    <n v="-1606.1"/>
    <n v="-8.15"/>
    <n v="18096"/>
    <n v="4.6399999999999997"/>
  </r>
  <r>
    <x v="250"/>
    <s v="601398"/>
    <s v="工商银行"/>
    <n v="100"/>
    <n v="100"/>
    <n v="-53.579000000000001"/>
    <n v="5955.9"/>
    <n v="0"/>
    <n v="598"/>
    <n v="5.98"/>
  </r>
  <r>
    <x v="250"/>
    <s v="601998"/>
    <s v="中信银行"/>
    <n v="1300"/>
    <n v="1300"/>
    <n v="4.7699999999999996"/>
    <n v="2443.96"/>
    <n v="39.409999999999997"/>
    <n v="8645"/>
    <n v="6.65"/>
  </r>
  <r>
    <x v="250"/>
    <s v="603116"/>
    <s v="红蜻蜓"/>
    <n v="5100"/>
    <n v="5100"/>
    <n v="16.452000000000002"/>
    <n v="-8832.6200000000008"/>
    <n v="-10.53"/>
    <n v="75072"/>
    <n v="14.72"/>
  </r>
  <r>
    <x v="250"/>
    <s v="000402"/>
    <s v="金 融 街"/>
    <n v="17500"/>
    <n v="17500"/>
    <n v="9.3249999999999993"/>
    <n v="-6042.52"/>
    <n v="-3.7"/>
    <n v="157150"/>
    <n v="8.98"/>
  </r>
  <r>
    <x v="250"/>
    <s v="000415"/>
    <s v="渤海金控"/>
    <n v="4300"/>
    <n v="4300"/>
    <n v="5.9779999999999998"/>
    <n v="-595.27"/>
    <n v="-2.31"/>
    <n v="25112"/>
    <n v="5.84"/>
  </r>
  <r>
    <x v="250"/>
    <s v="000528"/>
    <s v="柳    工"/>
    <n v="100"/>
    <n v="100"/>
    <n v="-32.534999999999997"/>
    <n v="4253.5"/>
    <n v="0"/>
    <n v="1000"/>
    <n v="10"/>
  </r>
  <r>
    <x v="250"/>
    <s v="000987"/>
    <s v="越秀金控"/>
    <n v="600"/>
    <n v="600"/>
    <n v="6.9409999999999998"/>
    <n v="1553.39"/>
    <n v="37.299999999999997"/>
    <n v="5718"/>
    <n v="9.5299999999999994"/>
  </r>
  <r>
    <x v="250"/>
    <s v="002006"/>
    <s v="精功科技"/>
    <n v="600"/>
    <n v="600"/>
    <n v="5.9850000000000003"/>
    <n v="638.88"/>
    <n v="17.8"/>
    <n v="4230"/>
    <n v="7.05"/>
  </r>
  <r>
    <x v="250"/>
    <s v="002140"/>
    <s v="东华科技"/>
    <n v="11300"/>
    <n v="11300"/>
    <n v="11.66"/>
    <n v="-24749.040000000001"/>
    <n v="-18.78"/>
    <n v="107011"/>
    <n v="9.4700000000000006"/>
  </r>
  <r>
    <x v="250"/>
    <s v="300701"/>
    <s v="森霸传感"/>
    <n v="100"/>
    <n v="100"/>
    <n v="-130.48500000000001"/>
    <n v="17486.5"/>
    <n v="0"/>
    <n v="4438"/>
    <n v="44.38"/>
  </r>
  <r>
    <x v="250"/>
    <s v="reserve"/>
    <s v="备用金"/>
    <m/>
    <m/>
    <m/>
    <m/>
    <m/>
    <n v="4935.2"/>
    <m/>
  </r>
  <r>
    <x v="251"/>
    <s v="519888"/>
    <s v="添富快线"/>
    <n v="7030678"/>
    <n v="7030678"/>
    <n v="8.9999999999999993E-3"/>
    <n v="3552.34"/>
    <n v="11.11"/>
    <n v="70306.78"/>
    <n v="0.01"/>
  </r>
  <r>
    <x v="251"/>
    <s v="600269"/>
    <s v="赣粤高速"/>
    <n v="3900"/>
    <n v="3900"/>
    <n v="5.0519999999999996"/>
    <n v="-1645.1"/>
    <n v="-8.35"/>
    <n v="18057"/>
    <n v="4.63"/>
  </r>
  <r>
    <x v="251"/>
    <s v="601398"/>
    <s v="工商银行"/>
    <n v="100"/>
    <n v="100"/>
    <n v="-53.579000000000001"/>
    <n v="5956.9"/>
    <n v="0"/>
    <n v="599"/>
    <n v="5.99"/>
  </r>
  <r>
    <x v="251"/>
    <s v="601998"/>
    <s v="中信银行"/>
    <n v="1300"/>
    <n v="1300"/>
    <n v="4.7699999999999996"/>
    <n v="2352.96"/>
    <n v="37.950000000000003"/>
    <n v="8554"/>
    <n v="6.58"/>
  </r>
  <r>
    <x v="251"/>
    <s v="603116"/>
    <s v="红蜻蜓"/>
    <n v="5100"/>
    <n v="5100"/>
    <n v="16.452000000000002"/>
    <n v="-7761.62"/>
    <n v="-9.25"/>
    <n v="76143"/>
    <n v="14.93"/>
  </r>
  <r>
    <x v="251"/>
    <s v="000402"/>
    <s v="金 融 街"/>
    <n v="18000"/>
    <n v="18000"/>
    <n v="9.3140000000000001"/>
    <n v="-6912.52"/>
    <n v="-4.12"/>
    <n v="160740"/>
    <n v="8.93"/>
  </r>
  <r>
    <x v="251"/>
    <s v="000415"/>
    <s v="渤海金控"/>
    <n v="4300"/>
    <n v="4300"/>
    <n v="5.9779999999999998"/>
    <n v="-595.27"/>
    <n v="-2.31"/>
    <n v="25112"/>
    <n v="5.84"/>
  </r>
  <r>
    <x v="251"/>
    <s v="000528"/>
    <s v="柳    工"/>
    <n v="100"/>
    <n v="100"/>
    <n v="-32.534999999999997"/>
    <n v="4251.5"/>
    <n v="0"/>
    <n v="998"/>
    <n v="9.98"/>
  </r>
  <r>
    <x v="251"/>
    <s v="000987"/>
    <s v="越秀金控"/>
    <n v="600"/>
    <n v="600"/>
    <n v="6.9409999999999998"/>
    <n v="1559.39"/>
    <n v="37.450000000000003"/>
    <n v="5724"/>
    <n v="9.5399999999999991"/>
  </r>
  <r>
    <x v="251"/>
    <s v="002006"/>
    <s v="精功科技"/>
    <n v="600"/>
    <n v="600"/>
    <n v="5.9850000000000003"/>
    <n v="734.88"/>
    <n v="20.47"/>
    <n v="4326"/>
    <n v="7.21"/>
  </r>
  <r>
    <x v="251"/>
    <s v="002140"/>
    <s v="东华科技"/>
    <n v="10900"/>
    <n v="10900"/>
    <n v="11.734999999999999"/>
    <n v="-21637.9"/>
    <n v="-16.91"/>
    <n v="106275"/>
    <n v="9.75"/>
  </r>
  <r>
    <x v="251"/>
    <s v="300701"/>
    <s v="森霸传感"/>
    <n v="100"/>
    <n v="100"/>
    <n v="-130.48500000000001"/>
    <n v="17532.5"/>
    <n v="0"/>
    <n v="4484"/>
    <n v="44.84"/>
  </r>
  <r>
    <x v="251"/>
    <s v="reserve"/>
    <s v="备用金"/>
    <m/>
    <m/>
    <m/>
    <m/>
    <m/>
    <n v="4322.34"/>
    <m/>
  </r>
  <r>
    <x v="252"/>
    <s v="519888"/>
    <s v="添富快线"/>
    <n v="7031897"/>
    <n v="7031897"/>
    <n v="8.9999999999999993E-3"/>
    <n v="3564.53"/>
    <n v="11.11"/>
    <n v="70318.97"/>
    <n v="0.01"/>
  </r>
  <r>
    <x v="252"/>
    <s v="600269"/>
    <s v="赣粤高速"/>
    <n v="3900"/>
    <n v="3900"/>
    <n v="5.0519999999999996"/>
    <n v="-1723.1"/>
    <n v="-8.75"/>
    <n v="17979"/>
    <n v="4.6100000000000003"/>
  </r>
  <r>
    <x v="252"/>
    <s v="601398"/>
    <s v="工商银行"/>
    <n v="100"/>
    <n v="100"/>
    <n v="-53.579000000000001"/>
    <n v="5964.9"/>
    <n v="0"/>
    <n v="607"/>
    <n v="6.07"/>
  </r>
  <r>
    <x v="252"/>
    <s v="601998"/>
    <s v="中信银行"/>
    <n v="1300"/>
    <n v="1300"/>
    <n v="4.7699999999999996"/>
    <n v="2573.96"/>
    <n v="41.51"/>
    <n v="8775"/>
    <n v="6.75"/>
  </r>
  <r>
    <x v="252"/>
    <s v="603116"/>
    <s v="红蜻蜓"/>
    <n v="5100"/>
    <n v="5100"/>
    <n v="16.452000000000002"/>
    <n v="-9036.6200000000008"/>
    <n v="-10.77"/>
    <n v="74868"/>
    <n v="14.68"/>
  </r>
  <r>
    <x v="252"/>
    <s v="000402"/>
    <s v="金 融 街"/>
    <n v="18000"/>
    <n v="17600"/>
    <n v="9.3140000000000001"/>
    <n v="-5652.52"/>
    <n v="-3.37"/>
    <n v="162000"/>
    <n v="9"/>
  </r>
  <r>
    <x v="252"/>
    <s v="000415"/>
    <s v="渤海金控"/>
    <n v="4300"/>
    <n v="4300"/>
    <n v="5.9779999999999998"/>
    <n v="-595.27"/>
    <n v="-2.31"/>
    <n v="25112"/>
    <n v="5.84"/>
  </r>
  <r>
    <x v="252"/>
    <s v="000528"/>
    <s v="柳    工"/>
    <n v="200"/>
    <n v="100"/>
    <n v="-11.378"/>
    <n v="4185.6000000000004"/>
    <n v="0"/>
    <n v="1910"/>
    <n v="9.5500000000000007"/>
  </r>
  <r>
    <x v="252"/>
    <s v="000987"/>
    <s v="越秀金控"/>
    <n v="600"/>
    <n v="600"/>
    <n v="6.9409999999999998"/>
    <n v="1403.39"/>
    <n v="33.700000000000003"/>
    <n v="5568"/>
    <n v="9.2799999999999994"/>
  </r>
  <r>
    <x v="252"/>
    <s v="002006"/>
    <s v="精功科技"/>
    <n v="600"/>
    <n v="600"/>
    <n v="5.9850000000000003"/>
    <n v="548.88"/>
    <n v="15.29"/>
    <n v="4140"/>
    <n v="6.9"/>
  </r>
  <r>
    <x v="252"/>
    <s v="002140"/>
    <s v="东华科技"/>
    <n v="10900"/>
    <n v="10900"/>
    <n v="11.734999999999999"/>
    <n v="-25779.9"/>
    <n v="-20.149999999999999"/>
    <n v="102133"/>
    <n v="9.3699999999999992"/>
  </r>
  <r>
    <x v="252"/>
    <s v="300701"/>
    <s v="森霸传感"/>
    <n v="100"/>
    <n v="100"/>
    <n v="-130.48500000000001"/>
    <n v="17240.5"/>
    <n v="0"/>
    <n v="4192"/>
    <n v="41.92"/>
  </r>
  <r>
    <x v="252"/>
    <s v="reserve"/>
    <s v="备用金"/>
    <m/>
    <m/>
    <m/>
    <m/>
    <m/>
    <n v="3344.34"/>
    <m/>
  </r>
  <r>
    <x v="253"/>
    <s v="519888"/>
    <s v="添富快线"/>
    <n v="7033563"/>
    <n v="7033563"/>
    <n v="8.9999999999999993E-3"/>
    <n v="3581.19"/>
    <n v="11.11"/>
    <n v="70335.63"/>
    <n v="0.01"/>
  </r>
  <r>
    <x v="253"/>
    <s v="600269"/>
    <s v="赣粤高速"/>
    <n v="3900"/>
    <n v="3900"/>
    <n v="5.0519999999999996"/>
    <n v="-1645.1"/>
    <n v="-8.35"/>
    <n v="18057"/>
    <n v="4.63"/>
  </r>
  <r>
    <x v="253"/>
    <s v="601398"/>
    <s v="工商银行"/>
    <n v="100"/>
    <n v="100"/>
    <n v="-53.579000000000001"/>
    <n v="5966.9"/>
    <n v="0"/>
    <n v="609"/>
    <n v="6.09"/>
  </r>
  <r>
    <x v="253"/>
    <s v="601998"/>
    <s v="中信银行"/>
    <n v="1300"/>
    <n v="1300"/>
    <n v="4.7699999999999996"/>
    <n v="2508.96"/>
    <n v="40.46"/>
    <n v="8710"/>
    <n v="6.7"/>
  </r>
  <r>
    <x v="253"/>
    <s v="603116"/>
    <s v="红蜻蜓"/>
    <n v="5100"/>
    <n v="5100"/>
    <n v="16.452000000000002"/>
    <n v="-7659.62"/>
    <n v="-9.1300000000000008"/>
    <n v="76245"/>
    <n v="14.95"/>
  </r>
  <r>
    <x v="253"/>
    <s v="000402"/>
    <s v="金 融 街"/>
    <n v="18000"/>
    <n v="17600"/>
    <n v="9.3140000000000001"/>
    <n v="-5112.5200000000004"/>
    <n v="-3.05"/>
    <n v="162540"/>
    <n v="9.0299999999999994"/>
  </r>
  <r>
    <x v="253"/>
    <s v="000415"/>
    <s v="渤海金控"/>
    <n v="4300"/>
    <n v="4300"/>
    <n v="5.9779999999999998"/>
    <n v="-595.27"/>
    <n v="-2.31"/>
    <n v="25112"/>
    <n v="5.84"/>
  </r>
  <r>
    <x v="253"/>
    <s v="000528"/>
    <s v="柳    工"/>
    <n v="100"/>
    <n v="100"/>
    <n v="-33.115000000000002"/>
    <n v="4362.5"/>
    <n v="0"/>
    <n v="1051"/>
    <n v="10.51"/>
  </r>
  <r>
    <x v="253"/>
    <s v="000987"/>
    <s v="越秀金控"/>
    <n v="600"/>
    <n v="600"/>
    <n v="6.9409999999999998"/>
    <n v="1289.3900000000001"/>
    <n v="30.96"/>
    <n v="5454"/>
    <n v="9.09"/>
  </r>
  <r>
    <x v="253"/>
    <s v="002006"/>
    <s v="精功科技"/>
    <n v="600"/>
    <n v="600"/>
    <n v="5.9850000000000003"/>
    <n v="602.88"/>
    <n v="16.79"/>
    <n v="4194"/>
    <n v="6.99"/>
  </r>
  <r>
    <x v="253"/>
    <s v="002140"/>
    <s v="东华科技"/>
    <n v="10900"/>
    <n v="10900"/>
    <n v="11.734999999999999"/>
    <n v="-24689.9"/>
    <n v="-19.3"/>
    <n v="103223"/>
    <n v="9.4700000000000006"/>
  </r>
  <r>
    <x v="253"/>
    <s v="300701"/>
    <s v="森霸传感"/>
    <n v="100"/>
    <n v="100"/>
    <n v="-130.48500000000001"/>
    <n v="17315.5"/>
    <n v="0"/>
    <n v="4267"/>
    <n v="42.67"/>
  </r>
  <r>
    <x v="253"/>
    <s v="reserve"/>
    <s v="备用金"/>
    <m/>
    <m/>
    <m/>
    <m/>
    <m/>
    <n v="4380.3"/>
    <m/>
  </r>
  <r>
    <x v="254"/>
    <s v="519888"/>
    <s v="添富快线"/>
    <n v="7034738"/>
    <n v="7034738"/>
    <n v="8.9999999999999993E-3"/>
    <n v="3592.94"/>
    <n v="11.11"/>
    <n v="70347.38"/>
    <n v="0.01"/>
  </r>
  <r>
    <x v="254"/>
    <s v="600269"/>
    <s v="赣粤高速"/>
    <n v="3900"/>
    <n v="3900"/>
    <n v="5.0519999999999996"/>
    <n v="-1801.1"/>
    <n v="-9.14"/>
    <n v="17901"/>
    <n v="4.59"/>
  </r>
  <r>
    <x v="254"/>
    <s v="601398"/>
    <s v="工商银行"/>
    <n v="100"/>
    <n v="100"/>
    <n v="-53.579000000000001"/>
    <n v="5954.9"/>
    <n v="0"/>
    <n v="597"/>
    <n v="5.97"/>
  </r>
  <r>
    <x v="254"/>
    <s v="601998"/>
    <s v="中信银行"/>
    <n v="1300"/>
    <n v="1300"/>
    <n v="4.7699999999999996"/>
    <n v="2365.96"/>
    <n v="38.159999999999997"/>
    <n v="8567"/>
    <n v="6.59"/>
  </r>
  <r>
    <x v="254"/>
    <s v="603116"/>
    <s v="红蜻蜓"/>
    <n v="3900"/>
    <n v="3900"/>
    <n v="16.843"/>
    <n v="-5509.23"/>
    <n v="-8.39"/>
    <n v="60177"/>
    <n v="15.43"/>
  </r>
  <r>
    <x v="254"/>
    <s v="000402"/>
    <s v="金 融 街"/>
    <n v="17600"/>
    <n v="17600"/>
    <n v="9.3179999999999996"/>
    <n v="-2785.18"/>
    <n v="-1.69"/>
    <n v="161216"/>
    <n v="9.16"/>
  </r>
  <r>
    <x v="254"/>
    <s v="000415"/>
    <s v="渤海金控"/>
    <n v="4300"/>
    <n v="4300"/>
    <n v="5.9779999999999998"/>
    <n v="-595.27"/>
    <n v="-2.31"/>
    <n v="25112"/>
    <n v="5.84"/>
  </r>
  <r>
    <x v="254"/>
    <s v="000528"/>
    <s v="柳    工"/>
    <n v="100"/>
    <n v="100"/>
    <n v="-33.115000000000002"/>
    <n v="4368.5"/>
    <n v="0"/>
    <n v="1057"/>
    <n v="10.57"/>
  </r>
  <r>
    <x v="254"/>
    <s v="000987"/>
    <s v="越秀金控"/>
    <n v="600"/>
    <n v="600"/>
    <n v="6.9409999999999998"/>
    <n v="1217.3900000000001"/>
    <n v="29.23"/>
    <n v="5382"/>
    <n v="8.9700000000000006"/>
  </r>
  <r>
    <x v="254"/>
    <s v="002006"/>
    <s v="精功科技"/>
    <n v="1100"/>
    <n v="1100"/>
    <n v="6.3959999999999999"/>
    <n v="421.88"/>
    <n v="6"/>
    <n v="7458"/>
    <n v="6.78"/>
  </r>
  <r>
    <x v="254"/>
    <s v="002140"/>
    <s v="东华科技"/>
    <n v="11400"/>
    <n v="11400"/>
    <n v="11.632"/>
    <n v="-25784.9"/>
    <n v="-19.45"/>
    <n v="106818"/>
    <n v="9.3699999999999992"/>
  </r>
  <r>
    <x v="254"/>
    <s v="300701"/>
    <s v="森霸传感"/>
    <n v="100"/>
    <n v="100"/>
    <n v="-130.48500000000001"/>
    <n v="17418.5"/>
    <n v="0"/>
    <n v="4370"/>
    <n v="43.7"/>
  </r>
  <r>
    <x v="254"/>
    <s v="reserve"/>
    <s v="备用金"/>
    <m/>
    <m/>
    <m/>
    <m/>
    <m/>
    <n v="18115.03"/>
    <m/>
  </r>
  <r>
    <x v="255"/>
    <s v="519888"/>
    <s v="添富快线"/>
    <n v="7035314"/>
    <n v="7035314"/>
    <n v="8.9999999999999993E-3"/>
    <n v="3598.7"/>
    <n v="11.11"/>
    <n v="70353.14"/>
    <n v="0.01"/>
  </r>
  <r>
    <x v="255"/>
    <s v="600269"/>
    <s v="赣粤高速"/>
    <n v="3900"/>
    <n v="3900"/>
    <n v="5.0519999999999996"/>
    <n v="-1684.1"/>
    <n v="-8.5500000000000007"/>
    <n v="18018"/>
    <n v="4.62"/>
  </r>
  <r>
    <x v="255"/>
    <s v="601398"/>
    <s v="工商银行"/>
    <n v="100"/>
    <n v="100"/>
    <n v="-53.579000000000001"/>
    <n v="5962.9"/>
    <n v="0"/>
    <n v="605"/>
    <n v="6.05"/>
  </r>
  <r>
    <x v="255"/>
    <s v="601998"/>
    <s v="中信银行"/>
    <n v="1300"/>
    <n v="1300"/>
    <n v="4.7699999999999996"/>
    <n v="2560.96"/>
    <n v="41.3"/>
    <n v="8762"/>
    <n v="6.74"/>
  </r>
  <r>
    <x v="255"/>
    <s v="603116"/>
    <s v="红蜻蜓"/>
    <n v="3900"/>
    <n v="3900"/>
    <n v="16.843"/>
    <n v="-5899.23"/>
    <n v="-8.98"/>
    <n v="59787"/>
    <n v="15.33"/>
  </r>
  <r>
    <x v="255"/>
    <s v="000402"/>
    <s v="金 融 街"/>
    <n v="16800"/>
    <n v="16400"/>
    <n v="9.3219999999999992"/>
    <n v="133.41"/>
    <n v="0.09"/>
    <n v="156744"/>
    <n v="9.33"/>
  </r>
  <r>
    <x v="255"/>
    <s v="000415"/>
    <s v="渤海金控"/>
    <n v="4300"/>
    <n v="4300"/>
    <n v="5.9779999999999998"/>
    <n v="-595.27"/>
    <n v="-2.31"/>
    <n v="25112"/>
    <n v="5.84"/>
  </r>
  <r>
    <x v="255"/>
    <s v="000528"/>
    <s v="柳    工"/>
    <n v="100"/>
    <n v="100"/>
    <n v="-33.115000000000002"/>
    <n v="4356.5"/>
    <n v="0"/>
    <n v="1045"/>
    <n v="10.45"/>
  </r>
  <r>
    <x v="255"/>
    <s v="000987"/>
    <s v="越秀金控"/>
    <n v="600"/>
    <n v="600"/>
    <n v="6.9409999999999998"/>
    <n v="1235.3900000000001"/>
    <n v="29.67"/>
    <n v="5400"/>
    <n v="9"/>
  </r>
  <r>
    <x v="255"/>
    <s v="002006"/>
    <s v="精功科技"/>
    <n v="1100"/>
    <n v="1100"/>
    <n v="6.3959999999999999"/>
    <n v="509.88"/>
    <n v="7.26"/>
    <n v="7546"/>
    <n v="6.86"/>
  </r>
  <r>
    <x v="255"/>
    <s v="002140"/>
    <s v="东华科技"/>
    <n v="11000"/>
    <n v="10600"/>
    <n v="11.702"/>
    <n v="-21253.79"/>
    <n v="-16.510000000000002"/>
    <n v="107470"/>
    <n v="9.77"/>
  </r>
  <r>
    <x v="255"/>
    <s v="300701"/>
    <s v="森霸传感"/>
    <n v="100"/>
    <n v="100"/>
    <n v="-130.48500000000001"/>
    <n v="17525.5"/>
    <n v="0"/>
    <n v="4477"/>
    <n v="44.77"/>
  </r>
  <r>
    <x v="255"/>
    <s v="reserve"/>
    <s v="备用金"/>
    <m/>
    <m/>
    <m/>
    <m/>
    <m/>
    <n v="29384.73"/>
    <m/>
  </r>
  <r>
    <x v="256"/>
    <s v="519888"/>
    <s v="添富快线"/>
    <n v="10000030"/>
    <n v="7035930"/>
    <n v="0.01"/>
    <n v="3604.86"/>
    <n v="0"/>
    <n v="100000.3"/>
    <n v="0.01"/>
  </r>
  <r>
    <x v="256"/>
    <s v="600269"/>
    <s v="赣粤高速"/>
    <n v="3900"/>
    <n v="3900"/>
    <n v="5.0519999999999996"/>
    <n v="-1528.1"/>
    <n v="-7.76"/>
    <n v="18174"/>
    <n v="4.66"/>
  </r>
  <r>
    <x v="256"/>
    <s v="601398"/>
    <s v="工商银行"/>
    <n v="100"/>
    <n v="100"/>
    <n v="-53.579000000000001"/>
    <n v="5960.9"/>
    <n v="0"/>
    <n v="603"/>
    <n v="6.03"/>
  </r>
  <r>
    <x v="256"/>
    <s v="601998"/>
    <s v="中信银行"/>
    <n v="1300"/>
    <n v="1300"/>
    <n v="4.7699999999999996"/>
    <n v="2560.96"/>
    <n v="41.3"/>
    <n v="8762"/>
    <n v="6.74"/>
  </r>
  <r>
    <x v="256"/>
    <s v="603116"/>
    <s v="红蜻蜓"/>
    <n v="3900"/>
    <n v="3900"/>
    <n v="16.843"/>
    <n v="-5353.23"/>
    <n v="-8.15"/>
    <n v="60333"/>
    <n v="15.47"/>
  </r>
  <r>
    <x v="256"/>
    <s v="000402"/>
    <s v="金 融 街"/>
    <n v="16400"/>
    <n v="16400"/>
    <n v="9.3209999999999997"/>
    <n v="1292.6600000000001"/>
    <n v="0.85"/>
    <n v="154160"/>
    <n v="9.4"/>
  </r>
  <r>
    <x v="256"/>
    <s v="000415"/>
    <s v="渤海金控"/>
    <n v="4300"/>
    <n v="4300"/>
    <n v="5.9779999999999998"/>
    <n v="-595.27"/>
    <n v="-2.31"/>
    <n v="25112"/>
    <n v="5.84"/>
  </r>
  <r>
    <x v="256"/>
    <s v="000528"/>
    <s v="柳    工"/>
    <n v="100"/>
    <n v="100"/>
    <n v="-33.115000000000002"/>
    <n v="4385.5"/>
    <n v="0"/>
    <n v="1074"/>
    <n v="10.74"/>
  </r>
  <r>
    <x v="256"/>
    <s v="000987"/>
    <s v="越秀金控"/>
    <n v="200"/>
    <n v="200"/>
    <n v="2.1669999999999998"/>
    <n v="1412.65"/>
    <n v="325.94"/>
    <n v="1846"/>
    <n v="9.23"/>
  </r>
  <r>
    <x v="256"/>
    <s v="002006"/>
    <s v="精功科技"/>
    <n v="1100"/>
    <n v="1100"/>
    <n v="6.3959999999999999"/>
    <n v="531.88"/>
    <n v="7.57"/>
    <n v="7568"/>
    <n v="6.88"/>
  </r>
  <r>
    <x v="256"/>
    <s v="002140"/>
    <s v="东华科技"/>
    <n v="10600"/>
    <n v="10600"/>
    <n v="11.769"/>
    <n v="-19706.77"/>
    <n v="-15.79"/>
    <n v="105046"/>
    <n v="9.91"/>
  </r>
  <r>
    <x v="256"/>
    <s v="300701"/>
    <s v="森霸传感"/>
    <n v="100"/>
    <n v="100"/>
    <n v="-130.48500000000001"/>
    <n v="17691.5"/>
    <n v="0"/>
    <n v="4643"/>
    <n v="46.43"/>
  </r>
  <r>
    <x v="256"/>
    <s v="reserve"/>
    <s v="备用金"/>
    <m/>
    <m/>
    <m/>
    <m/>
    <m/>
    <n v="11189.26"/>
    <m/>
  </r>
  <r>
    <x v="257"/>
    <s v="519888"/>
    <s v="添富快线"/>
    <n v="9004165"/>
    <n v="9004165"/>
    <n v="0.01"/>
    <n v="3646.21"/>
    <n v="0"/>
    <n v="90041.65"/>
    <n v="0.01"/>
  </r>
  <r>
    <x v="257"/>
    <s v="600269"/>
    <s v="赣粤高速"/>
    <n v="3900"/>
    <n v="3900"/>
    <n v="5.0519999999999996"/>
    <n v="-1918.1"/>
    <n v="-9.74"/>
    <n v="17784"/>
    <n v="4.5599999999999996"/>
  </r>
  <r>
    <x v="257"/>
    <s v="601398"/>
    <s v="工商银行"/>
    <n v="100"/>
    <n v="100"/>
    <n v="-53.579000000000001"/>
    <n v="5931.9"/>
    <n v="0"/>
    <n v="574"/>
    <n v="5.74"/>
  </r>
  <r>
    <x v="257"/>
    <s v="601998"/>
    <s v="中信银行"/>
    <n v="1300"/>
    <n v="1300"/>
    <n v="4.7699999999999996"/>
    <n v="2313.96"/>
    <n v="37.32"/>
    <n v="8515"/>
    <n v="6.55"/>
  </r>
  <r>
    <x v="257"/>
    <s v="603116"/>
    <s v="红蜻蜓"/>
    <n v="4900"/>
    <n v="4400"/>
    <n v="16.486000000000001"/>
    <n v="-7281.53"/>
    <n v="-9.01"/>
    <n v="73500"/>
    <n v="15"/>
  </r>
  <r>
    <x v="257"/>
    <s v="000402"/>
    <s v="金 融 街"/>
    <n v="16500"/>
    <n v="16500"/>
    <n v="9.3179999999999996"/>
    <n v="-464.09"/>
    <n v="-0.3"/>
    <n v="153285"/>
    <n v="9.2899999999999991"/>
  </r>
  <r>
    <x v="257"/>
    <s v="000415"/>
    <s v="渤海金控"/>
    <n v="4300"/>
    <n v="4300"/>
    <n v="5.9779999999999998"/>
    <n v="-595.27"/>
    <n v="-2.31"/>
    <n v="25112"/>
    <n v="5.84"/>
  </r>
  <r>
    <x v="257"/>
    <s v="000528"/>
    <s v="柳    工"/>
    <n v="100"/>
    <n v="100"/>
    <n v="-33.115000000000002"/>
    <n v="4330.5"/>
    <n v="0"/>
    <n v="1019"/>
    <n v="10.19"/>
  </r>
  <r>
    <x v="257"/>
    <s v="000987"/>
    <s v="越秀金控"/>
    <n v="200"/>
    <n v="200"/>
    <n v="2.1669999999999998"/>
    <n v="1488.65"/>
    <n v="343.47"/>
    <n v="1922"/>
    <n v="9.61"/>
  </r>
  <r>
    <x v="257"/>
    <s v="002006"/>
    <s v="精功科技"/>
    <n v="1600"/>
    <n v="1100"/>
    <n v="6.444"/>
    <n v="168.88"/>
    <n v="1.65"/>
    <n v="10480"/>
    <n v="6.55"/>
  </r>
  <r>
    <x v="257"/>
    <s v="002140"/>
    <s v="东华科技"/>
    <n v="10600"/>
    <n v="10600"/>
    <n v="11.769"/>
    <n v="-22250.77"/>
    <n v="-17.829999999999998"/>
    <n v="102502"/>
    <n v="9.67"/>
  </r>
  <r>
    <x v="257"/>
    <s v="300701"/>
    <s v="森霸传感"/>
    <n v="100"/>
    <n v="100"/>
    <n v="-130.48500000000001"/>
    <n v="17605.5"/>
    <n v="0"/>
    <n v="4557"/>
    <n v="45.57"/>
  </r>
  <r>
    <x v="257"/>
    <s v="reserve"/>
    <s v="备用金"/>
    <m/>
    <m/>
    <m/>
    <m/>
    <m/>
    <n v="1937.21"/>
    <m/>
  </r>
  <r>
    <x v="258"/>
    <s v="519888"/>
    <s v="添富快线"/>
    <n v="6007994"/>
    <n v="6007994"/>
    <n v="8.9999999999999993E-3"/>
    <n v="3684.5"/>
    <n v="11.11"/>
    <n v="60079.94"/>
    <n v="0.01"/>
  </r>
  <r>
    <x v="258"/>
    <s v="600269"/>
    <s v="赣粤高速"/>
    <n v="3900"/>
    <n v="3900"/>
    <n v="5.0519999999999996"/>
    <n v="-2425.1"/>
    <n v="-12.31"/>
    <n v="17277"/>
    <n v="4.43"/>
  </r>
  <r>
    <x v="258"/>
    <s v="601398"/>
    <s v="工商银行"/>
    <n v="100"/>
    <n v="100"/>
    <n v="-53.579000000000001"/>
    <n v="5920.9"/>
    <n v="0"/>
    <n v="563"/>
    <n v="5.63"/>
  </r>
  <r>
    <x v="258"/>
    <s v="601998"/>
    <s v="中信银行"/>
    <n v="1800"/>
    <n v="1800"/>
    <n v="5.2450000000000001"/>
    <n v="2096.9"/>
    <n v="22.21"/>
    <n v="11538"/>
    <n v="6.41"/>
  </r>
  <r>
    <x v="258"/>
    <s v="603116"/>
    <s v="红蜻蜓"/>
    <n v="5900"/>
    <n v="4900"/>
    <n v="16.170000000000002"/>
    <n v="-10618.82"/>
    <n v="-11.13"/>
    <n v="84783"/>
    <n v="14.37"/>
  </r>
  <r>
    <x v="258"/>
    <s v="000402"/>
    <s v="金 融 街"/>
    <n v="17000"/>
    <n v="16500"/>
    <n v="9.3160000000000007"/>
    <n v="-2984.09"/>
    <n v="-1.89"/>
    <n v="155380"/>
    <n v="9.14"/>
  </r>
  <r>
    <x v="258"/>
    <s v="000415"/>
    <s v="渤海金控"/>
    <n v="4300"/>
    <n v="4300"/>
    <n v="5.9779999999999998"/>
    <n v="-595.27"/>
    <n v="-2.31"/>
    <n v="25112"/>
    <n v="5.84"/>
  </r>
  <r>
    <x v="258"/>
    <s v="000528"/>
    <s v="柳    工"/>
    <n v="100"/>
    <n v="100"/>
    <n v="-33.115000000000002"/>
    <n v="4269.5"/>
    <n v="0"/>
    <n v="958"/>
    <n v="9.58"/>
  </r>
  <r>
    <x v="258"/>
    <s v="000987"/>
    <s v="越秀金控"/>
    <n v="200"/>
    <n v="200"/>
    <n v="2.1669999999999998"/>
    <n v="1424.65"/>
    <n v="328.7"/>
    <n v="1858"/>
    <n v="9.2899999999999991"/>
  </r>
  <r>
    <x v="258"/>
    <s v="002006"/>
    <s v="精功科技"/>
    <n v="2100"/>
    <n v="1600"/>
    <n v="6.3979999999999997"/>
    <n v="-353.12"/>
    <n v="-2.62"/>
    <n v="13083"/>
    <n v="6.23"/>
  </r>
  <r>
    <x v="258"/>
    <s v="002140"/>
    <s v="东华科技"/>
    <n v="11100"/>
    <n v="10600"/>
    <n v="11.657"/>
    <n v="-28382.77"/>
    <n v="-21.93"/>
    <n v="101010"/>
    <n v="9.1"/>
  </r>
  <r>
    <x v="258"/>
    <s v="300701"/>
    <s v="森霸传感"/>
    <n v="100"/>
    <n v="100"/>
    <n v="-130.48500000000001"/>
    <n v="16855.5"/>
    <n v="0"/>
    <n v="3807"/>
    <n v="38.07"/>
  </r>
  <r>
    <x v="258"/>
    <s v="reserve"/>
    <s v="备用金"/>
    <m/>
    <m/>
    <m/>
    <m/>
    <m/>
    <n v="1696.86"/>
    <m/>
  </r>
  <r>
    <x v="259"/>
    <s v="519888"/>
    <s v="添富快线"/>
    <n v="6008600"/>
    <n v="6008600"/>
    <n v="8.9999999999999993E-3"/>
    <n v="3690.56"/>
    <n v="11.11"/>
    <n v="60086"/>
    <n v="0.01"/>
  </r>
  <r>
    <x v="259"/>
    <s v="600269"/>
    <s v="赣粤高速"/>
    <n v="3900"/>
    <n v="3900"/>
    <n v="5.0519999999999996"/>
    <n v="-2308.1"/>
    <n v="-11.72"/>
    <n v="17394"/>
    <n v="4.46"/>
  </r>
  <r>
    <x v="259"/>
    <s v="601398"/>
    <s v="工商银行"/>
    <n v="100"/>
    <n v="100"/>
    <n v="-53.579000000000001"/>
    <n v="5922.9"/>
    <n v="0"/>
    <n v="565"/>
    <n v="5.65"/>
  </r>
  <r>
    <x v="259"/>
    <s v="601998"/>
    <s v="中信银行"/>
    <n v="1800"/>
    <n v="1800"/>
    <n v="5.2450000000000001"/>
    <n v="2150.9"/>
    <n v="22.78"/>
    <n v="11592"/>
    <n v="6.44"/>
  </r>
  <r>
    <x v="259"/>
    <s v="603116"/>
    <s v="红蜻蜓"/>
    <n v="5100"/>
    <n v="5100"/>
    <n v="16.358000000000001"/>
    <n v="-6312.06"/>
    <n v="-7.57"/>
    <n v="77112"/>
    <n v="15.12"/>
  </r>
  <r>
    <x v="259"/>
    <s v="000402"/>
    <s v="金 融 街"/>
    <n v="17000"/>
    <n v="17000"/>
    <n v="9.3160000000000007"/>
    <n v="-1624.09"/>
    <n v="-1.03"/>
    <n v="156740"/>
    <n v="9.2200000000000006"/>
  </r>
  <r>
    <x v="259"/>
    <s v="000415"/>
    <s v="渤海金控"/>
    <n v="4300"/>
    <n v="4300"/>
    <n v="5.9779999999999998"/>
    <n v="-595.27"/>
    <n v="-2.31"/>
    <n v="25112"/>
    <n v="5.84"/>
  </r>
  <r>
    <x v="259"/>
    <s v="000528"/>
    <s v="柳    工"/>
    <n v="100"/>
    <n v="100"/>
    <n v="-33.115000000000002"/>
    <n v="4269.5"/>
    <n v="0"/>
    <n v="958"/>
    <n v="9.58"/>
  </r>
  <r>
    <x v="259"/>
    <s v="000987"/>
    <s v="越秀金控"/>
    <n v="200"/>
    <n v="200"/>
    <n v="2.1669999999999998"/>
    <n v="1456.65"/>
    <n v="336.09"/>
    <n v="1890"/>
    <n v="9.4499999999999993"/>
  </r>
  <r>
    <x v="259"/>
    <s v="002006"/>
    <s v="精功科技"/>
    <n v="2100"/>
    <n v="2100"/>
    <n v="6.3979999999999997"/>
    <n v="-164.12"/>
    <n v="-1.22"/>
    <n v="13272"/>
    <n v="6.32"/>
  </r>
  <r>
    <x v="259"/>
    <s v="002140"/>
    <s v="东华科技"/>
    <n v="12100"/>
    <n v="11100"/>
    <n v="11.427"/>
    <n v="-31056.77"/>
    <n v="-22.46"/>
    <n v="107206"/>
    <n v="8.86"/>
  </r>
  <r>
    <x v="259"/>
    <s v="300701"/>
    <s v="森霸传感"/>
    <n v="100"/>
    <n v="100"/>
    <n v="-130.48500000000001"/>
    <n v="16923.5"/>
    <n v="0"/>
    <n v="3875"/>
    <n v="38.75"/>
  </r>
  <r>
    <x v="259"/>
    <s v="reserve"/>
    <s v="备用金"/>
    <m/>
    <m/>
    <m/>
    <m/>
    <m/>
    <n v="4804.62"/>
    <m/>
  </r>
  <r>
    <x v="260"/>
    <s v="519888"/>
    <s v="添富快线"/>
    <n v="6011328"/>
    <n v="6011328"/>
    <n v="8.9999999999999993E-3"/>
    <n v="3717.84"/>
    <n v="11.11"/>
    <n v="60113.279999999999"/>
    <n v="0.01"/>
  </r>
  <r>
    <x v="260"/>
    <s v="600269"/>
    <s v="赣粤高速"/>
    <n v="3900"/>
    <n v="3900"/>
    <n v="5.0519999999999996"/>
    <n v="-2269.1"/>
    <n v="-11.52"/>
    <n v="17433"/>
    <n v="4.47"/>
  </r>
  <r>
    <x v="260"/>
    <s v="601398"/>
    <s v="工商银行"/>
    <n v="100"/>
    <n v="100"/>
    <n v="-53.579000000000001"/>
    <n v="5927.9"/>
    <n v="0"/>
    <n v="570"/>
    <n v="5.7"/>
  </r>
  <r>
    <x v="260"/>
    <s v="601998"/>
    <s v="中信银行"/>
    <n v="1800"/>
    <n v="1800"/>
    <n v="5.2450000000000001"/>
    <n v="1970.9"/>
    <n v="20.88"/>
    <n v="11412"/>
    <n v="6.34"/>
  </r>
  <r>
    <x v="260"/>
    <s v="603116"/>
    <s v="红蜻蜓"/>
    <n v="5100"/>
    <n v="5100"/>
    <n v="16.358000000000001"/>
    <n v="-5496.06"/>
    <n v="-6.59"/>
    <n v="77928"/>
    <n v="15.28"/>
  </r>
  <r>
    <x v="260"/>
    <s v="000402"/>
    <s v="金 融 街"/>
    <n v="16200"/>
    <n v="16200"/>
    <n v="9.3130000000000006"/>
    <n v="1888.4"/>
    <n v="1.26"/>
    <n v="152766"/>
    <n v="9.43"/>
  </r>
  <r>
    <x v="260"/>
    <s v="000415"/>
    <s v="渤海金控"/>
    <n v="4300"/>
    <n v="4300"/>
    <n v="5.9779999999999998"/>
    <n v="-595.27"/>
    <n v="-2.31"/>
    <n v="25112"/>
    <n v="5.84"/>
  </r>
  <r>
    <x v="260"/>
    <s v="000528"/>
    <s v="柳    工"/>
    <n v="100"/>
    <n v="100"/>
    <n v="-33.115000000000002"/>
    <n v="4302.5"/>
    <n v="0"/>
    <n v="991"/>
    <n v="9.91"/>
  </r>
  <r>
    <x v="260"/>
    <s v="000987"/>
    <s v="越秀金控"/>
    <n v="200"/>
    <n v="200"/>
    <n v="2.1669999999999998"/>
    <n v="1482.65"/>
    <n v="342.09"/>
    <n v="1916"/>
    <n v="9.58"/>
  </r>
  <r>
    <x v="260"/>
    <s v="002006"/>
    <s v="精功科技"/>
    <n v="2100"/>
    <n v="2100"/>
    <n v="6.3979999999999997"/>
    <n v="-248.12"/>
    <n v="-1.84"/>
    <n v="13188"/>
    <n v="6.28"/>
  </r>
  <r>
    <x v="260"/>
    <s v="002140"/>
    <s v="东华科技"/>
    <n v="12100"/>
    <n v="12100"/>
    <n v="11.427"/>
    <n v="-29483.77"/>
    <n v="-21.33"/>
    <n v="108779"/>
    <n v="8.99"/>
  </r>
  <r>
    <x v="260"/>
    <s v="300701"/>
    <s v="森霸传感"/>
    <n v="100"/>
    <n v="100"/>
    <n v="-130.86000000000001"/>
    <n v="17078"/>
    <n v="0"/>
    <n v="3992"/>
    <n v="39.92"/>
  </r>
  <r>
    <x v="260"/>
    <s v="reserve"/>
    <s v="备用金"/>
    <m/>
    <m/>
    <m/>
    <m/>
    <m/>
    <n v="12328.61"/>
    <m/>
  </r>
  <r>
    <x v="261"/>
    <s v="519888"/>
    <s v="添富快线"/>
    <n v="4012367"/>
    <n v="4012367"/>
    <n v="8.9999999999999993E-3"/>
    <n v="3728.23"/>
    <n v="11.11"/>
    <n v="40123.67"/>
    <n v="0.01"/>
  </r>
  <r>
    <x v="261"/>
    <s v="600269"/>
    <s v="赣粤高速"/>
    <n v="3900"/>
    <n v="3900"/>
    <n v="5.0519999999999996"/>
    <n v="-2308.1"/>
    <n v="-11.72"/>
    <n v="17394"/>
    <n v="4.46"/>
  </r>
  <r>
    <x v="261"/>
    <s v="601398"/>
    <s v="工商银行"/>
    <n v="100"/>
    <n v="100"/>
    <n v="-53.579000000000001"/>
    <n v="5926.9"/>
    <n v="0"/>
    <n v="569"/>
    <n v="5.69"/>
  </r>
  <r>
    <x v="261"/>
    <s v="601998"/>
    <s v="中信银行"/>
    <n v="1800"/>
    <n v="1800"/>
    <n v="5.2450000000000001"/>
    <n v="1952.9"/>
    <n v="20.69"/>
    <n v="11394"/>
    <n v="6.33"/>
  </r>
  <r>
    <x v="261"/>
    <s v="603116"/>
    <s v="红蜻蜓"/>
    <n v="4700"/>
    <n v="4700"/>
    <n v="16.448"/>
    <n v="-7273.31"/>
    <n v="-9.41"/>
    <n v="70030"/>
    <n v="14.9"/>
  </r>
  <r>
    <x v="261"/>
    <s v="000402"/>
    <s v="金 融 街"/>
    <n v="19800"/>
    <n v="15800"/>
    <n v="9.3379999999999992"/>
    <n v="4000.15"/>
    <n v="2.16"/>
    <n v="188892"/>
    <n v="9.5399999999999991"/>
  </r>
  <r>
    <x v="261"/>
    <s v="000415"/>
    <s v="渤海金控"/>
    <n v="4300"/>
    <n v="4300"/>
    <n v="5.9779999999999998"/>
    <n v="-595.27"/>
    <n v="-2.31"/>
    <n v="25112"/>
    <n v="5.84"/>
  </r>
  <r>
    <x v="261"/>
    <s v="000528"/>
    <s v="柳    工"/>
    <n v="100"/>
    <n v="100"/>
    <n v="-33.115000000000002"/>
    <n v="4298.5"/>
    <n v="0"/>
    <n v="987"/>
    <n v="9.8699999999999992"/>
  </r>
  <r>
    <x v="261"/>
    <s v="000987"/>
    <s v="越秀金控"/>
    <n v="200"/>
    <n v="200"/>
    <n v="2.1669999999999998"/>
    <n v="1546.65"/>
    <n v="356.85"/>
    <n v="1980"/>
    <n v="9.9"/>
  </r>
  <r>
    <x v="261"/>
    <s v="002006"/>
    <s v="精功科技"/>
    <n v="2100"/>
    <n v="2100"/>
    <n v="6.3780000000000001"/>
    <n v="-374.12"/>
    <n v="-2.79"/>
    <n v="13020"/>
    <n v="6.2"/>
  </r>
  <r>
    <x v="261"/>
    <s v="002140"/>
    <s v="东华科技"/>
    <n v="12100"/>
    <n v="12100"/>
    <n v="11.427"/>
    <n v="-32629.77"/>
    <n v="-23.6"/>
    <n v="105633"/>
    <n v="8.73"/>
  </r>
  <r>
    <x v="261"/>
    <s v="300701"/>
    <s v="森霸传感"/>
    <n v="100"/>
    <n v="100"/>
    <n v="-130.86000000000001"/>
    <n v="17094"/>
    <n v="0"/>
    <n v="4008"/>
    <n v="40.08"/>
  </r>
  <r>
    <x v="261"/>
    <s v="reserve"/>
    <s v="备用金"/>
    <m/>
    <m/>
    <m/>
    <m/>
    <m/>
    <n v="4477.1099999999997"/>
    <m/>
  </r>
  <r>
    <x v="262"/>
    <s v="519888"/>
    <s v="添富快线"/>
    <n v="1013239"/>
    <n v="1013239"/>
    <n v="6.0000000000000001E-3"/>
    <n v="3736.95"/>
    <n v="66.67"/>
    <n v="10132.39"/>
    <n v="0.01"/>
  </r>
  <r>
    <x v="262"/>
    <s v="600269"/>
    <s v="赣粤高速"/>
    <n v="3900"/>
    <n v="3900"/>
    <n v="5.0519999999999996"/>
    <n v="-2659.1"/>
    <n v="-13.5"/>
    <n v="17043"/>
    <n v="4.37"/>
  </r>
  <r>
    <x v="262"/>
    <s v="601398"/>
    <s v="工商银行"/>
    <n v="100"/>
    <n v="100"/>
    <n v="-53.579000000000001"/>
    <n v="5915.9"/>
    <n v="0"/>
    <n v="558"/>
    <n v="5.58"/>
  </r>
  <r>
    <x v="262"/>
    <s v="601998"/>
    <s v="中信银行"/>
    <n v="2300"/>
    <n v="1800"/>
    <n v="5.4530000000000003"/>
    <n v="1672.84"/>
    <n v="13.33"/>
    <n v="14214"/>
    <n v="6.18"/>
  </r>
  <r>
    <x v="262"/>
    <s v="603116"/>
    <s v="红蜻蜓"/>
    <n v="5700"/>
    <n v="5200"/>
    <n v="16.123999999999999"/>
    <n v="-9144.6"/>
    <n v="-9.9499999999999993"/>
    <n v="82764"/>
    <n v="14.52"/>
  </r>
  <r>
    <x v="262"/>
    <s v="000402"/>
    <s v="金 融 街"/>
    <n v="20800"/>
    <n v="19800"/>
    <n v="9.3369999999999997"/>
    <n v="-1603.85"/>
    <n v="-0.82"/>
    <n v="192608"/>
    <n v="9.26"/>
  </r>
  <r>
    <x v="262"/>
    <s v="000415"/>
    <s v="渤海金控"/>
    <n v="4300"/>
    <n v="4300"/>
    <n v="5.9779999999999998"/>
    <n v="-595.27"/>
    <n v="-2.31"/>
    <n v="25112"/>
    <n v="5.84"/>
  </r>
  <r>
    <x v="262"/>
    <s v="000528"/>
    <s v="柳    工"/>
    <n v="100"/>
    <n v="100"/>
    <n v="-33.115000000000002"/>
    <n v="4270.5"/>
    <n v="0"/>
    <n v="959"/>
    <n v="9.59"/>
  </r>
  <r>
    <x v="262"/>
    <s v="000987"/>
    <s v="越秀金控"/>
    <n v="200"/>
    <n v="200"/>
    <n v="2.1669999999999998"/>
    <n v="1476.65"/>
    <n v="340.7"/>
    <n v="1910"/>
    <n v="9.5500000000000007"/>
  </r>
  <r>
    <x v="262"/>
    <s v="002006"/>
    <s v="精功科技"/>
    <n v="2600"/>
    <n v="2600"/>
    <n v="6.3090000000000002"/>
    <n v="-778.12"/>
    <n v="-4.74"/>
    <n v="15626"/>
    <n v="6.01"/>
  </r>
  <r>
    <x v="262"/>
    <s v="002140"/>
    <s v="东华科技"/>
    <n v="12600"/>
    <n v="12600"/>
    <n v="11.313000000000001"/>
    <n v="-35195.769999999997"/>
    <n v="-24.69"/>
    <n v="107352"/>
    <n v="8.52"/>
  </r>
  <r>
    <x v="262"/>
    <s v="300701"/>
    <s v="森霸传感"/>
    <n v="100"/>
    <n v="100"/>
    <n v="-130.86000000000001"/>
    <n v="17599"/>
    <n v="0"/>
    <n v="4513"/>
    <n v="45.13"/>
  </r>
  <r>
    <x v="262"/>
    <s v="reserve"/>
    <s v="备用金"/>
    <m/>
    <m/>
    <m/>
    <m/>
    <m/>
    <n v="156.76"/>
    <m/>
  </r>
  <r>
    <x v="263"/>
    <s v="519888"/>
    <s v="添富快线"/>
    <n v="1013835"/>
    <n v="1013835"/>
    <n v="6.0000000000000001E-3"/>
    <n v="3742.91"/>
    <n v="66.67"/>
    <n v="10138.35"/>
    <n v="0.01"/>
  </r>
  <r>
    <x v="263"/>
    <s v="600269"/>
    <s v="赣粤高速"/>
    <n v="3900"/>
    <n v="3900"/>
    <n v="5.0519999999999996"/>
    <n v="-2698.1"/>
    <n v="-13.7"/>
    <n v="17004"/>
    <n v="4.3600000000000003"/>
  </r>
  <r>
    <x v="263"/>
    <s v="601398"/>
    <s v="工商银行"/>
    <n v="100"/>
    <n v="100"/>
    <n v="-53.579000000000001"/>
    <n v="5911.9"/>
    <n v="0"/>
    <n v="554"/>
    <n v="5.54"/>
  </r>
  <r>
    <x v="263"/>
    <s v="601998"/>
    <s v="中信银行"/>
    <n v="2300"/>
    <n v="2300"/>
    <n v="5.4530000000000003"/>
    <n v="1626.84"/>
    <n v="12.97"/>
    <n v="14168"/>
    <n v="6.16"/>
  </r>
  <r>
    <x v="263"/>
    <s v="603116"/>
    <s v="红蜻蜓"/>
    <n v="5700"/>
    <n v="5700"/>
    <n v="16.123999999999999"/>
    <n v="-8973.6"/>
    <n v="-9.76"/>
    <n v="82935"/>
    <n v="14.55"/>
  </r>
  <r>
    <x v="263"/>
    <s v="000402"/>
    <s v="金 融 街"/>
    <n v="20400"/>
    <n v="20400"/>
    <n v="9.3369999999999997"/>
    <n v="67.400000000000006"/>
    <n v="0.03"/>
    <n v="190536"/>
    <n v="9.34"/>
  </r>
  <r>
    <x v="263"/>
    <s v="000415"/>
    <s v="渤海金控"/>
    <n v="4300"/>
    <n v="4300"/>
    <n v="5.9779999999999998"/>
    <n v="-595.27"/>
    <n v="-2.31"/>
    <n v="25112"/>
    <n v="5.84"/>
  </r>
  <r>
    <x v="263"/>
    <s v="000528"/>
    <s v="柳    工"/>
    <n v="100"/>
    <n v="100"/>
    <n v="-33.115000000000002"/>
    <n v="4329.5"/>
    <n v="0"/>
    <n v="1018"/>
    <n v="10.18"/>
  </r>
  <r>
    <x v="263"/>
    <s v="000987"/>
    <s v="越秀金控"/>
    <n v="200"/>
    <n v="200"/>
    <n v="2.1669999999999998"/>
    <n v="1418.65"/>
    <n v="327.32"/>
    <n v="1852"/>
    <n v="9.26"/>
  </r>
  <r>
    <x v="263"/>
    <s v="002006"/>
    <s v="精功科技"/>
    <n v="2600"/>
    <n v="2600"/>
    <n v="6.3090000000000002"/>
    <n v="-908.12"/>
    <n v="-5.53"/>
    <n v="15496"/>
    <n v="5.96"/>
  </r>
  <r>
    <x v="263"/>
    <s v="002140"/>
    <s v="东华科技"/>
    <n v="12600"/>
    <n v="12600"/>
    <n v="11.313000000000001"/>
    <n v="-34187.769999999997"/>
    <n v="-23.98"/>
    <n v="108360"/>
    <n v="8.6"/>
  </r>
  <r>
    <x v="263"/>
    <s v="300701"/>
    <s v="森霸传感"/>
    <n v="100"/>
    <n v="100"/>
    <n v="-130.86000000000001"/>
    <n v="17842"/>
    <n v="0"/>
    <n v="4756"/>
    <n v="47.56"/>
  </r>
  <r>
    <x v="263"/>
    <s v="reserve"/>
    <s v="备用金"/>
    <m/>
    <m/>
    <m/>
    <m/>
    <m/>
    <n v="3900.01"/>
    <m/>
  </r>
  <r>
    <x v="264"/>
    <s v="519888"/>
    <s v="添富快线"/>
    <n v="14007"/>
    <n v="14007"/>
    <n v="-0.25700000000000001"/>
    <n v="3739.8690000000001"/>
    <n v="0"/>
    <n v="140.07"/>
    <n v="0.01"/>
  </r>
  <r>
    <x v="264"/>
    <s v="600269"/>
    <s v="赣粤高速"/>
    <n v="4400"/>
    <n v="4400"/>
    <n v="4.9729999999999999"/>
    <n v="-2874.14"/>
    <n v="-13.13"/>
    <n v="19008"/>
    <n v="4.32"/>
  </r>
  <r>
    <x v="264"/>
    <s v="601398"/>
    <s v="工商银行"/>
    <n v="100"/>
    <n v="100"/>
    <n v="-53.579000000000001"/>
    <n v="5927.9"/>
    <n v="0"/>
    <n v="570"/>
    <n v="5.7"/>
  </r>
  <r>
    <x v="264"/>
    <s v="601998"/>
    <s v="中信银行"/>
    <n v="2300"/>
    <n v="2300"/>
    <n v="5.4530000000000003"/>
    <n v="1879.84"/>
    <n v="14.98"/>
    <n v="14421"/>
    <n v="6.27"/>
  </r>
  <r>
    <x v="264"/>
    <s v="603116"/>
    <s v="红蜻蜓"/>
    <n v="6200"/>
    <n v="5700"/>
    <n v="15.932"/>
    <n v="-13156.74"/>
    <n v="-13.32"/>
    <n v="85622"/>
    <n v="13.81"/>
  </r>
  <r>
    <x v="264"/>
    <s v="000402"/>
    <s v="金 融 街"/>
    <n v="21000"/>
    <n v="20500"/>
    <n v="9.0299999999999994"/>
    <n v="-4204.2299999999996"/>
    <n v="-2.21"/>
    <n v="185430"/>
    <n v="8.83"/>
  </r>
  <r>
    <x v="264"/>
    <s v="000415"/>
    <s v="渤海金控"/>
    <n v="4300"/>
    <n v="4300"/>
    <n v="5.9779999999999998"/>
    <n v="-595.27"/>
    <n v="-2.31"/>
    <n v="25112"/>
    <n v="5.84"/>
  </r>
  <r>
    <x v="264"/>
    <s v="000528"/>
    <s v="柳    工"/>
    <n v="100"/>
    <n v="100"/>
    <n v="-33.265000000000001"/>
    <n v="4341.5"/>
    <n v="0"/>
    <n v="1015"/>
    <n v="10.15"/>
  </r>
  <r>
    <x v="264"/>
    <s v="000987"/>
    <s v="越秀金控"/>
    <n v="200"/>
    <n v="200"/>
    <n v="2.077"/>
    <n v="1352.65"/>
    <n v="325.61"/>
    <n v="1768"/>
    <n v="8.84"/>
  </r>
  <r>
    <x v="264"/>
    <s v="002006"/>
    <s v="精功科技"/>
    <n v="2600"/>
    <n v="2600"/>
    <n v="6.3090000000000002"/>
    <n v="-1376.12"/>
    <n v="-8.3800000000000008"/>
    <n v="15028"/>
    <n v="5.78"/>
  </r>
  <r>
    <x v="264"/>
    <s v="002140"/>
    <s v="东华科技"/>
    <n v="12600"/>
    <n v="12600"/>
    <n v="11.313000000000001"/>
    <n v="-39479.769999999997"/>
    <n v="-27.69"/>
    <n v="103068"/>
    <n v="8.18"/>
  </r>
  <r>
    <x v="264"/>
    <s v="300701"/>
    <s v="森霸传感"/>
    <n v="100"/>
    <n v="100"/>
    <n v="-130.86000000000001"/>
    <n v="17801"/>
    <n v="0"/>
    <n v="4715"/>
    <n v="47.15"/>
  </r>
  <r>
    <x v="264"/>
    <s v="reserve"/>
    <s v="备用金"/>
    <m/>
    <m/>
    <m/>
    <m/>
    <m/>
    <n v="1622.2"/>
    <m/>
  </r>
  <r>
    <x v="265"/>
    <s v="519888"/>
    <s v="添富快线"/>
    <n v="14008"/>
    <n v="14008"/>
    <n v="-0.25700000000000001"/>
    <n v="3740.136"/>
    <n v="0"/>
    <n v="140.08000000000001"/>
    <n v="0.01"/>
  </r>
  <r>
    <x v="265"/>
    <s v="600269"/>
    <s v="赣粤高速"/>
    <n v="4900"/>
    <n v="4400"/>
    <n v="4.8940000000000001"/>
    <n v="-4039.18"/>
    <n v="-16.84"/>
    <n v="19943"/>
    <n v="4.07"/>
  </r>
  <r>
    <x v="265"/>
    <s v="601398"/>
    <s v="工商银行"/>
    <n v="100"/>
    <n v="100"/>
    <n v="-53.579000000000001"/>
    <n v="5931.9"/>
    <n v="0"/>
    <n v="574"/>
    <n v="5.74"/>
  </r>
  <r>
    <x v="265"/>
    <s v="601998"/>
    <s v="中信银行"/>
    <n v="2300"/>
    <n v="2300"/>
    <n v="5.4530000000000003"/>
    <n v="2040.84"/>
    <n v="16.27"/>
    <n v="14582"/>
    <n v="6.34"/>
  </r>
  <r>
    <x v="265"/>
    <s v="603116"/>
    <s v="红蜻蜓"/>
    <n v="7700"/>
    <n v="6200"/>
    <n v="15.393000000000001"/>
    <n v="-20272.14"/>
    <n v="-17.100000000000001"/>
    <n v="98252"/>
    <n v="12.76"/>
  </r>
  <r>
    <x v="265"/>
    <s v="000402"/>
    <s v="金 融 街"/>
    <n v="22500"/>
    <n v="21000"/>
    <n v="8.9979999999999993"/>
    <n v="-14364.23"/>
    <n v="-7.09"/>
    <n v="188100"/>
    <n v="8.36"/>
  </r>
  <r>
    <x v="265"/>
    <s v="000415"/>
    <s v="渤海金控"/>
    <n v="4300"/>
    <n v="4300"/>
    <n v="5.9779999999999998"/>
    <n v="-595.27"/>
    <n v="-2.31"/>
    <n v="25112"/>
    <n v="5.84"/>
  </r>
  <r>
    <x v="265"/>
    <s v="000528"/>
    <s v="柳    工"/>
    <n v="100"/>
    <n v="100"/>
    <n v="-33.265000000000001"/>
    <n v="4255.5"/>
    <n v="0"/>
    <n v="929"/>
    <n v="9.2899999999999991"/>
  </r>
  <r>
    <x v="265"/>
    <s v="000987"/>
    <s v="越秀金控"/>
    <n v="200"/>
    <n v="200"/>
    <n v="2.077"/>
    <n v="1192.6500000000001"/>
    <n v="287.10000000000002"/>
    <n v="1608"/>
    <n v="8.0399999999999991"/>
  </r>
  <r>
    <x v="265"/>
    <s v="002006"/>
    <s v="精功科技"/>
    <n v="3100"/>
    <n v="2600"/>
    <n v="6.2060000000000004"/>
    <n v="-1941.12"/>
    <n v="-10.09"/>
    <n v="17298"/>
    <n v="5.58"/>
  </r>
  <r>
    <x v="265"/>
    <s v="002140"/>
    <s v="东华科技"/>
    <n v="14100"/>
    <n v="12600"/>
    <n v="10.919"/>
    <n v="-49471.77"/>
    <n v="-32.14"/>
    <n v="104481"/>
    <n v="7.41"/>
  </r>
  <r>
    <x v="265"/>
    <s v="300701"/>
    <s v="森霸传感"/>
    <n v="100"/>
    <n v="100"/>
    <n v="-130.86000000000001"/>
    <n v="17537"/>
    <n v="0"/>
    <n v="4451"/>
    <n v="44.51"/>
  </r>
  <r>
    <x v="265"/>
    <s v="reserve"/>
    <s v="备用金"/>
    <m/>
    <m/>
    <m/>
    <m/>
    <m/>
    <n v="6801.76"/>
    <m/>
  </r>
  <r>
    <x v="266"/>
    <s v="519888"/>
    <s v="添富快线"/>
    <n v="14014"/>
    <n v="14014"/>
    <n v="-0.25700000000000001"/>
    <n v="3741.7379999999998"/>
    <n v="0"/>
    <n v="140.13999999999999"/>
    <n v="0.01"/>
  </r>
  <r>
    <x v="266"/>
    <s v="600269"/>
    <s v="赣粤高速"/>
    <n v="4900"/>
    <n v="4900"/>
    <n v="4.8940000000000001"/>
    <n v="-4235.18"/>
    <n v="-17.649999999999999"/>
    <n v="19747"/>
    <n v="4.03"/>
  </r>
  <r>
    <x v="266"/>
    <s v="601398"/>
    <s v="工商银行"/>
    <n v="100"/>
    <n v="100"/>
    <n v="-53.579000000000001"/>
    <n v="5925.9"/>
    <n v="0"/>
    <n v="568"/>
    <n v="5.68"/>
  </r>
  <r>
    <x v="266"/>
    <s v="601998"/>
    <s v="中信银行"/>
    <n v="2300"/>
    <n v="2300"/>
    <n v="5.4530000000000003"/>
    <n v="1764.84"/>
    <n v="14.07"/>
    <n v="14306"/>
    <n v="6.22"/>
  </r>
  <r>
    <x v="266"/>
    <s v="603116"/>
    <s v="红蜻蜓"/>
    <n v="7700"/>
    <n v="7700"/>
    <n v="15.393000000000001"/>
    <n v="-20580.14"/>
    <n v="-17.36"/>
    <n v="97944"/>
    <n v="12.72"/>
  </r>
  <r>
    <x v="266"/>
    <s v="000402"/>
    <s v="金 融 街"/>
    <n v="22500"/>
    <n v="22500"/>
    <n v="8.9979999999999993"/>
    <n v="-14589.23"/>
    <n v="-7.2"/>
    <n v="187875"/>
    <n v="8.35"/>
  </r>
  <r>
    <x v="266"/>
    <s v="000415"/>
    <s v="渤海金控"/>
    <n v="4300"/>
    <n v="4300"/>
    <n v="5.9779999999999998"/>
    <n v="-595.27"/>
    <n v="-2.31"/>
    <n v="25112"/>
    <n v="5.84"/>
  </r>
  <r>
    <x v="266"/>
    <s v="000528"/>
    <s v="柳    工"/>
    <n v="100"/>
    <n v="100"/>
    <n v="-33.265000000000001"/>
    <n v="4274.5"/>
    <n v="0"/>
    <n v="948"/>
    <n v="9.48"/>
  </r>
  <r>
    <x v="266"/>
    <s v="000987"/>
    <s v="越秀金控"/>
    <n v="200"/>
    <n v="200"/>
    <n v="2.077"/>
    <n v="1198.6500000000001"/>
    <n v="288.54000000000002"/>
    <n v="1614"/>
    <n v="8.07"/>
  </r>
  <r>
    <x v="266"/>
    <s v="002006"/>
    <s v="精功科技"/>
    <n v="3100"/>
    <n v="3100"/>
    <n v="6.2060000000000004"/>
    <n v="-2313.12"/>
    <n v="-12.02"/>
    <n v="16926"/>
    <n v="5.46"/>
  </r>
  <r>
    <x v="266"/>
    <s v="002140"/>
    <s v="东华科技"/>
    <n v="14200"/>
    <n v="13700"/>
    <n v="10.888"/>
    <n v="-51795.8"/>
    <n v="-33.5"/>
    <n v="102808"/>
    <n v="7.24"/>
  </r>
  <r>
    <x v="266"/>
    <s v="300701"/>
    <s v="森霸传感"/>
    <n v="100"/>
    <n v="100"/>
    <n v="-130.86000000000001"/>
    <n v="17775"/>
    <n v="0"/>
    <n v="4689"/>
    <n v="46.89"/>
  </r>
  <r>
    <x v="266"/>
    <s v="reserve"/>
    <s v="备用金"/>
    <m/>
    <m/>
    <m/>
    <m/>
    <m/>
    <n v="6160.4"/>
    <m/>
  </r>
  <r>
    <x v="267"/>
    <s v="519888"/>
    <s v="添富快线"/>
    <n v="14030"/>
    <n v="14030"/>
    <n v="-0.25700000000000001"/>
    <n v="3746.01"/>
    <n v="0"/>
    <n v="140.30000000000001"/>
    <n v="0.01"/>
  </r>
  <r>
    <x v="267"/>
    <s v="600269"/>
    <s v="赣粤高速"/>
    <n v="5400"/>
    <n v="5400"/>
    <n v="4.8179999999999996"/>
    <n v="-4201.22"/>
    <n v="-16.149999999999999"/>
    <n v="21816"/>
    <n v="4.04"/>
  </r>
  <r>
    <x v="267"/>
    <s v="601398"/>
    <s v="工商银行"/>
    <n v="100"/>
    <n v="100"/>
    <n v="-53.579000000000001"/>
    <n v="5873.9"/>
    <n v="0"/>
    <n v="516"/>
    <n v="5.16"/>
  </r>
  <r>
    <x v="267"/>
    <s v="601998"/>
    <s v="中信银行"/>
    <n v="2800"/>
    <n v="2800"/>
    <n v="5.29"/>
    <n v="1177.08"/>
    <n v="7.94"/>
    <n v="15988"/>
    <n v="5.71"/>
  </r>
  <r>
    <x v="267"/>
    <s v="603116"/>
    <s v="红蜻蜓"/>
    <n v="7300"/>
    <n v="7300"/>
    <n v="15.516"/>
    <n v="-18220.52"/>
    <n v="-16.09"/>
    <n v="95046"/>
    <n v="13.02"/>
  </r>
  <r>
    <x v="267"/>
    <s v="000402"/>
    <s v="金 融 街"/>
    <n v="25000"/>
    <n v="24500"/>
    <n v="8.8879999999999999"/>
    <n v="-41944.23"/>
    <n v="-18.88"/>
    <n v="180250"/>
    <n v="7.21"/>
  </r>
  <r>
    <x v="267"/>
    <s v="000415"/>
    <s v="渤海金控"/>
    <n v="4300"/>
    <n v="4300"/>
    <n v="5.9779999999999998"/>
    <n v="-595.27"/>
    <n v="-2.31"/>
    <n v="25112"/>
    <n v="5.84"/>
  </r>
  <r>
    <x v="267"/>
    <s v="000528"/>
    <s v="柳    工"/>
    <n v="100"/>
    <n v="100"/>
    <n v="-33.265000000000001"/>
    <n v="4336.5"/>
    <n v="0"/>
    <n v="1010"/>
    <n v="10.1"/>
  </r>
  <r>
    <x v="267"/>
    <s v="000987"/>
    <s v="越秀金控"/>
    <n v="200"/>
    <n v="200"/>
    <n v="2.077"/>
    <n v="1120.6500000000001"/>
    <n v="269.77"/>
    <n v="1536"/>
    <n v="7.68"/>
  </r>
  <r>
    <x v="267"/>
    <s v="002006"/>
    <s v="精功科技"/>
    <n v="3100"/>
    <n v="3100"/>
    <n v="6.2060000000000004"/>
    <n v="-2375.12"/>
    <n v="-12.34"/>
    <n v="16864"/>
    <n v="5.44"/>
  </r>
  <r>
    <x v="267"/>
    <s v="002140"/>
    <s v="东华科技"/>
    <n v="13700"/>
    <n v="13700"/>
    <n v="11.009"/>
    <n v="-49305.59"/>
    <n v="-32.69"/>
    <n v="101517"/>
    <n v="7.41"/>
  </r>
  <r>
    <x v="267"/>
    <s v="300701"/>
    <s v="森霸传感"/>
    <n v="100"/>
    <n v="100"/>
    <n v="-130.86000000000001"/>
    <n v="17916"/>
    <n v="0"/>
    <n v="4830"/>
    <n v="48.3"/>
  </r>
  <r>
    <x v="267"/>
    <s v="reserve"/>
    <s v="备用金"/>
    <m/>
    <m/>
    <m/>
    <m/>
    <m/>
    <n v="11164.43"/>
    <m/>
  </r>
  <r>
    <x v="268"/>
    <s v="519888"/>
    <s v="添富快线"/>
    <n v="14050"/>
    <n v="14050"/>
    <n v="-0.25700000000000001"/>
    <n v="3751.35"/>
    <n v="0"/>
    <n v="140.5"/>
    <n v="0.01"/>
  </r>
  <r>
    <x v="268"/>
    <s v="600269"/>
    <s v="赣粤高速"/>
    <n v="4600"/>
    <n v="4600"/>
    <n v="4.9210000000000003"/>
    <n v="-2766.67"/>
    <n v="-12.21"/>
    <n v="19872"/>
    <n v="4.32"/>
  </r>
  <r>
    <x v="268"/>
    <s v="601398"/>
    <s v="工商银行"/>
    <n v="100"/>
    <n v="100"/>
    <n v="-53.82"/>
    <n v="5943"/>
    <n v="0"/>
    <n v="561"/>
    <n v="5.61"/>
  </r>
  <r>
    <x v="268"/>
    <s v="601998"/>
    <s v="中信银行"/>
    <n v="2000"/>
    <n v="2000"/>
    <n v="4.9969999999999999"/>
    <n v="2306.15"/>
    <n v="23.07"/>
    <n v="12300"/>
    <n v="6.15"/>
  </r>
  <r>
    <x v="268"/>
    <s v="603116"/>
    <s v="红蜻蜓"/>
    <n v="9820"/>
    <n v="9820"/>
    <n v="10.863"/>
    <n v="-16429.47"/>
    <n v="-15.4"/>
    <n v="90245.8"/>
    <n v="9.19"/>
  </r>
  <r>
    <x v="268"/>
    <s v="000402"/>
    <s v="金 融 街"/>
    <n v="24400"/>
    <n v="24400"/>
    <n v="8.91"/>
    <n v="-33926.11"/>
    <n v="-15.6"/>
    <n v="183488"/>
    <n v="7.52"/>
  </r>
  <r>
    <x v="268"/>
    <s v="000415"/>
    <s v="渤海金控"/>
    <n v="5800"/>
    <n v="5800"/>
    <n v="5.5330000000000004"/>
    <n v="-7149.27"/>
    <n v="-22.28"/>
    <n v="24940"/>
    <n v="4.3"/>
  </r>
  <r>
    <x v="268"/>
    <s v="000528"/>
    <s v="柳    工"/>
    <n v="100"/>
    <n v="100"/>
    <n v="-33.265000000000001"/>
    <n v="4412.5"/>
    <n v="0"/>
    <n v="1086"/>
    <n v="10.86"/>
  </r>
  <r>
    <x v="268"/>
    <s v="000987"/>
    <s v="越秀金控"/>
    <n v="200"/>
    <n v="200"/>
    <n v="2.077"/>
    <n v="1118.6500000000001"/>
    <n v="269.27999999999997"/>
    <n v="1534"/>
    <n v="7.67"/>
  </r>
  <r>
    <x v="268"/>
    <s v="002006"/>
    <s v="精功科技"/>
    <n v="3100"/>
    <n v="3100"/>
    <n v="6.2060000000000004"/>
    <n v="-1600.12"/>
    <n v="-8.31"/>
    <n v="17639"/>
    <n v="5.69"/>
  </r>
  <r>
    <x v="268"/>
    <s v="002140"/>
    <s v="东华科技"/>
    <n v="13700"/>
    <n v="13700"/>
    <n v="11.009"/>
    <n v="-46428.59"/>
    <n v="-30.78"/>
    <n v="104394"/>
    <n v="7.62"/>
  </r>
  <r>
    <x v="268"/>
    <s v="300701"/>
    <s v="森霸传感"/>
    <n v="100"/>
    <n v="100"/>
    <n v="-130.86000000000001"/>
    <n v="17904"/>
    <n v="0"/>
    <n v="4818"/>
    <n v="48.18"/>
  </r>
  <r>
    <x v="268"/>
    <s v="reserve"/>
    <s v="备用金"/>
    <m/>
    <m/>
    <m/>
    <m/>
    <m/>
    <n v="14301.62"/>
    <m/>
  </r>
  <r>
    <x v="269"/>
    <s v="519888"/>
    <s v="添富快线"/>
    <n v="89"/>
    <n v="89"/>
    <n v="-42.073999999999998"/>
    <n v="3745.4760000000001"/>
    <n v="0"/>
    <n v="0.89"/>
    <n v="0.01"/>
  </r>
  <r>
    <x v="269"/>
    <s v="600269"/>
    <s v="赣粤高速"/>
    <n v="4200"/>
    <n v="4200"/>
    <n v="4.8070000000000004"/>
    <n v="-2593.44"/>
    <n v="-12.83"/>
    <n v="17598"/>
    <n v="4.1900000000000004"/>
  </r>
  <r>
    <x v="269"/>
    <s v="601398"/>
    <s v="工商银行"/>
    <n v="100"/>
    <n v="100"/>
    <n v="-53.82"/>
    <n v="5918"/>
    <n v="0"/>
    <n v="536"/>
    <n v="5.36"/>
  </r>
  <r>
    <x v="269"/>
    <s v="601998"/>
    <s v="中信银行"/>
    <n v="1300"/>
    <n v="1300"/>
    <n v="4.3460000000000001"/>
    <n v="1759.58"/>
    <n v="31.16"/>
    <n v="7410"/>
    <n v="5.7"/>
  </r>
  <r>
    <x v="269"/>
    <s v="603116"/>
    <s v="红蜻蜓"/>
    <n v="11920"/>
    <n v="11420"/>
    <n v="10.387"/>
    <n v="-33584.54"/>
    <n v="-27.12"/>
    <n v="90234.4"/>
    <n v="7.57"/>
  </r>
  <r>
    <x v="269"/>
    <s v="000402"/>
    <s v="金 融 街"/>
    <n v="26100"/>
    <n v="26100"/>
    <n v="8.7509999999999994"/>
    <n v="-40752.839999999997"/>
    <n v="-17.84"/>
    <n v="187659"/>
    <n v="7.19"/>
  </r>
  <r>
    <x v="269"/>
    <s v="000415"/>
    <s v="渤海租赁"/>
    <n v="5600"/>
    <n v="5600"/>
    <n v="5.5229999999999997"/>
    <n v="-7799.04"/>
    <n v="-25.22"/>
    <n v="23128"/>
    <n v="4.13"/>
  </r>
  <r>
    <x v="269"/>
    <s v="000528"/>
    <s v="柳    工"/>
    <n v="630"/>
    <n v="130"/>
    <n v="0.315"/>
    <n v="4217.79"/>
    <n v="2125.4"/>
    <n v="4416.3"/>
    <n v="7.01"/>
  </r>
  <r>
    <x v="269"/>
    <s v="000987"/>
    <s v="越秀金控"/>
    <n v="200"/>
    <n v="200"/>
    <n v="2.077"/>
    <n v="1304.6500000000001"/>
    <n v="314.06"/>
    <n v="1720"/>
    <n v="8.6"/>
  </r>
  <r>
    <x v="269"/>
    <s v="002006"/>
    <s v="精功科技"/>
    <n v="400"/>
    <n v="400"/>
    <n v="0.373"/>
    <n v="2010.74"/>
    <n v="1347.72"/>
    <n v="2160"/>
    <n v="5.4"/>
  </r>
  <r>
    <x v="269"/>
    <s v="002140"/>
    <s v="东华科技"/>
    <n v="14400"/>
    <n v="14400"/>
    <n v="10.782999999999999"/>
    <n v="-61392.91"/>
    <n v="-39.53"/>
    <n v="93888"/>
    <n v="6.52"/>
  </r>
  <r>
    <x v="269"/>
    <s v="300701"/>
    <s v="森霸传感"/>
    <n v="100"/>
    <n v="100"/>
    <n v="-130.86000000000001"/>
    <n v="16687"/>
    <n v="0"/>
    <n v="3601"/>
    <n v="36.01"/>
  </r>
  <r>
    <x v="269"/>
    <s v="reserve"/>
    <s v="备用金"/>
    <m/>
    <m/>
    <m/>
    <m/>
    <m/>
    <n v="15096.5"/>
    <m/>
  </r>
  <r>
    <x v="270"/>
    <s v="519888"/>
    <s v="添富快线"/>
    <n v="5001789"/>
    <n v="5001789"/>
    <n v="8.9999999999999993E-3"/>
    <n v="3819.67"/>
    <n v="11.11"/>
    <n v="50017.89"/>
    <n v="0.01"/>
  </r>
  <r>
    <x v="270"/>
    <s v="600269"/>
    <s v="赣粤高速"/>
    <n v="2700"/>
    <n v="2700"/>
    <n v="4.952"/>
    <n v="-1327.58"/>
    <n v="-9.93"/>
    <n v="12042"/>
    <n v="4.46"/>
  </r>
  <r>
    <x v="270"/>
    <s v="601398"/>
    <s v="工商银行"/>
    <n v="100"/>
    <n v="100"/>
    <n v="-53.82"/>
    <n v="5927"/>
    <n v="0"/>
    <n v="545"/>
    <n v="5.45"/>
  </r>
  <r>
    <x v="270"/>
    <s v="601998"/>
    <s v="中信银行"/>
    <n v="1100"/>
    <n v="1100"/>
    <n v="3.7570000000000001"/>
    <n v="2577.46"/>
    <n v="62.37"/>
    <n v="6710"/>
    <n v="6.1"/>
  </r>
  <r>
    <x v="270"/>
    <s v="603116"/>
    <s v="红蜻蜓"/>
    <n v="10120"/>
    <n v="10120"/>
    <n v="10.694000000000001"/>
    <n v="-22309.32"/>
    <n v="-20.61"/>
    <n v="85918.8"/>
    <n v="8.49"/>
  </r>
  <r>
    <x v="270"/>
    <s v="000402"/>
    <s v="金 融 街"/>
    <n v="23600"/>
    <n v="23600"/>
    <n v="8.8670000000000009"/>
    <n v="-20234.55"/>
    <n v="-9.67"/>
    <n v="189036"/>
    <n v="8.01"/>
  </r>
  <r>
    <x v="270"/>
    <s v="000415"/>
    <s v="渤海租赁"/>
    <n v="5100"/>
    <n v="5100"/>
    <n v="5.5359999999999996"/>
    <n v="-5232.83"/>
    <n v="-18.53"/>
    <n v="23001"/>
    <n v="4.51"/>
  </r>
  <r>
    <x v="270"/>
    <s v="000528"/>
    <s v="柳    工"/>
    <n v="230"/>
    <n v="230"/>
    <n v="-11.728999999999999"/>
    <n v="4411.17"/>
    <n v="0"/>
    <n v="1713.5"/>
    <n v="7.45"/>
  </r>
  <r>
    <x v="270"/>
    <s v="000987"/>
    <s v="越秀金控"/>
    <n v="200"/>
    <n v="200"/>
    <n v="2.077"/>
    <n v="1608.65"/>
    <n v="387.25"/>
    <n v="2024"/>
    <n v="10.119999999999999"/>
  </r>
  <r>
    <x v="270"/>
    <s v="002006"/>
    <s v="精功科技"/>
    <n v="100"/>
    <n v="100"/>
    <n v="-18.477"/>
    <n v="2461.6999999999998"/>
    <n v="0"/>
    <n v="614"/>
    <n v="6.14"/>
  </r>
  <r>
    <x v="270"/>
    <s v="002140"/>
    <s v="东华科技"/>
    <n v="13000"/>
    <n v="13000"/>
    <n v="11.115"/>
    <n v="-39455.74"/>
    <n v="-27.31"/>
    <n v="105040"/>
    <n v="8.08"/>
  </r>
  <r>
    <x v="270"/>
    <s v="002945"/>
    <s v="华林证券"/>
    <n v="100"/>
    <n v="100"/>
    <n v="-22.33"/>
    <n v="3639"/>
    <n v="0"/>
    <n v="1406"/>
    <n v="14.06"/>
  </r>
  <r>
    <x v="270"/>
    <s v="002950"/>
    <s v="奥美医疗"/>
    <n v="100"/>
    <n v="100"/>
    <n v="-94.45"/>
    <n v="13167"/>
    <n v="0"/>
    <n v="3722"/>
    <n v="37.22"/>
  </r>
  <r>
    <x v="270"/>
    <s v="300701"/>
    <s v="森霸传感"/>
    <n v="100"/>
    <n v="100"/>
    <n v="-130.86000000000001"/>
    <n v="16796"/>
    <n v="0"/>
    <n v="3710"/>
    <n v="37.1"/>
  </r>
  <r>
    <x v="270"/>
    <s v="reserve"/>
    <s v="备用金"/>
    <m/>
    <m/>
    <m/>
    <m/>
    <m/>
    <n v="16215.82"/>
    <m/>
  </r>
  <r>
    <x v="271"/>
    <s v="519888"/>
    <s v="添富快线"/>
    <n v="7002047"/>
    <n v="5002047"/>
    <n v="8.9999999999999993E-3"/>
    <n v="3822.25"/>
    <n v="11.11"/>
    <n v="70020.47"/>
    <n v="0.01"/>
  </r>
  <r>
    <x v="271"/>
    <s v="600269"/>
    <s v="赣粤高速"/>
    <n v="2700"/>
    <n v="2700"/>
    <n v="4.952"/>
    <n v="-1354.58"/>
    <n v="-10.130000000000001"/>
    <n v="12015"/>
    <n v="4.45"/>
  </r>
  <r>
    <x v="271"/>
    <s v="601398"/>
    <s v="工商银行"/>
    <n v="100"/>
    <n v="100"/>
    <n v="-53.82"/>
    <n v="5927"/>
    <n v="0"/>
    <n v="545"/>
    <n v="5.45"/>
  </r>
  <r>
    <x v="271"/>
    <s v="601998"/>
    <s v="中信银行"/>
    <n v="1100"/>
    <n v="1100"/>
    <n v="3.7570000000000001"/>
    <n v="2566.46"/>
    <n v="62.1"/>
    <n v="6699"/>
    <n v="6.09"/>
  </r>
  <r>
    <x v="271"/>
    <s v="603116"/>
    <s v="红蜻蜓"/>
    <n v="10120"/>
    <n v="10120"/>
    <n v="10.694000000000001"/>
    <n v="-21803.32"/>
    <n v="-20.149999999999999"/>
    <n v="86424.8"/>
    <n v="8.5399999999999991"/>
  </r>
  <r>
    <x v="271"/>
    <s v="000402"/>
    <s v="金 融 街"/>
    <n v="24100"/>
    <n v="23600"/>
    <n v="8.8480000000000008"/>
    <n v="-22835.55"/>
    <n v="-10.71"/>
    <n v="190390"/>
    <n v="7.9"/>
  </r>
  <r>
    <x v="271"/>
    <s v="000415"/>
    <s v="渤海租赁"/>
    <n v="5100"/>
    <n v="5100"/>
    <n v="5.5359999999999996"/>
    <n v="-5385.83"/>
    <n v="-19.079999999999998"/>
    <n v="22848"/>
    <n v="4.4800000000000004"/>
  </r>
  <r>
    <x v="271"/>
    <s v="000528"/>
    <s v="柳    工"/>
    <n v="230"/>
    <n v="230"/>
    <n v="-11.728999999999999"/>
    <n v="4411.17"/>
    <n v="0"/>
    <n v="1713.5"/>
    <n v="7.45"/>
  </r>
  <r>
    <x v="271"/>
    <s v="000987"/>
    <s v="越秀金控"/>
    <n v="200"/>
    <n v="200"/>
    <n v="2.077"/>
    <n v="1652.65"/>
    <n v="397.85"/>
    <n v="2068"/>
    <n v="10.34"/>
  </r>
  <r>
    <x v="271"/>
    <s v="002006"/>
    <s v="精功科技"/>
    <n v="100"/>
    <n v="100"/>
    <n v="-18.477"/>
    <n v="2437.6999999999998"/>
    <n v="0"/>
    <n v="590"/>
    <n v="5.9"/>
  </r>
  <r>
    <x v="271"/>
    <s v="002140"/>
    <s v="东华科技"/>
    <n v="13500"/>
    <n v="13500"/>
    <n v="10.994999999999999"/>
    <n v="-41110.74"/>
    <n v="-27.7"/>
    <n v="107325"/>
    <n v="7.95"/>
  </r>
  <r>
    <x v="271"/>
    <s v="002945"/>
    <s v="华林证券"/>
    <n v="100"/>
    <n v="100"/>
    <n v="-22.33"/>
    <n v="3624"/>
    <n v="0"/>
    <n v="1391"/>
    <n v="13.91"/>
  </r>
  <r>
    <x v="271"/>
    <s v="002950"/>
    <s v="奥美医疗"/>
    <n v="100"/>
    <n v="100"/>
    <n v="-94.45"/>
    <n v="12777"/>
    <n v="0"/>
    <n v="3332"/>
    <n v="33.32"/>
  </r>
  <r>
    <x v="271"/>
    <s v="300701"/>
    <s v="森霸传感"/>
    <n v="100"/>
    <n v="100"/>
    <n v="-130.86000000000001"/>
    <n v="16829"/>
    <n v="0"/>
    <n v="3743"/>
    <n v="37.43"/>
  </r>
  <r>
    <x v="271"/>
    <s v="reserve"/>
    <s v="备用金"/>
    <m/>
    <m/>
    <m/>
    <m/>
    <m/>
    <n v="8320.82"/>
    <m/>
  </r>
  <r>
    <x v="272"/>
    <s v="519888"/>
    <s v="添富快线"/>
    <n v="7002337"/>
    <n v="7002337"/>
    <n v="8.9999999999999993E-3"/>
    <n v="3825.15"/>
    <n v="11.11"/>
    <n v="70023.37"/>
    <n v="0.01"/>
  </r>
  <r>
    <x v="272"/>
    <s v="600269"/>
    <s v="赣粤高速"/>
    <n v="2700"/>
    <n v="2700"/>
    <n v="4.952"/>
    <n v="-1138.58"/>
    <n v="-8.52"/>
    <n v="12231"/>
    <n v="4.53"/>
  </r>
  <r>
    <x v="272"/>
    <s v="601398"/>
    <s v="工商银行"/>
    <n v="100"/>
    <n v="100"/>
    <n v="-53.82"/>
    <n v="5939"/>
    <n v="0"/>
    <n v="557"/>
    <n v="5.57"/>
  </r>
  <r>
    <x v="272"/>
    <s v="601998"/>
    <s v="中信银行"/>
    <n v="1100"/>
    <n v="1100"/>
    <n v="3.7570000000000001"/>
    <n v="2786.46"/>
    <n v="67.42"/>
    <n v="6919"/>
    <n v="6.29"/>
  </r>
  <r>
    <x v="272"/>
    <s v="603116"/>
    <s v="红蜻蜓"/>
    <n v="10120"/>
    <n v="10120"/>
    <n v="10.694000000000001"/>
    <n v="-19880.52"/>
    <n v="-18.37"/>
    <n v="88347.6"/>
    <n v="8.73"/>
  </r>
  <r>
    <x v="272"/>
    <s v="000402"/>
    <s v="金 融 街"/>
    <n v="22500"/>
    <n v="22500"/>
    <n v="8.8889999999999993"/>
    <n v="-6948.82"/>
    <n v="-3.47"/>
    <n v="193050"/>
    <n v="8.58"/>
  </r>
  <r>
    <x v="272"/>
    <s v="000415"/>
    <s v="渤海租赁"/>
    <n v="5100"/>
    <n v="5100"/>
    <n v="5.5359999999999996"/>
    <n v="-4518.83"/>
    <n v="-16.010000000000002"/>
    <n v="23715"/>
    <n v="4.6500000000000004"/>
  </r>
  <r>
    <x v="272"/>
    <s v="000528"/>
    <s v="柳    工"/>
    <n v="230"/>
    <n v="230"/>
    <n v="-11.728999999999999"/>
    <n v="4489.37"/>
    <n v="0"/>
    <n v="1791.7"/>
    <n v="7.79"/>
  </r>
  <r>
    <x v="272"/>
    <s v="000987"/>
    <s v="越秀金控"/>
    <n v="200"/>
    <n v="200"/>
    <n v="2.077"/>
    <n v="1776.65"/>
    <n v="427.7"/>
    <n v="2192"/>
    <n v="10.96"/>
  </r>
  <r>
    <x v="272"/>
    <s v="002006"/>
    <s v="精功科技"/>
    <n v="100"/>
    <n v="100"/>
    <n v="-18.477"/>
    <n v="2449.6999999999998"/>
    <n v="0"/>
    <n v="602"/>
    <n v="6.02"/>
  </r>
  <r>
    <x v="272"/>
    <s v="002140"/>
    <s v="东华科技"/>
    <n v="13100"/>
    <n v="13100"/>
    <n v="11.082000000000001"/>
    <n v="-37498"/>
    <n v="-25.83"/>
    <n v="107682"/>
    <n v="8.2200000000000006"/>
  </r>
  <r>
    <x v="272"/>
    <s v="002945"/>
    <s v="华林证券"/>
    <n v="100"/>
    <n v="100"/>
    <n v="-22.33"/>
    <n v="3748"/>
    <n v="0"/>
    <n v="1515"/>
    <n v="15.15"/>
  </r>
  <r>
    <x v="272"/>
    <s v="002950"/>
    <s v="奥美医疗"/>
    <n v="100"/>
    <n v="100"/>
    <n v="-94.45"/>
    <n v="12849"/>
    <n v="0"/>
    <n v="3404"/>
    <n v="34.04"/>
  </r>
  <r>
    <x v="272"/>
    <s v="300701"/>
    <s v="森霸传感"/>
    <n v="100"/>
    <n v="100"/>
    <n v="-130.86000000000001"/>
    <n v="16865"/>
    <n v="0"/>
    <n v="3779"/>
    <n v="37.79"/>
  </r>
  <r>
    <x v="272"/>
    <s v="reserve"/>
    <s v="备用金"/>
    <m/>
    <m/>
    <m/>
    <m/>
    <m/>
    <n v="24803.29"/>
    <m/>
  </r>
  <r>
    <x v="273"/>
    <s v="519888"/>
    <s v="添富快线"/>
    <n v="7002726"/>
    <n v="7002726"/>
    <n v="8.9999999999999993E-3"/>
    <n v="3829.04"/>
    <n v="11.11"/>
    <n v="70027.259999999995"/>
    <n v="0.01"/>
  </r>
  <r>
    <x v="273"/>
    <s v="600269"/>
    <s v="赣粤高速"/>
    <n v="2700"/>
    <n v="2700"/>
    <n v="4.952"/>
    <n v="-841.58"/>
    <n v="-6.29"/>
    <n v="12528"/>
    <n v="4.6399999999999997"/>
  </r>
  <r>
    <x v="273"/>
    <s v="601398"/>
    <s v="工商银行"/>
    <n v="100"/>
    <n v="100"/>
    <n v="-53.82"/>
    <n v="5946"/>
    <n v="0"/>
    <n v="564"/>
    <n v="5.64"/>
  </r>
  <r>
    <x v="273"/>
    <s v="601998"/>
    <s v="中信银行"/>
    <n v="700"/>
    <n v="700"/>
    <n v="2.2519999999999998"/>
    <n v="2903.85"/>
    <n v="184.21"/>
    <n v="4480"/>
    <n v="6.4"/>
  </r>
  <r>
    <x v="273"/>
    <s v="603116"/>
    <s v="红蜻蜓"/>
    <n v="9720"/>
    <n v="9720"/>
    <n v="10.760999999999999"/>
    <n v="-16242.03"/>
    <n v="-15.53"/>
    <n v="88354.8"/>
    <n v="9.09"/>
  </r>
  <r>
    <x v="273"/>
    <s v="000402"/>
    <s v="金 融 街"/>
    <n v="21700"/>
    <n v="21700"/>
    <n v="8.891"/>
    <n v="-3060.9"/>
    <n v="-1.59"/>
    <n v="189875"/>
    <n v="8.75"/>
  </r>
  <r>
    <x v="273"/>
    <s v="000415"/>
    <s v="渤海租赁"/>
    <n v="5100"/>
    <n v="5100"/>
    <n v="5.5359999999999996"/>
    <n v="-3753.83"/>
    <n v="-13.3"/>
    <n v="24480"/>
    <n v="4.8"/>
  </r>
  <r>
    <x v="273"/>
    <s v="000528"/>
    <s v="柳    工"/>
    <n v="230"/>
    <n v="230"/>
    <n v="-11.728999999999999"/>
    <n v="4537.67"/>
    <n v="0"/>
    <n v="1840"/>
    <n v="8"/>
  </r>
  <r>
    <x v="273"/>
    <s v="000987"/>
    <s v="越秀金控"/>
    <n v="200"/>
    <n v="200"/>
    <n v="2.077"/>
    <n v="1798.65"/>
    <n v="432.99"/>
    <n v="2214"/>
    <n v="11.07"/>
  </r>
  <r>
    <x v="273"/>
    <s v="002006"/>
    <s v="精功科技"/>
    <n v="100"/>
    <n v="100"/>
    <n v="-18.477"/>
    <n v="2463.6999999999998"/>
    <n v="0"/>
    <n v="616"/>
    <n v="6.16"/>
  </r>
  <r>
    <x v="273"/>
    <s v="002140"/>
    <s v="东华科技"/>
    <n v="12700"/>
    <n v="12700"/>
    <n v="11.156000000000001"/>
    <n v="-31186.51"/>
    <n v="-22.01"/>
    <n v="110490"/>
    <n v="8.6999999999999993"/>
  </r>
  <r>
    <x v="273"/>
    <s v="002945"/>
    <s v="华林证券"/>
    <n v="100"/>
    <n v="100"/>
    <n v="-22.33"/>
    <n v="3759"/>
    <n v="0"/>
    <n v="1526"/>
    <n v="15.26"/>
  </r>
  <r>
    <x v="273"/>
    <s v="002950"/>
    <s v="奥美医疗"/>
    <n v="100"/>
    <n v="100"/>
    <n v="-94.45"/>
    <n v="12897"/>
    <n v="0"/>
    <n v="3452"/>
    <n v="34.520000000000003"/>
  </r>
  <r>
    <x v="273"/>
    <s v="300701"/>
    <s v="森霸传感"/>
    <n v="100"/>
    <n v="100"/>
    <n v="-130.86000000000001"/>
    <n v="16976"/>
    <n v="0"/>
    <n v="3890"/>
    <n v="38.9"/>
  </r>
  <r>
    <x v="273"/>
    <s v="reserve"/>
    <s v="备用金"/>
    <m/>
    <m/>
    <m/>
    <m/>
    <m/>
    <n v="21509.38"/>
    <m/>
  </r>
  <r>
    <x v="274"/>
    <s v="519888"/>
    <s v="添富快线"/>
    <n v="9000000"/>
    <n v="7000000"/>
    <n v="0.01"/>
    <n v="3840.37"/>
    <n v="0"/>
    <n v="90000"/>
    <n v="0.01"/>
  </r>
  <r>
    <x v="274"/>
    <s v="600269"/>
    <s v="赣粤高速"/>
    <n v="2700"/>
    <n v="2700"/>
    <n v="4.952"/>
    <n v="-922.58"/>
    <n v="-6.9"/>
    <n v="12447"/>
    <n v="4.6100000000000003"/>
  </r>
  <r>
    <x v="274"/>
    <s v="601398"/>
    <s v="工商银行"/>
    <n v="100"/>
    <n v="100"/>
    <n v="-53.82"/>
    <n v="5948"/>
    <n v="0"/>
    <n v="566"/>
    <n v="5.66"/>
  </r>
  <r>
    <x v="274"/>
    <s v="601998"/>
    <s v="中信银行"/>
    <n v="700"/>
    <n v="700"/>
    <n v="2.2519999999999998"/>
    <n v="2875.85"/>
    <n v="182.43"/>
    <n v="4452"/>
    <n v="6.36"/>
  </r>
  <r>
    <x v="274"/>
    <s v="603116"/>
    <s v="红蜻蜓"/>
    <n v="9720"/>
    <n v="9720"/>
    <n v="10.760999999999999"/>
    <n v="-15658.83"/>
    <n v="-14.97"/>
    <n v="88938"/>
    <n v="9.15"/>
  </r>
  <r>
    <x v="274"/>
    <s v="000402"/>
    <s v="金 融 街"/>
    <n v="21700"/>
    <n v="21700"/>
    <n v="8.891"/>
    <n v="-2626.9"/>
    <n v="-1.36"/>
    <n v="190309"/>
    <n v="8.77"/>
  </r>
  <r>
    <x v="274"/>
    <s v="000415"/>
    <s v="渤海租赁"/>
    <n v="4700"/>
    <n v="4700"/>
    <n v="5.5839999999999996"/>
    <n v="-2932.83"/>
    <n v="-11.17"/>
    <n v="23312"/>
    <n v="4.96"/>
  </r>
  <r>
    <x v="274"/>
    <s v="000528"/>
    <s v="柳    工"/>
    <n v="230"/>
    <n v="230"/>
    <n v="-11.728999999999999"/>
    <n v="4512.37"/>
    <n v="0"/>
    <n v="1814.7"/>
    <n v="7.89"/>
  </r>
  <r>
    <x v="274"/>
    <s v="000987"/>
    <s v="越秀金控"/>
    <n v="200"/>
    <n v="200"/>
    <n v="2.077"/>
    <n v="1794.65"/>
    <n v="432.03"/>
    <n v="2210"/>
    <n v="11.05"/>
  </r>
  <r>
    <x v="274"/>
    <s v="002006"/>
    <s v="精功科技"/>
    <n v="100"/>
    <n v="100"/>
    <n v="-18.477"/>
    <n v="2462.6999999999998"/>
    <n v="0"/>
    <n v="615"/>
    <n v="6.15"/>
  </r>
  <r>
    <x v="274"/>
    <s v="002140"/>
    <s v="东华科技"/>
    <n v="12700"/>
    <n v="12700"/>
    <n v="11.156000000000001"/>
    <n v="-32456.51"/>
    <n v="-22.91"/>
    <n v="109220"/>
    <n v="8.6"/>
  </r>
  <r>
    <x v="274"/>
    <s v="002945"/>
    <s v="华林证券"/>
    <n v="100"/>
    <n v="100"/>
    <n v="-22.33"/>
    <n v="3724"/>
    <n v="0"/>
    <n v="1491"/>
    <n v="14.91"/>
  </r>
  <r>
    <x v="274"/>
    <s v="002950"/>
    <s v="奥美医疗"/>
    <n v="100"/>
    <n v="100"/>
    <n v="-94.45"/>
    <n v="12915"/>
    <n v="0"/>
    <n v="3470"/>
    <n v="34.700000000000003"/>
  </r>
  <r>
    <x v="274"/>
    <s v="300701"/>
    <s v="森霸传感"/>
    <n v="100"/>
    <n v="100"/>
    <n v="-130.86000000000001"/>
    <n v="16949"/>
    <n v="0"/>
    <n v="3863"/>
    <n v="38.630000000000003"/>
  </r>
  <r>
    <x v="274"/>
    <s v="reserve"/>
    <s v="备用金"/>
    <m/>
    <m/>
    <m/>
    <m/>
    <m/>
    <n v="3496.97"/>
    <m/>
  </r>
  <r>
    <x v="275"/>
    <s v="519888"/>
    <s v="添富快线"/>
    <n v="10000000"/>
    <n v="9000000"/>
    <n v="0.01"/>
    <n v="3844.85"/>
    <n v="0"/>
    <n v="100000"/>
    <n v="0.01"/>
  </r>
  <r>
    <x v="275"/>
    <s v="600269"/>
    <s v="赣粤高速"/>
    <n v="2700"/>
    <n v="2700"/>
    <n v="4.952"/>
    <n v="-787.58"/>
    <n v="-5.89"/>
    <n v="12582"/>
    <n v="4.66"/>
  </r>
  <r>
    <x v="275"/>
    <s v="601398"/>
    <s v="工商银行"/>
    <n v="100"/>
    <n v="100"/>
    <n v="-53.82"/>
    <n v="5952"/>
    <n v="0"/>
    <n v="570"/>
    <n v="5.7"/>
  </r>
  <r>
    <x v="275"/>
    <s v="601998"/>
    <s v="中信银行"/>
    <n v="700"/>
    <n v="700"/>
    <n v="2.2519999999999998"/>
    <n v="2896.85"/>
    <n v="183.76"/>
    <n v="4473"/>
    <n v="6.39"/>
  </r>
  <r>
    <x v="275"/>
    <s v="603116"/>
    <s v="红蜻蜓"/>
    <n v="8920"/>
    <n v="8920"/>
    <n v="10.87"/>
    <n v="-10880.64"/>
    <n v="-11.22"/>
    <n v="86078"/>
    <n v="9.65"/>
  </r>
  <r>
    <x v="275"/>
    <s v="000402"/>
    <s v="金 融 街"/>
    <n v="21700"/>
    <n v="21700"/>
    <n v="8.891"/>
    <n v="1930.1"/>
    <n v="1"/>
    <n v="194866"/>
    <n v="8.98"/>
  </r>
  <r>
    <x v="275"/>
    <s v="000415"/>
    <s v="渤海租赁"/>
    <n v="5200"/>
    <n v="4700"/>
    <n v="5.5140000000000002"/>
    <n v="-2882.83"/>
    <n v="-10.050000000000001"/>
    <n v="25792"/>
    <n v="4.96"/>
  </r>
  <r>
    <x v="275"/>
    <s v="000528"/>
    <s v="柳    工"/>
    <n v="230"/>
    <n v="230"/>
    <n v="-11.728999999999999"/>
    <n v="4549.17"/>
    <n v="0"/>
    <n v="1851.5"/>
    <n v="8.0500000000000007"/>
  </r>
  <r>
    <x v="275"/>
    <s v="000987"/>
    <s v="越秀金控"/>
    <n v="200"/>
    <n v="200"/>
    <n v="2.077"/>
    <n v="1822.65"/>
    <n v="438.77"/>
    <n v="2238"/>
    <n v="11.19"/>
  </r>
  <r>
    <x v="275"/>
    <s v="002006"/>
    <s v="精功科技"/>
    <n v="100"/>
    <n v="100"/>
    <n v="-18.477"/>
    <n v="2472.6999999999998"/>
    <n v="0"/>
    <n v="625"/>
    <n v="6.25"/>
  </r>
  <r>
    <x v="275"/>
    <s v="002140"/>
    <s v="东华科技"/>
    <n v="12300"/>
    <n v="12300"/>
    <n v="11.224"/>
    <n v="-27234.14"/>
    <n v="-19.73"/>
    <n v="110823"/>
    <n v="9.01"/>
  </r>
  <r>
    <x v="275"/>
    <s v="002945"/>
    <s v="华林证券"/>
    <n v="100"/>
    <n v="100"/>
    <n v="-22.33"/>
    <n v="3756"/>
    <n v="0"/>
    <n v="1523"/>
    <n v="15.23"/>
  </r>
  <r>
    <x v="275"/>
    <s v="002950"/>
    <s v="奥美医疗"/>
    <n v="100"/>
    <n v="100"/>
    <n v="-94.45"/>
    <n v="12814"/>
    <n v="0"/>
    <n v="3369"/>
    <n v="33.69"/>
  </r>
  <r>
    <x v="275"/>
    <s v="300701"/>
    <s v="森霸传感"/>
    <n v="100"/>
    <n v="100"/>
    <n v="-130.86000000000001"/>
    <n v="16975"/>
    <n v="0"/>
    <n v="3889"/>
    <n v="38.89"/>
  </r>
  <r>
    <x v="275"/>
    <s v="reserve"/>
    <s v="备用金"/>
    <m/>
    <m/>
    <m/>
    <m/>
    <m/>
    <n v="2329.0100000000002"/>
    <m/>
  </r>
  <r>
    <x v="276"/>
    <s v="519888"/>
    <s v="添富快线"/>
    <n v="10000465"/>
    <n v="10000465"/>
    <n v="0.01"/>
    <n v="3849.5"/>
    <n v="0"/>
    <n v="100004.65"/>
    <n v="0.01"/>
  </r>
  <r>
    <x v="276"/>
    <s v="600269"/>
    <s v="赣粤高速"/>
    <n v="2300"/>
    <n v="2300"/>
    <n v="4.992"/>
    <n v="-693.52"/>
    <n v="-6.04"/>
    <n v="10787"/>
    <n v="4.6900000000000004"/>
  </r>
  <r>
    <x v="276"/>
    <s v="601398"/>
    <s v="工商银行"/>
    <n v="100"/>
    <n v="100"/>
    <n v="-53.82"/>
    <n v="5963"/>
    <n v="0"/>
    <n v="581"/>
    <n v="5.81"/>
  </r>
  <r>
    <x v="276"/>
    <s v="601998"/>
    <s v="中信银行"/>
    <n v="700"/>
    <n v="300"/>
    <n v="2.2519999999999998"/>
    <n v="2973.85"/>
    <n v="188.65"/>
    <n v="4550"/>
    <n v="6.5"/>
  </r>
  <r>
    <x v="276"/>
    <s v="603116"/>
    <s v="红蜻蜓"/>
    <n v="9420"/>
    <n v="8920"/>
    <n v="10.795999999999999"/>
    <n v="-13339.13"/>
    <n v="-13.12"/>
    <n v="88359.6"/>
    <n v="9.3800000000000008"/>
  </r>
  <r>
    <x v="276"/>
    <s v="000402"/>
    <s v="金 融 街"/>
    <n v="20900"/>
    <n v="20900"/>
    <n v="8.8849999999999998"/>
    <n v="5537.84"/>
    <n v="2.98"/>
    <n v="191235"/>
    <n v="9.15"/>
  </r>
  <r>
    <x v="276"/>
    <s v="000415"/>
    <s v="渤海租赁"/>
    <n v="4800"/>
    <n v="4800"/>
    <n v="5.548"/>
    <n v="-2773.88"/>
    <n v="-10.42"/>
    <n v="23856"/>
    <n v="4.97"/>
  </r>
  <r>
    <x v="276"/>
    <s v="000528"/>
    <s v="柳    工"/>
    <n v="230"/>
    <n v="230"/>
    <n v="-11.728999999999999"/>
    <n v="4567.57"/>
    <n v="0"/>
    <n v="1869.9"/>
    <n v="8.1300000000000008"/>
  </r>
  <r>
    <x v="276"/>
    <s v="000987"/>
    <s v="越秀金控"/>
    <n v="200"/>
    <n v="200"/>
    <n v="2.077"/>
    <n v="1824.65"/>
    <n v="439.25"/>
    <n v="2240"/>
    <n v="11.2"/>
  </r>
  <r>
    <x v="276"/>
    <s v="002006"/>
    <s v="精功科技"/>
    <n v="100"/>
    <n v="100"/>
    <n v="-18.477"/>
    <n v="2474.6999999999998"/>
    <n v="0"/>
    <n v="627"/>
    <n v="6.27"/>
  </r>
  <r>
    <x v="276"/>
    <s v="002140"/>
    <s v="东华科技"/>
    <n v="12300"/>
    <n v="12300"/>
    <n v="11.224"/>
    <n v="-28095.14"/>
    <n v="-20.350000000000001"/>
    <n v="109962"/>
    <n v="8.94"/>
  </r>
  <r>
    <x v="276"/>
    <s v="002945"/>
    <s v="华林证券"/>
    <n v="100"/>
    <n v="100"/>
    <n v="-22.33"/>
    <n v="3731"/>
    <n v="0"/>
    <n v="1498"/>
    <n v="14.98"/>
  </r>
  <r>
    <x v="276"/>
    <s v="002950"/>
    <s v="奥美医疗"/>
    <n v="100"/>
    <n v="100"/>
    <n v="-94.45"/>
    <n v="13015"/>
    <n v="0"/>
    <n v="3570"/>
    <n v="35.700000000000003"/>
  </r>
  <r>
    <x v="276"/>
    <s v="300701"/>
    <s v="森霸传感"/>
    <n v="100"/>
    <n v="100"/>
    <n v="-130.86000000000001"/>
    <n v="16944"/>
    <n v="0"/>
    <n v="3858"/>
    <n v="38.58"/>
  </r>
  <r>
    <x v="276"/>
    <s v="reserve"/>
    <s v="备用金"/>
    <m/>
    <m/>
    <m/>
    <m/>
    <m/>
    <n v="7729.67"/>
    <m/>
  </r>
  <r>
    <x v="277"/>
    <s v="519888"/>
    <s v="添富快线"/>
    <n v="11001004"/>
    <n v="10001004"/>
    <n v="0.01"/>
    <n v="3854.89"/>
    <n v="0"/>
    <n v="110010.04"/>
    <n v="0.01"/>
  </r>
  <r>
    <x v="277"/>
    <s v="600269"/>
    <s v="赣粤高速"/>
    <n v="2300"/>
    <n v="2300"/>
    <n v="4.992"/>
    <n v="-693.52"/>
    <n v="-6.04"/>
    <n v="10787"/>
    <n v="4.6900000000000004"/>
  </r>
  <r>
    <x v="277"/>
    <s v="601398"/>
    <s v="工商银行"/>
    <n v="100"/>
    <n v="100"/>
    <n v="-53.82"/>
    <n v="5964"/>
    <n v="0"/>
    <n v="582"/>
    <n v="5.82"/>
  </r>
  <r>
    <x v="277"/>
    <s v="601998"/>
    <s v="中信银行"/>
    <n v="300"/>
    <n v="300"/>
    <n v="-3.4809999999999999"/>
    <n v="3012.3"/>
    <n v="0"/>
    <n v="1968"/>
    <n v="6.56"/>
  </r>
  <r>
    <x v="277"/>
    <s v="603116"/>
    <s v="红蜻蜓"/>
    <n v="9420"/>
    <n v="9420"/>
    <n v="10.795999999999999"/>
    <n v="-14940.53"/>
    <n v="-14.69"/>
    <n v="86758.2"/>
    <n v="9.2100000000000009"/>
  </r>
  <r>
    <x v="277"/>
    <s v="000402"/>
    <s v="金 融 街"/>
    <n v="20500"/>
    <n v="20500"/>
    <n v="8.8780000000000001"/>
    <n v="4560.12"/>
    <n v="2.5099999999999998"/>
    <n v="186550"/>
    <n v="9.1"/>
  </r>
  <r>
    <x v="277"/>
    <s v="000415"/>
    <s v="渤海租赁"/>
    <n v="4800"/>
    <n v="4800"/>
    <n v="5.548"/>
    <n v="-3349.88"/>
    <n v="-12.58"/>
    <n v="23280"/>
    <n v="4.8499999999999996"/>
  </r>
  <r>
    <x v="277"/>
    <s v="000528"/>
    <s v="柳    工"/>
    <n v="230"/>
    <n v="230"/>
    <n v="-11.728999999999999"/>
    <n v="4574.47"/>
    <n v="0"/>
    <n v="1876.8"/>
    <n v="8.16"/>
  </r>
  <r>
    <x v="277"/>
    <s v="000987"/>
    <s v="越秀金控"/>
    <n v="200"/>
    <n v="200"/>
    <n v="2.077"/>
    <n v="1780.65"/>
    <n v="428.66"/>
    <n v="2196"/>
    <n v="10.98"/>
  </r>
  <r>
    <x v="277"/>
    <s v="002006"/>
    <s v="精功科技"/>
    <n v="100"/>
    <n v="100"/>
    <n v="-18.477"/>
    <n v="2458.6999999999998"/>
    <n v="0"/>
    <n v="611"/>
    <n v="6.11"/>
  </r>
  <r>
    <x v="277"/>
    <s v="002140"/>
    <s v="东华科技"/>
    <n v="11900"/>
    <n v="11900"/>
    <n v="11.288"/>
    <n v="-25325.88"/>
    <n v="-18.850000000000001"/>
    <n v="109004"/>
    <n v="9.16"/>
  </r>
  <r>
    <x v="277"/>
    <s v="002945"/>
    <s v="华林证券"/>
    <n v="100"/>
    <n v="100"/>
    <n v="-22.33"/>
    <n v="3683"/>
    <n v="0"/>
    <n v="1450"/>
    <n v="14.5"/>
  </r>
  <r>
    <x v="277"/>
    <s v="002950"/>
    <s v="奥美医疗"/>
    <n v="100"/>
    <n v="100"/>
    <n v="-94.45"/>
    <n v="12782"/>
    <n v="0"/>
    <n v="3337"/>
    <n v="33.369999999999997"/>
  </r>
  <r>
    <x v="277"/>
    <s v="300701"/>
    <s v="森霸传感"/>
    <n v="100"/>
    <n v="100"/>
    <n v="-130.86000000000001"/>
    <n v="16846"/>
    <n v="0"/>
    <n v="3760"/>
    <n v="37.6"/>
  </r>
  <r>
    <x v="277"/>
    <s v="reserve"/>
    <s v="备用金"/>
    <m/>
    <m/>
    <m/>
    <m/>
    <m/>
    <n v="7757.13"/>
    <m/>
  </r>
  <r>
    <x v="278"/>
    <s v="519888"/>
    <s v="添富快线"/>
    <n v="11003217"/>
    <n v="11003217"/>
    <n v="0.01"/>
    <n v="3877.02"/>
    <n v="0"/>
    <n v="110032.17"/>
    <n v="0.01"/>
  </r>
  <r>
    <x v="278"/>
    <s v="600269"/>
    <s v="赣粤高速"/>
    <n v="2300"/>
    <n v="2300"/>
    <n v="4.992"/>
    <n v="-601.52"/>
    <n v="-5.24"/>
    <n v="10879"/>
    <n v="4.7300000000000004"/>
  </r>
  <r>
    <x v="278"/>
    <s v="601398"/>
    <s v="工商银行"/>
    <n v="100"/>
    <n v="100"/>
    <n v="-53.82"/>
    <n v="5960"/>
    <n v="0"/>
    <n v="578"/>
    <n v="5.78"/>
  </r>
  <r>
    <x v="278"/>
    <s v="601998"/>
    <s v="中信银行"/>
    <n v="300"/>
    <n v="300"/>
    <n v="-3.4809999999999999"/>
    <n v="2991.3"/>
    <n v="0"/>
    <n v="1947"/>
    <n v="6.49"/>
  </r>
  <r>
    <x v="278"/>
    <s v="603116"/>
    <s v="红蜻蜓"/>
    <n v="9920"/>
    <n v="9420"/>
    <n v="10.718"/>
    <n v="-14167.02"/>
    <n v="-13.32"/>
    <n v="92156.800000000003"/>
    <n v="9.2899999999999991"/>
  </r>
  <r>
    <x v="278"/>
    <s v="000402"/>
    <s v="金 融 街"/>
    <n v="20100"/>
    <n v="20100"/>
    <n v="8.8680000000000003"/>
    <n v="8683.3700000000008"/>
    <n v="4.87"/>
    <n v="186930"/>
    <n v="9.3000000000000007"/>
  </r>
  <r>
    <x v="278"/>
    <s v="000415"/>
    <s v="渤海租赁"/>
    <n v="4800"/>
    <n v="4800"/>
    <n v="5.548"/>
    <n v="-3109.88"/>
    <n v="-11.68"/>
    <n v="23520"/>
    <n v="4.9000000000000004"/>
  </r>
  <r>
    <x v="278"/>
    <s v="000528"/>
    <s v="柳    工"/>
    <n v="230"/>
    <n v="230"/>
    <n v="-11.728999999999999"/>
    <n v="4539.97"/>
    <n v="0"/>
    <n v="1842.3"/>
    <n v="8.01"/>
  </r>
  <r>
    <x v="278"/>
    <s v="000987"/>
    <s v="越秀金控"/>
    <n v="200"/>
    <n v="200"/>
    <n v="2.077"/>
    <n v="1920.65"/>
    <n v="462.36"/>
    <n v="2336"/>
    <n v="11.68"/>
  </r>
  <r>
    <x v="278"/>
    <s v="002006"/>
    <s v="精功科技"/>
    <n v="100"/>
    <n v="100"/>
    <n v="-18.477"/>
    <n v="2467.6999999999998"/>
    <n v="0"/>
    <n v="620"/>
    <n v="6.2"/>
  </r>
  <r>
    <x v="278"/>
    <s v="002140"/>
    <s v="东华科技"/>
    <n v="11900"/>
    <n v="11900"/>
    <n v="11.288"/>
    <n v="-26158.880000000001"/>
    <n v="-19.47"/>
    <n v="108171"/>
    <n v="9.09"/>
  </r>
  <r>
    <x v="278"/>
    <s v="002945"/>
    <s v="华林证券"/>
    <n v="100"/>
    <n v="100"/>
    <n v="-22.33"/>
    <n v="3723"/>
    <n v="0"/>
    <n v="1490"/>
    <n v="14.9"/>
  </r>
  <r>
    <x v="278"/>
    <s v="002950"/>
    <s v="奥美医疗"/>
    <n v="100"/>
    <n v="100"/>
    <n v="-94.45"/>
    <n v="12624"/>
    <n v="0"/>
    <n v="3179"/>
    <n v="31.79"/>
  </r>
  <r>
    <x v="278"/>
    <s v="300701"/>
    <s v="森霸传感"/>
    <n v="100"/>
    <n v="100"/>
    <n v="-130.86000000000001"/>
    <n v="16851"/>
    <n v="0"/>
    <n v="3765"/>
    <n v="37.65"/>
  </r>
  <r>
    <x v="278"/>
    <s v="reserve"/>
    <s v="备用金"/>
    <m/>
    <m/>
    <m/>
    <m/>
    <m/>
    <n v="6863.29"/>
    <m/>
  </r>
  <r>
    <x v="279"/>
    <s v="519888"/>
    <s v="添富快线"/>
    <n v="10003728"/>
    <n v="10003728"/>
    <n v="0.01"/>
    <n v="3882.13"/>
    <n v="0"/>
    <n v="100037.28"/>
    <n v="0.01"/>
  </r>
  <r>
    <x v="279"/>
    <s v="600269"/>
    <s v="赣粤高速"/>
    <n v="2300"/>
    <n v="2300"/>
    <n v="4.992"/>
    <n v="-509.52"/>
    <n v="-4.4400000000000004"/>
    <n v="10971"/>
    <n v="4.7699999999999996"/>
  </r>
  <r>
    <x v="279"/>
    <s v="601398"/>
    <s v="工商银行"/>
    <n v="100"/>
    <n v="100"/>
    <n v="-53.82"/>
    <n v="5957"/>
    <n v="0"/>
    <n v="575"/>
    <n v="5.75"/>
  </r>
  <r>
    <x v="279"/>
    <s v="601998"/>
    <s v="中信银行"/>
    <n v="800"/>
    <n v="300"/>
    <n v="2.7010000000000001"/>
    <n v="2983.11"/>
    <n v="138.06"/>
    <n v="5144"/>
    <n v="6.43"/>
  </r>
  <r>
    <x v="279"/>
    <s v="603116"/>
    <s v="红蜻蜓"/>
    <n v="9920"/>
    <n v="9920"/>
    <n v="10.718"/>
    <n v="-15357.42"/>
    <n v="-14.44"/>
    <n v="90966.399999999994"/>
    <n v="9.17"/>
  </r>
  <r>
    <x v="279"/>
    <s v="000402"/>
    <s v="金 融 街"/>
    <n v="20200"/>
    <n v="19700"/>
    <n v="8.8689999999999998"/>
    <n v="8099.63"/>
    <n v="4.5199999999999996"/>
    <n v="187254"/>
    <n v="9.27"/>
  </r>
  <r>
    <x v="279"/>
    <s v="000415"/>
    <s v="渤海租赁"/>
    <n v="5800"/>
    <n v="4800"/>
    <n v="5.4329999999999998"/>
    <n v="-3379.88"/>
    <n v="-10.73"/>
    <n v="28130"/>
    <n v="4.8499999999999996"/>
  </r>
  <r>
    <x v="279"/>
    <s v="000528"/>
    <s v="柳    工"/>
    <n v="230"/>
    <n v="230"/>
    <n v="-11.728999999999999"/>
    <n v="4583.67"/>
    <n v="0"/>
    <n v="1886"/>
    <n v="8.1999999999999993"/>
  </r>
  <r>
    <x v="279"/>
    <s v="000987"/>
    <s v="越秀金控"/>
    <n v="200"/>
    <n v="200"/>
    <n v="2.077"/>
    <n v="1824.65"/>
    <n v="439.25"/>
    <n v="2240"/>
    <n v="11.2"/>
  </r>
  <r>
    <x v="279"/>
    <s v="002006"/>
    <s v="精功科技"/>
    <n v="100"/>
    <n v="100"/>
    <n v="-18.477"/>
    <n v="2457.6999999999998"/>
    <n v="0"/>
    <n v="610"/>
    <n v="6.1"/>
  </r>
  <r>
    <x v="279"/>
    <s v="002140"/>
    <s v="东华科技"/>
    <n v="11900"/>
    <n v="11900"/>
    <n v="11.288"/>
    <n v="-26515.88"/>
    <n v="-19.739999999999998"/>
    <n v="107814"/>
    <n v="9.06"/>
  </r>
  <r>
    <x v="279"/>
    <s v="002945"/>
    <s v="华林证券"/>
    <n v="100"/>
    <n v="100"/>
    <n v="-22.33"/>
    <n v="3686"/>
    <n v="0"/>
    <n v="1453"/>
    <n v="14.53"/>
  </r>
  <r>
    <x v="279"/>
    <s v="002950"/>
    <s v="奥美医疗"/>
    <n v="100"/>
    <n v="100"/>
    <n v="-94.45"/>
    <n v="12648"/>
    <n v="0"/>
    <n v="3203"/>
    <n v="32.03"/>
  </r>
  <r>
    <x v="279"/>
    <s v="300701"/>
    <s v="森霸传感"/>
    <n v="100"/>
    <n v="100"/>
    <n v="-130.86000000000001"/>
    <n v="16925"/>
    <n v="0"/>
    <n v="3839"/>
    <n v="38.39"/>
  </r>
  <r>
    <x v="279"/>
    <s v="reserve"/>
    <s v="备用金"/>
    <m/>
    <m/>
    <m/>
    <m/>
    <m/>
    <n v="7858.49"/>
    <m/>
  </r>
  <r>
    <x v="280"/>
    <s v="519888"/>
    <s v="添富快线"/>
    <n v="10004240"/>
    <n v="10004240"/>
    <n v="0.01"/>
    <n v="3887.25"/>
    <n v="0"/>
    <n v="100042.4"/>
    <n v="0.01"/>
  </r>
  <r>
    <x v="280"/>
    <s v="600269"/>
    <s v="赣粤高速"/>
    <n v="2300"/>
    <n v="2300"/>
    <n v="4.992"/>
    <n v="-693.52"/>
    <n v="-6.04"/>
    <n v="10787"/>
    <n v="4.6900000000000004"/>
  </r>
  <r>
    <x v="280"/>
    <s v="601398"/>
    <s v="工商银行"/>
    <n v="100"/>
    <n v="100"/>
    <n v="-53.82"/>
    <n v="5955"/>
    <n v="0"/>
    <n v="573"/>
    <n v="5.73"/>
  </r>
  <r>
    <x v="280"/>
    <s v="601998"/>
    <s v="中信银行"/>
    <n v="800"/>
    <n v="800"/>
    <n v="2.7010000000000001"/>
    <n v="2935.11"/>
    <n v="135.83000000000001"/>
    <n v="5096"/>
    <n v="6.37"/>
  </r>
  <r>
    <x v="280"/>
    <s v="603116"/>
    <s v="红蜻蜓"/>
    <n v="9920"/>
    <n v="9920"/>
    <n v="10.718"/>
    <n v="-16746.22"/>
    <n v="-15.75"/>
    <n v="89577.600000000006"/>
    <n v="9.0299999999999994"/>
  </r>
  <r>
    <x v="280"/>
    <s v="000402"/>
    <s v="金 融 街"/>
    <n v="20200"/>
    <n v="20200"/>
    <n v="8.8689999999999998"/>
    <n v="6079.63"/>
    <n v="3.39"/>
    <n v="185234"/>
    <n v="9.17"/>
  </r>
  <r>
    <x v="280"/>
    <s v="000415"/>
    <s v="渤海租赁"/>
    <n v="5800"/>
    <n v="5800"/>
    <n v="5.4329999999999998"/>
    <n v="-3785.88"/>
    <n v="-12.01"/>
    <n v="27724"/>
    <n v="4.78"/>
  </r>
  <r>
    <x v="280"/>
    <s v="000528"/>
    <s v="柳    工"/>
    <n v="230"/>
    <n v="230"/>
    <n v="-11.728999999999999"/>
    <n v="4558.37"/>
    <n v="0"/>
    <n v="1860.7"/>
    <n v="8.09"/>
  </r>
  <r>
    <x v="280"/>
    <s v="000987"/>
    <s v="越秀金控"/>
    <n v="200"/>
    <n v="200"/>
    <n v="2.077"/>
    <n v="1794.65"/>
    <n v="432.03"/>
    <n v="2210"/>
    <n v="11.05"/>
  </r>
  <r>
    <x v="280"/>
    <s v="002006"/>
    <s v="精功科技"/>
    <n v="100"/>
    <n v="100"/>
    <n v="-18.477"/>
    <n v="2444.6999999999998"/>
    <n v="0"/>
    <n v="597"/>
    <n v="5.97"/>
  </r>
  <r>
    <x v="280"/>
    <s v="002140"/>
    <s v="东华科技"/>
    <n v="12400"/>
    <n v="11900"/>
    <n v="11.19"/>
    <n v="-30869.88"/>
    <n v="-22.25"/>
    <n v="107880"/>
    <n v="8.6999999999999993"/>
  </r>
  <r>
    <x v="280"/>
    <s v="002945"/>
    <s v="华林证券"/>
    <n v="100"/>
    <n v="100"/>
    <n v="-22.33"/>
    <n v="3649"/>
    <n v="0"/>
    <n v="1416"/>
    <n v="14.16"/>
  </r>
  <r>
    <x v="280"/>
    <s v="002950"/>
    <s v="奥美医疗"/>
    <n v="100"/>
    <n v="100"/>
    <n v="-94.45"/>
    <n v="12536"/>
    <n v="0"/>
    <n v="3091"/>
    <n v="30.91"/>
  </r>
  <r>
    <x v="280"/>
    <s v="300701"/>
    <s v="森霸传感"/>
    <n v="100"/>
    <n v="100"/>
    <n v="-130.86000000000001"/>
    <n v="16925"/>
    <n v="0"/>
    <n v="3839"/>
    <n v="38.39"/>
  </r>
  <r>
    <x v="280"/>
    <s v="reserve"/>
    <s v="备用金"/>
    <m/>
    <m/>
    <m/>
    <m/>
    <m/>
    <n v="3438.49"/>
    <m/>
  </r>
  <r>
    <x v="281"/>
    <s v="519888"/>
    <s v="添富快线"/>
    <n v="9404727"/>
    <n v="9404727"/>
    <n v="0.01"/>
    <n v="3892.12"/>
    <n v="0"/>
    <n v="94047.27"/>
    <n v="0.01"/>
  </r>
  <r>
    <x v="281"/>
    <s v="600269"/>
    <s v="赣粤高速"/>
    <n v="2300"/>
    <n v="2300"/>
    <n v="4.992"/>
    <n v="-670.52"/>
    <n v="-5.84"/>
    <n v="10810"/>
    <n v="4.7"/>
  </r>
  <r>
    <x v="281"/>
    <s v="601398"/>
    <s v="工商银行"/>
    <n v="100"/>
    <n v="100"/>
    <n v="-53.82"/>
    <n v="5955"/>
    <n v="0"/>
    <n v="573"/>
    <n v="5.73"/>
  </r>
  <r>
    <x v="281"/>
    <s v="601998"/>
    <s v="中信银行"/>
    <n v="800"/>
    <n v="800"/>
    <n v="2.7010000000000001"/>
    <n v="2895.11"/>
    <n v="133.97999999999999"/>
    <n v="5056"/>
    <n v="6.32"/>
  </r>
  <r>
    <x v="281"/>
    <s v="603116"/>
    <s v="红蜻蜓"/>
    <n v="10420"/>
    <n v="9920"/>
    <n v="10.634"/>
    <n v="-16716.310000000001"/>
    <n v="-15.09"/>
    <n v="94092.6"/>
    <n v="9.0299999999999994"/>
  </r>
  <r>
    <x v="281"/>
    <s v="000402"/>
    <s v="金 融 街"/>
    <n v="20200"/>
    <n v="20200"/>
    <n v="8.8689999999999998"/>
    <n v="4463.63"/>
    <n v="2.4900000000000002"/>
    <n v="183618"/>
    <n v="9.09"/>
  </r>
  <r>
    <x v="281"/>
    <s v="000415"/>
    <s v="渤海租赁"/>
    <n v="5800"/>
    <n v="5800"/>
    <n v="5.4329999999999998"/>
    <n v="-3147.88"/>
    <n v="-9.99"/>
    <n v="28362"/>
    <n v="4.8899999999999997"/>
  </r>
  <r>
    <x v="281"/>
    <s v="000528"/>
    <s v="柳    工"/>
    <n v="230"/>
    <n v="230"/>
    <n v="-11.728999999999999"/>
    <n v="4542.2700000000004"/>
    <n v="0"/>
    <n v="1844.6"/>
    <n v="8.02"/>
  </r>
  <r>
    <x v="281"/>
    <s v="000987"/>
    <s v="越秀金控"/>
    <n v="200"/>
    <n v="200"/>
    <n v="2.077"/>
    <n v="1784.65"/>
    <n v="429.62"/>
    <n v="2200"/>
    <n v="11"/>
  </r>
  <r>
    <x v="281"/>
    <s v="002006"/>
    <s v="精功科技"/>
    <n v="100"/>
    <n v="100"/>
    <n v="-18.477"/>
    <n v="2452.6999999999998"/>
    <n v="0"/>
    <n v="605"/>
    <n v="6.05"/>
  </r>
  <r>
    <x v="281"/>
    <s v="002140"/>
    <s v="东华科技"/>
    <n v="12400"/>
    <n v="12400"/>
    <n v="11.19"/>
    <n v="-28141.88"/>
    <n v="-20.28"/>
    <n v="110608"/>
    <n v="8.92"/>
  </r>
  <r>
    <x v="281"/>
    <s v="002945"/>
    <s v="华林证券"/>
    <n v="100"/>
    <n v="100"/>
    <n v="-22.33"/>
    <n v="3656"/>
    <n v="0"/>
    <n v="1423"/>
    <n v="14.23"/>
  </r>
  <r>
    <x v="281"/>
    <s v="002950"/>
    <s v="奥美医疗"/>
    <n v="100"/>
    <n v="100"/>
    <n v="-94.45"/>
    <n v="12502"/>
    <n v="0"/>
    <n v="3057"/>
    <n v="30.57"/>
  </r>
  <r>
    <x v="281"/>
    <s v="300701"/>
    <s v="森霸传感"/>
    <n v="100"/>
    <n v="100"/>
    <n v="-130.86000000000001"/>
    <n v="16806"/>
    <n v="0"/>
    <n v="3720"/>
    <n v="37.200000000000003"/>
  </r>
  <r>
    <x v="281"/>
    <s v="reserve"/>
    <s v="备用金"/>
    <m/>
    <m/>
    <m/>
    <m/>
    <m/>
    <n v="4953.3999999999996"/>
    <m/>
  </r>
  <r>
    <x v="282"/>
    <s v="519888"/>
    <s v="添富快线"/>
    <n v="10000010"/>
    <n v="9405210"/>
    <n v="0.01"/>
    <n v="3896.95"/>
    <n v="0"/>
    <n v="100000.1"/>
    <n v="0.01"/>
  </r>
  <r>
    <x v="282"/>
    <s v="600269"/>
    <s v="赣粤高速"/>
    <n v="1900"/>
    <n v="1900"/>
    <n v="5.0289999999999999"/>
    <n v="-587.49"/>
    <n v="-6.15"/>
    <n v="8968"/>
    <n v="4.72"/>
  </r>
  <r>
    <x v="282"/>
    <s v="601398"/>
    <s v="工商银行"/>
    <n v="100"/>
    <n v="100"/>
    <n v="-53.82"/>
    <n v="5963"/>
    <n v="0"/>
    <n v="581"/>
    <n v="5.81"/>
  </r>
  <r>
    <x v="282"/>
    <s v="601998"/>
    <s v="中信银行"/>
    <n v="800"/>
    <n v="800"/>
    <n v="2.7010000000000001"/>
    <n v="2927.11"/>
    <n v="135.46"/>
    <n v="5088"/>
    <n v="6.36"/>
  </r>
  <r>
    <x v="282"/>
    <s v="603116"/>
    <s v="红蜻蜓"/>
    <n v="10420"/>
    <n v="10420"/>
    <n v="10.634"/>
    <n v="-17028.91"/>
    <n v="-15.37"/>
    <n v="93780"/>
    <n v="9"/>
  </r>
  <r>
    <x v="282"/>
    <s v="000402"/>
    <s v="金 融 街"/>
    <n v="20200"/>
    <n v="20200"/>
    <n v="8.8689999999999998"/>
    <n v="1837.63"/>
    <n v="1.03"/>
    <n v="180992"/>
    <n v="8.9600000000000009"/>
  </r>
  <r>
    <x v="282"/>
    <s v="000415"/>
    <s v="渤海租赁"/>
    <n v="5400"/>
    <n v="5400"/>
    <n v="5.4630000000000001"/>
    <n v="-3472.9"/>
    <n v="-11.77"/>
    <n v="26028"/>
    <n v="4.82"/>
  </r>
  <r>
    <x v="282"/>
    <s v="000528"/>
    <s v="柳    工"/>
    <n v="230"/>
    <n v="230"/>
    <n v="-11.728999999999999"/>
    <n v="4514.67"/>
    <n v="0"/>
    <n v="1817"/>
    <n v="7.9"/>
  </r>
  <r>
    <x v="282"/>
    <s v="000987"/>
    <s v="越秀金控"/>
    <n v="200"/>
    <n v="200"/>
    <n v="2.077"/>
    <n v="1790.65"/>
    <n v="431.07"/>
    <n v="2206"/>
    <n v="11.03"/>
  </r>
  <r>
    <x v="282"/>
    <s v="002006"/>
    <s v="精功科技"/>
    <n v="100"/>
    <n v="100"/>
    <n v="-18.477"/>
    <n v="2455.6999999999998"/>
    <n v="0"/>
    <n v="608"/>
    <n v="6.08"/>
  </r>
  <r>
    <x v="282"/>
    <s v="002140"/>
    <s v="东华科技"/>
    <n v="12400"/>
    <n v="12400"/>
    <n v="11.19"/>
    <n v="-31489.88"/>
    <n v="-22.69"/>
    <n v="107260"/>
    <n v="8.65"/>
  </r>
  <r>
    <x v="282"/>
    <s v="002945"/>
    <s v="华林证券"/>
    <n v="100"/>
    <n v="100"/>
    <n v="-22.33"/>
    <n v="3638"/>
    <n v="0"/>
    <n v="1405"/>
    <n v="14.05"/>
  </r>
  <r>
    <x v="282"/>
    <s v="002950"/>
    <s v="奥美医疗"/>
    <n v="100"/>
    <n v="100"/>
    <n v="-94.45"/>
    <n v="12513"/>
    <n v="0"/>
    <n v="3068"/>
    <n v="30.68"/>
  </r>
  <r>
    <x v="282"/>
    <s v="300701"/>
    <s v="森霸传感"/>
    <n v="100"/>
    <n v="100"/>
    <n v="-130.86000000000001"/>
    <n v="16851"/>
    <n v="0"/>
    <n v="3765"/>
    <n v="37.65"/>
  </r>
  <r>
    <x v="282"/>
    <s v="reserve"/>
    <s v="备用金"/>
    <m/>
    <m/>
    <m/>
    <m/>
    <m/>
    <n v="2939.41"/>
    <m/>
  </r>
  <r>
    <x v="283"/>
    <s v="519888"/>
    <s v="添富快线"/>
    <n v="10000004"/>
    <n v="9201404"/>
    <n v="0.01"/>
    <n v="3910.89"/>
    <n v="0"/>
    <n v="100000.04"/>
    <n v="0.01"/>
  </r>
  <r>
    <x v="283"/>
    <s v="600269"/>
    <s v="赣粤高速"/>
    <n v="2400"/>
    <n v="1900"/>
    <n v="4.9539999999999997"/>
    <n v="-394.54"/>
    <n v="-3.32"/>
    <n v="11496"/>
    <n v="4.79"/>
  </r>
  <r>
    <x v="283"/>
    <s v="601398"/>
    <s v="工商银行"/>
    <n v="100"/>
    <n v="100"/>
    <n v="-53.82"/>
    <n v="5982"/>
    <n v="0"/>
    <n v="600"/>
    <n v="6"/>
  </r>
  <r>
    <x v="283"/>
    <s v="601998"/>
    <s v="中信银行"/>
    <n v="400"/>
    <n v="400"/>
    <n v="-1.159"/>
    <n v="3123.6"/>
    <n v="0"/>
    <n v="2660"/>
    <n v="6.65"/>
  </r>
  <r>
    <x v="283"/>
    <s v="603116"/>
    <s v="红蜻蜓"/>
    <n v="10020"/>
    <n v="10020"/>
    <n v="10.696"/>
    <n v="-15787.23"/>
    <n v="-14.73"/>
    <n v="91382.399999999994"/>
    <n v="9.1199999999999992"/>
  </r>
  <r>
    <x v="283"/>
    <s v="000402"/>
    <s v="金 融 街"/>
    <n v="20300"/>
    <n v="19800"/>
    <n v="8.8640000000000008"/>
    <n v="4785"/>
    <n v="2.66"/>
    <n v="184730"/>
    <n v="9.1"/>
  </r>
  <r>
    <x v="283"/>
    <s v="000415"/>
    <s v="渤海租赁"/>
    <n v="5000"/>
    <n v="5000"/>
    <n v="5.4909999999999997"/>
    <n v="-1605.95"/>
    <n v="-5.85"/>
    <n v="25850"/>
    <n v="5.17"/>
  </r>
  <r>
    <x v="283"/>
    <s v="000528"/>
    <s v="柳    工"/>
    <n v="230"/>
    <n v="230"/>
    <n v="-11.728999999999999"/>
    <n v="4572.17"/>
    <n v="0"/>
    <n v="1874.5"/>
    <n v="8.15"/>
  </r>
  <r>
    <x v="283"/>
    <s v="000987"/>
    <s v="越秀金控"/>
    <n v="200"/>
    <n v="200"/>
    <n v="2.077"/>
    <n v="1838.65"/>
    <n v="442.62"/>
    <n v="2254"/>
    <n v="11.27"/>
  </r>
  <r>
    <x v="283"/>
    <s v="002006"/>
    <s v="精功科技"/>
    <n v="100"/>
    <n v="100"/>
    <n v="-18.477"/>
    <n v="2462.6999999999998"/>
    <n v="0"/>
    <n v="615"/>
    <n v="6.15"/>
  </r>
  <r>
    <x v="283"/>
    <s v="002140"/>
    <s v="东华科技"/>
    <n v="12400"/>
    <n v="12400"/>
    <n v="11.19"/>
    <n v="-26777.88"/>
    <n v="-19.3"/>
    <n v="111972"/>
    <n v="9.0299999999999994"/>
  </r>
  <r>
    <x v="283"/>
    <s v="002945"/>
    <s v="华林证券"/>
    <n v="100"/>
    <n v="100"/>
    <n v="-22.33"/>
    <n v="3661"/>
    <n v="0"/>
    <n v="1428"/>
    <n v="14.28"/>
  </r>
  <r>
    <x v="283"/>
    <s v="002950"/>
    <s v="奥美医疗"/>
    <n v="100"/>
    <n v="100"/>
    <n v="-94.45"/>
    <n v="12492"/>
    <n v="0"/>
    <n v="3047"/>
    <n v="30.47"/>
  </r>
  <r>
    <x v="283"/>
    <s v="300701"/>
    <s v="森霸传感"/>
    <n v="100"/>
    <n v="100"/>
    <n v="-130.86000000000001"/>
    <n v="16928"/>
    <n v="0"/>
    <n v="3842"/>
    <n v="38.42"/>
  </r>
  <r>
    <x v="283"/>
    <s v="reserve"/>
    <s v="备用金"/>
    <m/>
    <m/>
    <m/>
    <m/>
    <m/>
    <n v="8128.88"/>
    <m/>
  </r>
  <r>
    <x v="284"/>
    <s v="519888"/>
    <s v="添富快线"/>
    <n v="10002123"/>
    <n v="10002123"/>
    <n v="0.01"/>
    <n v="3932.08"/>
    <n v="0"/>
    <n v="100021.23"/>
    <n v="0.01"/>
  </r>
  <r>
    <x v="284"/>
    <s v="600269"/>
    <s v="赣粤高速"/>
    <n v="2000"/>
    <n v="2000"/>
    <n v="4.9809999999999999"/>
    <n v="-441.52"/>
    <n v="-4.43"/>
    <n v="9520"/>
    <n v="4.76"/>
  </r>
  <r>
    <x v="284"/>
    <s v="601398"/>
    <s v="工商银行"/>
    <n v="100"/>
    <n v="100"/>
    <n v="-53.82"/>
    <n v="5965"/>
    <n v="0"/>
    <n v="583"/>
    <n v="5.83"/>
  </r>
  <r>
    <x v="284"/>
    <s v="601998"/>
    <s v="中信银行"/>
    <n v="400"/>
    <n v="400"/>
    <n v="-1.159"/>
    <n v="3027.6"/>
    <n v="0"/>
    <n v="2564"/>
    <n v="6.41"/>
  </r>
  <r>
    <x v="284"/>
    <s v="603116"/>
    <s v="红蜻蜓"/>
    <n v="10020"/>
    <n v="10020"/>
    <n v="10.696"/>
    <n v="-18292.23"/>
    <n v="-17.07"/>
    <n v="88877.4"/>
    <n v="8.8699999999999992"/>
  </r>
  <r>
    <x v="284"/>
    <s v="000402"/>
    <s v="金 融 街"/>
    <n v="21800"/>
    <n v="20800"/>
    <n v="8.859"/>
    <n v="-6527"/>
    <n v="-3.38"/>
    <n v="186608"/>
    <n v="8.56"/>
  </r>
  <r>
    <x v="284"/>
    <s v="000415"/>
    <s v="渤海租赁"/>
    <n v="5000"/>
    <n v="5000"/>
    <n v="5.4909999999999997"/>
    <n v="-3105.95"/>
    <n v="-11.31"/>
    <n v="24350"/>
    <n v="4.87"/>
  </r>
  <r>
    <x v="284"/>
    <s v="000528"/>
    <s v="柳    工"/>
    <n v="230"/>
    <n v="230"/>
    <n v="-11.728999999999999"/>
    <n v="4625.07"/>
    <n v="0"/>
    <n v="1927.4"/>
    <n v="8.3800000000000008"/>
  </r>
  <r>
    <x v="284"/>
    <s v="000987"/>
    <s v="越秀金控"/>
    <n v="200"/>
    <n v="200"/>
    <n v="2.077"/>
    <n v="1884.65"/>
    <n v="453.7"/>
    <n v="2300"/>
    <n v="11.5"/>
  </r>
  <r>
    <x v="284"/>
    <s v="002006"/>
    <s v="精功科技"/>
    <n v="100"/>
    <n v="100"/>
    <n v="-18.477"/>
    <n v="2467.6999999999998"/>
    <n v="0"/>
    <n v="620"/>
    <n v="6.2"/>
  </r>
  <r>
    <x v="284"/>
    <s v="002140"/>
    <s v="东华科技"/>
    <n v="10800"/>
    <n v="10800"/>
    <n v="11.363"/>
    <n v="-9749.9500000000007"/>
    <n v="-7.94"/>
    <n v="112968"/>
    <n v="10.46"/>
  </r>
  <r>
    <x v="284"/>
    <s v="002945"/>
    <s v="华林证券"/>
    <n v="100"/>
    <n v="100"/>
    <n v="-22.33"/>
    <n v="3615"/>
    <n v="0"/>
    <n v="1382"/>
    <n v="13.82"/>
  </r>
  <r>
    <x v="284"/>
    <s v="002950"/>
    <s v="奥美医疗"/>
    <n v="100"/>
    <n v="100"/>
    <n v="-94.45"/>
    <n v="12487"/>
    <n v="0"/>
    <n v="3042"/>
    <n v="30.42"/>
  </r>
  <r>
    <x v="284"/>
    <s v="300701"/>
    <s v="森霸传感"/>
    <n v="100"/>
    <n v="100"/>
    <n v="-130.86000000000001"/>
    <n v="16946"/>
    <n v="0"/>
    <n v="3860"/>
    <n v="38.6"/>
  </r>
  <r>
    <x v="284"/>
    <s v="reserve"/>
    <s v="备用金"/>
    <m/>
    <m/>
    <m/>
    <m/>
    <m/>
    <n v="12881.43"/>
    <m/>
  </r>
  <r>
    <x v="285"/>
    <s v="519888"/>
    <s v="添富快线"/>
    <n v="8803673"/>
    <n v="8803673"/>
    <n v="0.01"/>
    <n v="3947.58"/>
    <n v="0"/>
    <n v="88036.73"/>
    <n v="0.01"/>
  </r>
  <r>
    <x v="285"/>
    <s v="600269"/>
    <s v="赣粤高速"/>
    <n v="2000"/>
    <n v="2000"/>
    <n v="4.9809999999999999"/>
    <n v="-501.52"/>
    <n v="-5.03"/>
    <n v="9460"/>
    <n v="4.7300000000000004"/>
  </r>
  <r>
    <x v="285"/>
    <s v="601398"/>
    <s v="工商银行"/>
    <n v="100"/>
    <n v="100"/>
    <n v="-53.82"/>
    <n v="5963"/>
    <n v="0"/>
    <n v="581"/>
    <n v="5.81"/>
  </r>
  <r>
    <x v="285"/>
    <s v="601998"/>
    <s v="中信银行"/>
    <n v="900"/>
    <n v="400"/>
    <n v="3.0179999999999998"/>
    <n v="2998.37"/>
    <n v="110.39"/>
    <n v="5715"/>
    <n v="6.35"/>
  </r>
  <r>
    <x v="285"/>
    <s v="603116"/>
    <s v="红蜻蜓"/>
    <n v="10520"/>
    <n v="10020"/>
    <n v="10.603"/>
    <n v="-19910.52"/>
    <n v="-17.850000000000001"/>
    <n v="91629.2"/>
    <n v="8.7100000000000009"/>
  </r>
  <r>
    <x v="285"/>
    <s v="000402"/>
    <s v="金 融 街"/>
    <n v="22800"/>
    <n v="21800"/>
    <n v="8.8480000000000008"/>
    <n v="-6790"/>
    <n v="-3.37"/>
    <n v="194940"/>
    <n v="8.5500000000000007"/>
  </r>
  <r>
    <x v="285"/>
    <s v="000415"/>
    <s v="渤海租赁"/>
    <n v="5000"/>
    <n v="5000"/>
    <n v="5.4909999999999997"/>
    <n v="-3905.95"/>
    <n v="-14.23"/>
    <n v="23550"/>
    <n v="4.71"/>
  </r>
  <r>
    <x v="285"/>
    <s v="000528"/>
    <s v="柳    工"/>
    <n v="230"/>
    <n v="230"/>
    <n v="-11.728999999999999"/>
    <n v="4569.87"/>
    <n v="0"/>
    <n v="1872.2"/>
    <n v="8.14"/>
  </r>
  <r>
    <x v="285"/>
    <s v="000987"/>
    <s v="越秀金控"/>
    <n v="200"/>
    <n v="200"/>
    <n v="2.077"/>
    <n v="2014.65"/>
    <n v="484.99"/>
    <n v="2430"/>
    <n v="12.15"/>
  </r>
  <r>
    <x v="285"/>
    <s v="002006"/>
    <s v="精功科技"/>
    <n v="100"/>
    <n v="100"/>
    <n v="-18.477"/>
    <n v="2430.6999999999998"/>
    <n v="0"/>
    <n v="583"/>
    <n v="5.83"/>
  </r>
  <r>
    <x v="285"/>
    <s v="002140"/>
    <s v="东华科技"/>
    <n v="11300"/>
    <n v="10800"/>
    <n v="11.295"/>
    <n v="-15089.95"/>
    <n v="-11.82"/>
    <n v="112548"/>
    <n v="9.9600000000000009"/>
  </r>
  <r>
    <x v="285"/>
    <s v="002945"/>
    <s v="华林证券"/>
    <n v="100"/>
    <n v="100"/>
    <n v="-22.33"/>
    <n v="3642"/>
    <n v="0"/>
    <n v="1409"/>
    <n v="14.09"/>
  </r>
  <r>
    <x v="285"/>
    <s v="002950"/>
    <s v="奥美医疗"/>
    <n v="100"/>
    <n v="100"/>
    <n v="-94.45"/>
    <n v="12570"/>
    <n v="0"/>
    <n v="3125"/>
    <n v="31.25"/>
  </r>
  <r>
    <x v="285"/>
    <s v="300701"/>
    <s v="森霸传感"/>
    <n v="100"/>
    <n v="100"/>
    <n v="-130.86000000000001"/>
    <n v="16955"/>
    <n v="0"/>
    <n v="3869"/>
    <n v="38.69"/>
  </r>
  <r>
    <x v="285"/>
    <s v="reserve"/>
    <s v="备用金"/>
    <m/>
    <m/>
    <m/>
    <m/>
    <m/>
    <n v="3809.48"/>
    <m/>
  </r>
  <r>
    <x v="286"/>
    <s v="519888"/>
    <s v="添富快线"/>
    <n v="7504417"/>
    <n v="7504417"/>
    <n v="8.9999999999999993E-3"/>
    <n v="3955.02"/>
    <n v="11.11"/>
    <n v="75044.17"/>
    <n v="0.01"/>
  </r>
  <r>
    <x v="286"/>
    <s v="600269"/>
    <s v="赣粤高速"/>
    <n v="2500"/>
    <n v="2000"/>
    <n v="4.931"/>
    <n v="-426.57"/>
    <n v="-3.46"/>
    <n v="11900"/>
    <n v="4.76"/>
  </r>
  <r>
    <x v="286"/>
    <s v="601398"/>
    <s v="工商银行"/>
    <n v="100"/>
    <n v="100"/>
    <n v="-53.82"/>
    <n v="5963"/>
    <n v="0"/>
    <n v="581"/>
    <n v="5.81"/>
  </r>
  <r>
    <x v="286"/>
    <s v="601998"/>
    <s v="中信银行"/>
    <n v="2400"/>
    <n v="900"/>
    <n v="5.09"/>
    <n v="3023.18"/>
    <n v="24.75"/>
    <n v="15240"/>
    <n v="6.35"/>
  </r>
  <r>
    <x v="286"/>
    <s v="603116"/>
    <s v="红蜻蜓"/>
    <n v="10520"/>
    <n v="10520"/>
    <n v="10.603"/>
    <n v="-19489.72"/>
    <n v="-17.47"/>
    <n v="92050"/>
    <n v="8.75"/>
  </r>
  <r>
    <x v="286"/>
    <s v="000402"/>
    <s v="金 融 街"/>
    <n v="23800"/>
    <n v="22800"/>
    <n v="8.8339999999999996"/>
    <n v="-6755"/>
    <n v="-3.21"/>
    <n v="203490"/>
    <n v="8.5500000000000007"/>
  </r>
  <r>
    <x v="286"/>
    <s v="000415"/>
    <s v="渤海租赁"/>
    <n v="5500"/>
    <n v="5000"/>
    <n v="5.4119999999999999"/>
    <n v="-4190.95"/>
    <n v="-14.08"/>
    <n v="25575"/>
    <n v="4.6500000000000004"/>
  </r>
  <r>
    <x v="286"/>
    <s v="000528"/>
    <s v="柳    工"/>
    <n v="230"/>
    <n v="230"/>
    <n v="-11.728999999999999"/>
    <n v="4599.7700000000004"/>
    <n v="0"/>
    <n v="1902.1"/>
    <n v="8.27"/>
  </r>
  <r>
    <x v="286"/>
    <s v="000987"/>
    <s v="越秀金控"/>
    <n v="200"/>
    <n v="200"/>
    <n v="2.077"/>
    <n v="1978.65"/>
    <n v="476.32"/>
    <n v="2394"/>
    <n v="11.97"/>
  </r>
  <r>
    <x v="286"/>
    <s v="002006"/>
    <s v="精功科技"/>
    <n v="100"/>
    <n v="100"/>
    <n v="-18.477"/>
    <n v="2436.6999999999998"/>
    <n v="0"/>
    <n v="589"/>
    <n v="5.89"/>
  </r>
  <r>
    <x v="286"/>
    <s v="002140"/>
    <s v="东华科技"/>
    <n v="10500"/>
    <n v="10500"/>
    <n v="11.324999999999999"/>
    <n v="-3836.69"/>
    <n v="-3.23"/>
    <n v="115080"/>
    <n v="10.96"/>
  </r>
  <r>
    <x v="286"/>
    <s v="002945"/>
    <s v="华林证券"/>
    <n v="100"/>
    <n v="100"/>
    <n v="-22.33"/>
    <n v="3624"/>
    <n v="0"/>
    <n v="1391"/>
    <n v="13.91"/>
  </r>
  <r>
    <x v="286"/>
    <s v="002950"/>
    <s v="奥美医疗"/>
    <n v="100"/>
    <n v="100"/>
    <n v="-94.45"/>
    <n v="12435"/>
    <n v="0"/>
    <n v="2990"/>
    <n v="29.9"/>
  </r>
  <r>
    <x v="286"/>
    <s v="300701"/>
    <s v="森霸传感"/>
    <n v="100"/>
    <n v="100"/>
    <n v="-130.86000000000001"/>
    <n v="16876"/>
    <n v="0"/>
    <n v="3790"/>
    <n v="37.9"/>
  </r>
  <r>
    <x v="286"/>
    <s v="reserve"/>
    <s v="备用金"/>
    <m/>
    <m/>
    <m/>
    <m/>
    <m/>
    <n v="2840.5"/>
    <m/>
  </r>
  <r>
    <x v="287"/>
    <s v="519888"/>
    <s v="添富快线"/>
    <n v="7004831"/>
    <n v="7004831"/>
    <n v="8.9999999999999993E-3"/>
    <n v="3959.16"/>
    <n v="11.11"/>
    <n v="70048.31"/>
    <n v="0.01"/>
  </r>
  <r>
    <x v="287"/>
    <s v="600269"/>
    <s v="赣粤高速"/>
    <n v="2500"/>
    <n v="2500"/>
    <n v="4.931"/>
    <n v="-801.57"/>
    <n v="-6.5"/>
    <n v="11525"/>
    <n v="4.6100000000000003"/>
  </r>
  <r>
    <x v="287"/>
    <s v="601398"/>
    <s v="工商银行"/>
    <n v="100"/>
    <n v="100"/>
    <n v="-53.82"/>
    <n v="5955"/>
    <n v="0"/>
    <n v="573"/>
    <n v="5.73"/>
  </r>
  <r>
    <x v="287"/>
    <s v="601998"/>
    <s v="中信银行"/>
    <n v="2400"/>
    <n v="2400"/>
    <n v="5.09"/>
    <n v="2831.18"/>
    <n v="23.18"/>
    <n v="15048"/>
    <n v="6.27"/>
  </r>
  <r>
    <x v="287"/>
    <s v="603116"/>
    <s v="红蜻蜓"/>
    <n v="11020"/>
    <n v="10520"/>
    <n v="10.509"/>
    <n v="-22465.41"/>
    <n v="-19.399999999999999"/>
    <n v="93339.4"/>
    <n v="8.4700000000000006"/>
  </r>
  <r>
    <x v="287"/>
    <s v="000402"/>
    <s v="金 融 街"/>
    <n v="24800"/>
    <n v="23800"/>
    <n v="8.8160000000000007"/>
    <n v="-12046"/>
    <n v="-5.51"/>
    <n v="206584"/>
    <n v="8.33"/>
  </r>
  <r>
    <x v="287"/>
    <s v="000415"/>
    <s v="渤海租赁"/>
    <n v="5500"/>
    <n v="5500"/>
    <n v="5.4119999999999999"/>
    <n v="-5125.95"/>
    <n v="-17.22"/>
    <n v="24640"/>
    <n v="4.4800000000000004"/>
  </r>
  <r>
    <x v="287"/>
    <s v="000528"/>
    <s v="柳    工"/>
    <n v="230"/>
    <n v="230"/>
    <n v="-11.728999999999999"/>
    <n v="4480.17"/>
    <n v="0"/>
    <n v="1782.5"/>
    <n v="7.75"/>
  </r>
  <r>
    <x v="287"/>
    <s v="000987"/>
    <s v="越秀金控"/>
    <n v="200"/>
    <n v="200"/>
    <n v="2.077"/>
    <n v="1846.65"/>
    <n v="444.55"/>
    <n v="2262"/>
    <n v="11.31"/>
  </r>
  <r>
    <x v="287"/>
    <s v="002006"/>
    <s v="精功科技"/>
    <n v="100"/>
    <n v="100"/>
    <n v="-18.477"/>
    <n v="2403.6999999999998"/>
    <n v="0"/>
    <n v="556"/>
    <n v="5.56"/>
  </r>
  <r>
    <x v="287"/>
    <s v="002140"/>
    <s v="东华科技"/>
    <n v="9700"/>
    <n v="9700"/>
    <n v="11.294"/>
    <n v="7429.93"/>
    <n v="6.78"/>
    <n v="116982"/>
    <n v="12.06"/>
  </r>
  <r>
    <x v="287"/>
    <s v="002945"/>
    <s v="华林证券"/>
    <n v="100"/>
    <n v="100"/>
    <n v="-22.33"/>
    <n v="3533"/>
    <n v="0"/>
    <n v="1300"/>
    <n v="13"/>
  </r>
  <r>
    <x v="287"/>
    <s v="002950"/>
    <s v="奥美医疗"/>
    <n v="100"/>
    <n v="100"/>
    <n v="-94.45"/>
    <n v="12223"/>
    <n v="0"/>
    <n v="2778"/>
    <n v="27.78"/>
  </r>
  <r>
    <x v="287"/>
    <s v="300701"/>
    <s v="森霸传感"/>
    <n v="100"/>
    <n v="100"/>
    <n v="-130.86000000000001"/>
    <n v="16694"/>
    <n v="0"/>
    <n v="3608"/>
    <n v="36.08"/>
  </r>
  <r>
    <x v="287"/>
    <s v="reserve"/>
    <s v="备用金"/>
    <m/>
    <m/>
    <m/>
    <m/>
    <m/>
    <n v="4555.03"/>
    <m/>
  </r>
  <r>
    <x v="288"/>
    <s v="519888"/>
    <s v="添富快线"/>
    <n v="7005233"/>
    <n v="7005233"/>
    <n v="8.9999999999999993E-3"/>
    <n v="3963.18"/>
    <n v="11.11"/>
    <n v="70052.33"/>
    <n v="0.01"/>
  </r>
  <r>
    <x v="288"/>
    <s v="600269"/>
    <s v="赣粤高速"/>
    <n v="2500"/>
    <n v="2500"/>
    <n v="4.931"/>
    <n v="-851.57"/>
    <n v="-6.91"/>
    <n v="11475"/>
    <n v="4.59"/>
  </r>
  <r>
    <x v="288"/>
    <s v="601398"/>
    <s v="工商银行"/>
    <n v="100"/>
    <n v="100"/>
    <n v="-53.82"/>
    <n v="5953"/>
    <n v="0"/>
    <n v="571"/>
    <n v="5.71"/>
  </r>
  <r>
    <x v="288"/>
    <s v="601998"/>
    <s v="中信银行"/>
    <n v="2400"/>
    <n v="2400"/>
    <n v="5.09"/>
    <n v="2855.18"/>
    <n v="23.37"/>
    <n v="15072"/>
    <n v="6.28"/>
  </r>
  <r>
    <x v="288"/>
    <s v="603116"/>
    <s v="红蜻蜓"/>
    <n v="11520"/>
    <n v="11020"/>
    <n v="10.409000000000001"/>
    <n v="-26487.69"/>
    <n v="-22.09"/>
    <n v="93427.199999999997"/>
    <n v="8.11"/>
  </r>
  <r>
    <x v="288"/>
    <s v="000402"/>
    <s v="金 融 街"/>
    <n v="25900"/>
    <n v="24400"/>
    <n v="8.7899999999999991"/>
    <n v="-14764.34"/>
    <n v="-6.49"/>
    <n v="212898"/>
    <n v="8.2200000000000006"/>
  </r>
  <r>
    <x v="288"/>
    <s v="000415"/>
    <s v="渤海租赁"/>
    <n v="5500"/>
    <n v="5500"/>
    <n v="5.4119999999999999"/>
    <n v="-5290.95"/>
    <n v="-17.78"/>
    <n v="24475"/>
    <n v="4.45"/>
  </r>
  <r>
    <x v="288"/>
    <s v="000528"/>
    <s v="柳    工"/>
    <n v="230"/>
    <n v="230"/>
    <n v="-11.728999999999999"/>
    <n v="4445.67"/>
    <n v="0"/>
    <n v="1748"/>
    <n v="7.6"/>
  </r>
  <r>
    <x v="288"/>
    <s v="000987"/>
    <s v="越秀金控"/>
    <n v="200"/>
    <n v="200"/>
    <n v="2.077"/>
    <n v="1798.65"/>
    <n v="432.99"/>
    <n v="2214"/>
    <n v="11.07"/>
  </r>
  <r>
    <x v="288"/>
    <s v="002006"/>
    <s v="精功科技"/>
    <n v="100"/>
    <n v="100"/>
    <n v="-18.477"/>
    <n v="2412.6999999999998"/>
    <n v="0"/>
    <n v="565"/>
    <n v="5.65"/>
  </r>
  <r>
    <x v="288"/>
    <s v="002140"/>
    <s v="东华科技"/>
    <n v="8900"/>
    <n v="8500"/>
    <n v="11.157999999999999"/>
    <n v="14793.66"/>
    <n v="14.9"/>
    <n v="114098"/>
    <n v="12.82"/>
  </r>
  <r>
    <x v="288"/>
    <s v="002945"/>
    <s v="华林证券"/>
    <n v="100"/>
    <n v="100"/>
    <n v="-22.33"/>
    <n v="3450"/>
    <n v="0"/>
    <n v="1217"/>
    <n v="12.17"/>
  </r>
  <r>
    <x v="288"/>
    <s v="002950"/>
    <s v="奥美医疗"/>
    <n v="100"/>
    <n v="100"/>
    <n v="-94.45"/>
    <n v="12116"/>
    <n v="0"/>
    <n v="2671"/>
    <n v="26.71"/>
  </r>
  <r>
    <x v="288"/>
    <s v="300701"/>
    <s v="森霸传感"/>
    <n v="100"/>
    <n v="100"/>
    <n v="-130.86000000000001"/>
    <n v="16561"/>
    <n v="0"/>
    <n v="3475"/>
    <n v="34.75"/>
  </r>
  <r>
    <x v="288"/>
    <s v="reserve"/>
    <s v="备用金"/>
    <m/>
    <m/>
    <m/>
    <m/>
    <m/>
    <n v="1660.34"/>
    <m/>
  </r>
  <r>
    <x v="289"/>
    <s v="519888"/>
    <s v="添富快线"/>
    <n v="5005606"/>
    <n v="5005606"/>
    <n v="8.9999999999999993E-3"/>
    <n v="3966.91"/>
    <n v="11.11"/>
    <n v="50056.06"/>
    <n v="0.01"/>
  </r>
  <r>
    <x v="289"/>
    <s v="600269"/>
    <s v="赣粤高速"/>
    <n v="2500"/>
    <n v="2500"/>
    <n v="4.931"/>
    <n v="-776.57"/>
    <n v="-6.3"/>
    <n v="11550"/>
    <n v="4.62"/>
  </r>
  <r>
    <x v="289"/>
    <s v="601398"/>
    <s v="工商银行"/>
    <n v="100"/>
    <n v="100"/>
    <n v="-53.82"/>
    <n v="5962"/>
    <n v="0"/>
    <n v="580"/>
    <n v="5.8"/>
  </r>
  <r>
    <x v="289"/>
    <s v="601998"/>
    <s v="中信银行"/>
    <n v="2400"/>
    <n v="2400"/>
    <n v="5.09"/>
    <n v="2999.18"/>
    <n v="24.55"/>
    <n v="15216"/>
    <n v="6.34"/>
  </r>
  <r>
    <x v="289"/>
    <s v="603116"/>
    <s v="红蜻蜓"/>
    <n v="12520"/>
    <n v="11520"/>
    <n v="10.206"/>
    <n v="-29868.65"/>
    <n v="-23.38"/>
    <n v="97906.4"/>
    <n v="7.82"/>
  </r>
  <r>
    <x v="289"/>
    <s v="000402"/>
    <s v="金 融 街"/>
    <n v="26400"/>
    <n v="25900"/>
    <n v="8.7780000000000005"/>
    <n v="-14216.34"/>
    <n v="-6.13"/>
    <n v="217536"/>
    <n v="8.24"/>
  </r>
  <r>
    <x v="289"/>
    <s v="000415"/>
    <s v="渤海租赁"/>
    <n v="5500"/>
    <n v="5500"/>
    <n v="5.4119999999999999"/>
    <n v="-5950.95"/>
    <n v="-19.989999999999998"/>
    <n v="23815"/>
    <n v="4.33"/>
  </r>
  <r>
    <x v="289"/>
    <s v="000528"/>
    <s v="柳    工"/>
    <n v="230"/>
    <n v="230"/>
    <n v="-11.728999999999999"/>
    <n v="4450.2700000000004"/>
    <n v="0"/>
    <n v="1752.6"/>
    <n v="7.62"/>
  </r>
  <r>
    <x v="289"/>
    <s v="000987"/>
    <s v="越秀金控"/>
    <n v="200"/>
    <n v="200"/>
    <n v="2.077"/>
    <n v="1704.65"/>
    <n v="410.36"/>
    <n v="2120"/>
    <n v="10.6"/>
  </r>
  <r>
    <x v="289"/>
    <s v="002006"/>
    <s v="精功科技"/>
    <n v="100"/>
    <n v="100"/>
    <n v="-18.477"/>
    <n v="2371.6999999999998"/>
    <n v="0"/>
    <n v="524"/>
    <n v="5.24"/>
  </r>
  <r>
    <x v="289"/>
    <s v="002140"/>
    <s v="东华科技"/>
    <n v="9400"/>
    <n v="8900"/>
    <n v="11.180999999999999"/>
    <n v="3371.66"/>
    <n v="3.21"/>
    <n v="108476"/>
    <n v="11.54"/>
  </r>
  <r>
    <x v="289"/>
    <s v="002945"/>
    <s v="华林证券"/>
    <n v="100"/>
    <n v="100"/>
    <n v="-22.33"/>
    <n v="3346"/>
    <n v="0"/>
    <n v="1113"/>
    <n v="11.13"/>
  </r>
  <r>
    <x v="289"/>
    <s v="002950"/>
    <s v="奥美医疗"/>
    <n v="100"/>
    <n v="100"/>
    <n v="-94.45"/>
    <n v="11962"/>
    <n v="0"/>
    <n v="2517"/>
    <n v="25.17"/>
  </r>
  <r>
    <x v="289"/>
    <s v="300701"/>
    <s v="森霸传感"/>
    <n v="100"/>
    <n v="100"/>
    <n v="-130.86000000000001"/>
    <n v="16427"/>
    <n v="0"/>
    <n v="3341"/>
    <n v="33.409999999999997"/>
  </r>
  <r>
    <x v="289"/>
    <s v="reserve"/>
    <s v="备用金"/>
    <m/>
    <m/>
    <m/>
    <m/>
    <m/>
    <n v="3910.18"/>
    <m/>
  </r>
  <r>
    <x v="290"/>
    <s v="519888"/>
    <s v="添富快线"/>
    <n v="8800"/>
    <n v="8800"/>
    <n v="-0.44400000000000001"/>
    <n v="3995.2"/>
    <n v="0"/>
    <n v="88"/>
    <n v="0.01"/>
  </r>
  <r>
    <x v="290"/>
    <s v="600269"/>
    <s v="赣粤高速"/>
    <n v="2700"/>
    <n v="2700"/>
    <n v="4.7309999999999999"/>
    <n v="-703.57"/>
    <n v="-5.51"/>
    <n v="12069"/>
    <n v="4.47"/>
  </r>
  <r>
    <x v="290"/>
    <s v="601398"/>
    <s v="工商银行"/>
    <n v="100"/>
    <n v="100"/>
    <n v="-53.82"/>
    <n v="5966"/>
    <n v="0"/>
    <n v="584"/>
    <n v="5.84"/>
  </r>
  <r>
    <x v="290"/>
    <s v="601998"/>
    <s v="中信银行"/>
    <n v="3000"/>
    <n v="3000"/>
    <n v="5.25"/>
    <n v="2399.59"/>
    <n v="15.24"/>
    <n v="18150"/>
    <n v="6.05"/>
  </r>
  <r>
    <x v="290"/>
    <s v="603116"/>
    <s v="红蜻蜓"/>
    <n v="12320"/>
    <n v="12320"/>
    <n v="10.225"/>
    <n v="-30737.45"/>
    <n v="-24.4"/>
    <n v="95233.600000000006"/>
    <n v="7.73"/>
  </r>
  <r>
    <x v="290"/>
    <s v="000402"/>
    <s v="金 融 街"/>
    <n v="28800"/>
    <n v="28800"/>
    <n v="8.3800000000000008"/>
    <n v="-25627.53"/>
    <n v="-10.62"/>
    <n v="215712"/>
    <n v="7.49"/>
  </r>
  <r>
    <x v="290"/>
    <s v="000415"/>
    <s v="渤海租赁"/>
    <n v="6600"/>
    <n v="6600"/>
    <n v="5.19"/>
    <n v="-7525.58"/>
    <n v="-21.97"/>
    <n v="26730"/>
    <n v="4.05"/>
  </r>
  <r>
    <x v="290"/>
    <s v="000528"/>
    <s v="柳    工"/>
    <n v="2330"/>
    <n v="2330"/>
    <n v="4.907"/>
    <n v="4271.5600000000004"/>
    <n v="37.36"/>
    <n v="15704.2"/>
    <n v="6.74"/>
  </r>
  <r>
    <x v="290"/>
    <s v="000987"/>
    <s v="越秀金控"/>
    <n v="200"/>
    <n v="200"/>
    <n v="1.9870000000000001"/>
    <n v="1478.65"/>
    <n v="372.08"/>
    <n v="1876"/>
    <n v="9.3800000000000008"/>
  </r>
  <r>
    <x v="290"/>
    <s v="002006"/>
    <s v="精功科技"/>
    <n v="100"/>
    <n v="100"/>
    <n v="-18.477"/>
    <n v="2516.6999999999998"/>
    <n v="0"/>
    <n v="669"/>
    <n v="6.69"/>
  </r>
  <r>
    <x v="290"/>
    <s v="002140"/>
    <s v="东华科技"/>
    <n v="12680"/>
    <n v="12680"/>
    <n v="8.8369999999999997"/>
    <n v="-6045.59"/>
    <n v="-5.4"/>
    <n v="106004.8"/>
    <n v="8.36"/>
  </r>
  <r>
    <x v="290"/>
    <s v="002945"/>
    <s v="华林证券"/>
    <n v="100"/>
    <n v="100"/>
    <n v="-22.369"/>
    <n v="3952.9"/>
    <n v="0"/>
    <n v="1716"/>
    <n v="17.16"/>
  </r>
  <r>
    <x v="290"/>
    <s v="002950"/>
    <s v="奥美医疗"/>
    <n v="100"/>
    <n v="100"/>
    <n v="-94.6"/>
    <n v="12023"/>
    <n v="0"/>
    <n v="2563"/>
    <n v="25.63"/>
  </r>
  <r>
    <x v="290"/>
    <s v="300701"/>
    <s v="森霸传感"/>
    <n v="100"/>
    <n v="100"/>
    <n v="-130.86000000000001"/>
    <n v="16846"/>
    <n v="0"/>
    <n v="3760"/>
    <n v="37.6"/>
  </r>
  <r>
    <x v="290"/>
    <s v="reserve"/>
    <s v="备用金"/>
    <m/>
    <m/>
    <m/>
    <m/>
    <m/>
    <n v="16504.7"/>
    <m/>
  </r>
  <r>
    <x v="291"/>
    <s v="000402"/>
    <s v="金 融 街"/>
    <n v="28000"/>
    <n v="28000"/>
    <n v="8.4019999999999992"/>
    <n v="-21347.62"/>
    <n v="-9.07"/>
    <n v="213920"/>
    <n v="7.64"/>
  </r>
  <r>
    <x v="291"/>
    <s v="603116"/>
    <s v="红蜻蜓"/>
    <n v="12320"/>
    <n v="12320"/>
    <n v="10.225"/>
    <n v="-29751.85"/>
    <n v="-23.62"/>
    <n v="96219.199999999997"/>
    <n v="7.81"/>
  </r>
  <r>
    <x v="291"/>
    <s v="002140"/>
    <s v="东华科技"/>
    <n v="10880"/>
    <n v="10880"/>
    <n v="8.7330000000000005"/>
    <n v="8670.93"/>
    <n v="9.1300000000000008"/>
    <n v="103686.39999999999"/>
    <n v="9.5299999999999994"/>
  </r>
  <r>
    <x v="291"/>
    <s v="519888"/>
    <s v="添富快线"/>
    <n v="4000001"/>
    <n v="8801"/>
    <n v="8.9999999999999993E-3"/>
    <n v="3998.86"/>
    <n v="11.11"/>
    <n v="40000.01"/>
    <n v="0.01"/>
  </r>
  <r>
    <x v="291"/>
    <s v="000415"/>
    <s v="渤海租赁"/>
    <n v="6600"/>
    <n v="6600"/>
    <n v="5.19"/>
    <n v="-7657.58"/>
    <n v="-22.36"/>
    <n v="26598"/>
    <n v="4.03"/>
  </r>
  <r>
    <x v="291"/>
    <s v="601998"/>
    <s v="中信银行"/>
    <n v="3000"/>
    <n v="3000"/>
    <n v="5.25"/>
    <n v="2429.59"/>
    <n v="15.43"/>
    <n v="18180"/>
    <n v="6.06"/>
  </r>
  <r>
    <x v="291"/>
    <s v="600269"/>
    <s v="赣粤高速"/>
    <n v="2700"/>
    <n v="2700"/>
    <n v="4.7309999999999999"/>
    <n v="-595.57000000000005"/>
    <n v="-4.66"/>
    <n v="12177"/>
    <n v="4.51"/>
  </r>
  <r>
    <x v="291"/>
    <s v="000528"/>
    <s v="柳    工"/>
    <n v="1530"/>
    <n v="1530"/>
    <n v="3.8849999999999998"/>
    <n v="4643.46"/>
    <n v="78.12"/>
    <n v="10587.6"/>
    <n v="6.92"/>
  </r>
  <r>
    <x v="291"/>
    <s v="000987"/>
    <s v="越秀金控"/>
    <n v="200"/>
    <n v="200"/>
    <n v="1.9870000000000001"/>
    <n v="1462.65"/>
    <n v="368.05"/>
    <n v="1860"/>
    <n v="9.3000000000000007"/>
  </r>
  <r>
    <x v="291"/>
    <s v="300701"/>
    <s v="森霸传感"/>
    <n v="150"/>
    <n v="150"/>
    <n v="-87.406999999999996"/>
    <n v="16780.05"/>
    <n v="0"/>
    <n v="3669"/>
    <n v="24.46"/>
  </r>
  <r>
    <x v="291"/>
    <s v="601398"/>
    <s v="工商银行"/>
    <n v="100"/>
    <n v="100"/>
    <n v="-53.82"/>
    <n v="5970"/>
    <n v="0"/>
    <n v="588"/>
    <n v="5.88"/>
  </r>
  <r>
    <x v="291"/>
    <s v="002006"/>
    <s v="精功科技"/>
    <n v="100"/>
    <n v="100"/>
    <n v="-18.477"/>
    <n v="2477.6999999999998"/>
    <n v="0"/>
    <n v="630"/>
    <n v="6.3"/>
  </r>
  <r>
    <x v="291"/>
    <s v="002945"/>
    <s v="华林证券"/>
    <n v="100"/>
    <n v="100"/>
    <n v="-22.369"/>
    <n v="4186.8999999999996"/>
    <n v="0"/>
    <n v="1950"/>
    <n v="19.5"/>
  </r>
  <r>
    <x v="291"/>
    <s v="002950"/>
    <s v="奥美医疗"/>
    <n v="100"/>
    <n v="100"/>
    <n v="-94.6"/>
    <n v="11924"/>
    <n v="0"/>
    <n v="2464"/>
    <n v="24.64"/>
  </r>
  <r>
    <x v="291"/>
    <s v="reserve"/>
    <s v="备用金"/>
    <m/>
    <m/>
    <m/>
    <m/>
    <m/>
    <n v="5180.03"/>
    <m/>
  </r>
  <r>
    <x v="292"/>
    <s v="519888"/>
    <s v="添富快线"/>
    <n v="3200220"/>
    <n v="3200220"/>
    <n v="8.9999999999999993E-3"/>
    <n v="4001.05"/>
    <n v="11.11"/>
    <n v="32002.2"/>
    <n v="0.01"/>
  </r>
  <r>
    <x v="292"/>
    <s v="600269"/>
    <s v="赣粤高速"/>
    <n v="2700"/>
    <n v="2700"/>
    <n v="4.7309999999999999"/>
    <n v="-757.57"/>
    <n v="-5.93"/>
    <n v="12015"/>
    <n v="4.45"/>
  </r>
  <r>
    <x v="292"/>
    <s v="601398"/>
    <s v="工商银行"/>
    <n v="100"/>
    <n v="100"/>
    <n v="-53.82"/>
    <n v="5966"/>
    <n v="0"/>
    <n v="584"/>
    <n v="5.84"/>
  </r>
  <r>
    <x v="292"/>
    <s v="601998"/>
    <s v="中信银行"/>
    <n v="3000"/>
    <n v="3000"/>
    <n v="5.25"/>
    <n v="2189.59"/>
    <n v="13.9"/>
    <n v="17940"/>
    <n v="5.98"/>
  </r>
  <r>
    <x v="292"/>
    <s v="603116"/>
    <s v="XD红蜻蜓"/>
    <n v="12320"/>
    <n v="12320"/>
    <n v="10.045"/>
    <n v="-29382.25"/>
    <n v="-23.74"/>
    <n v="94371.199999999997"/>
    <n v="7.66"/>
  </r>
  <r>
    <x v="292"/>
    <s v="000402"/>
    <s v="金 融 街"/>
    <n v="27600"/>
    <n v="27600"/>
    <n v="8.4130000000000003"/>
    <n v="-19119.7"/>
    <n v="-8.23"/>
    <n v="213072"/>
    <n v="7.72"/>
  </r>
  <r>
    <x v="292"/>
    <s v="000415"/>
    <s v="渤海租赁"/>
    <n v="6600"/>
    <n v="6600"/>
    <n v="5.19"/>
    <n v="-8053.58"/>
    <n v="-23.51"/>
    <n v="26202"/>
    <n v="3.97"/>
  </r>
  <r>
    <x v="292"/>
    <s v="000528"/>
    <s v="柳    工"/>
    <n v="2330"/>
    <n v="2330"/>
    <n v="4.88"/>
    <n v="4240.8599999999997"/>
    <n v="37.299999999999997"/>
    <n v="15611"/>
    <n v="6.7"/>
  </r>
  <r>
    <x v="292"/>
    <s v="000987"/>
    <s v="越秀金控"/>
    <n v="200"/>
    <n v="200"/>
    <n v="1.9870000000000001"/>
    <n v="1420.65"/>
    <n v="357.49"/>
    <n v="1818"/>
    <n v="9.09"/>
  </r>
  <r>
    <x v="292"/>
    <s v="002006"/>
    <s v="精功科技"/>
    <n v="100"/>
    <n v="100"/>
    <n v="-18.477"/>
    <n v="2473.6999999999998"/>
    <n v="0"/>
    <n v="626"/>
    <n v="6.26"/>
  </r>
  <r>
    <x v="292"/>
    <s v="002140"/>
    <s v="东华科技"/>
    <n v="11680"/>
    <n v="11280"/>
    <n v="8.7560000000000002"/>
    <n v="1102.53"/>
    <n v="1.08"/>
    <n v="103368"/>
    <n v="8.85"/>
  </r>
  <r>
    <x v="292"/>
    <s v="002945"/>
    <s v="华林证券"/>
    <n v="100"/>
    <n v="100"/>
    <n v="-22.369"/>
    <n v="4167.8999999999996"/>
    <n v="0"/>
    <n v="1931"/>
    <n v="19.309999999999999"/>
  </r>
  <r>
    <x v="292"/>
    <s v="002950"/>
    <s v="奥美医疗"/>
    <n v="100"/>
    <n v="100"/>
    <n v="-94.6"/>
    <n v="11986"/>
    <n v="0"/>
    <n v="2526"/>
    <n v="25.26"/>
  </r>
  <r>
    <x v="292"/>
    <s v="300701"/>
    <s v="森霸传感"/>
    <n v="150"/>
    <n v="150"/>
    <n v="-87.406999999999996"/>
    <n v="17051.55"/>
    <n v="0"/>
    <n v="3940.5"/>
    <n v="26.27"/>
  </r>
  <r>
    <x v="292"/>
    <s v="reserve"/>
    <s v="备用金"/>
    <m/>
    <m/>
    <m/>
    <m/>
    <m/>
    <n v="5764.55"/>
    <m/>
  </r>
  <r>
    <x v="293"/>
    <s v="519888"/>
    <s v="添富快线"/>
    <n v="3200401"/>
    <n v="3200401"/>
    <n v="8.9999999999999993E-3"/>
    <n v="4002.86"/>
    <n v="11.11"/>
    <n v="32004.01"/>
    <n v="0.01"/>
  </r>
  <r>
    <x v="293"/>
    <s v="600269"/>
    <s v="赣粤高速"/>
    <n v="2700"/>
    <n v="2700"/>
    <n v="4.7309999999999999"/>
    <n v="-703.57"/>
    <n v="-5.51"/>
    <n v="12069"/>
    <n v="4.47"/>
  </r>
  <r>
    <x v="293"/>
    <s v="601398"/>
    <s v="工商银行"/>
    <n v="100"/>
    <n v="100"/>
    <n v="-53.82"/>
    <n v="5973"/>
    <n v="0"/>
    <n v="591"/>
    <n v="5.91"/>
  </r>
  <r>
    <x v="293"/>
    <s v="601998"/>
    <s v="中信银行"/>
    <n v="3000"/>
    <n v="3000"/>
    <n v="5.25"/>
    <n v="2279.59"/>
    <n v="14.47"/>
    <n v="18030"/>
    <n v="6.01"/>
  </r>
  <r>
    <x v="293"/>
    <s v="603116"/>
    <s v="红蜻蜓"/>
    <n v="12320"/>
    <n v="12320"/>
    <n v="10.045"/>
    <n v="-29382.25"/>
    <n v="-23.74"/>
    <n v="94371.199999999997"/>
    <n v="7.66"/>
  </r>
  <r>
    <x v="293"/>
    <s v="000402"/>
    <s v="金 融 街"/>
    <n v="27600"/>
    <n v="27600"/>
    <n v="8.4130000000000003"/>
    <n v="-17463.7"/>
    <n v="-7.52"/>
    <n v="214728"/>
    <n v="7.78"/>
  </r>
  <r>
    <x v="293"/>
    <s v="000415"/>
    <s v="渤海租赁"/>
    <n v="6600"/>
    <n v="6600"/>
    <n v="5.19"/>
    <n v="-7987.58"/>
    <n v="-23.32"/>
    <n v="26268"/>
    <n v="3.98"/>
  </r>
  <r>
    <x v="293"/>
    <s v="000528"/>
    <s v="柳    工"/>
    <n v="2330"/>
    <n v="2330"/>
    <n v="4.88"/>
    <n v="4264.16"/>
    <n v="37.5"/>
    <n v="15634.3"/>
    <n v="6.71"/>
  </r>
  <r>
    <x v="293"/>
    <s v="000987"/>
    <s v="越秀金控"/>
    <n v="200"/>
    <n v="200"/>
    <n v="1.9870000000000001"/>
    <n v="1430.65"/>
    <n v="360"/>
    <n v="1828"/>
    <n v="9.14"/>
  </r>
  <r>
    <x v="293"/>
    <s v="002006"/>
    <s v="精功科技"/>
    <n v="100"/>
    <n v="100"/>
    <n v="-18.477"/>
    <n v="2473.6999999999998"/>
    <n v="0"/>
    <n v="626"/>
    <n v="6.26"/>
  </r>
  <r>
    <x v="293"/>
    <s v="002140"/>
    <s v="东华科技"/>
    <n v="11680"/>
    <n v="11680"/>
    <n v="8.7560000000000002"/>
    <n v="4022.53"/>
    <n v="3.93"/>
    <n v="106288"/>
    <n v="9.1"/>
  </r>
  <r>
    <x v="293"/>
    <s v="002945"/>
    <s v="华林证券"/>
    <n v="100"/>
    <n v="100"/>
    <n v="-22.369"/>
    <n v="4098.8999999999996"/>
    <n v="0"/>
    <n v="1862"/>
    <n v="18.62"/>
  </r>
  <r>
    <x v="293"/>
    <s v="002950"/>
    <s v="奥美医疗"/>
    <n v="100"/>
    <n v="100"/>
    <n v="-94.6"/>
    <n v="11941"/>
    <n v="0"/>
    <n v="2481"/>
    <n v="24.81"/>
  </r>
  <r>
    <x v="293"/>
    <s v="300701"/>
    <s v="森霸传感"/>
    <n v="150"/>
    <n v="150"/>
    <n v="-87.406999999999996"/>
    <n v="16912.05"/>
    <n v="0"/>
    <n v="3801"/>
    <n v="25.34"/>
  </r>
  <r>
    <x v="293"/>
    <s v="reserve"/>
    <s v="备用金"/>
    <m/>
    <m/>
    <m/>
    <m/>
    <m/>
    <n v="5764.55"/>
    <m/>
  </r>
  <r>
    <x v="294"/>
    <s v="519888"/>
    <s v="添富快线"/>
    <n v="3999998"/>
    <n v="3200798"/>
    <n v="8.9999999999999993E-3"/>
    <n v="4006.83"/>
    <n v="11.11"/>
    <n v="39999.980000000003"/>
    <n v="0.01"/>
  </r>
  <r>
    <x v="294"/>
    <s v="600269"/>
    <s v="赣粤高速"/>
    <n v="2700"/>
    <n v="2700"/>
    <n v="4.7309999999999999"/>
    <n v="-595.57000000000005"/>
    <n v="-4.66"/>
    <n v="12177"/>
    <n v="4.51"/>
  </r>
  <r>
    <x v="294"/>
    <s v="601398"/>
    <s v="工商银行"/>
    <n v="100"/>
    <n v="100"/>
    <n v="-53.82"/>
    <n v="5974"/>
    <n v="0"/>
    <n v="592"/>
    <n v="5.92"/>
  </r>
  <r>
    <x v="294"/>
    <s v="601998"/>
    <s v="中信银行"/>
    <n v="3000"/>
    <n v="3000"/>
    <n v="5.25"/>
    <n v="2459.59"/>
    <n v="15.62"/>
    <n v="18210"/>
    <n v="6.07"/>
  </r>
  <r>
    <x v="294"/>
    <s v="603116"/>
    <s v="红蜻蜓"/>
    <n v="12320"/>
    <n v="12320"/>
    <n v="10.045"/>
    <n v="-28150.25"/>
    <n v="-22.75"/>
    <n v="95603.199999999997"/>
    <n v="7.76"/>
  </r>
  <r>
    <x v="294"/>
    <s v="000402"/>
    <s v="金 融 街"/>
    <n v="27200"/>
    <n v="27200"/>
    <n v="8.42"/>
    <n v="-13331.87"/>
    <n v="-5.82"/>
    <n v="215696"/>
    <n v="7.93"/>
  </r>
  <r>
    <x v="294"/>
    <s v="000415"/>
    <s v="渤海租赁"/>
    <n v="6600"/>
    <n v="6600"/>
    <n v="5.19"/>
    <n v="-7591.58"/>
    <n v="-22.16"/>
    <n v="26664"/>
    <n v="4.04"/>
  </r>
  <r>
    <x v="294"/>
    <s v="000528"/>
    <s v="柳    工"/>
    <n v="1930"/>
    <n v="1930"/>
    <n v="4.4690000000000003"/>
    <n v="4613.91"/>
    <n v="53.49"/>
    <n v="13239.8"/>
    <n v="6.86"/>
  </r>
  <r>
    <x v="294"/>
    <s v="000987"/>
    <s v="越秀金控"/>
    <n v="200"/>
    <n v="200"/>
    <n v="1.9870000000000001"/>
    <n v="1456.65"/>
    <n v="366.55"/>
    <n v="1854"/>
    <n v="9.27"/>
  </r>
  <r>
    <x v="294"/>
    <s v="002006"/>
    <s v="精功科技"/>
    <n v="100"/>
    <n v="100"/>
    <n v="-18.477"/>
    <n v="2457.6999999999998"/>
    <n v="0"/>
    <n v="610"/>
    <n v="6.1"/>
  </r>
  <r>
    <x v="294"/>
    <s v="002140"/>
    <s v="东华科技"/>
    <n v="11680"/>
    <n v="11680"/>
    <n v="8.7560000000000002"/>
    <n v="3555.33"/>
    <n v="3.48"/>
    <n v="105820.8"/>
    <n v="9.06"/>
  </r>
  <r>
    <x v="294"/>
    <s v="002945"/>
    <s v="华林证券"/>
    <n v="100"/>
    <n v="100"/>
    <n v="-22.369"/>
    <n v="4092.9"/>
    <n v="0"/>
    <n v="1856"/>
    <n v="18.559999999999999"/>
  </r>
  <r>
    <x v="294"/>
    <s v="002950"/>
    <s v="奥美医疗"/>
    <n v="100"/>
    <n v="100"/>
    <n v="-94.6"/>
    <n v="12038"/>
    <n v="0"/>
    <n v="2578"/>
    <n v="25.78"/>
  </r>
  <r>
    <x v="294"/>
    <s v="300701"/>
    <s v="森霸传感"/>
    <n v="150"/>
    <n v="150"/>
    <n v="-87.406999999999996"/>
    <n v="16892.55"/>
    <n v="0"/>
    <n v="3781.5"/>
    <n v="25.21"/>
  </r>
  <r>
    <x v="294"/>
    <s v="reserve"/>
    <s v="备用金"/>
    <m/>
    <m/>
    <m/>
    <m/>
    <m/>
    <n v="3680.63"/>
    <m/>
  </r>
  <r>
    <x v="295"/>
    <s v="519888"/>
    <s v="添富快线"/>
    <n v="4000511"/>
    <n v="4000511"/>
    <n v="8.9999999999999993E-3"/>
    <n v="4011.96"/>
    <n v="11.11"/>
    <n v="40005.11"/>
    <n v="0.01"/>
  </r>
  <r>
    <x v="295"/>
    <s v="600269"/>
    <s v="赣粤高速"/>
    <n v="2700"/>
    <n v="2700"/>
    <n v="4.7309999999999999"/>
    <n v="-595.57000000000005"/>
    <n v="-4.66"/>
    <n v="12177"/>
    <n v="4.51"/>
  </r>
  <r>
    <x v="295"/>
    <s v="601398"/>
    <s v="工商银行"/>
    <n v="100"/>
    <n v="100"/>
    <n v="-53.82"/>
    <n v="5975"/>
    <n v="0"/>
    <n v="593"/>
    <n v="5.93"/>
  </r>
  <r>
    <x v="295"/>
    <s v="601998"/>
    <s v="中信银行"/>
    <n v="3000"/>
    <n v="3000"/>
    <n v="5.25"/>
    <n v="2399.59"/>
    <n v="15.24"/>
    <n v="18150"/>
    <n v="6.05"/>
  </r>
  <r>
    <x v="295"/>
    <s v="603116"/>
    <s v="红蜻蜓"/>
    <n v="11920"/>
    <n v="11920"/>
    <n v="10.119"/>
    <n v="-27641.65"/>
    <n v="-22.92"/>
    <n v="92976"/>
    <n v="7.8"/>
  </r>
  <r>
    <x v="295"/>
    <s v="000402"/>
    <s v="金 融 街"/>
    <n v="26800"/>
    <n v="26800"/>
    <n v="8.4269999999999996"/>
    <n v="-13056.06"/>
    <n v="-5.78"/>
    <n v="212792"/>
    <n v="7.94"/>
  </r>
  <r>
    <x v="295"/>
    <s v="000415"/>
    <s v="渤海租赁"/>
    <n v="6600"/>
    <n v="6600"/>
    <n v="5.19"/>
    <n v="-7525.58"/>
    <n v="-21.97"/>
    <n v="26730"/>
    <n v="4.05"/>
  </r>
  <r>
    <x v="295"/>
    <s v="000528"/>
    <s v="柳    工"/>
    <n v="1930"/>
    <n v="1930"/>
    <n v="4.4690000000000003"/>
    <n v="4536.71"/>
    <n v="52.6"/>
    <n v="13162.6"/>
    <n v="6.82"/>
  </r>
  <r>
    <x v="295"/>
    <s v="000987"/>
    <s v="越秀金控"/>
    <n v="200"/>
    <n v="200"/>
    <n v="1.9870000000000001"/>
    <n v="1442.65"/>
    <n v="363.02"/>
    <n v="1840"/>
    <n v="9.1999999999999993"/>
  </r>
  <r>
    <x v="295"/>
    <s v="002006"/>
    <s v="精功科技"/>
    <n v="100"/>
    <n v="100"/>
    <n v="-18.477"/>
    <n v="2447.6999999999998"/>
    <n v="0"/>
    <n v="600"/>
    <n v="6"/>
  </r>
  <r>
    <x v="295"/>
    <s v="002140"/>
    <s v="东华科技"/>
    <n v="11280"/>
    <n v="11280"/>
    <n v="8.7370000000000001"/>
    <n v="3525.81"/>
    <n v="3.58"/>
    <n v="102084"/>
    <n v="9.0500000000000007"/>
  </r>
  <r>
    <x v="295"/>
    <s v="002945"/>
    <s v="华林证券"/>
    <n v="100"/>
    <n v="100"/>
    <n v="-22.369"/>
    <n v="3962.9"/>
    <n v="0"/>
    <n v="1726"/>
    <n v="17.260000000000002"/>
  </r>
  <r>
    <x v="295"/>
    <s v="002950"/>
    <s v="奥美医疗"/>
    <n v="100"/>
    <n v="100"/>
    <n v="-94.6"/>
    <n v="11968"/>
    <n v="0"/>
    <n v="2508"/>
    <n v="25.08"/>
  </r>
  <r>
    <x v="295"/>
    <s v="300701"/>
    <s v="森霸传感"/>
    <n v="150"/>
    <n v="150"/>
    <n v="-87.406999999999996"/>
    <n v="17065.05"/>
    <n v="0"/>
    <n v="3954"/>
    <n v="26.36"/>
  </r>
  <r>
    <x v="295"/>
    <s v="reserve"/>
    <s v="备用金"/>
    <m/>
    <m/>
    <m/>
    <m/>
    <m/>
    <n v="13697.52"/>
    <m/>
  </r>
  <r>
    <x v="296"/>
    <s v="519888"/>
    <s v="添富快线"/>
    <n v="5000587"/>
    <n v="5000587"/>
    <n v="8.9999999999999993E-3"/>
    <n v="4016.72"/>
    <n v="11.11"/>
    <n v="50005.87"/>
    <n v="0.01"/>
  </r>
  <r>
    <x v="296"/>
    <s v="600269"/>
    <s v="赣粤高速"/>
    <n v="2700"/>
    <n v="2700"/>
    <n v="4.7309999999999999"/>
    <n v="-595.57000000000005"/>
    <n v="-4.66"/>
    <n v="12177"/>
    <n v="4.51"/>
  </r>
  <r>
    <x v="296"/>
    <s v="601398"/>
    <s v="工商银行"/>
    <n v="100"/>
    <n v="100"/>
    <n v="-54.070999999999998"/>
    <n v="5975.1"/>
    <n v="0"/>
    <n v="568"/>
    <n v="5.68"/>
  </r>
  <r>
    <x v="296"/>
    <s v="601998"/>
    <s v="中信银行"/>
    <n v="3000"/>
    <n v="3000"/>
    <n v="5.25"/>
    <n v="2489.59"/>
    <n v="15.81"/>
    <n v="18240"/>
    <n v="6.08"/>
  </r>
  <r>
    <x v="296"/>
    <s v="603116"/>
    <s v="红蜻蜓"/>
    <n v="11920"/>
    <n v="11920"/>
    <n v="10.119"/>
    <n v="-26926.45"/>
    <n v="-22.32"/>
    <n v="93691.199999999997"/>
    <n v="7.86"/>
  </r>
  <r>
    <x v="296"/>
    <s v="000402"/>
    <s v="金 融 街"/>
    <n v="26000"/>
    <n v="26000"/>
    <n v="8.4369999999999994"/>
    <n v="-7988.56"/>
    <n v="-3.64"/>
    <n v="211380"/>
    <n v="8.1300000000000008"/>
  </r>
  <r>
    <x v="296"/>
    <s v="000415"/>
    <s v="渤海租赁"/>
    <n v="6600"/>
    <n v="6600"/>
    <n v="5.19"/>
    <n v="-7591.58"/>
    <n v="-22.16"/>
    <n v="26664"/>
    <n v="4.04"/>
  </r>
  <r>
    <x v="296"/>
    <s v="000528"/>
    <s v="柳    工"/>
    <n v="1930"/>
    <n v="1930"/>
    <n v="4.4690000000000003"/>
    <n v="4440.21"/>
    <n v="51.48"/>
    <n v="13066.1"/>
    <n v="6.77"/>
  </r>
  <r>
    <x v="296"/>
    <s v="000987"/>
    <s v="越秀金控"/>
    <n v="200"/>
    <n v="200"/>
    <n v="1.9870000000000001"/>
    <n v="1414.65"/>
    <n v="355.98"/>
    <n v="1812"/>
    <n v="9.06"/>
  </r>
  <r>
    <x v="296"/>
    <s v="002006"/>
    <s v="精功科技"/>
    <n v="100"/>
    <n v="100"/>
    <n v="-18.477"/>
    <n v="2421.6999999999998"/>
    <n v="0"/>
    <n v="574"/>
    <n v="5.74"/>
  </r>
  <r>
    <x v="296"/>
    <s v="002140"/>
    <s v="东华科技"/>
    <n v="12080"/>
    <n v="11280"/>
    <n v="8.74"/>
    <n v="-600.99"/>
    <n v="-0.56999999999999995"/>
    <n v="104975.2"/>
    <n v="8.69"/>
  </r>
  <r>
    <x v="296"/>
    <s v="002945"/>
    <s v="华林证券"/>
    <n v="100"/>
    <n v="100"/>
    <n v="-22.369"/>
    <n v="3958.9"/>
    <n v="0"/>
    <n v="1722"/>
    <n v="17.22"/>
  </r>
  <r>
    <x v="296"/>
    <s v="002950"/>
    <s v="奥美医疗"/>
    <n v="100"/>
    <n v="100"/>
    <n v="-94.6"/>
    <n v="11901"/>
    <n v="0"/>
    <n v="2441"/>
    <n v="24.41"/>
  </r>
  <r>
    <x v="296"/>
    <s v="300701"/>
    <s v="森霸传感"/>
    <n v="150"/>
    <n v="150"/>
    <n v="-87.406999999999996"/>
    <n v="16963.05"/>
    <n v="0"/>
    <n v="3852"/>
    <n v="25.68"/>
  </r>
  <r>
    <x v="296"/>
    <s v="reserve"/>
    <s v="备用金"/>
    <m/>
    <m/>
    <m/>
    <m/>
    <m/>
    <n v="3176.08"/>
    <m/>
  </r>
  <r>
    <x v="297"/>
    <s v="519888"/>
    <s v="添富快线"/>
    <n v="3114452"/>
    <n v="2002352"/>
    <n v="8.9999999999999993E-3"/>
    <n v="4034.37"/>
    <n v="11.11"/>
    <n v="31144.52"/>
    <n v="0.01"/>
  </r>
  <r>
    <x v="297"/>
    <s v="600269"/>
    <s v="赣粤高速"/>
    <n v="2800"/>
    <n v="2800"/>
    <n v="4.6970000000000001"/>
    <n v="-776.48"/>
    <n v="-5.9"/>
    <n v="12376"/>
    <n v="4.42"/>
  </r>
  <r>
    <x v="297"/>
    <s v="601398"/>
    <s v="工商银行"/>
    <n v="100"/>
    <n v="100"/>
    <n v="-54.070999999999998"/>
    <n v="5967.1"/>
    <n v="0"/>
    <n v="560"/>
    <n v="5.6"/>
  </r>
  <r>
    <x v="297"/>
    <s v="601998"/>
    <s v="中信银行"/>
    <n v="3000"/>
    <n v="3000"/>
    <n v="5.25"/>
    <n v="2039.59"/>
    <n v="12.95"/>
    <n v="17790"/>
    <n v="5.93"/>
  </r>
  <r>
    <x v="297"/>
    <s v="603116"/>
    <s v="红蜻蜓"/>
    <n v="11920"/>
    <n v="11920"/>
    <n v="10.112"/>
    <n v="-28631.75"/>
    <n v="-23.75"/>
    <n v="91903.2"/>
    <n v="7.71"/>
  </r>
  <r>
    <x v="297"/>
    <s v="000402"/>
    <s v="金 融 街"/>
    <n v="26400"/>
    <n v="26400"/>
    <n v="8.4290000000000003"/>
    <n v="-15281.56"/>
    <n v="-6.87"/>
    <n v="207240"/>
    <n v="7.85"/>
  </r>
  <r>
    <x v="297"/>
    <s v="000415"/>
    <s v="渤海租赁"/>
    <n v="6700"/>
    <n v="6700"/>
    <n v="5.1630000000000003"/>
    <n v="-7860.18"/>
    <n v="-22.72"/>
    <n v="26733"/>
    <n v="3.99"/>
  </r>
  <r>
    <x v="297"/>
    <s v="000528"/>
    <s v="柳    工"/>
    <n v="2530"/>
    <n v="2530"/>
    <n v="4.9550000000000001"/>
    <n v="4263.66"/>
    <n v="34.01"/>
    <n v="16799.2"/>
    <n v="6.64"/>
  </r>
  <r>
    <x v="297"/>
    <s v="000987"/>
    <s v="越秀金控"/>
    <n v="100"/>
    <n v="100"/>
    <n v="-5.867"/>
    <n v="1591.7"/>
    <n v="0"/>
    <n v="1005"/>
    <n v="10.050000000000001"/>
  </r>
  <r>
    <x v="297"/>
    <s v="002006"/>
    <s v="精功科技"/>
    <n v="100"/>
    <n v="100"/>
    <n v="-18.477"/>
    <n v="2366.6999999999998"/>
    <n v="0"/>
    <n v="519"/>
    <n v="5.19"/>
  </r>
  <r>
    <x v="297"/>
    <s v="002140"/>
    <s v="东华科技"/>
    <n v="13180"/>
    <n v="13180"/>
    <n v="8.6980000000000004"/>
    <n v="-4723.6099999999997"/>
    <n v="-4.12"/>
    <n v="109921.2"/>
    <n v="8.34"/>
  </r>
  <r>
    <x v="297"/>
    <s v="002945"/>
    <s v="华林证券"/>
    <n v="100"/>
    <n v="100"/>
    <n v="-22.369"/>
    <n v="3905.9"/>
    <n v="0"/>
    <n v="1669"/>
    <n v="16.690000000000001"/>
  </r>
  <r>
    <x v="297"/>
    <s v="002950"/>
    <s v="奥美医疗"/>
    <n v="100"/>
    <n v="100"/>
    <n v="-94.6"/>
    <n v="11785"/>
    <n v="0"/>
    <n v="2325"/>
    <n v="23.25"/>
  </r>
  <r>
    <x v="297"/>
    <s v="300701"/>
    <s v="森霸传感"/>
    <n v="150"/>
    <n v="150"/>
    <n v="-87.406999999999996"/>
    <n v="16799.55"/>
    <n v="0"/>
    <n v="3688.5"/>
    <n v="24.59"/>
  </r>
  <r>
    <x v="297"/>
    <s v="reserve"/>
    <s v="备用金"/>
    <m/>
    <m/>
    <m/>
    <m/>
    <m/>
    <n v="3340.61"/>
    <m/>
  </r>
  <r>
    <x v="298"/>
    <s v="519888"/>
    <s v="添富快线"/>
    <n v="3114908"/>
    <n v="3114908"/>
    <n v="8.9999999999999993E-3"/>
    <n v="4038.93"/>
    <n v="11.11"/>
    <n v="31149.08"/>
    <n v="0.01"/>
  </r>
  <r>
    <x v="298"/>
    <s v="600269"/>
    <s v="赣粤高速"/>
    <n v="2800"/>
    <n v="2800"/>
    <n v="4.6970000000000001"/>
    <n v="-832.48"/>
    <n v="-6.33"/>
    <n v="12320"/>
    <n v="4.4000000000000004"/>
  </r>
  <r>
    <x v="298"/>
    <s v="601398"/>
    <s v="工商银行"/>
    <n v="100"/>
    <n v="100"/>
    <n v="-54.070999999999998"/>
    <n v="5963.1"/>
    <n v="0"/>
    <n v="556"/>
    <n v="5.56"/>
  </r>
  <r>
    <x v="298"/>
    <s v="601998"/>
    <s v="中信银行"/>
    <n v="3000"/>
    <n v="3000"/>
    <n v="5.25"/>
    <n v="2099.59"/>
    <n v="13.33"/>
    <n v="17850"/>
    <n v="5.95"/>
  </r>
  <r>
    <x v="298"/>
    <s v="603116"/>
    <s v="红蜻蜓"/>
    <n v="11920"/>
    <n v="11920"/>
    <n v="10.112"/>
    <n v="-28631.75"/>
    <n v="-23.75"/>
    <n v="91903.2"/>
    <n v="7.71"/>
  </r>
  <r>
    <x v="298"/>
    <s v="787009"/>
    <s v="通号申购"/>
    <n v="500"/>
    <n v="0"/>
    <n v="5.85"/>
    <n v="0"/>
    <n v="0"/>
    <n v="2925"/>
    <n v="5.85"/>
  </r>
  <r>
    <x v="298"/>
    <s v="000402"/>
    <s v="金 融 街"/>
    <n v="26400"/>
    <n v="26400"/>
    <n v="8.4290000000000003"/>
    <n v="-15545.56"/>
    <n v="-6.99"/>
    <n v="206976"/>
    <n v="7.84"/>
  </r>
  <r>
    <x v="298"/>
    <s v="000415"/>
    <s v="渤海租赁"/>
    <n v="6700"/>
    <n v="6700"/>
    <n v="5.1630000000000003"/>
    <n v="-7860.18"/>
    <n v="-22.72"/>
    <n v="26733"/>
    <n v="3.99"/>
  </r>
  <r>
    <x v="298"/>
    <s v="000528"/>
    <s v="柳    工"/>
    <n v="2130"/>
    <n v="2130"/>
    <n v="4.6230000000000002"/>
    <n v="4487.66"/>
    <n v="45.57"/>
    <n v="14334.9"/>
    <n v="6.73"/>
  </r>
  <r>
    <x v="298"/>
    <s v="000987"/>
    <s v="越秀金控"/>
    <n v="100"/>
    <n v="100"/>
    <n v="-5.867"/>
    <n v="1565.7"/>
    <n v="0"/>
    <n v="979"/>
    <n v="9.7899999999999991"/>
  </r>
  <r>
    <x v="298"/>
    <s v="002006"/>
    <s v="精功科技"/>
    <n v="100"/>
    <n v="100"/>
    <n v="-18.477"/>
    <n v="2353.6999999999998"/>
    <n v="0"/>
    <n v="506"/>
    <n v="5.0599999999999996"/>
  </r>
  <r>
    <x v="298"/>
    <s v="002140"/>
    <s v="东华科技"/>
    <n v="12780"/>
    <n v="12780"/>
    <n v="8.7050000000000001"/>
    <n v="-3517.81"/>
    <n v="-3.16"/>
    <n v="107735.4"/>
    <n v="8.43"/>
  </r>
  <r>
    <x v="298"/>
    <s v="002945"/>
    <s v="华林证券"/>
    <n v="100"/>
    <n v="100"/>
    <n v="-22.369"/>
    <n v="3923.9"/>
    <n v="0"/>
    <n v="1687"/>
    <n v="16.87"/>
  </r>
  <r>
    <x v="298"/>
    <s v="002950"/>
    <s v="奥美医疗"/>
    <n v="100"/>
    <n v="100"/>
    <n v="-94.6"/>
    <n v="11814"/>
    <n v="0"/>
    <n v="2354"/>
    <n v="23.54"/>
  </r>
  <r>
    <x v="298"/>
    <s v="300701"/>
    <s v="森霸传感"/>
    <n v="150"/>
    <n v="150"/>
    <n v="-87.406999999999996"/>
    <n v="16786.05"/>
    <n v="0"/>
    <n v="3675"/>
    <n v="24.5"/>
  </r>
  <r>
    <x v="298"/>
    <s v="reserve"/>
    <s v="备用金"/>
    <m/>
    <m/>
    <m/>
    <m/>
    <m/>
    <n v="9390.51"/>
    <m/>
  </r>
  <r>
    <x v="299"/>
    <s v="519888"/>
    <s v="添富快线"/>
    <n v="2716027"/>
    <n v="2716027"/>
    <n v="8.9999999999999993E-3"/>
    <n v="4050.12"/>
    <n v="11.11"/>
    <n v="27160.27"/>
    <n v="0.01"/>
  </r>
  <r>
    <x v="299"/>
    <s v="600269"/>
    <s v="赣粤高速"/>
    <n v="2800"/>
    <n v="2800"/>
    <n v="4.6970000000000001"/>
    <n v="-1028.48"/>
    <n v="-7.82"/>
    <n v="12124"/>
    <n v="4.33"/>
  </r>
  <r>
    <x v="299"/>
    <s v="601398"/>
    <s v="工商银行"/>
    <n v="100"/>
    <n v="100"/>
    <n v="-54.070999999999998"/>
    <n v="5973.1"/>
    <n v="0"/>
    <n v="566"/>
    <n v="5.66"/>
  </r>
  <r>
    <x v="299"/>
    <s v="601998"/>
    <s v="中信银行"/>
    <n v="4000"/>
    <n v="4000"/>
    <n v="5.1890000000000001"/>
    <n v="2044.47"/>
    <n v="9.85"/>
    <n v="22800"/>
    <n v="5.7"/>
  </r>
  <r>
    <x v="299"/>
    <s v="603116"/>
    <s v="红蜻蜓"/>
    <n v="12420"/>
    <n v="12420"/>
    <n v="10.007999999999999"/>
    <n v="-30658.23"/>
    <n v="-24.66"/>
    <n v="93646.8"/>
    <n v="7.54"/>
  </r>
  <r>
    <x v="299"/>
    <s v="688009"/>
    <s v="中国通号"/>
    <n v="500"/>
    <n v="500"/>
    <n v="5.85"/>
    <n v="2080"/>
    <n v="71.11"/>
    <n v="5005"/>
    <n v="10.01"/>
  </r>
  <r>
    <x v="299"/>
    <s v="000402"/>
    <s v="金 融 街"/>
    <n v="26400"/>
    <n v="26400"/>
    <n v="8.4269999999999996"/>
    <n v="-17866.73"/>
    <n v="-8.0299999999999994"/>
    <n v="204600"/>
    <n v="7.75"/>
  </r>
  <r>
    <x v="299"/>
    <s v="000415"/>
    <s v="渤海租赁"/>
    <n v="6700"/>
    <n v="6700"/>
    <n v="5.1630000000000003"/>
    <n v="-8664.18"/>
    <n v="-25.05"/>
    <n v="25929"/>
    <n v="3.87"/>
  </r>
  <r>
    <x v="299"/>
    <s v="000528"/>
    <s v="柳    工"/>
    <n v="2130"/>
    <n v="2130"/>
    <n v="4.6230000000000002"/>
    <n v="4445.0600000000004"/>
    <n v="45.14"/>
    <n v="14292.3"/>
    <n v="6.71"/>
  </r>
  <r>
    <x v="299"/>
    <s v="000987"/>
    <s v="越秀金控"/>
    <n v="100"/>
    <n v="100"/>
    <n v="-5.867"/>
    <n v="1537.7"/>
    <n v="0"/>
    <n v="951"/>
    <n v="9.51"/>
  </r>
  <r>
    <x v="299"/>
    <s v="002006"/>
    <s v="精功科技"/>
    <n v="100"/>
    <n v="100"/>
    <n v="-18.477"/>
    <n v="2338.6999999999998"/>
    <n v="0"/>
    <n v="491"/>
    <n v="4.91"/>
  </r>
  <r>
    <x v="299"/>
    <s v="002140"/>
    <s v="东华科技"/>
    <n v="13280"/>
    <n v="13280"/>
    <n v="8.6839999999999993"/>
    <n v="-9486.61"/>
    <n v="-8.23"/>
    <n v="105841.60000000001"/>
    <n v="7.97"/>
  </r>
  <r>
    <x v="299"/>
    <s v="002945"/>
    <s v="华林证券"/>
    <n v="100"/>
    <n v="100"/>
    <n v="-22.369"/>
    <n v="4042.9"/>
    <n v="0"/>
    <n v="1806"/>
    <n v="18.059999999999999"/>
  </r>
  <r>
    <x v="299"/>
    <s v="002950"/>
    <s v="奥美医疗"/>
    <n v="100"/>
    <n v="100"/>
    <n v="-94.6"/>
    <n v="11639"/>
    <n v="0"/>
    <n v="2179"/>
    <n v="21.79"/>
  </r>
  <r>
    <x v="299"/>
    <s v="300701"/>
    <s v="森霸传感"/>
    <n v="150"/>
    <n v="150"/>
    <n v="-87.406999999999996"/>
    <n v="16456.05"/>
    <n v="0"/>
    <n v="3345"/>
    <n v="22.3"/>
  </r>
  <r>
    <x v="299"/>
    <s v="reserve"/>
    <s v="备用金"/>
    <m/>
    <m/>
    <m/>
    <m/>
    <m/>
    <n v="591.69000000000005"/>
    <m/>
  </r>
  <r>
    <x v="300"/>
    <s v="603116"/>
    <s v="红蜻蜓"/>
    <n v="12420"/>
    <n v="12420"/>
    <n v="10.007999999999999"/>
    <n v="-32893.83"/>
    <n v="-26.46"/>
    <n v="91411.199999999997"/>
    <n v="7.36"/>
  </r>
  <r>
    <x v="300"/>
    <s v="000402"/>
    <s v="金 融 街"/>
    <n v="27400"/>
    <n v="27400"/>
    <n v="8.3859999999999992"/>
    <n v="-17437.939999999999"/>
    <n v="-7.59"/>
    <n v="212350"/>
    <n v="7.75"/>
  </r>
  <r>
    <x v="300"/>
    <s v="002140"/>
    <s v="东华科技"/>
    <n v="13780"/>
    <n v="13780"/>
    <n v="8.6289999999999996"/>
    <n v="-15001.85"/>
    <n v="-12.62"/>
    <n v="103901.2"/>
    <n v="7.54"/>
  </r>
  <r>
    <x v="300"/>
    <s v="000415"/>
    <s v="渤海租赁"/>
    <n v="6800"/>
    <n v="6800"/>
    <n v="5.1470000000000002"/>
    <n v="-9088.67"/>
    <n v="-25.97"/>
    <n v="25908"/>
    <n v="3.81"/>
  </r>
  <r>
    <x v="300"/>
    <s v="600269"/>
    <s v="赣粤高速"/>
    <n v="3300"/>
    <n v="2800"/>
    <n v="4.633"/>
    <n v="-1295.52"/>
    <n v="-8.4700000000000006"/>
    <n v="13992"/>
    <n v="4.24"/>
  </r>
  <r>
    <x v="300"/>
    <s v="003816"/>
    <s v="中国广核"/>
    <n v="500"/>
    <n v="500"/>
    <n v="2.4900000000000002"/>
    <n v="1180"/>
    <n v="94.78"/>
    <n v="2425"/>
    <n v="4.8499999999999996"/>
  </r>
  <r>
    <x v="300"/>
    <s v="000987"/>
    <s v="越秀金控"/>
    <n v="100"/>
    <n v="100"/>
    <n v="-5.867"/>
    <n v="1542.7"/>
    <n v="0"/>
    <n v="956"/>
    <n v="9.56"/>
  </r>
  <r>
    <x v="300"/>
    <s v="688009"/>
    <s v="中国通号"/>
    <n v="500"/>
    <n v="500"/>
    <n v="5.85"/>
    <n v="2090"/>
    <n v="71.45"/>
    <n v="5015"/>
    <n v="10.029999999999999"/>
  </r>
  <r>
    <x v="300"/>
    <s v="601998"/>
    <s v="中信银行"/>
    <n v="3600"/>
    <n v="3600"/>
    <n v="5.117"/>
    <n v="2241.08"/>
    <n v="12.17"/>
    <n v="20664"/>
    <n v="5.74"/>
  </r>
  <r>
    <x v="300"/>
    <s v="002006"/>
    <s v="精功科技"/>
    <n v="100"/>
    <n v="100"/>
    <n v="-18.477"/>
    <n v="2320.6999999999998"/>
    <n v="0"/>
    <n v="473"/>
    <n v="4.7300000000000004"/>
  </r>
  <r>
    <x v="300"/>
    <s v="002945"/>
    <s v="华林证券"/>
    <n v="100"/>
    <n v="100"/>
    <n v="-22.369"/>
    <n v="3951.9"/>
    <n v="0"/>
    <n v="1715"/>
    <n v="17.149999999999999"/>
  </r>
  <r>
    <x v="300"/>
    <s v="519888"/>
    <s v="添富快线"/>
    <n v="17106"/>
    <n v="17106"/>
    <n v="-0.22700000000000001"/>
    <n v="4054.1219999999998"/>
    <n v="0"/>
    <n v="171.06"/>
    <n v="0.01"/>
  </r>
  <r>
    <x v="300"/>
    <s v="000528"/>
    <s v="柳    工"/>
    <n v="1930"/>
    <n v="1930"/>
    <n v="4.2910000000000004"/>
    <n v="4283.1000000000004"/>
    <n v="51.72"/>
    <n v="12564.3"/>
    <n v="6.51"/>
  </r>
  <r>
    <x v="300"/>
    <s v="601398"/>
    <s v="工商银行"/>
    <n v="100"/>
    <n v="100"/>
    <n v="-54.070999999999998"/>
    <n v="5957.1"/>
    <n v="0"/>
    <n v="550"/>
    <n v="5.5"/>
  </r>
  <r>
    <x v="300"/>
    <s v="002950"/>
    <s v="奥美医疗"/>
    <n v="100"/>
    <n v="100"/>
    <n v="-94.6"/>
    <n v="11633"/>
    <n v="0"/>
    <n v="2173"/>
    <n v="21.73"/>
  </r>
  <r>
    <x v="300"/>
    <s v="300701"/>
    <s v="森霸传感"/>
    <n v="150"/>
    <n v="150"/>
    <n v="-87.406999999999996"/>
    <n v="16573.05"/>
    <n v="0"/>
    <n v="3462"/>
    <n v="23.08"/>
  </r>
  <r>
    <x v="300"/>
    <s v="reserve"/>
    <s v="备用金"/>
    <m/>
    <m/>
    <m/>
    <m/>
    <m/>
    <n v="16753.560000000001"/>
    <m/>
  </r>
  <r>
    <x v="301"/>
    <s v="519888"/>
    <s v="添富快线"/>
    <n v="17112"/>
    <n v="17112"/>
    <n v="-0.22700000000000001"/>
    <n v="4055.5439999999999"/>
    <n v="0"/>
    <n v="171.12"/>
    <n v="0.01"/>
  </r>
  <r>
    <x v="301"/>
    <s v="600269"/>
    <s v="赣粤高速"/>
    <n v="3300"/>
    <n v="3300"/>
    <n v="4.633"/>
    <n v="-1262.52"/>
    <n v="-8.26"/>
    <n v="14025"/>
    <n v="4.25"/>
  </r>
  <r>
    <x v="301"/>
    <s v="601398"/>
    <s v="工商银行"/>
    <n v="100"/>
    <n v="100"/>
    <n v="-54.070999999999998"/>
    <n v="5962.1"/>
    <n v="0"/>
    <n v="555"/>
    <n v="5.55"/>
  </r>
  <r>
    <x v="301"/>
    <s v="601998"/>
    <s v="中信银行"/>
    <n v="3600"/>
    <n v="3600"/>
    <n v="5.117"/>
    <n v="2529.08"/>
    <n v="13.73"/>
    <n v="20952"/>
    <n v="5.82"/>
  </r>
  <r>
    <x v="301"/>
    <s v="603116"/>
    <s v="红蜻蜓"/>
    <n v="12920"/>
    <n v="12920"/>
    <n v="9.9039999999999999"/>
    <n v="-33003.1"/>
    <n v="-25.79"/>
    <n v="94962"/>
    <n v="7.35"/>
  </r>
  <r>
    <x v="301"/>
    <s v="688009"/>
    <s v="中国通号"/>
    <n v="500"/>
    <n v="500"/>
    <n v="5.85"/>
    <n v="2015"/>
    <n v="68.89"/>
    <n v="4940"/>
    <n v="9.8800000000000008"/>
  </r>
  <r>
    <x v="301"/>
    <s v="000402"/>
    <s v="金 融 街"/>
    <n v="27000"/>
    <n v="27000"/>
    <n v="8.3960000000000008"/>
    <n v="-15822.04"/>
    <n v="-6.98"/>
    <n v="210870"/>
    <n v="7.81"/>
  </r>
  <r>
    <x v="301"/>
    <s v="000415"/>
    <s v="渤海租赁"/>
    <n v="6400"/>
    <n v="6400"/>
    <n v="5.226"/>
    <n v="-8483.23"/>
    <n v="-25.36"/>
    <n v="24960"/>
    <n v="3.9"/>
  </r>
  <r>
    <x v="301"/>
    <s v="000528"/>
    <s v="柳    工"/>
    <n v="1930"/>
    <n v="1930"/>
    <n v="4.2910000000000004"/>
    <n v="4398.8999999999996"/>
    <n v="53.12"/>
    <n v="12680.1"/>
    <n v="6.57"/>
  </r>
  <r>
    <x v="301"/>
    <s v="000987"/>
    <s v="越秀金控"/>
    <n v="100"/>
    <n v="100"/>
    <n v="-5.867"/>
    <n v="1563.7"/>
    <n v="0"/>
    <n v="977"/>
    <n v="9.77"/>
  </r>
  <r>
    <x v="301"/>
    <s v="002006"/>
    <s v="精功科技"/>
    <n v="100"/>
    <n v="100"/>
    <n v="-18.477"/>
    <n v="2324.6999999999998"/>
    <n v="0"/>
    <n v="477"/>
    <n v="4.7699999999999996"/>
  </r>
  <r>
    <x v="301"/>
    <s v="002140"/>
    <s v="东华科技"/>
    <n v="12980"/>
    <n v="12980"/>
    <n v="8.6609999999999996"/>
    <n v="-7407.35"/>
    <n v="-6.59"/>
    <n v="105008.2"/>
    <n v="8.09"/>
  </r>
  <r>
    <x v="301"/>
    <s v="002945"/>
    <s v="华林证券"/>
    <n v="100"/>
    <n v="100"/>
    <n v="-22.369"/>
    <n v="4056.9"/>
    <n v="0"/>
    <n v="1820"/>
    <n v="18.2"/>
  </r>
  <r>
    <x v="301"/>
    <s v="002950"/>
    <s v="奥美医疗"/>
    <n v="100"/>
    <n v="100"/>
    <n v="-94.6"/>
    <n v="11755"/>
    <n v="0"/>
    <n v="2295"/>
    <n v="22.95"/>
  </r>
  <r>
    <x v="301"/>
    <s v="003816"/>
    <s v="中国广核"/>
    <n v="500"/>
    <n v="500"/>
    <n v="2.4900000000000002"/>
    <n v="1060"/>
    <n v="85.14"/>
    <n v="2305"/>
    <n v="4.6100000000000003"/>
  </r>
  <r>
    <x v="301"/>
    <s v="300701"/>
    <s v="森霸传感"/>
    <n v="150"/>
    <n v="150"/>
    <n v="-87.406999999999996"/>
    <n v="16766.55"/>
    <n v="0"/>
    <n v="3655.5"/>
    <n v="24.37"/>
  </r>
  <r>
    <x v="301"/>
    <s v="reserve"/>
    <s v="备用金"/>
    <m/>
    <m/>
    <m/>
    <m/>
    <m/>
    <n v="24218.33"/>
    <m/>
  </r>
  <r>
    <x v="302"/>
    <s v="519888"/>
    <s v="添富快线"/>
    <n v="17113"/>
    <n v="17113"/>
    <n v="-0.22700000000000001"/>
    <n v="4055.7809999999999"/>
    <n v="0"/>
    <n v="171.13"/>
    <n v="0.01"/>
  </r>
  <r>
    <x v="302"/>
    <s v="600269"/>
    <s v="赣粤高速"/>
    <n v="3300"/>
    <n v="3300"/>
    <n v="4.633"/>
    <n v="-1229.52"/>
    <n v="-8.0399999999999991"/>
    <n v="14058"/>
    <n v="4.26"/>
  </r>
  <r>
    <x v="302"/>
    <s v="601398"/>
    <s v="工商银行"/>
    <n v="100"/>
    <n v="100"/>
    <n v="-54.070999999999998"/>
    <n v="5964.1"/>
    <n v="0"/>
    <n v="557"/>
    <n v="5.57"/>
  </r>
  <r>
    <x v="302"/>
    <s v="601998"/>
    <s v="中信银行"/>
    <n v="3600"/>
    <n v="3600"/>
    <n v="5.117"/>
    <n v="2601.08"/>
    <n v="14.12"/>
    <n v="21024"/>
    <n v="5.84"/>
  </r>
  <r>
    <x v="302"/>
    <s v="603116"/>
    <s v="红蜻蜓"/>
    <n v="12920"/>
    <n v="12920"/>
    <n v="9.9039999999999999"/>
    <n v="-32744.7"/>
    <n v="-25.59"/>
    <n v="95220.4"/>
    <n v="7.37"/>
  </r>
  <r>
    <x v="302"/>
    <s v="688009"/>
    <s v="中国通号"/>
    <n v="500"/>
    <n v="500"/>
    <n v="5.85"/>
    <n v="1910"/>
    <n v="65.3"/>
    <n v="4835"/>
    <n v="9.67"/>
  </r>
  <r>
    <x v="302"/>
    <s v="000402"/>
    <s v="金 融 街"/>
    <n v="26600"/>
    <n v="26600"/>
    <n v="8.4039999999999999"/>
    <n v="-13932.2"/>
    <n v="-6.23"/>
    <n v="209608"/>
    <n v="7.88"/>
  </r>
  <r>
    <x v="302"/>
    <s v="000415"/>
    <s v="渤海租赁"/>
    <n v="6400"/>
    <n v="6400"/>
    <n v="5.226"/>
    <n v="-8355.23"/>
    <n v="-24.98"/>
    <n v="25088"/>
    <n v="3.92"/>
  </r>
  <r>
    <x v="302"/>
    <s v="000528"/>
    <s v="柳    工"/>
    <n v="1930"/>
    <n v="1930"/>
    <n v="4.2910000000000004"/>
    <n v="4476.1000000000004"/>
    <n v="54.05"/>
    <n v="12757.3"/>
    <n v="6.61"/>
  </r>
  <r>
    <x v="302"/>
    <s v="000987"/>
    <s v="越秀金控"/>
    <n v="100"/>
    <n v="100"/>
    <n v="-5.867"/>
    <n v="1567.7"/>
    <n v="0"/>
    <n v="981"/>
    <n v="9.81"/>
  </r>
  <r>
    <x v="302"/>
    <s v="002006"/>
    <s v="精功科技"/>
    <n v="100"/>
    <n v="100"/>
    <n v="-18.477"/>
    <n v="2333.6999999999998"/>
    <n v="0"/>
    <n v="486"/>
    <n v="4.8600000000000003"/>
  </r>
  <r>
    <x v="302"/>
    <s v="002140"/>
    <s v="东华科技"/>
    <n v="12980"/>
    <n v="12980"/>
    <n v="8.6609999999999996"/>
    <n v="-7926.55"/>
    <n v="-7.05"/>
    <n v="104489"/>
    <n v="8.0500000000000007"/>
  </r>
  <r>
    <x v="302"/>
    <s v="002945"/>
    <s v="华林证券"/>
    <n v="100"/>
    <n v="100"/>
    <n v="-22.369"/>
    <n v="4058.9"/>
    <n v="0"/>
    <n v="1822"/>
    <n v="18.22"/>
  </r>
  <r>
    <x v="302"/>
    <s v="002950"/>
    <s v="奥美医疗"/>
    <n v="100"/>
    <n v="100"/>
    <n v="-94.6"/>
    <n v="11738"/>
    <n v="0"/>
    <n v="2278"/>
    <n v="22.78"/>
  </r>
  <r>
    <x v="302"/>
    <s v="003816"/>
    <s v="中国广核"/>
    <n v="500"/>
    <n v="500"/>
    <n v="2.4900000000000002"/>
    <n v="1025"/>
    <n v="82.33"/>
    <n v="2270"/>
    <n v="4.54"/>
  </r>
  <r>
    <x v="302"/>
    <s v="300701"/>
    <s v="森霸传感"/>
    <n v="150"/>
    <n v="150"/>
    <n v="-87.406999999999996"/>
    <n v="16873.05"/>
    <n v="0"/>
    <n v="3762"/>
    <n v="25.08"/>
  </r>
  <r>
    <x v="302"/>
    <s v="reserve"/>
    <s v="备用金"/>
    <m/>
    <m/>
    <m/>
    <m/>
    <m/>
    <n v="27346.17"/>
    <m/>
  </r>
  <r>
    <x v="303"/>
    <s v="519888"/>
    <s v="添富快线"/>
    <n v="3068114"/>
    <n v="17114"/>
    <n v="8.9999999999999993E-3"/>
    <n v="4060.99"/>
    <n v="11.11"/>
    <n v="30681.14"/>
    <n v="0.01"/>
  </r>
  <r>
    <x v="303"/>
    <s v="600269"/>
    <s v="赣粤高速"/>
    <n v="3300"/>
    <n v="3300"/>
    <n v="4.633"/>
    <n v="-1229.52"/>
    <n v="-8.0399999999999991"/>
    <n v="14058"/>
    <n v="4.26"/>
  </r>
  <r>
    <x v="303"/>
    <s v="601398"/>
    <s v="工商银行"/>
    <n v="100"/>
    <n v="100"/>
    <n v="-54.070999999999998"/>
    <n v="5964.1"/>
    <n v="0"/>
    <n v="557"/>
    <n v="5.57"/>
  </r>
  <r>
    <x v="303"/>
    <s v="601998"/>
    <s v="中信银行"/>
    <n v="3600"/>
    <n v="3600"/>
    <n v="5.117"/>
    <n v="2457.08"/>
    <n v="13.34"/>
    <n v="20880"/>
    <n v="5.8"/>
  </r>
  <r>
    <x v="303"/>
    <s v="603116"/>
    <s v="红蜻蜓"/>
    <n v="12920"/>
    <n v="12920"/>
    <n v="9.9039999999999999"/>
    <n v="-32486.3"/>
    <n v="-25.39"/>
    <n v="95478.8"/>
    <n v="7.39"/>
  </r>
  <r>
    <x v="303"/>
    <s v="688009"/>
    <s v="中国通号"/>
    <n v="500"/>
    <n v="500"/>
    <n v="5.85"/>
    <n v="1915"/>
    <n v="65.47"/>
    <n v="4840"/>
    <n v="9.68"/>
  </r>
  <r>
    <x v="303"/>
    <s v="000402"/>
    <s v="金 融 街"/>
    <n v="26200"/>
    <n v="26200"/>
    <n v="8.4109999999999996"/>
    <n v="-13134.37"/>
    <n v="-5.96"/>
    <n v="207242"/>
    <n v="7.91"/>
  </r>
  <r>
    <x v="303"/>
    <s v="000415"/>
    <s v="渤海租赁"/>
    <n v="6400"/>
    <n v="6400"/>
    <n v="5.226"/>
    <n v="-8675.23"/>
    <n v="-25.94"/>
    <n v="24768"/>
    <n v="3.87"/>
  </r>
  <r>
    <x v="303"/>
    <s v="000528"/>
    <s v="柳    工"/>
    <n v="1930"/>
    <n v="1930"/>
    <n v="4.2910000000000004"/>
    <n v="4418.2"/>
    <n v="53.35"/>
    <n v="12699.4"/>
    <n v="6.58"/>
  </r>
  <r>
    <x v="303"/>
    <s v="000987"/>
    <s v="越秀金控"/>
    <n v="100"/>
    <n v="100"/>
    <n v="-5.867"/>
    <n v="1556.7"/>
    <n v="0"/>
    <n v="970"/>
    <n v="9.6999999999999993"/>
  </r>
  <r>
    <x v="303"/>
    <s v="002006"/>
    <s v="精功科技"/>
    <n v="100"/>
    <n v="100"/>
    <n v="-18.477"/>
    <n v="2326.6999999999998"/>
    <n v="0"/>
    <n v="479"/>
    <n v="4.79"/>
  </r>
  <r>
    <x v="303"/>
    <s v="002140"/>
    <s v="东华科技"/>
    <n v="12980"/>
    <n v="12980"/>
    <n v="8.6609999999999996"/>
    <n v="-7147.75"/>
    <n v="-6.36"/>
    <n v="105267.8"/>
    <n v="8.11"/>
  </r>
  <r>
    <x v="303"/>
    <s v="002945"/>
    <s v="华林证券"/>
    <n v="100"/>
    <n v="100"/>
    <n v="-22.369"/>
    <n v="4017.9"/>
    <n v="0"/>
    <n v="1781"/>
    <n v="17.809999999999999"/>
  </r>
  <r>
    <x v="303"/>
    <s v="002950"/>
    <s v="奥美医疗"/>
    <n v="100"/>
    <n v="100"/>
    <n v="-94.6"/>
    <n v="11718"/>
    <n v="0"/>
    <n v="2258"/>
    <n v="22.58"/>
  </r>
  <r>
    <x v="303"/>
    <s v="003816"/>
    <s v="中国广核"/>
    <n v="500"/>
    <n v="500"/>
    <n v="2.4900000000000002"/>
    <n v="1045"/>
    <n v="83.94"/>
    <n v="2290"/>
    <n v="4.58"/>
  </r>
  <r>
    <x v="303"/>
    <s v="300701"/>
    <s v="森霸传感"/>
    <n v="150"/>
    <n v="150"/>
    <n v="-87.406999999999996"/>
    <n v="16936.05"/>
    <n v="0"/>
    <n v="3825"/>
    <n v="25.5"/>
  </r>
  <r>
    <x v="303"/>
    <s v="reserve"/>
    <s v="备用金"/>
    <m/>
    <m/>
    <m/>
    <m/>
    <m/>
    <n v="0"/>
    <m/>
  </r>
  <r>
    <x v="304"/>
    <s v="519888"/>
    <s v="添富快线"/>
    <n v="82"/>
    <n v="82"/>
    <n v="-49.631999999999998"/>
    <n v="4070.6439999999998"/>
    <n v="0"/>
    <n v="0.82"/>
    <n v="0.01"/>
  </r>
  <r>
    <x v="304"/>
    <s v="600269"/>
    <s v="赣粤高速"/>
    <n v="3300"/>
    <n v="3300"/>
    <n v="4.633"/>
    <n v="-1724.52"/>
    <n v="-11.28"/>
    <n v="13563"/>
    <n v="4.1100000000000003"/>
  </r>
  <r>
    <x v="304"/>
    <s v="601398"/>
    <s v="工商银行"/>
    <n v="100"/>
    <n v="100"/>
    <n v="-54.070999999999998"/>
    <n v="5960.1"/>
    <n v="0"/>
    <n v="553"/>
    <n v="5.53"/>
  </r>
  <r>
    <x v="304"/>
    <s v="601998"/>
    <s v="中信银行"/>
    <n v="3600"/>
    <n v="3600"/>
    <n v="5.117"/>
    <n v="1881.08"/>
    <n v="10.210000000000001"/>
    <n v="20304"/>
    <n v="5.64"/>
  </r>
  <r>
    <x v="304"/>
    <s v="603116"/>
    <s v="红蜻蜓"/>
    <n v="13920"/>
    <n v="13920"/>
    <n v="9.6999999999999993"/>
    <n v="-38007.839999999997"/>
    <n v="-28.15"/>
    <n v="97022.399999999994"/>
    <n v="6.97"/>
  </r>
  <r>
    <x v="304"/>
    <s v="688009"/>
    <s v="中国通号"/>
    <n v="500"/>
    <n v="500"/>
    <n v="5.85"/>
    <n v="1305"/>
    <n v="44.62"/>
    <n v="4230"/>
    <n v="8.4600000000000009"/>
  </r>
  <r>
    <x v="304"/>
    <s v="000402"/>
    <s v="金 融 街"/>
    <n v="26600"/>
    <n v="26600"/>
    <n v="8.4019999999999992"/>
    <n v="-18661.37"/>
    <n v="-8.35"/>
    <n v="204820"/>
    <n v="7.7"/>
  </r>
  <r>
    <x v="304"/>
    <s v="000415"/>
    <s v="渤海租赁"/>
    <n v="6900"/>
    <n v="6900"/>
    <n v="5.1159999999999997"/>
    <n v="-10596.23"/>
    <n v="-30.02"/>
    <n v="24702"/>
    <n v="3.58"/>
  </r>
  <r>
    <x v="304"/>
    <s v="000528"/>
    <s v="柳    工"/>
    <n v="2330"/>
    <n v="2330"/>
    <n v="4.6340000000000003"/>
    <n v="3787.6"/>
    <n v="35.08"/>
    <n v="14585.8"/>
    <n v="6.26"/>
  </r>
  <r>
    <x v="304"/>
    <s v="000987"/>
    <s v="越秀金控"/>
    <n v="100"/>
    <n v="100"/>
    <n v="-5.867"/>
    <n v="1474.7"/>
    <n v="0"/>
    <n v="888"/>
    <n v="8.8800000000000008"/>
  </r>
  <r>
    <x v="304"/>
    <s v="002006"/>
    <s v="精功科技"/>
    <n v="100"/>
    <n v="100"/>
    <n v="-18.477"/>
    <n v="2319.6999999999998"/>
    <n v="0"/>
    <n v="472"/>
    <n v="4.72"/>
  </r>
  <r>
    <x v="304"/>
    <s v="002140"/>
    <s v="东华科技"/>
    <n v="14480"/>
    <n v="14480"/>
    <n v="8.5640000000000001"/>
    <n v="-13519.2"/>
    <n v="-10.9"/>
    <n v="110482.4"/>
    <n v="7.63"/>
  </r>
  <r>
    <x v="304"/>
    <s v="002945"/>
    <s v="华林证券"/>
    <n v="100"/>
    <n v="100"/>
    <n v="-22.369"/>
    <n v="3828.9"/>
    <n v="0"/>
    <n v="1592"/>
    <n v="15.92"/>
  </r>
  <r>
    <x v="304"/>
    <s v="002950"/>
    <s v="奥美医疗"/>
    <n v="100"/>
    <n v="100"/>
    <n v="-94.6"/>
    <n v="11540"/>
    <n v="0"/>
    <n v="2080"/>
    <n v="20.8"/>
  </r>
  <r>
    <x v="304"/>
    <s v="003816"/>
    <s v="中国广核"/>
    <n v="500"/>
    <n v="500"/>
    <n v="2.4900000000000002"/>
    <n v="855"/>
    <n v="68.67"/>
    <n v="2100"/>
    <n v="4.2"/>
  </r>
  <r>
    <x v="304"/>
    <s v="300701"/>
    <s v="森霸传感"/>
    <n v="150"/>
    <n v="150"/>
    <n v="-87.406999999999996"/>
    <n v="16883.55"/>
    <n v="0"/>
    <n v="3772.5"/>
    <n v="25.15"/>
  </r>
  <r>
    <x v="304"/>
    <s v="reserve"/>
    <s v="备用金"/>
    <m/>
    <m/>
    <m/>
    <m/>
    <m/>
    <n v="4568.37"/>
    <m/>
  </r>
  <r>
    <x v="305"/>
    <s v="519888"/>
    <s v="添富快线"/>
    <n v="2500082"/>
    <n v="2500082"/>
    <n v="8.0000000000000002E-3"/>
    <n v="4070.67"/>
    <n v="25"/>
    <n v="25000.82"/>
    <n v="0.01"/>
  </r>
  <r>
    <x v="305"/>
    <s v="600269"/>
    <s v="赣粤高速"/>
    <n v="3300"/>
    <n v="3300"/>
    <n v="4.633"/>
    <n v="-1460.52"/>
    <n v="-9.5500000000000007"/>
    <n v="13827"/>
    <n v="4.1900000000000004"/>
  </r>
  <r>
    <x v="305"/>
    <s v="601398"/>
    <s v="工商银行"/>
    <n v="100"/>
    <n v="100"/>
    <n v="-54.070999999999998"/>
    <n v="5979.1"/>
    <n v="0"/>
    <n v="572"/>
    <n v="5.72"/>
  </r>
  <r>
    <x v="305"/>
    <s v="601998"/>
    <s v="中信银行"/>
    <n v="2800"/>
    <n v="2800"/>
    <n v="4.8620000000000001"/>
    <n v="3466.15"/>
    <n v="25.46"/>
    <n v="17080"/>
    <n v="6.1"/>
  </r>
  <r>
    <x v="305"/>
    <s v="603116"/>
    <s v="红蜻蜓"/>
    <n v="13520"/>
    <n v="13520"/>
    <n v="9.7759999999999998"/>
    <n v="-36182.160000000003"/>
    <n v="-27.38"/>
    <n v="95992"/>
    <n v="7.1"/>
  </r>
  <r>
    <x v="305"/>
    <s v="688009"/>
    <s v="中国通号"/>
    <n v="500"/>
    <n v="500"/>
    <n v="5.85"/>
    <n v="1250"/>
    <n v="42.74"/>
    <n v="4175"/>
    <n v="8.35"/>
  </r>
  <r>
    <x v="305"/>
    <s v="000402"/>
    <s v="金 融 街"/>
    <n v="25000"/>
    <n v="25000"/>
    <n v="8.4280000000000008"/>
    <n v="-9194.2000000000007"/>
    <n v="-4.3600000000000003"/>
    <n v="201500"/>
    <n v="8.06"/>
  </r>
  <r>
    <x v="305"/>
    <s v="000415"/>
    <s v="渤海租赁"/>
    <n v="6600"/>
    <n v="6600"/>
    <n v="5.1580000000000004"/>
    <n v="-8105.28"/>
    <n v="-23.81"/>
    <n v="25938"/>
    <n v="3.93"/>
  </r>
  <r>
    <x v="305"/>
    <s v="000528"/>
    <s v="柳    工"/>
    <n v="1930"/>
    <n v="1930"/>
    <n v="4.2430000000000003"/>
    <n v="4393.78"/>
    <n v="53.65"/>
    <n v="12583.6"/>
    <n v="6.52"/>
  </r>
  <r>
    <x v="305"/>
    <s v="000987"/>
    <s v="越秀金控"/>
    <n v="100"/>
    <n v="100"/>
    <n v="-5.867"/>
    <n v="1692.7"/>
    <n v="0"/>
    <n v="1106"/>
    <n v="11.06"/>
  </r>
  <r>
    <x v="305"/>
    <s v="002006"/>
    <s v="精功科技"/>
    <n v="100"/>
    <n v="100"/>
    <n v="-18.477"/>
    <n v="2329.6999999999998"/>
    <n v="0"/>
    <n v="482"/>
    <n v="4.82"/>
  </r>
  <r>
    <x v="305"/>
    <s v="002140"/>
    <s v="东华科技"/>
    <n v="13680"/>
    <n v="13680"/>
    <n v="8.6010000000000009"/>
    <n v="-13827.76"/>
    <n v="-11.75"/>
    <n v="103831.2"/>
    <n v="7.59"/>
  </r>
  <r>
    <x v="305"/>
    <s v="002945"/>
    <s v="华林证券"/>
    <n v="100"/>
    <n v="100"/>
    <n v="-22.369"/>
    <n v="3830.9"/>
    <n v="0"/>
    <n v="1594"/>
    <n v="15.94"/>
  </r>
  <r>
    <x v="305"/>
    <s v="002950"/>
    <s v="奥美医疗"/>
    <n v="100"/>
    <n v="100"/>
    <n v="-94.6"/>
    <n v="11747"/>
    <n v="0"/>
    <n v="2287"/>
    <n v="22.87"/>
  </r>
  <r>
    <x v="305"/>
    <s v="003816"/>
    <s v="中国广核"/>
    <n v="500"/>
    <n v="500"/>
    <n v="2.4900000000000002"/>
    <n v="835"/>
    <n v="67.069999999999993"/>
    <n v="2080"/>
    <n v="4.16"/>
  </r>
  <r>
    <x v="305"/>
    <s v="300701"/>
    <s v="森霸传感"/>
    <n v="150"/>
    <n v="150"/>
    <n v="-87.406999999999996"/>
    <n v="16885.05"/>
    <n v="0"/>
    <n v="3774"/>
    <n v="25.16"/>
  </r>
  <r>
    <x v="305"/>
    <s v="reserve"/>
    <s v="备用金"/>
    <m/>
    <m/>
    <m/>
    <m/>
    <m/>
    <n v="10160.26"/>
    <m/>
  </r>
  <r>
    <x v="306"/>
    <s v="519888"/>
    <s v="添富快线"/>
    <n v="166"/>
    <n v="166"/>
    <n v="-24.632000000000001"/>
    <n v="4090.5720000000001"/>
    <n v="0"/>
    <n v="1.66"/>
    <n v="0.01"/>
  </r>
  <r>
    <x v="306"/>
    <s v="600269"/>
    <s v="赣粤高速"/>
    <n v="3800"/>
    <n v="3800"/>
    <n v="4.5640000000000001"/>
    <n v="-1800.56"/>
    <n v="-10.38"/>
    <n v="15542"/>
    <n v="4.09"/>
  </r>
  <r>
    <x v="306"/>
    <s v="601398"/>
    <s v="工商银行"/>
    <n v="100"/>
    <n v="100"/>
    <n v="-54.070999999999998"/>
    <n v="5997.1"/>
    <n v="0"/>
    <n v="590"/>
    <n v="5.9"/>
  </r>
  <r>
    <x v="306"/>
    <s v="601998"/>
    <s v="中信银行"/>
    <n v="2000"/>
    <n v="2000"/>
    <n v="4.3"/>
    <n v="4059.03"/>
    <n v="47.2"/>
    <n v="12660"/>
    <n v="6.33"/>
  </r>
  <r>
    <x v="306"/>
    <s v="603116"/>
    <s v="红蜻蜓"/>
    <n v="14420"/>
    <n v="14420"/>
    <n v="9.5939999999999994"/>
    <n v="-40714.89"/>
    <n v="-29.43"/>
    <n v="97623.4"/>
    <n v="6.77"/>
  </r>
  <r>
    <x v="306"/>
    <s v="688009"/>
    <s v="中国通号"/>
    <n v="500"/>
    <n v="500"/>
    <n v="5.85"/>
    <n v="915"/>
    <n v="31.28"/>
    <n v="3840"/>
    <n v="7.68"/>
  </r>
  <r>
    <x v="306"/>
    <s v="688369"/>
    <s v="致远互联"/>
    <n v="1"/>
    <n v="1"/>
    <n v="-13136.34"/>
    <n v="13207.49"/>
    <n v="0"/>
    <n v="71.150000000000006"/>
    <n v="71.150000000000006"/>
  </r>
  <r>
    <x v="306"/>
    <s v="000402"/>
    <s v="金 融 街"/>
    <n v="24600"/>
    <n v="24600"/>
    <n v="8.43"/>
    <n v="-8608.93"/>
    <n v="-4.1500000000000004"/>
    <n v="198768"/>
    <n v="8.08"/>
  </r>
  <r>
    <x v="306"/>
    <s v="000415"/>
    <s v="渤海租赁"/>
    <n v="7600"/>
    <n v="7100"/>
    <n v="4.9580000000000002"/>
    <n v="-10698.28"/>
    <n v="-28.39"/>
    <n v="26980"/>
    <n v="3.55"/>
  </r>
  <r>
    <x v="306"/>
    <s v="000528"/>
    <s v="柳    工"/>
    <n v="1930"/>
    <n v="1930"/>
    <n v="4.2430000000000003"/>
    <n v="4007.78"/>
    <n v="48.94"/>
    <n v="12197.6"/>
    <n v="6.32"/>
  </r>
  <r>
    <x v="306"/>
    <s v="000987"/>
    <s v="越秀金控"/>
    <n v="100"/>
    <n v="100"/>
    <n v="-5.867"/>
    <n v="1455.7"/>
    <n v="0"/>
    <n v="869"/>
    <n v="8.69"/>
  </r>
  <r>
    <x v="306"/>
    <s v="002006"/>
    <s v="精功科技"/>
    <n v="100"/>
    <n v="100"/>
    <n v="-18.477"/>
    <n v="2304.6999999999998"/>
    <n v="0"/>
    <n v="457"/>
    <n v="4.57"/>
  </r>
  <r>
    <x v="306"/>
    <s v="002140"/>
    <s v="东华科技"/>
    <n v="16080"/>
    <n v="16080"/>
    <n v="8.3800000000000008"/>
    <n v="-23637.11"/>
    <n v="-17.54"/>
    <n v="111112.8"/>
    <n v="6.91"/>
  </r>
  <r>
    <x v="306"/>
    <s v="002945"/>
    <s v="华林证券"/>
    <n v="100"/>
    <n v="100"/>
    <n v="-22.369"/>
    <n v="3649.9"/>
    <n v="0"/>
    <n v="1413"/>
    <n v="14.13"/>
  </r>
  <r>
    <x v="306"/>
    <s v="002950"/>
    <s v="奥美医疗"/>
    <n v="100"/>
    <n v="100"/>
    <n v="-94.6"/>
    <n v="11584"/>
    <n v="0"/>
    <n v="2124"/>
    <n v="21.24"/>
  </r>
  <r>
    <x v="306"/>
    <s v="003816"/>
    <s v="中国广核"/>
    <n v="500"/>
    <n v="500"/>
    <n v="2.4900000000000002"/>
    <n v="680"/>
    <n v="54.62"/>
    <n v="1925"/>
    <n v="3.85"/>
  </r>
  <r>
    <x v="306"/>
    <s v="300701"/>
    <s v="森霸传感"/>
    <n v="150"/>
    <n v="150"/>
    <n v="-87.406999999999996"/>
    <n v="16603.05"/>
    <n v="0"/>
    <n v="3492"/>
    <n v="23.28"/>
  </r>
  <r>
    <x v="306"/>
    <s v="reserve"/>
    <s v="备用金"/>
    <m/>
    <m/>
    <m/>
    <m/>
    <m/>
    <n v="14679.43"/>
    <m/>
  </r>
  <r>
    <x v="307"/>
    <s v="519888"/>
    <s v="添富快线"/>
    <n v="166"/>
    <n v="166"/>
    <n v="-24.632000000000001"/>
    <n v="4090.5720000000001"/>
    <n v="0"/>
    <n v="1.66"/>
    <n v="0.01"/>
  </r>
  <r>
    <x v="307"/>
    <s v="600269"/>
    <s v="赣粤高速"/>
    <n v="4300"/>
    <n v="4300"/>
    <n v="4.5039999999999996"/>
    <n v="-1737.6"/>
    <n v="-8.9700000000000006"/>
    <n v="17630"/>
    <n v="4.0999999999999996"/>
  </r>
  <r>
    <x v="307"/>
    <s v="601398"/>
    <s v="工商银行"/>
    <n v="100"/>
    <n v="100"/>
    <n v="-54.070999999999998"/>
    <n v="5985.1"/>
    <n v="0"/>
    <n v="578"/>
    <n v="5.78"/>
  </r>
  <r>
    <x v="307"/>
    <s v="601998"/>
    <s v="中信银行"/>
    <n v="400"/>
    <n v="400"/>
    <n v="-4.3289999999999997"/>
    <n v="4179.6000000000004"/>
    <n v="0"/>
    <n v="2448"/>
    <n v="6.12"/>
  </r>
  <r>
    <x v="307"/>
    <s v="603116"/>
    <s v="红蜻蜓"/>
    <n v="13420"/>
    <n v="13420"/>
    <n v="9.7669999999999995"/>
    <n v="-38344.39"/>
    <n v="-29.25"/>
    <n v="92732.2"/>
    <n v="6.91"/>
  </r>
  <r>
    <x v="307"/>
    <s v="688009"/>
    <s v="中国通号"/>
    <n v="500"/>
    <n v="500"/>
    <n v="5.85"/>
    <n v="530"/>
    <n v="18.12"/>
    <n v="3455"/>
    <n v="6.91"/>
  </r>
  <r>
    <x v="307"/>
    <s v="688369"/>
    <s v="致远互联"/>
    <n v="1"/>
    <n v="1"/>
    <n v="-13136.34"/>
    <n v="13195.96"/>
    <n v="0"/>
    <n v="59.62"/>
    <n v="59.62"/>
  </r>
  <r>
    <x v="307"/>
    <s v="000402"/>
    <s v="金 融 街"/>
    <n v="25900"/>
    <n v="25900"/>
    <n v="8.3960000000000008"/>
    <n v="-13623.46"/>
    <n v="-6.26"/>
    <n v="203833"/>
    <n v="7.87"/>
  </r>
  <r>
    <x v="307"/>
    <s v="000415"/>
    <s v="渤海租赁"/>
    <n v="7600"/>
    <n v="7600"/>
    <n v="4.9580000000000002"/>
    <n v="-9938.2800000000007"/>
    <n v="-26.37"/>
    <n v="27740"/>
    <n v="3.65"/>
  </r>
  <r>
    <x v="307"/>
    <s v="000528"/>
    <s v="柳    工"/>
    <n v="1530"/>
    <n v="1530"/>
    <n v="3.6190000000000002"/>
    <n v="4652.32"/>
    <n v="84.02"/>
    <n v="10189.799999999999"/>
    <n v="6.66"/>
  </r>
  <r>
    <x v="307"/>
    <s v="000987"/>
    <s v="越秀金控"/>
    <n v="100"/>
    <n v="100"/>
    <n v="-5.867"/>
    <n v="1554.7"/>
    <n v="0"/>
    <n v="968"/>
    <n v="9.68"/>
  </r>
  <r>
    <x v="307"/>
    <s v="002006"/>
    <s v="精功科技"/>
    <n v="100"/>
    <n v="100"/>
    <n v="-18.477"/>
    <n v="2290.6999999999998"/>
    <n v="0"/>
    <n v="443"/>
    <n v="4.43"/>
  </r>
  <r>
    <x v="307"/>
    <s v="002140"/>
    <s v="东华科技"/>
    <n v="16180"/>
    <n v="16180"/>
    <n v="8.3569999999999993"/>
    <n v="-24054.43"/>
    <n v="-17.79"/>
    <n v="111156.6"/>
    <n v="6.87"/>
  </r>
  <r>
    <x v="307"/>
    <s v="002945"/>
    <s v="华林证券"/>
    <n v="100"/>
    <n v="100"/>
    <n v="-22.369"/>
    <n v="3684.9"/>
    <n v="0"/>
    <n v="1448"/>
    <n v="14.48"/>
  </r>
  <r>
    <x v="307"/>
    <s v="002950"/>
    <s v="奥美医疗"/>
    <n v="100"/>
    <n v="100"/>
    <n v="-94.6"/>
    <n v="11481"/>
    <n v="0"/>
    <n v="2021"/>
    <n v="20.21"/>
  </r>
  <r>
    <x v="307"/>
    <s v="003816"/>
    <s v="中国广核"/>
    <n v="500"/>
    <n v="500"/>
    <n v="2.4900000000000002"/>
    <n v="555"/>
    <n v="44.58"/>
    <n v="1800"/>
    <n v="3.6"/>
  </r>
  <r>
    <x v="307"/>
    <s v="300701"/>
    <s v="森霸传感"/>
    <n v="150"/>
    <n v="150"/>
    <n v="-87.406999999999996"/>
    <n v="17107.05"/>
    <n v="0"/>
    <n v="3996"/>
    <n v="26.64"/>
  </r>
  <r>
    <x v="307"/>
    <s v="reserve"/>
    <s v="备用金"/>
    <m/>
    <m/>
    <m/>
    <m/>
    <m/>
    <n v="22447.3"/>
    <m/>
  </r>
  <r>
    <x v="308"/>
    <s v="519888"/>
    <s v="添富快线"/>
    <n v="4044866"/>
    <n v="166"/>
    <n v="8.9999999999999993E-3"/>
    <n v="4090.51"/>
    <n v="11.11"/>
    <n v="40448.660000000003"/>
    <n v="0.01"/>
  </r>
  <r>
    <x v="308"/>
    <s v="600269"/>
    <s v="赣粤高速"/>
    <n v="3900"/>
    <n v="3900"/>
    <n v="4.5430000000000001"/>
    <n v="-1572.29"/>
    <n v="-8.8699999999999992"/>
    <n v="16146"/>
    <n v="4.1399999999999997"/>
  </r>
  <r>
    <x v="308"/>
    <s v="601398"/>
    <s v="工商银行"/>
    <n v="100"/>
    <n v="100"/>
    <n v="-54.070999999999998"/>
    <n v="5991.1"/>
    <n v="0"/>
    <n v="584"/>
    <n v="5.84"/>
  </r>
  <r>
    <x v="308"/>
    <s v="601998"/>
    <s v="中信银行"/>
    <n v="400"/>
    <n v="400"/>
    <n v="-4.3289999999999997"/>
    <n v="4219.6000000000004"/>
    <n v="0"/>
    <n v="2488"/>
    <n v="6.22"/>
  </r>
  <r>
    <x v="308"/>
    <s v="603116"/>
    <s v="红蜻蜓"/>
    <n v="13020"/>
    <n v="13020"/>
    <n v="9.8520000000000003"/>
    <n v="-36737.870000000003"/>
    <n v="-28.64"/>
    <n v="91530.6"/>
    <n v="7.03"/>
  </r>
  <r>
    <x v="308"/>
    <s v="688009"/>
    <s v="中国通号"/>
    <n v="500"/>
    <n v="500"/>
    <n v="5.85"/>
    <n v="600"/>
    <n v="20.51"/>
    <n v="3525"/>
    <n v="7.05"/>
  </r>
  <r>
    <x v="308"/>
    <s v="688369"/>
    <s v="致远互联"/>
    <n v="1"/>
    <n v="1"/>
    <n v="-13136.34"/>
    <n v="13196.02"/>
    <n v="0"/>
    <n v="59.68"/>
    <n v="59.68"/>
  </r>
  <r>
    <x v="308"/>
    <s v="000402"/>
    <s v="金 融 街"/>
    <n v="24700"/>
    <n v="24700"/>
    <n v="8.4160000000000004"/>
    <n v="-8309.06"/>
    <n v="-4"/>
    <n v="199576"/>
    <n v="8.08"/>
  </r>
  <r>
    <x v="308"/>
    <s v="000415"/>
    <s v="渤海租赁"/>
    <n v="7200"/>
    <n v="7200"/>
    <n v="5.0259999999999998"/>
    <n v="-9332.7800000000007"/>
    <n v="-25.79"/>
    <n v="26856"/>
    <n v="3.73"/>
  </r>
  <r>
    <x v="308"/>
    <s v="000528"/>
    <s v="柳    工"/>
    <n v="1130"/>
    <n v="1130"/>
    <n v="2.5249999999999999"/>
    <n v="4751.7299999999996"/>
    <n v="166.54"/>
    <n v="7604.9"/>
    <n v="6.73"/>
  </r>
  <r>
    <x v="308"/>
    <s v="000987"/>
    <s v="越秀金控"/>
    <n v="100"/>
    <n v="100"/>
    <n v="-5.867"/>
    <n v="1558.7"/>
    <n v="0"/>
    <n v="972"/>
    <n v="9.7200000000000006"/>
  </r>
  <r>
    <x v="308"/>
    <s v="002006"/>
    <s v="精功科技"/>
    <n v="100"/>
    <n v="100"/>
    <n v="-18.477"/>
    <n v="2295.6999999999998"/>
    <n v="0"/>
    <n v="448"/>
    <n v="4.4800000000000004"/>
  </r>
  <r>
    <x v="308"/>
    <s v="002140"/>
    <s v="东华科技"/>
    <n v="16180"/>
    <n v="16180"/>
    <n v="8.3569999999999993"/>
    <n v="-22598.23"/>
    <n v="-16.71"/>
    <n v="112612.8"/>
    <n v="6.96"/>
  </r>
  <r>
    <x v="308"/>
    <s v="002945"/>
    <s v="华林证券"/>
    <n v="100"/>
    <n v="100"/>
    <n v="-22.369"/>
    <n v="3713.9"/>
    <n v="0"/>
    <n v="1477"/>
    <n v="14.77"/>
  </r>
  <r>
    <x v="308"/>
    <s v="002950"/>
    <s v="奥美医疗"/>
    <n v="100"/>
    <n v="100"/>
    <n v="-94.6"/>
    <n v="11525"/>
    <n v="0"/>
    <n v="2065"/>
    <n v="20.65"/>
  </r>
  <r>
    <x v="308"/>
    <s v="003816"/>
    <s v="中国广核"/>
    <n v="500"/>
    <n v="500"/>
    <n v="2.4900000000000002"/>
    <n v="605"/>
    <n v="48.59"/>
    <n v="1850"/>
    <n v="3.7"/>
  </r>
  <r>
    <x v="308"/>
    <s v="300701"/>
    <s v="森霸传感"/>
    <n v="150"/>
    <n v="150"/>
    <n v="-87.406999999999996"/>
    <n v="17126.55"/>
    <n v="0"/>
    <n v="4015.5"/>
    <n v="26.77"/>
  </r>
  <r>
    <x v="308"/>
    <s v="reserve"/>
    <s v="备用金"/>
    <m/>
    <m/>
    <m/>
    <m/>
    <m/>
    <n v="202.94"/>
    <m/>
  </r>
  <r>
    <x v="309"/>
    <s v="519888"/>
    <s v="添富快线"/>
    <n v="4045079"/>
    <n v="4045079"/>
    <n v="8.9999999999999993E-3"/>
    <n v="4092.64"/>
    <n v="11.11"/>
    <n v="40450.79"/>
    <n v="0.01"/>
  </r>
  <r>
    <x v="309"/>
    <s v="000402"/>
    <s v="金 融 街"/>
    <n v="24300"/>
    <n v="24300"/>
    <n v="8.4209999999999994"/>
    <n v="-6333.33"/>
    <n v="-3.1"/>
    <n v="198288"/>
    <n v="8.16"/>
  </r>
  <r>
    <x v="309"/>
    <s v="002140"/>
    <s v="东华科技"/>
    <n v="15380"/>
    <n v="15380"/>
    <n v="8.423"/>
    <n v="-19417.919999999998"/>
    <n v="-14.99"/>
    <n v="110120.8"/>
    <n v="7.16"/>
  </r>
  <r>
    <x v="309"/>
    <s v="603116"/>
    <s v="红蜻蜓"/>
    <n v="13020"/>
    <n v="13020"/>
    <n v="9.8520000000000003"/>
    <n v="-37649.269999999997"/>
    <n v="-29.35"/>
    <n v="90619.199999999997"/>
    <n v="6.96"/>
  </r>
  <r>
    <x v="309"/>
    <s v="000415"/>
    <s v="渤海租赁"/>
    <n v="7200"/>
    <n v="7200"/>
    <n v="5.0259999999999998"/>
    <n v="-9404.7800000000007"/>
    <n v="-25.99"/>
    <n v="26784"/>
    <n v="3.72"/>
  </r>
  <r>
    <x v="309"/>
    <s v="600269"/>
    <s v="赣粤高速"/>
    <n v="3900"/>
    <n v="3900"/>
    <n v="4.5430000000000001"/>
    <n v="-1611.29"/>
    <n v="-9.09"/>
    <n v="16107"/>
    <n v="4.13"/>
  </r>
  <r>
    <x v="309"/>
    <s v="000528"/>
    <s v="柳    工"/>
    <n v="1130"/>
    <n v="1130"/>
    <n v="2.5249999999999999"/>
    <n v="4763.03"/>
    <n v="166.93"/>
    <n v="7616.2"/>
    <n v="6.74"/>
  </r>
  <r>
    <x v="309"/>
    <s v="688009"/>
    <s v="中国通号"/>
    <n v="500"/>
    <n v="500"/>
    <n v="5.85"/>
    <n v="640"/>
    <n v="21.88"/>
    <n v="3565"/>
    <n v="7.13"/>
  </r>
  <r>
    <x v="309"/>
    <s v="003816"/>
    <s v="中国广核"/>
    <n v="500"/>
    <n v="500"/>
    <n v="2.4900000000000002"/>
    <n v="600"/>
    <n v="48.19"/>
    <n v="1845"/>
    <n v="3.69"/>
  </r>
  <r>
    <x v="309"/>
    <s v="601998"/>
    <s v="中信银行"/>
    <n v="400"/>
    <n v="400"/>
    <n v="-4.3289999999999997"/>
    <n v="4219.6000000000004"/>
    <n v="0"/>
    <n v="2488"/>
    <n v="6.22"/>
  </r>
  <r>
    <x v="309"/>
    <s v="300701"/>
    <s v="森霸传感"/>
    <n v="150"/>
    <n v="150"/>
    <n v="-87.406999999999996"/>
    <n v="17215.05"/>
    <n v="0"/>
    <n v="4104"/>
    <n v="27.36"/>
  </r>
  <r>
    <x v="309"/>
    <s v="601398"/>
    <s v="工商银行"/>
    <n v="100"/>
    <n v="100"/>
    <n v="-54.070999999999998"/>
    <n v="6000.1"/>
    <n v="0"/>
    <n v="593"/>
    <n v="5.93"/>
  </r>
  <r>
    <x v="309"/>
    <s v="000987"/>
    <s v="越秀金控"/>
    <n v="100"/>
    <n v="100"/>
    <n v="-5.867"/>
    <n v="1545.7"/>
    <n v="0"/>
    <n v="959"/>
    <n v="9.59"/>
  </r>
  <r>
    <x v="309"/>
    <s v="002006"/>
    <s v="精功科技"/>
    <n v="100"/>
    <n v="100"/>
    <n v="-18.477"/>
    <n v="2297.6999999999998"/>
    <n v="0"/>
    <n v="450"/>
    <n v="4.5"/>
  </r>
  <r>
    <x v="309"/>
    <s v="002945"/>
    <s v="华林证券"/>
    <n v="100"/>
    <n v="100"/>
    <n v="-22.369"/>
    <n v="3731.9"/>
    <n v="0"/>
    <n v="1495"/>
    <n v="14.95"/>
  </r>
  <r>
    <x v="309"/>
    <s v="002950"/>
    <s v="奥美医疗"/>
    <n v="100"/>
    <n v="100"/>
    <n v="-94.6"/>
    <n v="11552"/>
    <n v="0"/>
    <n v="2092"/>
    <n v="20.92"/>
  </r>
  <r>
    <x v="309"/>
    <s v="688369"/>
    <s v="致远互联"/>
    <n v="1"/>
    <n v="1"/>
    <n v="-13136.34"/>
    <n v="13197.77"/>
    <n v="0"/>
    <n v="61.43"/>
    <n v="61.43"/>
  </r>
  <r>
    <x v="309"/>
    <s v="reserve"/>
    <s v="备用金"/>
    <m/>
    <m/>
    <m/>
    <m/>
    <m/>
    <n v="9137.98"/>
    <m/>
  </r>
  <r>
    <x v="310"/>
    <s v="519888"/>
    <s v="添富快线"/>
    <n v="4046839"/>
    <n v="4046839"/>
    <n v="8.9999999999999993E-3"/>
    <n v="4110.24"/>
    <n v="11.11"/>
    <n v="40468.39"/>
    <n v="0.01"/>
  </r>
  <r>
    <x v="310"/>
    <s v="600269"/>
    <s v="赣粤高速"/>
    <n v="3900"/>
    <n v="3900"/>
    <n v="4.5430000000000001"/>
    <n v="-1806.29"/>
    <n v="-10.19"/>
    <n v="15912"/>
    <n v="4.08"/>
  </r>
  <r>
    <x v="310"/>
    <s v="601398"/>
    <s v="工商银行"/>
    <n v="100"/>
    <n v="100"/>
    <n v="-54.070999999999998"/>
    <n v="5993.1"/>
    <n v="0"/>
    <n v="586"/>
    <n v="5.86"/>
  </r>
  <r>
    <x v="310"/>
    <s v="601998"/>
    <s v="中信银行"/>
    <n v="100"/>
    <n v="100"/>
    <n v="-35.786000000000001"/>
    <n v="4190.6000000000004"/>
    <n v="0"/>
    <n v="612"/>
    <n v="6.12"/>
  </r>
  <r>
    <x v="310"/>
    <s v="603116"/>
    <s v="红蜻蜓"/>
    <n v="13420"/>
    <n v="13020"/>
    <n v="9.7639999999999993"/>
    <n v="-37768.53"/>
    <n v="-28.82"/>
    <n v="93269"/>
    <n v="6.95"/>
  </r>
  <r>
    <x v="310"/>
    <s v="688009"/>
    <s v="中国通号"/>
    <n v="500"/>
    <n v="500"/>
    <n v="5.85"/>
    <n v="560"/>
    <n v="19.149999999999999"/>
    <n v="3485"/>
    <n v="6.97"/>
  </r>
  <r>
    <x v="310"/>
    <s v="688369"/>
    <s v="致远互联"/>
    <n v="1"/>
    <n v="1"/>
    <n v="-13136.34"/>
    <n v="13195.84"/>
    <n v="0"/>
    <n v="59.5"/>
    <n v="59.5"/>
  </r>
  <r>
    <x v="310"/>
    <s v="000402"/>
    <s v="金 融 街"/>
    <n v="24300"/>
    <n v="24300"/>
    <n v="8.4179999999999993"/>
    <n v="-9672.61"/>
    <n v="-4.7300000000000004"/>
    <n v="194886"/>
    <n v="8.02"/>
  </r>
  <r>
    <x v="310"/>
    <s v="000415"/>
    <s v="渤海租赁"/>
    <n v="6800"/>
    <n v="6800"/>
    <n v="5.0979999999999999"/>
    <n v="-9303.31"/>
    <n v="-26.84"/>
    <n v="25364"/>
    <n v="3.73"/>
  </r>
  <r>
    <x v="310"/>
    <s v="000528"/>
    <s v="柳    工"/>
    <n v="730"/>
    <n v="730"/>
    <n v="0.112"/>
    <n v="4867.82"/>
    <n v="5953.79"/>
    <n v="4949.3999999999996"/>
    <n v="6.78"/>
  </r>
  <r>
    <x v="310"/>
    <s v="000987"/>
    <s v="越秀金控"/>
    <n v="100"/>
    <n v="100"/>
    <n v="-5.867"/>
    <n v="1529.7"/>
    <n v="0"/>
    <n v="943"/>
    <n v="9.43"/>
  </r>
  <r>
    <x v="310"/>
    <s v="002006"/>
    <s v="精功科技"/>
    <n v="100"/>
    <n v="100"/>
    <n v="-18.477"/>
    <n v="2327.6999999999998"/>
    <n v="0"/>
    <n v="480"/>
    <n v="4.8"/>
  </r>
  <r>
    <x v="310"/>
    <s v="002140"/>
    <s v="东华科技"/>
    <n v="15380"/>
    <n v="15380"/>
    <n v="8.42"/>
    <n v="-21225.1"/>
    <n v="-16.39"/>
    <n v="108275.2"/>
    <n v="7.04"/>
  </r>
  <r>
    <x v="310"/>
    <s v="002945"/>
    <s v="华林证券"/>
    <n v="100"/>
    <n v="100"/>
    <n v="-22.369"/>
    <n v="3754.9"/>
    <n v="0"/>
    <n v="1518"/>
    <n v="15.18"/>
  </r>
  <r>
    <x v="310"/>
    <s v="002950"/>
    <s v="奥美医疗"/>
    <n v="100"/>
    <n v="100"/>
    <n v="-94.6"/>
    <n v="11489"/>
    <n v="0"/>
    <n v="2029"/>
    <n v="20.29"/>
  </r>
  <r>
    <x v="310"/>
    <s v="003816"/>
    <s v="中国广核"/>
    <n v="500"/>
    <n v="500"/>
    <n v="2.4900000000000002"/>
    <n v="550"/>
    <n v="44.18"/>
    <n v="1795"/>
    <n v="3.59"/>
  </r>
  <r>
    <x v="310"/>
    <s v="300701"/>
    <s v="森霸传感"/>
    <n v="150"/>
    <n v="150"/>
    <n v="-87.406999999999996"/>
    <n v="18308.55"/>
    <n v="0"/>
    <n v="5197.5"/>
    <n v="34.65"/>
  </r>
  <r>
    <x v="310"/>
    <s v="reserve"/>
    <s v="备用金"/>
    <m/>
    <m/>
    <m/>
    <m/>
    <m/>
    <n v="12619.33"/>
    <m/>
  </r>
  <r>
    <x v="311"/>
    <s v="519888"/>
    <s v="添富快线"/>
    <n v="4048202"/>
    <n v="4048202"/>
    <n v="8.9999999999999993E-3"/>
    <n v="4123.87"/>
    <n v="11.11"/>
    <n v="40482.019999999997"/>
    <n v="0.01"/>
  </r>
  <r>
    <x v="311"/>
    <s v="600269"/>
    <s v="赣粤高速"/>
    <n v="3900"/>
    <n v="3900"/>
    <n v="4.5430000000000001"/>
    <n v="-1611.29"/>
    <n v="-9.09"/>
    <n v="16107"/>
    <n v="4.13"/>
  </r>
  <r>
    <x v="311"/>
    <s v="601398"/>
    <s v="工商银行"/>
    <n v="100"/>
    <n v="100"/>
    <n v="-54.070999999999998"/>
    <n v="5995.1"/>
    <n v="0"/>
    <n v="588"/>
    <n v="5.88"/>
  </r>
  <r>
    <x v="311"/>
    <s v="601998"/>
    <s v="中信银行"/>
    <n v="100"/>
    <n v="100"/>
    <n v="-35.786000000000001"/>
    <n v="4195.6000000000004"/>
    <n v="0"/>
    <n v="617"/>
    <n v="6.17"/>
  </r>
  <r>
    <x v="311"/>
    <s v="603116"/>
    <s v="红蜻蜓"/>
    <n v="13820"/>
    <n v="13820"/>
    <n v="9.6790000000000003"/>
    <n v="-39379.980000000003"/>
    <n v="-29.44"/>
    <n v="94390.6"/>
    <n v="6.83"/>
  </r>
  <r>
    <x v="311"/>
    <s v="688009"/>
    <s v="中国通号"/>
    <n v="500"/>
    <n v="500"/>
    <n v="5.85"/>
    <n v="535"/>
    <n v="18.29"/>
    <n v="3460"/>
    <n v="6.92"/>
  </r>
  <r>
    <x v="311"/>
    <s v="688369"/>
    <s v="致远互联"/>
    <n v="1"/>
    <n v="1"/>
    <n v="-13136.34"/>
    <n v="13195.1"/>
    <n v="0"/>
    <n v="58.76"/>
    <n v="58.76"/>
  </r>
  <r>
    <x v="311"/>
    <s v="000402"/>
    <s v="金 融 街"/>
    <n v="23900"/>
    <n v="23900"/>
    <n v="8.423"/>
    <n v="-7246.86"/>
    <n v="-3.6"/>
    <n v="194068"/>
    <n v="8.1199999999999992"/>
  </r>
  <r>
    <x v="311"/>
    <s v="000415"/>
    <s v="渤海租赁"/>
    <n v="6800"/>
    <n v="6800"/>
    <n v="5.0979999999999999"/>
    <n v="-8827.31"/>
    <n v="-25.46"/>
    <n v="25840"/>
    <n v="3.8"/>
  </r>
  <r>
    <x v="311"/>
    <s v="000528"/>
    <s v="柳    工"/>
    <n v="730"/>
    <n v="330"/>
    <n v="0.112"/>
    <n v="4984.62"/>
    <n v="6096.65"/>
    <n v="5066.2"/>
    <n v="6.94"/>
  </r>
  <r>
    <x v="311"/>
    <s v="000987"/>
    <s v="越秀金控"/>
    <n v="100"/>
    <n v="100"/>
    <n v="-5.867"/>
    <n v="1553.7"/>
    <n v="0"/>
    <n v="967"/>
    <n v="9.67"/>
  </r>
  <r>
    <x v="311"/>
    <s v="002006"/>
    <s v="精功科技"/>
    <n v="100"/>
    <n v="100"/>
    <n v="-18.477"/>
    <n v="2313.6999999999998"/>
    <n v="0"/>
    <n v="466"/>
    <n v="4.66"/>
  </r>
  <r>
    <x v="311"/>
    <s v="002140"/>
    <s v="东华科技"/>
    <n v="15780"/>
    <n v="15780"/>
    <n v="8.3810000000000002"/>
    <n v="-21481.7"/>
    <n v="-16.239999999999998"/>
    <n v="110775.6"/>
    <n v="7.02"/>
  </r>
  <r>
    <x v="311"/>
    <s v="002945"/>
    <s v="华林证券"/>
    <n v="100"/>
    <n v="100"/>
    <n v="-22.369"/>
    <n v="3730.9"/>
    <n v="0"/>
    <n v="1494"/>
    <n v="14.94"/>
  </r>
  <r>
    <x v="311"/>
    <s v="002950"/>
    <s v="奥美医疗"/>
    <n v="100"/>
    <n v="100"/>
    <n v="-94.6"/>
    <n v="11545"/>
    <n v="0"/>
    <n v="2085"/>
    <n v="20.85"/>
  </r>
  <r>
    <x v="311"/>
    <s v="003816"/>
    <s v="中国广核"/>
    <n v="500"/>
    <n v="500"/>
    <n v="2.4900000000000002"/>
    <n v="555"/>
    <n v="44.58"/>
    <n v="1800"/>
    <n v="3.6"/>
  </r>
  <r>
    <x v="311"/>
    <s v="300701"/>
    <s v="森霸传感"/>
    <n v="150"/>
    <n v="150"/>
    <n v="-87.406999999999996"/>
    <n v="17960.55"/>
    <n v="0"/>
    <n v="4849.5"/>
    <n v="32.33"/>
  </r>
  <r>
    <x v="311"/>
    <s v="reserve"/>
    <s v="备用金"/>
    <m/>
    <m/>
    <m/>
    <m/>
    <m/>
    <n v="10373.030000000001"/>
    <m/>
  </r>
  <r>
    <x v="312"/>
    <s v="000402"/>
    <s v="金 融 街"/>
    <n v="26900"/>
    <n v="26900"/>
    <n v="8.31"/>
    <n v="-31192.67"/>
    <n v="-13.95"/>
    <n v="192335"/>
    <n v="7.15"/>
  </r>
  <r>
    <x v="312"/>
    <s v="519888"/>
    <s v="添富快线"/>
    <n v="14976"/>
    <n v="14976"/>
    <n v="-0.27100000000000002"/>
    <n v="4208.2560000000003"/>
    <n v="0"/>
    <n v="149.76"/>
    <n v="0.01"/>
  </r>
  <r>
    <x v="312"/>
    <s v="002140"/>
    <s v="东华科技"/>
    <n v="14880"/>
    <n v="14880"/>
    <n v="8.3119999999999994"/>
    <n v="-6427.62"/>
    <n v="-5.2"/>
    <n v="117254.39999999999"/>
    <n v="7.88"/>
  </r>
  <r>
    <x v="312"/>
    <s v="603116"/>
    <s v="红蜻蜓"/>
    <n v="14020"/>
    <n v="14020"/>
    <n v="9.6029999999999998"/>
    <n v="-44065.760000000002"/>
    <n v="-32.729999999999997"/>
    <n v="90569.2"/>
    <n v="6.46"/>
  </r>
  <r>
    <x v="312"/>
    <s v="000415"/>
    <s v="渤海租赁"/>
    <n v="7500"/>
    <n v="7500"/>
    <n v="4.9450000000000003"/>
    <n v="-11216.09"/>
    <n v="-30.24"/>
    <n v="25875"/>
    <n v="3.45"/>
  </r>
  <r>
    <x v="312"/>
    <s v="600269"/>
    <s v="赣粤高速"/>
    <n v="4400"/>
    <n v="4400"/>
    <n v="4.4349999999999996"/>
    <n v="-3101.33"/>
    <n v="-15.89"/>
    <n v="16412"/>
    <n v="3.73"/>
  </r>
  <r>
    <x v="312"/>
    <s v="601998"/>
    <s v="中信银行"/>
    <n v="1000"/>
    <n v="1000"/>
    <n v="1.635"/>
    <n v="3895.09"/>
    <n v="238.23"/>
    <n v="5530"/>
    <n v="5.53"/>
  </r>
  <r>
    <x v="312"/>
    <s v="688009"/>
    <s v="中国通号"/>
    <n v="500"/>
    <n v="500"/>
    <n v="5.85"/>
    <n v="545"/>
    <n v="18.63"/>
    <n v="3470"/>
    <n v="6.94"/>
  </r>
  <r>
    <x v="312"/>
    <s v="003816"/>
    <s v="中国广核"/>
    <n v="500"/>
    <n v="500"/>
    <n v="2.4900000000000002"/>
    <n v="340"/>
    <n v="27.31"/>
    <n v="1585"/>
    <n v="3.17"/>
  </r>
  <r>
    <x v="312"/>
    <s v="300701"/>
    <s v="森霸传感"/>
    <n v="150"/>
    <n v="150"/>
    <n v="-87.406999999999996"/>
    <n v="17674.05"/>
    <n v="0"/>
    <n v="4563"/>
    <n v="30.42"/>
  </r>
  <r>
    <x v="312"/>
    <s v="601398"/>
    <s v="工商银行"/>
    <n v="100"/>
    <n v="100"/>
    <n v="-54.070999999999998"/>
    <n v="5943.1"/>
    <n v="0"/>
    <n v="536"/>
    <n v="5.36"/>
  </r>
  <r>
    <x v="312"/>
    <s v="000528"/>
    <s v="柳    工"/>
    <n v="100"/>
    <n v="100"/>
    <n v="-43.515999999999998"/>
    <n v="5039.6000000000004"/>
    <n v="0"/>
    <n v="688"/>
    <n v="6.88"/>
  </r>
  <r>
    <x v="312"/>
    <s v="000987"/>
    <s v="越秀金控"/>
    <n v="100"/>
    <n v="100"/>
    <n v="-5.867"/>
    <n v="1470.7"/>
    <n v="0"/>
    <n v="884"/>
    <n v="8.84"/>
  </r>
  <r>
    <x v="312"/>
    <s v="002006"/>
    <s v="精功科技"/>
    <n v="100"/>
    <n v="100"/>
    <n v="-18.477"/>
    <n v="2371.6999999999998"/>
    <n v="0"/>
    <n v="524"/>
    <n v="5.24"/>
  </r>
  <r>
    <x v="312"/>
    <s v="002945"/>
    <s v="华林证券"/>
    <n v="100"/>
    <n v="100"/>
    <n v="-22.369"/>
    <n v="3634.9"/>
    <n v="0"/>
    <n v="1398"/>
    <n v="13.98"/>
  </r>
  <r>
    <x v="312"/>
    <s v="002950"/>
    <s v="奥美医疗"/>
    <n v="100"/>
    <n v="100"/>
    <n v="-94.6"/>
    <n v="14426"/>
    <n v="0"/>
    <n v="4966"/>
    <n v="49.66"/>
  </r>
  <r>
    <x v="312"/>
    <s v="688369"/>
    <s v="致远互联"/>
    <n v="1"/>
    <n v="1"/>
    <n v="-13136.34"/>
    <n v="13216.09"/>
    <n v="0"/>
    <n v="79.75"/>
    <n v="79.75"/>
  </r>
  <r>
    <x v="312"/>
    <s v="reserve"/>
    <s v="备用金"/>
    <m/>
    <m/>
    <m/>
    <m/>
    <m/>
    <n v="30926.54"/>
    <m/>
  </r>
  <r>
    <x v="313"/>
    <s v="603116"/>
    <s v="红蜻蜓"/>
    <n v="12820"/>
    <n v="12820"/>
    <n v="9.8740000000000006"/>
    <n v="-37875.79"/>
    <n v="-29.92"/>
    <n v="88714.4"/>
    <n v="6.92"/>
  </r>
  <r>
    <x v="313"/>
    <s v="000402"/>
    <s v="金 融 街"/>
    <n v="26500"/>
    <n v="26500"/>
    <n v="8.3249999999999993"/>
    <n v="-26366.59"/>
    <n v="-11.95"/>
    <n v="194245"/>
    <n v="7.33"/>
  </r>
  <r>
    <x v="313"/>
    <s v="000415"/>
    <s v="渤海租赁"/>
    <n v="7500"/>
    <n v="7500"/>
    <n v="4.9450000000000003"/>
    <n v="-11066.09"/>
    <n v="-29.84"/>
    <n v="26025"/>
    <n v="3.47"/>
  </r>
  <r>
    <x v="313"/>
    <s v="600269"/>
    <s v="赣粤高速"/>
    <n v="4400"/>
    <n v="4400"/>
    <n v="4.4349999999999996"/>
    <n v="-2881.33"/>
    <n v="-14.77"/>
    <n v="16632"/>
    <n v="3.78"/>
  </r>
  <r>
    <x v="313"/>
    <s v="003816"/>
    <s v="中国广核"/>
    <n v="500"/>
    <n v="500"/>
    <n v="2.4900000000000002"/>
    <n v="350"/>
    <n v="28.11"/>
    <n v="1595"/>
    <n v="3.19"/>
  </r>
  <r>
    <x v="313"/>
    <s v="688009"/>
    <s v="中国通号"/>
    <n v="500"/>
    <n v="500"/>
    <n v="5.85"/>
    <n v="560"/>
    <n v="19.149999999999999"/>
    <n v="3485"/>
    <n v="6.97"/>
  </r>
  <r>
    <x v="313"/>
    <s v="002140"/>
    <s v="东华科技"/>
    <n v="14080"/>
    <n v="14080"/>
    <n v="8.3109999999999999"/>
    <n v="967.7"/>
    <n v="0.83"/>
    <n v="117990.39999999999"/>
    <n v="8.3800000000000008"/>
  </r>
  <r>
    <x v="313"/>
    <s v="000987"/>
    <s v="越秀金控"/>
    <n v="100"/>
    <n v="100"/>
    <n v="-5.867"/>
    <n v="1486.7"/>
    <n v="0"/>
    <n v="900"/>
    <n v="9"/>
  </r>
  <r>
    <x v="313"/>
    <s v="002006"/>
    <s v="精功科技"/>
    <n v="100"/>
    <n v="100"/>
    <n v="-18.477"/>
    <n v="2354.6999999999998"/>
    <n v="0"/>
    <n v="507"/>
    <n v="5.07"/>
  </r>
  <r>
    <x v="313"/>
    <s v="002945"/>
    <s v="华林证券"/>
    <n v="100"/>
    <n v="100"/>
    <n v="-22.369"/>
    <n v="3703.9"/>
    <n v="0"/>
    <n v="1467"/>
    <n v="14.67"/>
  </r>
  <r>
    <x v="313"/>
    <s v="601998"/>
    <s v="中信银行"/>
    <n v="1000"/>
    <n v="1000"/>
    <n v="1.635"/>
    <n v="3915.09"/>
    <n v="239.46"/>
    <n v="5550"/>
    <n v="5.55"/>
  </r>
  <r>
    <x v="313"/>
    <s v="519888"/>
    <s v="添富快线"/>
    <n v="3214979"/>
    <n v="3214979"/>
    <n v="8.9999999999999993E-3"/>
    <n v="4212.1400000000003"/>
    <n v="11.11"/>
    <n v="32149.79"/>
    <n v="0.01"/>
  </r>
  <r>
    <x v="313"/>
    <s v="000528"/>
    <s v="柳    工"/>
    <n v="100"/>
    <n v="100"/>
    <n v="-43.515999999999998"/>
    <n v="5075.6000000000004"/>
    <n v="0"/>
    <n v="724"/>
    <n v="7.24"/>
  </r>
  <r>
    <x v="313"/>
    <s v="601398"/>
    <s v="工商银行"/>
    <n v="100"/>
    <n v="100"/>
    <n v="-54.070999999999998"/>
    <n v="5946.1"/>
    <n v="0"/>
    <n v="539"/>
    <n v="5.39"/>
  </r>
  <r>
    <x v="313"/>
    <s v="688369"/>
    <s v="致远互联"/>
    <n v="1"/>
    <n v="1"/>
    <n v="-13136.34"/>
    <n v="13217.7"/>
    <n v="0"/>
    <n v="81.36"/>
    <n v="81.36"/>
  </r>
  <r>
    <x v="313"/>
    <s v="002950"/>
    <s v="奥美医疗"/>
    <n v="100"/>
    <n v="100"/>
    <n v="-94.6"/>
    <n v="13985"/>
    <n v="0"/>
    <n v="4525"/>
    <n v="45.25"/>
  </r>
  <r>
    <x v="313"/>
    <s v="300701"/>
    <s v="森霸传感"/>
    <n v="150"/>
    <n v="150"/>
    <n v="-87.406999999999996"/>
    <n v="18235.05"/>
    <n v="0"/>
    <n v="5124"/>
    <n v="34.159999999999997"/>
  </r>
  <r>
    <x v="313"/>
    <s v="reserve"/>
    <s v="备用金"/>
    <m/>
    <m/>
    <m/>
    <m/>
    <m/>
    <n v="16546.71"/>
    <m/>
  </r>
  <r>
    <x v="314"/>
    <s v="000415"/>
    <s v="渤海租赁"/>
    <n v="8900"/>
    <n v="8900"/>
    <n v="4.6390000000000002"/>
    <n v="-16013.09"/>
    <n v="-38.78"/>
    <n v="25276"/>
    <n v="2.84"/>
  </r>
  <r>
    <x v="314"/>
    <s v="603116"/>
    <s v="红蜻蜓"/>
    <n v="11800"/>
    <n v="11800"/>
    <n v="9.9429999999999996"/>
    <n v="-37677.879999999997"/>
    <n v="-32.11"/>
    <n v="79650"/>
    <n v="6.75"/>
  </r>
  <r>
    <x v="314"/>
    <s v="000402"/>
    <s v="金融街"/>
    <n v="27400"/>
    <n v="27400"/>
    <n v="8.266"/>
    <n v="-45915.46"/>
    <n v="-20.27"/>
    <n v="180566"/>
    <n v="6.59"/>
  </r>
  <r>
    <x v="314"/>
    <s v="600269"/>
    <s v="赣粤高速"/>
    <n v="4100"/>
    <n v="4100"/>
    <n v="4.4660000000000002"/>
    <n v="-3549.4"/>
    <n v="-19.38"/>
    <n v="14760"/>
    <n v="3.6"/>
  </r>
  <r>
    <x v="314"/>
    <s v="002140"/>
    <s v="东华科技"/>
    <n v="15680"/>
    <n v="15680"/>
    <n v="8.2200000000000006"/>
    <n v="-20226.86"/>
    <n v="-15.69"/>
    <n v="108662.39999999999"/>
    <n v="6.93"/>
  </r>
  <r>
    <x v="314"/>
    <s v="601398"/>
    <s v="工商银行"/>
    <n v="100"/>
    <n v="100"/>
    <n v="-54.070999999999998"/>
    <n v="5917.07"/>
    <n v="0"/>
    <n v="510"/>
    <n v="5.0999999999999996"/>
  </r>
  <r>
    <x v="314"/>
    <s v="688369"/>
    <s v="致远互联"/>
    <n v="1"/>
    <n v="1"/>
    <n v="-13136.34"/>
    <n v="13203.69"/>
    <n v="0"/>
    <n v="67.349999999999994"/>
    <n v="67.349999999999994"/>
  </r>
  <r>
    <x v="314"/>
    <s v="000528"/>
    <s v="柳工"/>
    <n v="100"/>
    <n v="100"/>
    <n v="-43.515999999999998"/>
    <n v="5044.62"/>
    <n v="0"/>
    <n v="693"/>
    <n v="6.93"/>
  </r>
  <r>
    <x v="314"/>
    <s v="000987"/>
    <s v="越秀金控"/>
    <n v="100"/>
    <n v="100"/>
    <n v="-5.867"/>
    <n v="1709.66"/>
    <n v="0"/>
    <n v="1123"/>
    <n v="11.23"/>
  </r>
  <r>
    <x v="314"/>
    <s v="002006"/>
    <s v="精功科技"/>
    <n v="100"/>
    <n v="100"/>
    <n v="-18.477"/>
    <n v="2280.7399999999998"/>
    <n v="0"/>
    <n v="433"/>
    <n v="4.33"/>
  </r>
  <r>
    <x v="314"/>
    <s v="002945"/>
    <s v="华林证券"/>
    <n v="100"/>
    <n v="100"/>
    <n v="-22.369"/>
    <n v="3651.85"/>
    <n v="0"/>
    <n v="1415"/>
    <n v="14.15"/>
  </r>
  <r>
    <x v="314"/>
    <s v="002950"/>
    <s v="奥美医疗"/>
    <n v="100"/>
    <n v="100"/>
    <n v="-94.6"/>
    <n v="12790.02"/>
    <n v="0"/>
    <n v="3330"/>
    <n v="33.299999999999997"/>
  </r>
  <r>
    <x v="314"/>
    <s v="300701"/>
    <s v="森霸传感"/>
    <n v="150"/>
    <n v="150"/>
    <n v="-87.406999999999996"/>
    <n v="17917.03"/>
    <n v="0"/>
    <n v="4806"/>
    <n v="32.04"/>
  </r>
  <r>
    <x v="314"/>
    <s v="688009"/>
    <s v="中国通号"/>
    <n v="500"/>
    <n v="500"/>
    <n v="5.85"/>
    <n v="220"/>
    <n v="7.52"/>
    <n v="3145"/>
    <n v="6.29"/>
  </r>
  <r>
    <x v="314"/>
    <s v="003816"/>
    <s v="中国广核"/>
    <n v="500"/>
    <n v="500"/>
    <n v="2.4900000000000002"/>
    <n v="180"/>
    <n v="14.46"/>
    <n v="1425"/>
    <n v="2.85"/>
  </r>
  <r>
    <x v="314"/>
    <s v="601998"/>
    <s v="中信银行"/>
    <n v="4100"/>
    <n v="4100"/>
    <n v="4.3689999999999998"/>
    <n v="3037.61"/>
    <n v="16.96"/>
    <n v="20951"/>
    <n v="5.1100000000000003"/>
  </r>
  <r>
    <x v="314"/>
    <s v="002987"/>
    <s v="京北方"/>
    <n v="500"/>
    <n v="500"/>
    <n v="23.04"/>
    <n v="5070"/>
    <n v="44.01"/>
    <n v="16590"/>
    <n v="33.18"/>
  </r>
  <r>
    <x v="314"/>
    <s v="reserve"/>
    <s v="备用金"/>
    <m/>
    <m/>
    <m/>
    <m/>
    <m/>
    <n v="0"/>
    <m/>
  </r>
  <r>
    <x v="315"/>
    <s v="600269"/>
    <s v="赣粤高速"/>
    <n v="4100"/>
    <n v="4100"/>
    <n v="4.4660000000000002"/>
    <n v="-3631.4"/>
    <n v="-19.829999999999998"/>
    <n v="14678"/>
    <n v="3.58"/>
  </r>
  <r>
    <x v="315"/>
    <s v="601398"/>
    <s v="工商银行"/>
    <n v="100"/>
    <n v="100"/>
    <n v="-54.070999999999998"/>
    <n v="5921.07"/>
    <n v="0"/>
    <n v="514"/>
    <n v="5.14"/>
  </r>
  <r>
    <x v="315"/>
    <s v="601998"/>
    <s v="中信银行"/>
    <n v="4100"/>
    <n v="4100"/>
    <n v="4.3689999999999998"/>
    <n v="3119.61"/>
    <n v="17.420000000000002"/>
    <n v="21033"/>
    <n v="5.13"/>
  </r>
  <r>
    <x v="315"/>
    <s v="603116"/>
    <s v="红蜻蜓"/>
    <n v="12000"/>
    <n v="11400"/>
    <n v="9.8840000000000003"/>
    <n v="-38208.74"/>
    <n v="-32.21"/>
    <n v="80400"/>
    <n v="6.7"/>
  </r>
  <r>
    <x v="315"/>
    <s v="688009"/>
    <s v="中国通号"/>
    <n v="500"/>
    <n v="500"/>
    <n v="5.85"/>
    <n v="220"/>
    <n v="7.52"/>
    <n v="3145"/>
    <n v="6.29"/>
  </r>
  <r>
    <x v="315"/>
    <s v="688369"/>
    <s v="致远互联"/>
    <n v="1"/>
    <n v="1"/>
    <n v="-13136.34"/>
    <n v="13203.44"/>
    <n v="0"/>
    <n v="67.099999999999994"/>
    <n v="67.099999999999994"/>
  </r>
  <r>
    <x v="315"/>
    <s v="000402"/>
    <s v="金 融 街"/>
    <n v="27400"/>
    <n v="27400"/>
    <n v="8.266"/>
    <n v="-45093.46"/>
    <n v="-19.91"/>
    <n v="181388"/>
    <n v="6.62"/>
  </r>
  <r>
    <x v="315"/>
    <s v="000415"/>
    <s v="渤海租赁"/>
    <n v="8900"/>
    <n v="8900"/>
    <n v="4.6390000000000002"/>
    <n v="-16013.09"/>
    <n v="-38.78"/>
    <n v="25276"/>
    <n v="2.84"/>
  </r>
  <r>
    <x v="315"/>
    <s v="000528"/>
    <s v="柳    工"/>
    <n v="100"/>
    <n v="100"/>
    <n v="-43.515999999999998"/>
    <n v="5066.62"/>
    <n v="0"/>
    <n v="715"/>
    <n v="7.15"/>
  </r>
  <r>
    <x v="315"/>
    <s v="000987"/>
    <s v="越秀金控"/>
    <n v="100"/>
    <n v="100"/>
    <n v="-5.867"/>
    <n v="1671.66"/>
    <n v="0"/>
    <n v="1085"/>
    <n v="10.85"/>
  </r>
  <r>
    <x v="315"/>
    <s v="002006"/>
    <s v="精功科技"/>
    <n v="100"/>
    <n v="100"/>
    <n v="-18.477"/>
    <n v="2290.7399999999998"/>
    <n v="0"/>
    <n v="443"/>
    <n v="4.43"/>
  </r>
  <r>
    <x v="315"/>
    <s v="002140"/>
    <s v="东华科技"/>
    <n v="15680"/>
    <n v="15680"/>
    <n v="8.2200000000000006"/>
    <n v="-16777.259999999998"/>
    <n v="-13.02"/>
    <n v="112112"/>
    <n v="7.15"/>
  </r>
  <r>
    <x v="315"/>
    <s v="002945"/>
    <s v="华林证券"/>
    <n v="100"/>
    <n v="100"/>
    <n v="-22.369"/>
    <n v="3683.85"/>
    <n v="0"/>
    <n v="1447"/>
    <n v="14.47"/>
  </r>
  <r>
    <x v="315"/>
    <s v="002950"/>
    <s v="奥美医疗"/>
    <n v="100"/>
    <n v="100"/>
    <n v="-94.6"/>
    <n v="12817.02"/>
    <n v="0"/>
    <n v="3357"/>
    <n v="33.57"/>
  </r>
  <r>
    <x v="315"/>
    <s v="002987"/>
    <s v="京北方"/>
    <n v="500"/>
    <n v="500"/>
    <n v="23.04"/>
    <n v="8555"/>
    <n v="74.260000000000005"/>
    <n v="20075"/>
    <n v="40.15"/>
  </r>
  <r>
    <x v="315"/>
    <s v="003816"/>
    <s v="中国广核"/>
    <n v="500"/>
    <n v="500"/>
    <n v="2.4900000000000002"/>
    <n v="210"/>
    <n v="16.87"/>
    <n v="1455"/>
    <n v="2.91"/>
  </r>
  <r>
    <x v="315"/>
    <s v="300701"/>
    <s v="森霸传感"/>
    <n v="150"/>
    <n v="150"/>
    <n v="-87.406999999999996"/>
    <n v="17879.53"/>
    <n v="0"/>
    <n v="4768.5"/>
    <n v="31.79"/>
  </r>
  <r>
    <x v="315"/>
    <s v="reserve"/>
    <s v="备用金"/>
    <m/>
    <m/>
    <m/>
    <m/>
    <m/>
    <n v="8481.92"/>
    <m/>
  </r>
  <r>
    <x v="316"/>
    <s v="600269"/>
    <s v="赣粤高速"/>
    <n v="5600"/>
    <n v="5600"/>
    <n v="4.2110000000000003"/>
    <n v="-3979.52"/>
    <n v="-16.88"/>
    <n v="19600"/>
    <n v="3.5"/>
  </r>
  <r>
    <x v="316"/>
    <s v="601398"/>
    <s v="工商银行"/>
    <n v="100"/>
    <n v="100"/>
    <n v="-54.070999999999998"/>
    <n v="5929.07"/>
    <n v="0"/>
    <n v="522"/>
    <n v="5.22"/>
  </r>
  <r>
    <x v="316"/>
    <s v="601998"/>
    <s v="中信银行"/>
    <n v="6100"/>
    <n v="6100"/>
    <n v="4.5960000000000001"/>
    <n v="2891.41"/>
    <n v="10.31"/>
    <n v="30927"/>
    <n v="5.07"/>
  </r>
  <r>
    <x v="316"/>
    <s v="603116"/>
    <s v="红蜻蜓"/>
    <n v="8400"/>
    <n v="8400"/>
    <n v="10.500999999999999"/>
    <n v="-16468.79"/>
    <n v="-18.670000000000002"/>
    <n v="71736"/>
    <n v="8.5399999999999991"/>
  </r>
  <r>
    <x v="316"/>
    <s v="688009"/>
    <s v="中国通号"/>
    <n v="500"/>
    <n v="500"/>
    <n v="5.85"/>
    <n v="285"/>
    <n v="9.7439999999999998"/>
    <n v="3210"/>
    <n v="6.42"/>
  </r>
  <r>
    <x v="316"/>
    <s v="688369"/>
    <s v="致远互联"/>
    <n v="1"/>
    <n v="1"/>
    <n v="-13136.74"/>
    <n v="13214.13"/>
    <n v="0"/>
    <n v="77.39"/>
    <n v="77.39"/>
  </r>
  <r>
    <x v="316"/>
    <s v="000402"/>
    <s v="金融街"/>
    <n v="28100"/>
    <n v="28100"/>
    <n v="8.2200000000000006"/>
    <n v="-44121.43"/>
    <n v="-19.100000000000001"/>
    <n v="186865"/>
    <n v="6.65"/>
  </r>
  <r>
    <x v="316"/>
    <s v="000415"/>
    <s v="渤海租赁"/>
    <n v="8500"/>
    <n v="8500"/>
    <n v="4.7039999999999997"/>
    <n v="-14655.83"/>
    <n v="-36.65"/>
    <n v="25330"/>
    <n v="2.98"/>
  </r>
  <r>
    <x v="316"/>
    <s v="000528"/>
    <s v="柳工"/>
    <n v="100"/>
    <n v="100"/>
    <n v="-44.02"/>
    <n v="5038.01"/>
    <n v="0"/>
    <n v="636"/>
    <n v="6.36"/>
  </r>
  <r>
    <x v="316"/>
    <s v="000987"/>
    <s v="越秀金控"/>
    <n v="100"/>
    <n v="100"/>
    <n v="-6.0369999999999999"/>
    <n v="1792.66"/>
    <n v="0"/>
    <n v="1189"/>
    <n v="11.89"/>
  </r>
  <r>
    <x v="316"/>
    <s v="002006"/>
    <s v="精功科技"/>
    <n v="100"/>
    <n v="100"/>
    <n v="-18.477"/>
    <n v="2318.7399999999998"/>
    <n v="0"/>
    <n v="471"/>
    <n v="4.71"/>
  </r>
  <r>
    <x v="316"/>
    <s v="002140"/>
    <s v="东华科技"/>
    <n v="16080"/>
    <n v="16080"/>
    <n v="8.0760000000000005"/>
    <n v="-24379.77"/>
    <n v="-18.77"/>
    <n v="105484.8"/>
    <n v="6.56"/>
  </r>
  <r>
    <x v="316"/>
    <s v="002945"/>
    <s v="华林证券"/>
    <n v="100"/>
    <n v="100"/>
    <n v="-22.369"/>
    <n v="3635.85"/>
    <n v="0"/>
    <n v="1399"/>
    <n v="13.99"/>
  </r>
  <r>
    <x v="316"/>
    <s v="003816"/>
    <s v="中国广核"/>
    <n v="500"/>
    <n v="500"/>
    <n v="2.4900000000000002"/>
    <n v="240"/>
    <n v="19.28"/>
    <n v="1485"/>
    <n v="2.97"/>
  </r>
  <r>
    <x v="316"/>
    <s v="300701"/>
    <s v="森霸传感"/>
    <n v="150"/>
    <n v="150"/>
    <n v="-87.614999999999995"/>
    <n v="18108.77"/>
    <n v="0"/>
    <n v="4966.5"/>
    <n v="33.11"/>
  </r>
  <r>
    <x v="316"/>
    <s v="300824"/>
    <s v="北鼎股份"/>
    <n v="500"/>
    <n v="500"/>
    <n v="5.91"/>
    <n v="2710"/>
    <n v="91.71"/>
    <n v="5665"/>
    <n v="11.33"/>
  </r>
  <r>
    <x v="316"/>
    <s v="300841"/>
    <s v="康华生物"/>
    <n v="500"/>
    <n v="500"/>
    <n v="70.37"/>
    <n v="54575"/>
    <n v="155.11000000000001"/>
    <n v="89760"/>
    <n v="179.52"/>
  </r>
  <r>
    <x v="316"/>
    <s v="reserve"/>
    <s v="备用金"/>
    <m/>
    <m/>
    <m/>
    <m/>
    <m/>
    <n v="32066.07"/>
    <m/>
  </r>
  <r>
    <x v="317"/>
    <s v="519888"/>
    <s v="添富快线"/>
    <n v="12330977"/>
    <n v="12330977"/>
    <n v="0.01"/>
    <n v="12.77"/>
    <n v="0"/>
    <n v="123309.77"/>
    <n v="0.01"/>
  </r>
  <r>
    <x v="317"/>
    <s v="600269"/>
    <s v="赣粤高速"/>
    <n v="3000"/>
    <n v="3000"/>
    <n v="4.577"/>
    <n v="-2241.6"/>
    <n v="-16.321000000000002"/>
    <n v="11490"/>
    <n v="3.83"/>
  </r>
  <r>
    <x v="317"/>
    <s v="601398"/>
    <s v="工商银行"/>
    <n v="100"/>
    <n v="100"/>
    <n v="0.73699999999999999"/>
    <n v="448.28"/>
    <n v="608.27700000000004"/>
    <n v="522"/>
    <n v="5.22"/>
  </r>
  <r>
    <x v="317"/>
    <s v="601998"/>
    <s v="中信银行"/>
    <n v="3500"/>
    <n v="3500"/>
    <n v="3.9"/>
    <n v="6368.69"/>
    <n v="46.667000000000002"/>
    <n v="20020"/>
    <n v="5.72"/>
  </r>
  <r>
    <x v="317"/>
    <s v="603116"/>
    <s v="红蜻蜓"/>
    <n v="7000"/>
    <n v="7000"/>
    <n v="10.817"/>
    <n v="-16849.560000000001"/>
    <n v="-22.251999999999999"/>
    <n v="58870"/>
    <n v="8.41"/>
  </r>
  <r>
    <x v="317"/>
    <s v="688009"/>
    <s v="中国通号"/>
    <n v="500"/>
    <n v="500"/>
    <n v="5.65"/>
    <n v="780"/>
    <n v="27.611000000000001"/>
    <n v="3605"/>
    <n v="7.21"/>
  </r>
  <r>
    <x v="317"/>
    <s v="688369"/>
    <s v="致远互联"/>
    <n v="1"/>
    <n v="1"/>
    <n v="-137.5"/>
    <n v="220.92"/>
    <n v="0"/>
    <n v="83.42"/>
    <n v="83.42"/>
  </r>
  <r>
    <x v="317"/>
    <s v="000402"/>
    <s v="金融街"/>
    <n v="24500"/>
    <n v="24500"/>
    <n v="8.375"/>
    <n v="-23885.15"/>
    <n v="-11.641999999999999"/>
    <n v="181300"/>
    <n v="7.4"/>
  </r>
  <r>
    <x v="317"/>
    <s v="000415"/>
    <s v="渤海租赁"/>
    <n v="6300"/>
    <n v="6300"/>
    <n v="5.1619999999999999"/>
    <n v="-10914.31"/>
    <n v="-33.552999999999997"/>
    <n v="21609"/>
    <n v="3.43"/>
  </r>
  <r>
    <x v="317"/>
    <s v="000528"/>
    <s v="柳工"/>
    <n v="100"/>
    <n v="100"/>
    <n v="-44.533999999999999"/>
    <n v="5147.43"/>
    <n v="0"/>
    <n v="694"/>
    <n v="6.94"/>
  </r>
  <r>
    <x v="317"/>
    <s v="000987"/>
    <s v="越秀金控"/>
    <n v="100"/>
    <n v="100"/>
    <n v="1"/>
    <n v="2042"/>
    <n v="2042"/>
    <n v="2142"/>
    <n v="21.42"/>
  </r>
  <r>
    <x v="317"/>
    <s v="002006"/>
    <s v="精功科技"/>
    <n v="100"/>
    <n v="100"/>
    <n v="1.53"/>
    <n v="358"/>
    <n v="233.98699999999999"/>
    <n v="511"/>
    <n v="5.1100000000000003"/>
  </r>
  <r>
    <x v="317"/>
    <s v="002140"/>
    <s v="东华科技"/>
    <n v="12480"/>
    <n v="12480"/>
    <n v="8.3249999999999993"/>
    <n v="-14169.01"/>
    <n v="-13.634"/>
    <n v="89731.199999999997"/>
    <n v="7.19"/>
  </r>
  <r>
    <x v="317"/>
    <s v="002945"/>
    <s v="华林证券"/>
    <n v="100"/>
    <n v="100"/>
    <n v="0.95"/>
    <n v="1625"/>
    <n v="1710.5260000000001"/>
    <n v="1720"/>
    <n v="17.2"/>
  </r>
  <r>
    <x v="317"/>
    <s v="003816"/>
    <s v="中国广核"/>
    <n v="500"/>
    <n v="500"/>
    <n v="2.4140000000000001"/>
    <n v="368"/>
    <n v="30.489000000000001"/>
    <n v="1575"/>
    <n v="3.15"/>
  </r>
  <r>
    <x v="317"/>
    <s v="127018"/>
    <s v="本钢转债"/>
    <n v="20"/>
    <n v="20"/>
    <n v="100"/>
    <n v="0"/>
    <n v="0"/>
    <n v="2000"/>
    <n v="100"/>
  </r>
  <r>
    <x v="317"/>
    <s v="300701"/>
    <s v="森霸传感"/>
    <n v="150"/>
    <n v="150"/>
    <n v="1"/>
    <n v="5893.5"/>
    <n v="3929"/>
    <n v="6043.5"/>
    <n v="40.29"/>
  </r>
  <r>
    <x v="317"/>
    <s v="300824"/>
    <s v="北鼎股份"/>
    <n v="500"/>
    <n v="500"/>
    <n v="5.91"/>
    <n v="11745"/>
    <n v="397.46199999999999"/>
    <n v="14700"/>
    <n v="29.4"/>
  </r>
  <r>
    <x v="317"/>
    <s v="300841"/>
    <s v="康华生物"/>
    <n v="300"/>
    <n v="300"/>
    <n v="-116.697"/>
    <n v="174692.15"/>
    <n v="0"/>
    <n v="139683"/>
    <n v="465.61"/>
  </r>
  <r>
    <x v="317"/>
    <s v="reserve"/>
    <s v="备用金"/>
    <m/>
    <m/>
    <m/>
    <m/>
    <m/>
    <n v="46087.62"/>
    <m/>
  </r>
  <r>
    <x v="318"/>
    <s v="519888"/>
    <s v="添富快线"/>
    <n v="21913177"/>
    <n v="12330977"/>
    <n v="0.01"/>
    <n v="12.77"/>
    <n v="0"/>
    <n v="219131.77"/>
    <n v="0.01"/>
  </r>
  <r>
    <x v="318"/>
    <s v="000402"/>
    <s v="金 融 街"/>
    <n v="20000"/>
    <n v="20000"/>
    <n v="8.5779999999999994"/>
    <n v="-21767.23"/>
    <n v="-12.69"/>
    <n v="149800"/>
    <n v="7.49"/>
  </r>
  <r>
    <x v="318"/>
    <s v="002140"/>
    <s v="东华科技"/>
    <n v="12080"/>
    <n v="12080"/>
    <n v="8.3559999999999999"/>
    <n v="-10948.17"/>
    <n v="-10.85"/>
    <n v="89996"/>
    <n v="7.45"/>
  </r>
  <r>
    <x v="318"/>
    <s v="000415"/>
    <s v="渤海租赁"/>
    <n v="5900"/>
    <n v="5900"/>
    <n v="5.274"/>
    <n v="-10286.73"/>
    <n v="-33.06"/>
    <n v="20827"/>
    <n v="3.53"/>
  </r>
  <r>
    <x v="318"/>
    <s v="603116"/>
    <s v="红蜻蜓"/>
    <n v="5200"/>
    <n v="5200"/>
    <n v="11.548999999999999"/>
    <n v="-14139.57"/>
    <n v="-23.54"/>
    <n v="45916"/>
    <n v="8.83"/>
  </r>
  <r>
    <x v="318"/>
    <s v="601998"/>
    <s v="中信银行"/>
    <n v="3500"/>
    <n v="3500"/>
    <n v="3.9"/>
    <n v="6508.69"/>
    <n v="47.68"/>
    <n v="20160"/>
    <n v="5.76"/>
  </r>
  <r>
    <x v="318"/>
    <s v="600269"/>
    <s v="赣粤高速"/>
    <n v="3000"/>
    <n v="3000"/>
    <n v="4.577"/>
    <n v="-2091.6"/>
    <n v="-15.23"/>
    <n v="11640"/>
    <n v="3.88"/>
  </r>
  <r>
    <x v="318"/>
    <s v="688009"/>
    <s v="中国通号"/>
    <n v="500"/>
    <n v="500"/>
    <n v="5.65"/>
    <n v="885"/>
    <n v="31.327000000000002"/>
    <n v="3710"/>
    <n v="7.42"/>
  </r>
  <r>
    <x v="318"/>
    <s v="003816"/>
    <s v="中国广核"/>
    <n v="500"/>
    <n v="500"/>
    <n v="2.4140000000000001"/>
    <n v="388"/>
    <n v="32.15"/>
    <n v="1595"/>
    <n v="3.19"/>
  </r>
  <r>
    <x v="318"/>
    <s v="300841"/>
    <s v="康华生物"/>
    <n v="300"/>
    <n v="300"/>
    <n v="-116.697"/>
    <n v="188660.15"/>
    <n v="0"/>
    <n v="153651"/>
    <n v="512.16999999999996"/>
  </r>
  <r>
    <x v="318"/>
    <s v="300701"/>
    <s v="森霸传感"/>
    <n v="150"/>
    <n v="150"/>
    <n v="1"/>
    <n v="6498"/>
    <n v="4332"/>
    <n v="6648"/>
    <n v="44.32"/>
  </r>
  <r>
    <x v="318"/>
    <s v="601398"/>
    <s v="工商银行"/>
    <n v="100"/>
    <n v="100"/>
    <n v="0.73699999999999999"/>
    <n v="447.28"/>
    <n v="606.89"/>
    <n v="521"/>
    <n v="5.21"/>
  </r>
  <r>
    <x v="318"/>
    <s v="000528"/>
    <s v="柳    工"/>
    <n v="100"/>
    <n v="100"/>
    <n v="-44.533999999999999"/>
    <n v="5195.43"/>
    <n v="0"/>
    <n v="742"/>
    <n v="7.42"/>
  </r>
  <r>
    <x v="318"/>
    <s v="000987"/>
    <s v="越秀金控"/>
    <n v="100"/>
    <n v="100"/>
    <n v="1"/>
    <n v="2120"/>
    <n v="2120"/>
    <n v="2220"/>
    <n v="22.2"/>
  </r>
  <r>
    <x v="318"/>
    <s v="002006"/>
    <s v="精功科技"/>
    <n v="100"/>
    <n v="100"/>
    <n v="1.53"/>
    <n v="380"/>
    <n v="248.37"/>
    <n v="533"/>
    <n v="5.33"/>
  </r>
  <r>
    <x v="318"/>
    <s v="002945"/>
    <s v="华林证券"/>
    <n v="100"/>
    <n v="100"/>
    <n v="0.95"/>
    <n v="1678"/>
    <n v="1766.32"/>
    <n v="1773"/>
    <n v="17.73"/>
  </r>
  <r>
    <x v="318"/>
    <s v="127018"/>
    <s v="本钢转债"/>
    <n v="20"/>
    <n v="20"/>
    <n v="100"/>
    <n v="0"/>
    <n v="0"/>
    <n v="2000"/>
    <n v="100"/>
  </r>
  <r>
    <x v="318"/>
    <s v="688369"/>
    <s v="致远互联"/>
    <n v="1"/>
    <n v="1"/>
    <n v="-137.5"/>
    <n v="221.61"/>
    <n v="0"/>
    <n v="84.11"/>
    <n v="84.11"/>
  </r>
  <r>
    <x v="318"/>
    <s v="300824"/>
    <s v="北鼎股份"/>
    <n v="0"/>
    <n v="0"/>
    <n v="0"/>
    <n v="13193.83"/>
    <n v="0"/>
    <n v="0"/>
    <n v="32.340000000000003"/>
  </r>
  <r>
    <x v="318"/>
    <s v="reserve"/>
    <s v="备用金"/>
    <m/>
    <m/>
    <m/>
    <m/>
    <m/>
    <n v="7014.98"/>
    <m/>
  </r>
  <r>
    <x v="319"/>
    <s v="300841"/>
    <s v="康华生物"/>
    <n v="300"/>
    <n v="300"/>
    <n v="-116.697"/>
    <n v="204026.15"/>
    <n v="0"/>
    <n v="169017"/>
    <n v="563.39"/>
  </r>
  <r>
    <x v="319"/>
    <s v="601998"/>
    <s v="中信银行"/>
    <n v="3500"/>
    <n v="3500"/>
    <n v="3.9"/>
    <n v="6263.69"/>
    <n v="45.89"/>
    <n v="19075"/>
    <n v="5.69"/>
  </r>
  <r>
    <x v="319"/>
    <s v="300701"/>
    <s v="森霸传感"/>
    <n v="150"/>
    <n v="150"/>
    <n v="1"/>
    <n v="6042"/>
    <n v="4028"/>
    <n v="6192"/>
    <n v="41.28"/>
  </r>
  <r>
    <x v="319"/>
    <s v="000528"/>
    <s v="柳    工"/>
    <n v="100"/>
    <n v="100"/>
    <n v="-44.533999999999999"/>
    <n v="5190.43"/>
    <n v="0"/>
    <n v="737"/>
    <n v="7.37"/>
  </r>
  <r>
    <x v="319"/>
    <s v="000987"/>
    <s v="越秀金控"/>
    <n v="100"/>
    <n v="100"/>
    <n v="1"/>
    <n v="2342"/>
    <n v="2342"/>
    <n v="2442"/>
    <n v="24.42"/>
  </r>
  <r>
    <x v="319"/>
    <s v="002945"/>
    <s v="华林证券"/>
    <n v="100"/>
    <n v="100"/>
    <n v="0.95"/>
    <n v="1729"/>
    <n v="1820"/>
    <n v="1824"/>
    <n v="18.239999999999998"/>
  </r>
  <r>
    <x v="319"/>
    <s v="688009"/>
    <s v="中国通号"/>
    <n v="500"/>
    <n v="500"/>
    <n v="5.65"/>
    <n v="925"/>
    <n v="32.743000000000002"/>
    <n v="3750"/>
    <n v="7.5"/>
  </r>
  <r>
    <x v="319"/>
    <s v="601398"/>
    <s v="工商银行"/>
    <n v="100"/>
    <n v="100"/>
    <n v="0.73699999999999999"/>
    <n v="440.28"/>
    <n v="597.39"/>
    <n v="514"/>
    <n v="5.14"/>
  </r>
  <r>
    <x v="319"/>
    <s v="003816"/>
    <s v="中国广核"/>
    <n v="500"/>
    <n v="500"/>
    <n v="2.4140000000000001"/>
    <n v="413"/>
    <n v="34.22"/>
    <n v="1620"/>
    <n v="3.24"/>
  </r>
  <r>
    <x v="319"/>
    <s v="002006"/>
    <s v="精功科技"/>
    <n v="100"/>
    <n v="100"/>
    <n v="1.53"/>
    <n v="401"/>
    <n v="262.08999999999997"/>
    <n v="554"/>
    <n v="5.54"/>
  </r>
  <r>
    <x v="319"/>
    <s v="688369"/>
    <s v="致远互联"/>
    <n v="1"/>
    <n v="1"/>
    <n v="-137.5"/>
    <n v="226.62"/>
    <n v="0"/>
    <n v="89.12"/>
    <n v="89.12"/>
  </r>
  <r>
    <x v="319"/>
    <s v="519888"/>
    <s v="添富快线"/>
    <n v="21914329"/>
    <n v="21914329"/>
    <n v="0.01"/>
    <n v="24.29"/>
    <n v="0"/>
    <n v="219143.29"/>
    <n v="0.01"/>
  </r>
  <r>
    <x v="319"/>
    <s v="127018"/>
    <s v="本钢转债"/>
    <n v="20"/>
    <n v="20"/>
    <n v="100"/>
    <n v="0"/>
    <n v="0"/>
    <n v="2000"/>
    <n v="100"/>
  </r>
  <r>
    <x v="319"/>
    <s v="600269"/>
    <s v="赣粤高速"/>
    <n v="3000"/>
    <n v="3000"/>
    <n v="4.577"/>
    <n v="-2181.6"/>
    <n v="-15.89"/>
    <n v="11550"/>
    <n v="3.85"/>
  </r>
  <r>
    <x v="319"/>
    <s v="000415"/>
    <s v="渤海租赁"/>
    <n v="5900"/>
    <n v="5900"/>
    <n v="5.274"/>
    <n v="-10463.73"/>
    <n v="-33.630000000000003"/>
    <n v="20650"/>
    <n v="3.5"/>
  </r>
  <r>
    <x v="319"/>
    <s v="002140"/>
    <s v="东华科技"/>
    <n v="12080"/>
    <n v="12080"/>
    <n v="8.3559999999999999"/>
    <n v="-11189.77"/>
    <n v="-11.09"/>
    <n v="89754.4"/>
    <n v="7.43"/>
  </r>
  <r>
    <x v="319"/>
    <s v="603116"/>
    <s v="红蜻蜓"/>
    <n v="5200"/>
    <n v="4800"/>
    <n v="11.541"/>
    <n v="-14253.23"/>
    <n v="-23.75"/>
    <n v="45760"/>
    <n v="8.8000000000000007"/>
  </r>
  <r>
    <x v="319"/>
    <s v="000402"/>
    <s v="金 融 街"/>
    <n v="20400"/>
    <n v="20000"/>
    <n v="8.5549999999999997"/>
    <n v="-23764.23"/>
    <n v="-13.62"/>
    <n v="150756"/>
    <n v="7.39"/>
  </r>
  <r>
    <x v="319"/>
    <s v="reserve"/>
    <s v="备用金"/>
    <m/>
    <m/>
    <m/>
    <m/>
    <m/>
    <n v="4904.42"/>
    <m/>
  </r>
  <r>
    <x v="320"/>
    <s v="519888"/>
    <s v="添富快线"/>
    <n v="17602086"/>
    <n v="17602086"/>
    <n v="0.01"/>
    <n v="51.86"/>
    <n v="0"/>
    <n v="176020.86"/>
    <n v="0.01"/>
  </r>
  <r>
    <x v="320"/>
    <s v="600269"/>
    <s v="赣粤高速"/>
    <n v="3500"/>
    <n v="3500"/>
    <n v="4.3079999999999998"/>
    <n v="-2581.64"/>
    <n v="-17.12"/>
    <n v="12495"/>
    <n v="3.57"/>
  </r>
  <r>
    <x v="320"/>
    <s v="601398"/>
    <s v="工商银行"/>
    <n v="100"/>
    <n v="100"/>
    <n v="0.73699999999999999"/>
    <n v="432.28"/>
    <n v="586.54"/>
    <n v="506"/>
    <n v="5.0599999999999996"/>
  </r>
  <r>
    <x v="320"/>
    <s v="601998"/>
    <s v="中信银行"/>
    <n v="4300"/>
    <n v="4300"/>
    <n v="3.9769999999999999"/>
    <n v="5345.11"/>
    <n v="31.26"/>
    <n v="22446"/>
    <n v="5.22"/>
  </r>
  <r>
    <x v="320"/>
    <s v="603116"/>
    <s v="红蜻蜓"/>
    <n v="4800"/>
    <n v="4800"/>
    <n v="11.683999999999999"/>
    <n v="-14177.67"/>
    <n v="-25.28"/>
    <n v="41904"/>
    <n v="8.73"/>
  </r>
  <r>
    <x v="320"/>
    <s v="688009"/>
    <s v="中国通号"/>
    <n v="500"/>
    <n v="500"/>
    <n v="5.65"/>
    <n v="490"/>
    <n v="17.344999999999999"/>
    <n v="3315"/>
    <n v="6.63"/>
  </r>
  <r>
    <x v="320"/>
    <s v="688369"/>
    <s v="致远互联"/>
    <n v="1"/>
    <n v="1"/>
    <n v="-137.5"/>
    <n v="214.64"/>
    <n v="0"/>
    <n v="77.14"/>
    <n v="77.14"/>
  </r>
  <r>
    <x v="320"/>
    <s v="SHRQ88"/>
    <s v="标准券"/>
    <n v="200000"/>
    <n v="200000"/>
    <n v="1"/>
    <n v="-8"/>
    <n v="0"/>
    <n v="200000"/>
    <n v="1"/>
  </r>
  <r>
    <x v="320"/>
    <s v="000402"/>
    <s v="金融街"/>
    <n v="22000"/>
    <n v="22000"/>
    <n v="8.4499999999999993"/>
    <n v="-33660.230000000003"/>
    <n v="-18.11"/>
    <n v="152240"/>
    <n v="6.92"/>
  </r>
  <r>
    <x v="320"/>
    <s v="000415"/>
    <s v="渤海租赁"/>
    <n v="7100"/>
    <n v="7100"/>
    <n v="4.9000000000000004"/>
    <n v="-14344.73"/>
    <n v="-41.23"/>
    <n v="20448"/>
    <n v="2.88"/>
  </r>
  <r>
    <x v="320"/>
    <s v="000528"/>
    <s v="柳工"/>
    <n v="100"/>
    <n v="100"/>
    <n v="-44.533999999999999"/>
    <n v="5187.43"/>
    <n v="0"/>
    <n v="734"/>
    <n v="7.34"/>
  </r>
  <r>
    <x v="320"/>
    <s v="000987"/>
    <s v="越秀金控"/>
    <n v="100"/>
    <n v="100"/>
    <n v="1"/>
    <n v="1989"/>
    <n v="1989"/>
    <n v="2089"/>
    <n v="20.89"/>
  </r>
  <r>
    <x v="320"/>
    <s v="002006"/>
    <s v="精功科技"/>
    <n v="100"/>
    <n v="100"/>
    <n v="1.53"/>
    <n v="352"/>
    <n v="230.07"/>
    <n v="505"/>
    <n v="5.05"/>
  </r>
  <r>
    <x v="320"/>
    <s v="002140"/>
    <s v="东华科技"/>
    <n v="12480"/>
    <n v="12480"/>
    <n v="8.3149999999999995"/>
    <n v="-15793.17"/>
    <n v="-15.22"/>
    <n v="87984"/>
    <n v="7.05"/>
  </r>
  <r>
    <x v="320"/>
    <s v="002945"/>
    <s v="华林证券"/>
    <n v="100"/>
    <n v="100"/>
    <n v="0.95"/>
    <n v="1486"/>
    <n v="1564.21"/>
    <n v="1581"/>
    <n v="15.81"/>
  </r>
  <r>
    <x v="320"/>
    <s v="003816"/>
    <s v="中国广核"/>
    <n v="500"/>
    <n v="500"/>
    <n v="2.4140000000000001"/>
    <n v="318"/>
    <n v="26.35"/>
    <n v="1525"/>
    <n v="3.05"/>
  </r>
  <r>
    <x v="320"/>
    <s v="127018"/>
    <s v="本钢转债"/>
    <n v="20"/>
    <n v="20"/>
    <n v="100"/>
    <n v="0"/>
    <n v="0"/>
    <n v="2000"/>
    <n v="100"/>
  </r>
  <r>
    <x v="320"/>
    <s v="300701"/>
    <s v="森霸传感"/>
    <n v="150"/>
    <n v="150"/>
    <n v="1"/>
    <n v="5416.5"/>
    <n v="3611"/>
    <n v="5566.5"/>
    <n v="37.11"/>
  </r>
  <r>
    <x v="320"/>
    <s v="300855"/>
    <s v="图南股份"/>
    <n v="500"/>
    <n v="0"/>
    <n v="10.51"/>
    <n v="0"/>
    <n v="0"/>
    <n v="5255"/>
    <n v="10.51"/>
  </r>
  <r>
    <x v="320"/>
    <s v="370207"/>
    <s v="欣旺发债"/>
    <n v="10"/>
    <n v="0"/>
    <n v="100"/>
    <n v="0"/>
    <n v="0"/>
    <n v="1000"/>
    <n v="100"/>
  </r>
  <r>
    <x v="320"/>
    <s v="reserve"/>
    <s v="备用金"/>
    <m/>
    <m/>
    <m/>
    <m/>
    <m/>
    <n v="1953.26"/>
    <m/>
  </r>
  <r>
    <x v="321"/>
    <s v="519888"/>
    <s v="添富快线"/>
    <n v="15603791"/>
    <n v="15603791"/>
    <n v="0.01"/>
    <n v="68.91"/>
    <n v="0"/>
    <n v="156037.91"/>
    <n v="0.01"/>
  </r>
  <r>
    <x v="321"/>
    <s v="600269"/>
    <s v="赣粤高速"/>
    <n v="3500"/>
    <n v="3500"/>
    <n v="4.3079999999999998"/>
    <n v="-2301.64"/>
    <n v="-15.26"/>
    <n v="12775"/>
    <n v="3.65"/>
  </r>
  <r>
    <x v="321"/>
    <s v="601398"/>
    <s v="工商银行"/>
    <n v="100"/>
    <n v="100"/>
    <n v="0.73699999999999999"/>
    <n v="439.28"/>
    <n v="596.04"/>
    <n v="513"/>
    <n v="5.13"/>
  </r>
  <r>
    <x v="321"/>
    <s v="601998"/>
    <s v="中信银行"/>
    <n v="3900"/>
    <n v="3900"/>
    <n v="3.8359999999999999"/>
    <n v="6021.92"/>
    <n v="40.25"/>
    <n v="20982"/>
    <n v="5.38"/>
  </r>
  <r>
    <x v="321"/>
    <s v="603116"/>
    <s v="红蜻蜓"/>
    <n v="5200"/>
    <n v="5200"/>
    <n v="11.425000000000001"/>
    <n v="-15728.22"/>
    <n v="-26.47"/>
    <n v="43680"/>
    <n v="8.4"/>
  </r>
  <r>
    <x v="321"/>
    <s v="688009"/>
    <s v="中国通号"/>
    <n v="500"/>
    <n v="500"/>
    <n v="5.65"/>
    <n v="580"/>
    <n v="20.530999999999999"/>
    <n v="3405"/>
    <n v="6.81"/>
  </r>
  <r>
    <x v="321"/>
    <s v="688369"/>
    <s v="致远互联"/>
    <n v="1"/>
    <n v="1"/>
    <n v="-137.5"/>
    <n v="216.69"/>
    <n v="0"/>
    <n v="79.19"/>
    <n v="79.19"/>
  </r>
  <r>
    <x v="321"/>
    <s v="000402"/>
    <s v="金融街"/>
    <n v="21200"/>
    <n v="21200"/>
    <n v="8.5"/>
    <n v="-28627.94"/>
    <n v="-15.89"/>
    <n v="151580"/>
    <n v="7.15"/>
  </r>
  <r>
    <x v="321"/>
    <s v="000415"/>
    <s v="渤海租赁"/>
    <n v="7100"/>
    <n v="7100"/>
    <n v="4.9000000000000004"/>
    <n v="-13918.73"/>
    <n v="-40.01"/>
    <n v="20874"/>
    <n v="2.94"/>
  </r>
  <r>
    <x v="321"/>
    <s v="002006"/>
    <s v="精功科技"/>
    <n v="100"/>
    <n v="100"/>
    <n v="1.53"/>
    <n v="382"/>
    <n v="249.67"/>
    <n v="535"/>
    <n v="5.35"/>
  </r>
  <r>
    <x v="321"/>
    <s v="002140"/>
    <s v="东华科技"/>
    <n v="11680"/>
    <n v="11680"/>
    <n v="8.3849999999999998"/>
    <n v="-11855.43"/>
    <n v="-12.11"/>
    <n v="86081.600000000006"/>
    <n v="7.37"/>
  </r>
  <r>
    <x v="321"/>
    <s v="002945"/>
    <s v="华林证券"/>
    <n v="100"/>
    <n v="100"/>
    <n v="0.95"/>
    <n v="1544"/>
    <n v="1625.26"/>
    <n v="1639"/>
    <n v="16.39"/>
  </r>
  <r>
    <x v="321"/>
    <s v="003816"/>
    <s v="中国广核"/>
    <n v="500"/>
    <n v="500"/>
    <n v="2.4140000000000001"/>
    <n v="358"/>
    <n v="29.66"/>
    <n v="1565"/>
    <n v="3.13"/>
  </r>
  <r>
    <x v="321"/>
    <s v="127018"/>
    <s v="本钢转债"/>
    <n v="20"/>
    <n v="20"/>
    <n v="100"/>
    <n v="0"/>
    <n v="0"/>
    <n v="2000"/>
    <n v="100"/>
  </r>
  <r>
    <x v="321"/>
    <s v="300701"/>
    <s v="森霸传感"/>
    <n v="150"/>
    <n v="150"/>
    <n v="1"/>
    <n v="5559"/>
    <n v="3706"/>
    <n v="5709"/>
    <n v="38.06"/>
  </r>
  <r>
    <x v="321"/>
    <s v="300855"/>
    <s v="图南股份"/>
    <n v="500"/>
    <n v="500"/>
    <n v="10.51"/>
    <n v="0"/>
    <n v="0"/>
    <n v="5255"/>
    <n v="10.51"/>
  </r>
  <r>
    <x v="321"/>
    <s v="370207"/>
    <s v="欣旺发债"/>
    <n v="10"/>
    <n v="0"/>
    <n v="100"/>
    <n v="0"/>
    <n v="0"/>
    <n v="1000"/>
    <n v="100"/>
  </r>
  <r>
    <x v="321"/>
    <s v="reserve"/>
    <s v="备用金"/>
    <m/>
    <m/>
    <m/>
    <m/>
    <m/>
    <n v="235228.23"/>
    <m/>
  </r>
  <r>
    <x v="322"/>
    <s v="519888"/>
    <s v="添富快线"/>
    <n v="15604254"/>
    <n v="15604254"/>
    <n v="0.01"/>
    <n v="73.540000000000006"/>
    <n v="0"/>
    <n v="156042.54"/>
    <n v="0.01"/>
  </r>
  <r>
    <x v="322"/>
    <s v="600269"/>
    <s v="赣粤高速"/>
    <n v="3500"/>
    <n v="3500"/>
    <n v="4.3079999999999998"/>
    <n v="-2301.64"/>
    <n v="-15.26"/>
    <n v="12775"/>
    <n v="3.65"/>
  </r>
  <r>
    <x v="322"/>
    <s v="601398"/>
    <s v="工商银行"/>
    <n v="100"/>
    <n v="100"/>
    <n v="0.73699999999999999"/>
    <n v="436.28"/>
    <n v="591.97"/>
    <n v="510"/>
    <n v="5.0999999999999996"/>
  </r>
  <r>
    <x v="322"/>
    <s v="601998"/>
    <s v="中信银行"/>
    <n v="3900"/>
    <n v="3900"/>
    <n v="3.8359999999999999"/>
    <n v="5865.92"/>
    <n v="39.21"/>
    <n v="20826"/>
    <n v="5.34"/>
  </r>
  <r>
    <x v="322"/>
    <s v="603116"/>
    <s v="红蜻蜓"/>
    <n v="5200"/>
    <n v="5200"/>
    <n v="11.414999999999999"/>
    <n v="-15209.74"/>
    <n v="-25.62"/>
    <n v="44148"/>
    <n v="8.49"/>
  </r>
  <r>
    <x v="322"/>
    <s v="688009"/>
    <s v="中国通号"/>
    <n v="500"/>
    <n v="500"/>
    <n v="5.65"/>
    <n v="575"/>
    <n v="20.353999999999999"/>
    <n v="3400"/>
    <n v="6.8"/>
  </r>
  <r>
    <x v="322"/>
    <s v="688369"/>
    <s v="致远互联"/>
    <n v="1"/>
    <n v="1"/>
    <n v="-137.5"/>
    <n v="215.74"/>
    <n v="0"/>
    <n v="78.239999999999995"/>
    <n v="78.239999999999995"/>
  </r>
  <r>
    <x v="322"/>
    <s v="000402"/>
    <s v="金融街"/>
    <n v="21200"/>
    <n v="21200"/>
    <n v="8.5"/>
    <n v="-30111.94"/>
    <n v="-16.71"/>
    <n v="150096"/>
    <n v="7.08"/>
  </r>
  <r>
    <x v="322"/>
    <s v="000415"/>
    <s v="渤海租赁"/>
    <n v="7100"/>
    <n v="7100"/>
    <n v="4.9000000000000004"/>
    <n v="-14060.73"/>
    <n v="-40.42"/>
    <n v="20732"/>
    <n v="2.92"/>
  </r>
  <r>
    <x v="322"/>
    <s v="002006"/>
    <s v="精功科技"/>
    <n v="100"/>
    <n v="100"/>
    <n v="1.53"/>
    <n v="383"/>
    <n v="250.33"/>
    <n v="536"/>
    <n v="5.36"/>
  </r>
  <r>
    <x v="322"/>
    <s v="002140"/>
    <s v="东华科技"/>
    <n v="12080"/>
    <n v="12080"/>
    <n v="8.3469999999999995"/>
    <n v="-12891.63"/>
    <n v="-12.79"/>
    <n v="87942.399999999994"/>
    <n v="7.28"/>
  </r>
  <r>
    <x v="322"/>
    <s v="002945"/>
    <s v="华林证券"/>
    <n v="100"/>
    <n v="100"/>
    <n v="0.95"/>
    <n v="1512"/>
    <n v="1591.58"/>
    <n v="1607"/>
    <n v="16.07"/>
  </r>
  <r>
    <x v="322"/>
    <s v="003816"/>
    <s v="中国广核"/>
    <n v="500"/>
    <n v="500"/>
    <n v="2.4140000000000001"/>
    <n v="348"/>
    <n v="28.83"/>
    <n v="1555"/>
    <n v="3.11"/>
  </r>
  <r>
    <x v="322"/>
    <s v="127018"/>
    <s v="本钢转债"/>
    <n v="20"/>
    <n v="20"/>
    <n v="100"/>
    <n v="0"/>
    <n v="0"/>
    <n v="2000"/>
    <n v="100"/>
  </r>
  <r>
    <x v="322"/>
    <s v="300701"/>
    <s v="森霸传感"/>
    <n v="150"/>
    <n v="150"/>
    <n v="1"/>
    <n v="5670"/>
    <n v="3780"/>
    <n v="5820"/>
    <n v="38.799999999999997"/>
  </r>
  <r>
    <x v="322"/>
    <s v="300855"/>
    <s v="图南股份"/>
    <n v="500"/>
    <n v="500"/>
    <n v="10.51"/>
    <n v="0"/>
    <n v="0"/>
    <n v="5255"/>
    <n v="10.51"/>
  </r>
  <r>
    <x v="322"/>
    <s v="370207"/>
    <s v="欣旺发债"/>
    <n v="10"/>
    <n v="0"/>
    <n v="100"/>
    <n v="0"/>
    <n v="0"/>
    <n v="1000"/>
    <n v="100"/>
  </r>
  <r>
    <x v="322"/>
    <s v="reserve"/>
    <s v="备用金"/>
    <m/>
    <m/>
    <m/>
    <m/>
    <m/>
    <n v="232364.15"/>
    <m/>
  </r>
  <r>
    <x v="323"/>
    <s v="519888"/>
    <s v="添富快线"/>
    <n v="13605882"/>
    <n v="13605882"/>
    <n v="0.01"/>
    <n v="89.82"/>
    <n v="0"/>
    <n v="136058.82"/>
    <n v="0.01"/>
  </r>
  <r>
    <x v="323"/>
    <s v="600269"/>
    <s v="赣粤高速"/>
    <n v="3500"/>
    <n v="3500"/>
    <n v="4.3079999999999998"/>
    <n v="-2651.64"/>
    <n v="-17.59"/>
    <n v="12425"/>
    <n v="3.55"/>
  </r>
  <r>
    <x v="323"/>
    <s v="601398"/>
    <s v="工商银行"/>
    <n v="100"/>
    <n v="100"/>
    <n v="0.73699999999999999"/>
    <n v="424.28"/>
    <n v="575.69000000000005"/>
    <n v="498"/>
    <n v="4.9800000000000004"/>
  </r>
  <r>
    <x v="323"/>
    <s v="601998"/>
    <s v="中信银行"/>
    <n v="4700"/>
    <n v="4700"/>
    <n v="4.0659999999999998"/>
    <n v="4953.84"/>
    <n v="25.92"/>
    <n v="24064"/>
    <n v="5.12"/>
  </r>
  <r>
    <x v="323"/>
    <s v="603116"/>
    <s v="红蜻蜓"/>
    <n v="6400"/>
    <n v="6400"/>
    <n v="10.78"/>
    <n v="-19008.939999999999"/>
    <n v="-27.55"/>
    <n v="49984"/>
    <n v="7.81"/>
  </r>
  <r>
    <x v="323"/>
    <s v="688009"/>
    <s v="中国通号"/>
    <n v="500"/>
    <n v="500"/>
    <n v="5.65"/>
    <n v="225"/>
    <n v="7.9649999999999999"/>
    <n v="3050"/>
    <n v="6.1"/>
  </r>
  <r>
    <x v="323"/>
    <s v="SHKCED"/>
    <s v="科创额度"/>
    <m/>
    <m/>
    <m/>
    <m/>
    <m/>
    <m/>
    <m/>
  </r>
  <r>
    <x v="323"/>
    <s v="688369"/>
    <s v="致远互联"/>
    <n v="1"/>
    <n v="1"/>
    <n v="-137.5"/>
    <n v="205.69"/>
    <n v="0"/>
    <n v="68.19"/>
    <n v="68.19"/>
  </r>
  <r>
    <x v="323"/>
    <s v="000402"/>
    <s v="金融街"/>
    <n v="24900"/>
    <n v="24900"/>
    <n v="8.2690000000000001"/>
    <n v="-36817.94"/>
    <n v="-17.88"/>
    <n v="169071"/>
    <n v="6.79"/>
  </r>
  <r>
    <x v="323"/>
    <s v="000415"/>
    <s v="渤海租赁"/>
    <n v="6700"/>
    <n v="6700"/>
    <n v="5.0060000000000002"/>
    <n v="-13237.99"/>
    <n v="-39.47"/>
    <n v="20301"/>
    <n v="3.03"/>
  </r>
  <r>
    <x v="323"/>
    <s v="002006"/>
    <s v="精功科技"/>
    <n v="100"/>
    <n v="100"/>
    <n v="1.53"/>
    <n v="356"/>
    <n v="232.68"/>
    <n v="509"/>
    <n v="5.09"/>
  </r>
  <r>
    <x v="323"/>
    <s v="002140"/>
    <s v="东华科技"/>
    <n v="13280"/>
    <n v="13280"/>
    <n v="8.2219999999999995"/>
    <n v="-18748.23"/>
    <n v="-17.170000000000002"/>
    <n v="90436.800000000003"/>
    <n v="6.81"/>
  </r>
  <r>
    <x v="323"/>
    <s v="002945"/>
    <s v="华林证券"/>
    <n v="100"/>
    <n v="100"/>
    <n v="0.95"/>
    <n v="1419"/>
    <n v="1493.68"/>
    <n v="1514"/>
    <n v="15.14"/>
  </r>
  <r>
    <x v="323"/>
    <s v="003816"/>
    <s v="中国广核"/>
    <n v="500"/>
    <n v="500"/>
    <n v="2.4140000000000001"/>
    <n v="308"/>
    <n v="25.52"/>
    <n v="1515"/>
    <n v="3.03"/>
  </r>
  <r>
    <x v="323"/>
    <s v="070060"/>
    <s v="中金发债"/>
    <n v="10"/>
    <n v="0"/>
    <n v="100"/>
    <n v="0"/>
    <n v="0"/>
    <n v="1000"/>
    <n v="100"/>
  </r>
  <r>
    <x v="323"/>
    <s v="123058"/>
    <s v="欣旺转债"/>
    <n v="10"/>
    <n v="10"/>
    <n v="100"/>
    <n v="0"/>
    <n v="0"/>
    <n v="1000"/>
    <n v="100"/>
  </r>
  <r>
    <x v="323"/>
    <s v="127018"/>
    <s v="本钢转债"/>
    <n v="20"/>
    <n v="20"/>
    <n v="100"/>
    <n v="0"/>
    <n v="0"/>
    <n v="2000"/>
    <n v="100"/>
  </r>
  <r>
    <x v="323"/>
    <s v="300701"/>
    <s v="森霸传感"/>
    <n v="150"/>
    <n v="150"/>
    <n v="1"/>
    <n v="5284.5"/>
    <n v="3523"/>
    <n v="5434.5"/>
    <n v="36.229999999999997"/>
  </r>
  <r>
    <x v="323"/>
    <s v="300855"/>
    <s v="图南股份"/>
    <n v="500"/>
    <n v="500"/>
    <n v="10.51"/>
    <n v="3065"/>
    <n v="58.33"/>
    <n v="8320"/>
    <n v="16.64"/>
  </r>
  <r>
    <x v="323"/>
    <s v="reserve"/>
    <s v="备用金"/>
    <m/>
    <m/>
    <m/>
    <m/>
    <m/>
    <n v="4800.6099999999997"/>
    <m/>
  </r>
  <r>
    <x v="324"/>
    <s v="300701"/>
    <s v="森霸传感"/>
    <n v="150"/>
    <n v="150"/>
    <n v="1"/>
    <n v="5430"/>
    <n v="3620"/>
    <n v="5580"/>
    <n v="37.200000000000003"/>
  </r>
  <r>
    <x v="324"/>
    <s v="601998"/>
    <s v="中信银行"/>
    <n v="4700"/>
    <n v="4700"/>
    <n v="4.0659999999999998"/>
    <n v="5000.84"/>
    <n v="26.167999999999999"/>
    <n v="24111"/>
    <n v="5.13"/>
  </r>
  <r>
    <x v="324"/>
    <s v="300855"/>
    <s v="图南股份"/>
    <n v="500"/>
    <n v="500"/>
    <n v="10.51"/>
    <n v="4810"/>
    <n v="91.531999999999996"/>
    <n v="10065"/>
    <n v="20.13"/>
  </r>
  <r>
    <x v="324"/>
    <s v="002945"/>
    <s v="华林证券"/>
    <n v="100"/>
    <n v="100"/>
    <n v="0.95"/>
    <n v="1449"/>
    <n v="1525.2629999999999"/>
    <n v="1544"/>
    <n v="15.44"/>
  </r>
  <r>
    <x v="324"/>
    <s v="601398"/>
    <s v="工商银行"/>
    <n v="100"/>
    <n v="100"/>
    <n v="0.73699999999999999"/>
    <n v="424.28"/>
    <n v="575.71199999999999"/>
    <n v="498"/>
    <n v="4.9800000000000004"/>
  </r>
  <r>
    <x v="324"/>
    <s v="002006"/>
    <s v="精功科技"/>
    <n v="100"/>
    <n v="100"/>
    <n v="1.53"/>
    <n v="356"/>
    <n v="232.68"/>
    <n v="509"/>
    <n v="5.09"/>
  </r>
  <r>
    <x v="324"/>
    <s v="003816"/>
    <s v="中国广核"/>
    <n v="500"/>
    <n v="500"/>
    <n v="2.4140000000000001"/>
    <n v="303"/>
    <n v="25.103999999999999"/>
    <n v="1510"/>
    <n v="3.02"/>
  </r>
  <r>
    <x v="324"/>
    <s v="688009"/>
    <s v="中国通号"/>
    <n v="500"/>
    <n v="500"/>
    <n v="5.65"/>
    <n v="280"/>
    <n v="9.9120000000000008"/>
    <n v="3105"/>
    <n v="6.21"/>
  </r>
  <r>
    <x v="324"/>
    <s v="688369"/>
    <s v="致远互联"/>
    <n v="1"/>
    <n v="1"/>
    <n v="-137.5"/>
    <n v="207.72"/>
    <n v="0"/>
    <n v="70.22"/>
    <n v="70.22"/>
  </r>
  <r>
    <x v="324"/>
    <s v="519888"/>
    <s v="添富快线"/>
    <n v="13007754"/>
    <n v="13007754"/>
    <n v="0.01"/>
    <n v="108.54"/>
    <n v="0"/>
    <n v="130077.54"/>
    <n v="0.01"/>
  </r>
  <r>
    <x v="324"/>
    <s v="SHKCED"/>
    <s v="科创额度"/>
    <n v="9500"/>
    <n v="9500"/>
    <n v="0"/>
    <n v="0"/>
    <n v="0"/>
    <n v="0"/>
    <n v="0"/>
  </r>
  <r>
    <x v="324"/>
    <s v="123058"/>
    <s v="欣旺转债"/>
    <n v="10"/>
    <n v="10"/>
    <n v="100"/>
    <n v="0"/>
    <n v="0"/>
    <n v="1000"/>
    <n v="100"/>
  </r>
  <r>
    <x v="324"/>
    <s v="127018"/>
    <s v="本钢转债"/>
    <n v="20"/>
    <n v="20"/>
    <n v="100"/>
    <n v="0"/>
    <n v="0"/>
    <n v="2000"/>
    <n v="100"/>
  </r>
  <r>
    <x v="324"/>
    <s v="127020"/>
    <s v="中金转债"/>
    <n v="10"/>
    <n v="10"/>
    <n v="100"/>
    <n v="0"/>
    <n v="0"/>
    <n v="1000"/>
    <n v="100"/>
  </r>
  <r>
    <x v="324"/>
    <s v="600269"/>
    <s v="赣粤高速"/>
    <n v="3500"/>
    <n v="3500"/>
    <n v="4.3079999999999998"/>
    <n v="-2721.64"/>
    <n v="-18.059000000000001"/>
    <n v="12355"/>
    <n v="3.53"/>
  </r>
  <r>
    <x v="324"/>
    <s v="000415"/>
    <s v="渤海租赁"/>
    <n v="6700"/>
    <n v="6700"/>
    <n v="5.0060000000000002"/>
    <n v="-13371.99"/>
    <n v="-39.872"/>
    <n v="20167"/>
    <n v="3.01"/>
  </r>
  <r>
    <x v="324"/>
    <s v="603116"/>
    <s v="红蜻蜓"/>
    <n v="6800"/>
    <n v="6800"/>
    <n v="10.597"/>
    <n v="-18678"/>
    <n v="-25.922000000000001"/>
    <n v="53380"/>
    <n v="7.85"/>
  </r>
  <r>
    <x v="324"/>
    <s v="002140"/>
    <s v="东华科技"/>
    <n v="13280"/>
    <n v="13280"/>
    <n v="8.2219999999999995"/>
    <n v="-18748.23"/>
    <n v="-17.172999999999998"/>
    <n v="90436.800000000003"/>
    <n v="6.81"/>
  </r>
  <r>
    <x v="324"/>
    <s v="000402"/>
    <s v="金融街"/>
    <n v="25300"/>
    <n v="25300"/>
    <n v="8.2439999999999998"/>
    <n v="-38549.94"/>
    <n v="-18.486000000000001"/>
    <n v="170016"/>
    <n v="6.72"/>
  </r>
  <r>
    <x v="324"/>
    <s v="reserve"/>
    <s v="备用金"/>
    <m/>
    <m/>
    <m/>
    <m/>
    <m/>
    <n v="5058.55"/>
    <m/>
  </r>
  <r>
    <x v="325"/>
    <s v="519888"/>
    <s v="添富快线"/>
    <n v="14389016"/>
    <n v="14389016"/>
    <n v="0.01"/>
    <n v="118.16"/>
    <n v="0"/>
    <n v="143890.16"/>
    <n v="0.01"/>
  </r>
  <r>
    <x v="325"/>
    <s v="600269"/>
    <s v="赣粤高速"/>
    <n v="3500"/>
    <n v="3500"/>
    <n v="4.3079999999999998"/>
    <n v="-2511.64"/>
    <n v="-16.66"/>
    <n v="12565"/>
    <n v="3.59"/>
  </r>
  <r>
    <x v="325"/>
    <s v="601398"/>
    <s v="工商银行"/>
    <n v="100"/>
    <n v="100"/>
    <n v="0.73699999999999999"/>
    <n v="424.28"/>
    <n v="575.69000000000005"/>
    <n v="498"/>
    <n v="4.9800000000000004"/>
  </r>
  <r>
    <x v="325"/>
    <s v="601998"/>
    <s v="中信银行"/>
    <n v="4700"/>
    <n v="4700"/>
    <n v="4.0659999999999998"/>
    <n v="5141.84"/>
    <n v="26.91"/>
    <n v="24252"/>
    <n v="5.16"/>
  </r>
  <r>
    <x v="325"/>
    <s v="603116"/>
    <s v="红蜻蜓"/>
    <n v="6400"/>
    <n v="6400"/>
    <n v="10.76"/>
    <n v="-18494.259999999998"/>
    <n v="-26.86"/>
    <n v="50368"/>
    <n v="7.87"/>
  </r>
  <r>
    <x v="325"/>
    <s v="688009"/>
    <s v="中国通号"/>
    <n v="500"/>
    <n v="500"/>
    <n v="5.65"/>
    <n v="305"/>
    <n v="10.795999999999999"/>
    <n v="3130"/>
    <n v="6.26"/>
  </r>
  <r>
    <x v="325"/>
    <s v="688369"/>
    <s v="致远互联"/>
    <n v="1"/>
    <n v="1"/>
    <n v="-137.5"/>
    <n v="208"/>
    <n v="0"/>
    <n v="70.5"/>
    <n v="70.5"/>
  </r>
  <r>
    <x v="325"/>
    <s v="000402"/>
    <s v="金融街"/>
    <n v="24900"/>
    <n v="24900"/>
    <n v="8.2669999999999995"/>
    <n v="-35027.67"/>
    <n v="-17.02"/>
    <n v="170814"/>
    <n v="6.86"/>
  </r>
  <r>
    <x v="325"/>
    <s v="000415"/>
    <s v="渤海租赁"/>
    <n v="6700"/>
    <n v="6700"/>
    <n v="5.0060000000000002"/>
    <n v="-13103.99"/>
    <n v="-39.07"/>
    <n v="20435"/>
    <n v="3.05"/>
  </r>
  <r>
    <x v="325"/>
    <s v="002006"/>
    <s v="精功科技"/>
    <n v="100"/>
    <n v="100"/>
    <n v="1.53"/>
    <n v="359"/>
    <n v="234.64"/>
    <n v="512"/>
    <n v="5.12"/>
  </r>
  <r>
    <x v="325"/>
    <s v="002140"/>
    <s v="东华科技"/>
    <n v="12880"/>
    <n v="12880"/>
    <n v="8.2569999999999997"/>
    <n v="-13874.47"/>
    <n v="-13.05"/>
    <n v="92478.399999999994"/>
    <n v="7.18"/>
  </r>
  <r>
    <x v="325"/>
    <s v="002945"/>
    <s v="华林证券"/>
    <n v="100"/>
    <n v="100"/>
    <n v="0.95"/>
    <n v="1452"/>
    <n v="1528.42"/>
    <n v="1547"/>
    <n v="15.47"/>
  </r>
  <r>
    <x v="325"/>
    <s v="003816"/>
    <s v="中国广核"/>
    <n v="500"/>
    <n v="500"/>
    <n v="2.4140000000000001"/>
    <n v="313"/>
    <n v="25.93"/>
    <n v="1520"/>
    <n v="3.04"/>
  </r>
  <r>
    <x v="325"/>
    <s v="123058"/>
    <s v="欣旺转债"/>
    <n v="10"/>
    <n v="10"/>
    <n v="100"/>
    <n v="0"/>
    <n v="0"/>
    <n v="1000"/>
    <n v="100"/>
  </r>
  <r>
    <x v="325"/>
    <s v="127018"/>
    <s v="本钢转债"/>
    <n v="20"/>
    <n v="20"/>
    <n v="100"/>
    <n v="0"/>
    <n v="0"/>
    <n v="2000"/>
    <n v="100"/>
  </r>
  <r>
    <x v="325"/>
    <s v="127020"/>
    <s v="中金转债"/>
    <n v="10"/>
    <n v="10"/>
    <n v="100"/>
    <n v="0"/>
    <n v="0"/>
    <n v="1000"/>
    <n v="100"/>
  </r>
  <r>
    <x v="325"/>
    <s v="300701"/>
    <s v="森霸传感"/>
    <n v="150"/>
    <n v="150"/>
    <n v="1"/>
    <n v="5775"/>
    <n v="3850"/>
    <n v="5925"/>
    <n v="39.5"/>
  </r>
  <r>
    <x v="325"/>
    <s v="300855"/>
    <s v="图南股份"/>
    <n v="500"/>
    <n v="500"/>
    <n v="10.51"/>
    <n v="6920"/>
    <n v="131.68"/>
    <n v="12175"/>
    <n v="24.35"/>
  </r>
  <r>
    <x v="325"/>
    <s v="reserve"/>
    <s v="备用金"/>
    <m/>
    <m/>
    <m/>
    <m/>
    <m/>
    <n v="0.52"/>
    <m/>
  </r>
  <r>
    <x v="326"/>
    <s v="519888"/>
    <s v="添富快线"/>
    <n v="13591045"/>
    <n v="13591045"/>
    <n v="0.01"/>
    <n v="138.44999999999999"/>
    <n v="0"/>
    <n v="135910.45000000001"/>
    <n v="0.01"/>
  </r>
  <r>
    <x v="326"/>
    <s v="600269"/>
    <s v="赣粤高速"/>
    <n v="3500"/>
    <n v="3500"/>
    <n v="4.3079999999999998"/>
    <n v="-2406.64"/>
    <n v="-15.96"/>
    <n v="12670"/>
    <n v="3.62"/>
  </r>
  <r>
    <x v="326"/>
    <s v="601398"/>
    <s v="工商银行"/>
    <n v="100"/>
    <n v="100"/>
    <n v="0.73699999999999999"/>
    <n v="424.28"/>
    <n v="575.69000000000005"/>
    <n v="498"/>
    <n v="4.9800000000000004"/>
  </r>
  <r>
    <x v="326"/>
    <s v="601998"/>
    <s v="中信银行"/>
    <n v="6200"/>
    <n v="6200"/>
    <n v="4.3360000000000003"/>
    <n v="5292.68"/>
    <n v="19.690000000000001"/>
    <n v="32178"/>
    <n v="5.19"/>
  </r>
  <r>
    <x v="326"/>
    <s v="603116"/>
    <s v="红蜻蜓"/>
    <n v="6000"/>
    <n v="6000"/>
    <n v="10.935"/>
    <n v="-17247.84"/>
    <n v="-26.29"/>
    <n v="48360"/>
    <n v="8.06"/>
  </r>
  <r>
    <x v="326"/>
    <s v="688009"/>
    <s v="中国通号"/>
    <n v="500"/>
    <n v="500"/>
    <n v="5.65"/>
    <n v="425"/>
    <n v="15.044"/>
    <n v="3250"/>
    <n v="6.5"/>
  </r>
  <r>
    <x v="326"/>
    <s v="688369"/>
    <s v="致远互联"/>
    <n v="1"/>
    <n v="1"/>
    <n v="-137.5"/>
    <n v="211.47"/>
    <n v="0"/>
    <n v="73.97"/>
    <n v="73.97"/>
  </r>
  <r>
    <x v="326"/>
    <s v="000402"/>
    <s v="金融街"/>
    <n v="24900"/>
    <n v="24900"/>
    <n v="8.2650000000000006"/>
    <n v="-32241.45"/>
    <n v="-15.67"/>
    <n v="173553"/>
    <n v="6.97"/>
  </r>
  <r>
    <x v="326"/>
    <s v="000415"/>
    <s v="渤海租赁"/>
    <n v="6700"/>
    <n v="6700"/>
    <n v="5.0060000000000002"/>
    <n v="-12768.99"/>
    <n v="-38.07"/>
    <n v="20770"/>
    <n v="3.1"/>
  </r>
  <r>
    <x v="326"/>
    <s v="002006"/>
    <s v="精功科技"/>
    <n v="100"/>
    <n v="100"/>
    <n v="1.53"/>
    <n v="385"/>
    <n v="251.63"/>
    <n v="538"/>
    <n v="5.38"/>
  </r>
  <r>
    <x v="326"/>
    <s v="002140"/>
    <s v="东华科技"/>
    <n v="12480"/>
    <n v="12480"/>
    <n v="8.2870000000000008"/>
    <n v="-11322.41"/>
    <n v="-10.95"/>
    <n v="92102.399999999994"/>
    <n v="7.38"/>
  </r>
  <r>
    <x v="326"/>
    <s v="002945"/>
    <s v="华林证券"/>
    <n v="100"/>
    <n v="100"/>
    <n v="0.95"/>
    <n v="1640"/>
    <n v="1726.32"/>
    <n v="1735"/>
    <n v="17.350000000000001"/>
  </r>
  <r>
    <x v="326"/>
    <s v="003816"/>
    <s v="中国广核"/>
    <n v="500"/>
    <n v="500"/>
    <n v="2.4140000000000001"/>
    <n v="333"/>
    <n v="27.59"/>
    <n v="1540"/>
    <n v="3.08"/>
  </r>
  <r>
    <x v="326"/>
    <s v="123058"/>
    <s v="欣旺转债"/>
    <n v="10"/>
    <n v="10"/>
    <n v="100"/>
    <n v="0"/>
    <n v="0"/>
    <n v="1000"/>
    <n v="100"/>
  </r>
  <r>
    <x v="326"/>
    <s v="127018"/>
    <s v="本钢转债"/>
    <n v="20"/>
    <n v="20"/>
    <n v="100"/>
    <n v="0"/>
    <n v="0"/>
    <n v="2000"/>
    <n v="100"/>
  </r>
  <r>
    <x v="326"/>
    <s v="127020"/>
    <s v="中金转债"/>
    <n v="10"/>
    <n v="10"/>
    <n v="100"/>
    <n v="0"/>
    <n v="0"/>
    <n v="1000"/>
    <n v="100"/>
  </r>
  <r>
    <x v="326"/>
    <s v="300701"/>
    <s v="森霸传感"/>
    <n v="150"/>
    <n v="150"/>
    <n v="1"/>
    <n v="6081"/>
    <n v="4054"/>
    <n v="6231"/>
    <n v="41.54"/>
  </r>
  <r>
    <x v="326"/>
    <s v="300855"/>
    <s v="图南股份"/>
    <n v="500"/>
    <n v="500"/>
    <n v="10.51"/>
    <n v="9480"/>
    <n v="180.4"/>
    <n v="14735"/>
    <n v="29.47"/>
  </r>
  <r>
    <x v="326"/>
    <s v="reserve"/>
    <s v="备用金"/>
    <m/>
    <m/>
    <m/>
    <m/>
    <m/>
    <n v="6451.06"/>
    <m/>
  </r>
  <r>
    <x v="327"/>
    <s v="300855"/>
    <s v="图南股份"/>
    <n v="500"/>
    <n v="500"/>
    <n v="10.51"/>
    <n v="18480"/>
    <n v="351.67"/>
    <n v="23735"/>
    <n v="47.47"/>
  </r>
  <r>
    <x v="327"/>
    <s v="300701"/>
    <s v="森霸传感"/>
    <n v="150"/>
    <n v="150"/>
    <n v="1"/>
    <n v="5862"/>
    <n v="3908"/>
    <n v="6012"/>
    <n v="40.08"/>
  </r>
  <r>
    <x v="327"/>
    <s v="601998"/>
    <s v="中信银行"/>
    <n v="5800"/>
    <n v="5800"/>
    <n v="4.274"/>
    <n v="5487.54"/>
    <n v="22.14"/>
    <n v="30276"/>
    <n v="5.22"/>
  </r>
  <r>
    <x v="327"/>
    <s v="002945"/>
    <s v="华林证券"/>
    <n v="100"/>
    <n v="100"/>
    <n v="0.95"/>
    <n v="1522"/>
    <n v="1602.11"/>
    <n v="1617"/>
    <n v="16.170000000000002"/>
  </r>
  <r>
    <x v="327"/>
    <s v="601398"/>
    <s v="工商银行"/>
    <n v="100"/>
    <n v="100"/>
    <n v="0.73699999999999999"/>
    <n v="425.28"/>
    <n v="577.04"/>
    <n v="499"/>
    <n v="4.99"/>
  </r>
  <r>
    <x v="327"/>
    <s v="002006"/>
    <s v="精功科技"/>
    <n v="100"/>
    <n v="100"/>
    <n v="1.53"/>
    <n v="395"/>
    <n v="258.17"/>
    <n v="548"/>
    <n v="5.48"/>
  </r>
  <r>
    <x v="327"/>
    <s v="688009"/>
    <s v="中国通号"/>
    <n v="500"/>
    <n v="500"/>
    <n v="5.65"/>
    <n v="340"/>
    <n v="12.04"/>
    <n v="3165"/>
    <n v="6.33"/>
  </r>
  <r>
    <x v="327"/>
    <s v="003816"/>
    <s v="中国广核"/>
    <n v="500"/>
    <n v="500"/>
    <n v="2.4140000000000001"/>
    <n v="323"/>
    <n v="26.76"/>
    <n v="1530"/>
    <n v="3.06"/>
  </r>
  <r>
    <x v="327"/>
    <s v="688369"/>
    <s v="致远互联"/>
    <n v="1"/>
    <n v="1"/>
    <n v="-137.5"/>
    <n v="213.45"/>
    <n v="0"/>
    <n v="75.95"/>
    <n v="75.95"/>
  </r>
  <r>
    <x v="327"/>
    <s v="519888"/>
    <s v="添富快线"/>
    <n v="14238177"/>
    <n v="12001477"/>
    <n v="0.01"/>
    <n v="158.65"/>
    <n v="0"/>
    <n v="142381.76999999999"/>
    <n v="0.01"/>
  </r>
  <r>
    <x v="327"/>
    <s v="127020"/>
    <s v="中金转债"/>
    <n v="10"/>
    <n v="10"/>
    <n v="100"/>
    <n v="0"/>
    <n v="0"/>
    <n v="1000"/>
    <n v="100"/>
  </r>
  <r>
    <x v="327"/>
    <s v="600269"/>
    <s v="赣粤高速"/>
    <n v="4000"/>
    <n v="4000"/>
    <n v="4.2149999999999999"/>
    <n v="-2541.6799999999998"/>
    <n v="-15.08"/>
    <n v="14320"/>
    <n v="3.58"/>
  </r>
  <r>
    <x v="327"/>
    <s v="002140"/>
    <s v="东华科技"/>
    <n v="11280"/>
    <n v="11280"/>
    <n v="8.3640000000000008"/>
    <n v="-7597.72"/>
    <n v="-8.0500000000000007"/>
    <n v="86743.2"/>
    <n v="7.69"/>
  </r>
  <r>
    <x v="327"/>
    <s v="000415"/>
    <s v="渤海租赁"/>
    <n v="6700"/>
    <n v="6700"/>
    <n v="5.0060000000000002"/>
    <n v="-13103.99"/>
    <n v="-39.07"/>
    <n v="20435"/>
    <n v="3.05"/>
  </r>
  <r>
    <x v="327"/>
    <s v="603116"/>
    <s v="红蜻蜓"/>
    <n v="7000"/>
    <n v="7000"/>
    <n v="10.505000000000001"/>
    <n v="-18586.259999999998"/>
    <n v="-25.28"/>
    <n v="54950"/>
    <n v="7.85"/>
  </r>
  <r>
    <x v="327"/>
    <s v="000402"/>
    <s v="金 融 街"/>
    <n v="25600"/>
    <n v="25600"/>
    <n v="8.2249999999999996"/>
    <n v="-33155.050000000003"/>
    <n v="-15.75"/>
    <n v="177408"/>
    <n v="6.93"/>
  </r>
  <r>
    <x v="327"/>
    <s v="reserve"/>
    <s v="备用金"/>
    <m/>
    <m/>
    <m/>
    <m/>
    <m/>
    <n v="0.67"/>
    <m/>
  </r>
  <r>
    <x v="328"/>
    <s v="519888"/>
    <s v="添富快线"/>
    <n v="15001139"/>
    <n v="15001139"/>
    <n v="0.01"/>
    <n v="186.27"/>
    <n v="0"/>
    <n v="150011.39000000001"/>
    <n v="0.01"/>
  </r>
  <r>
    <x v="328"/>
    <s v="600269"/>
    <s v="赣粤高速"/>
    <n v="4400"/>
    <n v="4400"/>
    <n v="4.1550000000000002"/>
    <n v="-2442.71"/>
    <n v="-13.36"/>
    <n v="15840"/>
    <n v="3.6"/>
  </r>
  <r>
    <x v="328"/>
    <s v="601398"/>
    <s v="工商银行"/>
    <n v="100"/>
    <n v="100"/>
    <n v="0.73699999999999999"/>
    <n v="428.28"/>
    <n v="581.11"/>
    <n v="502"/>
    <n v="5.0199999999999996"/>
  </r>
  <r>
    <x v="328"/>
    <s v="601998"/>
    <s v="中信银行"/>
    <n v="5800"/>
    <n v="5800"/>
    <n v="4.274"/>
    <n v="5835.54"/>
    <n v="23.54"/>
    <n v="30624"/>
    <n v="5.28"/>
  </r>
  <r>
    <x v="328"/>
    <s v="603116"/>
    <s v="红蜻蜓"/>
    <n v="8000"/>
    <n v="8000"/>
    <n v="10.143000000000001"/>
    <n v="-19864.61"/>
    <n v="-24.48"/>
    <n v="61280"/>
    <n v="7.66"/>
  </r>
  <r>
    <x v="328"/>
    <s v="688009"/>
    <s v="中国通号"/>
    <n v="500"/>
    <n v="500"/>
    <n v="5.65"/>
    <n v="285"/>
    <n v="10.09"/>
    <n v="3110"/>
    <n v="6.22"/>
  </r>
  <r>
    <x v="328"/>
    <s v="688369"/>
    <s v="致远互联"/>
    <n v="1"/>
    <n v="1"/>
    <n v="-137.5"/>
    <n v="210.55"/>
    <n v="0"/>
    <n v="73.05"/>
    <n v="73.05"/>
  </r>
  <r>
    <x v="328"/>
    <s v="000402"/>
    <s v="金融街"/>
    <n v="25700"/>
    <n v="25700"/>
    <n v="8.2170000000000005"/>
    <n v="-31544.84"/>
    <n v="-14.94"/>
    <n v="179643"/>
    <n v="6.99"/>
  </r>
  <r>
    <x v="328"/>
    <s v="000415"/>
    <s v="渤海租赁"/>
    <n v="6700"/>
    <n v="6700"/>
    <n v="5.0060000000000002"/>
    <n v="-13505.99"/>
    <n v="-40.270000000000003"/>
    <n v="20033"/>
    <n v="2.99"/>
  </r>
  <r>
    <x v="328"/>
    <s v="002006"/>
    <s v="精功科技"/>
    <n v="100"/>
    <n v="100"/>
    <n v="1.53"/>
    <n v="404"/>
    <n v="264.05"/>
    <n v="557"/>
    <n v="5.57"/>
  </r>
  <r>
    <x v="328"/>
    <s v="002140"/>
    <s v="东华科技"/>
    <n v="12080"/>
    <n v="11680"/>
    <n v="8.3070000000000004"/>
    <n v="-8539.9699999999993"/>
    <n v="-8.51"/>
    <n v="91808"/>
    <n v="7.6"/>
  </r>
  <r>
    <x v="328"/>
    <s v="002945"/>
    <s v="华林证券"/>
    <n v="100"/>
    <n v="100"/>
    <n v="0.95"/>
    <n v="1505"/>
    <n v="1584.21"/>
    <n v="1600"/>
    <n v="16"/>
  </r>
  <r>
    <x v="328"/>
    <s v="003816"/>
    <s v="中国广核"/>
    <n v="500"/>
    <n v="500"/>
    <n v="2.4140000000000001"/>
    <n v="313"/>
    <n v="25.93"/>
    <n v="1520"/>
    <n v="3.04"/>
  </r>
  <r>
    <x v="328"/>
    <s v="127020"/>
    <s v="中金转债"/>
    <n v="0"/>
    <n v="0"/>
    <n v="0"/>
    <n v="94"/>
    <n v="0"/>
    <n v="0"/>
    <n v="113.2"/>
  </r>
  <r>
    <x v="328"/>
    <s v="300701"/>
    <s v="森霸传感"/>
    <n v="150"/>
    <n v="150"/>
    <n v="1"/>
    <n v="5628"/>
    <n v="3752"/>
    <n v="5778"/>
    <n v="38.520000000000003"/>
  </r>
  <r>
    <x v="328"/>
    <s v="reserve"/>
    <s v="备用金"/>
    <m/>
    <m/>
    <m/>
    <m/>
    <m/>
    <n v="5770.05"/>
    <m/>
  </r>
  <r>
    <x v="329"/>
    <s v="519888"/>
    <s v="添富快线"/>
    <n v="15001691"/>
    <n v="15001691"/>
    <n v="0.01"/>
    <n v="191.79"/>
    <n v="0"/>
    <n v="150016.91"/>
    <n v="0.01"/>
  </r>
  <r>
    <x v="329"/>
    <s v="600269"/>
    <s v="赣粤高速"/>
    <n v="4000"/>
    <n v="4000"/>
    <n v="4.2080000000000002"/>
    <n v="-2273.19"/>
    <n v="-13.51"/>
    <n v="14560"/>
    <n v="3.64"/>
  </r>
  <r>
    <x v="329"/>
    <s v="601398"/>
    <s v="工商银行"/>
    <n v="100"/>
    <n v="100"/>
    <n v="0.73699999999999999"/>
    <n v="435.28"/>
    <n v="590.61"/>
    <n v="509"/>
    <n v="5.09"/>
  </r>
  <r>
    <x v="329"/>
    <s v="601998"/>
    <s v="中信银行"/>
    <n v="5400"/>
    <n v="5400"/>
    <n v="4.1909999999999998"/>
    <n v="6798.34"/>
    <n v="30.04"/>
    <n v="29430"/>
    <n v="5.45"/>
  </r>
  <r>
    <x v="329"/>
    <s v="603116"/>
    <s v="红蜻蜓"/>
    <n v="9000"/>
    <n v="8000"/>
    <n v="9.8810000000000002"/>
    <n v="-18909.77"/>
    <n v="-21.26"/>
    <n v="70020"/>
    <n v="7.78"/>
  </r>
  <r>
    <x v="329"/>
    <s v="688009"/>
    <s v="中国通号"/>
    <n v="500"/>
    <n v="500"/>
    <n v="5.65"/>
    <n v="320"/>
    <n v="11.33"/>
    <n v="3145"/>
    <n v="6.29"/>
  </r>
  <r>
    <x v="329"/>
    <s v="688369"/>
    <s v="致远互联"/>
    <n v="1"/>
    <n v="1"/>
    <n v="-137.5"/>
    <n v="211.25"/>
    <n v="0"/>
    <n v="73.75"/>
    <n v="73.75"/>
  </r>
  <r>
    <x v="329"/>
    <s v="000402"/>
    <s v="金 融 街"/>
    <n v="24900"/>
    <n v="24900"/>
    <n v="8.2539999999999996"/>
    <n v="-28990.51"/>
    <n v="-14.11"/>
    <n v="176541"/>
    <n v="7.09"/>
  </r>
  <r>
    <x v="329"/>
    <s v="000415"/>
    <s v="渤海租赁"/>
    <n v="6700"/>
    <n v="6700"/>
    <n v="5.0060000000000002"/>
    <n v="-13103.99"/>
    <n v="-39.07"/>
    <n v="20435"/>
    <n v="3.05"/>
  </r>
  <r>
    <x v="329"/>
    <s v="002006"/>
    <s v="精功科技"/>
    <n v="100"/>
    <n v="100"/>
    <n v="1.53"/>
    <n v="419"/>
    <n v="273.86"/>
    <n v="572"/>
    <n v="5.72"/>
  </r>
  <r>
    <x v="329"/>
    <s v="002140"/>
    <s v="东华科技"/>
    <n v="11280"/>
    <n v="11280"/>
    <n v="8.35"/>
    <n v="-6320.96"/>
    <n v="-6.71"/>
    <n v="87871.2"/>
    <n v="7.79"/>
  </r>
  <r>
    <x v="329"/>
    <s v="002945"/>
    <s v="华林证券"/>
    <n v="100"/>
    <n v="100"/>
    <n v="0.95"/>
    <n v="1554"/>
    <n v="1635.79"/>
    <n v="1649"/>
    <n v="16.489999999999998"/>
  </r>
  <r>
    <x v="329"/>
    <s v="003816"/>
    <s v="中国广核"/>
    <n v="500"/>
    <n v="500"/>
    <n v="2.4140000000000001"/>
    <n v="328"/>
    <n v="27.17"/>
    <n v="1535"/>
    <n v="3.07"/>
  </r>
  <r>
    <x v="329"/>
    <s v="300701"/>
    <s v="森霸传感"/>
    <n v="150"/>
    <n v="150"/>
    <n v="1"/>
    <n v="5820"/>
    <n v="3880"/>
    <n v="5970"/>
    <n v="39.799999999999997"/>
  </r>
  <r>
    <x v="329"/>
    <s v="reserve"/>
    <s v="备用金"/>
    <m/>
    <m/>
    <m/>
    <m/>
    <m/>
    <n v="13403.35"/>
    <m/>
  </r>
  <r>
    <x v="33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1" applyNumberFormats="0" applyBorderFormats="0" applyFontFormats="0" applyPatternFormats="0" applyAlignmentFormats="0" applyWidthHeightFormats="1" dataCaption="值" updatedVersion="6" minRefreshableVersion="3" useAutoFormatting="1" createdVersion="3" indent="0" outline="1" outlineData="1" multipleFieldFilters="0">
  <location ref="A1:B333" firstHeaderRow="1" firstDataRow="1" firstDataCol="1"/>
  <pivotFields count="10">
    <pivotField axis="axisRow" showAll="0">
      <items count="337">
        <item x="0"/>
        <item x="1"/>
        <item x="2"/>
        <item x="3"/>
        <item x="4"/>
        <item x="5"/>
        <item x="6"/>
        <item x="7"/>
        <item x="8"/>
        <item x="330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m="1" x="33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m="1" x="331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m="1" x="333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m="1" x="334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m="1" x="332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0"/>
  </rowFields>
  <rowItems count="3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 t="grand">
      <x/>
    </i>
  </rowItems>
  <colItems count="1">
    <i/>
  </colItems>
  <dataFields count="1">
    <dataField name="当日浮动盈亏" fld="6" showDataAs="difference" baseField="0" baseItem="1048828"/>
  </dataFields>
  <formats count="4">
    <format dxfId="361">
      <pivotArea dataOnly="0" labelOnly="1" outline="0" fieldPosition="0"/>
    </format>
    <format dxfId="360">
      <pivotArea field="0" type="button" dataOnly="0" labelOnly="1" outline="0" fieldPosition="0"/>
    </format>
    <format dxfId="359">
      <pivotArea dataOnly="0" labelOnly="1" outline="0" fieldPosition="0"/>
    </format>
    <format dxfId="358">
      <pivotArea dataOnly="0" labelOnly="1" outline="0" fieldPosition="0"/>
    </format>
  </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1" name="表5" displayName="表5" ref="A1:AD116" totalsRowShown="0">
  <autoFilter ref="A1:AD116"/>
  <tableColumns count="30">
    <tableColumn id="1" name="日期" dataDxfId="354"/>
    <tableColumn id="2" name="交易备注" dataDxfId="353"/>
    <tableColumn id="3" name="方向" dataDxfId="352"/>
    <tableColumn id="4" name="买卖数量" dataDxfId="351"/>
    <tableColumn id="5" name="市价" dataDxfId="350"/>
    <tableColumn id="6" name="证券余额" dataDxfId="349"/>
    <tableColumn id="7" name=" 持仓成本价" dataDxfId="348"/>
    <tableColumn id="8" name="资金占用" dataDxfId="347"/>
    <tableColumn id="9" name="浮动盈亏" dataDxfId="346"/>
    <tableColumn id="10" name="盈亏比例" dataDxfId="345"/>
    <tableColumn id="11" name="市值" dataDxfId="344"/>
    <tableColumn id="12" name="Δ浮动盈亏" dataDxfId="343"/>
    <tableColumn id="13" name="佣金" dataDxfId="342"/>
    <tableColumn id="14" name="印花税" dataDxfId="341"/>
    <tableColumn id="15" name="资金占用修正" dataDxfId="340"/>
    <tableColumn id="16" name="市价-成本" dataDxfId="339"/>
    <tableColumn id="17" name="资金变动" dataDxfId="338"/>
    <tableColumn id="18" name="场外资金修正" dataDxfId="337"/>
    <tableColumn id="19" name="场外资金" dataDxfId="336"/>
    <tableColumn id="20" name="影子证券" dataDxfId="335"/>
    <tableColumn id="21" name="虚拟证券总额" dataDxfId="334"/>
    <tableColumn id="22" name="投入资金总额" dataDxfId="333"/>
    <tableColumn id="23" name="虚拟证券成本价格" dataDxfId="332"/>
    <tableColumn id="24" name="虚拟成本-持仓成本" dataDxfId="331"/>
    <tableColumn id="25" name="市价-虚拟成本" dataDxfId="330"/>
    <tableColumn id="26" name="水位" dataDxfId="329"/>
    <tableColumn id="27" name="可分配利润" dataDxfId="328"/>
    <tableColumn id="28" name="提取利润" dataDxfId="327"/>
    <tableColumn id="29" name="零成本持股数" dataDxfId="326"/>
    <tableColumn id="30" name="购买量控制线" dataDxfId="325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表3_5724" displayName="表3_5724" ref="A1:AD45" totalsRowShown="0" dataDxfId="322">
  <autoFilter ref="A1:AD45"/>
  <tableColumns count="30">
    <tableColumn id="1" name="日期" dataDxfId="321"/>
    <tableColumn id="2" name="备注" dataDxfId="320" dataCellStyle="着色 4"/>
    <tableColumn id="3" name="方向" dataDxfId="319"/>
    <tableColumn id="4" name="买卖数量" dataDxfId="318"/>
    <tableColumn id="5" name="市价" dataDxfId="317"/>
    <tableColumn id="6" name="证券余额" dataDxfId="316"/>
    <tableColumn id="7" name=" 持仓成本价" dataDxfId="315"/>
    <tableColumn id="8" name="资金占用" dataDxfId="314"/>
    <tableColumn id="9" name="浮动盈亏" dataDxfId="313">
      <calculatedColumnFormula>-H2+K2</calculatedColumnFormula>
    </tableColumn>
    <tableColumn id="10" name="盈亏比例" dataDxfId="312">
      <calculatedColumnFormula>(E2-G2)/G2</calculatedColumnFormula>
    </tableColumn>
    <tableColumn id="11" name="市值" dataDxfId="311">
      <calculatedColumnFormula>F2*E2</calculatedColumnFormula>
    </tableColumn>
    <tableColumn id="12" name="Δ浮动盈亏" dataDxfId="310">
      <calculatedColumnFormula>I2-I1</calculatedColumnFormula>
    </tableColumn>
    <tableColumn id="13" name="未平多" dataDxfId="309">
      <calculatedColumnFormula>Uncovered(0)</calculatedColumnFormula>
    </tableColumn>
    <tableColumn id="14" name="未平空" dataDxfId="308">
      <calculatedColumnFormula>Uncovered(1)</calculatedColumnFormula>
    </tableColumn>
    <tableColumn id="15" name="已平多" dataDxfId="307">
      <calculatedColumnFormula>Covered(0)</calculatedColumnFormula>
    </tableColumn>
    <tableColumn id="16" name="已平空" dataDxfId="306">
      <calculatedColumnFormula>Covered(1)</calculatedColumnFormula>
    </tableColumn>
    <tableColumn id="17" name="资金变动" dataDxfId="305">
      <calculatedColumnFormula>(H2-H1)*-1</calculatedColumnFormula>
    </tableColumn>
    <tableColumn id="18" name="佣金" dataDxfId="304" dataCellStyle="百分比">
      <calculatedColumnFormula>commission($B$2,C2,D2,E2)</calculatedColumnFormula>
    </tableColumn>
    <tableColumn id="19" name="资金占用修正" dataDxfId="303" dataCellStyle="百分比"/>
    <tableColumn id="20" name="影子证券" dataDxfId="302" dataCellStyle="百分比"/>
    <tableColumn id="21" name="虚拟证券总额" dataDxfId="301" dataCellStyle="百分比"/>
    <tableColumn id="22" name="投入资金总额" dataDxfId="300"/>
    <tableColumn id="23" name="虚拟证券成本价格" dataDxfId="299"/>
    <tableColumn id="24" name="虚拟成本-持仓成本" dataDxfId="298"/>
    <tableColumn id="25" name="市价-虚拟成本" dataDxfId="297"/>
    <tableColumn id="26" name="水位" dataDxfId="296" dataCellStyle="百分比">
      <calculatedColumnFormula>F2/U2</calculatedColumnFormula>
    </tableColumn>
    <tableColumn id="27" name="可分配利润" dataDxfId="295"/>
    <tableColumn id="28" name="提取利润" dataDxfId="294"/>
    <tableColumn id="29" name="零成本持股数" dataDxfId="293">
      <calculatedColumnFormula>I2/E2*(1-0.0005)</calculatedColumnFormula>
    </tableColumn>
    <tableColumn id="30" name="购买量控制线" dataDxfId="292">
      <calculatedColumnFormula>AC2-F2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5" name="表3_5726" displayName="表3_5726" ref="A1:AD553" totalsRowShown="0" dataDxfId="290">
  <autoFilter ref="A1:AD553"/>
  <tableColumns count="30">
    <tableColumn id="1" name="日期" dataDxfId="289"/>
    <tableColumn id="2" name="备注" dataDxfId="288"/>
    <tableColumn id="3" name="方向" dataDxfId="287"/>
    <tableColumn id="4" name="买卖数量" dataDxfId="286"/>
    <tableColumn id="5" name="市价" dataDxfId="285"/>
    <tableColumn id="6" name="证券余额" dataDxfId="284"/>
    <tableColumn id="7" name=" 持仓成本价" dataDxfId="283"/>
    <tableColumn id="8" name="资金占用" dataDxfId="282"/>
    <tableColumn id="9" name="浮动盈亏" dataDxfId="281">
      <calculatedColumnFormula>-H2+K2</calculatedColumnFormula>
    </tableColumn>
    <tableColumn id="10" name="盈亏比例" dataDxfId="280">
      <calculatedColumnFormula>(E2-G2)/G2</calculatedColumnFormula>
    </tableColumn>
    <tableColumn id="11" name="市值" dataDxfId="279">
      <calculatedColumnFormula>F2*E2</calculatedColumnFormula>
    </tableColumn>
    <tableColumn id="12" name="Δ浮动盈亏" dataDxfId="278">
      <calculatedColumnFormula>I2-I1</calculatedColumnFormula>
    </tableColumn>
    <tableColumn id="13" name="未平多" dataDxfId="277">
      <calculatedColumnFormula>Uncovered(0)</calculatedColumnFormula>
    </tableColumn>
    <tableColumn id="14" name="未平空" dataDxfId="276"/>
    <tableColumn id="15" name="已平多" dataDxfId="275">
      <calculatedColumnFormula>Covered(0)</calculatedColumnFormula>
    </tableColumn>
    <tableColumn id="16" name="已平空" dataDxfId="274"/>
    <tableColumn id="17" name="资金变动" dataDxfId="273">
      <calculatedColumnFormula>(H2-H1)*-1</calculatedColumnFormula>
    </tableColumn>
    <tableColumn id="18" name="佣金" dataDxfId="272" dataCellStyle="百分比">
      <calculatedColumnFormula>commission($B$2,C2,D2,E2)</calculatedColumnFormula>
    </tableColumn>
    <tableColumn id="19" name="资金占用修正" dataDxfId="271" dataCellStyle="百分比"/>
    <tableColumn id="20" name="影子证券" dataDxfId="270" dataCellStyle="百分比"/>
    <tableColumn id="21" name="虚拟证券总额" dataDxfId="269" dataCellStyle="百分比"/>
    <tableColumn id="22" name="投入资金总额" dataDxfId="268"/>
    <tableColumn id="23" name="虚拟证券成本价格" dataDxfId="267"/>
    <tableColumn id="24" name="虚拟成本-持仓成本" dataDxfId="266"/>
    <tableColumn id="25" name="市价-虚拟成本" dataDxfId="265"/>
    <tableColumn id="26" name="水位" dataDxfId="264" dataCellStyle="百分比">
      <calculatedColumnFormula>F2/U2</calculatedColumnFormula>
    </tableColumn>
    <tableColumn id="27" name="可分配利润" dataDxfId="263"/>
    <tableColumn id="28" name="提取利润" dataDxfId="262"/>
    <tableColumn id="29" name="零成本持股数" dataDxfId="261">
      <calculatedColumnFormula>I2/E2*(1-0.0005)</calculatedColumnFormula>
    </tableColumn>
    <tableColumn id="30" name="购买量控制线" dataDxfId="260">
      <calculatedColumnFormula>AC2-F2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6" name="表3_5727" displayName="表3_5727" ref="A1:AD187" totalsRowShown="0" dataDxfId="258">
  <autoFilter ref="A1:AD187"/>
  <tableColumns count="30">
    <tableColumn id="1" name="日期" dataDxfId="257"/>
    <tableColumn id="2" name="备注" dataDxfId="256"/>
    <tableColumn id="3" name="方向" dataDxfId="255"/>
    <tableColumn id="4" name="买卖数量" dataDxfId="254"/>
    <tableColumn id="5" name="市价" dataDxfId="253"/>
    <tableColumn id="6" name="证券余额" dataDxfId="252"/>
    <tableColumn id="7" name=" 持仓成本价" dataDxfId="251"/>
    <tableColumn id="8" name="资金占用" dataDxfId="250"/>
    <tableColumn id="9" name="浮动盈亏" dataDxfId="249">
      <calculatedColumnFormula>-H2+K2</calculatedColumnFormula>
    </tableColumn>
    <tableColumn id="10" name="盈亏比例" dataDxfId="248">
      <calculatedColumnFormula>(E2-G2)/G2</calculatedColumnFormula>
    </tableColumn>
    <tableColumn id="11" name="市值" dataDxfId="247">
      <calculatedColumnFormula>F2*E2</calculatedColumnFormula>
    </tableColumn>
    <tableColumn id="12" name="Δ浮动盈亏" dataDxfId="246">
      <calculatedColumnFormula>I2-I1</calculatedColumnFormula>
    </tableColumn>
    <tableColumn id="13" name="未平多" dataDxfId="245">
      <calculatedColumnFormula>Uncovered(0)</calculatedColumnFormula>
    </tableColumn>
    <tableColumn id="14" name="未平空" dataDxfId="0"/>
    <tableColumn id="15" name="已平多" dataDxfId="244">
      <calculatedColumnFormula>Covered(0)</calculatedColumnFormula>
    </tableColumn>
    <tableColumn id="16" name="已平空" dataDxfId="243"/>
    <tableColumn id="17" name="资金变动" dataDxfId="242">
      <calculatedColumnFormula>(H2-H1)*-1</calculatedColumnFormula>
    </tableColumn>
    <tableColumn id="18" name="佣金" dataDxfId="241" dataCellStyle="百分比">
      <calculatedColumnFormula>commission($B$2,C2,D2,E2)</calculatedColumnFormula>
    </tableColumn>
    <tableColumn id="19" name="资金占用修正" dataDxfId="240" dataCellStyle="百分比"/>
    <tableColumn id="20" name="影子证券" dataDxfId="239" dataCellStyle="百分比"/>
    <tableColumn id="21" name="虚拟证券总额" dataDxfId="238" dataCellStyle="百分比"/>
    <tableColumn id="22" name="投入资金总额" dataDxfId="237"/>
    <tableColumn id="23" name="虚拟证券成本价格" dataDxfId="236"/>
    <tableColumn id="24" name="虚拟成本-持仓成本" dataDxfId="235"/>
    <tableColumn id="25" name="市价-虚拟成本" dataDxfId="234"/>
    <tableColumn id="26" name="水位" dataDxfId="233" dataCellStyle="百分比">
      <calculatedColumnFormula>F2/U2</calculatedColumnFormula>
    </tableColumn>
    <tableColumn id="27" name="可分配利润" dataDxfId="232"/>
    <tableColumn id="28" name="提取利润" dataDxfId="231"/>
    <tableColumn id="29" name="零成本持股数" dataDxfId="230">
      <calculatedColumnFormula>I2/E2*(1-0.0005)</calculatedColumnFormula>
    </tableColumn>
    <tableColumn id="30" name="购买量控制线" dataDxfId="229">
      <calculatedColumnFormula>AC2-F2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6" name="表3_57217" displayName="表3_57217" ref="A1:AD162" totalsRowShown="0" dataDxfId="227">
  <autoFilter ref="A1:AD162"/>
  <tableColumns count="30">
    <tableColumn id="1" name="日期" dataDxfId="226"/>
    <tableColumn id="2" name="备注" dataDxfId="225"/>
    <tableColumn id="3" name="方向" dataDxfId="224"/>
    <tableColumn id="4" name="买卖数量" dataDxfId="223"/>
    <tableColumn id="5" name="市价" dataDxfId="222"/>
    <tableColumn id="6" name="证券余额" dataDxfId="221"/>
    <tableColumn id="7" name=" 持仓成本价" dataDxfId="220"/>
    <tableColumn id="8" name="资金占用" dataDxfId="219"/>
    <tableColumn id="9" name="浮动盈亏" dataDxfId="218">
      <calculatedColumnFormula>-H2+K2</calculatedColumnFormula>
    </tableColumn>
    <tableColumn id="10" name="盈亏比例" dataDxfId="217">
      <calculatedColumnFormula>(E2-G2)/G2</calculatedColumnFormula>
    </tableColumn>
    <tableColumn id="11" name="市值" dataDxfId="216">
      <calculatedColumnFormula>F2*E2</calculatedColumnFormula>
    </tableColumn>
    <tableColumn id="12" name="Δ浮动盈亏" dataDxfId="215">
      <calculatedColumnFormula>I2-I1</calculatedColumnFormula>
    </tableColumn>
    <tableColumn id="13" name="未平多" dataDxfId="214">
      <calculatedColumnFormula>Uncovered(0)</calculatedColumnFormula>
    </tableColumn>
    <tableColumn id="14" name="未平空" dataDxfId="213"/>
    <tableColumn id="15" name="已平多" dataDxfId="212">
      <calculatedColumnFormula>Covered(0)</calculatedColumnFormula>
    </tableColumn>
    <tableColumn id="16" name="已平空" dataDxfId="211"/>
    <tableColumn id="17" name="资金变动" dataDxfId="210">
      <calculatedColumnFormula>(H2-H1)*-1</calculatedColumnFormula>
    </tableColumn>
    <tableColumn id="18" name="佣金" dataDxfId="209" dataCellStyle="百分比">
      <calculatedColumnFormula>commission($B$2,C2,D2,E2)</calculatedColumnFormula>
    </tableColumn>
    <tableColumn id="19" name="资金占用修正" dataDxfId="208" dataCellStyle="百分比"/>
    <tableColumn id="20" name="影子证券" dataDxfId="207" dataCellStyle="百分比"/>
    <tableColumn id="21" name="虚拟证券总额" dataDxfId="206" dataCellStyle="百分比"/>
    <tableColumn id="22" name="投入资金总额" dataDxfId="205"/>
    <tableColumn id="23" name="虚拟证券成本价格" dataDxfId="204"/>
    <tableColumn id="24" name="虚拟成本-持仓成本" dataDxfId="203"/>
    <tableColumn id="25" name="市价-虚拟成本" dataDxfId="202"/>
    <tableColumn id="26" name="水位" dataDxfId="201" dataCellStyle="百分比">
      <calculatedColumnFormula>F2/U2</calculatedColumnFormula>
    </tableColumn>
    <tableColumn id="27" name="可分配利润" dataDxfId="200"/>
    <tableColumn id="28" name="提取利润" dataDxfId="199"/>
    <tableColumn id="29" name="零成本持股数" dataDxfId="198">
      <calculatedColumnFormula>I2/E2*(1-0.0005)</calculatedColumnFormula>
    </tableColumn>
    <tableColumn id="30" name="购买量控制线" dataDxfId="197">
      <calculatedColumnFormula>AC2-F2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5" name="表3_57216" displayName="表3_57216" ref="A1:AD253" totalsRowShown="0" dataDxfId="195">
  <autoFilter ref="A1:AD253"/>
  <tableColumns count="30">
    <tableColumn id="1" name="日期" dataDxfId="194"/>
    <tableColumn id="2" name="备注" dataDxfId="193"/>
    <tableColumn id="3" name="方向" dataDxfId="192"/>
    <tableColumn id="4" name="买卖数量" dataDxfId="191"/>
    <tableColumn id="5" name="市价" dataDxfId="190"/>
    <tableColumn id="6" name="证券余额" dataDxfId="189"/>
    <tableColumn id="7" name=" 持仓成本价" dataDxfId="188"/>
    <tableColumn id="8" name="资金占用" dataDxfId="187"/>
    <tableColumn id="9" name="浮动盈亏" dataDxfId="186">
      <calculatedColumnFormula>-H2+K2</calculatedColumnFormula>
    </tableColumn>
    <tableColumn id="10" name="盈亏比例" dataDxfId="185">
      <calculatedColumnFormula>(E2-G2)/G2</calculatedColumnFormula>
    </tableColumn>
    <tableColumn id="11" name="市值" dataDxfId="184">
      <calculatedColumnFormula>F2*E2</calculatedColumnFormula>
    </tableColumn>
    <tableColumn id="12" name="Δ浮动盈亏" dataDxfId="183">
      <calculatedColumnFormula>I2-I1</calculatedColumnFormula>
    </tableColumn>
    <tableColumn id="13" name="未平多" dataDxfId="182">
      <calculatedColumnFormula>Uncovered(0)</calculatedColumnFormula>
    </tableColumn>
    <tableColumn id="14" name="未平空" dataDxfId="181"/>
    <tableColumn id="15" name="已平多" dataDxfId="180">
      <calculatedColumnFormula>Covered(0)</calculatedColumnFormula>
    </tableColumn>
    <tableColumn id="16" name="已平空" dataDxfId="179"/>
    <tableColumn id="17" name="资金变动" dataDxfId="178">
      <calculatedColumnFormula>(H2-H1)*-1</calculatedColumnFormula>
    </tableColumn>
    <tableColumn id="18" name="佣金" dataDxfId="177" dataCellStyle="百分比">
      <calculatedColumnFormula>commission($B$2,C2,D2,E2)</calculatedColumnFormula>
    </tableColumn>
    <tableColumn id="19" name="资金占用修正" dataDxfId="176" dataCellStyle="百分比"/>
    <tableColumn id="20" name="影子证券" dataDxfId="175" dataCellStyle="百分比"/>
    <tableColumn id="21" name="虚拟证券总额" dataDxfId="174" dataCellStyle="百分比"/>
    <tableColumn id="22" name="投入资金总额" dataDxfId="173"/>
    <tableColumn id="23" name="虚拟证券成本价格" dataDxfId="172"/>
    <tableColumn id="24" name="虚拟成本-持仓成本" dataDxfId="171"/>
    <tableColumn id="25" name="市价-虚拟成本" dataDxfId="170"/>
    <tableColumn id="26" name="水位" dataDxfId="169" dataCellStyle="百分比">
      <calculatedColumnFormula>F2/U2</calculatedColumnFormula>
    </tableColumn>
    <tableColumn id="27" name="可分配利润" dataDxfId="168"/>
    <tableColumn id="28" name="提取利润" dataDxfId="167"/>
    <tableColumn id="29" name="零成本持股数" dataDxfId="166">
      <calculatedColumnFormula>I2/E2*(1-0.0005)</calculatedColumnFormula>
    </tableColumn>
    <tableColumn id="30" name="购买量控制线" dataDxfId="165">
      <calculatedColumnFormula>AC2-F2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" name="表3_572" displayName="表3_572" ref="A1:AD109" totalsRowShown="0" dataDxfId="163">
  <autoFilter ref="A1:AD109"/>
  <tableColumns count="30">
    <tableColumn id="1" name="日期" dataDxfId="162"/>
    <tableColumn id="2" name="备注" dataDxfId="161"/>
    <tableColumn id="3" name="方向" dataDxfId="160"/>
    <tableColumn id="4" name="买卖数量" dataDxfId="159"/>
    <tableColumn id="5" name="市价" dataDxfId="158"/>
    <tableColumn id="6" name="证券余额" dataDxfId="157"/>
    <tableColumn id="7" name=" 持仓成本价" dataDxfId="156"/>
    <tableColumn id="8" name="资金占用" dataDxfId="155"/>
    <tableColumn id="9" name="浮动盈亏" dataDxfId="154">
      <calculatedColumnFormula>-H2+K2</calculatedColumnFormula>
    </tableColumn>
    <tableColumn id="10" name="盈亏比例" dataDxfId="153">
      <calculatedColumnFormula>(E2-G2)/G2</calculatedColumnFormula>
    </tableColumn>
    <tableColumn id="11" name="市值" dataDxfId="152">
      <calculatedColumnFormula>F2*E2</calculatedColumnFormula>
    </tableColumn>
    <tableColumn id="12" name="Δ浮动盈亏" dataDxfId="151">
      <calculatedColumnFormula>I2-I1</calculatedColumnFormula>
    </tableColumn>
    <tableColumn id="13" name="未平多" dataDxfId="150">
      <calculatedColumnFormula>Uncovered(0)</calculatedColumnFormula>
    </tableColumn>
    <tableColumn id="14" name="未平空" dataDxfId="149"/>
    <tableColumn id="15" name="已平多" dataDxfId="148">
      <calculatedColumnFormula>Covered(0)</calculatedColumnFormula>
    </tableColumn>
    <tableColumn id="16" name="已平空" dataDxfId="147"/>
    <tableColumn id="17" name="资金变动" dataDxfId="146">
      <calculatedColumnFormula>(H2-H1)*-1</calculatedColumnFormula>
    </tableColumn>
    <tableColumn id="18" name="佣金" dataDxfId="145" dataCellStyle="百分比">
      <calculatedColumnFormula>commission($B$2,C2,D2,E2)</calculatedColumnFormula>
    </tableColumn>
    <tableColumn id="19" name="资金占用修正" dataDxfId="144" dataCellStyle="百分比"/>
    <tableColumn id="20" name="影子证券" dataDxfId="143" dataCellStyle="百分比"/>
    <tableColumn id="21" name="虚拟证券总额" dataDxfId="142" dataCellStyle="百分比"/>
    <tableColumn id="22" name="投入资金总额" dataDxfId="141"/>
    <tableColumn id="23" name="虚拟证券成本价格" dataDxfId="140"/>
    <tableColumn id="24" name="虚拟成本-持仓成本" dataDxfId="139"/>
    <tableColumn id="25" name="市价-虚拟成本" dataDxfId="138"/>
    <tableColumn id="26" name="水位" dataDxfId="137" dataCellStyle="百分比">
      <calculatedColumnFormula>F2/U2</calculatedColumnFormula>
    </tableColumn>
    <tableColumn id="27" name="可分配利润" dataDxfId="136"/>
    <tableColumn id="28" name="提取利润" dataDxfId="135"/>
    <tableColumn id="29" name="零成本持股数" dataDxfId="134">
      <calculatedColumnFormula>I2/E2*(1-0.0005)</calculatedColumnFormula>
    </tableColumn>
    <tableColumn id="30" name="购买量控制线" dataDxfId="133">
      <calculatedColumnFormula>AC2-F2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10" name="表3_91011" displayName="表3_91011" ref="A1:AD42" totalsRowShown="0">
  <autoFilter ref="A1:AD42"/>
  <tableColumns count="30">
    <tableColumn id="1" name="日期" dataDxfId="131"/>
    <tableColumn id="2" name="备注" dataDxfId="130"/>
    <tableColumn id="3" name="方向" dataDxfId="129"/>
    <tableColumn id="4" name="买卖数量" dataDxfId="128"/>
    <tableColumn id="5" name="市价" dataDxfId="127"/>
    <tableColumn id="6" name="证券余额" dataDxfId="126"/>
    <tableColumn id="7" name=" 持仓成本价" dataDxfId="125"/>
    <tableColumn id="8" name="资金占用" dataDxfId="124"/>
    <tableColumn id="9" name="浮动盈亏" dataDxfId="123">
      <calculatedColumnFormula>-H2+K2</calculatedColumnFormula>
    </tableColumn>
    <tableColumn id="10" name="盈亏比例" dataDxfId="122">
      <calculatedColumnFormula>(E2-G2)/G2</calculatedColumnFormula>
    </tableColumn>
    <tableColumn id="11" name="市值" dataDxfId="121">
      <calculatedColumnFormula>F2*E2</calculatedColumnFormula>
    </tableColumn>
    <tableColumn id="12" name="Δ浮动盈亏" dataDxfId="120">
      <calculatedColumnFormula>I2-I1</calculatedColumnFormula>
    </tableColumn>
    <tableColumn id="13" name="佣金" dataDxfId="119">
      <calculatedColumnFormula>IF(D2*E2*2.5/10000&gt;5,D2*E2*2.5/10000,5)</calculatedColumnFormula>
    </tableColumn>
    <tableColumn id="14" name="印花税" dataDxfId="118">
      <calculatedColumnFormula>IF(C2="卖",D2*E2/1000,0)</calculatedColumnFormula>
    </tableColumn>
    <tableColumn id="15" name="资金占用修正" dataDxfId="117"/>
    <tableColumn id="16" name="市价-成本" dataDxfId="116">
      <calculatedColumnFormula>E2-G2</calculatedColumnFormula>
    </tableColumn>
    <tableColumn id="17" name="资金变动" dataDxfId="115">
      <calculatedColumnFormula>(H2-H1)*-1</calculatedColumnFormula>
    </tableColumn>
    <tableColumn id="18" name="场外资金修正" dataDxfId="114"/>
    <tableColumn id="19" name="场外资金" dataDxfId="113">
      <calculatedColumnFormula>S1+Q2+O2+R2</calculatedColumnFormula>
    </tableColumn>
    <tableColumn id="20" name="影子证券" dataDxfId="112">
      <calculatedColumnFormula>S2/E2</calculatedColumnFormula>
    </tableColumn>
    <tableColumn id="21" name="虚拟证券总额" dataDxfId="111">
      <calculatedColumnFormula>F2+T2</calculatedColumnFormula>
    </tableColumn>
    <tableColumn id="22" name="投入资金总额" dataDxfId="110">
      <calculatedColumnFormula>H2+S2</calculatedColumnFormula>
    </tableColumn>
    <tableColumn id="23" name="虚拟证券成本价格" dataDxfId="109">
      <calculatedColumnFormula>V2/U2</calculatedColumnFormula>
    </tableColumn>
    <tableColumn id="24" name="虚拟成本-持仓成本" dataDxfId="108">
      <calculatedColumnFormula>W2-G2</calculatedColumnFormula>
    </tableColumn>
    <tableColumn id="25" name="市价-虚拟成本" dataDxfId="107">
      <calculatedColumnFormula>(X2-P2)*-1</calculatedColumnFormula>
    </tableColumn>
    <tableColumn id="26" name="水位" dataDxfId="106">
      <calculatedColumnFormula>F2/U2</calculatedColumnFormula>
    </tableColumn>
    <tableColumn id="27" name="可分配利润" dataDxfId="105">
      <calculatedColumnFormula>SUM(L$2:L2)-SUM(AB$2:AB2)</calculatedColumnFormula>
    </tableColumn>
    <tableColumn id="28" name="提取利润" dataDxfId="104"/>
    <tableColumn id="29" name="零成本持股数" dataDxfId="103">
      <calculatedColumnFormula>I2/E2*(1-0.0005)</calculatedColumnFormula>
    </tableColumn>
    <tableColumn id="30" name="购买量控制线" dataDxfId="102">
      <calculatedColumnFormula>AC2-F2</calculatedColumnFormula>
    </tableColumn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9" name="表2_5" displayName="表2_5" ref="A1:AD119" totalsRowShown="0" headerRowDxfId="98" dataDxfId="96" headerRowBorderDxfId="97">
  <autoFilter ref="A1:AD119"/>
  <tableColumns count="30">
    <tableColumn id="1" name="日期" dataDxfId="95"/>
    <tableColumn id="2" name="交易备注" dataDxfId="94"/>
    <tableColumn id="3" name="方向" dataDxfId="93"/>
    <tableColumn id="4" name="买卖数量" dataDxfId="92"/>
    <tableColumn id="5" name="市价" dataDxfId="91"/>
    <tableColumn id="6" name="证券余额" dataDxfId="90"/>
    <tableColumn id="7" name=" 持仓成本价" dataDxfId="89"/>
    <tableColumn id="8" name="资金占用" dataDxfId="88"/>
    <tableColumn id="9" name="浮动盈亏" dataDxfId="87"/>
    <tableColumn id="10" name="盈亏比例" dataDxfId="86"/>
    <tableColumn id="11" name="市值" dataDxfId="85"/>
    <tableColumn id="12" name="Δ浮动盈亏" dataDxfId="84"/>
    <tableColumn id="13" name="佣金" dataDxfId="83"/>
    <tableColumn id="14" name="印花税" dataDxfId="82"/>
    <tableColumn id="15" name="资金占用修正" dataDxfId="81"/>
    <tableColumn id="16" name="市价-成本" dataDxfId="80"/>
    <tableColumn id="17" name="资金变动" dataDxfId="79"/>
    <tableColumn id="18" name="场外资金修正" dataDxfId="78" dataCellStyle="百分比"/>
    <tableColumn id="19" name="场外资金" dataDxfId="77" dataCellStyle="百分比"/>
    <tableColumn id="20" name="影子证券" dataDxfId="76" dataCellStyle="百分比"/>
    <tableColumn id="21" name="虚拟证券总额" dataDxfId="75" dataCellStyle="百分比"/>
    <tableColumn id="22" name="投入资金总额" dataDxfId="74"/>
    <tableColumn id="23" name="虚拟证券成本价格" dataDxfId="73"/>
    <tableColumn id="24" name="虚拟成本-持仓成本" dataDxfId="72"/>
    <tableColumn id="25" name="市价-虚拟成本" dataDxfId="71"/>
    <tableColumn id="26" name="水位" dataDxfId="70" dataCellStyle="百分比"/>
    <tableColumn id="27" name="可分配利润" dataDxfId="69"/>
    <tableColumn id="28" name="提取利润" dataDxfId="68"/>
    <tableColumn id="29" name="零成本持股数" dataDxfId="67"/>
    <tableColumn id="30" name="购买量控制线" dataDxfId="66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4" name="表4" displayName="表4" ref="A1:AD455" totalsRowShown="0">
  <autoFilter ref="A1:AD455"/>
  <tableColumns count="30">
    <tableColumn id="1" name="日期" dataDxfId="61"/>
    <tableColumn id="2" name="交易备注" dataDxfId="60"/>
    <tableColumn id="3" name="方向" dataDxfId="59"/>
    <tableColumn id="4" name="买卖数量" dataDxfId="58"/>
    <tableColumn id="5" name="市价" dataDxfId="57"/>
    <tableColumn id="6" name="证券余额" dataDxfId="56"/>
    <tableColumn id="7" name=" 持仓成本价" dataDxfId="55">
      <calculatedColumnFormula>H2/F2</calculatedColumnFormula>
    </tableColumn>
    <tableColumn id="8" name="资金占用" dataDxfId="54">
      <calculatedColumnFormula>IF(C2="买",H1+D2*E2+M2+N2,H1+-1*D2*E2+M2+N2)+O1</calculatedColumnFormula>
    </tableColumn>
    <tableColumn id="9" name="浮动盈亏" dataDxfId="53">
      <calculatedColumnFormula>-H2+K2</calculatedColumnFormula>
    </tableColumn>
    <tableColumn id="10" name="盈亏比例" dataDxfId="52">
      <calculatedColumnFormula>(E2-G2)/G2</calculatedColumnFormula>
    </tableColumn>
    <tableColumn id="11" name="市值" dataDxfId="51">
      <calculatedColumnFormula>F2*E2</calculatedColumnFormula>
    </tableColumn>
    <tableColumn id="12" name="Δ浮动盈亏" dataDxfId="50">
      <calculatedColumnFormula>I2-I1</calculatedColumnFormula>
    </tableColumn>
    <tableColumn id="13" name="佣金" dataDxfId="49">
      <calculatedColumnFormula>IF(D2*E2*2.5/10000&gt;5,D2*E2*2.5/10000,5)</calculatedColumnFormula>
    </tableColumn>
    <tableColumn id="14" name="印花税" dataDxfId="48">
      <calculatedColumnFormula>IF(C2="卖",D2*E2/1000,0)</calculatedColumnFormula>
    </tableColumn>
    <tableColumn id="15" name="资金占用修正" dataDxfId="47"/>
    <tableColumn id="16" name="市价-成本" dataDxfId="46">
      <calculatedColumnFormula>E2-G2</calculatedColumnFormula>
    </tableColumn>
    <tableColumn id="17" name="资金变动" dataDxfId="45">
      <calculatedColumnFormula>(H2-H1)*-1</calculatedColumnFormula>
    </tableColumn>
    <tableColumn id="18" name="场外资金修正" dataDxfId="44"/>
    <tableColumn id="19" name="场外资金" dataDxfId="43">
      <calculatedColumnFormula>S1+Q2+O2+R2</calculatedColumnFormula>
    </tableColumn>
    <tableColumn id="20" name="影子证券" dataDxfId="42">
      <calculatedColumnFormula>S2/E2</calculatedColumnFormula>
    </tableColumn>
    <tableColumn id="21" name="虚拟证券总额" dataDxfId="41">
      <calculatedColumnFormula>F2+T2</calculatedColumnFormula>
    </tableColumn>
    <tableColumn id="22" name="投入资金总额" dataDxfId="40">
      <calculatedColumnFormula>H2+S2</calculatedColumnFormula>
    </tableColumn>
    <tableColumn id="23" name="虚拟证券成本价格" dataDxfId="39">
      <calculatedColumnFormula>V2/U2</calculatedColumnFormula>
    </tableColumn>
    <tableColumn id="24" name="虚拟成本-持仓成本" dataDxfId="38">
      <calculatedColumnFormula>W2-G2</calculatedColumnFormula>
    </tableColumn>
    <tableColumn id="25" name="市价-虚拟成本" dataDxfId="37">
      <calculatedColumnFormula>(X2-P2)*-1</calculatedColumnFormula>
    </tableColumn>
    <tableColumn id="26" name="水位" dataDxfId="36">
      <calculatedColumnFormula>F2/U2</calculatedColumnFormula>
    </tableColumn>
    <tableColumn id="27" name="可分配利润" dataDxfId="35">
      <calculatedColumnFormula>SUM(L$2:L2)-SUM(AB$2:AB2)</calculatedColumnFormula>
    </tableColumn>
    <tableColumn id="28" name="提取利润" dataDxfId="34"/>
    <tableColumn id="29" name="零成本持股数" dataDxfId="33">
      <calculatedColumnFormula>I2/E2*(1-0.0005)</calculatedColumnFormula>
    </tableColumn>
    <tableColumn id="30" name="购买量控制线" dataDxfId="32">
      <calculatedColumnFormula>AC2-F2</calculatedColumnFormula>
    </tableColumn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7" name="表7" displayName="表7" ref="A1:AD730" totalsRowShown="0">
  <autoFilter ref="A1:AD730"/>
  <tableColumns count="30">
    <tableColumn id="1" name="日期"/>
    <tableColumn id="2" name="交易备注" dataDxfId="29"/>
    <tableColumn id="3" name="方向" dataDxfId="28"/>
    <tableColumn id="4" name="买卖数量" dataDxfId="27"/>
    <tableColumn id="5" name="市价" dataDxfId="26">
      <calculatedColumnFormula>E1+0.21</calculatedColumnFormula>
    </tableColumn>
    <tableColumn id="6" name="证券余额" dataDxfId="25">
      <calculatedColumnFormula>IF(C2="买",F1+D2,F1-D2)</calculatedColumnFormula>
    </tableColumn>
    <tableColumn id="7" name=" 持仓成本价" dataDxfId="24">
      <calculatedColumnFormula>H2/F2</calculatedColumnFormula>
    </tableColumn>
    <tableColumn id="8" name="资金占用" dataDxfId="23">
      <calculatedColumnFormula>IF(C2="买",H1+D2*E2+M2+N2,H1+-1*D2*E2+M2+N2)+O1</calculatedColumnFormula>
    </tableColumn>
    <tableColumn id="9" name="浮动盈亏" dataDxfId="22">
      <calculatedColumnFormula>-H2+K2</calculatedColumnFormula>
    </tableColumn>
    <tableColumn id="10" name="盈亏比例" dataDxfId="21">
      <calculatedColumnFormula>(E2-G2)/G2</calculatedColumnFormula>
    </tableColumn>
    <tableColumn id="11" name="市值" dataDxfId="20">
      <calculatedColumnFormula>F2*E2</calculatedColumnFormula>
    </tableColumn>
    <tableColumn id="12" name="Δ浮动盈亏" dataDxfId="19">
      <calculatedColumnFormula>I2-I1</calculatedColumnFormula>
    </tableColumn>
    <tableColumn id="13" name="佣金" dataDxfId="18">
      <calculatedColumnFormula>IF(D2*E2*2.5/10000&gt;5,D2*E2*2.5/10000,5)</calculatedColumnFormula>
    </tableColumn>
    <tableColumn id="14" name="印花税" dataDxfId="17">
      <calculatedColumnFormula>IF(C2="卖",D2*E2/1000,0)</calculatedColumnFormula>
    </tableColumn>
    <tableColumn id="15" name="资金占用修正" dataDxfId="16"/>
    <tableColumn id="16" name="市价-成本" dataDxfId="15">
      <calculatedColumnFormula>E2-G2</calculatedColumnFormula>
    </tableColumn>
    <tableColumn id="17" name="资金变动" dataDxfId="14">
      <calculatedColumnFormula>(H2-H1)*-1</calculatedColumnFormula>
    </tableColumn>
    <tableColumn id="18" name="场外资金修正" dataDxfId="13"/>
    <tableColumn id="19" name="场外资金" dataDxfId="12">
      <calculatedColumnFormula>S1+Q2+O2+R2</calculatedColumnFormula>
    </tableColumn>
    <tableColumn id="20" name="影子证券" dataDxfId="11">
      <calculatedColumnFormula>S2/E2</calculatedColumnFormula>
    </tableColumn>
    <tableColumn id="21" name="虚拟证券总额" dataDxfId="10">
      <calculatedColumnFormula>F2+T2</calculatedColumnFormula>
    </tableColumn>
    <tableColumn id="22" name="价格成本弹性" dataDxfId="9">
      <calculatedColumnFormula>H2+S2-SUM(AB2:AB$15)</calculatedColumnFormula>
    </tableColumn>
    <tableColumn id="23" name="浮盈资金进出弹性" dataDxfId="8">
      <calculatedColumnFormula>V2/U2</calculatedColumnFormula>
    </tableColumn>
    <tableColumn id="24" name="虚拟成本-持仓成本" dataDxfId="7">
      <calculatedColumnFormula>W2-G2</calculatedColumnFormula>
    </tableColumn>
    <tableColumn id="25" name="市价-虚拟成本" dataDxfId="6">
      <calculatedColumnFormula>(X2-P2)*-1</calculatedColumnFormula>
    </tableColumn>
    <tableColumn id="26" name="水位" dataDxfId="5">
      <calculatedColumnFormula>F2/U2</calculatedColumnFormula>
    </tableColumn>
    <tableColumn id="27" name="可分配利润" dataDxfId="4">
      <calculatedColumnFormula>SUM(L$2:L2)-SUM(AB$2:AB2)</calculatedColumnFormula>
    </tableColumn>
    <tableColumn id="28" name="提取利润" dataDxfId="3"/>
    <tableColumn id="29" name="零成本持股数" dataDxfId="2">
      <calculatedColumnFormula>I2/E2*(1-0.0005)</calculatedColumnFormula>
    </tableColumn>
    <tableColumn id="30" name="购买量控制线" dataDxfId="1">
      <calculatedColumnFormula>AC2-F2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DB333"/>
  <sheetViews>
    <sheetView workbookViewId="0">
      <pane ySplit="1" topLeftCell="A317" activePane="bottomLeft" state="frozen"/>
      <selection pane="bottomLeft" activeCell="B26" sqref="B26"/>
    </sheetView>
  </sheetViews>
  <sheetFormatPr defaultColWidth="9" defaultRowHeight="14.4" x14ac:dyDescent="0.25"/>
  <cols>
    <col min="1" max="1" width="11.6640625" customWidth="1"/>
    <col min="2" max="2" width="14.6640625" customWidth="1"/>
    <col min="6" max="9" width="11.6640625" customWidth="1"/>
    <col min="10" max="10" width="12.109375" customWidth="1"/>
    <col min="11" max="11" width="13" customWidth="1"/>
    <col min="12" max="12" width="11.44140625" customWidth="1"/>
    <col min="13" max="13" width="9.44140625" style="198" customWidth="1"/>
    <col min="14" max="14" width="10.44140625" style="198" customWidth="1"/>
    <col min="15" max="15" width="9.44140625" style="199" customWidth="1"/>
    <col min="16" max="16" width="10.44140625" style="198" customWidth="1"/>
    <col min="17" max="17" width="11.6640625" style="200" customWidth="1"/>
    <col min="18" max="18" width="15.21875" style="1" customWidth="1"/>
    <col min="19" max="19" width="11.6640625" customWidth="1"/>
    <col min="20" max="20" width="12.44140625" customWidth="1"/>
    <col min="21" max="21" width="14.6640625" customWidth="1"/>
    <col min="22" max="22" width="13.77734375" customWidth="1"/>
    <col min="23" max="23" width="13.6640625" customWidth="1"/>
    <col min="24" max="24" width="11.6640625" customWidth="1"/>
    <col min="27" max="27" width="8.88671875" style="201"/>
    <col min="39" max="39" width="13.6640625" customWidth="1"/>
    <col min="42" max="42" width="10.109375" customWidth="1"/>
    <col min="47" max="47" width="13.88671875" customWidth="1"/>
    <col min="49" max="49" width="7.88671875" customWidth="1"/>
    <col min="52" max="52" width="8" customWidth="1"/>
    <col min="66" max="66" width="12.88671875" customWidth="1"/>
    <col min="67" max="67" width="13.88671875" customWidth="1"/>
  </cols>
  <sheetData>
    <row r="1" spans="1:106" s="197" customFormat="1" ht="72" x14ac:dyDescent="0.25">
      <c r="A1" s="269" t="s">
        <v>0</v>
      </c>
      <c r="B1" t="s">
        <v>1</v>
      </c>
      <c r="C1" s="202" t="s">
        <v>2</v>
      </c>
      <c r="F1" s="203" t="s">
        <v>3</v>
      </c>
      <c r="G1" s="204" t="s">
        <v>4</v>
      </c>
      <c r="H1" s="204" t="s">
        <v>5</v>
      </c>
      <c r="I1" s="204" t="s">
        <v>6</v>
      </c>
      <c r="J1" s="214" t="s">
        <v>7</v>
      </c>
      <c r="K1" s="204" t="s">
        <v>8</v>
      </c>
      <c r="L1" s="204" t="s">
        <v>9</v>
      </c>
      <c r="M1" s="215" t="s">
        <v>10</v>
      </c>
      <c r="N1" s="215" t="s">
        <v>11</v>
      </c>
      <c r="O1" s="216" t="s">
        <v>12</v>
      </c>
      <c r="P1" s="204" t="s">
        <v>13</v>
      </c>
      <c r="Q1" s="228" t="s">
        <v>14</v>
      </c>
      <c r="R1" s="204" t="s">
        <v>15</v>
      </c>
      <c r="S1" s="229" t="s">
        <v>4</v>
      </c>
      <c r="T1" s="229" t="s">
        <v>5</v>
      </c>
      <c r="U1" s="229" t="s">
        <v>16</v>
      </c>
      <c r="V1" s="230" t="s">
        <v>7</v>
      </c>
      <c r="W1" s="229" t="s">
        <v>17</v>
      </c>
      <c r="X1" s="229" t="s">
        <v>9</v>
      </c>
      <c r="AA1" s="239" t="s">
        <v>18</v>
      </c>
      <c r="AB1" s="240" t="s">
        <v>19</v>
      </c>
      <c r="AC1" s="240" t="s">
        <v>20</v>
      </c>
      <c r="AD1" s="240" t="s">
        <v>21</v>
      </c>
      <c r="AE1" s="240" t="s">
        <v>22</v>
      </c>
      <c r="AF1" s="240" t="s">
        <v>23</v>
      </c>
      <c r="AG1" s="240" t="s">
        <v>24</v>
      </c>
      <c r="AH1" s="240" t="s">
        <v>25</v>
      </c>
      <c r="AI1" s="240" t="s">
        <v>26</v>
      </c>
      <c r="AJ1" s="240" t="s">
        <v>27</v>
      </c>
      <c r="AK1" s="243" t="s">
        <v>28</v>
      </c>
      <c r="AL1" s="243" t="s">
        <v>29</v>
      </c>
      <c r="AM1" s="243" t="s">
        <v>30</v>
      </c>
      <c r="AN1" s="243" t="s">
        <v>31</v>
      </c>
      <c r="AO1" s="243" t="s">
        <v>32</v>
      </c>
      <c r="AP1" s="243" t="s">
        <v>33</v>
      </c>
      <c r="AQ1" s="243" t="s">
        <v>34</v>
      </c>
      <c r="AR1" s="243" t="s">
        <v>35</v>
      </c>
      <c r="AS1" s="243" t="s">
        <v>25</v>
      </c>
      <c r="AT1" s="243" t="s">
        <v>26</v>
      </c>
      <c r="AU1" s="243" t="s">
        <v>36</v>
      </c>
      <c r="AV1" s="243" t="s">
        <v>27</v>
      </c>
      <c r="AW1" s="243" t="s">
        <v>37</v>
      </c>
      <c r="AX1" s="244" t="s">
        <v>38</v>
      </c>
      <c r="AY1" s="245" t="s">
        <v>39</v>
      </c>
      <c r="AZ1" s="245" t="s">
        <v>40</v>
      </c>
      <c r="BA1" s="244" t="s">
        <v>41</v>
      </c>
      <c r="BB1" s="244" t="s">
        <v>42</v>
      </c>
      <c r="BC1" s="244" t="s">
        <v>43</v>
      </c>
      <c r="BD1" s="245" t="s">
        <v>44</v>
      </c>
      <c r="BE1" s="244" t="s">
        <v>24</v>
      </c>
      <c r="BF1" s="244" t="s">
        <v>25</v>
      </c>
      <c r="BG1" s="244" t="s">
        <v>26</v>
      </c>
      <c r="BH1" s="245" t="s">
        <v>36</v>
      </c>
      <c r="BI1" s="244" t="s">
        <v>27</v>
      </c>
      <c r="BJ1" s="244" t="s">
        <v>37</v>
      </c>
      <c r="BK1" s="247"/>
      <c r="BL1" s="248"/>
      <c r="BM1" s="248"/>
      <c r="BN1" s="247"/>
      <c r="BO1" s="247"/>
      <c r="BP1" s="247"/>
      <c r="BQ1" s="248"/>
      <c r="BR1" s="247"/>
      <c r="BS1" s="247"/>
      <c r="BT1" s="247"/>
      <c r="BU1" s="248"/>
      <c r="BV1" s="247"/>
      <c r="BW1" s="247"/>
      <c r="BY1" s="202" t="s">
        <v>45</v>
      </c>
      <c r="BZ1" s="197">
        <v>5.03</v>
      </c>
      <c r="CA1" s="252" t="s">
        <v>18</v>
      </c>
      <c r="CB1" s="252" t="s">
        <v>46</v>
      </c>
      <c r="CC1" s="252" t="s">
        <v>47</v>
      </c>
      <c r="CD1" s="252" t="s">
        <v>5</v>
      </c>
      <c r="CE1" s="252" t="s">
        <v>7</v>
      </c>
      <c r="CF1" s="252" t="s">
        <v>48</v>
      </c>
      <c r="CG1" s="254" t="s">
        <v>49</v>
      </c>
      <c r="CH1" s="255" t="s">
        <v>50</v>
      </c>
      <c r="CI1" s="252" t="s">
        <v>19</v>
      </c>
      <c r="CJ1" s="252" t="s">
        <v>20</v>
      </c>
      <c r="CK1" s="252" t="s">
        <v>21</v>
      </c>
      <c r="CL1" s="252" t="s">
        <v>22</v>
      </c>
      <c r="CM1" s="252" t="s">
        <v>23</v>
      </c>
      <c r="CN1" s="252" t="s">
        <v>24</v>
      </c>
      <c r="CO1" s="252" t="s">
        <v>25</v>
      </c>
      <c r="CP1" s="252" t="s">
        <v>26</v>
      </c>
      <c r="CQ1" s="252" t="s">
        <v>27</v>
      </c>
      <c r="CR1" s="262" t="s">
        <v>51</v>
      </c>
      <c r="CS1" s="262" t="s">
        <v>52</v>
      </c>
      <c r="CT1" s="256" t="s">
        <v>53</v>
      </c>
      <c r="CU1" s="256" t="s">
        <v>54</v>
      </c>
      <c r="CV1" s="256" t="s">
        <v>55</v>
      </c>
      <c r="CW1" s="256" t="s">
        <v>56</v>
      </c>
      <c r="CX1" s="256" t="s">
        <v>57</v>
      </c>
      <c r="CZ1" s="252" t="s">
        <v>58</v>
      </c>
      <c r="DA1" s="252" t="s">
        <v>59</v>
      </c>
      <c r="DB1" s="252" t="s">
        <v>60</v>
      </c>
    </row>
    <row r="2" spans="1:106" x14ac:dyDescent="0.25">
      <c r="A2" s="205">
        <v>42748</v>
      </c>
      <c r="B2" s="192"/>
      <c r="C2">
        <f>SUM($B$2:B2)</f>
        <v>0</v>
      </c>
      <c r="F2" s="206">
        <v>42135</v>
      </c>
      <c r="G2" s="207">
        <v>45731.49</v>
      </c>
      <c r="H2" s="207">
        <f t="shared" ref="H2:H11" si="0">I2-G2</f>
        <v>402981</v>
      </c>
      <c r="I2" s="207">
        <v>448712.49</v>
      </c>
      <c r="J2" s="217">
        <v>-61976.91</v>
      </c>
      <c r="K2" s="218">
        <f>681367.57-171000</f>
        <v>510367.56999999995</v>
      </c>
      <c r="L2" s="218">
        <f>I2-J2</f>
        <v>510689.4</v>
      </c>
      <c r="M2" s="219">
        <f t="shared" ref="M2:M34" si="1">J2/K2</f>
        <v>-0.12143583104232114</v>
      </c>
      <c r="N2" s="220"/>
      <c r="O2" s="221"/>
      <c r="R2" s="231">
        <v>42033</v>
      </c>
      <c r="S2" s="232">
        <f>18965.03+342308.63</f>
        <v>361273.66000000003</v>
      </c>
      <c r="T2" s="232"/>
      <c r="U2" s="232">
        <v>580920.66</v>
      </c>
      <c r="V2" s="233"/>
      <c r="W2" s="218"/>
      <c r="X2" s="218"/>
      <c r="AA2" s="241" t="s">
        <v>1182</v>
      </c>
      <c r="AB2" s="242">
        <v>1</v>
      </c>
      <c r="AC2" s="242">
        <v>30</v>
      </c>
      <c r="AD2" s="242">
        <v>0</v>
      </c>
      <c r="AE2" s="242">
        <v>28</v>
      </c>
      <c r="AF2" s="242">
        <v>10900</v>
      </c>
      <c r="AG2" s="242">
        <v>8.0589999999999993</v>
      </c>
      <c r="AH2" s="242" t="s">
        <v>700</v>
      </c>
      <c r="AI2" s="242">
        <v>10870</v>
      </c>
      <c r="AJ2" s="242">
        <v>8.0809999999999995</v>
      </c>
      <c r="AK2" s="242">
        <v>210</v>
      </c>
      <c r="AL2" s="242">
        <v>103200</v>
      </c>
      <c r="AM2" s="242">
        <v>846038</v>
      </c>
      <c r="AN2" s="242">
        <v>8.1980000000000004</v>
      </c>
      <c r="AO2" s="242">
        <v>214</v>
      </c>
      <c r="AP2" s="242">
        <v>94930</v>
      </c>
      <c r="AQ2" s="242">
        <v>832752.33280000009</v>
      </c>
      <c r="AR2" s="242">
        <v>8.7720000000000002</v>
      </c>
      <c r="AS2" s="242" t="s">
        <v>623</v>
      </c>
      <c r="AT2" s="242">
        <v>8270</v>
      </c>
      <c r="AU2" s="242">
        <v>13285.666999999999</v>
      </c>
      <c r="AV2" s="242">
        <v>1.6060000000000001</v>
      </c>
      <c r="AW2" s="242">
        <v>54489.82</v>
      </c>
      <c r="AX2" s="242">
        <v>211</v>
      </c>
      <c r="AY2" s="242">
        <v>103230</v>
      </c>
      <c r="AZ2" s="242">
        <v>846043</v>
      </c>
      <c r="BA2" s="242">
        <v>8.1959999999999997</v>
      </c>
      <c r="BB2" s="242">
        <v>242</v>
      </c>
      <c r="BC2" s="242">
        <v>105830</v>
      </c>
      <c r="BD2" s="242">
        <v>920383.99080000003</v>
      </c>
      <c r="BE2" s="249">
        <v>8.6969999999999992</v>
      </c>
      <c r="BF2" s="249" t="s">
        <v>634</v>
      </c>
      <c r="BG2" s="242">
        <v>2600</v>
      </c>
      <c r="BH2" s="242">
        <v>74340.990999999995</v>
      </c>
      <c r="BI2" s="242">
        <v>28.593</v>
      </c>
      <c r="BJ2" s="242">
        <v>51718.23</v>
      </c>
      <c r="BY2" s="253" t="s">
        <v>64</v>
      </c>
      <c r="BZ2">
        <v>447448.09</v>
      </c>
    </row>
    <row r="3" spans="1:106" x14ac:dyDescent="0.25">
      <c r="A3" s="205">
        <v>42751</v>
      </c>
      <c r="B3" s="192">
        <v>-339.78000000000247</v>
      </c>
      <c r="C3">
        <f>SUM($B$2:B3)</f>
        <v>-339.78000000000247</v>
      </c>
      <c r="F3" s="206">
        <v>42139</v>
      </c>
      <c r="G3" s="207">
        <v>415.97</v>
      </c>
      <c r="H3" s="207">
        <f t="shared" si="0"/>
        <v>448993</v>
      </c>
      <c r="I3" s="207">
        <v>449408.97</v>
      </c>
      <c r="J3" s="217">
        <f>-61425.61</f>
        <v>-61425.61</v>
      </c>
      <c r="K3" s="218">
        <f>681367.57-171000</f>
        <v>510367.56999999995</v>
      </c>
      <c r="L3" s="218">
        <f>I3-J3</f>
        <v>510834.57999999996</v>
      </c>
      <c r="M3" s="219">
        <f t="shared" si="1"/>
        <v>-0.12035562917918159</v>
      </c>
      <c r="N3" s="220"/>
      <c r="O3" s="221"/>
      <c r="R3" s="231">
        <v>42061</v>
      </c>
      <c r="S3" s="207">
        <v>38586.629999999997</v>
      </c>
      <c r="T3" s="207">
        <v>550089.97</v>
      </c>
      <c r="U3" s="232">
        <f>S3+T3</f>
        <v>588676.6</v>
      </c>
      <c r="V3" s="233">
        <f>U3-W3</f>
        <v>-92690.969999999972</v>
      </c>
      <c r="W3" s="218">
        <v>681367.57</v>
      </c>
      <c r="X3" s="218"/>
      <c r="AA3" s="201" t="s">
        <v>1181</v>
      </c>
      <c r="AB3">
        <v>0</v>
      </c>
      <c r="AC3">
        <v>0</v>
      </c>
      <c r="AD3">
        <v>0</v>
      </c>
      <c r="AE3">
        <v>20</v>
      </c>
      <c r="AF3">
        <v>8600</v>
      </c>
      <c r="AG3">
        <v>7.3840000000000003</v>
      </c>
      <c r="AH3" t="s">
        <v>700</v>
      </c>
      <c r="AI3">
        <v>8600</v>
      </c>
      <c r="AJ3">
        <v>7.3840000000000003</v>
      </c>
      <c r="AK3">
        <v>42</v>
      </c>
      <c r="AL3">
        <v>20900</v>
      </c>
      <c r="AM3">
        <v>152800</v>
      </c>
      <c r="AN3">
        <v>7.3109999999999999</v>
      </c>
      <c r="AO3">
        <v>42</v>
      </c>
      <c r="AP3">
        <v>18800</v>
      </c>
      <c r="AQ3">
        <v>92037.725000000035</v>
      </c>
      <c r="AR3">
        <v>4.8959999999999999</v>
      </c>
      <c r="AS3" t="s">
        <v>623</v>
      </c>
      <c r="AT3">
        <v>2100</v>
      </c>
      <c r="AU3">
        <v>60762.275000000001</v>
      </c>
      <c r="AV3">
        <v>28.934000000000001</v>
      </c>
      <c r="AW3">
        <v>-45402</v>
      </c>
      <c r="AX3">
        <v>42</v>
      </c>
      <c r="AY3">
        <v>20900</v>
      </c>
      <c r="AZ3">
        <v>152800</v>
      </c>
      <c r="BA3">
        <v>7.3109999999999999</v>
      </c>
      <c r="BB3">
        <v>63</v>
      </c>
      <c r="BC3">
        <v>27900</v>
      </c>
      <c r="BD3">
        <v>155380.21900000001</v>
      </c>
      <c r="BE3" s="250">
        <v>5.569</v>
      </c>
      <c r="BF3" s="251" t="s">
        <v>634</v>
      </c>
      <c r="BG3">
        <v>7000</v>
      </c>
      <c r="BH3">
        <v>2580.2190000000001</v>
      </c>
      <c r="BI3">
        <v>0.36899999999999999</v>
      </c>
      <c r="BJ3">
        <v>-36407.800000000003</v>
      </c>
      <c r="BY3" s="253" t="s">
        <v>66</v>
      </c>
      <c r="BZ3">
        <v>593118.22</v>
      </c>
    </row>
    <row r="4" spans="1:106" x14ac:dyDescent="0.25">
      <c r="A4" s="205">
        <v>42755</v>
      </c>
      <c r="B4" s="192">
        <v>3996.9200000000019</v>
      </c>
      <c r="C4">
        <f>SUM($B$2:B4)</f>
        <v>3657.1399999999994</v>
      </c>
      <c r="F4" s="206">
        <v>42143</v>
      </c>
      <c r="G4" s="207">
        <v>11896.16</v>
      </c>
      <c r="H4" s="207">
        <f t="shared" si="0"/>
        <v>442234.89</v>
      </c>
      <c r="I4" s="207">
        <v>454131.05</v>
      </c>
      <c r="J4" s="217">
        <v>-56559.69</v>
      </c>
      <c r="K4" s="218">
        <f>681367.57-171000</f>
        <v>510367.56999999995</v>
      </c>
      <c r="L4" s="218">
        <f>I4-J4</f>
        <v>510690.74</v>
      </c>
      <c r="M4" s="219">
        <f t="shared" si="1"/>
        <v>-0.11082148107490453</v>
      </c>
      <c r="N4" s="220"/>
      <c r="O4" s="221"/>
      <c r="R4" s="231">
        <v>42083</v>
      </c>
      <c r="S4" s="207">
        <v>171000</v>
      </c>
      <c r="T4" s="207">
        <v>431864.91</v>
      </c>
      <c r="U4" s="232">
        <f>S4+T4</f>
        <v>602864.90999999992</v>
      </c>
      <c r="V4" s="233">
        <f>U4-W4</f>
        <v>-78502.660000000033</v>
      </c>
      <c r="W4" s="218">
        <v>681367.57</v>
      </c>
      <c r="X4" s="218"/>
      <c r="AA4" s="201" t="s">
        <v>1191</v>
      </c>
      <c r="AB4">
        <v>0</v>
      </c>
      <c r="AC4">
        <v>0</v>
      </c>
      <c r="AD4">
        <v>0</v>
      </c>
      <c r="AE4">
        <v>20</v>
      </c>
      <c r="AF4">
        <v>8600</v>
      </c>
      <c r="AG4">
        <v>7.3840000000000003</v>
      </c>
      <c r="AH4" t="s">
        <v>700</v>
      </c>
      <c r="AI4">
        <v>8600</v>
      </c>
      <c r="AJ4">
        <v>7.3840000000000003</v>
      </c>
      <c r="AK4">
        <v>9</v>
      </c>
      <c r="AL4">
        <v>4000</v>
      </c>
      <c r="AM4">
        <v>22575.247999999992</v>
      </c>
      <c r="AN4">
        <v>5.6440000000000001</v>
      </c>
      <c r="AO4">
        <v>2</v>
      </c>
      <c r="AP4">
        <v>800</v>
      </c>
      <c r="AQ4">
        <v>4821.1640000000189</v>
      </c>
      <c r="AR4">
        <v>6.0259999999999998</v>
      </c>
      <c r="AS4" t="s">
        <v>623</v>
      </c>
      <c r="AT4">
        <v>3200</v>
      </c>
      <c r="AU4">
        <v>17754.083999999999</v>
      </c>
      <c r="AV4">
        <v>5.548</v>
      </c>
      <c r="AW4">
        <v>305.60000000000002</v>
      </c>
      <c r="AX4">
        <v>9</v>
      </c>
      <c r="AY4">
        <v>4000</v>
      </c>
      <c r="AZ4">
        <v>22575.247999999992</v>
      </c>
      <c r="BA4">
        <v>5.6440000000000001</v>
      </c>
      <c r="BB4">
        <v>2</v>
      </c>
      <c r="BC4">
        <v>800</v>
      </c>
      <c r="BD4">
        <v>4821.1640000000189</v>
      </c>
      <c r="BE4" s="250">
        <v>6.0259999999999998</v>
      </c>
      <c r="BF4" s="251" t="s">
        <v>623</v>
      </c>
      <c r="BG4">
        <v>3200</v>
      </c>
      <c r="BH4">
        <v>17754.083999999999</v>
      </c>
      <c r="BI4">
        <v>5.548</v>
      </c>
      <c r="BJ4">
        <v>305.60000000000002</v>
      </c>
    </row>
    <row r="5" spans="1:106" x14ac:dyDescent="0.25">
      <c r="A5" s="205">
        <v>42759</v>
      </c>
      <c r="B5" s="192">
        <v>4602.1499999999978</v>
      </c>
      <c r="C5">
        <f>SUM($B$2:B5)</f>
        <v>8259.2899999999972</v>
      </c>
      <c r="F5" s="206">
        <v>42160</v>
      </c>
      <c r="G5" s="207">
        <v>188276.08</v>
      </c>
      <c r="H5" s="207">
        <f t="shared" si="0"/>
        <v>50496.91</v>
      </c>
      <c r="I5" s="207">
        <v>238772.99</v>
      </c>
      <c r="J5" s="217">
        <v>-52013.85</v>
      </c>
      <c r="K5" s="218">
        <f>681367.57-171000</f>
        <v>510367.56999999995</v>
      </c>
      <c r="L5" s="218"/>
      <c r="M5" s="219">
        <f t="shared" si="1"/>
        <v>-0.10191448880656739</v>
      </c>
      <c r="N5" s="220"/>
      <c r="O5" s="221"/>
      <c r="R5" s="231">
        <v>42103</v>
      </c>
      <c r="S5" s="207">
        <v>23928</v>
      </c>
      <c r="T5" s="207">
        <v>422315</v>
      </c>
      <c r="U5" s="232">
        <f>S5+T5</f>
        <v>446243</v>
      </c>
      <c r="V5" s="217">
        <v>-64228.87</v>
      </c>
      <c r="W5" s="218">
        <f>681367.57-171000</f>
        <v>510367.56999999995</v>
      </c>
      <c r="X5" s="218">
        <f>U5-V5</f>
        <v>510471.87</v>
      </c>
      <c r="AA5" s="201" t="s">
        <v>1153</v>
      </c>
      <c r="AB5">
        <v>0</v>
      </c>
      <c r="AC5">
        <v>0</v>
      </c>
      <c r="AD5">
        <v>0</v>
      </c>
      <c r="AE5">
        <v>10</v>
      </c>
      <c r="AF5">
        <v>4000</v>
      </c>
      <c r="AG5">
        <v>7.016</v>
      </c>
      <c r="AH5" t="s">
        <v>700</v>
      </c>
      <c r="AI5">
        <v>4000</v>
      </c>
      <c r="AJ5">
        <v>7.016</v>
      </c>
      <c r="AK5">
        <v>254</v>
      </c>
      <c r="AL5">
        <v>126380</v>
      </c>
      <c r="AM5">
        <v>1325741.0125</v>
      </c>
      <c r="AN5">
        <v>10.49</v>
      </c>
      <c r="AO5">
        <v>266</v>
      </c>
      <c r="AP5">
        <v>108700</v>
      </c>
      <c r="AQ5">
        <v>1187289.2749999997</v>
      </c>
      <c r="AR5">
        <v>10.923</v>
      </c>
      <c r="AS5" t="s">
        <v>623</v>
      </c>
      <c r="AT5">
        <v>17680</v>
      </c>
      <c r="AU5">
        <v>138451.73800000001</v>
      </c>
      <c r="AV5">
        <v>7.8310000000000004</v>
      </c>
      <c r="AW5">
        <v>47067.1</v>
      </c>
      <c r="AX5">
        <v>254</v>
      </c>
      <c r="AY5">
        <v>126380</v>
      </c>
      <c r="AZ5">
        <v>1325741.0125</v>
      </c>
      <c r="BA5">
        <v>10.49</v>
      </c>
      <c r="BB5">
        <v>278</v>
      </c>
      <c r="BC5">
        <v>113100</v>
      </c>
      <c r="BD5" s="246">
        <v>1218040.443</v>
      </c>
      <c r="BE5" s="251">
        <v>10.77</v>
      </c>
      <c r="BF5" s="251" t="s">
        <v>623</v>
      </c>
      <c r="BG5">
        <v>13280</v>
      </c>
      <c r="BH5">
        <v>107700.57</v>
      </c>
      <c r="BI5">
        <v>8.11</v>
      </c>
      <c r="BJ5">
        <v>31668</v>
      </c>
    </row>
    <row r="6" spans="1:106" x14ac:dyDescent="0.25">
      <c r="A6" s="205">
        <v>42773</v>
      </c>
      <c r="B6" s="192">
        <v>4095.8820000000032</v>
      </c>
      <c r="C6">
        <f>SUM($B$2:B6)</f>
        <v>12355.172</v>
      </c>
      <c r="F6" s="206">
        <v>42167</v>
      </c>
      <c r="G6" s="207">
        <v>14976.17</v>
      </c>
      <c r="H6" s="207">
        <f t="shared" si="0"/>
        <v>224711.81999999998</v>
      </c>
      <c r="I6" s="207">
        <v>239687.99</v>
      </c>
      <c r="J6" s="217">
        <v>-51115.64</v>
      </c>
      <c r="K6" s="218">
        <f>681367.57-171000</f>
        <v>510367.56999999995</v>
      </c>
      <c r="L6" s="218"/>
      <c r="M6" s="219">
        <f t="shared" si="1"/>
        <v>-0.10015456115285695</v>
      </c>
      <c r="N6" s="220"/>
      <c r="O6" s="221"/>
      <c r="R6" s="231">
        <v>42116</v>
      </c>
      <c r="S6" s="207">
        <v>29468.62</v>
      </c>
      <c r="T6" s="207">
        <v>408085.88</v>
      </c>
      <c r="U6" s="232">
        <v>447700.9</v>
      </c>
      <c r="V6" s="217">
        <v>-62952.81</v>
      </c>
      <c r="W6" s="218">
        <f>681367.57-171000</f>
        <v>510367.56999999995</v>
      </c>
      <c r="X6" s="218">
        <f>U6-V6</f>
        <v>510653.71</v>
      </c>
      <c r="AA6" s="201" t="s">
        <v>1178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 t="s">
        <v>700</v>
      </c>
      <c r="AI6">
        <v>0</v>
      </c>
      <c r="AK6">
        <v>82</v>
      </c>
      <c r="AL6">
        <v>43800</v>
      </c>
      <c r="AM6">
        <v>260848.72</v>
      </c>
      <c r="AN6">
        <v>5.9550000000000001</v>
      </c>
      <c r="AO6">
        <v>89</v>
      </c>
      <c r="AP6">
        <v>38200</v>
      </c>
      <c r="AQ6">
        <v>237524.17200000002</v>
      </c>
      <c r="AR6">
        <v>6.218</v>
      </c>
      <c r="AS6" t="s">
        <v>623</v>
      </c>
      <c r="AT6">
        <v>5600</v>
      </c>
      <c r="AU6">
        <v>23324.547999999999</v>
      </c>
      <c r="AV6">
        <v>4.165</v>
      </c>
      <c r="AW6">
        <v>10046.6</v>
      </c>
      <c r="AX6">
        <v>82</v>
      </c>
      <c r="AY6">
        <v>43800</v>
      </c>
      <c r="AZ6">
        <v>260848.72</v>
      </c>
      <c r="BA6">
        <v>5.9550000000000001</v>
      </c>
      <c r="BB6">
        <v>90</v>
      </c>
      <c r="BC6">
        <v>38600</v>
      </c>
      <c r="BD6">
        <v>239645.04400000002</v>
      </c>
      <c r="BE6" s="251">
        <v>6.2080000000000002</v>
      </c>
      <c r="BF6" s="251" t="s">
        <v>623</v>
      </c>
      <c r="BG6">
        <v>5200</v>
      </c>
      <c r="BH6">
        <v>21203.675999999999</v>
      </c>
      <c r="BI6">
        <v>4.0780000000000003</v>
      </c>
      <c r="BJ6">
        <v>9765.7999999999993</v>
      </c>
    </row>
    <row r="7" spans="1:106" x14ac:dyDescent="0.25">
      <c r="A7" s="205">
        <v>42775</v>
      </c>
      <c r="B7" s="192">
        <v>6551.0699999999988</v>
      </c>
      <c r="C7">
        <f>SUM($B$2:B7)</f>
        <v>18906.241999999998</v>
      </c>
      <c r="F7" s="206">
        <v>42205</v>
      </c>
      <c r="G7" s="207">
        <v>71525.490000000005</v>
      </c>
      <c r="H7" s="207">
        <f t="shared" si="0"/>
        <v>106522.99999999999</v>
      </c>
      <c r="I7" s="207">
        <v>178048.49</v>
      </c>
      <c r="J7" s="217">
        <v>-42831.35</v>
      </c>
      <c r="K7" s="218">
        <f>I7-J7</f>
        <v>220879.84</v>
      </c>
      <c r="L7" s="218"/>
      <c r="M7" s="219">
        <f t="shared" si="1"/>
        <v>-0.19391244578952974</v>
      </c>
      <c r="N7" s="220"/>
      <c r="O7" s="221"/>
      <c r="AA7" s="201" t="s">
        <v>1183</v>
      </c>
      <c r="AB7">
        <v>7</v>
      </c>
      <c r="AC7">
        <v>3900</v>
      </c>
      <c r="AD7">
        <v>3.6720000000000002</v>
      </c>
      <c r="AE7">
        <v>1</v>
      </c>
      <c r="AF7">
        <v>400</v>
      </c>
      <c r="AG7">
        <v>2.77</v>
      </c>
      <c r="AH7" t="s">
        <v>701</v>
      </c>
      <c r="AI7">
        <v>3500</v>
      </c>
      <c r="AJ7">
        <v>3.7749999999999999</v>
      </c>
      <c r="AK7">
        <v>72</v>
      </c>
      <c r="AL7">
        <v>35400</v>
      </c>
      <c r="AM7">
        <v>210550</v>
      </c>
      <c r="AN7">
        <v>5.9480000000000004</v>
      </c>
      <c r="AO7">
        <v>72</v>
      </c>
      <c r="AP7">
        <v>32000</v>
      </c>
      <c r="AQ7">
        <v>189713.73600000006</v>
      </c>
      <c r="AR7">
        <v>5.9290000000000003</v>
      </c>
      <c r="AS7" t="s">
        <v>623</v>
      </c>
      <c r="AT7">
        <v>3400</v>
      </c>
      <c r="AU7">
        <v>20836.263999999999</v>
      </c>
      <c r="AV7">
        <v>6.1280000000000001</v>
      </c>
      <c r="AW7">
        <v>-608</v>
      </c>
      <c r="AX7">
        <v>79</v>
      </c>
      <c r="AY7">
        <v>39300</v>
      </c>
      <c r="AZ7">
        <v>224906</v>
      </c>
      <c r="BA7">
        <v>5.7229999999999999</v>
      </c>
      <c r="BB7">
        <v>74</v>
      </c>
      <c r="BC7">
        <v>32800</v>
      </c>
      <c r="BD7">
        <v>191729.70800000004</v>
      </c>
      <c r="BE7" s="251">
        <v>5.8449999999999998</v>
      </c>
      <c r="BF7" s="251" t="s">
        <v>623</v>
      </c>
      <c r="BG7">
        <v>6500</v>
      </c>
      <c r="BH7">
        <v>33176.292000000001</v>
      </c>
      <c r="BI7">
        <v>5.1040000000000001</v>
      </c>
      <c r="BJ7">
        <v>4001.6</v>
      </c>
    </row>
    <row r="8" spans="1:106" x14ac:dyDescent="0.25">
      <c r="A8" s="205">
        <v>42776</v>
      </c>
      <c r="B8" s="192">
        <v>5143.83</v>
      </c>
      <c r="C8">
        <f>SUM($B$2:B8)</f>
        <v>24050.072</v>
      </c>
      <c r="F8" s="206">
        <v>42220</v>
      </c>
      <c r="G8" s="207">
        <v>50680.53</v>
      </c>
      <c r="H8" s="207">
        <f t="shared" si="0"/>
        <v>131086.45000000001</v>
      </c>
      <c r="I8" s="207">
        <v>181766.98</v>
      </c>
      <c r="J8" s="217">
        <v>-39424.86</v>
      </c>
      <c r="K8" s="218">
        <f t="shared" ref="K8:K27" si="2">I8-J8</f>
        <v>221191.84000000003</v>
      </c>
      <c r="L8" s="218"/>
      <c r="M8" s="219">
        <f t="shared" si="1"/>
        <v>-0.1782383111420385</v>
      </c>
      <c r="N8" s="220"/>
      <c r="O8" s="221"/>
      <c r="U8" s="234" t="s">
        <v>73</v>
      </c>
      <c r="V8" s="234" t="s">
        <v>74</v>
      </c>
      <c r="W8" s="234" t="s">
        <v>75</v>
      </c>
      <c r="X8" s="234" t="s">
        <v>76</v>
      </c>
      <c r="AA8" s="201" t="s">
        <v>1179</v>
      </c>
      <c r="AB8">
        <v>10</v>
      </c>
      <c r="AC8">
        <v>7220</v>
      </c>
      <c r="AD8">
        <v>4.2720000000000002</v>
      </c>
      <c r="AE8">
        <v>0</v>
      </c>
      <c r="AF8">
        <v>0</v>
      </c>
      <c r="AG8">
        <v>0</v>
      </c>
      <c r="AH8" t="s">
        <v>701</v>
      </c>
      <c r="AI8">
        <v>7220</v>
      </c>
      <c r="AJ8">
        <v>4.2720000000000002</v>
      </c>
      <c r="AK8">
        <v>110</v>
      </c>
      <c r="AL8">
        <v>52500</v>
      </c>
      <c r="AM8">
        <v>514698.05490600015</v>
      </c>
      <c r="AN8">
        <v>9.8040000000000003</v>
      </c>
      <c r="AO8">
        <v>112</v>
      </c>
      <c r="AP8">
        <v>47720</v>
      </c>
      <c r="AQ8">
        <v>435660.85968400008</v>
      </c>
      <c r="AR8">
        <v>9.1300000000000008</v>
      </c>
      <c r="AS8" t="s">
        <v>623</v>
      </c>
      <c r="AT8">
        <v>4780</v>
      </c>
      <c r="AU8">
        <v>79037.195000000007</v>
      </c>
      <c r="AV8">
        <v>16.535</v>
      </c>
      <c r="AW8">
        <v>-32163.279999999999</v>
      </c>
      <c r="AX8">
        <v>121</v>
      </c>
      <c r="AY8">
        <v>60120</v>
      </c>
      <c r="AZ8">
        <v>547788.09669000027</v>
      </c>
      <c r="BA8">
        <v>9.1120000000000001</v>
      </c>
      <c r="BB8">
        <v>112</v>
      </c>
      <c r="BC8">
        <v>47720</v>
      </c>
      <c r="BD8">
        <v>435660.85968400008</v>
      </c>
      <c r="BE8" s="251">
        <v>9.1300000000000008</v>
      </c>
      <c r="BF8" s="251" t="s">
        <v>623</v>
      </c>
      <c r="BG8">
        <v>12400</v>
      </c>
      <c r="BH8">
        <v>112127.23699999999</v>
      </c>
      <c r="BI8">
        <v>9.0429999999999993</v>
      </c>
      <c r="BJ8">
        <v>858.96</v>
      </c>
    </row>
    <row r="9" spans="1:106" x14ac:dyDescent="0.25">
      <c r="A9" s="205">
        <v>42780</v>
      </c>
      <c r="B9" s="192">
        <v>1873.3199999999988</v>
      </c>
      <c r="C9">
        <f>SUM($B$2:B9)</f>
        <v>25923.392</v>
      </c>
      <c r="F9" s="206">
        <v>42227</v>
      </c>
      <c r="G9" s="207">
        <v>12287.2</v>
      </c>
      <c r="H9" s="207">
        <f t="shared" si="0"/>
        <v>176910.00999999998</v>
      </c>
      <c r="I9" s="207">
        <v>189197.21</v>
      </c>
      <c r="J9" s="217">
        <v>-31682.63</v>
      </c>
      <c r="K9" s="218">
        <f t="shared" si="2"/>
        <v>220879.84</v>
      </c>
      <c r="L9" s="218"/>
      <c r="M9" s="219">
        <f t="shared" si="1"/>
        <v>-0.14343830564165566</v>
      </c>
      <c r="N9" s="220"/>
      <c r="O9" s="221"/>
      <c r="U9" s="234">
        <v>6.5</v>
      </c>
      <c r="V9" s="234">
        <v>4</v>
      </c>
      <c r="W9" s="234">
        <v>4</v>
      </c>
      <c r="X9" s="234">
        <f>U9*(V9+W9+2)/(V9+W9)</f>
        <v>8.125</v>
      </c>
      <c r="AA9" s="201" t="s">
        <v>1184</v>
      </c>
      <c r="AB9">
        <v>1</v>
      </c>
      <c r="AC9">
        <v>500</v>
      </c>
      <c r="AD9">
        <v>4.26</v>
      </c>
      <c r="AE9">
        <v>0</v>
      </c>
      <c r="AF9">
        <v>0</v>
      </c>
      <c r="AG9">
        <v>0</v>
      </c>
      <c r="AH9" t="s">
        <v>701</v>
      </c>
      <c r="AI9">
        <v>500</v>
      </c>
      <c r="AJ9">
        <v>4.26</v>
      </c>
      <c r="AK9">
        <v>37</v>
      </c>
      <c r="AL9">
        <v>18300</v>
      </c>
      <c r="AM9">
        <v>82032</v>
      </c>
      <c r="AN9">
        <v>4.4829999999999997</v>
      </c>
      <c r="AO9">
        <v>35</v>
      </c>
      <c r="AP9">
        <v>15100</v>
      </c>
      <c r="AQ9">
        <v>68738.468999999983</v>
      </c>
      <c r="AR9">
        <v>4.5519999999999996</v>
      </c>
      <c r="AS9" t="s">
        <v>623</v>
      </c>
      <c r="AT9">
        <v>3200</v>
      </c>
      <c r="AU9">
        <v>13293.531000000001</v>
      </c>
      <c r="AV9">
        <v>4.1539999999999999</v>
      </c>
      <c r="AW9">
        <v>1041.9000000000001</v>
      </c>
      <c r="AX9">
        <v>39</v>
      </c>
      <c r="AY9">
        <v>19300</v>
      </c>
      <c r="AZ9">
        <v>86192</v>
      </c>
      <c r="BA9">
        <v>4.4660000000000002</v>
      </c>
      <c r="BB9">
        <v>35</v>
      </c>
      <c r="BC9">
        <v>15100</v>
      </c>
      <c r="BD9">
        <v>68738.468999999983</v>
      </c>
      <c r="BE9" s="208">
        <v>4.5519999999999996</v>
      </c>
      <c r="BF9" s="208" t="s">
        <v>623</v>
      </c>
      <c r="BG9">
        <v>4200</v>
      </c>
      <c r="BH9">
        <v>17453.530999999999</v>
      </c>
      <c r="BI9">
        <v>4.1559999999999997</v>
      </c>
      <c r="BJ9">
        <v>1298.5999999999999</v>
      </c>
    </row>
    <row r="10" spans="1:106" x14ac:dyDescent="0.25">
      <c r="A10" s="205">
        <v>42782</v>
      </c>
      <c r="B10" s="192">
        <v>-1672.3399999999997</v>
      </c>
      <c r="C10">
        <f>SUM($B$2:B10)</f>
        <v>24251.052</v>
      </c>
      <c r="F10" s="206">
        <v>42356</v>
      </c>
      <c r="G10" s="207">
        <v>64219.6</v>
      </c>
      <c r="H10" s="207">
        <f t="shared" si="0"/>
        <v>115252.4</v>
      </c>
      <c r="I10" s="207">
        <v>179472</v>
      </c>
      <c r="J10" s="217">
        <v>-39185.4</v>
      </c>
      <c r="K10" s="218">
        <f t="shared" si="2"/>
        <v>218657.4</v>
      </c>
      <c r="L10" s="218"/>
      <c r="M10" s="219">
        <f t="shared" si="1"/>
        <v>-0.17920911892302754</v>
      </c>
      <c r="N10" s="220"/>
      <c r="O10" s="221"/>
      <c r="AA10" s="201" t="s">
        <v>1180</v>
      </c>
      <c r="AB10">
        <v>0</v>
      </c>
      <c r="AC10">
        <v>0</v>
      </c>
      <c r="AD10">
        <v>0</v>
      </c>
      <c r="AE10">
        <v>4</v>
      </c>
      <c r="AF10">
        <v>1300</v>
      </c>
      <c r="AG10">
        <v>9.9220000000000006</v>
      </c>
      <c r="AH10" t="s">
        <v>700</v>
      </c>
      <c r="AI10">
        <v>1300</v>
      </c>
      <c r="AJ10">
        <v>9.9220000000000006</v>
      </c>
      <c r="AK10">
        <v>14</v>
      </c>
      <c r="AL10">
        <v>7000</v>
      </c>
      <c r="AM10">
        <v>67625</v>
      </c>
      <c r="AN10">
        <v>9.6609999999999996</v>
      </c>
      <c r="AO10">
        <v>15</v>
      </c>
      <c r="AP10">
        <v>5600</v>
      </c>
      <c r="AQ10">
        <v>55310.559000000008</v>
      </c>
      <c r="AR10">
        <v>9.8770000000000007</v>
      </c>
      <c r="AS10" t="s">
        <v>623</v>
      </c>
      <c r="AT10">
        <v>1400</v>
      </c>
      <c r="AU10">
        <v>12314.441000000001</v>
      </c>
      <c r="AV10">
        <v>8.7959999999999994</v>
      </c>
      <c r="AW10">
        <v>1209.5999999999999</v>
      </c>
      <c r="AX10">
        <v>14</v>
      </c>
      <c r="AY10">
        <v>7000</v>
      </c>
      <c r="AZ10">
        <v>67625</v>
      </c>
      <c r="BA10">
        <v>9.6609999999999996</v>
      </c>
      <c r="BB10">
        <v>19</v>
      </c>
      <c r="BC10">
        <v>6900</v>
      </c>
      <c r="BD10">
        <v>68211.661000000007</v>
      </c>
      <c r="BE10" s="208">
        <v>9.8859999999999992</v>
      </c>
      <c r="BF10" s="208" t="s">
        <v>623</v>
      </c>
      <c r="BG10">
        <v>100</v>
      </c>
      <c r="BH10">
        <v>586.66099999999994</v>
      </c>
      <c r="BI10">
        <v>5.867</v>
      </c>
      <c r="BJ10">
        <v>1552.5</v>
      </c>
    </row>
    <row r="11" spans="1:106" x14ac:dyDescent="0.25">
      <c r="A11" s="208" t="s">
        <v>80</v>
      </c>
      <c r="B11" s="192">
        <v>-823.97000000000037</v>
      </c>
      <c r="C11">
        <f>SUM($B$2:B11)</f>
        <v>23427.081999999999</v>
      </c>
      <c r="F11" s="206">
        <v>42571</v>
      </c>
      <c r="G11" s="207">
        <v>8435.3700000000008</v>
      </c>
      <c r="H11" s="207">
        <f t="shared" si="0"/>
        <v>162652.82</v>
      </c>
      <c r="I11" s="207">
        <v>171088.19</v>
      </c>
      <c r="J11" s="217">
        <v>-44087.46</v>
      </c>
      <c r="K11" s="218">
        <f t="shared" si="2"/>
        <v>215175.65</v>
      </c>
      <c r="L11" s="218"/>
      <c r="M11" s="219">
        <f t="shared" si="1"/>
        <v>-0.20489056266357275</v>
      </c>
      <c r="N11" s="220"/>
      <c r="O11" s="221"/>
      <c r="AA11" s="201" t="s">
        <v>696</v>
      </c>
      <c r="AB11">
        <v>0</v>
      </c>
      <c r="AC11">
        <v>0</v>
      </c>
      <c r="AD11">
        <v>0</v>
      </c>
      <c r="AE11">
        <v>5</v>
      </c>
      <c r="AF11">
        <v>2300</v>
      </c>
      <c r="AG11">
        <v>4.99</v>
      </c>
      <c r="AH11" t="s">
        <v>700</v>
      </c>
      <c r="AI11">
        <v>2300</v>
      </c>
      <c r="AJ11">
        <v>4.99</v>
      </c>
      <c r="AK11">
        <v>50</v>
      </c>
      <c r="AL11">
        <v>36700</v>
      </c>
      <c r="AM11">
        <v>180101.02000000002</v>
      </c>
      <c r="AN11">
        <v>4.907</v>
      </c>
      <c r="AO11">
        <v>58</v>
      </c>
      <c r="AP11">
        <v>35300</v>
      </c>
      <c r="AQ11">
        <v>178266.546</v>
      </c>
      <c r="AR11">
        <v>5.05</v>
      </c>
      <c r="AS11" t="s">
        <v>623</v>
      </c>
      <c r="AT11">
        <v>1400</v>
      </c>
      <c r="AU11">
        <v>1834.4739999999999</v>
      </c>
      <c r="AV11">
        <v>1.31</v>
      </c>
      <c r="AW11">
        <v>5047.8999999999996</v>
      </c>
      <c r="AX11">
        <v>51</v>
      </c>
      <c r="AY11">
        <v>37700</v>
      </c>
      <c r="AZ11">
        <v>185106.62</v>
      </c>
      <c r="BA11">
        <v>4.91</v>
      </c>
      <c r="BB11">
        <v>63</v>
      </c>
      <c r="BC11">
        <v>37600</v>
      </c>
      <c r="BD11">
        <v>189763.68900000001</v>
      </c>
      <c r="BE11" s="208">
        <v>5.0469999999999997</v>
      </c>
      <c r="BF11" s="208" t="s">
        <v>623</v>
      </c>
      <c r="BG11">
        <v>100</v>
      </c>
      <c r="BH11">
        <v>4657.0690000000004</v>
      </c>
      <c r="BI11">
        <v>46.570999999999998</v>
      </c>
      <c r="BJ11">
        <v>5151.2</v>
      </c>
    </row>
    <row r="12" spans="1:106" x14ac:dyDescent="0.25">
      <c r="A12" s="205">
        <v>42786</v>
      </c>
      <c r="B12" s="192">
        <v>6610.2300000000014</v>
      </c>
      <c r="C12">
        <f>SUM($B$2:B12)</f>
        <v>30037.311999999998</v>
      </c>
      <c r="F12" s="206">
        <v>42620</v>
      </c>
      <c r="G12" s="207">
        <v>14035.53</v>
      </c>
      <c r="H12" s="207">
        <v>170388.57</v>
      </c>
      <c r="I12" s="207">
        <f t="shared" ref="I12:I28" si="3">G12+H12</f>
        <v>184424.1</v>
      </c>
      <c r="J12" s="217">
        <v>-30688.89</v>
      </c>
      <c r="K12" s="218">
        <f t="shared" si="2"/>
        <v>215112.99</v>
      </c>
      <c r="L12" s="218"/>
      <c r="M12" s="219">
        <f t="shared" si="1"/>
        <v>-0.14266404832176802</v>
      </c>
      <c r="N12" s="220"/>
      <c r="O12" s="221"/>
      <c r="AA12" s="201" t="s">
        <v>1182</v>
      </c>
      <c r="AB12">
        <v>1</v>
      </c>
      <c r="AC12">
        <v>30</v>
      </c>
      <c r="AD12">
        <v>0</v>
      </c>
      <c r="AE12">
        <v>28</v>
      </c>
      <c r="AF12">
        <v>10900</v>
      </c>
      <c r="AG12">
        <v>8.0589999999999993</v>
      </c>
      <c r="AH12" t="s">
        <v>700</v>
      </c>
      <c r="AI12">
        <v>10870</v>
      </c>
      <c r="AJ12">
        <v>8.0809999999999995</v>
      </c>
      <c r="AK12">
        <v>210</v>
      </c>
      <c r="AL12">
        <v>103200</v>
      </c>
      <c r="AM12">
        <v>846038</v>
      </c>
      <c r="AN12">
        <v>8.1980000000000004</v>
      </c>
      <c r="AO12">
        <v>214</v>
      </c>
      <c r="AP12">
        <v>94930</v>
      </c>
      <c r="AQ12">
        <v>832752.33280000009</v>
      </c>
      <c r="AR12">
        <v>8.7720000000000002</v>
      </c>
      <c r="AS12" t="s">
        <v>623</v>
      </c>
      <c r="AT12">
        <v>8270</v>
      </c>
      <c r="AU12">
        <v>13285.666999999999</v>
      </c>
      <c r="AV12">
        <v>1.6060000000000001</v>
      </c>
      <c r="AW12">
        <v>54489.82</v>
      </c>
      <c r="AX12">
        <v>211</v>
      </c>
      <c r="AY12">
        <v>103230</v>
      </c>
      <c r="AZ12">
        <v>846043</v>
      </c>
      <c r="BA12">
        <v>8.1959999999999997</v>
      </c>
      <c r="BB12">
        <v>242</v>
      </c>
      <c r="BC12">
        <v>105830</v>
      </c>
      <c r="BD12">
        <v>920383.99080000003</v>
      </c>
      <c r="BE12">
        <v>8.6969999999999992</v>
      </c>
      <c r="BF12" t="s">
        <v>634</v>
      </c>
      <c r="BG12">
        <v>2600</v>
      </c>
      <c r="BH12">
        <v>74340.990999999995</v>
      </c>
      <c r="BI12">
        <v>28.593</v>
      </c>
      <c r="BJ12">
        <v>51718.23</v>
      </c>
    </row>
    <row r="13" spans="1:106" x14ac:dyDescent="0.25">
      <c r="A13" s="205">
        <v>42788</v>
      </c>
      <c r="B13" s="192">
        <v>4432.2299999999977</v>
      </c>
      <c r="C13">
        <f>SUM($B$2:B13)</f>
        <v>34469.541999999994</v>
      </c>
      <c r="F13" s="206">
        <v>42634</v>
      </c>
      <c r="G13" s="207">
        <v>12121.09</v>
      </c>
      <c r="H13" s="207">
        <v>175044.57</v>
      </c>
      <c r="I13" s="207">
        <f t="shared" si="3"/>
        <v>187165.66</v>
      </c>
      <c r="J13" s="217">
        <v>-27925.09</v>
      </c>
      <c r="K13" s="218">
        <f t="shared" si="2"/>
        <v>215090.75</v>
      </c>
      <c r="L13" s="218"/>
      <c r="M13" s="219">
        <f t="shared" si="1"/>
        <v>-0.12982933947647679</v>
      </c>
      <c r="N13" s="220"/>
      <c r="O13" s="221"/>
    </row>
    <row r="14" spans="1:106" x14ac:dyDescent="0.25">
      <c r="A14" s="205">
        <v>42797</v>
      </c>
      <c r="B14" s="192">
        <v>-3643.5599999999986</v>
      </c>
      <c r="C14">
        <f>SUM($B$2:B14)</f>
        <v>30825.981999999996</v>
      </c>
      <c r="F14" s="206">
        <v>42661</v>
      </c>
      <c r="G14" s="207">
        <v>4257.25</v>
      </c>
      <c r="H14" s="207">
        <v>181569.57</v>
      </c>
      <c r="I14" s="207">
        <f t="shared" si="3"/>
        <v>185826.82</v>
      </c>
      <c r="J14" s="217">
        <v>-29256.812999999998</v>
      </c>
      <c r="K14" s="218">
        <f t="shared" si="2"/>
        <v>215083.633</v>
      </c>
      <c r="L14" s="218"/>
      <c r="M14" s="219">
        <f t="shared" si="1"/>
        <v>-0.13602528742854181</v>
      </c>
      <c r="N14" s="220"/>
      <c r="O14" s="221"/>
    </row>
    <row r="15" spans="1:106" x14ac:dyDescent="0.25">
      <c r="A15" s="205">
        <v>42800</v>
      </c>
      <c r="B15" s="192">
        <v>2958.1600000000008</v>
      </c>
      <c r="C15">
        <f>SUM($B$2:B15)</f>
        <v>33784.142</v>
      </c>
      <c r="F15" s="206">
        <v>42688</v>
      </c>
      <c r="G15" s="207">
        <v>12332.72</v>
      </c>
      <c r="H15" s="207">
        <v>191785.57</v>
      </c>
      <c r="I15" s="207">
        <f t="shared" si="3"/>
        <v>204118.29</v>
      </c>
      <c r="J15" s="217">
        <v>-10950.34</v>
      </c>
      <c r="K15" s="218">
        <f t="shared" si="2"/>
        <v>215068.63</v>
      </c>
      <c r="L15" s="218"/>
      <c r="M15" s="219">
        <f t="shared" si="1"/>
        <v>-5.0915561232709766E-2</v>
      </c>
      <c r="N15" s="220"/>
      <c r="O15" s="221"/>
    </row>
    <row r="16" spans="1:106" x14ac:dyDescent="0.25">
      <c r="A16" s="205">
        <v>42802</v>
      </c>
      <c r="B16" s="192">
        <v>-3648.9100000000017</v>
      </c>
      <c r="C16">
        <f>SUM($B$2:B16)</f>
        <v>30135.231999999996</v>
      </c>
      <c r="F16" s="206">
        <v>42699</v>
      </c>
      <c r="G16" s="207">
        <v>879.96</v>
      </c>
      <c r="H16" s="207">
        <v>258002.2</v>
      </c>
      <c r="I16" s="207">
        <f t="shared" si="3"/>
        <v>258882.16</v>
      </c>
      <c r="J16" s="217">
        <v>-16171.56</v>
      </c>
      <c r="K16" s="218">
        <f t="shared" si="2"/>
        <v>275053.72000000003</v>
      </c>
      <c r="L16" s="218"/>
      <c r="M16" s="219">
        <f t="shared" si="1"/>
        <v>-5.8794187549981135E-2</v>
      </c>
      <c r="N16" s="220"/>
      <c r="O16" s="221"/>
    </row>
    <row r="17" spans="1:22" x14ac:dyDescent="0.25">
      <c r="A17" s="205">
        <v>42803</v>
      </c>
      <c r="B17" s="192">
        <v>-542.80999999999858</v>
      </c>
      <c r="C17">
        <f>SUM($B$2:B17)</f>
        <v>29592.421999999999</v>
      </c>
      <c r="F17" s="206">
        <v>42744</v>
      </c>
      <c r="G17" s="207">
        <v>36745.21</v>
      </c>
      <c r="H17" s="207">
        <v>231570.29</v>
      </c>
      <c r="I17" s="207">
        <f t="shared" si="3"/>
        <v>268315.5</v>
      </c>
      <c r="J17" s="217">
        <v>-12970.39</v>
      </c>
      <c r="K17" s="218">
        <f t="shared" si="2"/>
        <v>281285.89</v>
      </c>
      <c r="L17" s="222"/>
      <c r="M17" s="219">
        <f t="shared" si="1"/>
        <v>-4.6111058041340074E-2</v>
      </c>
      <c r="N17" s="220"/>
      <c r="O17" s="221"/>
    </row>
    <row r="18" spans="1:22" x14ac:dyDescent="0.25">
      <c r="A18" s="205">
        <v>42804</v>
      </c>
      <c r="B18" s="192">
        <v>835.79</v>
      </c>
      <c r="C18">
        <f>SUM($B$2:B18)</f>
        <v>30428.212</v>
      </c>
      <c r="F18" s="206">
        <v>42759</v>
      </c>
      <c r="G18" s="207">
        <v>21344.69</v>
      </c>
      <c r="H18" s="207">
        <v>244715.29</v>
      </c>
      <c r="I18" s="207">
        <f t="shared" si="3"/>
        <v>266059.98</v>
      </c>
      <c r="J18" s="217">
        <v>-15149.02</v>
      </c>
      <c r="K18" s="218">
        <f t="shared" si="2"/>
        <v>281209</v>
      </c>
      <c r="L18" s="222">
        <f>K18-K17</f>
        <v>-76.89000000001397</v>
      </c>
      <c r="M18" s="219">
        <f t="shared" si="1"/>
        <v>-5.3871035422052641E-2</v>
      </c>
      <c r="N18" s="220"/>
      <c r="O18" s="221"/>
    </row>
    <row r="19" spans="1:22" x14ac:dyDescent="0.25">
      <c r="A19" s="205">
        <v>42809</v>
      </c>
      <c r="B19" s="192">
        <v>-374.56999999999971</v>
      </c>
      <c r="C19">
        <f>SUM($B$2:B19)</f>
        <v>30053.642</v>
      </c>
      <c r="F19" s="206">
        <v>42774</v>
      </c>
      <c r="G19" s="207">
        <v>11921.07</v>
      </c>
      <c r="H19" s="207">
        <v>260621.3</v>
      </c>
      <c r="I19" s="207">
        <f t="shared" si="3"/>
        <v>272542.37</v>
      </c>
      <c r="J19" s="217">
        <v>-8654.06</v>
      </c>
      <c r="K19" s="218">
        <f t="shared" si="2"/>
        <v>281196.43</v>
      </c>
      <c r="L19" s="222">
        <f t="shared" ref="L19:L36" si="4">K19-K18</f>
        <v>-12.570000000006985</v>
      </c>
      <c r="M19" s="219">
        <f t="shared" si="1"/>
        <v>-3.0775853022031608E-2</v>
      </c>
      <c r="N19" s="220"/>
      <c r="O19" s="221"/>
    </row>
    <row r="20" spans="1:22" x14ac:dyDescent="0.25">
      <c r="A20" s="205">
        <v>42814</v>
      </c>
      <c r="B20" s="192">
        <v>-459.09999999999945</v>
      </c>
      <c r="C20">
        <f>SUM($B$2:B20)</f>
        <v>29594.542000000001</v>
      </c>
      <c r="F20" s="206">
        <v>42775</v>
      </c>
      <c r="G20" s="207">
        <v>15621.29</v>
      </c>
      <c r="H20" s="207">
        <v>261065.3</v>
      </c>
      <c r="I20" s="207">
        <f t="shared" si="3"/>
        <v>276686.58999999997</v>
      </c>
      <c r="J20" s="217">
        <v>-4520.84</v>
      </c>
      <c r="K20" s="218">
        <f t="shared" si="2"/>
        <v>281207.43</v>
      </c>
      <c r="L20" s="222">
        <f t="shared" si="4"/>
        <v>11</v>
      </c>
      <c r="M20" s="219">
        <f t="shared" si="1"/>
        <v>-1.6076531121528334E-2</v>
      </c>
      <c r="N20" s="220"/>
      <c r="O20" s="221"/>
    </row>
    <row r="21" spans="1:22" x14ac:dyDescent="0.25">
      <c r="A21" s="205">
        <v>42816</v>
      </c>
      <c r="B21" s="192">
        <v>1854.4499999999962</v>
      </c>
      <c r="C21">
        <f>SUM($B$2:B21)</f>
        <v>31448.991999999998</v>
      </c>
      <c r="F21" s="206">
        <v>42776</v>
      </c>
      <c r="G21" s="209">
        <v>34680.730000000003</v>
      </c>
      <c r="H21" s="207">
        <v>247147.69</v>
      </c>
      <c r="I21" s="207">
        <f t="shared" si="3"/>
        <v>281828.42</v>
      </c>
      <c r="J21" s="217">
        <v>622.99</v>
      </c>
      <c r="K21" s="218">
        <f t="shared" si="2"/>
        <v>281205.43</v>
      </c>
      <c r="L21" s="222">
        <f t="shared" si="4"/>
        <v>-2</v>
      </c>
      <c r="M21" s="219">
        <f t="shared" si="1"/>
        <v>2.2154266366762551E-3</v>
      </c>
      <c r="N21" s="220"/>
      <c r="O21" s="221"/>
    </row>
    <row r="22" spans="1:22" x14ac:dyDescent="0.25">
      <c r="A22" s="205">
        <v>42818</v>
      </c>
      <c r="B22" s="192">
        <v>5451.7700000000023</v>
      </c>
      <c r="C22">
        <f>SUM($B$2:B22)</f>
        <v>36900.762000000002</v>
      </c>
      <c r="F22" s="206">
        <v>42780</v>
      </c>
      <c r="G22" s="207">
        <v>4521.59</v>
      </c>
      <c r="H22" s="207">
        <v>279182.15999999997</v>
      </c>
      <c r="I22" s="207">
        <f t="shared" si="3"/>
        <v>283703.75</v>
      </c>
      <c r="J22" s="217">
        <v>2496.31</v>
      </c>
      <c r="K22" s="218">
        <f t="shared" si="2"/>
        <v>281207.44</v>
      </c>
      <c r="L22" s="222">
        <f t="shared" si="4"/>
        <v>2.0100000000093132</v>
      </c>
      <c r="M22" s="219">
        <f t="shared" si="1"/>
        <v>8.8771122129627858E-3</v>
      </c>
      <c r="N22" s="220"/>
      <c r="O22" s="221"/>
    </row>
    <row r="23" spans="1:22" x14ac:dyDescent="0.25">
      <c r="A23" s="205">
        <v>42824</v>
      </c>
      <c r="B23" s="192">
        <v>-2571.2699999999986</v>
      </c>
      <c r="C23">
        <f>SUM($B$2:B23)</f>
        <v>34329.492000000006</v>
      </c>
      <c r="F23" s="206">
        <v>42782</v>
      </c>
      <c r="G23" s="207">
        <v>9264.49</v>
      </c>
      <c r="H23" s="207">
        <v>272766.95</v>
      </c>
      <c r="I23" s="207">
        <f t="shared" si="3"/>
        <v>282031.44</v>
      </c>
      <c r="J23" s="217">
        <v>823.97</v>
      </c>
      <c r="K23" s="223">
        <f t="shared" si="2"/>
        <v>281207.47000000003</v>
      </c>
      <c r="L23" s="222">
        <f t="shared" si="4"/>
        <v>3.0000000027939677E-2</v>
      </c>
      <c r="M23" s="219">
        <f t="shared" si="1"/>
        <v>2.930114196468536E-3</v>
      </c>
      <c r="N23" s="220"/>
      <c r="O23" s="221"/>
    </row>
    <row r="24" spans="1:22" x14ac:dyDescent="0.25">
      <c r="A24" s="205">
        <v>42830</v>
      </c>
      <c r="B24" s="192">
        <v>4267.4899999999961</v>
      </c>
      <c r="C24">
        <f>SUM($B$2:B24)</f>
        <v>38596.982000000004</v>
      </c>
      <c r="F24" s="210">
        <v>42786</v>
      </c>
      <c r="G24" s="207">
        <v>7736.18</v>
      </c>
      <c r="H24" s="211">
        <f>315096-35000</f>
        <v>280096</v>
      </c>
      <c r="I24" s="207">
        <f t="shared" si="3"/>
        <v>287832.18</v>
      </c>
      <c r="J24" s="217">
        <v>6608.83</v>
      </c>
      <c r="K24" s="223">
        <f t="shared" si="2"/>
        <v>281223.34999999998</v>
      </c>
      <c r="L24" s="222">
        <f t="shared" si="4"/>
        <v>15.879999999946449</v>
      </c>
      <c r="M24" s="219">
        <f t="shared" si="1"/>
        <v>2.3500289005162624E-2</v>
      </c>
      <c r="N24" s="220"/>
      <c r="O24" s="221"/>
    </row>
    <row r="25" spans="1:22" x14ac:dyDescent="0.25">
      <c r="A25" s="205">
        <v>42835</v>
      </c>
      <c r="B25" s="192">
        <v>-413.43999999999869</v>
      </c>
      <c r="C25">
        <f>SUM($B$2:B25)</f>
        <v>38183.542000000001</v>
      </c>
      <c r="F25" s="210">
        <v>42818</v>
      </c>
      <c r="G25" s="207">
        <v>833.27</v>
      </c>
      <c r="H25" s="211">
        <f>323116.64-30000</f>
        <v>293116.64</v>
      </c>
      <c r="I25" s="207">
        <f t="shared" si="3"/>
        <v>293949.91000000003</v>
      </c>
      <c r="J25" s="217">
        <v>13473.68</v>
      </c>
      <c r="K25" s="223">
        <f t="shared" si="2"/>
        <v>280476.23000000004</v>
      </c>
      <c r="L25" s="222">
        <f t="shared" si="4"/>
        <v>-747.11999999993714</v>
      </c>
      <c r="M25" s="219">
        <f t="shared" si="1"/>
        <v>4.8038580666889305E-2</v>
      </c>
      <c r="N25" s="224"/>
      <c r="O25" s="225"/>
      <c r="P25" s="226"/>
      <c r="Q25" s="235"/>
      <c r="R25" s="165"/>
      <c r="S25" s="165"/>
      <c r="T25" s="165"/>
      <c r="U25" s="165"/>
      <c r="V25" s="165"/>
    </row>
    <row r="26" spans="1:22" x14ac:dyDescent="0.25">
      <c r="A26" s="205">
        <v>42836</v>
      </c>
      <c r="B26" s="192">
        <v>2070.7900000000009</v>
      </c>
      <c r="C26">
        <f>SUM($B$2:B26)</f>
        <v>40254.332000000002</v>
      </c>
      <c r="F26" s="210">
        <v>42842</v>
      </c>
      <c r="G26" s="207">
        <v>33978.93</v>
      </c>
      <c r="H26" s="207">
        <v>258300.95</v>
      </c>
      <c r="I26" s="207">
        <f t="shared" si="3"/>
        <v>292279.88</v>
      </c>
      <c r="J26" s="217">
        <v>11042.46</v>
      </c>
      <c r="K26" s="223">
        <f t="shared" si="2"/>
        <v>281237.42</v>
      </c>
      <c r="L26" s="222">
        <f t="shared" si="4"/>
        <v>761.18999999994412</v>
      </c>
      <c r="M26" s="219">
        <f t="shared" si="1"/>
        <v>3.9263836227767981E-2</v>
      </c>
      <c r="N26" s="224"/>
      <c r="O26" s="225"/>
      <c r="P26" s="226"/>
      <c r="Q26" s="235"/>
      <c r="R26" s="104"/>
      <c r="S26" s="236"/>
      <c r="T26" s="237"/>
      <c r="U26" s="238"/>
      <c r="V26" s="165"/>
    </row>
    <row r="27" spans="1:22" x14ac:dyDescent="0.25">
      <c r="A27" s="205">
        <v>42837</v>
      </c>
      <c r="B27" s="192">
        <v>-3839.3599999999988</v>
      </c>
      <c r="C27">
        <f>SUM($B$2:B27)</f>
        <v>36414.972000000002</v>
      </c>
      <c r="F27" s="210">
        <v>42830</v>
      </c>
      <c r="G27" s="211">
        <v>5104.66</v>
      </c>
      <c r="H27" s="211">
        <v>290564.01</v>
      </c>
      <c r="I27" s="207">
        <f t="shared" si="3"/>
        <v>295668.67</v>
      </c>
      <c r="J27" s="211">
        <f>SUM(逐日资产统计!G196:G204)</f>
        <v>15169.899999999998</v>
      </c>
      <c r="K27" s="223">
        <f t="shared" si="2"/>
        <v>280498.76999999996</v>
      </c>
      <c r="L27" s="222">
        <f t="shared" si="4"/>
        <v>-738.65000000002328</v>
      </c>
      <c r="M27" s="219">
        <f t="shared" si="1"/>
        <v>5.4081877079175784E-2</v>
      </c>
      <c r="N27" s="224"/>
      <c r="O27" s="225"/>
      <c r="P27" s="226"/>
      <c r="Q27" s="235"/>
      <c r="R27" s="165"/>
      <c r="S27" s="165"/>
      <c r="T27" s="165"/>
      <c r="U27" s="165"/>
      <c r="V27" s="165"/>
    </row>
    <row r="28" spans="1:22" x14ac:dyDescent="0.25">
      <c r="A28" s="205">
        <v>42838</v>
      </c>
      <c r="B28" s="192">
        <v>-216.61000000000058</v>
      </c>
      <c r="C28">
        <f>SUM($B$2:B28)</f>
        <v>36198.362000000001</v>
      </c>
      <c r="F28" s="210">
        <v>42836</v>
      </c>
      <c r="G28" s="212">
        <f>SUMIFS(逐日资产统计!$I:$I,逐日资产统计!$A:$A,F28,逐日资产统计!$C:$C,"人民币")</f>
        <v>0</v>
      </c>
      <c r="H28" s="212">
        <f>SUMIF(逐日资产统计!$A:$A,汇总统计!$F28,逐日资产统计!$I:$I)-G28</f>
        <v>297342.77999999997</v>
      </c>
      <c r="I28" s="207">
        <f t="shared" si="3"/>
        <v>297342.77999999997</v>
      </c>
      <c r="J28" s="212">
        <f>SUMIF(逐日资产统计!$A:$A,汇总统计!$F28,逐日资产统计!$G:$G)</f>
        <v>16827.25</v>
      </c>
      <c r="K28" s="223">
        <f t="shared" ref="K28:K33" si="5">I28-J28</f>
        <v>280515.52999999997</v>
      </c>
      <c r="L28" s="222">
        <f t="shared" si="4"/>
        <v>16.760000000009313</v>
      </c>
      <c r="M28" s="219">
        <f t="shared" si="1"/>
        <v>5.9986874879975456E-2</v>
      </c>
      <c r="N28" s="224"/>
      <c r="O28" s="225"/>
      <c r="P28" s="226"/>
      <c r="Q28" s="235"/>
      <c r="R28" s="165"/>
      <c r="S28" s="165"/>
      <c r="T28" s="165"/>
      <c r="U28" s="165"/>
      <c r="V28" s="165"/>
    </row>
    <row r="29" spans="1:22" x14ac:dyDescent="0.25">
      <c r="A29" s="205">
        <v>42842</v>
      </c>
      <c r="B29" s="192">
        <v>-5752.7500000000018</v>
      </c>
      <c r="C29">
        <f>SUM($B$2:B29)</f>
        <v>30445.612000000001</v>
      </c>
      <c r="F29" s="210">
        <v>42837</v>
      </c>
      <c r="G29" s="212">
        <f>SUMIFS(逐日资产统计!$I:$I,逐日资产统计!$A:$A,F29,逐日资产统计!$C:$C,"人民币")</f>
        <v>0</v>
      </c>
      <c r="H29" s="212">
        <f>SUMIF(逐日资产统计!$A:$A,汇总统计!$F29,逐日资产统计!$I:$I)-G29</f>
        <v>293503.31999999995</v>
      </c>
      <c r="I29" s="207">
        <f t="shared" ref="I29:I34" si="6">G29+H29</f>
        <v>293503.31999999995</v>
      </c>
      <c r="J29" s="212">
        <f>SUMIF(逐日资产统计!$A:$A,汇总统计!$F29,逐日资产统计!$G:$G)</f>
        <v>12987.890000000001</v>
      </c>
      <c r="K29" s="223">
        <f t="shared" si="5"/>
        <v>280515.42999999993</v>
      </c>
      <c r="L29" s="222">
        <f t="shared" si="4"/>
        <v>-0.1000000000349246</v>
      </c>
      <c r="M29" s="219">
        <f t="shared" si="1"/>
        <v>4.6300091228493219E-2</v>
      </c>
      <c r="N29" s="220"/>
      <c r="O29" s="221"/>
    </row>
    <row r="30" spans="1:22" x14ac:dyDescent="0.25">
      <c r="A30" s="205">
        <v>42845</v>
      </c>
      <c r="B30" s="192">
        <v>-6749.579999999999</v>
      </c>
      <c r="C30">
        <f>SUM($B$2:B30)</f>
        <v>23696.032000000003</v>
      </c>
      <c r="F30" s="210">
        <v>42842</v>
      </c>
      <c r="G30" s="212">
        <f>SUMIFS(逐日资产统计!$I:$I,逐日资产统计!$A:$A,F30,逐日资产统计!$C:$C,"人民币")</f>
        <v>0</v>
      </c>
      <c r="H30" s="212">
        <f>SUMIF(逐日资产统计!$A:$A,汇总统计!$F30,逐日资产统计!$I:$I)-G30</f>
        <v>287534.09999999998</v>
      </c>
      <c r="I30" s="207">
        <f t="shared" si="6"/>
        <v>287534.09999999998</v>
      </c>
      <c r="J30" s="212">
        <f>SUMIF(逐日资产统计!$A:$A,汇总统计!$F30,逐日资产统计!$G:$G)</f>
        <v>7018.5299999999988</v>
      </c>
      <c r="K30" s="223">
        <f t="shared" si="5"/>
        <v>280515.56999999995</v>
      </c>
      <c r="L30" s="222">
        <f t="shared" si="4"/>
        <v>0.14000000001396984</v>
      </c>
      <c r="M30" s="219">
        <f t="shared" si="1"/>
        <v>2.5020108509484874E-2</v>
      </c>
      <c r="N30" s="220"/>
      <c r="O30" s="221"/>
    </row>
    <row r="31" spans="1:22" x14ac:dyDescent="0.25">
      <c r="A31" s="205">
        <v>42849</v>
      </c>
      <c r="B31" s="192">
        <v>-8976.9</v>
      </c>
      <c r="C31">
        <f>SUM($B$2:B31)</f>
        <v>14719.132000000003</v>
      </c>
      <c r="F31" s="210">
        <v>42849</v>
      </c>
      <c r="G31" s="212">
        <f>SUMIFS(逐日资产统计!$I:$I,逐日资产统计!$A:$A,F31,逐日资产统计!$C:$C,"人民币")</f>
        <v>0</v>
      </c>
      <c r="H31" s="212">
        <f>SUMIF(逐日资产统计!$A:$A,汇总统计!$F31,逐日资产统计!$I:$I)-G31</f>
        <v>291807.62</v>
      </c>
      <c r="I31" s="207">
        <f t="shared" si="6"/>
        <v>291807.62</v>
      </c>
      <c r="J31" s="212">
        <f>SUMIF(逐日资产统计!$A:$A,汇总统计!$F31,逐日资产统计!$G:$G)</f>
        <v>-8707.9500000000007</v>
      </c>
      <c r="K31" s="223">
        <f t="shared" si="5"/>
        <v>300515.57</v>
      </c>
      <c r="L31" s="222">
        <f t="shared" si="4"/>
        <v>20000.000000000058</v>
      </c>
      <c r="M31" s="219">
        <f t="shared" si="1"/>
        <v>-2.8976701606509107E-2</v>
      </c>
      <c r="N31" s="220"/>
      <c r="O31" s="221"/>
    </row>
    <row r="32" spans="1:22" x14ac:dyDescent="0.25">
      <c r="A32" s="205">
        <v>42851</v>
      </c>
      <c r="B32" s="192">
        <v>1460.050000000002</v>
      </c>
      <c r="C32">
        <f>SUM($B$2:B32)</f>
        <v>16179.182000000004</v>
      </c>
      <c r="F32" s="210">
        <f>A32</f>
        <v>42851</v>
      </c>
      <c r="G32" s="212">
        <f>SUMIFS(逐日资产统计!$I:$I,逐日资产统计!$A:$A,F32,逐日资产统计!$C:$C,"人民币")</f>
        <v>0</v>
      </c>
      <c r="H32" s="212">
        <f>SUMIF(逐日资产统计!$A:$A,汇总统计!$F32,逐日资产统计!$I:$I)-G32</f>
        <v>293267.60000000003</v>
      </c>
      <c r="I32" s="207">
        <f t="shared" si="6"/>
        <v>293267.60000000003</v>
      </c>
      <c r="J32" s="212">
        <f>SUMIF(逐日资产统计!$A:$A,汇总统计!$F32,逐日资产统计!$G:$G)</f>
        <v>-7247.8999999999987</v>
      </c>
      <c r="K32" s="223">
        <f t="shared" si="5"/>
        <v>300515.50000000006</v>
      </c>
      <c r="L32" s="222">
        <f t="shared" si="4"/>
        <v>-6.9999999948777258E-2</v>
      </c>
      <c r="M32" s="219">
        <f t="shared" si="1"/>
        <v>-2.4118223519252743E-2</v>
      </c>
      <c r="N32" s="220"/>
      <c r="O32" s="221"/>
    </row>
    <row r="33" spans="1:16" x14ac:dyDescent="0.25">
      <c r="A33" s="205">
        <v>42852</v>
      </c>
      <c r="B33" s="192">
        <v>7160.9959999999992</v>
      </c>
      <c r="C33">
        <f>SUM($B$2:B33)</f>
        <v>23340.178000000004</v>
      </c>
      <c r="F33" s="210">
        <f>A33</f>
        <v>42852</v>
      </c>
      <c r="G33" s="212">
        <f>SUMIFS(逐日资产统计!$I:$I,逐日资产统计!$A:$A,F33,逐日资产统计!$C:$C,"人民币")</f>
        <v>0</v>
      </c>
      <c r="H33" s="212">
        <f>SUMIF(逐日资产统计!$A:$A,汇总统计!$F33,逐日资产统计!$I:$I)-G33</f>
        <v>300431.17</v>
      </c>
      <c r="I33" s="207">
        <f t="shared" si="6"/>
        <v>300431.17</v>
      </c>
      <c r="J33" s="212">
        <f>SUMIF(逐日资产统计!$A:$A,汇总统计!$F33,逐日资产统计!$G:$G)</f>
        <v>-86.903999999999996</v>
      </c>
      <c r="K33" s="223">
        <f t="shared" si="5"/>
        <v>300518.07399999996</v>
      </c>
      <c r="L33" s="222">
        <f t="shared" si="4"/>
        <v>2.5739999999059364</v>
      </c>
      <c r="M33" s="219">
        <f t="shared" si="1"/>
        <v>-2.8918061014859294E-4</v>
      </c>
      <c r="N33" s="227"/>
      <c r="O33" s="221"/>
    </row>
    <row r="34" spans="1:16" x14ac:dyDescent="0.25">
      <c r="A34" s="205">
        <v>42853</v>
      </c>
      <c r="B34" s="192">
        <v>163.68499999999767</v>
      </c>
      <c r="C34">
        <f>SUM($B$2:B34)</f>
        <v>23503.863000000001</v>
      </c>
      <c r="F34" s="210">
        <f>A34</f>
        <v>42853</v>
      </c>
      <c r="G34" s="212">
        <f>SUMIFS(逐日资产统计!$I:$I,逐日资产统计!$A:$A,F34,逐日资产统计!$C:$C,"人民币")</f>
        <v>0</v>
      </c>
      <c r="H34" s="212">
        <f>SUMIF(逐日资产统计!$A:$A,汇总统计!$F34,逐日资产统计!$I:$I)-G34</f>
        <v>300590.33</v>
      </c>
      <c r="I34" s="207">
        <f t="shared" si="6"/>
        <v>300590.33</v>
      </c>
      <c r="J34" s="212">
        <f>SUMIF(逐日资产统计!$A:$A,汇总统计!$F34,逐日资产统计!$G:$G)</f>
        <v>76.780999999997675</v>
      </c>
      <c r="K34" s="223">
        <f t="shared" ref="K34:K43" si="7">I34-J34</f>
        <v>300513.549</v>
      </c>
      <c r="L34" s="222">
        <f t="shared" si="4"/>
        <v>-4.5249999999650754</v>
      </c>
      <c r="M34" s="219">
        <f t="shared" si="1"/>
        <v>2.5549929530797188E-4</v>
      </c>
      <c r="N34" s="220"/>
      <c r="O34" s="221"/>
    </row>
    <row r="35" spans="1:16" x14ac:dyDescent="0.25">
      <c r="A35" s="205">
        <v>42857</v>
      </c>
      <c r="B35" s="192">
        <v>392.12300000000334</v>
      </c>
      <c r="C35">
        <f>SUM($B$2:B35)</f>
        <v>23895.986000000004</v>
      </c>
      <c r="F35" s="210">
        <f t="shared" ref="F35:F41" si="8">A35</f>
        <v>42857</v>
      </c>
      <c r="G35" s="212">
        <f>SUMIFS(逐日资产统计!$I:$I,逐日资产统计!$A:$A,F35,逐日资产统计!$C:$C,"人民币")</f>
        <v>0</v>
      </c>
      <c r="H35" s="212">
        <f>SUMIF(逐日资产统计!$A:$A,汇总统计!$F35,逐日资产统计!$I:$I)-G35</f>
        <v>300982.41000000003</v>
      </c>
      <c r="I35" s="207">
        <f t="shared" ref="I35:I43" si="9">G35+H35</f>
        <v>300982.41000000003</v>
      </c>
      <c r="J35" s="212">
        <f>SUMIF(逐日资产统计!$A:$A,汇总统计!$F35,逐日资产统计!$G:$G)</f>
        <v>468.90400000000102</v>
      </c>
      <c r="K35" s="223">
        <f t="shared" si="7"/>
        <v>300513.50600000005</v>
      </c>
      <c r="L35" s="222">
        <f t="shared" si="4"/>
        <v>-4.2999999946914613E-2</v>
      </c>
      <c r="M35" s="219">
        <f t="shared" ref="M35:M48" si="10">J35/K35</f>
        <v>1.560342515853517E-3</v>
      </c>
      <c r="N35" s="220"/>
      <c r="O35" s="221"/>
    </row>
    <row r="36" spans="1:16" x14ac:dyDescent="0.25">
      <c r="A36" s="205">
        <v>42860</v>
      </c>
      <c r="B36" s="192">
        <v>-5914.9420000000036</v>
      </c>
      <c r="C36">
        <f>SUM($B$2:B36)</f>
        <v>17981.044000000002</v>
      </c>
      <c r="F36" s="210">
        <f t="shared" si="8"/>
        <v>42860</v>
      </c>
      <c r="G36" s="213">
        <f>SUMIFS(逐日资产统计!$I:$I,逐日资产统计!$A:$A,F36,逐日资产统计!$C:$C,"人民币")</f>
        <v>0</v>
      </c>
      <c r="H36" s="212">
        <f>SUMIF(逐日资产统计!$A:$A,汇总统计!$F36,逐日资产统计!$I:$I)-G36</f>
        <v>295066.97000000003</v>
      </c>
      <c r="I36" s="207">
        <f t="shared" si="9"/>
        <v>295066.97000000003</v>
      </c>
      <c r="J36" s="212">
        <f>SUMIF(逐日资产统计!$A:$A,汇总统计!$F36,逐日资产统计!$G:$G)</f>
        <v>-5446.0380000000023</v>
      </c>
      <c r="K36" s="223">
        <f t="shared" si="7"/>
        <v>300513.00800000003</v>
      </c>
      <c r="L36" s="222">
        <f t="shared" si="4"/>
        <v>-0.49800000002142042</v>
      </c>
      <c r="M36" s="219">
        <f t="shared" si="10"/>
        <v>-1.812247009287532E-2</v>
      </c>
      <c r="N36" s="220"/>
      <c r="O36" s="221"/>
    </row>
    <row r="37" spans="1:16" x14ac:dyDescent="0.25">
      <c r="A37" s="205">
        <v>42864</v>
      </c>
      <c r="B37" s="192">
        <v>-350.03499999999985</v>
      </c>
      <c r="C37">
        <f>SUM($B$2:B37)</f>
        <v>17631.009000000002</v>
      </c>
      <c r="F37" s="210">
        <f t="shared" si="8"/>
        <v>42864</v>
      </c>
      <c r="G37" s="213">
        <f>SUMIFS(逐日资产统计!$I:$I,逐日资产统计!$A:$A,F37,逐日资产统计!$C:$C,"人民币")</f>
        <v>0</v>
      </c>
      <c r="H37" s="212">
        <f>SUMIF(逐日资产统计!$A:$A,汇总统计!$F37,逐日资产统计!$I:$I)-G37</f>
        <v>294716.52</v>
      </c>
      <c r="I37" s="207">
        <f t="shared" si="9"/>
        <v>294716.52</v>
      </c>
      <c r="J37" s="212">
        <f>SUMIF(逐日资产统计!$A:$A,汇总统计!$F37,逐日资产统计!$G:$G)</f>
        <v>-5796.0730000000021</v>
      </c>
      <c r="K37" s="223">
        <f t="shared" si="7"/>
        <v>300512.59299999999</v>
      </c>
      <c r="L37" s="222">
        <f t="shared" ref="L37:L43" si="11">K37-K36</f>
        <v>-0.4150000000372529</v>
      </c>
      <c r="M37" s="219">
        <f t="shared" si="10"/>
        <v>-1.9287288236869336E-2</v>
      </c>
      <c r="N37" s="220"/>
      <c r="O37" s="221"/>
    </row>
    <row r="38" spans="1:16" x14ac:dyDescent="0.25">
      <c r="A38" s="205">
        <v>42867</v>
      </c>
      <c r="B38" s="192">
        <v>-12552.123999999998</v>
      </c>
      <c r="C38">
        <f>SUM($B$2:B38)</f>
        <v>5078.8850000000039</v>
      </c>
      <c r="F38" s="210">
        <f t="shared" si="8"/>
        <v>42867</v>
      </c>
      <c r="G38" s="213">
        <f>SUMIFS(逐日资产统计!$I:$I,逐日资产统计!$A:$A,F38,逐日资产统计!$C:$C,"人民币")</f>
        <v>0</v>
      </c>
      <c r="H38" s="212">
        <f>SUMIF(逐日资产统计!$A:$A,汇总统计!$F38,逐日资产统计!$I:$I)-G38</f>
        <v>322164.01999999996</v>
      </c>
      <c r="I38" s="207">
        <f t="shared" si="9"/>
        <v>322164.01999999996</v>
      </c>
      <c r="J38" s="212">
        <f>SUMIF(逐日资产统计!$A:$A,汇总统计!$F38,逐日资产统计!$G:$G)</f>
        <v>-18348.197</v>
      </c>
      <c r="K38" s="223">
        <f t="shared" si="7"/>
        <v>340512.21699999995</v>
      </c>
      <c r="L38" s="222">
        <f t="shared" si="11"/>
        <v>39999.623999999953</v>
      </c>
      <c r="M38" s="219">
        <f t="shared" si="10"/>
        <v>-5.3884107776373862E-2</v>
      </c>
      <c r="N38" s="220"/>
      <c r="O38" s="221"/>
    </row>
    <row r="39" spans="1:16" x14ac:dyDescent="0.25">
      <c r="A39" s="205">
        <v>42870</v>
      </c>
      <c r="B39" s="192">
        <v>-900.67799999999988</v>
      </c>
      <c r="C39">
        <f>SUM($B$2:B39)</f>
        <v>4178.207000000004</v>
      </c>
      <c r="F39" s="210">
        <f t="shared" si="8"/>
        <v>42870</v>
      </c>
      <c r="G39" s="213">
        <f>SUMIFS(逐日资产统计!$I:$I,逐日资产统计!$A:$A,F39,逐日资产统计!$C:$C,"人民币")</f>
        <v>0</v>
      </c>
      <c r="H39" s="212">
        <f>SUMIF(逐日资产统计!$A:$A,汇总统计!$F39,逐日资产统计!$I:$I)-G39</f>
        <v>281163.25</v>
      </c>
      <c r="I39" s="207">
        <f t="shared" si="9"/>
        <v>281163.25</v>
      </c>
      <c r="J39" s="212">
        <f>SUMIF(逐日资产统计!$A:$A,汇总统计!$F39,逐日资产统计!$G:$G)</f>
        <v>-19248.875</v>
      </c>
      <c r="K39" s="223">
        <f t="shared" si="7"/>
        <v>300412.125</v>
      </c>
      <c r="L39" s="222">
        <f t="shared" si="11"/>
        <v>-40100.091999999946</v>
      </c>
      <c r="M39" s="219">
        <f t="shared" si="10"/>
        <v>-6.407489378133456E-2</v>
      </c>
      <c r="N39" s="220"/>
      <c r="O39" s="221"/>
    </row>
    <row r="40" spans="1:16" x14ac:dyDescent="0.25">
      <c r="A40" s="205">
        <v>42871</v>
      </c>
      <c r="B40" s="192">
        <v>3806.3599999999988</v>
      </c>
      <c r="C40">
        <f>SUM($B$2:B40)</f>
        <v>7984.5670000000027</v>
      </c>
      <c r="F40" s="210">
        <f t="shared" si="8"/>
        <v>42871</v>
      </c>
      <c r="G40" s="213">
        <f>SUMIFS(逐日资产统计!$I:$I,逐日资产统计!$A:$A,F40,逐日资产统计!$C:$C,"人民币")</f>
        <v>0</v>
      </c>
      <c r="H40" s="212">
        <f>SUMIF(逐日资产统计!$A:$A,汇总统计!$F40,逐日资产统计!$I:$I)-G40</f>
        <v>384969.86</v>
      </c>
      <c r="I40" s="207">
        <f t="shared" si="9"/>
        <v>384969.86</v>
      </c>
      <c r="J40" s="212">
        <f>SUMIF(逐日资产统计!$A:$A,汇总统计!$F40,逐日资产统计!$G:$G)</f>
        <v>-15442.515000000001</v>
      </c>
      <c r="K40" s="223">
        <f t="shared" si="7"/>
        <v>400412.375</v>
      </c>
      <c r="L40" s="222">
        <f t="shared" si="11"/>
        <v>100000.25</v>
      </c>
      <c r="M40" s="219">
        <f t="shared" si="10"/>
        <v>-3.8566527820225342E-2</v>
      </c>
      <c r="N40" s="220"/>
      <c r="O40" s="221"/>
      <c r="P40" s="198" t="s">
        <v>66</v>
      </c>
    </row>
    <row r="41" spans="1:16" x14ac:dyDescent="0.25">
      <c r="A41" s="205">
        <v>42872</v>
      </c>
      <c r="B41" s="192">
        <v>2626.3449999999993</v>
      </c>
      <c r="C41">
        <f>SUM($B$2:B41)</f>
        <v>10610.912000000002</v>
      </c>
      <c r="F41" s="210">
        <f t="shared" si="8"/>
        <v>42872</v>
      </c>
      <c r="G41" s="213">
        <f>SUMIFS(逐日资产统计!$I:$I,逐日资产统计!$A:$A,F41,逐日资产统计!$C:$C,"人民币")</f>
        <v>0</v>
      </c>
      <c r="H41" s="212">
        <f>SUMIF(逐日资产统计!$A:$A,汇总统计!$F41,逐日资产统计!$I:$I)-G41</f>
        <v>387610.86</v>
      </c>
      <c r="I41" s="207">
        <f t="shared" si="9"/>
        <v>387610.86</v>
      </c>
      <c r="J41" s="212">
        <f>SUMIF(逐日资产统计!$A:$A,汇总统计!$F41,逐日资产统计!$G:$G)</f>
        <v>-12816.170000000002</v>
      </c>
      <c r="K41" s="223">
        <f t="shared" si="7"/>
        <v>400427.02999999997</v>
      </c>
      <c r="L41" s="222">
        <f t="shared" si="11"/>
        <v>14.654999999969732</v>
      </c>
      <c r="M41" s="219">
        <f t="shared" si="10"/>
        <v>-3.2006255921334791E-2</v>
      </c>
      <c r="N41" s="220"/>
      <c r="O41" s="221"/>
    </row>
    <row r="42" spans="1:16" x14ac:dyDescent="0.25">
      <c r="A42" s="205">
        <v>42873</v>
      </c>
      <c r="B42" s="192">
        <v>-1224.0799999999963</v>
      </c>
      <c r="C42">
        <f>SUM($B$2:B42)</f>
        <v>9386.8320000000058</v>
      </c>
      <c r="F42" s="210">
        <f t="shared" ref="F42:F47" si="12">A42</f>
        <v>42873</v>
      </c>
      <c r="G42" s="213">
        <f>SUMIFS(逐日资产统计!$I:$I,逐日资产统计!$A:$A,F42,逐日资产统计!$C:$C,"人民币")</f>
        <v>0</v>
      </c>
      <c r="H42" s="212">
        <f>SUMIF(逐日资产统计!$A:$A,汇总统计!$F42,逐日资产统计!$I:$I)-G42</f>
        <v>386377.5</v>
      </c>
      <c r="I42" s="207">
        <f t="shared" si="9"/>
        <v>386377.5</v>
      </c>
      <c r="J42" s="212">
        <f>SUMIF(逐日资产统计!$A:$A,汇总统计!$F42,逐日资产统计!$G:$G)</f>
        <v>-14040.249999999998</v>
      </c>
      <c r="K42" s="223">
        <f t="shared" si="7"/>
        <v>400417.75</v>
      </c>
      <c r="L42" s="222">
        <f t="shared" si="11"/>
        <v>-9.279999999969732</v>
      </c>
      <c r="M42" s="219">
        <f t="shared" si="10"/>
        <v>-3.5064005029747054E-2</v>
      </c>
      <c r="N42" s="220"/>
      <c r="O42" s="221"/>
    </row>
    <row r="43" spans="1:16" x14ac:dyDescent="0.25">
      <c r="A43" s="205">
        <v>42878</v>
      </c>
      <c r="B43" s="192">
        <v>-2349.58</v>
      </c>
      <c r="C43">
        <f>SUM($B$2:B43)</f>
        <v>7037.2520000000059</v>
      </c>
      <c r="F43" s="210">
        <f t="shared" si="12"/>
        <v>42878</v>
      </c>
      <c r="G43" s="213">
        <f>SUMIFS(逐日资产统计!$I:$I,逐日资产统计!$A:$A,F43,逐日资产统计!$C:$C,"人民币")</f>
        <v>0</v>
      </c>
      <c r="H43" s="212">
        <f>SUMIF(逐日资产统计!$A:$A,汇总统计!$F43,逐日资产统计!$I:$I)-G43</f>
        <v>384026</v>
      </c>
      <c r="I43" s="207">
        <f t="shared" si="9"/>
        <v>384026</v>
      </c>
      <c r="J43" s="212">
        <f>SUMIF(逐日资产统计!$A:$A,汇总统计!$F43,逐日资产统计!$G:$G)</f>
        <v>-16389.829999999998</v>
      </c>
      <c r="K43" s="223">
        <f t="shared" si="7"/>
        <v>400415.83</v>
      </c>
      <c r="L43" s="222">
        <f t="shared" si="11"/>
        <v>-1.9199999999837019</v>
      </c>
      <c r="M43" s="219">
        <f t="shared" si="10"/>
        <v>-4.0932023092094032E-2</v>
      </c>
      <c r="N43" s="220"/>
      <c r="O43" s="221"/>
    </row>
    <row r="44" spans="1:16" x14ac:dyDescent="0.25">
      <c r="A44" s="205">
        <v>42880</v>
      </c>
      <c r="B44" s="192">
        <v>4535.2499999999982</v>
      </c>
      <c r="C44">
        <f>SUM($B$2:B44)</f>
        <v>11572.502000000004</v>
      </c>
      <c r="F44" s="210">
        <f t="shared" si="12"/>
        <v>42880</v>
      </c>
      <c r="G44" s="213">
        <f>SUMIFS(逐日资产统计!$I:$I,逐日资产统计!$A:$A,F44,逐日资产统计!$C:$C,"人民币")</f>
        <v>0</v>
      </c>
      <c r="H44" s="212">
        <f>SUMIF(逐日资产统计!$A:$A,汇总统计!$F44,逐日资产统计!$I:$I)-G44</f>
        <v>388561.00999999995</v>
      </c>
      <c r="I44" s="207">
        <f t="shared" ref="I44:I55" si="13">G44+H44</f>
        <v>388561.00999999995</v>
      </c>
      <c r="J44" s="212">
        <f>SUMIF(逐日资产统计!$A:$A,汇总统计!$F44,逐日资产统计!$G:$G)</f>
        <v>-11854.58</v>
      </c>
      <c r="K44" s="223">
        <f t="shared" ref="K44:K55" si="14">I44-J44</f>
        <v>400415.58999999997</v>
      </c>
      <c r="L44" s="222">
        <f t="shared" ref="L44:L55" si="15">K44-K43</f>
        <v>-0.24000000004889444</v>
      </c>
      <c r="M44" s="219">
        <f t="shared" si="10"/>
        <v>-2.9605690427787792E-2</v>
      </c>
      <c r="N44" s="221"/>
      <c r="O44" s="221"/>
    </row>
    <row r="45" spans="1:16" x14ac:dyDescent="0.25">
      <c r="A45" s="205">
        <v>42881</v>
      </c>
      <c r="B45" s="192">
        <v>6907.1699999999992</v>
      </c>
      <c r="C45">
        <f>SUM($B$2:B45)</f>
        <v>18479.672000000002</v>
      </c>
      <c r="F45" s="210">
        <f t="shared" si="12"/>
        <v>42881</v>
      </c>
      <c r="G45" s="213">
        <f>SUMIFS(逐日资产统计!$I:$I,逐日资产统计!$A:$A,F45,逐日资产统计!$C:$C,"人民币")</f>
        <v>0</v>
      </c>
      <c r="H45" s="212">
        <f>SUMIF(逐日资产统计!$A:$A,汇总统计!$F45,逐日资产统计!$I:$I)-G45</f>
        <v>395523.19999999995</v>
      </c>
      <c r="I45" s="207">
        <f t="shared" si="13"/>
        <v>395523.19999999995</v>
      </c>
      <c r="J45" s="212">
        <f>SUMIF(逐日资产统计!$A:$A,汇总统计!$F45,逐日资产统计!$G:$G)</f>
        <v>-4947.4100000000008</v>
      </c>
      <c r="K45" s="223">
        <f t="shared" si="14"/>
        <v>400470.60999999993</v>
      </c>
      <c r="L45" s="222">
        <f t="shared" si="15"/>
        <v>55.019999999960419</v>
      </c>
      <c r="M45" s="219">
        <f t="shared" si="10"/>
        <v>-1.2353990221654471E-2</v>
      </c>
      <c r="N45" s="221"/>
      <c r="O45" s="221"/>
    </row>
    <row r="46" spans="1:16" x14ac:dyDescent="0.25">
      <c r="A46" s="205">
        <v>42886</v>
      </c>
      <c r="B46" s="192">
        <v>8770.82</v>
      </c>
      <c r="C46">
        <f>SUM($B$2:B46)</f>
        <v>27250.492000000002</v>
      </c>
      <c r="F46" s="210">
        <f t="shared" si="12"/>
        <v>42886</v>
      </c>
      <c r="G46" s="213">
        <f>SUMIFS(逐日资产统计!$I:$I,逐日资产统计!$A:$A,F46,逐日资产统计!$C:$C,"人民币")</f>
        <v>0</v>
      </c>
      <c r="H46" s="212">
        <f>SUMIF(逐日资产统计!$A:$A,汇总统计!$F46,逐日资产统计!$I:$I)-G46</f>
        <v>404294.02</v>
      </c>
      <c r="I46" s="207">
        <f t="shared" si="13"/>
        <v>404294.02</v>
      </c>
      <c r="J46" s="212">
        <f>SUMIF(逐日资产统计!$A:$A,汇总统计!$F46,逐日资产统计!$G:$G)</f>
        <v>3823.4099999999989</v>
      </c>
      <c r="K46" s="223">
        <f t="shared" si="14"/>
        <v>400470.61000000004</v>
      </c>
      <c r="L46" s="222">
        <f t="shared" si="15"/>
        <v>0</v>
      </c>
      <c r="M46" s="219">
        <f t="shared" si="10"/>
        <v>9.5472923718422139E-3</v>
      </c>
      <c r="N46" s="221"/>
      <c r="O46" s="221"/>
    </row>
    <row r="47" spans="1:16" x14ac:dyDescent="0.25">
      <c r="A47" s="205">
        <v>42888</v>
      </c>
      <c r="B47" s="192">
        <v>5836.8899999999931</v>
      </c>
      <c r="C47">
        <f>SUM($B$2:B47)</f>
        <v>33087.381999999998</v>
      </c>
      <c r="F47" s="210">
        <f t="shared" si="12"/>
        <v>42888</v>
      </c>
      <c r="G47" s="213">
        <f>SUMIFS(逐日资产统计!$I:$I,逐日资产统计!$A:$A,F47,逐日资产统计!$C:$C,"人民币")</f>
        <v>0</v>
      </c>
      <c r="H47" s="212">
        <f>SUMIF(逐日资产统计!$A:$A,汇总统计!$F47,逐日资产统计!$I:$I)-G47</f>
        <v>410130.82</v>
      </c>
      <c r="I47" s="207">
        <f t="shared" si="13"/>
        <v>410130.82</v>
      </c>
      <c r="J47" s="212">
        <f>SUMIF(逐日资产统计!$A:$A,汇总统计!$F47,逐日资产统计!$G:$G)</f>
        <v>9660.299999999992</v>
      </c>
      <c r="K47" s="223">
        <f t="shared" si="14"/>
        <v>400470.52</v>
      </c>
      <c r="L47" s="222">
        <f t="shared" si="15"/>
        <v>-9.0000000025611371E-2</v>
      </c>
      <c r="M47" s="219">
        <f t="shared" si="10"/>
        <v>2.4122374850463379E-2</v>
      </c>
      <c r="N47" s="221"/>
      <c r="O47" s="221"/>
    </row>
    <row r="48" spans="1:16" x14ac:dyDescent="0.25">
      <c r="A48" s="205">
        <v>42891</v>
      </c>
      <c r="B48" s="192">
        <v>-2883.5299999999943</v>
      </c>
      <c r="C48">
        <f>SUM($B$2:B48)</f>
        <v>30203.852000000003</v>
      </c>
      <c r="F48" s="210">
        <f t="shared" ref="F48:F55" si="16">A48</f>
        <v>42891</v>
      </c>
      <c r="G48" s="213">
        <f>SUMIFS(逐日资产统计!$I:$I,逐日资产统计!$A:$A,F48,逐日资产统计!$C:$C,"人民币")</f>
        <v>0</v>
      </c>
      <c r="H48" s="212">
        <f>SUMIF(逐日资产统计!$A:$A,汇总统计!$F48,逐日资产统计!$I:$I)-G48</f>
        <v>407249.86000000004</v>
      </c>
      <c r="I48" s="207">
        <f t="shared" si="13"/>
        <v>407249.86000000004</v>
      </c>
      <c r="J48" s="212">
        <f>SUMIF(逐日资产统计!$A:$A,汇总统计!$F48,逐日资产统计!$G:$G)</f>
        <v>6776.7699999999977</v>
      </c>
      <c r="K48" s="223">
        <f t="shared" si="14"/>
        <v>400473.09</v>
      </c>
      <c r="L48" s="222">
        <f t="shared" si="15"/>
        <v>2.5700000000069849</v>
      </c>
      <c r="M48" s="219">
        <f t="shared" si="10"/>
        <v>1.6921911032773757E-2</v>
      </c>
      <c r="N48" s="221"/>
      <c r="O48" s="221"/>
    </row>
    <row r="49" spans="1:17" x14ac:dyDescent="0.25">
      <c r="A49" s="205">
        <v>42893</v>
      </c>
      <c r="B49" s="192">
        <v>2687.2500000000027</v>
      </c>
      <c r="C49">
        <f>SUM($B$2:B49)</f>
        <v>32891.102000000006</v>
      </c>
      <c r="F49" s="210">
        <f t="shared" si="16"/>
        <v>42893</v>
      </c>
      <c r="G49" s="213">
        <f>SUMIFS(逐日资产统计!$I:$I,逐日资产统计!$A:$A,F49,逐日资产统计!$C:$C,"人民币")</f>
        <v>0</v>
      </c>
      <c r="H49" s="212">
        <f>SUMIF(逐日资产统计!$A:$A,汇总统计!$F49,逐日资产统计!$I:$I)-G49</f>
        <v>409936.87</v>
      </c>
      <c r="I49" s="207">
        <f t="shared" si="13"/>
        <v>409936.87</v>
      </c>
      <c r="J49" s="212">
        <f>SUMIF(逐日资产统计!$A:$A,汇总统计!$F49,逐日资产统计!$G:$G)</f>
        <v>9464.02</v>
      </c>
      <c r="K49" s="223">
        <f t="shared" si="14"/>
        <v>400472.85</v>
      </c>
      <c r="L49" s="222">
        <f t="shared" si="15"/>
        <v>-0.24000000004889444</v>
      </c>
      <c r="M49" s="219">
        <f t="shared" ref="M49:M55" si="17">J49/K49</f>
        <v>2.3632113887370895E-2</v>
      </c>
      <c r="N49" s="221"/>
      <c r="O49" s="221"/>
    </row>
    <row r="50" spans="1:17" x14ac:dyDescent="0.25">
      <c r="A50" s="205">
        <v>42894</v>
      </c>
      <c r="B50" s="192">
        <v>-1812.8400000000038</v>
      </c>
      <c r="C50">
        <f>SUM($B$2:B50)</f>
        <v>31078.262000000002</v>
      </c>
      <c r="F50" s="210">
        <f t="shared" si="16"/>
        <v>42894</v>
      </c>
      <c r="G50" s="213">
        <f>SUMIFS(逐日资产统计!$I:$I,逐日资产统计!$A:$A,F50,逐日资产统计!$C:$C,"人民币")</f>
        <v>0</v>
      </c>
      <c r="H50" s="212">
        <f>SUMIF(逐日资产统计!$A:$A,汇总统计!$F50,逐日资产统计!$I:$I)-G50</f>
        <v>408124.03</v>
      </c>
      <c r="I50" s="207">
        <f t="shared" si="13"/>
        <v>408124.03</v>
      </c>
      <c r="J50" s="212">
        <f>SUMIF(逐日资产统计!$A:$A,汇总统计!$F50,逐日资产统计!$G:$G)</f>
        <v>7651.1799999999967</v>
      </c>
      <c r="K50" s="223">
        <f t="shared" si="14"/>
        <v>400472.85000000003</v>
      </c>
      <c r="L50" s="222">
        <f t="shared" si="15"/>
        <v>0</v>
      </c>
      <c r="M50" s="219">
        <f t="shared" si="17"/>
        <v>1.9105365070316242E-2</v>
      </c>
      <c r="N50" s="221"/>
      <c r="O50" s="221"/>
    </row>
    <row r="51" spans="1:17" x14ac:dyDescent="0.25">
      <c r="A51" s="205">
        <v>42898</v>
      </c>
      <c r="B51" s="192">
        <v>-2069.0299999999952</v>
      </c>
      <c r="C51">
        <f>SUM($B$2:B51)</f>
        <v>29009.232000000007</v>
      </c>
      <c r="F51" s="210">
        <f t="shared" si="16"/>
        <v>42898</v>
      </c>
      <c r="G51" s="213">
        <f>SUMIFS(逐日资产统计!$I:$I,逐日资产统计!$A:$A,F51,逐日资产统计!$C:$C,"人民币")</f>
        <v>0</v>
      </c>
      <c r="H51" s="212">
        <f>SUMIF(逐日资产统计!$A:$A,汇总统计!$F51,逐日资产统计!$I:$I)-G51</f>
        <v>406055.32</v>
      </c>
      <c r="I51" s="207">
        <f t="shared" si="13"/>
        <v>406055.32</v>
      </c>
      <c r="J51" s="212">
        <f>SUMIF(逐日资产统计!$A:$A,汇总统计!$F51,逐日资产统计!$G:$G)</f>
        <v>5582.1500000000015</v>
      </c>
      <c r="K51" s="223">
        <f t="shared" si="14"/>
        <v>400473.17</v>
      </c>
      <c r="L51" s="222">
        <f t="shared" si="15"/>
        <v>0.31999999994877726</v>
      </c>
      <c r="M51" s="219">
        <f t="shared" si="17"/>
        <v>1.3938886342872861E-2</v>
      </c>
      <c r="N51" s="221"/>
      <c r="O51" s="221"/>
    </row>
    <row r="52" spans="1:17" x14ac:dyDescent="0.25">
      <c r="A52" s="205">
        <v>42899</v>
      </c>
      <c r="B52" s="192">
        <v>1906.8799999999992</v>
      </c>
      <c r="C52">
        <f>SUM($B$2:B52)</f>
        <v>30916.112000000008</v>
      </c>
      <c r="F52" s="210">
        <f t="shared" si="16"/>
        <v>42899</v>
      </c>
      <c r="G52" s="213">
        <f>SUMIFS(逐日资产统计!$I:$I,逐日资产统计!$A:$A,F52,逐日资产统计!$C:$C,"人民币")</f>
        <v>0</v>
      </c>
      <c r="H52" s="212">
        <f>SUMIF(逐日资产统计!$A:$A,汇总统计!$F52,逐日资产统计!$I:$I)-G52</f>
        <v>407962.02999999997</v>
      </c>
      <c r="I52" s="207">
        <f t="shared" si="13"/>
        <v>407962.02999999997</v>
      </c>
      <c r="J52" s="212">
        <f>SUMIF(逐日资产统计!$A:$A,汇总统计!$F52,逐日资产统计!$G:$G)</f>
        <v>7489.0300000000007</v>
      </c>
      <c r="K52" s="223">
        <f t="shared" si="14"/>
        <v>400472.99999999994</v>
      </c>
      <c r="L52" s="222">
        <f t="shared" si="15"/>
        <v>-0.17000000004190952</v>
      </c>
      <c r="M52" s="219">
        <f t="shared" si="17"/>
        <v>1.8700461704034985E-2</v>
      </c>
      <c r="N52" s="221"/>
      <c r="O52" s="221"/>
    </row>
    <row r="53" spans="1:17" x14ac:dyDescent="0.25">
      <c r="A53" s="205">
        <v>42900</v>
      </c>
      <c r="B53" s="192">
        <v>1080.6800000000003</v>
      </c>
      <c r="C53">
        <f>SUM($B$2:B53)</f>
        <v>31996.792000000009</v>
      </c>
      <c r="F53" s="210">
        <f t="shared" si="16"/>
        <v>42900</v>
      </c>
      <c r="G53" s="213">
        <f>SUMIFS(逐日资产统计!$I:$I,逐日资产统计!$A:$A,F53,逐日资产统计!$C:$C,"人民币")</f>
        <v>0</v>
      </c>
      <c r="H53" s="212">
        <f>SUMIF(逐日资产统计!$A:$A,汇总统计!$F53,逐日资产统计!$I:$I)-G53</f>
        <v>409042.70999999996</v>
      </c>
      <c r="I53" s="207">
        <f t="shared" si="13"/>
        <v>409042.70999999996</v>
      </c>
      <c r="J53" s="212">
        <f>SUMIF(逐日资产统计!$A:$A,汇总统计!$F53,逐日资产统计!$G:$G)</f>
        <v>8569.7100000000009</v>
      </c>
      <c r="K53" s="223">
        <f t="shared" si="14"/>
        <v>400472.99999999994</v>
      </c>
      <c r="L53" s="222">
        <f t="shared" si="15"/>
        <v>0</v>
      </c>
      <c r="M53" s="219">
        <f t="shared" si="17"/>
        <v>2.1398970717127003E-2</v>
      </c>
      <c r="N53" s="221"/>
      <c r="O53" s="221"/>
    </row>
    <row r="54" spans="1:17" x14ac:dyDescent="0.25">
      <c r="A54" s="205">
        <v>42905</v>
      </c>
      <c r="B54" s="192">
        <v>-947.83999999999833</v>
      </c>
      <c r="C54">
        <f>SUM($B$2:B54)</f>
        <v>31048.952000000012</v>
      </c>
      <c r="F54" s="210">
        <f t="shared" si="16"/>
        <v>42905</v>
      </c>
      <c r="G54" s="213">
        <f>SUMIFS(逐日资产统计!$I:$I,逐日资产统计!$A:$A,F54,逐日资产统计!$C:$C,"人民币")</f>
        <v>0</v>
      </c>
      <c r="H54" s="212">
        <f>SUMIF(逐日资产统计!$A:$A,汇总统计!$F54,逐日资产统计!$I:$I)-G54</f>
        <v>408094.7</v>
      </c>
      <c r="I54" s="207">
        <f t="shared" si="13"/>
        <v>408094.7</v>
      </c>
      <c r="J54" s="212">
        <f>SUMIF(逐日资产统计!$A:$A,汇总统计!$F54,逐日资产统计!$G:$G)</f>
        <v>7621.8700000000026</v>
      </c>
      <c r="K54" s="223">
        <f t="shared" si="14"/>
        <v>400472.83</v>
      </c>
      <c r="L54" s="222">
        <f t="shared" si="15"/>
        <v>-0.16999999992549419</v>
      </c>
      <c r="M54" s="219">
        <f t="shared" si="17"/>
        <v>1.9032177538735904E-2</v>
      </c>
      <c r="N54" s="221"/>
      <c r="O54" s="221"/>
    </row>
    <row r="55" spans="1:17" x14ac:dyDescent="0.25">
      <c r="A55" s="205">
        <v>42907</v>
      </c>
      <c r="B55" s="192">
        <v>2338.2899999999972</v>
      </c>
      <c r="C55">
        <f>SUM($B$2:B55)</f>
        <v>33387.242000000013</v>
      </c>
      <c r="F55" s="210">
        <f t="shared" si="16"/>
        <v>42907</v>
      </c>
      <c r="G55" s="213">
        <f>SUMIFS(逐日资产统计!$I:$I,逐日资产统计!$A:$A,F55,逐日资产统计!$C:$C,"人民币")</f>
        <v>0</v>
      </c>
      <c r="H55" s="212">
        <f>SUMIF(逐日资产统计!$A:$A,汇总统计!$F55,逐日资产统计!$I:$I)-G55</f>
        <v>410414.86000000004</v>
      </c>
      <c r="I55" s="207">
        <f t="shared" si="13"/>
        <v>410414.86000000004</v>
      </c>
      <c r="J55" s="212">
        <f>SUMIF(逐日资产统计!$A:$A,汇总统计!$F55,逐日资产统计!$G:$G)</f>
        <v>9960.16</v>
      </c>
      <c r="K55" s="223">
        <f t="shared" si="14"/>
        <v>400454.70000000007</v>
      </c>
      <c r="L55" s="222">
        <f t="shared" si="15"/>
        <v>-18.129999999946449</v>
      </c>
      <c r="M55" s="219">
        <f t="shared" si="17"/>
        <v>2.4872126610075991E-2</v>
      </c>
      <c r="N55" s="221"/>
      <c r="O55" s="221"/>
    </row>
    <row r="56" spans="1:17" x14ac:dyDescent="0.25">
      <c r="A56" s="205">
        <v>42912</v>
      </c>
      <c r="B56" s="192">
        <v>185.82999999999811</v>
      </c>
      <c r="C56">
        <f>SUM($B$2:B56)</f>
        <v>33573.072000000015</v>
      </c>
      <c r="F56" s="210">
        <f t="shared" ref="F56:F62" si="18">A56</f>
        <v>42912</v>
      </c>
      <c r="G56" s="213">
        <f>SUMIFS(逐日资产统计!$I:$I,逐日资产统计!$A:$A,F56,逐日资产统计!$C:$C,"人民币")</f>
        <v>0</v>
      </c>
      <c r="H56" s="212">
        <f>SUMIF(逐日资产统计!$A:$A,汇总统计!$F56,逐日资产统计!$I:$I)-G56</f>
        <v>410464.94</v>
      </c>
      <c r="I56" s="207">
        <f t="shared" ref="I56:I62" si="19">G56+H56</f>
        <v>410464.94</v>
      </c>
      <c r="J56" s="212">
        <f>SUMIF(逐日资产统计!$A:$A,汇总统计!$F56,逐日资产统计!$G:$G)</f>
        <v>10145.989999999998</v>
      </c>
      <c r="K56" s="223">
        <f t="shared" ref="K56:K62" si="20">I56-J56</f>
        <v>400318.95</v>
      </c>
      <c r="L56" s="222">
        <f t="shared" ref="L56:L62" si="21">K56-K55</f>
        <v>-135.75000000005821</v>
      </c>
      <c r="M56" s="219">
        <f t="shared" ref="M56:M62" si="22">J56/K56</f>
        <v>2.5344765717436053E-2</v>
      </c>
      <c r="N56" s="221"/>
      <c r="O56" s="221"/>
      <c r="P56" s="198" t="s">
        <v>81</v>
      </c>
      <c r="Q56" s="200" t="s">
        <v>82</v>
      </c>
    </row>
    <row r="57" spans="1:17" x14ac:dyDescent="0.25">
      <c r="A57" s="205">
        <v>42914</v>
      </c>
      <c r="B57" s="192">
        <v>-3757.5499999999975</v>
      </c>
      <c r="C57">
        <f>SUM($B$2:B57)</f>
        <v>29815.522000000019</v>
      </c>
      <c r="F57" s="210">
        <f t="shared" si="18"/>
        <v>42914</v>
      </c>
      <c r="G57" s="213">
        <f>SUMIFS(逐日资产统计!$I:$I,逐日资产统计!$A:$A,F57,逐日资产统计!$C:$C,"人民币")</f>
        <v>0</v>
      </c>
      <c r="H57" s="212">
        <f>SUMIF(逐日资产统计!$A:$A,汇总统计!$F57,逐日资产统计!$I:$I)-G57</f>
        <v>406697.36</v>
      </c>
      <c r="I57" s="207">
        <f t="shared" si="19"/>
        <v>406697.36</v>
      </c>
      <c r="J57" s="212">
        <f>SUMIF(逐日资产统计!$A:$A,汇总统计!$F57,逐日资产统计!$G:$G)</f>
        <v>6388.4400000000005</v>
      </c>
      <c r="K57" s="223">
        <f t="shared" si="20"/>
        <v>400308.92</v>
      </c>
      <c r="L57" s="222">
        <f t="shared" si="21"/>
        <v>-10.03000000002794</v>
      </c>
      <c r="M57" s="219">
        <f t="shared" si="22"/>
        <v>1.5958775038038126E-2</v>
      </c>
      <c r="N57" s="221"/>
      <c r="O57" s="221"/>
      <c r="P57" s="198" t="s">
        <v>81</v>
      </c>
      <c r="Q57" s="200" t="s">
        <v>83</v>
      </c>
    </row>
    <row r="58" spans="1:17" x14ac:dyDescent="0.25">
      <c r="A58" s="205">
        <v>42919</v>
      </c>
      <c r="B58" s="192">
        <v>4688.4699999999993</v>
      </c>
      <c r="C58">
        <f>SUM($B$2:B58)</f>
        <v>34503.99200000002</v>
      </c>
      <c r="F58" s="210">
        <f t="shared" si="18"/>
        <v>42919</v>
      </c>
      <c r="G58" s="213">
        <f>SUMIFS(逐日资产统计!$I:$I,逐日资产统计!$A:$A,F58,逐日资产统计!$C:$C,"人民币")</f>
        <v>0</v>
      </c>
      <c r="H58" s="212">
        <f>SUMIF(逐日资产统计!$A:$A,汇总统计!$F58,逐日资产统计!$I:$I)-G58</f>
        <v>411385.56999999995</v>
      </c>
      <c r="I58" s="207">
        <f t="shared" si="19"/>
        <v>411385.56999999995</v>
      </c>
      <c r="J58" s="212">
        <f>SUMIF(逐日资产统计!$A:$A,汇总统计!$F58,逐日资产统计!$G:$G)</f>
        <v>11076.91</v>
      </c>
      <c r="K58" s="223">
        <f t="shared" si="20"/>
        <v>400308.66</v>
      </c>
      <c r="L58" s="222">
        <f t="shared" si="21"/>
        <v>-0.26000000000931323</v>
      </c>
      <c r="M58" s="219">
        <f t="shared" si="22"/>
        <v>2.7670922732473489E-2</v>
      </c>
      <c r="N58" s="221"/>
      <c r="O58" s="221"/>
    </row>
    <row r="59" spans="1:17" x14ac:dyDescent="0.25">
      <c r="A59" s="205">
        <v>42920</v>
      </c>
      <c r="B59" s="192">
        <v>-2973.8799999999992</v>
      </c>
      <c r="C59">
        <f>SUM($B$2:B59)</f>
        <v>31530.112000000023</v>
      </c>
      <c r="F59" s="210">
        <f t="shared" si="18"/>
        <v>42920</v>
      </c>
      <c r="G59" s="213">
        <f>SUMIFS(逐日资产统计!$I:$I,逐日资产统计!$A:$A,F59,逐日资产统计!$C:$C,"人民币")</f>
        <v>0</v>
      </c>
      <c r="H59" s="212">
        <f>SUMIF(逐日资产统计!$A:$A,汇总统计!$F59,逐日资产统计!$I:$I)-G59</f>
        <v>408406.69</v>
      </c>
      <c r="I59" s="207">
        <f t="shared" si="19"/>
        <v>408406.69</v>
      </c>
      <c r="J59" s="212">
        <f>SUMIF(逐日资产统计!$A:$A,汇总统计!$F59,逐日资产统计!$G:$G)</f>
        <v>8103.0300000000007</v>
      </c>
      <c r="K59" s="223">
        <f t="shared" si="20"/>
        <v>400303.66</v>
      </c>
      <c r="L59" s="222">
        <f t="shared" si="21"/>
        <v>-5</v>
      </c>
      <c r="M59" s="219">
        <f t="shared" si="22"/>
        <v>2.0242208127699859E-2</v>
      </c>
      <c r="N59" s="221"/>
      <c r="O59" s="221"/>
      <c r="P59" s="198" t="s">
        <v>81</v>
      </c>
      <c r="Q59" s="200" t="s">
        <v>83</v>
      </c>
    </row>
    <row r="60" spans="1:17" x14ac:dyDescent="0.25">
      <c r="A60" s="205">
        <v>42921</v>
      </c>
      <c r="B60" s="192">
        <v>2255.6499999999996</v>
      </c>
      <c r="C60">
        <f>SUM($B$2:B60)</f>
        <v>33785.762000000024</v>
      </c>
      <c r="F60" s="210">
        <f t="shared" si="18"/>
        <v>42921</v>
      </c>
      <c r="G60" s="213">
        <f>SUMIFS(逐日资产统计!$I:$I,逐日资产统计!$A:$A,F60,逐日资产统计!$C:$C,"人民币")</f>
        <v>0</v>
      </c>
      <c r="H60" s="212">
        <f>SUMIF(逐日资产统计!$A:$A,汇总统计!$F60,逐日资产统计!$I:$I)-G60</f>
        <v>410662.34</v>
      </c>
      <c r="I60" s="207">
        <f t="shared" si="19"/>
        <v>410662.34</v>
      </c>
      <c r="J60" s="212">
        <f>SUMIF(逐日资产统计!$A:$A,汇总统计!$F60,逐日资产统计!$G:$G)</f>
        <v>10358.68</v>
      </c>
      <c r="K60" s="223">
        <f t="shared" si="20"/>
        <v>400303.66000000003</v>
      </c>
      <c r="L60" s="222">
        <f t="shared" si="21"/>
        <v>0</v>
      </c>
      <c r="M60" s="219">
        <f t="shared" si="22"/>
        <v>2.5877055433367758E-2</v>
      </c>
      <c r="N60" s="221"/>
      <c r="O60" s="221"/>
    </row>
    <row r="61" spans="1:17" x14ac:dyDescent="0.25">
      <c r="A61" s="205">
        <v>42922</v>
      </c>
      <c r="B61" s="192">
        <v>-1735.260000000002</v>
      </c>
      <c r="C61">
        <f>SUM($B$2:B61)</f>
        <v>32050.502000000022</v>
      </c>
      <c r="F61" s="210">
        <f t="shared" si="18"/>
        <v>42922</v>
      </c>
      <c r="G61" s="213">
        <f>SUMIFS(逐日资产统计!$I:$I,逐日资产统计!$A:$A,F61,逐日资产统计!$C:$C,"人民币")</f>
        <v>0</v>
      </c>
      <c r="H61" s="212">
        <f>SUMIF(逐日资产统计!$A:$A,汇总统计!$F61,逐日资产统计!$I:$I)-G61</f>
        <v>408922.08</v>
      </c>
      <c r="I61" s="207">
        <f t="shared" si="19"/>
        <v>408922.08</v>
      </c>
      <c r="J61" s="212">
        <f>SUMIF(逐日资产统计!$A:$A,汇总统计!$F61,逐日资产统计!$G:$G)</f>
        <v>8623.4199999999983</v>
      </c>
      <c r="K61" s="223">
        <f t="shared" si="20"/>
        <v>400298.66000000003</v>
      </c>
      <c r="L61" s="222">
        <f t="shared" si="21"/>
        <v>-5</v>
      </c>
      <c r="M61" s="219">
        <f t="shared" si="22"/>
        <v>2.1542465318270108E-2</v>
      </c>
      <c r="N61" s="221"/>
      <c r="O61" s="221"/>
      <c r="P61" s="198" t="s">
        <v>81</v>
      </c>
      <c r="Q61" s="200" t="s">
        <v>83</v>
      </c>
    </row>
    <row r="62" spans="1:17" x14ac:dyDescent="0.25">
      <c r="A62" s="205">
        <v>42923</v>
      </c>
      <c r="B62" s="192">
        <v>654.89999999999782</v>
      </c>
      <c r="C62">
        <f>SUM($B$2:B62)</f>
        <v>32705.40200000002</v>
      </c>
      <c r="F62" s="210">
        <f t="shared" si="18"/>
        <v>42923</v>
      </c>
      <c r="G62" s="213">
        <f>SUMIFS(逐日资产统计!$I:$I,逐日资产统计!$A:$A,F62,逐日资产统计!$C:$C,"人民币")</f>
        <v>0</v>
      </c>
      <c r="H62" s="212">
        <f>SUMIF(逐日资产统计!$A:$A,汇总统计!$F62,逐日资产统计!$I:$I)-G62</f>
        <v>409596.32</v>
      </c>
      <c r="I62" s="207">
        <f t="shared" si="19"/>
        <v>409596.32</v>
      </c>
      <c r="J62" s="212">
        <f>SUMIF(逐日资产统计!$A:$A,汇总统计!$F62,逐日资产统计!$G:$G)</f>
        <v>9278.3199999999961</v>
      </c>
      <c r="K62" s="223">
        <f t="shared" si="20"/>
        <v>400318</v>
      </c>
      <c r="L62" s="222">
        <f t="shared" si="21"/>
        <v>19.339999999967404</v>
      </c>
      <c r="M62" s="219">
        <f t="shared" si="22"/>
        <v>2.3177373987679786E-2</v>
      </c>
      <c r="N62" s="221"/>
      <c r="O62" s="221"/>
      <c r="P62" s="198" t="s">
        <v>84</v>
      </c>
    </row>
    <row r="63" spans="1:17" x14ac:dyDescent="0.25">
      <c r="A63" s="205">
        <v>42926</v>
      </c>
      <c r="B63" s="192">
        <v>203.18000000000029</v>
      </c>
      <c r="C63">
        <f>SUM($B$2:B63)</f>
        <v>32908.582000000024</v>
      </c>
      <c r="F63" s="210">
        <f t="shared" ref="F63:F68" si="23">A63</f>
        <v>42926</v>
      </c>
      <c r="G63" s="213">
        <f>SUMIFS(逐日资产统计!$I:$I,逐日资产统计!$A:$A,F63,逐日资产统计!$C:$C,"人民币")</f>
        <v>0</v>
      </c>
      <c r="H63" s="212">
        <f>SUMIF(逐日资产统计!$A:$A,汇总统计!$F63,逐日资产统计!$I:$I)-G63</f>
        <v>409789.5</v>
      </c>
      <c r="I63" s="207">
        <f t="shared" ref="I63:I68" si="24">G63+H63</f>
        <v>409789.5</v>
      </c>
      <c r="J63" s="212">
        <f>SUMIF(逐日资产统计!$A:$A,汇总统计!$F63,逐日资产统计!$G:$G)</f>
        <v>9481.4999999999964</v>
      </c>
      <c r="K63" s="223">
        <f t="shared" ref="K63:K68" si="25">I63-J63</f>
        <v>400308</v>
      </c>
      <c r="L63" s="222">
        <f t="shared" ref="L63:L68" si="26">K63-K62</f>
        <v>-10</v>
      </c>
      <c r="M63" s="219">
        <f t="shared" ref="M63:M68" si="27">J63/K63</f>
        <v>2.3685512155640149E-2</v>
      </c>
      <c r="N63" s="221"/>
      <c r="O63" s="221"/>
      <c r="P63" s="198" t="s">
        <v>81</v>
      </c>
      <c r="Q63" s="200" t="s">
        <v>83</v>
      </c>
    </row>
    <row r="64" spans="1:17" x14ac:dyDescent="0.25">
      <c r="A64" s="205">
        <v>42927</v>
      </c>
      <c r="B64" s="192">
        <v>-2587.6099999999997</v>
      </c>
      <c r="C64">
        <f>SUM($B$2:B64)</f>
        <v>30320.972000000023</v>
      </c>
      <c r="F64" s="210">
        <f t="shared" si="23"/>
        <v>42927</v>
      </c>
      <c r="G64" s="213">
        <f>SUMIFS(逐日资产统计!$I:$I,逐日资产统计!$A:$A,F64,逐日资产统计!$C:$C,"人民币")</f>
        <v>0</v>
      </c>
      <c r="H64" s="212">
        <f>SUMIF(逐日资产统计!$A:$A,汇总统计!$F64,逐日资产统计!$I:$I)-G64</f>
        <v>407390.76</v>
      </c>
      <c r="I64" s="207">
        <f t="shared" si="24"/>
        <v>407390.76</v>
      </c>
      <c r="J64" s="212">
        <f>SUMIF(逐日资产统计!$A:$A,汇总统计!$F64,逐日资产统计!$G:$G)</f>
        <v>6893.8899999999967</v>
      </c>
      <c r="K64" s="223">
        <f t="shared" si="25"/>
        <v>400496.87</v>
      </c>
      <c r="L64" s="222">
        <f t="shared" si="26"/>
        <v>188.86999999999534</v>
      </c>
      <c r="M64" s="219">
        <f t="shared" si="27"/>
        <v>1.7213343015639541E-2</v>
      </c>
      <c r="N64" s="221"/>
      <c r="O64" s="221"/>
      <c r="P64" s="198" t="s">
        <v>84</v>
      </c>
    </row>
    <row r="65" spans="1:16" x14ac:dyDescent="0.25">
      <c r="A65" s="205">
        <v>42928</v>
      </c>
      <c r="B65" s="192">
        <v>3999.3800000000019</v>
      </c>
      <c r="C65">
        <f>SUM($B$2:B65)</f>
        <v>34320.352000000028</v>
      </c>
      <c r="F65" s="210">
        <f t="shared" si="23"/>
        <v>42928</v>
      </c>
      <c r="G65" s="213">
        <f>SUMIFS(逐日资产统计!$I:$I,逐日资产统计!$A:$A,F65,逐日资产统计!$C:$C,"人民币")</f>
        <v>0</v>
      </c>
      <c r="H65" s="212">
        <f>SUMIF(逐日资产统计!$A:$A,汇总统计!$F65,逐日资产统计!$I:$I)-G65</f>
        <v>411389.94</v>
      </c>
      <c r="I65" s="207">
        <f t="shared" si="24"/>
        <v>411389.94</v>
      </c>
      <c r="J65" s="212">
        <f>SUMIF(逐日资产统计!$A:$A,汇总统计!$F65,逐日资产统计!$G:$G)</f>
        <v>10893.269999999999</v>
      </c>
      <c r="K65" s="223">
        <f t="shared" si="25"/>
        <v>400496.67</v>
      </c>
      <c r="L65" s="222">
        <f t="shared" si="26"/>
        <v>-0.20000000001164153</v>
      </c>
      <c r="M65" s="219">
        <f t="shared" si="27"/>
        <v>2.7199402182295294E-2</v>
      </c>
      <c r="N65" s="221"/>
      <c r="O65" s="221"/>
    </row>
    <row r="66" spans="1:16" x14ac:dyDescent="0.25">
      <c r="A66" s="205">
        <v>42929</v>
      </c>
      <c r="B66" s="192">
        <v>1386.5100000000002</v>
      </c>
      <c r="C66">
        <f>SUM($B$2:B66)</f>
        <v>35706.86200000003</v>
      </c>
      <c r="F66" s="210">
        <f t="shared" si="23"/>
        <v>42929</v>
      </c>
      <c r="G66" s="213">
        <f>SUMIFS(逐日资产统计!$I:$I,逐日资产统计!$A:$A,F66,逐日资产统计!$C:$C,"人民币")</f>
        <v>0</v>
      </c>
      <c r="H66" s="212">
        <f>SUMIF(逐日资产统计!$A:$A,汇总统计!$F66,逐日资产统计!$I:$I)-G66</f>
        <v>412752.71</v>
      </c>
      <c r="I66" s="207">
        <f t="shared" si="24"/>
        <v>412752.71</v>
      </c>
      <c r="J66" s="212">
        <f>SUMIF(逐日资产统计!$A:$A,汇总统计!$F66,逐日资产统计!$G:$G)</f>
        <v>12279.779999999999</v>
      </c>
      <c r="K66" s="223">
        <f t="shared" si="25"/>
        <v>400472.93000000005</v>
      </c>
      <c r="L66" s="222">
        <f t="shared" si="26"/>
        <v>-23.739999999932479</v>
      </c>
      <c r="M66" s="219">
        <f t="shared" si="27"/>
        <v>3.0663196136627754E-2</v>
      </c>
      <c r="N66" s="221"/>
      <c r="O66" s="221"/>
      <c r="P66" s="198" t="s">
        <v>81</v>
      </c>
    </row>
    <row r="67" spans="1:16" x14ac:dyDescent="0.25">
      <c r="A67" s="205">
        <v>42930</v>
      </c>
      <c r="B67" s="192">
        <v>-81.600000000000364</v>
      </c>
      <c r="C67">
        <f>SUM($B$2:B67)</f>
        <v>35625.262000000032</v>
      </c>
      <c r="F67" s="210">
        <f t="shared" si="23"/>
        <v>42930</v>
      </c>
      <c r="G67" s="213">
        <f>SUMIFS(逐日资产统计!$I:$I,逐日资产统计!$A:$A,F67,逐日资产统计!$C:$C,"人民币")</f>
        <v>0</v>
      </c>
      <c r="H67" s="212">
        <f>SUMIF(逐日资产统计!$A:$A,汇总统计!$F67,逐日资产统计!$I:$I)-G67</f>
        <v>412666.29</v>
      </c>
      <c r="I67" s="207">
        <f t="shared" si="24"/>
        <v>412666.29</v>
      </c>
      <c r="J67" s="212">
        <f>SUMIF(逐日资产统计!$A:$A,汇总统计!$F67,逐日资产统计!$G:$G)</f>
        <v>12198.179999999998</v>
      </c>
      <c r="K67" s="223">
        <f t="shared" si="25"/>
        <v>400468.11</v>
      </c>
      <c r="L67" s="222">
        <f t="shared" si="26"/>
        <v>-4.8200000000651926</v>
      </c>
      <c r="M67" s="219">
        <f t="shared" si="27"/>
        <v>3.0459803653279657E-2</v>
      </c>
      <c r="N67" s="221"/>
      <c r="O67" s="221"/>
      <c r="P67" s="198" t="s">
        <v>81</v>
      </c>
    </row>
    <row r="68" spans="1:16" x14ac:dyDescent="0.25">
      <c r="A68" s="205">
        <v>42933</v>
      </c>
      <c r="B68" s="192">
        <v>-10325.719999999998</v>
      </c>
      <c r="C68">
        <f>SUM($B$2:B68)</f>
        <v>25299.542000000034</v>
      </c>
      <c r="F68" s="210">
        <f t="shared" si="23"/>
        <v>42933</v>
      </c>
      <c r="G68" s="213">
        <f>SUMIFS(逐日资产统计!$I:$I,逐日资产统计!$A:$A,F68,逐日资产统计!$C:$C,"人民币")</f>
        <v>0</v>
      </c>
      <c r="H68" s="212">
        <f>SUMIF(逐日资产统计!$A:$A,汇总统计!$F68,逐日资产统计!$I:$I)-G68</f>
        <v>402340.54</v>
      </c>
      <c r="I68" s="207">
        <f t="shared" si="24"/>
        <v>402340.54</v>
      </c>
      <c r="J68" s="212">
        <f>SUMIF(逐日资产统计!$A:$A,汇总统计!$F68,逐日资产统计!$G:$G)</f>
        <v>1872.4600000000009</v>
      </c>
      <c r="K68" s="223">
        <f t="shared" si="25"/>
        <v>400468.07999999996</v>
      </c>
      <c r="L68" s="222">
        <f t="shared" si="26"/>
        <v>-3.0000000027939677E-2</v>
      </c>
      <c r="M68" s="219">
        <f t="shared" si="27"/>
        <v>4.6756785209947352E-3</v>
      </c>
      <c r="N68" s="221"/>
      <c r="O68" s="221"/>
    </row>
    <row r="69" spans="1:16" x14ac:dyDescent="0.25">
      <c r="A69" s="205">
        <v>42934</v>
      </c>
      <c r="B69" s="192">
        <v>6617.4099999999962</v>
      </c>
      <c r="C69">
        <f>SUM($B$2:B69)</f>
        <v>31916.95200000003</v>
      </c>
      <c r="F69" s="210">
        <f t="shared" ref="F69:F74" si="28">A69</f>
        <v>42934</v>
      </c>
      <c r="G69" s="213">
        <f>SUMIFS(逐日资产统计!$I:$I,逐日资产统计!$A:$A,F69,逐日资产统计!$C:$C,"人民币")</f>
        <v>0</v>
      </c>
      <c r="H69" s="212">
        <f>SUMIF(逐日资产统计!$A:$A,汇总统计!$F69,逐日资产统计!$I:$I)-G69</f>
        <v>408958.12</v>
      </c>
      <c r="I69" s="207">
        <f t="shared" ref="I69:I74" si="29">G69+H69</f>
        <v>408958.12</v>
      </c>
      <c r="J69" s="212">
        <f>SUMIF(逐日资产统计!$A:$A,汇总统计!$F69,逐日资产统计!$G:$G)</f>
        <v>8489.8699999999972</v>
      </c>
      <c r="K69" s="223">
        <f t="shared" ref="K69:K74" si="30">I69-J69</f>
        <v>400468.25</v>
      </c>
      <c r="L69" s="222">
        <f t="shared" ref="L69:L74" si="31">K69-K68</f>
        <v>0.17000000004190952</v>
      </c>
      <c r="M69" s="219">
        <f t="shared" ref="M69:M74" si="32">J69/K69</f>
        <v>2.1199857916326694E-2</v>
      </c>
      <c r="N69" s="221"/>
      <c r="O69" s="221"/>
    </row>
    <row r="70" spans="1:16" x14ac:dyDescent="0.25">
      <c r="A70" s="205">
        <v>42935</v>
      </c>
      <c r="B70" s="192">
        <v>2479.3000000000011</v>
      </c>
      <c r="C70">
        <f>SUM($B$2:B70)</f>
        <v>34396.25200000003</v>
      </c>
      <c r="F70" s="210">
        <f t="shared" si="28"/>
        <v>42935</v>
      </c>
      <c r="G70" s="213">
        <f>SUMIFS(逐日资产统计!$I:$I,逐日资产统计!$A:$A,F70,逐日资产统计!$C:$C,"人民币")</f>
        <v>0</v>
      </c>
      <c r="H70" s="212">
        <f>SUMIF(逐日资产统计!$A:$A,汇总统计!$F70,逐日资产统计!$I:$I)-G70</f>
        <v>411414.28</v>
      </c>
      <c r="I70" s="207">
        <f t="shared" si="29"/>
        <v>411414.28</v>
      </c>
      <c r="J70" s="212">
        <f>SUMIF(逐日资产统计!$A:$A,汇总统计!$F70,逐日资产统计!$G:$G)</f>
        <v>10969.169999999998</v>
      </c>
      <c r="K70" s="223">
        <f t="shared" si="30"/>
        <v>400445.11000000004</v>
      </c>
      <c r="L70" s="222">
        <f t="shared" si="31"/>
        <v>-23.139999999955762</v>
      </c>
      <c r="M70" s="219">
        <f t="shared" si="32"/>
        <v>2.7392443373824685E-2</v>
      </c>
      <c r="N70" s="221"/>
      <c r="O70" s="221"/>
      <c r="P70" s="198" t="s">
        <v>81</v>
      </c>
    </row>
    <row r="71" spans="1:16" x14ac:dyDescent="0.25">
      <c r="A71" s="205">
        <v>42936</v>
      </c>
      <c r="B71" s="192">
        <v>3992.9799999999996</v>
      </c>
      <c r="C71">
        <f>SUM($B$2:B71)</f>
        <v>38389.232000000033</v>
      </c>
      <c r="F71" s="210">
        <f t="shared" si="28"/>
        <v>42936</v>
      </c>
      <c r="G71" s="213">
        <f>SUMIFS(逐日资产统计!$I:$I,逐日资产统计!$A:$A,F71,逐日资产统计!$C:$C,"人民币")</f>
        <v>0</v>
      </c>
      <c r="H71" s="212">
        <f>SUMIF(逐日资产统计!$A:$A,汇总统计!$F71,逐日资产统计!$I:$I)-G71</f>
        <v>415401.89999999997</v>
      </c>
      <c r="I71" s="207">
        <f t="shared" si="29"/>
        <v>415401.89999999997</v>
      </c>
      <c r="J71" s="212">
        <f>SUMIF(逐日资产统计!$A:$A,汇总统计!$F71,逐日资产统计!$G:$G)</f>
        <v>14962.149999999998</v>
      </c>
      <c r="K71" s="223">
        <f t="shared" si="30"/>
        <v>400439.74999999994</v>
      </c>
      <c r="L71" s="222">
        <f t="shared" si="31"/>
        <v>-5.3600000001024455</v>
      </c>
      <c r="M71" s="219">
        <f t="shared" si="32"/>
        <v>3.7364297625298186E-2</v>
      </c>
      <c r="N71" s="221"/>
      <c r="O71" s="221"/>
      <c r="P71" s="198" t="s">
        <v>81</v>
      </c>
    </row>
    <row r="72" spans="1:16" x14ac:dyDescent="0.25">
      <c r="A72" s="205">
        <v>42937</v>
      </c>
      <c r="B72" s="192">
        <v>-143.90999999999985</v>
      </c>
      <c r="C72">
        <f>SUM($B$2:B72)</f>
        <v>38245.322000000029</v>
      </c>
      <c r="F72" s="210">
        <f t="shared" si="28"/>
        <v>42937</v>
      </c>
      <c r="G72" s="213">
        <f>SUMIFS(逐日资产统计!$I:$I,逐日资产统计!$A:$A,F72,逐日资产统计!$C:$C,"人民币")</f>
        <v>0</v>
      </c>
      <c r="H72" s="212">
        <f>SUMIF(逐日资产统计!$A:$A,汇总统计!$F72,逐日资产统计!$I:$I)-G72</f>
        <v>415259.54</v>
      </c>
      <c r="I72" s="207">
        <f t="shared" si="29"/>
        <v>415259.54</v>
      </c>
      <c r="J72" s="212">
        <f>SUMIF(逐日资产统计!$A:$A,汇总统计!$F72,逐日资产统计!$G:$G)</f>
        <v>14818.239999999998</v>
      </c>
      <c r="K72" s="223">
        <f t="shared" si="30"/>
        <v>400441.3</v>
      </c>
      <c r="L72" s="222">
        <f t="shared" si="31"/>
        <v>1.5500000000465661</v>
      </c>
      <c r="M72" s="219">
        <f t="shared" si="32"/>
        <v>3.700477448255212E-2</v>
      </c>
      <c r="N72" s="221"/>
      <c r="O72" s="221"/>
      <c r="P72" s="198" t="s">
        <v>84</v>
      </c>
    </row>
    <row r="73" spans="1:16" x14ac:dyDescent="0.25">
      <c r="A73" s="205">
        <v>42940</v>
      </c>
      <c r="B73" s="192">
        <v>767.52000000000044</v>
      </c>
      <c r="C73">
        <f>SUM($B$2:B73)</f>
        <v>39012.842000000033</v>
      </c>
      <c r="F73" s="210">
        <f t="shared" si="28"/>
        <v>42940</v>
      </c>
      <c r="G73" s="213">
        <f>SUMIFS(逐日资产统计!$I:$I,逐日资产统计!$A:$A,F73,逐日资产统计!$C:$C,"人民币")</f>
        <v>0</v>
      </c>
      <c r="H73" s="212">
        <f>SUMIF(逐日资产统计!$A:$A,汇总统计!$F73,逐日资产统计!$I:$I)-G73</f>
        <v>416010.07</v>
      </c>
      <c r="I73" s="207">
        <f t="shared" si="29"/>
        <v>416010.07</v>
      </c>
      <c r="J73" s="212">
        <f>SUMIF(逐日资产统计!$A:$A,汇总统计!$F73,逐日资产统计!$G:$G)</f>
        <v>15585.759999999998</v>
      </c>
      <c r="K73" s="223">
        <f t="shared" si="30"/>
        <v>400424.31</v>
      </c>
      <c r="L73" s="222">
        <f t="shared" si="31"/>
        <v>-16.989999999990687</v>
      </c>
      <c r="M73" s="219">
        <f t="shared" si="32"/>
        <v>3.8923111336571947E-2</v>
      </c>
      <c r="N73" s="221"/>
      <c r="O73" s="221"/>
      <c r="P73" s="198" t="s">
        <v>81</v>
      </c>
    </row>
    <row r="74" spans="1:16" x14ac:dyDescent="0.25">
      <c r="A74" s="205">
        <v>42941</v>
      </c>
      <c r="B74" s="192">
        <v>-1533.1000000000022</v>
      </c>
      <c r="C74">
        <f>SUM($B$2:B74)</f>
        <v>37479.742000000027</v>
      </c>
      <c r="F74" s="210">
        <f t="shared" si="28"/>
        <v>42941</v>
      </c>
      <c r="G74" s="213">
        <f>SUMIFS(逐日资产统计!$I:$I,逐日资产统计!$A:$A,F74,逐日资产统计!$C:$C,"人民币")</f>
        <v>0</v>
      </c>
      <c r="H74" s="212">
        <f>SUMIF(逐日资产统计!$A:$A,汇总统计!$F74,逐日资产统计!$I:$I)-G74</f>
        <v>414477.17</v>
      </c>
      <c r="I74" s="207">
        <f t="shared" si="29"/>
        <v>414477.17</v>
      </c>
      <c r="J74" s="212">
        <f>SUMIF(逐日资产统计!$A:$A,汇总统计!$F74,逐日资产统计!$G:$G)</f>
        <v>14052.659999999996</v>
      </c>
      <c r="K74" s="223">
        <f t="shared" si="30"/>
        <v>400424.51</v>
      </c>
      <c r="L74" s="222">
        <f t="shared" si="31"/>
        <v>0.20000000001164153</v>
      </c>
      <c r="M74" s="219">
        <f t="shared" si="32"/>
        <v>3.509440518513713E-2</v>
      </c>
      <c r="N74" s="221"/>
      <c r="O74" s="221"/>
    </row>
    <row r="75" spans="1:16" x14ac:dyDescent="0.25">
      <c r="A75" s="205">
        <v>42942</v>
      </c>
      <c r="B75" s="192">
        <v>907.97000000000298</v>
      </c>
      <c r="C75">
        <f>SUM($B$2:B75)</f>
        <v>38387.712000000029</v>
      </c>
      <c r="F75" s="210">
        <f t="shared" ref="F75:F96" si="33">A75</f>
        <v>42942</v>
      </c>
      <c r="G75" s="213">
        <f>SUMIFS(逐日资产统计!$I:$I,逐日资产统计!$A:$A,F75,逐日资产统计!$C:$C,"人民币")</f>
        <v>0</v>
      </c>
      <c r="H75" s="212">
        <f>SUMIF(逐日资产统计!$A:$A,汇总统计!$F75,逐日资产统计!$I:$I)-G75</f>
        <v>415380.85</v>
      </c>
      <c r="I75" s="207">
        <f t="shared" ref="I75:I96" si="34">G75+H75</f>
        <v>415380.85</v>
      </c>
      <c r="J75" s="212">
        <f>SUMIF(逐日资产统计!$A:$A,汇总统计!$F75,逐日资产统计!$G:$G)</f>
        <v>14960.63</v>
      </c>
      <c r="K75" s="223">
        <f t="shared" ref="K75:K96" si="35">I75-J75</f>
        <v>400420.22</v>
      </c>
      <c r="L75" s="222">
        <f t="shared" ref="L75:L96" si="36">K75-K74</f>
        <v>-4.2900000000372529</v>
      </c>
      <c r="M75" s="219">
        <f t="shared" ref="M75:M96" si="37">J75/K75</f>
        <v>3.7362324010510761E-2</v>
      </c>
      <c r="N75" s="221"/>
      <c r="O75" s="221"/>
      <c r="P75" s="198" t="s">
        <v>81</v>
      </c>
    </row>
    <row r="76" spans="1:16" x14ac:dyDescent="0.25">
      <c r="A76" s="205">
        <v>42943</v>
      </c>
      <c r="B76" s="192">
        <v>560.87999999999738</v>
      </c>
      <c r="C76">
        <f>SUM($B$2:B76)</f>
        <v>38948.592000000026</v>
      </c>
      <c r="F76" s="210">
        <f t="shared" si="33"/>
        <v>42943</v>
      </c>
      <c r="G76" s="213">
        <f>SUMIFS(逐日资产统计!$I:$I,逐日资产统计!$A:$A,F76,逐日资产统计!$C:$C,"人民币")</f>
        <v>0</v>
      </c>
      <c r="H76" s="212">
        <f>SUMIF(逐日资产统计!$A:$A,汇总统计!$F76,逐日资产统计!$I:$I)-G76</f>
        <v>415938.73000000004</v>
      </c>
      <c r="I76" s="207">
        <f t="shared" si="34"/>
        <v>415938.73000000004</v>
      </c>
      <c r="J76" s="212">
        <f>SUMIF(逐日资产统计!$A:$A,汇总统计!$F76,逐日资产统计!$G:$G)</f>
        <v>15521.509999999997</v>
      </c>
      <c r="K76" s="223">
        <f t="shared" si="35"/>
        <v>400417.22000000003</v>
      </c>
      <c r="L76" s="222">
        <f t="shared" si="36"/>
        <v>-2.9999999999417923</v>
      </c>
      <c r="M76" s="219">
        <f t="shared" si="37"/>
        <v>3.8763342895193155E-2</v>
      </c>
      <c r="N76" s="221"/>
      <c r="O76" s="221"/>
      <c r="P76" s="198" t="s">
        <v>81</v>
      </c>
    </row>
    <row r="77" spans="1:16" x14ac:dyDescent="0.25">
      <c r="A77" s="205">
        <v>42944</v>
      </c>
      <c r="B77" s="192">
        <v>-772.28999999999724</v>
      </c>
      <c r="C77">
        <f>SUM($B$2:B77)</f>
        <v>38176.302000000025</v>
      </c>
      <c r="F77" s="210">
        <f t="shared" si="33"/>
        <v>42944</v>
      </c>
      <c r="G77" s="213">
        <f>SUMIFS(逐日资产统计!$I:$I,逐日资产统计!$A:$A,F77,逐日资产统计!$C:$C,"人民币")</f>
        <v>0</v>
      </c>
      <c r="H77" s="212">
        <f>SUMIF(逐日资产统计!$A:$A,汇总统计!$F77,逐日资产统计!$I:$I)-G77</f>
        <v>415162.44</v>
      </c>
      <c r="I77" s="207">
        <f t="shared" si="34"/>
        <v>415162.44</v>
      </c>
      <c r="J77" s="212">
        <f>SUMIF(逐日资产统计!$A:$A,汇总统计!$F77,逐日资产统计!$G:$G)</f>
        <v>14749.22</v>
      </c>
      <c r="K77" s="223">
        <f t="shared" si="35"/>
        <v>400413.22000000003</v>
      </c>
      <c r="L77" s="222">
        <f t="shared" si="36"/>
        <v>-4</v>
      </c>
      <c r="M77" s="219">
        <f t="shared" si="37"/>
        <v>3.6834997605723403E-2</v>
      </c>
      <c r="N77" s="221"/>
      <c r="O77" s="221"/>
      <c r="P77" s="198" t="s">
        <v>81</v>
      </c>
    </row>
    <row r="78" spans="1:16" x14ac:dyDescent="0.25">
      <c r="A78" s="205">
        <v>42947</v>
      </c>
      <c r="B78" s="192">
        <v>1590.8300000000017</v>
      </c>
      <c r="C78">
        <f>SUM($B$2:B78)</f>
        <v>39767.132000000027</v>
      </c>
      <c r="F78" s="210">
        <f t="shared" si="33"/>
        <v>42947</v>
      </c>
      <c r="G78" s="213">
        <f>SUMIFS(逐日资产统计!$I:$I,逐日资产统计!$A:$A,F78,逐日资产统计!$C:$C,"人民币")</f>
        <v>0</v>
      </c>
      <c r="H78" s="212">
        <f>SUMIF(逐日资产统计!$A:$A,汇总统计!$F78,逐日资产统计!$I:$I)-G78</f>
        <v>416753.26999999996</v>
      </c>
      <c r="I78" s="207">
        <f t="shared" si="34"/>
        <v>416753.26999999996</v>
      </c>
      <c r="J78" s="212">
        <f>SUMIF(逐日资产统计!$A:$A,汇总统计!$F78,逐日资产统计!$G:$G)</f>
        <v>16340.050000000001</v>
      </c>
      <c r="K78" s="223">
        <f t="shared" si="35"/>
        <v>400413.22</v>
      </c>
      <c r="L78" s="222">
        <f t="shared" si="36"/>
        <v>0</v>
      </c>
      <c r="M78" s="219">
        <f t="shared" si="37"/>
        <v>4.0807968328318435E-2</v>
      </c>
      <c r="N78" s="221"/>
      <c r="O78" s="221"/>
    </row>
    <row r="79" spans="1:16" x14ac:dyDescent="0.25">
      <c r="A79" s="205">
        <v>42948</v>
      </c>
      <c r="B79" s="192">
        <v>286.48999999999978</v>
      </c>
      <c r="C79">
        <f>SUM($B$2:B79)</f>
        <v>40053.622000000025</v>
      </c>
      <c r="F79" s="210">
        <f t="shared" si="33"/>
        <v>42948</v>
      </c>
      <c r="G79" s="213">
        <f>SUMIFS(逐日资产统计!$I:$I,逐日资产统计!$A:$A,F79,逐日资产统计!$C:$C,"人民币")</f>
        <v>0</v>
      </c>
      <c r="H79" s="212">
        <f>SUMIF(逐日资产统计!$A:$A,汇总统计!$F79,逐日资产统计!$I:$I)-G79</f>
        <v>417034.75999999995</v>
      </c>
      <c r="I79" s="207">
        <f t="shared" si="34"/>
        <v>417034.75999999995</v>
      </c>
      <c r="J79" s="212">
        <f>SUMIF(逐日资产统计!$A:$A,汇总统计!$F79,逐日资产统计!$G:$G)</f>
        <v>16626.54</v>
      </c>
      <c r="K79" s="223">
        <f t="shared" si="35"/>
        <v>400408.22</v>
      </c>
      <c r="L79" s="222">
        <f t="shared" si="36"/>
        <v>-5</v>
      </c>
      <c r="M79" s="219">
        <f t="shared" si="37"/>
        <v>4.152397270965117E-2</v>
      </c>
      <c r="N79" s="221"/>
      <c r="O79" s="221"/>
      <c r="P79" s="198" t="s">
        <v>81</v>
      </c>
    </row>
    <row r="80" spans="1:16" x14ac:dyDescent="0.25">
      <c r="A80" s="205">
        <v>42949</v>
      </c>
      <c r="B80" s="192">
        <v>-2971.9700000000012</v>
      </c>
      <c r="C80">
        <f>SUM($B$2:B80)</f>
        <v>37081.652000000024</v>
      </c>
      <c r="F80" s="210">
        <f t="shared" si="33"/>
        <v>42949</v>
      </c>
      <c r="G80" s="213">
        <f>SUMIFS(逐日资产统计!$I:$I,逐日资产统计!$A:$A,F80,逐日资产统计!$C:$C,"人民币")</f>
        <v>0</v>
      </c>
      <c r="H80" s="212">
        <f>SUMIF(逐日资产统计!$A:$A,汇总统计!$F80,逐日资产统计!$I:$I)-G80</f>
        <v>414062.79</v>
      </c>
      <c r="I80" s="207">
        <f t="shared" si="34"/>
        <v>414062.79</v>
      </c>
      <c r="J80" s="212">
        <f>SUMIF(逐日资产统计!$A:$A,汇总统计!$F80,逐日资产统计!$G:$G)</f>
        <v>13654.57</v>
      </c>
      <c r="K80" s="223">
        <f t="shared" si="35"/>
        <v>400408.22</v>
      </c>
      <c r="L80" s="222">
        <f t="shared" si="36"/>
        <v>0</v>
      </c>
      <c r="M80" s="219">
        <f t="shared" si="37"/>
        <v>3.4101622589066731E-2</v>
      </c>
      <c r="N80" s="221"/>
      <c r="O80" s="221"/>
    </row>
    <row r="81" spans="1:16" x14ac:dyDescent="0.25">
      <c r="A81" s="205">
        <v>42950</v>
      </c>
      <c r="B81" s="192">
        <v>-574.10000000000218</v>
      </c>
      <c r="C81">
        <f>SUM($B$2:B81)</f>
        <v>36507.552000000025</v>
      </c>
      <c r="F81" s="210">
        <f t="shared" si="33"/>
        <v>42950</v>
      </c>
      <c r="G81" s="213">
        <f>SUMIFS(逐日资产统计!$I:$I,逐日资产统计!$A:$A,F81,逐日资产统计!$C:$C,"人民币")</f>
        <v>0</v>
      </c>
      <c r="H81" s="212">
        <f>SUMIF(逐日资产统计!$A:$A,汇总统计!$F81,逐日资产统计!$I:$I)-G81</f>
        <v>413473.63999999996</v>
      </c>
      <c r="I81" s="207">
        <f t="shared" si="34"/>
        <v>413473.63999999996</v>
      </c>
      <c r="J81" s="212">
        <f>SUMIF(逐日资产统计!$A:$A,汇总统计!$F81,逐日资产统计!$G:$G)</f>
        <v>13080.469999999998</v>
      </c>
      <c r="K81" s="223">
        <f t="shared" si="35"/>
        <v>400393.17</v>
      </c>
      <c r="L81" s="222">
        <f t="shared" si="36"/>
        <v>-15.049999999988358</v>
      </c>
      <c r="M81" s="219">
        <f t="shared" si="37"/>
        <v>3.26690637605032E-2</v>
      </c>
      <c r="N81" s="221"/>
      <c r="O81" s="221"/>
      <c r="P81" s="198" t="s">
        <v>81</v>
      </c>
    </row>
    <row r="82" spans="1:16" x14ac:dyDescent="0.25">
      <c r="A82" s="205">
        <v>42954</v>
      </c>
      <c r="B82" s="192">
        <v>1007.7400000000016</v>
      </c>
      <c r="C82">
        <f>SUM($B$2:B82)</f>
        <v>37515.29200000003</v>
      </c>
      <c r="F82" s="210">
        <f t="shared" si="33"/>
        <v>42954</v>
      </c>
      <c r="G82" s="213">
        <f>SUMIFS(逐日资产统计!$I:$I,逐日资产统计!$A:$A,F82,逐日资产统计!$C:$C,"人民币")</f>
        <v>0</v>
      </c>
      <c r="H82" s="212">
        <f>SUMIF(逐日资产统计!$A:$A,汇总统计!$F82,逐日资产统计!$I:$I)-G82</f>
        <v>414474.38</v>
      </c>
      <c r="I82" s="207">
        <f t="shared" si="34"/>
        <v>414474.38</v>
      </c>
      <c r="J82" s="212">
        <f>SUMIF(逐日资产统计!$A:$A,汇总统计!$F82,逐日资产统计!$G:$G)</f>
        <v>14088.21</v>
      </c>
      <c r="K82" s="223">
        <f t="shared" si="35"/>
        <v>400386.17</v>
      </c>
      <c r="L82" s="222">
        <f t="shared" si="36"/>
        <v>-7</v>
      </c>
      <c r="M82" s="219">
        <f t="shared" si="37"/>
        <v>3.5186555020119699E-2</v>
      </c>
      <c r="N82" s="221"/>
      <c r="O82" s="221"/>
      <c r="P82" s="198" t="s">
        <v>81</v>
      </c>
    </row>
    <row r="83" spans="1:16" x14ac:dyDescent="0.25">
      <c r="A83" s="205">
        <v>42955</v>
      </c>
      <c r="B83" s="192">
        <v>1653.9299999999967</v>
      </c>
      <c r="C83">
        <f>SUM($B$2:B83)</f>
        <v>39169.222000000023</v>
      </c>
      <c r="F83" s="210">
        <f t="shared" si="33"/>
        <v>42955</v>
      </c>
      <c r="G83" s="213">
        <f>SUMIFS(逐日资产统计!$I:$I,逐日资产统计!$A:$A,F83,逐日资产统计!$C:$C,"人民币")</f>
        <v>0</v>
      </c>
      <c r="H83" s="212">
        <f>SUMIF(逐日资产统计!$A:$A,汇总统计!$F83,逐日资产统计!$I:$I)-G83</f>
        <v>416128.31</v>
      </c>
      <c r="I83" s="207">
        <f t="shared" si="34"/>
        <v>416128.31</v>
      </c>
      <c r="J83" s="212">
        <f>SUMIF(逐日资产统计!$A:$A,汇总统计!$F83,逐日资产统计!$G:$G)</f>
        <v>15742.139999999996</v>
      </c>
      <c r="K83" s="223">
        <f t="shared" si="35"/>
        <v>400386.17</v>
      </c>
      <c r="L83" s="222">
        <f t="shared" si="36"/>
        <v>0</v>
      </c>
      <c r="M83" s="219">
        <f t="shared" si="37"/>
        <v>3.9317392006821807E-2</v>
      </c>
      <c r="N83" s="221"/>
      <c r="O83" s="221"/>
    </row>
    <row r="84" spans="1:16" x14ac:dyDescent="0.25">
      <c r="A84" s="205">
        <v>42957</v>
      </c>
      <c r="B84" s="192">
        <v>-4424.6399999999958</v>
      </c>
      <c r="C84">
        <f>SUM($B$2:B84)</f>
        <v>34744.582000000024</v>
      </c>
      <c r="F84" s="210">
        <f t="shared" si="33"/>
        <v>42957</v>
      </c>
      <c r="G84" s="213">
        <f>SUMIFS(逐日资产统计!$I:$I,逐日资产统计!$A:$A,F84,逐日资产统计!$C:$C,"人民币")</f>
        <v>0</v>
      </c>
      <c r="H84" s="212">
        <f>SUMIF(逐日资产统计!$A:$A,汇总统计!$F84,逐日资产统计!$I:$I)-G84</f>
        <v>411698.17</v>
      </c>
      <c r="I84" s="207">
        <f t="shared" si="34"/>
        <v>411698.17</v>
      </c>
      <c r="J84" s="212">
        <f>SUMIF(逐日资产统计!$A:$A,汇总统计!$F84,逐日资产统计!$G:$G)</f>
        <v>11317.5</v>
      </c>
      <c r="K84" s="223">
        <f t="shared" si="35"/>
        <v>400380.67</v>
      </c>
      <c r="L84" s="222">
        <f t="shared" si="36"/>
        <v>-5.5</v>
      </c>
      <c r="M84" s="219">
        <f t="shared" si="37"/>
        <v>2.826684914633866E-2</v>
      </c>
      <c r="N84" s="221"/>
      <c r="O84" s="221"/>
      <c r="P84" s="198" t="s">
        <v>81</v>
      </c>
    </row>
    <row r="85" spans="1:16" x14ac:dyDescent="0.25">
      <c r="A85" s="205">
        <v>42958</v>
      </c>
      <c r="B85" s="192">
        <v>-7295.5100000000029</v>
      </c>
      <c r="C85">
        <f>SUM($B$2:B85)</f>
        <v>27449.072000000022</v>
      </c>
      <c r="F85" s="210">
        <f t="shared" si="33"/>
        <v>42958</v>
      </c>
      <c r="G85" s="213">
        <f>SUMIFS(逐日资产统计!$I:$I,逐日资产统计!$A:$A,F85,逐日资产统计!$C:$C,"人民币")</f>
        <v>0</v>
      </c>
      <c r="H85" s="212">
        <f>SUMIF(逐日资产统计!$A:$A,汇总统计!$F85,逐日资产统计!$I:$I)-G85</f>
        <v>404402.66000000003</v>
      </c>
      <c r="I85" s="207">
        <f t="shared" si="34"/>
        <v>404402.66000000003</v>
      </c>
      <c r="J85" s="212">
        <f>SUMIF(逐日资产统计!$A:$A,汇总统计!$F85,逐日资产统计!$G:$G)</f>
        <v>4021.9899999999971</v>
      </c>
      <c r="K85" s="223">
        <f t="shared" si="35"/>
        <v>400380.67000000004</v>
      </c>
      <c r="L85" s="222">
        <f t="shared" si="36"/>
        <v>0</v>
      </c>
      <c r="M85" s="219">
        <f t="shared" si="37"/>
        <v>1.0045415029651648E-2</v>
      </c>
      <c r="N85" s="221"/>
      <c r="O85" s="221"/>
    </row>
    <row r="86" spans="1:16" x14ac:dyDescent="0.25">
      <c r="A86" s="205">
        <v>42961</v>
      </c>
      <c r="B86" s="192">
        <v>4912.4700000000021</v>
      </c>
      <c r="C86">
        <f>SUM($B$2:B86)</f>
        <v>32361.542000000023</v>
      </c>
      <c r="F86" s="210">
        <f t="shared" si="33"/>
        <v>42961</v>
      </c>
      <c r="G86" s="213">
        <f>SUMIFS(逐日资产统计!$I:$I,逐日资产统计!$A:$A,F86,逐日资产统计!$C:$C,"人民币")</f>
        <v>0</v>
      </c>
      <c r="H86" s="212">
        <f>SUMIF(逐日资产统计!$A:$A,汇总统计!$F86,逐日资产统计!$I:$I)-G86</f>
        <v>409315.13</v>
      </c>
      <c r="I86" s="207">
        <f t="shared" si="34"/>
        <v>409315.13</v>
      </c>
      <c r="J86" s="212">
        <f>SUMIF(逐日资产统计!$A:$A,汇总统计!$F86,逐日资产统计!$G:$G)</f>
        <v>8934.4599999999991</v>
      </c>
      <c r="K86" s="223">
        <f t="shared" si="35"/>
        <v>400380.67</v>
      </c>
      <c r="L86" s="222">
        <f t="shared" si="36"/>
        <v>0</v>
      </c>
      <c r="M86" s="219">
        <f t="shared" si="37"/>
        <v>2.2314913454737961E-2</v>
      </c>
      <c r="N86" s="221"/>
      <c r="O86" s="221"/>
    </row>
    <row r="87" spans="1:16" x14ac:dyDescent="0.25">
      <c r="A87" s="205">
        <v>42963</v>
      </c>
      <c r="B87" s="192">
        <v>4785.68</v>
      </c>
      <c r="C87">
        <f>SUM($B$2:B87)</f>
        <v>37147.222000000023</v>
      </c>
      <c r="F87" s="210">
        <f t="shared" si="33"/>
        <v>42963</v>
      </c>
      <c r="G87" s="213">
        <f>SUMIFS(逐日资产统计!$I:$I,逐日资产统计!$A:$A,F87,逐日资产统计!$C:$C,"人民币")</f>
        <v>0</v>
      </c>
      <c r="H87" s="212">
        <f>SUMIF(逐日资产统计!$A:$A,汇总统计!$F87,逐日资产统计!$I:$I)-G87</f>
        <v>414097.31</v>
      </c>
      <c r="I87" s="207">
        <f t="shared" si="34"/>
        <v>414097.31</v>
      </c>
      <c r="J87" s="212">
        <f>SUMIF(逐日资产统计!$A:$A,汇总统计!$F87,逐日资产统计!$G:$G)</f>
        <v>13720.14</v>
      </c>
      <c r="K87" s="223">
        <f t="shared" si="35"/>
        <v>400377.17</v>
      </c>
      <c r="L87" s="222">
        <f t="shared" si="36"/>
        <v>-3.5</v>
      </c>
      <c r="M87" s="219">
        <f t="shared" si="37"/>
        <v>3.4268037810447585E-2</v>
      </c>
      <c r="N87" s="221"/>
      <c r="O87" s="221"/>
    </row>
    <row r="88" spans="1:16" x14ac:dyDescent="0.25">
      <c r="A88" s="205">
        <v>42964</v>
      </c>
      <c r="B88" s="192">
        <v>3125.9799999999959</v>
      </c>
      <c r="C88">
        <f>SUM($B$2:B88)</f>
        <v>40273.202000000019</v>
      </c>
      <c r="F88" s="210">
        <f t="shared" si="33"/>
        <v>42964</v>
      </c>
      <c r="G88" s="213">
        <f>SUMIFS(逐日资产统计!$I:$I,逐日资产统计!$A:$A,F88,逐日资产统计!$C:$C,"人民币")</f>
        <v>0</v>
      </c>
      <c r="H88" s="212">
        <f>SUMIF(逐日资产统计!$A:$A,汇总统计!$F88,逐日资产统计!$I:$I)-G88</f>
        <v>417221.79</v>
      </c>
      <c r="I88" s="207">
        <f t="shared" si="34"/>
        <v>417221.79</v>
      </c>
      <c r="J88" s="212">
        <f>SUMIF(逐日资产统计!$A:$A,汇总统计!$F88,逐日资产统计!$G:$G)</f>
        <v>16846.119999999995</v>
      </c>
      <c r="K88" s="223">
        <f t="shared" si="35"/>
        <v>400375.67</v>
      </c>
      <c r="L88" s="222">
        <f t="shared" si="36"/>
        <v>-1.5</v>
      </c>
      <c r="M88" s="219">
        <f t="shared" si="37"/>
        <v>4.2075783476053868E-2</v>
      </c>
      <c r="N88" s="221"/>
      <c r="O88" s="221"/>
    </row>
    <row r="89" spans="1:16" x14ac:dyDescent="0.25">
      <c r="A89" s="205">
        <v>42965</v>
      </c>
      <c r="B89" s="192">
        <v>699.94999999999709</v>
      </c>
      <c r="C89">
        <f>SUM($B$2:B89)</f>
        <v>40973.152000000016</v>
      </c>
      <c r="F89" s="210">
        <f t="shared" si="33"/>
        <v>42965</v>
      </c>
      <c r="G89" s="213">
        <f>SUMIFS(逐日资产统计!$I:$I,逐日资产统计!$A:$A,F89,逐日资产统计!$C:$C,"人民币")</f>
        <v>0</v>
      </c>
      <c r="H89" s="212">
        <f>SUMIF(逐日资产统计!$A:$A,汇总统计!$F89,逐日资产统计!$I:$I)-G89</f>
        <v>417923.01</v>
      </c>
      <c r="I89" s="207">
        <f t="shared" si="34"/>
        <v>417923.01</v>
      </c>
      <c r="J89" s="212">
        <f>SUMIF(逐日资产统计!$A:$A,汇总统计!$F89,逐日资产统计!$G:$G)</f>
        <v>17546.069999999992</v>
      </c>
      <c r="K89" s="223">
        <f t="shared" si="35"/>
        <v>400376.94</v>
      </c>
      <c r="L89" s="222">
        <f t="shared" si="36"/>
        <v>1.2700000000186265</v>
      </c>
      <c r="M89" s="219">
        <f t="shared" si="37"/>
        <v>4.3823877568972859E-2</v>
      </c>
      <c r="N89" s="221"/>
      <c r="O89" s="221"/>
    </row>
    <row r="90" spans="1:16" x14ac:dyDescent="0.25">
      <c r="A90" s="205">
        <v>42968</v>
      </c>
      <c r="B90" s="192">
        <v>2942.2800000000061</v>
      </c>
      <c r="C90">
        <f>SUM($B$2:B90)</f>
        <v>43915.432000000023</v>
      </c>
      <c r="F90" s="210">
        <f t="shared" si="33"/>
        <v>42968</v>
      </c>
      <c r="G90" s="213">
        <f>SUMIFS(逐日资产统计!$I:$I,逐日资产统计!$A:$A,F90,逐日资产统计!$C:$C,"人民币")</f>
        <v>0</v>
      </c>
      <c r="H90" s="212">
        <f>SUMIF(逐日资产统计!$A:$A,汇总统计!$F90,逐日资产统计!$I:$I)-G90</f>
        <v>420878.21</v>
      </c>
      <c r="I90" s="207">
        <f t="shared" si="34"/>
        <v>420878.21</v>
      </c>
      <c r="J90" s="212">
        <f>SUMIF(逐日资产统计!$A:$A,汇总统计!$F90,逐日资产统计!$G:$G)</f>
        <v>20488.349999999999</v>
      </c>
      <c r="K90" s="223">
        <f t="shared" si="35"/>
        <v>400389.86000000004</v>
      </c>
      <c r="L90" s="222">
        <f t="shared" si="36"/>
        <v>12.92000000004191</v>
      </c>
      <c r="M90" s="219">
        <f t="shared" si="37"/>
        <v>5.1171001183696302E-2</v>
      </c>
      <c r="N90" s="221"/>
      <c r="O90" s="221"/>
    </row>
    <row r="91" spans="1:16" x14ac:dyDescent="0.25">
      <c r="A91" s="205">
        <v>42970</v>
      </c>
      <c r="B91" s="192">
        <v>-2289.510000000002</v>
      </c>
      <c r="C91">
        <f>SUM($B$2:B91)</f>
        <v>41625.92200000002</v>
      </c>
      <c r="F91" s="210">
        <f t="shared" si="33"/>
        <v>42970</v>
      </c>
      <c r="G91" s="213">
        <f>SUMIFS(逐日资产统计!$I:$I,逐日资产统计!$A:$A,F91,逐日资产统计!$C:$C,"人民币")</f>
        <v>0</v>
      </c>
      <c r="H91" s="212">
        <f>SUMIF(逐日资产统计!$A:$A,汇总统计!$F91,逐日资产统计!$I:$I)-G91</f>
        <v>418088.7</v>
      </c>
      <c r="I91" s="207">
        <f t="shared" si="34"/>
        <v>418088.7</v>
      </c>
      <c r="J91" s="212">
        <f>SUMIF(逐日资产统计!$A:$A,汇总统计!$F91,逐日资产统计!$G:$G)</f>
        <v>18198.839999999997</v>
      </c>
      <c r="K91" s="223">
        <f t="shared" si="35"/>
        <v>399889.86</v>
      </c>
      <c r="L91" s="222">
        <f t="shared" si="36"/>
        <v>-500.00000000005821</v>
      </c>
      <c r="M91" s="219">
        <f t="shared" si="37"/>
        <v>4.5509631076917023E-2</v>
      </c>
      <c r="N91" s="221"/>
      <c r="O91" s="221"/>
      <c r="P91" s="198" t="s">
        <v>85</v>
      </c>
    </row>
    <row r="92" spans="1:16" x14ac:dyDescent="0.25">
      <c r="A92" s="205">
        <v>42971</v>
      </c>
      <c r="B92" s="192">
        <v>-1083.9799999999996</v>
      </c>
      <c r="C92">
        <f>SUM($B$2:B92)</f>
        <v>40541.942000000025</v>
      </c>
      <c r="F92" s="210">
        <f t="shared" si="33"/>
        <v>42971</v>
      </c>
      <c r="G92" s="213">
        <f>SUMIFS(逐日资产统计!$I:$I,逐日资产统计!$A:$A,F92,逐日资产统计!$C:$C,"人民币")</f>
        <v>0</v>
      </c>
      <c r="H92" s="212">
        <f>SUMIF(逐日资产统计!$A:$A,汇总统计!$F92,逐日资产统计!$I:$I)-G92</f>
        <v>416998.42000000004</v>
      </c>
      <c r="I92" s="207">
        <f t="shared" si="34"/>
        <v>416998.42000000004</v>
      </c>
      <c r="J92" s="212">
        <f>SUMIF(逐日资产统计!$A:$A,汇总统计!$F92,逐日资产统计!$G:$G)</f>
        <v>17114.859999999997</v>
      </c>
      <c r="K92" s="223">
        <f t="shared" si="35"/>
        <v>399883.56000000006</v>
      </c>
      <c r="L92" s="222">
        <f t="shared" si="36"/>
        <v>-6.2999999999301508</v>
      </c>
      <c r="M92" s="219">
        <f t="shared" si="37"/>
        <v>4.2799608966170036E-2</v>
      </c>
      <c r="N92" s="221"/>
      <c r="O92" s="221"/>
    </row>
    <row r="93" spans="1:16" x14ac:dyDescent="0.25">
      <c r="A93" s="205">
        <v>42972</v>
      </c>
      <c r="B93" s="192">
        <v>4505.9800000000032</v>
      </c>
      <c r="C93">
        <f>SUM($B$2:B93)</f>
        <v>45047.922000000028</v>
      </c>
      <c r="F93" s="210">
        <f t="shared" si="33"/>
        <v>42972</v>
      </c>
      <c r="G93" s="213">
        <f>SUMIFS(逐日资产统计!$I:$I,逐日资产统计!$A:$A,F93,逐日资产统计!$C:$C,"人民币")</f>
        <v>0</v>
      </c>
      <c r="H93" s="212">
        <f>SUMIF(逐日资产统计!$A:$A,汇总统计!$F93,逐日资产统计!$I:$I)-G93</f>
        <v>421502.41</v>
      </c>
      <c r="I93" s="207">
        <f t="shared" si="34"/>
        <v>421502.41</v>
      </c>
      <c r="J93" s="212">
        <f>SUMIF(逐日资产统计!$A:$A,汇总统计!$F93,逐日资产统计!$G:$G)</f>
        <v>21620.84</v>
      </c>
      <c r="K93" s="223">
        <f t="shared" si="35"/>
        <v>399881.56999999995</v>
      </c>
      <c r="L93" s="222">
        <f t="shared" si="36"/>
        <v>-1.9900000001071021</v>
      </c>
      <c r="M93" s="219">
        <f t="shared" si="37"/>
        <v>5.4068108215139805E-2</v>
      </c>
      <c r="N93" s="221"/>
      <c r="O93" s="221"/>
    </row>
    <row r="94" spans="1:16" x14ac:dyDescent="0.25">
      <c r="A94" s="205">
        <v>42975</v>
      </c>
      <c r="B94" s="192">
        <v>1201.4199999999946</v>
      </c>
      <c r="C94">
        <f>SUM($B$2:B94)</f>
        <v>46249.342000000019</v>
      </c>
      <c r="F94" s="210">
        <f t="shared" si="33"/>
        <v>42975</v>
      </c>
      <c r="G94" s="213">
        <f>SUMIFS(逐日资产统计!$I:$I,逐日资产统计!$A:$A,F94,逐日资产统计!$C:$C,"人民币")</f>
        <v>0</v>
      </c>
      <c r="H94" s="212">
        <f>SUMIF(逐日资产统计!$A:$A,汇总统计!$F94,逐日资产统计!$I:$I)-G94</f>
        <v>422706.70999999996</v>
      </c>
      <c r="I94" s="207">
        <f t="shared" si="34"/>
        <v>422706.70999999996</v>
      </c>
      <c r="J94" s="212">
        <f>SUMIF(逐日资产统计!$A:$A,汇总统计!$F94,逐日资产统计!$G:$G)</f>
        <v>22822.259999999995</v>
      </c>
      <c r="K94" s="223">
        <f t="shared" si="35"/>
        <v>399884.44999999995</v>
      </c>
      <c r="L94" s="222">
        <f t="shared" si="36"/>
        <v>2.8800000000046566</v>
      </c>
      <c r="M94" s="219">
        <f t="shared" si="37"/>
        <v>5.70721367134931E-2</v>
      </c>
      <c r="N94" s="221"/>
      <c r="O94" s="221"/>
    </row>
    <row r="95" spans="1:16" x14ac:dyDescent="0.25">
      <c r="A95" s="205">
        <v>42977</v>
      </c>
      <c r="B95" s="192">
        <v>667.6820000000007</v>
      </c>
      <c r="C95">
        <f>SUM($B$2:B95)</f>
        <v>46917.024000000019</v>
      </c>
      <c r="F95" s="210">
        <f t="shared" si="33"/>
        <v>42977</v>
      </c>
      <c r="G95" s="213">
        <f>SUMIFS(逐日资产统计!$I:$I,逐日资产统计!$A:$A,F95,逐日资产统计!$C:$C,"人民币")</f>
        <v>0</v>
      </c>
      <c r="H95" s="212">
        <f>SUMIF(逐日资产统计!$A:$A,汇总统计!$F95,逐日资产统计!$I:$I)-G95</f>
        <v>423375.14</v>
      </c>
      <c r="I95" s="207">
        <f t="shared" si="34"/>
        <v>423375.14</v>
      </c>
      <c r="J95" s="212">
        <f>SUMIF(逐日资产统计!$A:$A,汇总统计!$F95,逐日资产统计!$G:$G)</f>
        <v>23489.941999999995</v>
      </c>
      <c r="K95" s="223">
        <f t="shared" si="35"/>
        <v>399885.19800000003</v>
      </c>
      <c r="L95" s="222">
        <f t="shared" si="36"/>
        <v>0.74800000007962808</v>
      </c>
      <c r="M95" s="219">
        <f t="shared" si="37"/>
        <v>5.87417141656741E-2</v>
      </c>
      <c r="N95" s="221"/>
      <c r="O95" s="221"/>
    </row>
    <row r="96" spans="1:16" x14ac:dyDescent="0.25">
      <c r="A96" s="205">
        <v>42978</v>
      </c>
      <c r="B96" s="192">
        <v>1476.5679999999993</v>
      </c>
      <c r="C96">
        <f>SUM($B$2:B96)</f>
        <v>48393.592000000019</v>
      </c>
      <c r="F96" s="210">
        <f t="shared" si="33"/>
        <v>42978</v>
      </c>
      <c r="G96" s="213">
        <f>SUMIFS(逐日资产统计!$I:$I,逐日资产统计!$A:$A,F96,逐日资产统计!$C:$C,"人民币")</f>
        <v>0</v>
      </c>
      <c r="H96" s="212">
        <f>SUMIF(逐日资产统计!$A:$A,汇总统计!$F96,逐日资产统计!$I:$I)-G96</f>
        <v>424844.07</v>
      </c>
      <c r="I96" s="207">
        <f t="shared" si="34"/>
        <v>424844.07</v>
      </c>
      <c r="J96" s="212">
        <f>SUMIF(逐日资产统计!$A:$A,汇总统计!$F96,逐日资产统计!$G:$G)</f>
        <v>24966.509999999995</v>
      </c>
      <c r="K96" s="223">
        <f t="shared" si="35"/>
        <v>399877.56</v>
      </c>
      <c r="L96" s="222">
        <f t="shared" si="36"/>
        <v>-7.6380000000353903</v>
      </c>
      <c r="M96" s="219">
        <f t="shared" si="37"/>
        <v>6.2435386471799005E-2</v>
      </c>
      <c r="N96" s="221"/>
      <c r="O96" s="221"/>
    </row>
    <row r="97" spans="1:79" x14ac:dyDescent="0.25">
      <c r="A97" s="205">
        <v>42979</v>
      </c>
      <c r="B97" s="192">
        <v>-456.11999999999534</v>
      </c>
      <c r="C97">
        <f>SUM($B$2:B97)</f>
        <v>47937.472000000023</v>
      </c>
      <c r="F97" s="210">
        <f t="shared" ref="F97:F106" si="38">A97</f>
        <v>42979</v>
      </c>
      <c r="G97" s="213">
        <f>SUMIFS(逐日资产统计!$I:$I,逐日资产统计!$A:$A,F97,逐日资产统计!$C:$C,"人民币")</f>
        <v>0</v>
      </c>
      <c r="H97" s="212">
        <f>SUMIF(逐日资产统计!$A:$A,汇总统计!$F97,逐日资产统计!$I:$I)-G97</f>
        <v>424387.57</v>
      </c>
      <c r="I97" s="207">
        <f t="shared" ref="I97:I106" si="39">G97+H97</f>
        <v>424387.57</v>
      </c>
      <c r="J97" s="212">
        <f>SUMIF(逐日资产统计!$A:$A,汇总统计!$F97,逐日资产统计!$G:$G)</f>
        <v>24510.39</v>
      </c>
      <c r="K97" s="223">
        <f t="shared" ref="K97:K106" si="40">I97-J97</f>
        <v>399877.18</v>
      </c>
      <c r="L97" s="222">
        <f t="shared" ref="L97:L106" si="41">K97-K96</f>
        <v>-0.38000000000465661</v>
      </c>
      <c r="M97" s="219">
        <f t="shared" ref="M97:M106" si="42">J97/K97</f>
        <v>6.1294795566978838E-2</v>
      </c>
      <c r="N97" s="221"/>
      <c r="O97" s="221"/>
    </row>
    <row r="98" spans="1:79" x14ac:dyDescent="0.25">
      <c r="A98" s="205">
        <v>42984</v>
      </c>
      <c r="B98" s="192">
        <v>-125.42000000000189</v>
      </c>
      <c r="C98">
        <f>SUM($B$2:B98)</f>
        <v>47812.052000000025</v>
      </c>
      <c r="F98" s="210">
        <f t="shared" si="38"/>
        <v>42984</v>
      </c>
      <c r="G98" s="213">
        <f>SUMIFS(逐日资产统计!$I:$I,逐日资产统计!$A:$A,F98,逐日资产统计!$C:$C,"人民币")</f>
        <v>0</v>
      </c>
      <c r="H98" s="212">
        <f>SUMIF(逐日资产统计!$A:$A,汇总统计!$F98,逐日资产统计!$I:$I)-G98</f>
        <v>424471.33999999997</v>
      </c>
      <c r="I98" s="207">
        <f t="shared" si="39"/>
        <v>424471.33999999997</v>
      </c>
      <c r="J98" s="212">
        <f>SUMIF(逐日资产统计!$A:$A,汇总统计!$F98,逐日资产统计!$G:$G)</f>
        <v>24384.969999999998</v>
      </c>
      <c r="K98" s="223">
        <f t="shared" si="40"/>
        <v>400086.37</v>
      </c>
      <c r="L98" s="222">
        <f t="shared" si="41"/>
        <v>209.19000000000233</v>
      </c>
      <c r="M98" s="219">
        <f t="shared" si="42"/>
        <v>6.0949264530056342E-2</v>
      </c>
      <c r="N98" s="221"/>
      <c r="O98" s="221"/>
      <c r="P98" s="198" t="s">
        <v>84</v>
      </c>
    </row>
    <row r="99" spans="1:79" x14ac:dyDescent="0.25">
      <c r="A99" s="205">
        <v>42985</v>
      </c>
      <c r="B99" s="192">
        <v>1061.5299999999988</v>
      </c>
      <c r="C99">
        <f>SUM($B$2:B99)</f>
        <v>48873.582000000024</v>
      </c>
      <c r="F99" s="210">
        <f t="shared" si="38"/>
        <v>42985</v>
      </c>
      <c r="G99" s="213">
        <f>SUMIFS(逐日资产统计!$I:$I,逐日资产统计!$A:$A,F99,逐日资产统计!$C:$C,"人民币")</f>
        <v>0</v>
      </c>
      <c r="H99" s="212">
        <f>SUMIF(逐日资产统计!$A:$A,汇总统计!$F99,逐日资产统计!$I:$I)-G99</f>
        <v>425532.87</v>
      </c>
      <c r="I99" s="207">
        <f t="shared" si="39"/>
        <v>425532.87</v>
      </c>
      <c r="J99" s="212">
        <f>SUMIF(逐日资产统计!$A:$A,汇总统计!$F99,逐日资产统计!$G:$G)</f>
        <v>25446.499999999996</v>
      </c>
      <c r="K99" s="223">
        <f t="shared" si="40"/>
        <v>400086.37</v>
      </c>
      <c r="L99" s="222">
        <f t="shared" si="41"/>
        <v>0</v>
      </c>
      <c r="M99" s="219">
        <f t="shared" si="42"/>
        <v>6.3602516626597397E-2</v>
      </c>
      <c r="N99" s="221"/>
      <c r="O99" s="221"/>
    </row>
    <row r="100" spans="1:79" x14ac:dyDescent="0.25">
      <c r="A100" s="205">
        <v>42989</v>
      </c>
      <c r="B100" s="192">
        <v>2436.6600000000035</v>
      </c>
      <c r="C100">
        <f>SUM($B$2:B100)</f>
        <v>51310.242000000027</v>
      </c>
      <c r="F100" s="210">
        <f t="shared" si="38"/>
        <v>42989</v>
      </c>
      <c r="G100" s="213">
        <f>SUMIFS(逐日资产统计!$I:$I,逐日资产统计!$A:$A,F100,逐日资产统计!$C:$C,"人民币")</f>
        <v>0</v>
      </c>
      <c r="H100" s="212">
        <f>SUMIF(逐日资产统计!$A:$A,汇总统计!$F100,逐日资产统计!$I:$I)-G100</f>
        <v>427960.04</v>
      </c>
      <c r="I100" s="207">
        <f t="shared" si="39"/>
        <v>427960.04</v>
      </c>
      <c r="J100" s="212">
        <f>SUMIF(逐日资产统计!$A:$A,汇总统计!$F100,逐日资产统计!$G:$G)</f>
        <v>27883.16</v>
      </c>
      <c r="K100" s="223">
        <f t="shared" si="40"/>
        <v>400076.88</v>
      </c>
      <c r="L100" s="222">
        <f t="shared" si="41"/>
        <v>-9.4899999999906868</v>
      </c>
      <c r="M100" s="219">
        <f t="shared" si="42"/>
        <v>6.9694504716193553E-2</v>
      </c>
      <c r="N100" s="221"/>
      <c r="O100" s="221"/>
    </row>
    <row r="101" spans="1:79" x14ac:dyDescent="0.25">
      <c r="A101" s="205">
        <v>42990</v>
      </c>
      <c r="B101" s="192">
        <v>-1684.4700000000012</v>
      </c>
      <c r="C101">
        <f>SUM($B$2:B101)</f>
        <v>49625.772000000026</v>
      </c>
      <c r="F101" s="210">
        <f t="shared" si="38"/>
        <v>42990</v>
      </c>
      <c r="G101" s="213">
        <f>SUMIFS(逐日资产统计!$I:$I,逐日资产统计!$A:$A,F101,逐日资产统计!$C:$C,"人民币")</f>
        <v>0</v>
      </c>
      <c r="H101" s="212">
        <f>SUMIF(逐日资产统计!$A:$A,汇总统计!$F101,逐日资产统计!$I:$I)-G101</f>
        <v>426275.57</v>
      </c>
      <c r="I101" s="207">
        <f t="shared" si="39"/>
        <v>426275.57</v>
      </c>
      <c r="J101" s="212">
        <f>SUMIF(逐日资产统计!$A:$A,汇总统计!$F101,逐日资产统计!$G:$G)</f>
        <v>26198.69</v>
      </c>
      <c r="K101" s="223">
        <f t="shared" si="40"/>
        <v>400076.88</v>
      </c>
      <c r="L101" s="222">
        <f t="shared" si="41"/>
        <v>0</v>
      </c>
      <c r="M101" s="219">
        <f t="shared" si="42"/>
        <v>6.54841389484941E-2</v>
      </c>
      <c r="N101" s="221"/>
      <c r="O101" s="221"/>
    </row>
    <row r="102" spans="1:79" x14ac:dyDescent="0.25">
      <c r="A102" s="205">
        <v>42991</v>
      </c>
      <c r="B102" s="192">
        <v>52.019999999996799</v>
      </c>
      <c r="C102">
        <f>SUM($B$2:B102)</f>
        <v>49677.792000000023</v>
      </c>
      <c r="F102" s="210">
        <f t="shared" si="38"/>
        <v>42991</v>
      </c>
      <c r="G102" s="213">
        <f>SUMIFS(逐日资产统计!$I:$I,逐日资产统计!$A:$A,F102,逐日资产统计!$C:$C,"人民币")</f>
        <v>0</v>
      </c>
      <c r="H102" s="212">
        <f>SUMIF(逐日资产统计!$A:$A,汇总统计!$F102,逐日资产统计!$I:$I)-G102</f>
        <v>426327.58999999997</v>
      </c>
      <c r="I102" s="207">
        <f t="shared" si="39"/>
        <v>426327.58999999997</v>
      </c>
      <c r="J102" s="212">
        <f>SUMIF(逐日资产统计!$A:$A,汇总统计!$F102,逐日资产统计!$G:$G)</f>
        <v>26250.709999999995</v>
      </c>
      <c r="K102" s="223">
        <f t="shared" si="40"/>
        <v>400076.87999999995</v>
      </c>
      <c r="L102" s="222">
        <f t="shared" si="41"/>
        <v>0</v>
      </c>
      <c r="M102" s="219">
        <f t="shared" si="42"/>
        <v>6.5614163957687335E-2</v>
      </c>
      <c r="N102" s="221"/>
      <c r="O102" s="221"/>
      <c r="CA102">
        <f>COLUMN()</f>
        <v>79</v>
      </c>
    </row>
    <row r="103" spans="1:79" x14ac:dyDescent="0.25">
      <c r="A103" s="205">
        <v>42992</v>
      </c>
      <c r="B103" s="192">
        <v>2132.7100000000028</v>
      </c>
      <c r="C103">
        <f>SUM($B$2:B103)</f>
        <v>51810.502000000022</v>
      </c>
      <c r="F103" s="210">
        <f t="shared" si="38"/>
        <v>42992</v>
      </c>
      <c r="G103" s="213">
        <f>SUMIFS(逐日资产统计!$I:$I,逐日资产统计!$A:$A,F103,逐日资产统计!$C:$C,"人民币")</f>
        <v>0</v>
      </c>
      <c r="H103" s="212">
        <f>SUMIF(逐日资产统计!$A:$A,汇总统计!$F103,逐日资产统计!$I:$I)-G103</f>
        <v>428460.29999999993</v>
      </c>
      <c r="I103" s="207">
        <f t="shared" si="39"/>
        <v>428460.29999999993</v>
      </c>
      <c r="J103" s="212">
        <f>SUMIF(逐日资产统计!$A:$A,汇总统计!$F103,逐日资产统计!$G:$G)</f>
        <v>28383.42</v>
      </c>
      <c r="K103" s="223">
        <f t="shared" si="40"/>
        <v>400076.87999999995</v>
      </c>
      <c r="L103" s="222">
        <f t="shared" si="41"/>
        <v>0</v>
      </c>
      <c r="M103" s="219">
        <f t="shared" si="42"/>
        <v>7.0944914387454733E-2</v>
      </c>
      <c r="N103" s="221"/>
      <c r="O103" s="221"/>
    </row>
    <row r="104" spans="1:79" x14ac:dyDescent="0.25">
      <c r="A104" s="205">
        <v>42993</v>
      </c>
      <c r="B104" s="192">
        <v>4375.6899999999987</v>
      </c>
      <c r="C104">
        <f>SUM($B$2:B104)</f>
        <v>56186.192000000025</v>
      </c>
      <c r="F104" s="210">
        <f t="shared" si="38"/>
        <v>42993</v>
      </c>
      <c r="G104" s="213">
        <f>SUMIFS(逐日资产统计!$I:$I,逐日资产统计!$A:$A,F104,逐日资产统计!$C:$C,"人民币")</f>
        <v>0</v>
      </c>
      <c r="H104" s="212">
        <f>SUMIF(逐日资产统计!$A:$A,汇总统计!$F104,逐日资产统计!$I:$I)-G104</f>
        <v>432335.99</v>
      </c>
      <c r="I104" s="207">
        <f t="shared" si="39"/>
        <v>432335.99</v>
      </c>
      <c r="J104" s="212">
        <f>SUMIF(逐日资产统计!$A:$A,汇总统计!$F104,逐日资产统计!$G:$G)</f>
        <v>32759.109999999997</v>
      </c>
      <c r="K104" s="223">
        <f t="shared" si="40"/>
        <v>399576.88</v>
      </c>
      <c r="L104" s="222">
        <f t="shared" si="41"/>
        <v>-499.99999999994179</v>
      </c>
      <c r="M104" s="219">
        <f t="shared" si="42"/>
        <v>8.1984498202198275E-2</v>
      </c>
      <c r="N104" s="221"/>
      <c r="O104" s="221"/>
      <c r="P104" s="198" t="s">
        <v>86</v>
      </c>
    </row>
    <row r="105" spans="1:79" x14ac:dyDescent="0.25">
      <c r="A105" s="205">
        <v>42996</v>
      </c>
      <c r="B105" s="192">
        <v>3932.8300000000054</v>
      </c>
      <c r="C105">
        <f>SUM($B$2:B105)</f>
        <v>60119.022000000026</v>
      </c>
      <c r="F105" s="210">
        <f t="shared" si="38"/>
        <v>42996</v>
      </c>
      <c r="G105" s="213">
        <f>SUMIFS(逐日资产统计!$I:$I,逐日资产统计!$A:$A,F105,逐日资产统计!$C:$C,"人民币")</f>
        <v>0</v>
      </c>
      <c r="H105" s="212">
        <f>SUMIF(逐日资产统计!$A:$A,汇总统计!$F105,逐日资产统计!$I:$I)-G105</f>
        <v>436266.82</v>
      </c>
      <c r="I105" s="207">
        <f t="shared" si="39"/>
        <v>436266.82</v>
      </c>
      <c r="J105" s="212">
        <f>SUMIF(逐日资产统计!$A:$A,汇总统计!$F105,逐日资产统计!$G:$G)</f>
        <v>36691.94</v>
      </c>
      <c r="K105" s="223">
        <f t="shared" si="40"/>
        <v>399574.88</v>
      </c>
      <c r="L105" s="222">
        <f t="shared" si="41"/>
        <v>-2</v>
      </c>
      <c r="M105" s="219">
        <f t="shared" si="42"/>
        <v>9.1827444207703959E-2</v>
      </c>
      <c r="N105" s="221"/>
      <c r="O105" s="221"/>
    </row>
    <row r="106" spans="1:79" x14ac:dyDescent="0.25">
      <c r="A106" s="205">
        <v>42997</v>
      </c>
      <c r="B106" s="192">
        <v>829.33000000000175</v>
      </c>
      <c r="C106">
        <f>SUM($B$2:B106)</f>
        <v>60948.352000000028</v>
      </c>
      <c r="F106" s="210">
        <f t="shared" si="38"/>
        <v>42997</v>
      </c>
      <c r="G106" s="213">
        <f>SUMIFS(逐日资产统计!$I:$I,逐日资产统计!$A:$A,F106,逐日资产统计!$C:$C,"人民币")</f>
        <v>0</v>
      </c>
      <c r="H106" s="212">
        <f>SUMIF(逐日资产统计!$A:$A,汇总统计!$F106,逐日资产统计!$I:$I)-G106</f>
        <v>437094.15</v>
      </c>
      <c r="I106" s="207">
        <f t="shared" si="39"/>
        <v>437094.15</v>
      </c>
      <c r="J106" s="212">
        <f>SUMIF(逐日资产统计!$A:$A,汇总统计!$F106,逐日资产统计!$G:$G)</f>
        <v>37521.270000000004</v>
      </c>
      <c r="K106" s="223">
        <f t="shared" si="40"/>
        <v>399572.88</v>
      </c>
      <c r="L106" s="222">
        <f t="shared" si="41"/>
        <v>-2</v>
      </c>
      <c r="M106" s="219">
        <f t="shared" si="42"/>
        <v>9.3903445098676375E-2</v>
      </c>
      <c r="N106" s="221"/>
      <c r="O106" s="221"/>
    </row>
    <row r="107" spans="1:79" x14ac:dyDescent="0.25">
      <c r="A107" s="205">
        <v>42998</v>
      </c>
      <c r="B107" s="192">
        <v>2333.7799999999988</v>
      </c>
      <c r="C107">
        <f>SUM($B$2:B107)</f>
        <v>63282.132000000027</v>
      </c>
      <c r="F107" s="210">
        <f t="shared" ref="F107:F122" si="43">A107</f>
        <v>42998</v>
      </c>
      <c r="G107" s="213">
        <f>SUMIFS(逐日资产统计!$I:$I,逐日资产统计!$A:$A,F107,逐日资产统计!$C:$C,"人民币")</f>
        <v>0</v>
      </c>
      <c r="H107" s="212">
        <f>SUMIF(逐日资产统计!$A:$A,汇总统计!$F107,逐日资产统计!$I:$I)-G107</f>
        <v>439438.39999999997</v>
      </c>
      <c r="I107" s="207">
        <f t="shared" ref="I107:I122" si="44">G107+H107</f>
        <v>439438.39999999997</v>
      </c>
      <c r="J107" s="212">
        <f>SUMIF(逐日资产统计!$A:$A,汇总统计!$F107,逐日资产统计!$G:$G)</f>
        <v>39855.050000000003</v>
      </c>
      <c r="K107" s="223">
        <f t="shared" ref="K107:K122" si="45">I107-J107</f>
        <v>399583.35</v>
      </c>
      <c r="L107" s="222">
        <f t="shared" ref="L107:L122" si="46">K107-K106</f>
        <v>10.46999999997206</v>
      </c>
      <c r="M107" s="219">
        <f t="shared" ref="M107:M122" si="47">J107/K107</f>
        <v>9.9741518258956496E-2</v>
      </c>
      <c r="N107" s="221"/>
      <c r="O107" s="221"/>
    </row>
    <row r="108" spans="1:79" x14ac:dyDescent="0.25">
      <c r="A108" s="205">
        <v>42999</v>
      </c>
      <c r="B108" s="192">
        <v>-1695.0400000000081</v>
      </c>
      <c r="C108">
        <f>SUM($B$2:B108)</f>
        <v>61587.092000000019</v>
      </c>
      <c r="F108" s="210">
        <f t="shared" si="43"/>
        <v>42999</v>
      </c>
      <c r="G108" s="213">
        <f>SUMIFS(逐日资产统计!$I:$I,逐日资产统计!$A:$A,F108,逐日资产统计!$C:$C,"人民币")</f>
        <v>0</v>
      </c>
      <c r="H108" s="212">
        <f>SUMIF(逐日资产统计!$A:$A,汇总统计!$F108,逐日资产统计!$I:$I)-G108</f>
        <v>437283.5</v>
      </c>
      <c r="I108" s="207">
        <f t="shared" si="44"/>
        <v>437283.5</v>
      </c>
      <c r="J108" s="212">
        <f>SUMIF(逐日资产统计!$A:$A,汇总统计!$F108,逐日资产统计!$G:$G)</f>
        <v>38160.009999999995</v>
      </c>
      <c r="K108" s="223">
        <f t="shared" si="45"/>
        <v>399123.49</v>
      </c>
      <c r="L108" s="222">
        <f t="shared" si="46"/>
        <v>-459.85999999998603</v>
      </c>
      <c r="M108" s="219">
        <f t="shared" si="47"/>
        <v>9.5609531776744069E-2</v>
      </c>
      <c r="N108" s="221"/>
      <c r="O108" s="221"/>
      <c r="P108" s="198" t="s">
        <v>87</v>
      </c>
    </row>
    <row r="109" spans="1:79" x14ac:dyDescent="0.25">
      <c r="A109" s="205">
        <v>43000</v>
      </c>
      <c r="B109" s="192">
        <v>847.36000000000058</v>
      </c>
      <c r="C109">
        <f>SUM($B$2:B109)</f>
        <v>62434.452000000019</v>
      </c>
      <c r="F109" s="210">
        <f t="shared" si="43"/>
        <v>43000</v>
      </c>
      <c r="G109" s="213">
        <f>SUMIFS(逐日资产统计!$I:$I,逐日资产统计!$A:$A,F109,逐日资产统计!$C:$C,"人民币")</f>
        <v>0</v>
      </c>
      <c r="H109" s="212">
        <f>SUMIF(逐日资产统计!$A:$A,汇总统计!$F109,逐日资产统计!$I:$I)-G109</f>
        <v>438130.86</v>
      </c>
      <c r="I109" s="207">
        <f t="shared" si="44"/>
        <v>438130.86</v>
      </c>
      <c r="J109" s="212">
        <f>SUMIF(逐日资产统计!$A:$A,汇总统计!$F109,逐日资产统计!$G:$G)</f>
        <v>39007.369999999995</v>
      </c>
      <c r="K109" s="223">
        <f t="shared" si="45"/>
        <v>399123.49</v>
      </c>
      <c r="L109" s="222">
        <f t="shared" si="46"/>
        <v>0</v>
      </c>
      <c r="M109" s="219">
        <f t="shared" si="47"/>
        <v>9.7732583967934328E-2</v>
      </c>
      <c r="N109" s="221">
        <f>SUMIFS(逐日资产统计!L:L,逐日资产统计!A:A,汇总统计!F109,逐日资产统计!C:C,"人民币")</f>
        <v>0</v>
      </c>
      <c r="O109" s="221"/>
    </row>
    <row r="110" spans="1:79" x14ac:dyDescent="0.25">
      <c r="A110" s="205">
        <v>43003</v>
      </c>
      <c r="B110" s="192">
        <v>-5095.0399999999936</v>
      </c>
      <c r="C110">
        <f>SUM($B$2:B110)</f>
        <v>57339.412000000026</v>
      </c>
      <c r="F110" s="210">
        <f t="shared" si="43"/>
        <v>43003</v>
      </c>
      <c r="G110" s="213">
        <f>SUMIFS(逐日资产统计!$I:$I,逐日资产统计!$A:$A,F110,逐日资产统计!$C:$C,"人民币")</f>
        <v>0</v>
      </c>
      <c r="H110" s="212">
        <f>SUMIF(逐日资产统计!$A:$A,汇总统计!$F110,逐日资产统计!$I:$I)-G110</f>
        <v>433035.82</v>
      </c>
      <c r="I110" s="207">
        <f t="shared" si="44"/>
        <v>433035.82</v>
      </c>
      <c r="J110" s="212">
        <f>SUMIF(逐日资产统计!$A:$A,汇总统计!$F110,逐日资产统计!$G:$G)</f>
        <v>33912.33</v>
      </c>
      <c r="K110" s="223">
        <f t="shared" si="45"/>
        <v>399123.49</v>
      </c>
      <c r="L110" s="222">
        <f t="shared" si="46"/>
        <v>0</v>
      </c>
      <c r="M110" s="219">
        <f t="shared" si="47"/>
        <v>8.4967011087220157E-2</v>
      </c>
      <c r="N110" s="221">
        <f>SUMIFS(逐日资产统计!L:L,逐日资产统计!A:A,汇总统计!F110,逐日资产统计!C:C,"人民币")</f>
        <v>0</v>
      </c>
      <c r="O110" s="221"/>
    </row>
    <row r="111" spans="1:79" x14ac:dyDescent="0.25">
      <c r="A111" s="205">
        <v>43004</v>
      </c>
      <c r="B111" s="192">
        <v>3148.9400000000023</v>
      </c>
      <c r="C111">
        <f>SUM($B$2:B111)</f>
        <v>60488.352000000028</v>
      </c>
      <c r="F111" s="210">
        <f t="shared" si="43"/>
        <v>43004</v>
      </c>
      <c r="G111" s="213">
        <f>SUMIFS(逐日资产统计!$I:$I,逐日资产统计!$A:$A,F111,逐日资产统计!$C:$C,"人民币")</f>
        <v>0</v>
      </c>
      <c r="H111" s="212">
        <f>SUMIF(逐日资产统计!$A:$A,汇总统计!$F111,逐日资产统计!$I:$I)-G111</f>
        <v>436202.08</v>
      </c>
      <c r="I111" s="207">
        <f t="shared" si="44"/>
        <v>436202.08</v>
      </c>
      <c r="J111" s="212">
        <f>SUMIF(逐日资产统计!$A:$A,汇总统计!$F111,逐日资产统计!$G:$G)</f>
        <v>37061.270000000004</v>
      </c>
      <c r="K111" s="223">
        <f t="shared" si="45"/>
        <v>399140.81</v>
      </c>
      <c r="L111" s="222">
        <f t="shared" si="46"/>
        <v>17.320000000006985</v>
      </c>
      <c r="M111" s="219">
        <f t="shared" si="47"/>
        <v>9.2852620106673639E-2</v>
      </c>
      <c r="N111" s="221">
        <f>SUMIFS(逐日资产统计!L:L,逐日资产统计!A:A,汇总统计!F111,逐日资产统计!C:C,"人民币")</f>
        <v>0</v>
      </c>
      <c r="O111" s="221"/>
    </row>
    <row r="112" spans="1:79" x14ac:dyDescent="0.25">
      <c r="A112" s="205">
        <v>43005</v>
      </c>
      <c r="B112" s="192">
        <v>4501.8800000000047</v>
      </c>
      <c r="C112">
        <f>SUM($B$2:B112)</f>
        <v>64990.232000000033</v>
      </c>
      <c r="F112" s="210">
        <f t="shared" si="43"/>
        <v>43005</v>
      </c>
      <c r="G112" s="213">
        <f>SUMIFS(逐日资产统计!$I:$I,逐日资产统计!$A:$A,F112,逐日资产统计!$C:$C,"人民币")</f>
        <v>0</v>
      </c>
      <c r="H112" s="212">
        <f>SUMIF(逐日资产统计!$A:$A,汇总统计!$F112,逐日资产统计!$I:$I)-G112</f>
        <v>440703.95999999996</v>
      </c>
      <c r="I112" s="207">
        <f t="shared" si="44"/>
        <v>440703.95999999996</v>
      </c>
      <c r="J112" s="212">
        <f>SUMIF(逐日资产统计!$A:$A,汇总统计!$F112,逐日资产统计!$G:$G)</f>
        <v>41563.150000000009</v>
      </c>
      <c r="K112" s="223">
        <f t="shared" si="45"/>
        <v>399140.80999999994</v>
      </c>
      <c r="L112" s="222">
        <f t="shared" si="46"/>
        <v>0</v>
      </c>
      <c r="M112" s="219">
        <f t="shared" si="47"/>
        <v>0.10413154695958055</v>
      </c>
      <c r="N112" s="221">
        <f>SUMIFS(逐日资产统计!L:L,逐日资产统计!A:A,汇总统计!F112,逐日资产统计!C:C,"人民币")</f>
        <v>0</v>
      </c>
      <c r="O112" s="221"/>
    </row>
    <row r="113" spans="1:18" x14ac:dyDescent="0.25">
      <c r="A113" s="205">
        <v>43007</v>
      </c>
      <c r="B113" s="192">
        <v>2496.5159999999887</v>
      </c>
      <c r="C113">
        <f>SUM($B$2:B113)</f>
        <v>67486.748000000021</v>
      </c>
      <c r="F113" s="210">
        <f t="shared" si="43"/>
        <v>43007</v>
      </c>
      <c r="G113" s="213">
        <f>SUMIFS(逐日资产统计!$I:$I,逐日资产统计!$A:$A,F113,逐日资产统计!$C:$C,"人民币")</f>
        <v>0</v>
      </c>
      <c r="H113" s="212">
        <f>SUMIF(逐日资产统计!$A:$A,汇总统计!$F113,逐日资产统计!$I:$I)-G113</f>
        <v>443196.52999999997</v>
      </c>
      <c r="I113" s="207">
        <f t="shared" si="44"/>
        <v>443196.52999999997</v>
      </c>
      <c r="J113" s="212">
        <f>SUMIF(逐日资产统计!$A:$A,汇总统计!$F113,逐日资产统计!$G:$G)</f>
        <v>44059.665999999997</v>
      </c>
      <c r="K113" s="223">
        <f t="shared" si="45"/>
        <v>399136.86399999994</v>
      </c>
      <c r="L113" s="222">
        <f t="shared" si="46"/>
        <v>-3.9459999999962747</v>
      </c>
      <c r="M113" s="219">
        <f t="shared" si="47"/>
        <v>0.11038736326795413</v>
      </c>
      <c r="N113" s="221">
        <f>SUMIFS(逐日资产统计!L:L,逐日资产统计!A:A,汇总统计!F113,逐日资产统计!C:C,"人民币")</f>
        <v>0</v>
      </c>
      <c r="O113" s="221"/>
    </row>
    <row r="114" spans="1:18" x14ac:dyDescent="0.25">
      <c r="A114" s="205">
        <v>43017</v>
      </c>
      <c r="B114" s="192">
        <v>3246.9900000000052</v>
      </c>
      <c r="C114">
        <f>SUM($B$2:B114)</f>
        <v>70733.738000000027</v>
      </c>
      <c r="F114" s="210">
        <f t="shared" si="43"/>
        <v>43017</v>
      </c>
      <c r="G114" s="213">
        <f>SUMIFS(逐日资产统计!$I:$I,逐日资产统计!$A:$A,F114,逐日资产统计!$C:$C,"人民币")</f>
        <v>0</v>
      </c>
      <c r="H114" s="212">
        <f>SUMIF(逐日资产统计!$A:$A,汇总统计!$F114,逐日资产统计!$I:$I)-G114</f>
        <v>446430.33</v>
      </c>
      <c r="I114" s="207">
        <f t="shared" si="44"/>
        <v>446430.33</v>
      </c>
      <c r="J114" s="212">
        <f>SUMIF(逐日资产统计!$A:$A,汇总统计!$F114,逐日资产统计!$G:$G)</f>
        <v>47306.656000000003</v>
      </c>
      <c r="K114" s="223">
        <f t="shared" si="45"/>
        <v>399123.674</v>
      </c>
      <c r="L114" s="222">
        <f t="shared" si="46"/>
        <v>-13.189999999944121</v>
      </c>
      <c r="M114" s="219">
        <f t="shared" si="47"/>
        <v>0.11852630921612534</v>
      </c>
      <c r="N114" s="221">
        <f>SUMIFS(逐日资产统计!L:L,逐日资产统计!A:A,汇总统计!F114,逐日资产统计!C:C,"人民币")</f>
        <v>0</v>
      </c>
      <c r="O114" s="221"/>
    </row>
    <row r="115" spans="1:18" x14ac:dyDescent="0.25">
      <c r="A115" s="205">
        <v>43018</v>
      </c>
      <c r="B115" s="192">
        <v>1600.4099999999962</v>
      </c>
      <c r="C115">
        <f>SUM($B$2:B115)</f>
        <v>72334.148000000016</v>
      </c>
      <c r="F115" s="210">
        <f t="shared" si="43"/>
        <v>43018</v>
      </c>
      <c r="G115" s="213">
        <f>SUMIFS(逐日资产统计!$I:$I,逐日资产统计!$A:$A,F115,逐日资产统计!$C:$C,"人民币")</f>
        <v>0</v>
      </c>
      <c r="H115" s="212">
        <f>SUMIF(逐日资产统计!$A:$A,汇总统计!$F115,逐日资产统计!$I:$I)-G115</f>
        <v>448030.42</v>
      </c>
      <c r="I115" s="207">
        <f t="shared" si="44"/>
        <v>448030.42</v>
      </c>
      <c r="J115" s="212">
        <f>SUMIF(逐日资产统计!$A:$A,汇总统计!$F115,逐日资产统计!$G:$G)</f>
        <v>48907.065999999999</v>
      </c>
      <c r="K115" s="223">
        <f t="shared" si="45"/>
        <v>399123.35399999999</v>
      </c>
      <c r="L115" s="222">
        <f t="shared" si="46"/>
        <v>-0.32000000000698492</v>
      </c>
      <c r="M115" s="219">
        <f t="shared" si="47"/>
        <v>0.12253621721168438</v>
      </c>
      <c r="N115" s="221">
        <f>SUMIFS(逐日资产统计!L:L,逐日资产统计!A:A,汇总统计!F115,逐日资产统计!C:C,"人民币")</f>
        <v>0</v>
      </c>
      <c r="O115" s="221"/>
    </row>
    <row r="116" spans="1:18" x14ac:dyDescent="0.25">
      <c r="A116" s="205">
        <v>43019</v>
      </c>
      <c r="B116" s="192">
        <v>-20.947999999996682</v>
      </c>
      <c r="C116">
        <f>SUM($B$2:B116)</f>
        <v>72313.200000000012</v>
      </c>
      <c r="F116" s="210">
        <f t="shared" si="43"/>
        <v>43019</v>
      </c>
      <c r="G116" s="213">
        <f>SUMIFS(逐日资产统计!$I:$I,逐日资产统计!$A:$A,F116,逐日资产统计!$C:$C,"人民币")</f>
        <v>0</v>
      </c>
      <c r="H116" s="212">
        <f>SUMIF(逐日资产统计!$A:$A,汇总统计!$F116,逐日资产统计!$I:$I)-G116</f>
        <v>447587.16000000003</v>
      </c>
      <c r="I116" s="207">
        <f t="shared" si="44"/>
        <v>447587.16000000003</v>
      </c>
      <c r="J116" s="212">
        <f>SUMIF(逐日资产统计!$A:$A,汇总统计!$F116,逐日资产统计!$G:$G)</f>
        <v>48886.118000000002</v>
      </c>
      <c r="K116" s="223">
        <f t="shared" si="45"/>
        <v>398701.04200000002</v>
      </c>
      <c r="L116" s="222">
        <f t="shared" si="46"/>
        <v>-422.31199999997625</v>
      </c>
      <c r="M116" s="219">
        <f t="shared" si="47"/>
        <v>0.1226134693673562</v>
      </c>
      <c r="N116" s="221">
        <f>SUMIFS(逐日资产统计!L:L,逐日资产统计!A:A,汇总统计!F116,逐日资产统计!C:C,"人民币")</f>
        <v>0</v>
      </c>
      <c r="O116" s="221"/>
      <c r="P116" s="198" t="s">
        <v>88</v>
      </c>
    </row>
    <row r="117" spans="1:18" x14ac:dyDescent="0.25">
      <c r="A117" s="205">
        <v>43020</v>
      </c>
      <c r="B117" s="192">
        <v>-1754</v>
      </c>
      <c r="C117">
        <f>SUM($B$2:B117)</f>
        <v>70559.200000000012</v>
      </c>
      <c r="F117" s="210">
        <f t="shared" si="43"/>
        <v>43020</v>
      </c>
      <c r="G117" s="213">
        <f>SUMIFS(逐日资产统计!$I:$I,逐日资产统计!$A:$A,F117,逐日资产统计!$C:$C,"人民币")</f>
        <v>0</v>
      </c>
      <c r="H117" s="212">
        <f>SUMIF(逐日资产统计!$A:$A,汇总统计!$F117,逐日资产统计!$I:$I)-G117</f>
        <v>445833.16</v>
      </c>
      <c r="I117" s="207">
        <f t="shared" si="44"/>
        <v>445833.16</v>
      </c>
      <c r="J117" s="212">
        <f>SUMIF(逐日资产统计!$A:$A,汇总统计!$F117,逐日资产统计!$G:$G)</f>
        <v>47132.118000000002</v>
      </c>
      <c r="K117" s="223">
        <f t="shared" si="45"/>
        <v>398701.04199999996</v>
      </c>
      <c r="L117" s="222">
        <f t="shared" si="46"/>
        <v>0</v>
      </c>
      <c r="M117" s="219">
        <f t="shared" si="47"/>
        <v>0.11821418314728159</v>
      </c>
      <c r="N117" s="221">
        <f>SUMIFS(逐日资产统计!L:L,逐日资产统计!A:A,汇总统计!F117,逐日资产统计!C:C,"人民币")</f>
        <v>0</v>
      </c>
      <c r="O117" s="221"/>
    </row>
    <row r="118" spans="1:18" x14ac:dyDescent="0.25">
      <c r="A118" s="205">
        <v>43021</v>
      </c>
      <c r="B118" s="192">
        <v>2775.2709999999934</v>
      </c>
      <c r="C118">
        <f>SUM($B$2:B118)</f>
        <v>73334.471000000005</v>
      </c>
      <c r="F118" s="210">
        <f t="shared" si="43"/>
        <v>43021</v>
      </c>
      <c r="G118" s="213">
        <f>SUMIFS(逐日资产统计!$I:$I,逐日资产统计!$A:$A,F118,逐日资产统计!$C:$C,"人民币")</f>
        <v>0</v>
      </c>
      <c r="H118" s="212">
        <f>SUMIF(逐日资产统计!$A:$A,汇总统计!$F118,逐日资产统计!$I:$I)-G118</f>
        <v>448754.35</v>
      </c>
      <c r="I118" s="207">
        <f t="shared" si="44"/>
        <v>448754.35</v>
      </c>
      <c r="J118" s="212">
        <f>SUMIF(逐日资产统计!$A:$A,汇总统计!$F118,逐日资产统计!$G:$G)</f>
        <v>49907.388999999996</v>
      </c>
      <c r="K118" s="223">
        <f t="shared" si="45"/>
        <v>398846.96100000001</v>
      </c>
      <c r="L118" s="222">
        <f t="shared" si="46"/>
        <v>145.91900000005262</v>
      </c>
      <c r="M118" s="219">
        <f t="shared" si="47"/>
        <v>0.1251291695312679</v>
      </c>
      <c r="N118" s="221">
        <f>SUMIFS(逐日资产统计!L:L,逐日资产统计!A:A,汇总统计!F118,逐日资产统计!C:C,"人民币")</f>
        <v>0</v>
      </c>
      <c r="O118" s="221"/>
    </row>
    <row r="119" spans="1:18" x14ac:dyDescent="0.25">
      <c r="A119" s="205">
        <v>43024</v>
      </c>
      <c r="B119" s="192">
        <v>-2728.3889999999956</v>
      </c>
      <c r="C119">
        <f>SUM($B$2:B119)</f>
        <v>70606.082000000009</v>
      </c>
      <c r="F119" s="210">
        <f t="shared" si="43"/>
        <v>43024</v>
      </c>
      <c r="G119" s="213">
        <f>SUMIFS(逐日资产统计!$I:$I,逐日资产统计!$A:$A,F119,逐日资产统计!$C:$C,"人民币")</f>
        <v>0</v>
      </c>
      <c r="H119" s="212">
        <f>SUMIF(逐日资产统计!$A:$A,汇总统计!$F119,逐日资产统计!$I:$I)-G119</f>
        <v>446008.27999999997</v>
      </c>
      <c r="I119" s="207">
        <f t="shared" si="44"/>
        <v>446008.27999999997</v>
      </c>
      <c r="J119" s="212">
        <f>SUMIF(逐日资产统计!$A:$A,汇总统计!$F119,逐日资产统计!$G:$G)</f>
        <v>47179</v>
      </c>
      <c r="K119" s="223">
        <f t="shared" si="45"/>
        <v>398829.27999999997</v>
      </c>
      <c r="L119" s="222">
        <f t="shared" si="46"/>
        <v>-17.681000000040513</v>
      </c>
      <c r="M119" s="219">
        <f t="shared" si="47"/>
        <v>0.11829372206574203</v>
      </c>
      <c r="N119" s="221">
        <f>SUMIFS(逐日资产统计!L:L,逐日资产统计!A:A,汇总统计!F119,逐日资产统计!C:C,"人民币")</f>
        <v>0</v>
      </c>
      <c r="O119" s="221"/>
    </row>
    <row r="120" spans="1:18" x14ac:dyDescent="0.25">
      <c r="A120" s="205">
        <v>43025</v>
      </c>
      <c r="B120" s="192">
        <v>-1679.6999999999971</v>
      </c>
      <c r="C120">
        <f>SUM($B$2:B120)</f>
        <v>68926.382000000012</v>
      </c>
      <c r="F120" s="210">
        <f t="shared" si="43"/>
        <v>43025</v>
      </c>
      <c r="G120" s="213">
        <f>SUMIFS(逐日资产统计!$I:$I,逐日资产统计!$A:$A,F120,逐日资产统计!$C:$C,"人民币")</f>
        <v>0</v>
      </c>
      <c r="H120" s="212">
        <f>SUMIF(逐日资产统计!$A:$A,汇总统计!$F120,逐日资产统计!$I:$I)-G120</f>
        <v>444590.83</v>
      </c>
      <c r="I120" s="207">
        <f t="shared" si="44"/>
        <v>444590.83</v>
      </c>
      <c r="J120" s="212">
        <f>SUMIF(逐日资产统计!$A:$A,汇总统计!$F120,逐日资产统计!$G:$G)</f>
        <v>45499.3</v>
      </c>
      <c r="K120" s="223">
        <f t="shared" si="45"/>
        <v>399091.53</v>
      </c>
      <c r="L120" s="222">
        <f t="shared" si="46"/>
        <v>262.25000000005821</v>
      </c>
      <c r="M120" s="219">
        <f t="shared" si="47"/>
        <v>0.1140071802576216</v>
      </c>
      <c r="N120" s="221">
        <f>SUMIFS(逐日资产统计!L:L,逐日资产统计!A:A,汇总统计!F120,逐日资产统计!C:C,"人民币")</f>
        <v>0</v>
      </c>
      <c r="O120" s="221"/>
    </row>
    <row r="121" spans="1:18" x14ac:dyDescent="0.25">
      <c r="A121" s="205">
        <v>43026</v>
      </c>
      <c r="B121" s="192">
        <v>-2044.6200000000099</v>
      </c>
      <c r="C121">
        <f>SUM($B$2:B121)</f>
        <v>66881.762000000002</v>
      </c>
      <c r="F121" s="210">
        <f t="shared" si="43"/>
        <v>43026</v>
      </c>
      <c r="G121" s="213">
        <f>SUMIFS(逐日资产统计!$I:$I,逐日资产统计!$A:$A,F121,逐日资产统计!$C:$C,"人民币")</f>
        <v>0</v>
      </c>
      <c r="H121" s="212">
        <f>SUMIF(逐日资产统计!$A:$A,汇总统计!$F121,逐日资产统计!$I:$I)-G121</f>
        <v>442546.21</v>
      </c>
      <c r="I121" s="207">
        <f t="shared" si="44"/>
        <v>442546.21</v>
      </c>
      <c r="J121" s="212">
        <f>SUMIF(逐日资产统计!$A:$A,汇总统计!$F121,逐日资产统计!$G:$G)</f>
        <v>43454.679999999993</v>
      </c>
      <c r="K121" s="223">
        <f t="shared" si="45"/>
        <v>399091.53</v>
      </c>
      <c r="L121" s="222">
        <f t="shared" si="46"/>
        <v>0</v>
      </c>
      <c r="M121" s="219">
        <f t="shared" si="47"/>
        <v>0.10888399460645028</v>
      </c>
      <c r="N121" s="221">
        <f>SUMIFS(逐日资产统计!L:L,逐日资产统计!A:A,汇总统计!F121,逐日资产统计!C:C,"人民币")</f>
        <v>0</v>
      </c>
      <c r="O121" s="221"/>
    </row>
    <row r="122" spans="1:18" x14ac:dyDescent="0.25">
      <c r="A122" s="205">
        <v>43027</v>
      </c>
      <c r="B122" s="192">
        <v>-6176.4099999999962</v>
      </c>
      <c r="C122">
        <f>SUM($B$2:B122)</f>
        <v>60705.352000000006</v>
      </c>
      <c r="F122" s="210">
        <f t="shared" si="43"/>
        <v>43027</v>
      </c>
      <c r="G122" s="213">
        <f>SUMIFS(逐日资产统计!$I:$I,逐日资产统计!$A:$A,F122,逐日资产统计!$C:$C,"人民币")</f>
        <v>0</v>
      </c>
      <c r="H122" s="212">
        <f>SUMIF(逐日资产统计!$A:$A,汇总统计!$F122,逐日资产统计!$I:$I)-G122</f>
        <v>436446.57</v>
      </c>
      <c r="I122" s="207">
        <f t="shared" si="44"/>
        <v>436446.57</v>
      </c>
      <c r="J122" s="212">
        <f>SUMIF(逐日资产统计!$A:$A,汇总统计!$F122,逐日资产统计!$G:$G)</f>
        <v>37278.269999999997</v>
      </c>
      <c r="K122" s="223">
        <f t="shared" si="45"/>
        <v>399168.3</v>
      </c>
      <c r="L122" s="222">
        <f t="shared" si="46"/>
        <v>76.769999999960419</v>
      </c>
      <c r="M122" s="219">
        <f t="shared" si="47"/>
        <v>9.3389855857792303E-2</v>
      </c>
      <c r="N122" s="221">
        <f>SUMIFS(逐日资产统计!L:L,逐日资产统计!A:A,汇总统计!F122,逐日资产统计!C:C,"人民币")</f>
        <v>0</v>
      </c>
      <c r="O122" s="221"/>
    </row>
    <row r="123" spans="1:18" x14ac:dyDescent="0.25">
      <c r="A123" s="205">
        <v>43028</v>
      </c>
      <c r="B123" s="192">
        <v>2453.3700000000026</v>
      </c>
      <c r="C123">
        <f>SUM($B$2:B123)</f>
        <v>63158.722000000009</v>
      </c>
      <c r="F123" s="210">
        <f t="shared" ref="F123:F128" si="48">A123</f>
        <v>43028</v>
      </c>
      <c r="G123" s="213">
        <f>SUMIFS(逐日资产统计!$I:$I,逐日资产统计!$A:$A,F123,逐日资产统计!$C:$C,"人民币")</f>
        <v>0</v>
      </c>
      <c r="H123" s="212">
        <f>SUMIF(逐日资产统计!$A:$A,汇总统计!$F123,逐日资产统计!$I:$I)-G123</f>
        <v>438899.94</v>
      </c>
      <c r="I123" s="207">
        <f t="shared" ref="I123:I128" si="49">G123+H123</f>
        <v>438899.94</v>
      </c>
      <c r="J123" s="212">
        <f>SUMIF(逐日资产统计!$A:$A,汇总统计!$F123,逐日资产统计!$G:$G)</f>
        <v>39731.64</v>
      </c>
      <c r="K123" s="223">
        <f t="shared" ref="K123:K128" si="50">I123-J123</f>
        <v>399168.3</v>
      </c>
      <c r="L123" s="222">
        <f t="shared" ref="L123:L128" si="51">K123-K122</f>
        <v>0</v>
      </c>
      <c r="M123" s="219">
        <f t="shared" ref="M123:M128" si="52">J123/K123</f>
        <v>9.9536060353489997E-2</v>
      </c>
      <c r="N123" s="221">
        <f>SUMIFS(逐日资产统计!L:L,逐日资产统计!A:A,汇总统计!F123,逐日资产统计!C:C,"人民币")</f>
        <v>0</v>
      </c>
      <c r="O123" s="221"/>
    </row>
    <row r="124" spans="1:18" x14ac:dyDescent="0.25">
      <c r="A124" s="205">
        <v>43031</v>
      </c>
      <c r="B124" s="192">
        <v>2422.5599999999977</v>
      </c>
      <c r="C124">
        <f>SUM($B$2:B124)</f>
        <v>65581.282000000007</v>
      </c>
      <c r="F124" s="210">
        <f t="shared" si="48"/>
        <v>43031</v>
      </c>
      <c r="G124" s="213">
        <f>SUMIFS(逐日资产统计!$I:$I,逐日资产统计!$A:$A,F124,逐日资产统计!$C:$C,"人民币")</f>
        <v>0</v>
      </c>
      <c r="H124" s="212">
        <f>SUMIF(逐日资产统计!$A:$A,汇总统计!$F124,逐日资产统计!$I:$I)-G124</f>
        <v>441322.5</v>
      </c>
      <c r="I124" s="207">
        <f t="shared" si="49"/>
        <v>441322.5</v>
      </c>
      <c r="J124" s="212">
        <f>SUMIF(逐日资产统计!$A:$A,汇总统计!$F124,逐日资产统计!$G:$G)</f>
        <v>42154.2</v>
      </c>
      <c r="K124" s="223">
        <f t="shared" si="50"/>
        <v>399168.3</v>
      </c>
      <c r="L124" s="222">
        <f t="shared" si="51"/>
        <v>0</v>
      </c>
      <c r="M124" s="219">
        <f t="shared" si="52"/>
        <v>0.1056050793612619</v>
      </c>
      <c r="N124" s="221">
        <f>SUMIFS(逐日资产统计!L:L,逐日资产统计!A:A,汇总统计!F124,逐日资产统计!C:C,"人民币")</f>
        <v>0</v>
      </c>
      <c r="O124" s="221"/>
    </row>
    <row r="125" spans="1:18" x14ac:dyDescent="0.25">
      <c r="A125" s="205">
        <v>43032</v>
      </c>
      <c r="B125" s="192">
        <v>1025.010000000002</v>
      </c>
      <c r="C125">
        <f>SUM($B$2:B125)</f>
        <v>66606.292000000016</v>
      </c>
      <c r="F125" s="210">
        <f t="shared" si="48"/>
        <v>43032</v>
      </c>
      <c r="G125" s="213">
        <f>SUMIFS(逐日资产统计!$I:$I,逐日资产统计!$A:$A,F125,逐日资产统计!$C:$C,"人民币")</f>
        <v>0</v>
      </c>
      <c r="H125" s="212">
        <f>SUMIF(逐日资产统计!$A:$A,汇总统计!$F125,逐日资产统计!$I:$I)-G125</f>
        <v>442347.51</v>
      </c>
      <c r="I125" s="207">
        <f t="shared" si="49"/>
        <v>442347.51</v>
      </c>
      <c r="J125" s="212">
        <f>SUMIF(逐日资产统计!$A:$A,汇总统计!$F125,逐日资产统计!$G:$G)</f>
        <v>43179.21</v>
      </c>
      <c r="K125" s="223">
        <f t="shared" si="50"/>
        <v>399168.3</v>
      </c>
      <c r="L125" s="222">
        <f t="shared" si="51"/>
        <v>0</v>
      </c>
      <c r="M125" s="219">
        <f t="shared" si="52"/>
        <v>0.10817294359296567</v>
      </c>
      <c r="N125" s="221">
        <f>SUMIFS(逐日资产统计!L:L,逐日资产统计!A:A,汇总统计!F125,逐日资产统计!C:C,"人民币")</f>
        <v>0</v>
      </c>
      <c r="O125" s="221"/>
    </row>
    <row r="126" spans="1:18" x14ac:dyDescent="0.25">
      <c r="A126" s="205">
        <v>43033</v>
      </c>
      <c r="B126" s="192">
        <v>2153.1400000000067</v>
      </c>
      <c r="C126">
        <f>SUM($B$2:B126)</f>
        <v>68759.43200000003</v>
      </c>
      <c r="F126" s="210">
        <f t="shared" si="48"/>
        <v>43033</v>
      </c>
      <c r="G126" s="213">
        <f>SUMIFS(逐日资产统计!$I:$I,逐日资产统计!$A:$A,F126,逐日资产统计!$C:$C,"人民币")</f>
        <v>0</v>
      </c>
      <c r="H126" s="212">
        <f>SUMIF(逐日资产统计!$A:$A,汇总统计!$F126,逐日资产统计!$I:$I)-G126</f>
        <v>444500.64999999997</v>
      </c>
      <c r="I126" s="207">
        <f t="shared" si="49"/>
        <v>444500.64999999997</v>
      </c>
      <c r="J126" s="212">
        <f>SUMIF(逐日资产统计!$A:$A,汇总统计!$F126,逐日资产统计!$G:$G)</f>
        <v>45332.350000000006</v>
      </c>
      <c r="K126" s="223">
        <f t="shared" si="50"/>
        <v>399168.29999999993</v>
      </c>
      <c r="L126" s="222">
        <f t="shared" si="51"/>
        <v>0</v>
      </c>
      <c r="M126" s="219">
        <f t="shared" si="52"/>
        <v>0.11356700920388722</v>
      </c>
      <c r="N126" s="221">
        <f>SUMIFS(逐日资产统计!L:L,逐日资产统计!A:A,汇总统计!F126,逐日资产统计!C:C,"人民币")</f>
        <v>0</v>
      </c>
      <c r="O126" s="221"/>
    </row>
    <row r="127" spans="1:18" x14ac:dyDescent="0.25">
      <c r="A127" s="205">
        <v>43034</v>
      </c>
      <c r="B127" s="192">
        <v>4.7199999999866122</v>
      </c>
      <c r="C127">
        <f>SUM($B$2:B127)</f>
        <v>68764.152000000016</v>
      </c>
      <c r="F127" s="210">
        <f t="shared" si="48"/>
        <v>43034</v>
      </c>
      <c r="G127" s="213">
        <f>SUMIFS(逐日资产统计!$I:$I,逐日资产统计!$A:$A,F127,逐日资产统计!$C:$C,"人民币")</f>
        <v>0</v>
      </c>
      <c r="H127" s="212">
        <f>SUMIF(逐日资产统计!$A:$A,汇总统计!$F127,逐日资产统计!$I:$I)-G127</f>
        <v>444505.37</v>
      </c>
      <c r="I127" s="207">
        <f t="shared" si="49"/>
        <v>444505.37</v>
      </c>
      <c r="J127" s="212">
        <f>SUMIF(逐日资产统计!$A:$A,汇总统计!$F127,逐日资产统计!$G:$G)</f>
        <v>45337.069999999992</v>
      </c>
      <c r="K127" s="223">
        <f t="shared" si="50"/>
        <v>399168.3</v>
      </c>
      <c r="L127" s="222">
        <f t="shared" si="51"/>
        <v>0</v>
      </c>
      <c r="M127" s="219">
        <f t="shared" si="52"/>
        <v>0.11357883379015817</v>
      </c>
      <c r="N127" s="221">
        <f>SUMIFS(逐日资产统计!L:L,逐日资产统计!A:A,汇总统计!F127,逐日资产统计!C:C,"人民币")</f>
        <v>0</v>
      </c>
      <c r="O127" s="221"/>
    </row>
    <row r="128" spans="1:18" x14ac:dyDescent="0.25">
      <c r="A128" s="205">
        <v>43035</v>
      </c>
      <c r="B128" s="192">
        <v>-3242.6699999999983</v>
      </c>
      <c r="C128">
        <f>SUM($B$2:B128)</f>
        <v>65521.482000000018</v>
      </c>
      <c r="F128" s="210">
        <f t="shared" si="48"/>
        <v>43035</v>
      </c>
      <c r="G128" s="213">
        <f>SUMIFS(逐日资产统计!$I:$I,逐日资产统计!$A:$A,F128,逐日资产统计!$C:$C,"人民币")</f>
        <v>0</v>
      </c>
      <c r="H128" s="212">
        <f>SUMIF(逐日资产统计!$A:$A,汇总统计!$F128,逐日资产统计!$I:$I)-G128</f>
        <v>441262.7</v>
      </c>
      <c r="I128" s="207">
        <f t="shared" si="49"/>
        <v>441262.7</v>
      </c>
      <c r="J128" s="212">
        <f>SUMIF(逐日资产统计!$A:$A,汇总统计!$F128,逐日资产统计!$G:$G)</f>
        <v>42094.399999999994</v>
      </c>
      <c r="K128" s="223">
        <f t="shared" si="50"/>
        <v>399168.30000000005</v>
      </c>
      <c r="L128" s="222">
        <f t="shared" si="51"/>
        <v>0</v>
      </c>
      <c r="M128" s="219">
        <f t="shared" si="52"/>
        <v>0.10545526786570975</v>
      </c>
      <c r="N128" s="221">
        <f>SUMIFS(逐日资产统计!M:M,逐日资产统计!A:A,汇总统计!F128,逐日资产统计!C:C,"人民币")</f>
        <v>0</v>
      </c>
      <c r="O128" s="221">
        <f>SUMIF(逐日资产统计!A:A,汇总统计!F128,逐日资产统计!M:M)-SUMIFS(逐日资产统计!M:M,逐日资产统计!A:A,汇总统计!F128,逐日资产统计!C:C,"人民币")</f>
        <v>0.95243250789155764</v>
      </c>
      <c r="R128" s="257"/>
    </row>
    <row r="129" spans="1:18" x14ac:dyDescent="0.25">
      <c r="A129" s="205">
        <v>43038</v>
      </c>
      <c r="B129" s="192">
        <v>-9849.9009999999944</v>
      </c>
      <c r="C129">
        <f>SUM($B$2:B129)</f>
        <v>55671.58100000002</v>
      </c>
      <c r="F129" s="210">
        <f t="shared" ref="F129:F134" si="53">A129</f>
        <v>43038</v>
      </c>
      <c r="G129" s="213">
        <f>SUMIFS(逐日资产统计!$I:$I,逐日资产统计!$A:$A,F129,逐日资产统计!$C:$C,"人民币")</f>
        <v>0</v>
      </c>
      <c r="H129" s="212">
        <f>SUMIF(逐日资产统计!$A:$A,汇总统计!$F129,逐日资产统计!$I:$I)-G129</f>
        <v>431420.01</v>
      </c>
      <c r="I129" s="207">
        <f t="shared" ref="I129:I134" si="54">G129+H129</f>
        <v>431420.01</v>
      </c>
      <c r="J129" s="212">
        <f>SUMIF(逐日资产统计!$A:$A,汇总统计!$F129,逐日资产统计!$G:$G)</f>
        <v>32244.499</v>
      </c>
      <c r="K129" s="223">
        <f t="shared" ref="K129:K134" si="55">I129-J129</f>
        <v>399175.511</v>
      </c>
      <c r="L129" s="222">
        <f t="shared" ref="L129:L134" si="56">K129-K128</f>
        <v>7.2109999999520369</v>
      </c>
      <c r="M129" s="219">
        <f t="shared" ref="M129:M134" si="57">J129/K129</f>
        <v>8.0777748412527245E-2</v>
      </c>
      <c r="N129" s="221">
        <f>SUMIFS(逐日资产统计!M:M,逐日资产统计!A:A,汇总统计!F129,逐日资产统计!C:C,"人民币")</f>
        <v>0</v>
      </c>
      <c r="O129" s="221">
        <f>SUMIF(逐日资产统计!A:A,汇总统计!F129,逐日资产统计!M:M)-SUMIFS(逐日资产统计!M:M,逐日资产统计!A:A,汇总统计!F129,逐日资产统计!C:C,"人民币")</f>
        <v>0.97419676940807631</v>
      </c>
      <c r="R129" s="257"/>
    </row>
    <row r="130" spans="1:18" x14ac:dyDescent="0.25">
      <c r="A130" s="205">
        <v>43039</v>
      </c>
      <c r="B130" s="192">
        <v>1636.8329999999951</v>
      </c>
      <c r="C130">
        <f>SUM($B$2:B130)</f>
        <v>57308.414000000019</v>
      </c>
      <c r="F130" s="210">
        <f t="shared" si="53"/>
        <v>43039</v>
      </c>
      <c r="G130" s="213">
        <f>SUMIFS(逐日资产统计!$I:$I,逐日资产统计!$A:$A,F130,逐日资产统计!$C:$C,"人民币")</f>
        <v>0</v>
      </c>
      <c r="H130" s="212">
        <f>SUMIF(逐日资产统计!$A:$A,汇总统计!$F130,逐日资产统计!$I:$I)-G130</f>
        <v>433056.54000000004</v>
      </c>
      <c r="I130" s="207">
        <f t="shared" si="54"/>
        <v>433056.54000000004</v>
      </c>
      <c r="J130" s="212">
        <f>SUMIF(逐日资产统计!$A:$A,汇总统计!$F130,逐日资产统计!$G:$G)</f>
        <v>33881.331999999995</v>
      </c>
      <c r="K130" s="223">
        <f t="shared" si="55"/>
        <v>399175.20800000004</v>
      </c>
      <c r="L130" s="222">
        <f t="shared" si="56"/>
        <v>-0.30299999995622784</v>
      </c>
      <c r="M130" s="219">
        <f t="shared" si="57"/>
        <v>8.4878347454884998E-2</v>
      </c>
      <c r="N130" s="221">
        <f>SUMIFS(逐日资产统计!M:M,逐日资产统计!A:A,汇总统计!F130,逐日资产统计!C:C,"人民币")</f>
        <v>0</v>
      </c>
      <c r="O130" s="221">
        <f>SUMIF(逐日资产统计!A:A,汇总统计!F130,逐日资产统计!M:M)-SUMIFS(逐日资产统计!M:M,逐日资产统计!A:A,汇总统计!F130,逐日资产统计!C:C,"人民币")</f>
        <v>0.97051532809087671</v>
      </c>
      <c r="R130" s="257"/>
    </row>
    <row r="131" spans="1:18" x14ac:dyDescent="0.25">
      <c r="A131" s="205">
        <v>43040</v>
      </c>
      <c r="B131" s="192">
        <v>-1121.2779999999948</v>
      </c>
      <c r="C131">
        <f>SUM($B$2:B131)</f>
        <v>56187.136000000028</v>
      </c>
      <c r="F131" s="210">
        <f t="shared" si="53"/>
        <v>43040</v>
      </c>
      <c r="G131" s="213">
        <f>SUMIFS(逐日资产统计!$I:$I,逐日资产统计!$A:$A,F131,逐日资产统计!$C:$C,"人民币")</f>
        <v>0</v>
      </c>
      <c r="H131" s="212">
        <f>SUMIF(逐日资产统计!$A:$A,汇总统计!$F131,逐日资产统计!$I:$I)-G131</f>
        <v>431935.05999999994</v>
      </c>
      <c r="I131" s="207">
        <f t="shared" si="54"/>
        <v>431935.05999999994</v>
      </c>
      <c r="J131" s="212">
        <f>SUMIF(逐日资产统计!$A:$A,汇总统计!$F131,逐日资产统计!$G:$G)</f>
        <v>32760.054</v>
      </c>
      <c r="K131" s="223">
        <f t="shared" si="55"/>
        <v>399175.00599999994</v>
      </c>
      <c r="L131" s="222">
        <f t="shared" si="56"/>
        <v>-0.20200000010663643</v>
      </c>
      <c r="M131" s="219">
        <f t="shared" si="57"/>
        <v>8.2069401910399187E-2</v>
      </c>
      <c r="N131" s="221">
        <f>SUMIFS(逐日资产统计!M:M,逐日资产统计!A:A,汇总统计!F131,逐日资产统计!C:C,"人民币")</f>
        <v>0</v>
      </c>
      <c r="O131" s="221">
        <f>SUMIF(逐日资产统计!A:A,汇总统计!F131,逐日资产统计!M:M)-SUMIFS(逐日资产统计!M:M,逐日资产统计!A:A,汇总统计!F131,逐日资产统计!C:C,"人民币")</f>
        <v>0.97303522895316674</v>
      </c>
      <c r="R131" s="257"/>
    </row>
    <row r="132" spans="1:18" x14ac:dyDescent="0.25">
      <c r="A132" s="205">
        <v>43042</v>
      </c>
      <c r="B132" s="192">
        <v>-9368.8460000000014</v>
      </c>
      <c r="C132">
        <f>SUM($B$2:B132)</f>
        <v>46818.290000000023</v>
      </c>
      <c r="F132" s="210">
        <f t="shared" si="53"/>
        <v>43042</v>
      </c>
      <c r="G132" s="213">
        <f>SUMIFS(逐日资产统计!$I:$I,逐日资产统计!$A:$A,F132,逐日资产统计!$C:$C,"人民币")</f>
        <v>0</v>
      </c>
      <c r="H132" s="212">
        <f>SUMIF(逐日资产统计!$A:$A,汇总统计!$F132,逐日资产统计!$I:$I)-G132</f>
        <v>472565.01</v>
      </c>
      <c r="I132" s="207">
        <f t="shared" si="54"/>
        <v>472565.01</v>
      </c>
      <c r="J132" s="212">
        <f>SUMIF(逐日资产统计!$A:$A,汇总统计!$F132,逐日资产统计!$G:$G)</f>
        <v>23391.207999999999</v>
      </c>
      <c r="K132" s="223">
        <f t="shared" si="55"/>
        <v>449173.80200000003</v>
      </c>
      <c r="L132" s="222">
        <f t="shared" si="56"/>
        <v>49998.796000000089</v>
      </c>
      <c r="M132" s="219">
        <f t="shared" si="57"/>
        <v>5.2076073662016463E-2</v>
      </c>
      <c r="N132" s="221">
        <f>SUMIFS(逐日资产统计!M:M,逐日资产统计!A:A,汇总统计!F132,逐日资产统计!C:C,"人民币")</f>
        <v>0</v>
      </c>
      <c r="O132" s="221">
        <f>SUMIF(逐日资产统计!A:A,汇总统计!F132,逐日资产统计!M:M)-SUMIFS(逐日资产统计!M:M,逐日资产统计!A:A,汇总统计!F132,逐日资产统计!C:C,"人民币")</f>
        <v>0.99518004940738125</v>
      </c>
      <c r="P132" s="198" t="s">
        <v>66</v>
      </c>
      <c r="R132" s="257"/>
    </row>
    <row r="133" spans="1:18" x14ac:dyDescent="0.25">
      <c r="A133" s="205">
        <v>43045</v>
      </c>
      <c r="B133" s="192">
        <v>-913.52000000000044</v>
      </c>
      <c r="C133">
        <f>SUM($B$2:B133)</f>
        <v>45904.770000000019</v>
      </c>
      <c r="F133" s="210">
        <f t="shared" si="53"/>
        <v>43045</v>
      </c>
      <c r="G133" s="213">
        <f>SUMIFS(逐日资产统计!$I:$I,逐日资产统计!$A:$A,F133,逐日资产统计!$C:$C,"人民币")</f>
        <v>0</v>
      </c>
      <c r="H133" s="212">
        <f>SUMIF(逐日资产统计!$A:$A,汇总统计!$F133,逐日资产统计!$I:$I)-G133</f>
        <v>471651.49</v>
      </c>
      <c r="I133" s="207">
        <f t="shared" si="54"/>
        <v>471651.49</v>
      </c>
      <c r="J133" s="212">
        <f>SUMIF(逐日资产统计!$A:$A,汇总统计!$F133,逐日资产统计!$G:$G)</f>
        <v>22477.687999999998</v>
      </c>
      <c r="K133" s="223">
        <f t="shared" si="55"/>
        <v>449173.80199999997</v>
      </c>
      <c r="L133" s="222">
        <f t="shared" si="56"/>
        <v>0</v>
      </c>
      <c r="M133" s="219">
        <f t="shared" si="57"/>
        <v>5.0042295209371986E-2</v>
      </c>
      <c r="N133" s="221">
        <f>SUMIFS(逐日资产统计!M:M,逐日资产统计!A:A,汇总统计!F133,逐日资产统计!C:C,"人民币")</f>
        <v>0</v>
      </c>
      <c r="O133" s="221">
        <f>SUMIF(逐日资产统计!A:A,汇总统计!F133,逐日资产统计!M:M)-SUMIFS(逐日资产统计!M:M,逐日资产统计!A:A,汇总统计!F133,逐日资产统计!C:C,"人民币")</f>
        <v>0.99838007508467719</v>
      </c>
      <c r="R133" s="257"/>
    </row>
    <row r="134" spans="1:18" x14ac:dyDescent="0.25">
      <c r="A134" s="205">
        <v>43046</v>
      </c>
      <c r="B134" s="192">
        <v>1515.9860000000008</v>
      </c>
      <c r="C134">
        <f>SUM($B$2:B134)</f>
        <v>47420.756000000023</v>
      </c>
      <c r="F134" s="210">
        <f t="shared" si="53"/>
        <v>43046</v>
      </c>
      <c r="G134" s="213">
        <f>SUMIFS(逐日资产统计!$I:$I,逐日资产统计!$A:$A,F134,逐日资产统计!$C:$C,"人民币")</f>
        <v>0</v>
      </c>
      <c r="H134" s="212">
        <f>SUMIF(逐日资产统计!$A:$A,汇总统计!$F134,逐日资产统计!$I:$I)-G134</f>
        <v>473767.05</v>
      </c>
      <c r="I134" s="207">
        <f t="shared" si="54"/>
        <v>473767.05</v>
      </c>
      <c r="J134" s="212">
        <f>SUMIF(逐日资产统计!$A:$A,汇总统计!$F134,逐日资产统计!$G:$G)</f>
        <v>23993.673999999999</v>
      </c>
      <c r="K134" s="223">
        <f t="shared" si="55"/>
        <v>449773.37599999999</v>
      </c>
      <c r="L134" s="222">
        <f t="shared" si="56"/>
        <v>599.57400000002235</v>
      </c>
      <c r="M134" s="219">
        <f t="shared" si="57"/>
        <v>5.3346141146424816E-2</v>
      </c>
      <c r="N134" s="221">
        <f>SUMIFS(逐日资产统计!M:M,逐日资产统计!A:A,汇总统计!F134,逐日资产统计!C:C,"人民币")</f>
        <v>0</v>
      </c>
      <c r="O134" s="221">
        <f>SUMIF(逐日资产统计!A:A,汇总统计!F134,逐日资产统计!M:M)-SUMIFS(逐日资产统计!M:M,逐日资产统计!A:A,汇总统计!F134,逐日资产统计!C:C,"人民币")</f>
        <v>0.99392203404605661</v>
      </c>
      <c r="P134" s="198" t="s">
        <v>89</v>
      </c>
      <c r="R134" s="257"/>
    </row>
    <row r="135" spans="1:18" x14ac:dyDescent="0.25">
      <c r="A135" s="205">
        <v>43047</v>
      </c>
      <c r="B135" s="192">
        <v>2761.7520000000004</v>
      </c>
      <c r="C135">
        <f>SUM($B$2:B135)</f>
        <v>50182.508000000023</v>
      </c>
      <c r="F135" s="210">
        <f t="shared" ref="F135:F165" si="58">A135</f>
        <v>43047</v>
      </c>
      <c r="G135" s="213">
        <f>SUMIFS(逐日资产统计!$I:$I,逐日资产统计!$A:$A,F135,逐日资产统计!$C:$C,"人民币")</f>
        <v>0</v>
      </c>
      <c r="H135" s="212">
        <f>SUMIF(逐日资产统计!$A:$A,汇总统计!$F135,逐日资产统计!$I:$I)-G135</f>
        <v>476528.6</v>
      </c>
      <c r="I135" s="207">
        <f t="shared" ref="I135:I165" si="59">G135+H135</f>
        <v>476528.6</v>
      </c>
      <c r="J135" s="212">
        <f>SUMIF(逐日资产统计!$A:$A,汇总统计!$F135,逐日资产统计!$G:$G)</f>
        <v>26755.425999999999</v>
      </c>
      <c r="K135" s="223">
        <f t="shared" ref="K135:K165" si="60">I135-J135</f>
        <v>449773.174</v>
      </c>
      <c r="L135" s="222">
        <f t="shared" ref="L135:L165" si="61">K135-K134</f>
        <v>-0.20199999999022111</v>
      </c>
      <c r="M135" s="219">
        <f t="shared" ref="M135:M165" si="62">J135/K135</f>
        <v>5.9486486848590932E-2</v>
      </c>
      <c r="N135" s="221">
        <f>SUMIFS(逐日资产统计!M:M,逐日资产统计!A:A,汇总统计!F135,逐日资产统计!C:C,"人民币")</f>
        <v>0</v>
      </c>
      <c r="O135" s="221">
        <f>SUMIF(逐日资产统计!A:A,汇总统计!F135,逐日资产统计!M:M)-SUMIFS(逐日资产统计!M:M,逐日资产统计!A:A,汇总统计!F135,逐日资产统计!C:C,"人民币")</f>
        <v>0.98816215857768053</v>
      </c>
      <c r="R135" s="257"/>
    </row>
    <row r="136" spans="1:18" x14ac:dyDescent="0.25">
      <c r="A136" s="205">
        <v>43048</v>
      </c>
      <c r="B136" s="192">
        <v>-21.178000000003522</v>
      </c>
      <c r="C136">
        <f>SUM($B$2:B136)</f>
        <v>50161.330000000016</v>
      </c>
      <c r="F136" s="210">
        <f t="shared" si="58"/>
        <v>43048</v>
      </c>
      <c r="G136" s="213">
        <f>SUMIFS(逐日资产统计!$I:$I,逐日资产统计!$A:$A,F136,逐日资产统计!$C:$C,"人民币")</f>
        <v>0</v>
      </c>
      <c r="H136" s="212">
        <f>SUMIF(逐日资产统计!$A:$A,汇总统计!$F136,逐日资产统计!$I:$I)-G136</f>
        <v>476506.42</v>
      </c>
      <c r="I136" s="207">
        <f t="shared" si="59"/>
        <v>476506.42</v>
      </c>
      <c r="J136" s="212">
        <f>SUMIF(逐日资产统计!$A:$A,汇总统计!$F136,逐日资产统计!$G:$G)</f>
        <v>26734.247999999996</v>
      </c>
      <c r="K136" s="223">
        <f t="shared" si="60"/>
        <v>449772.17199999996</v>
      </c>
      <c r="L136" s="222">
        <f t="shared" si="61"/>
        <v>-1.0020000000367872</v>
      </c>
      <c r="M136" s="219">
        <f t="shared" si="62"/>
        <v>5.9439533311100447E-2</v>
      </c>
      <c r="N136" s="221">
        <f>SUMIFS(逐日资产统计!M:M,逐日资产统计!A:A,汇总统计!F136,逐日资产统计!C:C,"人民币")</f>
        <v>0</v>
      </c>
      <c r="O136" s="221">
        <f>SUMIF(逐日资产统计!A:A,汇总统计!F136,逐日资产统计!M:M)-SUMIFS(逐日资产统计!M:M,逐日资产统计!A:A,汇总统计!F136,逐日资产统计!C:C,"人民币")</f>
        <v>0.98820651776318114</v>
      </c>
      <c r="R136" s="257"/>
    </row>
    <row r="137" spans="1:18" x14ac:dyDescent="0.25">
      <c r="A137" s="205">
        <v>43049</v>
      </c>
      <c r="B137" s="192">
        <v>-2148.9279999999962</v>
      </c>
      <c r="C137">
        <f>SUM($B$2:B137)</f>
        <v>48012.402000000016</v>
      </c>
      <c r="F137" s="210">
        <f t="shared" si="58"/>
        <v>43049</v>
      </c>
      <c r="G137" s="213">
        <f>SUMIFS(逐日资产统计!$I:$I,逐日资产统计!$A:$A,F137,逐日资产统计!$C:$C,"人民币")</f>
        <v>0</v>
      </c>
      <c r="H137" s="212">
        <f>SUMIF(逐日资产统计!$A:$A,汇总统计!$F137,逐日资产统计!$I:$I)-G137</f>
        <v>474357.29</v>
      </c>
      <c r="I137" s="207">
        <f t="shared" si="59"/>
        <v>474357.29</v>
      </c>
      <c r="J137" s="212">
        <f>SUMIF(逐日资产统计!$A:$A,汇总统计!$F137,逐日资产统计!$G:$G)</f>
        <v>24585.32</v>
      </c>
      <c r="K137" s="223">
        <f t="shared" si="60"/>
        <v>449771.97</v>
      </c>
      <c r="L137" s="222">
        <f t="shared" si="61"/>
        <v>-0.20199999999022111</v>
      </c>
      <c r="M137" s="219">
        <f t="shared" si="62"/>
        <v>5.4661743371869083E-2</v>
      </c>
      <c r="N137" s="221">
        <f>SUMIFS(逐日资产统计!M:M,逐日资产统计!A:A,汇总统计!F137,逐日资产统计!C:C,"人民币")</f>
        <v>0</v>
      </c>
      <c r="O137" s="221">
        <f>SUMIF(逐日资产统计!A:A,汇总统计!F137,逐日资产统计!M:M)-SUMIFS(逐日资产统计!M:M,逐日资产统计!A:A,汇总统计!F137,逐日资产统计!C:C,"人民币")</f>
        <v>0.99268374267000414</v>
      </c>
      <c r="R137" s="257"/>
    </row>
    <row r="138" spans="1:18" x14ac:dyDescent="0.25">
      <c r="A138" s="205">
        <v>43052</v>
      </c>
      <c r="B138" s="192">
        <v>-1329.4880000000048</v>
      </c>
      <c r="C138">
        <f>SUM($B$2:B138)</f>
        <v>46682.914000000012</v>
      </c>
      <c r="F138" s="210">
        <f t="shared" si="58"/>
        <v>43052</v>
      </c>
      <c r="G138" s="213">
        <f>SUMIFS(逐日资产统计!$I:$I,逐日资产统计!$A:$A,F138,逐日资产统计!$C:$C,"人民币")</f>
        <v>0</v>
      </c>
      <c r="H138" s="212">
        <f>SUMIF(逐日资产统计!$A:$A,汇总统计!$F138,逐日资产统计!$I:$I)-G138</f>
        <v>473027.60000000003</v>
      </c>
      <c r="I138" s="207">
        <f t="shared" si="59"/>
        <v>473027.60000000003</v>
      </c>
      <c r="J138" s="212">
        <f>SUMIF(逐日资产统计!$A:$A,汇总统计!$F138,逐日资产统计!$G:$G)</f>
        <v>23255.831999999995</v>
      </c>
      <c r="K138" s="223">
        <f t="shared" si="60"/>
        <v>449771.76800000004</v>
      </c>
      <c r="L138" s="222">
        <f t="shared" si="61"/>
        <v>-0.20199999993201345</v>
      </c>
      <c r="M138" s="219">
        <f t="shared" si="62"/>
        <v>5.1705850955055928E-2</v>
      </c>
      <c r="N138" s="221">
        <f>SUMIFS(逐日资产统计!M:M,逐日资产统计!A:A,汇总统计!F138,逐日资产统计!C:C,"人民币")</f>
        <v>0</v>
      </c>
      <c r="O138" s="221">
        <f>SUMIF(逐日资产统计!A:A,汇总统计!F138,逐日资产统计!M:M)-SUMIFS(逐日资产统计!M:M,逐日资产统计!A:A,汇总统计!F138,逐日资产统计!C:C,"人民币")</f>
        <v>0.99547423871249763</v>
      </c>
      <c r="R138" s="257"/>
    </row>
    <row r="139" spans="1:18" x14ac:dyDescent="0.25">
      <c r="A139" s="205">
        <v>43053</v>
      </c>
      <c r="B139" s="192">
        <v>-2721.482</v>
      </c>
      <c r="C139">
        <f>SUM($B$2:B139)</f>
        <v>43961.432000000015</v>
      </c>
      <c r="F139" s="210">
        <f t="shared" si="58"/>
        <v>43053</v>
      </c>
      <c r="G139" s="213">
        <f>SUMIFS(逐日资产统计!$I:$I,逐日资产统计!$A:$A,F139,逐日资产统计!$C:$C,"人民币")</f>
        <v>0</v>
      </c>
      <c r="H139" s="212">
        <f>SUMIF(逐日资产统计!$A:$A,汇总统计!$F139,逐日资产统计!$I:$I)-G139</f>
        <v>530298.83000000007</v>
      </c>
      <c r="I139" s="207">
        <f t="shared" si="59"/>
        <v>530298.83000000007</v>
      </c>
      <c r="J139" s="212">
        <f>SUMIF(逐日资产统计!$A:$A,汇总统计!$F139,逐日资产统计!$G:$G)</f>
        <v>20534.349999999995</v>
      </c>
      <c r="K139" s="223">
        <f t="shared" si="60"/>
        <v>509764.4800000001</v>
      </c>
      <c r="L139" s="222">
        <f t="shared" si="61"/>
        <v>59992.712000000058</v>
      </c>
      <c r="M139" s="219">
        <f t="shared" si="62"/>
        <v>4.0282033773714462E-2</v>
      </c>
      <c r="N139" s="221">
        <f>SUMIFS(逐日资产统计!M:M,逐日资产统计!A:A,汇总统计!F139,逐日资产统计!C:C,"人民币")</f>
        <v>0</v>
      </c>
      <c r="O139" s="221">
        <f>SUMIF(逐日资产统计!A:A,汇总统计!F139,逐日资产统计!M:M)-SUMIFS(逐日资产统计!M:M,逐日资产统计!A:A,汇总统计!F139,逐日资产统计!C:C,"人民币")</f>
        <v>1.0011043207468515</v>
      </c>
      <c r="R139" s="257"/>
    </row>
    <row r="140" spans="1:18" x14ac:dyDescent="0.25">
      <c r="A140" s="205">
        <v>43054</v>
      </c>
      <c r="B140" s="192">
        <v>89.240000000001601</v>
      </c>
      <c r="C140">
        <f>SUM($B$2:B140)</f>
        <v>44050.67200000002</v>
      </c>
      <c r="F140" s="210">
        <f t="shared" si="58"/>
        <v>43054</v>
      </c>
      <c r="G140" s="213">
        <f>SUMIFS(逐日资产统计!$I:$I,逐日资产统计!$A:$A,F140,逐日资产统计!$C:$C,"人民币")</f>
        <v>0</v>
      </c>
      <c r="H140" s="212">
        <f>SUMIF(逐日资产统计!$A:$A,汇总统计!$F140,逐日资产统计!$I:$I)-G140</f>
        <v>530387.87</v>
      </c>
      <c r="I140" s="207">
        <f t="shared" si="59"/>
        <v>530387.87</v>
      </c>
      <c r="J140" s="212">
        <f>SUMIF(逐日资产统计!$A:$A,汇总统计!$F140,逐日资产统计!$G:$G)</f>
        <v>20623.589999999997</v>
      </c>
      <c r="K140" s="223">
        <f t="shared" si="60"/>
        <v>509764.28</v>
      </c>
      <c r="L140" s="222">
        <f t="shared" si="61"/>
        <v>-0.20000000006984919</v>
      </c>
      <c r="M140" s="219">
        <f t="shared" si="62"/>
        <v>4.0457110882700521E-2</v>
      </c>
      <c r="N140" s="221">
        <f>SUMIFS(逐日资产统计!M:M,逐日资产统计!A:A,汇总统计!F140,逐日资产统计!C:C,"人民币")</f>
        <v>0</v>
      </c>
      <c r="O140" s="221">
        <f>SUMIF(逐日资产统计!A:A,汇总统计!F140,逐日资产统计!M:M)-SUMIFS(逐日资产统计!M:M,逐日资产统计!A:A,汇总统计!F140,逐日资产统计!C:C,"人民币")</f>
        <v>1.0009438752813107</v>
      </c>
      <c r="R140" s="257"/>
    </row>
    <row r="141" spans="1:18" x14ac:dyDescent="0.25">
      <c r="A141" s="205">
        <v>43055</v>
      </c>
      <c r="B141" s="192">
        <v>366.06999999999971</v>
      </c>
      <c r="C141">
        <f>SUM($B$2:B141)</f>
        <v>44416.74200000002</v>
      </c>
      <c r="F141" s="210">
        <f t="shared" si="58"/>
        <v>43055</v>
      </c>
      <c r="G141" s="213">
        <f>SUMIFS(逐日资产统计!$I:$I,逐日资产统计!$A:$A,F141,逐日资产统计!$C:$C,"人民币")</f>
        <v>0</v>
      </c>
      <c r="H141" s="212">
        <f>SUMIF(逐日资产统计!$A:$A,汇总统计!$F141,逐日资产统计!$I:$I)-G141</f>
        <v>530753.93999999994</v>
      </c>
      <c r="I141" s="207">
        <f t="shared" si="59"/>
        <v>530753.93999999994</v>
      </c>
      <c r="J141" s="212">
        <f>SUMIF(逐日资产统计!$A:$A,汇总统计!$F141,逐日资产统计!$G:$G)</f>
        <v>20989.659999999996</v>
      </c>
      <c r="K141" s="223">
        <f t="shared" si="60"/>
        <v>509764.27999999997</v>
      </c>
      <c r="L141" s="222">
        <f t="shared" si="61"/>
        <v>0</v>
      </c>
      <c r="M141" s="219">
        <f t="shared" si="62"/>
        <v>4.1175227106928711E-2</v>
      </c>
      <c r="N141" s="221">
        <f>SUMIFS(逐日资产统计!M:M,逐日资产统计!A:A,汇总统计!F141,逐日资产统计!C:C,"人民币")</f>
        <v>0</v>
      </c>
      <c r="O141" s="221">
        <f>SUMIF(逐日资产统计!A:A,汇总统计!F141,逐日资产统计!M:M)-SUMIFS(逐日资产统计!M:M,逐日资产统计!A:A,汇总统计!F141,逐日资产统计!C:C,"人民币")</f>
        <v>1.0002630032289528</v>
      </c>
      <c r="R141" s="257"/>
    </row>
    <row r="142" spans="1:18" x14ac:dyDescent="0.25">
      <c r="A142" s="205">
        <v>43056</v>
      </c>
      <c r="B142" s="192">
        <v>-10502.449999999995</v>
      </c>
      <c r="C142">
        <f>SUM($B$2:B142)</f>
        <v>33914.292000000023</v>
      </c>
      <c r="F142" s="210">
        <f t="shared" si="58"/>
        <v>43056</v>
      </c>
      <c r="G142" s="213">
        <f>SUMIFS(逐日资产统计!$I:$I,逐日资产统计!$A:$A,F142,逐日资产统计!$C:$C,"人民币")</f>
        <v>0</v>
      </c>
      <c r="H142" s="212">
        <f>SUMIF(逐日资产统计!$A:$A,汇总统计!$F142,逐日资产统计!$I:$I)-G142</f>
        <v>520251.49</v>
      </c>
      <c r="I142" s="207">
        <f t="shared" si="59"/>
        <v>520251.49</v>
      </c>
      <c r="J142" s="212">
        <f>SUMIF(逐日资产统计!$A:$A,汇总统计!$F142,逐日资产统计!$G:$G)</f>
        <v>10487.210000000001</v>
      </c>
      <c r="K142" s="223">
        <f t="shared" si="60"/>
        <v>509764.27999999997</v>
      </c>
      <c r="L142" s="222">
        <f t="shared" si="61"/>
        <v>0</v>
      </c>
      <c r="M142" s="219">
        <f t="shared" si="62"/>
        <v>2.0572665468047313E-2</v>
      </c>
      <c r="N142" s="221">
        <f>SUMIFS(逐日资产统计!M:M,逐日资产统计!A:A,汇总统计!F142,逐日资产统计!C:C,"人民币")</f>
        <v>0</v>
      </c>
      <c r="O142" s="221">
        <f>SUMIF(逐日资产统计!A:A,汇总统计!F142,逐日资产统计!M:M)-SUMIFS(逐日资产统计!M:M,逐日资产统计!A:A,汇总统计!F142,逐日资产统计!C:C,"人民币")</f>
        <v>1.0204634877643504</v>
      </c>
      <c r="R142" s="257"/>
    </row>
    <row r="143" spans="1:18" x14ac:dyDescent="0.25">
      <c r="A143" s="205">
        <v>43059</v>
      </c>
      <c r="B143" s="192">
        <v>-735.89199999999801</v>
      </c>
      <c r="C143">
        <f>SUM($B$2:B143)</f>
        <v>33178.400000000023</v>
      </c>
      <c r="F143" s="210">
        <f t="shared" si="58"/>
        <v>43059</v>
      </c>
      <c r="G143" s="213">
        <f>SUMIFS(逐日资产统计!$I:$I,逐日资产统计!$A:$A,F143,逐日资产统计!$C:$C,"人民币")</f>
        <v>0</v>
      </c>
      <c r="H143" s="212">
        <f>SUMIF(逐日资产统计!$A:$A,汇总统计!$F143,逐日资产统计!$I:$I)-G143</f>
        <v>519513.27999999997</v>
      </c>
      <c r="I143" s="207">
        <f t="shared" si="59"/>
        <v>519513.27999999997</v>
      </c>
      <c r="J143" s="212">
        <f>SUMIF(逐日资产统计!$A:$A,汇总统计!$F143,逐日资产统计!$G:$G)</f>
        <v>9751.3180000000029</v>
      </c>
      <c r="K143" s="223">
        <f t="shared" si="60"/>
        <v>509761.96199999994</v>
      </c>
      <c r="L143" s="222">
        <f t="shared" si="61"/>
        <v>-2.3180000000284053</v>
      </c>
      <c r="M143" s="219">
        <f t="shared" si="62"/>
        <v>1.9129159739070534E-2</v>
      </c>
      <c r="N143" s="221">
        <f>SUMIFS(逐日资产统计!M:M,逐日资产统计!A:A,汇总统计!F143,逐日资产统计!C:C,"人民币")</f>
        <v>0</v>
      </c>
      <c r="O143" s="221">
        <f>SUMIF(逐日资产统计!A:A,汇总统计!F143,逐日资产统计!M:M)-SUMIFS(逐日资产统计!M:M,逐日资产统计!A:A,汇总统计!F143,逐日资产统计!C:C,"人民币")</f>
        <v>1.0219135302951254</v>
      </c>
      <c r="R143" s="257"/>
    </row>
    <row r="144" spans="1:18" x14ac:dyDescent="0.25">
      <c r="A144" s="205">
        <v>43060</v>
      </c>
      <c r="B144" s="192">
        <v>3397.1779999999999</v>
      </c>
      <c r="C144">
        <f>SUM($B$2:B144)</f>
        <v>36575.578000000023</v>
      </c>
      <c r="F144" s="210">
        <f t="shared" si="58"/>
        <v>43060</v>
      </c>
      <c r="G144" s="213">
        <f>SUMIFS(逐日资产统计!$I:$I,逐日资产统计!$A:$A,F144,逐日资产统计!$C:$C,"人民币")</f>
        <v>0</v>
      </c>
      <c r="H144" s="212">
        <f>SUMIF(逐日资产统计!$A:$A,汇总统计!$F144,逐日资产统计!$I:$I)-G144</f>
        <v>522921.3</v>
      </c>
      <c r="I144" s="207">
        <f t="shared" si="59"/>
        <v>522921.3</v>
      </c>
      <c r="J144" s="212">
        <f>SUMIF(逐日资产统计!$A:$A,汇总统计!$F144,逐日资产统计!$G:$G)</f>
        <v>13148.496000000003</v>
      </c>
      <c r="K144" s="223">
        <f t="shared" si="60"/>
        <v>509772.804</v>
      </c>
      <c r="L144" s="222">
        <f t="shared" si="61"/>
        <v>10.842000000062399</v>
      </c>
      <c r="M144" s="219">
        <f t="shared" si="62"/>
        <v>2.5792854967602398E-2</v>
      </c>
      <c r="N144" s="221">
        <f>SUMIFS(逐日资产统计!M:M,逐日资产统计!A:A,汇总统计!F144,逐日资产统计!C:C,"人民币")</f>
        <v>0</v>
      </c>
      <c r="O144" s="221">
        <f>SUMIF(逐日资产统计!A:A,汇总统计!F144,逐日资产统计!M:M)-SUMIFS(逐日资产统计!M:M,逐日资产统计!A:A,汇总统计!F144,逐日资产统计!C:C,"人民币")</f>
        <v>1.0152670965975179</v>
      </c>
      <c r="R144" s="257"/>
    </row>
    <row r="145" spans="1:18" x14ac:dyDescent="0.25">
      <c r="A145" s="205">
        <v>43061</v>
      </c>
      <c r="B145" s="192">
        <v>758.83999999999651</v>
      </c>
      <c r="C145">
        <f>SUM($B$2:B145)</f>
        <v>37334.41800000002</v>
      </c>
      <c r="F145" s="210">
        <f t="shared" si="58"/>
        <v>43061</v>
      </c>
      <c r="G145" s="213">
        <f>SUMIFS(逐日资产统计!$I:$I,逐日资产统计!$A:$A,F145,逐日资产统计!$C:$C,"人民币")</f>
        <v>0</v>
      </c>
      <c r="H145" s="212">
        <f>SUMIF(逐日资产统计!$A:$A,汇总统计!$F145,逐日资产统计!$I:$I)-G145</f>
        <v>523680.14</v>
      </c>
      <c r="I145" s="207">
        <f t="shared" si="59"/>
        <v>523680.14</v>
      </c>
      <c r="J145" s="212">
        <f>SUMIF(逐日资产统计!$A:$A,汇总统计!$F145,逐日资产统计!$G:$G)</f>
        <v>13907.335999999999</v>
      </c>
      <c r="K145" s="223">
        <f t="shared" si="60"/>
        <v>509772.804</v>
      </c>
      <c r="L145" s="222">
        <f t="shared" si="61"/>
        <v>0</v>
      </c>
      <c r="M145" s="219">
        <f t="shared" si="62"/>
        <v>2.72814396744476E-2</v>
      </c>
      <c r="N145" s="221">
        <f>SUMIFS(逐日资产统计!M:M,逐日资产统计!A:A,汇总统计!F145,逐日资产统计!C:C,"人民币")</f>
        <v>0</v>
      </c>
      <c r="O145" s="221">
        <f>SUMIF(逐日资产统计!A:A,汇总统计!F145,逐日资产统计!M:M)-SUMIFS(逐日资产统计!M:M,逐日资产统计!A:A,汇总统计!F145,逐日资产统计!C:C,"人民币")</f>
        <v>1.0137959213041756</v>
      </c>
      <c r="R145" s="257"/>
    </row>
    <row r="146" spans="1:18" x14ac:dyDescent="0.25">
      <c r="A146" s="205">
        <v>43062</v>
      </c>
      <c r="B146" s="192">
        <v>-10537.690999999999</v>
      </c>
      <c r="C146">
        <f>SUM($B$2:B146)</f>
        <v>26796.727000000021</v>
      </c>
      <c r="F146" s="210">
        <f t="shared" si="58"/>
        <v>43062</v>
      </c>
      <c r="G146" s="213">
        <f>SUMIFS(逐日资产统计!$I:$I,逐日资产统计!$A:$A,F146,逐日资产统计!$C:$C,"人民币")</f>
        <v>0</v>
      </c>
      <c r="H146" s="212">
        <f>SUMIF(逐日资产统计!$A:$A,汇总统计!$F146,逐日资产统计!$I:$I)-G146</f>
        <v>513142.17000000004</v>
      </c>
      <c r="I146" s="207">
        <f t="shared" si="59"/>
        <v>513142.17000000004</v>
      </c>
      <c r="J146" s="212">
        <f>SUMIF(逐日资产统计!$A:$A,汇总统计!$F146,逐日资产统计!$G:$G)</f>
        <v>3369.6450000000004</v>
      </c>
      <c r="K146" s="223">
        <f t="shared" si="60"/>
        <v>509772.52500000002</v>
      </c>
      <c r="L146" s="222">
        <f t="shared" si="61"/>
        <v>-0.27899999998044223</v>
      </c>
      <c r="M146" s="219">
        <f t="shared" si="62"/>
        <v>6.6100953557667709E-3</v>
      </c>
      <c r="N146" s="221">
        <f>SUMIFS(逐日资产统计!M:M,逐日资产统计!A:A,汇总统计!F146,逐日资产统计!C:C,"人民币")</f>
        <v>0</v>
      </c>
      <c r="O146" s="221">
        <f>SUMIF(逐日资产统计!A:A,汇总统计!F146,逐日资产统计!M:M)-SUMIFS(逐日资产统计!M:M,逐日资产统计!A:A,汇总统计!F146,逐日资产统计!C:C,"人民币")</f>
        <v>1.0346154555958638</v>
      </c>
      <c r="R146" s="257"/>
    </row>
    <row r="147" spans="1:18" x14ac:dyDescent="0.25">
      <c r="A147" s="205">
        <v>43063</v>
      </c>
      <c r="B147" s="192">
        <v>-76.420999999998457</v>
      </c>
      <c r="C147">
        <f>SUM($B$2:B147)</f>
        <v>26720.306000000022</v>
      </c>
      <c r="F147" s="210">
        <f t="shared" si="58"/>
        <v>43063</v>
      </c>
      <c r="G147" s="213">
        <f>SUMIFS(逐日资产统计!$I:$I,逐日资产统计!$A:$A,F147,逐日资产统计!$C:$C,"人民币")</f>
        <v>0</v>
      </c>
      <c r="H147" s="212">
        <f>SUMIF(逐日资产统计!$A:$A,汇总统计!$F147,逐日资产统计!$I:$I)-G147</f>
        <v>513065.47</v>
      </c>
      <c r="I147" s="207">
        <f t="shared" si="59"/>
        <v>513065.47</v>
      </c>
      <c r="J147" s="212">
        <f>SUMIF(逐日资产统计!$A:$A,汇总统计!$F147,逐日资产统计!$G:$G)</f>
        <v>3293.224000000002</v>
      </c>
      <c r="K147" s="223">
        <f t="shared" si="60"/>
        <v>509772.24599999998</v>
      </c>
      <c r="L147" s="222">
        <f t="shared" si="61"/>
        <v>-0.27900000003864989</v>
      </c>
      <c r="M147" s="219">
        <f t="shared" si="62"/>
        <v>6.4601869282620815E-3</v>
      </c>
      <c r="N147" s="221">
        <f>SUMIFS(逐日资产统计!M:M,逐日资产统计!A:A,汇总统计!F147,逐日资产统计!C:C,"人民币")</f>
        <v>0</v>
      </c>
      <c r="O147" s="221">
        <f>SUMIF(逐日资产统计!A:A,汇总统计!F147,逐日资产统计!M:M)-SUMIFS(逐日资产统计!M:M,逐日资产统计!A:A,汇总统计!F147,逐日资产统计!C:C,"人民币")</f>
        <v>1.0347701824486455</v>
      </c>
      <c r="R147" s="257"/>
    </row>
    <row r="148" spans="1:18" x14ac:dyDescent="0.25">
      <c r="A148" s="205">
        <v>43066</v>
      </c>
      <c r="B148" s="192">
        <v>-310.57300000000032</v>
      </c>
      <c r="C148">
        <f>SUM($B$2:B148)</f>
        <v>26409.733000000022</v>
      </c>
      <c r="F148" s="210">
        <f t="shared" si="58"/>
        <v>43066</v>
      </c>
      <c r="G148" s="213">
        <f>SUMIFS(逐日资产统计!$I:$I,逐日资产统计!$A:$A,F148,逐日资产统计!$C:$C,"人民币")</f>
        <v>0</v>
      </c>
      <c r="H148" s="212">
        <f>SUMIF(逐日资产统计!$A:$A,汇总统计!$F148,逐日资产统计!$I:$I)-G148</f>
        <v>512754.06</v>
      </c>
      <c r="I148" s="207">
        <f t="shared" si="59"/>
        <v>512754.06</v>
      </c>
      <c r="J148" s="212">
        <f>SUMIF(逐日资产统计!$A:$A,汇总统计!$F148,逐日资产统计!$G:$G)</f>
        <v>2982.6510000000017</v>
      </c>
      <c r="K148" s="223">
        <f t="shared" si="60"/>
        <v>509771.40899999999</v>
      </c>
      <c r="L148" s="222">
        <f t="shared" si="61"/>
        <v>-0.83699999999953434</v>
      </c>
      <c r="M148" s="219">
        <f t="shared" si="62"/>
        <v>5.8509577966543071E-3</v>
      </c>
      <c r="N148" s="221">
        <f>SUMIFS(逐日资产统计!M:M,逐日资产统计!A:A,汇总统计!F148,逐日资产统计!C:C,"人民币")</f>
        <v>0</v>
      </c>
      <c r="O148" s="221">
        <f>SUMIF(逐日资产统计!A:A,汇总统计!F148,逐日资产统计!M:M)-SUMIFS(逐日资产统计!M:M,逐日资产统计!A:A,汇总统计!F148,逐日资产统计!C:C,"人民币")</f>
        <v>1.0353988030831007</v>
      </c>
      <c r="R148" s="257"/>
    </row>
    <row r="149" spans="1:18" x14ac:dyDescent="0.25">
      <c r="A149" s="205">
        <v>43067</v>
      </c>
      <c r="B149" s="192">
        <v>2845.8600000000006</v>
      </c>
      <c r="C149">
        <f>SUM($B$2:B149)</f>
        <v>29255.593000000023</v>
      </c>
      <c r="F149" s="210">
        <f t="shared" si="58"/>
        <v>43067</v>
      </c>
      <c r="G149" s="213">
        <f>SUMIFS(逐日资产统计!$I:$I,逐日资产统计!$A:$A,F149,逐日资产统计!$C:$C,"人民币")</f>
        <v>0</v>
      </c>
      <c r="H149" s="212">
        <f>SUMIF(逐日资产统计!$A:$A,汇总统计!$F149,逐日资产统计!$I:$I)-G149</f>
        <v>515599.92000000004</v>
      </c>
      <c r="I149" s="207">
        <f t="shared" si="59"/>
        <v>515599.92000000004</v>
      </c>
      <c r="J149" s="212">
        <f>SUMIF(逐日资产统计!$A:$A,汇总统计!$F149,逐日资产统计!$G:$G)</f>
        <v>5828.5110000000022</v>
      </c>
      <c r="K149" s="223">
        <f t="shared" si="60"/>
        <v>509771.40900000004</v>
      </c>
      <c r="L149" s="222">
        <f t="shared" si="61"/>
        <v>0</v>
      </c>
      <c r="M149" s="219">
        <f t="shared" si="62"/>
        <v>1.1433577672458287E-2</v>
      </c>
      <c r="N149" s="221">
        <f>SUMIFS(逐日资产统计!M:M,逐日资产统计!A:A,汇总统计!F149,逐日资产统计!C:C,"人民币")</f>
        <v>0</v>
      </c>
      <c r="O149" s="221">
        <f>SUMIF(逐日资产统计!A:A,汇总统计!F149,逐日资产统计!M:M)-SUMIFS(逐日资产统计!M:M,逐日资产统计!A:A,汇总统计!F149,逐日资产统计!C:C,"人民币")</f>
        <v>1.0296839068555328</v>
      </c>
      <c r="R149" s="257"/>
    </row>
    <row r="150" spans="1:18" x14ac:dyDescent="0.25">
      <c r="A150" s="205">
        <v>43068</v>
      </c>
      <c r="B150" s="192">
        <v>5639.7350000000006</v>
      </c>
      <c r="C150">
        <f>SUM($B$2:B150)</f>
        <v>34895.328000000023</v>
      </c>
      <c r="F150" s="210">
        <f t="shared" si="58"/>
        <v>43068</v>
      </c>
      <c r="G150" s="213">
        <f>SUMIFS(逐日资产统计!$I:$I,逐日资产统计!$A:$A,F150,逐日资产统计!$C:$C,"人民币")</f>
        <v>0</v>
      </c>
      <c r="H150" s="212">
        <f>SUMIF(逐日资产统计!$A:$A,汇总统计!$F150,逐日资产统计!$I:$I)-G150</f>
        <v>521239.19</v>
      </c>
      <c r="I150" s="207">
        <f t="shared" si="59"/>
        <v>521239.19</v>
      </c>
      <c r="J150" s="212">
        <f>SUMIF(逐日资产统计!$A:$A,汇总统计!$F150,逐日资产统计!$G:$G)</f>
        <v>11468.246000000003</v>
      </c>
      <c r="K150" s="223">
        <f t="shared" si="60"/>
        <v>509770.94400000002</v>
      </c>
      <c r="L150" s="222">
        <f t="shared" si="61"/>
        <v>-0.46500000002561137</v>
      </c>
      <c r="M150" s="219">
        <f t="shared" si="62"/>
        <v>2.2496860864631787E-2</v>
      </c>
      <c r="N150" s="221">
        <f>SUMIFS(逐日资产统计!M:M,逐日资产统计!A:A,汇总统计!F150,逐日资产统计!C:C,"人民币")</f>
        <v>0</v>
      </c>
      <c r="O150" s="221">
        <f>SUMIF(逐日资产统计!A:A,汇总统计!F150,逐日资产统计!M:M)-SUMIFS(逐日资产统计!M:M,逐日资产统计!A:A,汇总统计!F150,逐日资产统计!C:C,"人民币")</f>
        <v>1.0185438857734399</v>
      </c>
      <c r="R150" s="257"/>
    </row>
    <row r="151" spans="1:18" x14ac:dyDescent="0.25">
      <c r="A151" s="205">
        <v>43069</v>
      </c>
      <c r="B151" s="192">
        <v>-320.79000000000087</v>
      </c>
      <c r="C151">
        <f>SUM($B$2:B151)</f>
        <v>34574.538000000022</v>
      </c>
      <c r="F151" s="210">
        <f t="shared" si="58"/>
        <v>43069</v>
      </c>
      <c r="G151" s="213">
        <f>SUMIFS(逐日资产统计!$I:$I,逐日资产统计!$A:$A,F151,逐日资产统计!$C:$C,"人民币")</f>
        <v>0</v>
      </c>
      <c r="H151" s="212">
        <f>SUMIF(逐日资产统计!$A:$A,汇总统计!$F151,逐日资产统计!$I:$I)-G151</f>
        <v>520918.4</v>
      </c>
      <c r="I151" s="207">
        <f t="shared" si="59"/>
        <v>520918.4</v>
      </c>
      <c r="J151" s="212">
        <f>SUMIF(逐日资产统计!$A:$A,汇总统计!$F151,逐日资产统计!$G:$G)</f>
        <v>11147.456000000002</v>
      </c>
      <c r="K151" s="223">
        <f t="shared" si="60"/>
        <v>509770.94400000002</v>
      </c>
      <c r="L151" s="222">
        <f t="shared" si="61"/>
        <v>0</v>
      </c>
      <c r="M151" s="219">
        <f t="shared" si="62"/>
        <v>2.1867578235294637E-2</v>
      </c>
      <c r="N151" s="221">
        <f>SUMIFS(逐日资产统计!M:M,逐日资产统计!A:A,汇总统计!F151,逐日资产统计!C:C,"人民币")</f>
        <v>0</v>
      </c>
      <c r="O151" s="221">
        <f>SUMIF(逐日资产统计!A:A,汇总统计!F151,逐日资产统计!M:M)-SUMIFS(逐日资产统计!M:M,逐日资产统计!A:A,汇总统计!F151,逐日资产统计!C:C,"人民币")</f>
        <v>1.0191711216190475</v>
      </c>
      <c r="R151" s="257"/>
    </row>
    <row r="152" spans="1:18" x14ac:dyDescent="0.25">
      <c r="A152" s="205">
        <v>43070</v>
      </c>
      <c r="B152" s="192">
        <v>2129.3089999999975</v>
      </c>
      <c r="C152">
        <f>SUM($B$2:B152)</f>
        <v>36703.847000000023</v>
      </c>
      <c r="F152" s="210">
        <f t="shared" si="58"/>
        <v>43070</v>
      </c>
      <c r="G152" s="213">
        <f>SUMIFS(逐日资产统计!$I:$I,逐日资产统计!$A:$A,F152,逐日资产统计!$C:$C,"人民币")</f>
        <v>0</v>
      </c>
      <c r="H152" s="212">
        <f>SUMIF(逐日资产统计!$A:$A,汇总统计!$F152,逐日资产统计!$I:$I)-G152</f>
        <v>523047.43</v>
      </c>
      <c r="I152" s="207">
        <f t="shared" si="59"/>
        <v>523047.43</v>
      </c>
      <c r="J152" s="212">
        <f>SUMIF(逐日资产统计!$A:$A,汇总统计!$F152,逐日资产统计!$G:$G)</f>
        <v>13276.764999999999</v>
      </c>
      <c r="K152" s="223">
        <f t="shared" si="60"/>
        <v>509770.66499999998</v>
      </c>
      <c r="L152" s="222">
        <f t="shared" si="61"/>
        <v>-0.27900000003864989</v>
      </c>
      <c r="M152" s="219">
        <f t="shared" si="62"/>
        <v>2.6044584185714179E-2</v>
      </c>
      <c r="N152" s="221">
        <f>SUMIFS(逐日资产统计!M:M,逐日资产统计!A:A,汇总统计!F152,逐日资产统计!C:C,"人民币")</f>
        <v>0</v>
      </c>
      <c r="O152" s="221">
        <f>SUMIF(逐日资产统计!A:A,汇总统计!F152,逐日资产统计!M:M)-SUMIFS(逐日资产统计!M:M,逐日资产统计!A:A,汇总统计!F152,逐日资产统计!C:C,"人民币")</f>
        <v>1.0150227102731397</v>
      </c>
      <c r="R152" s="257"/>
    </row>
    <row r="153" spans="1:18" x14ac:dyDescent="0.25">
      <c r="A153" s="205">
        <v>43073</v>
      </c>
      <c r="B153" s="192">
        <v>-5251.844000000001</v>
      </c>
      <c r="C153">
        <f>SUM($B$2:B153)</f>
        <v>31452.003000000022</v>
      </c>
      <c r="F153" s="210">
        <f t="shared" si="58"/>
        <v>43073</v>
      </c>
      <c r="G153" s="213">
        <f>SUMIFS(逐日资产统计!$I:$I,逐日资产统计!$A:$A,F153,逐日资产统计!$C:$C,"人民币")</f>
        <v>0</v>
      </c>
      <c r="H153" s="212">
        <f>SUMIF(逐日资产统计!$A:$A,汇总统计!$F153,逐日资产统计!$I:$I)-G153</f>
        <v>517795.4</v>
      </c>
      <c r="I153" s="207">
        <f t="shared" si="59"/>
        <v>517795.4</v>
      </c>
      <c r="J153" s="212">
        <f>SUMIF(逐日资产统计!$A:$A,汇总统计!$F153,逐日资产统计!$G:$G)</f>
        <v>8024.9209999999985</v>
      </c>
      <c r="K153" s="223">
        <f t="shared" si="60"/>
        <v>509770.47900000005</v>
      </c>
      <c r="L153" s="222">
        <f t="shared" si="61"/>
        <v>-0.18599999992875382</v>
      </c>
      <c r="M153" s="219">
        <f t="shared" si="62"/>
        <v>1.5742223864634572E-2</v>
      </c>
      <c r="N153" s="221">
        <f>SUMIFS(逐日资产统计!M:M,逐日资产统计!A:A,汇总统计!F153,逐日资产统计!C:C,"人民币")</f>
        <v>0</v>
      </c>
      <c r="O153" s="221">
        <f>SUMIF(逐日资产统计!A:A,汇总统计!F153,逐日资产统计!M:M)-SUMIFS(逐日资产统计!M:M,逐日资产统计!A:A,汇总统计!F153,逐日资产统计!C:C,"人民币")</f>
        <v>1.0253181855226987</v>
      </c>
      <c r="Q153" s="258"/>
      <c r="R153" s="257"/>
    </row>
    <row r="154" spans="1:18" x14ac:dyDescent="0.25">
      <c r="A154" s="205">
        <v>43074</v>
      </c>
      <c r="B154" s="192">
        <v>-9910.8529999999955</v>
      </c>
      <c r="C154">
        <f>SUM($B$2:B154)</f>
        <v>21541.150000000027</v>
      </c>
      <c r="F154" s="210">
        <f t="shared" si="58"/>
        <v>43074</v>
      </c>
      <c r="G154" s="213">
        <f>SUMIFS(逐日资产统计!$I:$I,逐日资产统计!$A:$A,F154,逐日资产统计!$C:$C,"人民币")</f>
        <v>0</v>
      </c>
      <c r="H154" s="212">
        <f>SUMIF(逐日资产统计!$A:$A,汇总统计!$F154,逐日资产统计!$I:$I)-G154</f>
        <v>507883.70999999996</v>
      </c>
      <c r="I154" s="207">
        <f t="shared" si="59"/>
        <v>507883.70999999996</v>
      </c>
      <c r="J154" s="212">
        <f>SUMIF(逐日资产统计!$A:$A,汇总统计!$F154,逐日资产统计!$G:$G)</f>
        <v>-1885.9319999999971</v>
      </c>
      <c r="K154" s="223">
        <f t="shared" si="60"/>
        <v>509769.64199999993</v>
      </c>
      <c r="L154" s="222">
        <f t="shared" si="61"/>
        <v>-0.83700000011594966</v>
      </c>
      <c r="M154" s="219">
        <f t="shared" si="62"/>
        <v>-3.6995769159592234E-3</v>
      </c>
      <c r="N154" s="221">
        <f>SUMIFS(逐日资产统计!M:M,逐日资产统计!A:A,汇总统计!F154,逐日资产统计!C:C,"人民币")</f>
        <v>0</v>
      </c>
      <c r="O154" s="221">
        <f>SUMIF(逐日资产统计!A:A,汇总统计!F154,逐日资产统计!M:M)-SUMIFS(逐日资产统计!M:M,逐日资产统计!A:A,汇总统计!F154,逐日资产统计!C:C,"人民币")</f>
        <v>1.0453281323002068</v>
      </c>
      <c r="P154" s="198">
        <f>COLUMN()</f>
        <v>16</v>
      </c>
      <c r="R154" s="257"/>
    </row>
    <row r="155" spans="1:18" x14ac:dyDescent="0.25">
      <c r="A155" s="205">
        <v>43075</v>
      </c>
      <c r="B155" s="192">
        <v>2561.9999999999982</v>
      </c>
      <c r="C155">
        <f>SUM($B$2:B155)</f>
        <v>24103.150000000023</v>
      </c>
      <c r="F155" s="210">
        <f t="shared" si="58"/>
        <v>43075</v>
      </c>
      <c r="G155" s="213">
        <f>SUMIFS(逐日资产统计!$I:$I,逐日资产统计!$A:$A,F155,逐日资产统计!$C:$C,"人民币")</f>
        <v>0</v>
      </c>
      <c r="H155" s="212">
        <f>SUMIF(逐日资产统计!$A:$A,汇总统计!$F155,逐日资产统计!$I:$I)-G155</f>
        <v>560445.71</v>
      </c>
      <c r="I155" s="207">
        <f t="shared" si="59"/>
        <v>560445.71</v>
      </c>
      <c r="J155" s="212">
        <f>SUMIF(逐日资产统计!$A:$A,汇总统计!$F155,逐日资产统计!$G:$G)</f>
        <v>676.06800000000112</v>
      </c>
      <c r="K155" s="223">
        <f t="shared" si="60"/>
        <v>559769.64199999999</v>
      </c>
      <c r="L155" s="222">
        <f t="shared" si="61"/>
        <v>50000.000000000058</v>
      </c>
      <c r="M155" s="219">
        <f t="shared" si="62"/>
        <v>1.2077611025572571E-3</v>
      </c>
      <c r="N155" s="221">
        <f>SUMIFS(逐日资产统计!M:M,逐日资产统计!A:A,汇总统计!F155,逐日资产统计!C:C,"人民币")</f>
        <v>0</v>
      </c>
      <c r="O155" s="221">
        <f>SUMIF(逐日资产统计!A:A,汇总统计!F155,逐日资产统计!M:M)-SUMIFS(逐日资产统计!M:M,逐日资产统计!A:A,汇总统计!F155,逐日资产统计!C:C,"人民币")</f>
        <v>1.0365056233546694</v>
      </c>
      <c r="P155" s="198" t="s">
        <v>90</v>
      </c>
      <c r="R155" s="257"/>
    </row>
    <row r="156" spans="1:18" x14ac:dyDescent="0.25">
      <c r="A156" s="205">
        <v>43076</v>
      </c>
      <c r="B156" s="192">
        <v>-2456.7939999999999</v>
      </c>
      <c r="C156">
        <f>SUM($B$2:B156)</f>
        <v>21646.356000000022</v>
      </c>
      <c r="F156" s="210">
        <f t="shared" si="58"/>
        <v>43076</v>
      </c>
      <c r="G156" s="213">
        <f>SUMIFS(逐日资产统计!$I:$I,逐日资产统计!$A:$A,F156,逐日资产统计!$C:$C,"人民币")</f>
        <v>0</v>
      </c>
      <c r="H156" s="212">
        <f>SUMIF(逐日资产统计!$A:$A,汇总统计!$F156,逐日资产统计!$I:$I)-G156</f>
        <v>557988.73</v>
      </c>
      <c r="I156" s="207">
        <f t="shared" si="59"/>
        <v>557988.73</v>
      </c>
      <c r="J156" s="212">
        <f>SUMIF(逐日资产统计!$A:$A,汇总统计!$F156,逐日资产统计!$G:$G)</f>
        <v>-1780.7259999999987</v>
      </c>
      <c r="K156" s="223">
        <f t="shared" si="60"/>
        <v>559769.45600000001</v>
      </c>
      <c r="L156" s="222">
        <f t="shared" si="61"/>
        <v>-0.18599999998696148</v>
      </c>
      <c r="M156" s="219">
        <f t="shared" si="62"/>
        <v>-3.181177502475231E-3</v>
      </c>
      <c r="N156" s="221">
        <f>SUMIFS(逐日资产统计!M:M,逐日资产统计!A:A,汇总统计!F156,逐日资产统计!C:C,"人民币")</f>
        <v>0</v>
      </c>
      <c r="O156" s="221">
        <f>SUMIF(逐日资产统计!A:A,汇总统计!F156,逐日资产统计!M:M)-SUMIFS(逐日资产统计!M:M,逐日资产统计!A:A,汇总统计!F156,逐日资产统计!C:C,"人民币")</f>
        <v>1.0410696825364201</v>
      </c>
      <c r="R156" s="257"/>
    </row>
    <row r="157" spans="1:18" x14ac:dyDescent="0.25">
      <c r="A157" s="205">
        <v>43077</v>
      </c>
      <c r="B157" s="192">
        <v>4741.9359999999979</v>
      </c>
      <c r="C157">
        <f>SUM($B$2:B157)</f>
        <v>26388.292000000019</v>
      </c>
      <c r="F157" s="210">
        <f t="shared" si="58"/>
        <v>43077</v>
      </c>
      <c r="G157" s="213">
        <f>SUMIFS(逐日资产统计!$I:$I,逐日资产统计!$A:$A,F157,逐日资产统计!$C:$C,"人民币")</f>
        <v>0</v>
      </c>
      <c r="H157" s="212">
        <f>SUMIF(逐日资产统计!$A:$A,汇总统计!$F157,逐日资产统计!$I:$I)-G157</f>
        <v>562730.48</v>
      </c>
      <c r="I157" s="207">
        <f t="shared" si="59"/>
        <v>562730.48</v>
      </c>
      <c r="J157" s="212">
        <f>SUMIF(逐日资产统计!$A:$A,汇总统计!$F157,逐日资产统计!$G:$G)</f>
        <v>2961.2099999999991</v>
      </c>
      <c r="K157" s="223">
        <f t="shared" si="60"/>
        <v>559769.27</v>
      </c>
      <c r="L157" s="222">
        <f t="shared" si="61"/>
        <v>-0.18599999998696148</v>
      </c>
      <c r="M157" s="219">
        <f t="shared" si="62"/>
        <v>5.2900545969592058E-3</v>
      </c>
      <c r="N157" s="221">
        <f>SUMIFS(逐日资产统计!M:M,逐日资产统计!A:A,汇总统计!F157,逐日资产统计!C:C,"人民币")</f>
        <v>0</v>
      </c>
      <c r="O157" s="221">
        <f>SUMIF(逐日资产统计!A:A,汇总统计!F157,逐日资产统计!M:M)-SUMIFS(逐日资产统计!M:M,逐日资产统计!A:A,汇总统计!F157,逐日资产统计!C:C,"人民币")</f>
        <v>1.0322973264216992</v>
      </c>
      <c r="Q157" s="259"/>
      <c r="R157" s="25"/>
    </row>
    <row r="158" spans="1:18" x14ac:dyDescent="0.25">
      <c r="A158" s="205">
        <v>43080</v>
      </c>
      <c r="B158" s="192">
        <v>3809.3090000000029</v>
      </c>
      <c r="C158">
        <f>SUM($B$2:B158)</f>
        <v>30197.601000000024</v>
      </c>
      <c r="F158" s="210">
        <f t="shared" si="58"/>
        <v>43080</v>
      </c>
      <c r="G158" s="213">
        <f>SUMIFS(逐日资产统计!$I:$I,逐日资产统计!$A:$A,F158,逐日资产统计!$C:$C,"人民币")</f>
        <v>0</v>
      </c>
      <c r="H158" s="212">
        <f>SUMIF(逐日资产统计!$A:$A,汇总统计!$F158,逐日资产统计!$I:$I)-G158</f>
        <v>566539.51</v>
      </c>
      <c r="I158" s="207">
        <f t="shared" si="59"/>
        <v>566539.51</v>
      </c>
      <c r="J158" s="212">
        <f>SUMIF(逐日资产统计!$A:$A,汇总统计!$F158,逐日资产统计!$G:$G)</f>
        <v>6770.5190000000021</v>
      </c>
      <c r="K158" s="223">
        <f t="shared" si="60"/>
        <v>559768.99100000004</v>
      </c>
      <c r="L158" s="222">
        <f t="shared" si="61"/>
        <v>-0.27899999998044223</v>
      </c>
      <c r="M158" s="219">
        <f t="shared" si="62"/>
        <v>1.2095201965197821E-2</v>
      </c>
      <c r="N158" s="221">
        <f>SUMIFS(逐日资产统计!M:M,逐日资产统计!A:A,汇总统计!F158,逐日资产统计!C:C,"人民币")</f>
        <v>0</v>
      </c>
      <c r="O158" s="221">
        <f>SUMIF(逐日资产统计!A:A,汇总统计!F158,逐日资产统计!M:M)-SUMIFS(逐日资产统计!M:M,逐日资产统计!A:A,汇总统计!F158,逐日资产统计!C:C,"人民币")</f>
        <v>1.0253569075879621</v>
      </c>
      <c r="P158" s="198">
        <v>533459.69999999995</v>
      </c>
      <c r="Q158" s="259">
        <f t="shared" ref="Q158:Q165" si="63">I158-P158</f>
        <v>33079.810000000056</v>
      </c>
      <c r="R158" s="25"/>
    </row>
    <row r="159" spans="1:18" x14ac:dyDescent="0.25">
      <c r="A159" s="205">
        <v>43081</v>
      </c>
      <c r="B159" s="192">
        <v>-6056.8819999999996</v>
      </c>
      <c r="C159">
        <f>SUM($B$2:B159)</f>
        <v>24140.719000000026</v>
      </c>
      <c r="F159" s="210">
        <f t="shared" si="58"/>
        <v>43081</v>
      </c>
      <c r="G159" s="213">
        <f>SUMIFS(逐日资产统计!$I:$I,逐日资产统计!$A:$A,F159,逐日资产统计!$C:$C,"人民币")</f>
        <v>0</v>
      </c>
      <c r="H159" s="212">
        <f>SUMIF(逐日资产统计!$A:$A,汇总统计!$F159,逐日资产统计!$I:$I)-G159</f>
        <v>560482.06999999995</v>
      </c>
      <c r="I159" s="207">
        <f t="shared" si="59"/>
        <v>560482.06999999995</v>
      </c>
      <c r="J159" s="212">
        <f>SUMIF(逐日资产统计!$A:$A,汇总统计!$F159,逐日资产统计!$G:$G)</f>
        <v>713.63700000000244</v>
      </c>
      <c r="K159" s="223">
        <f t="shared" si="60"/>
        <v>559768.43299999996</v>
      </c>
      <c r="L159" s="222">
        <f t="shared" si="61"/>
        <v>-0.55800000007729977</v>
      </c>
      <c r="M159" s="219">
        <f t="shared" si="62"/>
        <v>1.2748789641019334E-3</v>
      </c>
      <c r="N159" s="221">
        <f>SUMIFS(逐日资产统计!M:M,逐日资产统计!A:A,汇总统计!F159,逐日资产统计!C:C,"人民币")</f>
        <v>0</v>
      </c>
      <c r="O159" s="221">
        <f>SUMIF(逐日资产统计!A:A,汇总统计!F159,逐日资产统计!M:M)-SUMIFS(逐日资产统计!M:M,逐日资产统计!A:A,汇总统计!F159,逐日资产统计!C:C,"人民币")</f>
        <v>1.0364386143521074</v>
      </c>
      <c r="P159" s="198">
        <v>533538.42000000004</v>
      </c>
      <c r="Q159" s="259">
        <f t="shared" si="63"/>
        <v>26943.649999999907</v>
      </c>
      <c r="R159" s="25"/>
    </row>
    <row r="160" spans="1:18" x14ac:dyDescent="0.25">
      <c r="A160" s="205">
        <v>43082</v>
      </c>
      <c r="B160" s="192">
        <v>3925.5889999999963</v>
      </c>
      <c r="C160">
        <f>SUM($B$2:B160)</f>
        <v>28066.308000000023</v>
      </c>
      <c r="F160" s="210">
        <f t="shared" si="58"/>
        <v>43082</v>
      </c>
      <c r="G160" s="213">
        <f>SUMIFS(逐日资产统计!$I:$I,逐日资产统计!$A:$A,F160,逐日资产统计!$C:$C,"人民币")</f>
        <v>0</v>
      </c>
      <c r="H160" s="212">
        <f>SUMIF(逐日资产统计!$A:$A,汇总统计!$F160,逐日资产统计!$I:$I)-G160</f>
        <v>560407.38</v>
      </c>
      <c r="I160" s="207">
        <f t="shared" si="59"/>
        <v>560407.38</v>
      </c>
      <c r="J160" s="212">
        <f>SUMIF(逐日资产统计!$A:$A,汇总统计!$F160,逐日资产统计!$G:$G)</f>
        <v>4639.2259999999987</v>
      </c>
      <c r="K160" s="223">
        <f t="shared" si="60"/>
        <v>555768.15399999998</v>
      </c>
      <c r="L160" s="222">
        <f t="shared" si="61"/>
        <v>-4000.2789999999804</v>
      </c>
      <c r="M160" s="219">
        <f t="shared" si="62"/>
        <v>8.3474124355819041E-3</v>
      </c>
      <c r="N160" s="221">
        <f>SUMIFS(逐日资产统计!M:M,逐日资产统计!A:A,汇总统计!F160,逐日资产统计!C:C,"人民币")</f>
        <v>0</v>
      </c>
      <c r="O160" s="221">
        <f>SUMIF(逐日资产统计!A:A,汇总统计!F160,逐日资产统计!M:M)-SUMIFS(逐日资产统计!M:M,逐日资产统计!A:A,汇总统计!F160,逐日资产统计!C:C,"人民币")</f>
        <v>1.0294391376501859</v>
      </c>
      <c r="P160" s="198">
        <v>533617.14</v>
      </c>
      <c r="Q160" s="259">
        <f t="shared" si="63"/>
        <v>26790.239999999991</v>
      </c>
      <c r="R160" s="25" t="s">
        <v>91</v>
      </c>
    </row>
    <row r="161" spans="1:18" x14ac:dyDescent="0.25">
      <c r="A161" s="205">
        <v>43083</v>
      </c>
      <c r="B161" s="192">
        <v>-1430.5840000000007</v>
      </c>
      <c r="C161">
        <f>SUM($B$2:B161)</f>
        <v>26635.724000000024</v>
      </c>
      <c r="F161" s="210">
        <f t="shared" si="58"/>
        <v>43083</v>
      </c>
      <c r="G161" s="213">
        <f>SUMIFS(逐日资产统计!$I:$I,逐日资产统计!$A:$A,F161,逐日资产统计!$C:$C,"人民币")</f>
        <v>0</v>
      </c>
      <c r="H161" s="212">
        <f>SUMIF(逐日资产统计!$A:$A,汇总统计!$F161,逐日资产统计!$I:$I)-G161</f>
        <v>562976.61</v>
      </c>
      <c r="I161" s="207">
        <f t="shared" si="59"/>
        <v>562976.61</v>
      </c>
      <c r="J161" s="212">
        <f>SUMIF(逐日资产统计!$A:$A,汇总统计!$F161,逐日资产统计!$G:$G)</f>
        <v>3208.641999999998</v>
      </c>
      <c r="K161" s="223">
        <f t="shared" si="60"/>
        <v>559767.96799999999</v>
      </c>
      <c r="L161" s="222">
        <f t="shared" si="61"/>
        <v>3999.814000000013</v>
      </c>
      <c r="M161" s="219">
        <f t="shared" si="62"/>
        <v>5.732092908896134E-3</v>
      </c>
      <c r="N161" s="221">
        <f>SUMIFS(逐日资产统计!M:M,逐日资产统计!A:A,汇总统计!F161,逐日资产统计!C:C,"人民币")</f>
        <v>0</v>
      </c>
      <c r="O161" s="221">
        <f>SUMIF(逐日资产统计!A:A,汇总统计!F161,逐日资产统计!M:M)-SUMIFS(逐日资产统计!M:M,逐日资产统计!A:A,汇总统计!F161,逐日资产统计!C:C,"人民币")</f>
        <v>1.0318462608952799</v>
      </c>
      <c r="P161" s="198">
        <v>533695.86</v>
      </c>
      <c r="Q161" s="259">
        <f t="shared" si="63"/>
        <v>29280.75</v>
      </c>
      <c r="R161" s="25"/>
    </row>
    <row r="162" spans="1:18" x14ac:dyDescent="0.25">
      <c r="A162" s="205">
        <v>43084</v>
      </c>
      <c r="B162" s="192">
        <v>-169.71099999999933</v>
      </c>
      <c r="C162">
        <f>SUM($B$2:B162)</f>
        <v>26466.013000000024</v>
      </c>
      <c r="F162" s="210">
        <f t="shared" si="58"/>
        <v>43084</v>
      </c>
      <c r="G162" s="213">
        <f>SUMIFS(逐日资产统计!$I:$I,逐日资产统计!$A:$A,F162,逐日资产统计!$C:$C,"人民币")</f>
        <v>0</v>
      </c>
      <c r="H162" s="212">
        <f>SUMIF(逐日资产统计!$A:$A,汇总统计!$F162,逐日资产统计!$I:$I)-G162</f>
        <v>562806.62</v>
      </c>
      <c r="I162" s="207">
        <f t="shared" si="59"/>
        <v>562806.62</v>
      </c>
      <c r="J162" s="212">
        <f>SUMIF(逐日资产统计!$A:$A,汇总统计!$F162,逐日资产统计!$G:$G)</f>
        <v>3038.9309999999987</v>
      </c>
      <c r="K162" s="223">
        <f t="shared" si="60"/>
        <v>559767.68900000001</v>
      </c>
      <c r="L162" s="222">
        <f t="shared" si="61"/>
        <v>-0.27899999998044223</v>
      </c>
      <c r="M162" s="219">
        <f t="shared" si="62"/>
        <v>5.4289146367646072E-3</v>
      </c>
      <c r="N162" s="221">
        <f>SUMIFS(逐日资产统计!M:M,逐日资产统计!A:A,汇总统计!F162,逐日资产统计!C:C,"人民币")</f>
        <v>0</v>
      </c>
      <c r="O162" s="221">
        <f>SUMIF(逐日资产统计!A:A,汇总统计!F162,逐日资产统计!M:M)-SUMIFS(逐日资产统计!M:M,逐日资产统计!A:A,汇总统计!F162,逐日资产统计!C:C,"人民币")</f>
        <v>1.0321579728397647</v>
      </c>
      <c r="P162" s="198">
        <v>533774.57999999996</v>
      </c>
      <c r="Q162" s="259">
        <f t="shared" si="63"/>
        <v>29032.040000000037</v>
      </c>
      <c r="R162" s="260"/>
    </row>
    <row r="163" spans="1:18" x14ac:dyDescent="0.25">
      <c r="A163" s="205">
        <v>43087</v>
      </c>
      <c r="B163" s="192">
        <v>-4232.2939999999999</v>
      </c>
      <c r="C163">
        <f>SUM($B$2:B163)</f>
        <v>22233.719000000026</v>
      </c>
      <c r="F163" s="210">
        <f t="shared" si="58"/>
        <v>43087</v>
      </c>
      <c r="G163" s="213">
        <f>SUMIFS(逐日资产统计!$I:$I,逐日资产统计!$A:$A,F163,逐日资产统计!$C:$C,"人民币")</f>
        <v>0</v>
      </c>
      <c r="H163" s="212">
        <f>SUMIF(逐日资产统计!$A:$A,汇总统计!$F163,逐日资产统计!$I:$I)-G163</f>
        <v>558574.14</v>
      </c>
      <c r="I163" s="207">
        <f t="shared" si="59"/>
        <v>558574.14</v>
      </c>
      <c r="J163" s="212">
        <f>SUMIF(逐日资产统计!$A:$A,汇总统计!$F163,逐日资产统计!$G:$G)</f>
        <v>-1193.3630000000012</v>
      </c>
      <c r="K163" s="223">
        <f t="shared" si="60"/>
        <v>559767.50300000003</v>
      </c>
      <c r="L163" s="222">
        <f t="shared" si="61"/>
        <v>-0.18599999998696148</v>
      </c>
      <c r="M163" s="219">
        <f t="shared" si="62"/>
        <v>-2.13189046095804E-3</v>
      </c>
      <c r="N163" s="221">
        <f>SUMIFS(逐日资产统计!M:M,逐日资产统计!A:A,汇总统计!F163,逐日资产统计!C:C,"人民币")</f>
        <v>0</v>
      </c>
      <c r="O163" s="221">
        <f>SUMIF(逐日资产统计!A:A,汇总统计!F163,逐日资产统计!M:M)-SUMIFS(逐日资产统计!M:M,逐日资产统计!A:A,汇总统计!F163,逐日资产统计!C:C,"人民币")</f>
        <v>1.0399789721736841</v>
      </c>
      <c r="P163" s="198">
        <v>534010.74</v>
      </c>
      <c r="Q163" s="259">
        <f t="shared" si="63"/>
        <v>24563.400000000023</v>
      </c>
    </row>
    <row r="164" spans="1:18" x14ac:dyDescent="0.25">
      <c r="A164" s="205">
        <v>43088</v>
      </c>
      <c r="B164" s="192">
        <v>1843.4409999999989</v>
      </c>
      <c r="C164">
        <f>SUM($B$2:B164)</f>
        <v>24077.160000000025</v>
      </c>
      <c r="F164" s="210">
        <f t="shared" si="58"/>
        <v>43088</v>
      </c>
      <c r="G164" s="213">
        <f>SUMIFS(逐日资产统计!$I:$I,逐日资产统计!$A:$A,F164,逐日资产统计!$C:$C,"人民币")</f>
        <v>0</v>
      </c>
      <c r="H164" s="212">
        <f>SUMIF(逐日资产统计!$A:$A,汇总统计!$F164,逐日资产统计!$I:$I)-G164</f>
        <v>560416.93000000005</v>
      </c>
      <c r="I164" s="207">
        <f t="shared" si="59"/>
        <v>560416.93000000005</v>
      </c>
      <c r="J164" s="212">
        <f>SUMIF(逐日资产统计!$A:$A,汇总统计!$F164,逐日资产统计!$G:$G)</f>
        <v>650.0779999999977</v>
      </c>
      <c r="K164" s="223">
        <f t="shared" si="60"/>
        <v>559766.85200000007</v>
      </c>
      <c r="L164" s="222">
        <f t="shared" si="61"/>
        <v>-0.65099999995436519</v>
      </c>
      <c r="M164" s="219">
        <f t="shared" si="62"/>
        <v>1.1613370775302673E-3</v>
      </c>
      <c r="N164" s="221">
        <f>SUMIFS(逐日资产统计!M:M,逐日资产统计!A:A,汇总统计!F164,逐日资产统计!C:C,"人民币")</f>
        <v>0</v>
      </c>
      <c r="O164" s="221">
        <f>SUMIF(逐日资产统计!A:A,汇总统计!F164,逐日资产统计!M:M)-SUMIFS(逐日资产统计!M:M,逐日资产统计!A:A,汇总统计!F164,逐日资产统计!C:C,"人民币")</f>
        <v>1.0365593880256265</v>
      </c>
      <c r="P164" s="198">
        <v>534089.46</v>
      </c>
      <c r="Q164" s="259">
        <f t="shared" si="63"/>
        <v>26327.470000000088</v>
      </c>
    </row>
    <row r="165" spans="1:18" x14ac:dyDescent="0.25">
      <c r="A165" s="205">
        <v>43089</v>
      </c>
      <c r="B165" s="192">
        <v>-8546.3820000000014</v>
      </c>
      <c r="C165">
        <f>SUM($B$2:B165)</f>
        <v>15530.778000000024</v>
      </c>
      <c r="F165" s="210">
        <f t="shared" si="58"/>
        <v>43089</v>
      </c>
      <c r="G165" s="213">
        <f>SUMIFS(逐日资产统计!$I:$I,逐日资产统计!$A:$A,F165,逐日资产统计!$C:$C,"人民币")</f>
        <v>0</v>
      </c>
      <c r="H165" s="212">
        <f>SUMIF(逐日资产统计!$A:$A,汇总统计!$F165,逐日资产统计!$I:$I)-G165</f>
        <v>551929.32999999996</v>
      </c>
      <c r="I165" s="207">
        <f t="shared" si="59"/>
        <v>551929.32999999996</v>
      </c>
      <c r="J165" s="212">
        <f>SUMIF(逐日资产统计!$A:$A,汇总统计!$F165,逐日资产统计!$G:$G)</f>
        <v>-7896.3040000000037</v>
      </c>
      <c r="K165" s="223">
        <f t="shared" si="60"/>
        <v>559825.63399999996</v>
      </c>
      <c r="L165" s="222">
        <f t="shared" si="61"/>
        <v>58.781999999890104</v>
      </c>
      <c r="M165" s="219">
        <f t="shared" si="62"/>
        <v>-1.410493468042945E-2</v>
      </c>
      <c r="N165" s="221">
        <f>SUMIFS(逐日资产统计!M:M,逐日资产统计!A:A,汇总统计!F165,逐日资产统计!C:C,"人民币")</f>
        <v>0</v>
      </c>
      <c r="O165" s="221">
        <f>SUMIF(逐日资产统计!A:A,汇总统计!F165,逐日资产统计!M:M)-SUMIFS(逐日资产统计!M:M,逐日资产统计!A:A,汇总统计!F165,逐日资产统计!C:C,"人民币")</f>
        <v>1.0526072785441569</v>
      </c>
      <c r="P165" s="198">
        <v>534168.18000000005</v>
      </c>
      <c r="Q165" s="259">
        <f t="shared" si="63"/>
        <v>17761.149999999907</v>
      </c>
      <c r="R165" s="1" t="s">
        <v>92</v>
      </c>
    </row>
    <row r="166" spans="1:18" x14ac:dyDescent="0.25">
      <c r="A166" s="205">
        <v>43090</v>
      </c>
      <c r="B166" s="192">
        <v>4442.9500000000044</v>
      </c>
      <c r="C166">
        <f>SUM($B$2:B166)</f>
        <v>19973.728000000028</v>
      </c>
      <c r="F166" s="210">
        <f t="shared" ref="F166:F197" si="64">A166</f>
        <v>43090</v>
      </c>
      <c r="G166" s="213">
        <f>SUMIFS(逐日资产统计!$I:$I,逐日资产统计!$A:$A,F166,逐日资产统计!$C:$C,"人民币")</f>
        <v>0</v>
      </c>
      <c r="H166" s="212">
        <f>SUMIF(逐日资产统计!$A:$A,汇总统计!$F166,逐日资产统计!$I:$I)-G166</f>
        <v>556372.28</v>
      </c>
      <c r="I166" s="207">
        <f t="shared" ref="I166:I197" si="65">G166+H166</f>
        <v>556372.28</v>
      </c>
      <c r="J166" s="212">
        <f>SUMIF(逐日资产统计!$A:$A,汇总统计!$F166,逐日资产统计!$G:$G)</f>
        <v>-3453.3539999999994</v>
      </c>
      <c r="K166" s="223">
        <f t="shared" ref="K166:K197" si="66">I166-J166</f>
        <v>559825.63400000008</v>
      </c>
      <c r="L166" s="222">
        <f t="shared" ref="L166:L197" si="67">K166-K165</f>
        <v>0</v>
      </c>
      <c r="M166" s="219">
        <f t="shared" ref="M166:M197" si="68">J166/K166</f>
        <v>-6.1686242827530095E-3</v>
      </c>
      <c r="N166" s="221">
        <f>SUMIFS(逐日资产统计!M:M,逐日资产统计!A:A,汇总统计!F166,逐日资产统计!C:C,"人民币")</f>
        <v>0</v>
      </c>
      <c r="O166" s="221">
        <f>SUMIF(逐日资产统计!A:A,汇总统计!F166,逐日资产统计!M:M)-SUMIFS(逐日资产统计!M:M,逐日资产统计!A:A,汇总统计!F166,逐日资产统计!C:C,"人民币")</f>
        <v>1.0442016090377468</v>
      </c>
      <c r="P166" s="198">
        <v>534246.9</v>
      </c>
      <c r="Q166" s="259">
        <f t="shared" ref="Q166:Q197" si="69">I166-P166</f>
        <v>22125.380000000005</v>
      </c>
    </row>
    <row r="167" spans="1:18" x14ac:dyDescent="0.25">
      <c r="A167" s="205">
        <v>43091</v>
      </c>
      <c r="B167" s="192">
        <v>-204.69099999999889</v>
      </c>
      <c r="C167">
        <f>SUM($B$2:B167)</f>
        <v>19769.037000000029</v>
      </c>
      <c r="F167" s="210">
        <f t="shared" si="64"/>
        <v>43091</v>
      </c>
      <c r="G167" s="213">
        <f>SUMIFS(逐日资产统计!$I:$I,逐日资产统计!$A:$A,F167,逐日资产统计!$C:$C,"人民币")</f>
        <v>0</v>
      </c>
      <c r="H167" s="212">
        <f>SUMIF(逐日资产统计!$A:$A,汇总统计!$F167,逐日资产统计!$I:$I)-G167</f>
        <v>556167.30999999994</v>
      </c>
      <c r="I167" s="207">
        <f t="shared" si="65"/>
        <v>556167.30999999994</v>
      </c>
      <c r="J167" s="212">
        <f>SUMIF(逐日资产统计!$A:$A,汇总统计!$F167,逐日资产统计!$G:$G)</f>
        <v>-3658.0449999999983</v>
      </c>
      <c r="K167" s="223">
        <f t="shared" si="66"/>
        <v>559825.35499999998</v>
      </c>
      <c r="L167" s="222">
        <f t="shared" si="67"/>
        <v>-0.27900000009685755</v>
      </c>
      <c r="M167" s="219">
        <f t="shared" si="68"/>
        <v>-6.5342610286023908E-3</v>
      </c>
      <c r="N167" s="221">
        <f>SUMIFS(逐日资产统计!M:M,逐日资产统计!A:A,汇总统计!F167,逐日资产统计!C:C,"人民币")</f>
        <v>0</v>
      </c>
      <c r="O167" s="221">
        <f>SUMIF(逐日资产统计!A:A,汇总统计!F167,逐日资产统计!M:M)-SUMIFS(逐日资产统计!M:M,逐日资产统计!A:A,汇总统计!F167,逐日资产统计!C:C,"人民币")</f>
        <v>1.0445864932262914</v>
      </c>
      <c r="P167" s="198">
        <v>534325.62</v>
      </c>
      <c r="Q167" s="259">
        <f t="shared" si="69"/>
        <v>21841.689999999944</v>
      </c>
    </row>
    <row r="168" spans="1:18" x14ac:dyDescent="0.25">
      <c r="A168" s="205">
        <v>43094</v>
      </c>
      <c r="B168" s="192">
        <v>981.30599999999686</v>
      </c>
      <c r="C168">
        <f>SUM($B$2:B168)</f>
        <v>20750.343000000026</v>
      </c>
      <c r="F168" s="210">
        <f t="shared" si="64"/>
        <v>43094</v>
      </c>
      <c r="G168" s="213">
        <f>SUMIFS(逐日资产统计!$I:$I,逐日资产统计!$A:$A,F168,逐日资产统计!$C:$C,"人民币")</f>
        <v>0</v>
      </c>
      <c r="H168" s="212">
        <f>SUMIF(逐日资产统计!$A:$A,汇总统计!$F168,逐日资产统计!$I:$I)-G168</f>
        <v>557148.43000000005</v>
      </c>
      <c r="I168" s="207">
        <f t="shared" si="65"/>
        <v>557148.43000000005</v>
      </c>
      <c r="J168" s="212">
        <f>SUMIF(逐日资产统计!$A:$A,汇总统计!$F168,逐日资产统计!$G:$G)</f>
        <v>-2676.7390000000014</v>
      </c>
      <c r="K168" s="223">
        <f t="shared" si="66"/>
        <v>559825.16899999999</v>
      </c>
      <c r="L168" s="222">
        <f t="shared" si="67"/>
        <v>-0.18599999998696148</v>
      </c>
      <c r="M168" s="219">
        <f t="shared" si="68"/>
        <v>-4.7813838109161564E-3</v>
      </c>
      <c r="N168" s="221">
        <f>SUMIFS(逐日资产统计!M:M,逐日资产统计!A:A,汇总统计!F168,逐日资产统计!C:C,"人民币")</f>
        <v>0</v>
      </c>
      <c r="O168" s="221">
        <f>SUMIF(逐日资产统计!A:A,汇总统计!F168,逐日资产统计!M:M)-SUMIFS(逐日资产统计!M:M,逐日资产统计!A:A,汇总统计!F168,逐日资产统计!C:C,"人民币")</f>
        <v>1.0427470467788993</v>
      </c>
      <c r="P168" s="198">
        <v>534561.78</v>
      </c>
      <c r="Q168" s="259">
        <f t="shared" si="69"/>
        <v>22586.650000000023</v>
      </c>
    </row>
    <row r="169" spans="1:18" x14ac:dyDescent="0.25">
      <c r="A169" s="205">
        <v>43095</v>
      </c>
      <c r="B169" s="192">
        <v>9366.5010000000002</v>
      </c>
      <c r="C169">
        <f>SUM($B$2:B169)</f>
        <v>30116.844000000026</v>
      </c>
      <c r="F169" s="210">
        <f t="shared" si="64"/>
        <v>43095</v>
      </c>
      <c r="G169" s="213">
        <f>SUMIFS(逐日资产统计!$I:$I,逐日资产统计!$A:$A,F169,逐日资产统计!$C:$C,"人民币")</f>
        <v>0</v>
      </c>
      <c r="H169" s="212">
        <f>SUMIF(逐日资产统计!$A:$A,汇总统计!$F169,逐日资产统计!$I:$I)-G169</f>
        <v>566514.28</v>
      </c>
      <c r="I169" s="207">
        <f t="shared" si="65"/>
        <v>566514.28</v>
      </c>
      <c r="J169" s="212">
        <f>SUMIF(逐日资产统计!$A:$A,汇总统计!$F169,逐日资产统计!$G:$G)</f>
        <v>6689.7619999999988</v>
      </c>
      <c r="K169" s="223">
        <f t="shared" si="66"/>
        <v>559824.51800000004</v>
      </c>
      <c r="L169" s="222">
        <f t="shared" si="67"/>
        <v>-0.65099999995436519</v>
      </c>
      <c r="M169" s="219">
        <f t="shared" si="68"/>
        <v>1.1949748153045342E-2</v>
      </c>
      <c r="N169" s="221">
        <f>SUMIFS(逐日资产统计!M:M,逐日资产统计!A:A,汇总统计!F169,逐日资产统计!C:C,"人民币")</f>
        <v>0</v>
      </c>
      <c r="O169" s="221">
        <f>SUMIF(逐日资产统计!A:A,汇总统计!F169,逐日资产统计!M:M)-SUMIFS(逐日资产统计!M:M,逐日资产统计!A:A,汇总统计!F169,逐日资产统计!C:C,"人民币")</f>
        <v>1.0255080419155538</v>
      </c>
      <c r="P169" s="198">
        <v>534640.5</v>
      </c>
      <c r="Q169" s="259">
        <f t="shared" si="69"/>
        <v>31873.780000000028</v>
      </c>
    </row>
    <row r="170" spans="1:18" x14ac:dyDescent="0.25">
      <c r="A170" s="205">
        <v>43096</v>
      </c>
      <c r="B170" s="192">
        <v>-1343.4209999999985</v>
      </c>
      <c r="C170">
        <f>SUM($B$2:B170)</f>
        <v>28773.423000000028</v>
      </c>
      <c r="F170" s="210">
        <f t="shared" si="64"/>
        <v>43096</v>
      </c>
      <c r="G170" s="213">
        <f>SUMIFS(逐日资产统计!$I:$I,逐日资产统计!$A:$A,F170,逐日资产统计!$C:$C,"人民币")</f>
        <v>0</v>
      </c>
      <c r="H170" s="212">
        <f>SUMIF(逐日资产统计!$A:$A,汇总统计!$F170,逐日资产统计!$I:$I)-G170</f>
        <v>544995.57999999996</v>
      </c>
      <c r="I170" s="207">
        <f t="shared" si="65"/>
        <v>544995.57999999996</v>
      </c>
      <c r="J170" s="212">
        <f>SUMIF(逐日资产统计!$A:$A,汇总统计!$F170,逐日资产统计!$G:$G)</f>
        <v>5346.3410000000003</v>
      </c>
      <c r="K170" s="223">
        <f t="shared" si="66"/>
        <v>539649.23899999994</v>
      </c>
      <c r="L170" s="222">
        <f t="shared" si="67"/>
        <v>-20175.279000000097</v>
      </c>
      <c r="M170" s="219">
        <f t="shared" si="68"/>
        <v>9.9070666900356753E-3</v>
      </c>
      <c r="N170" s="221">
        <f>SUMIFS(逐日资产统计!M:M,逐日资产统计!A:A,汇总统计!F170,逐日资产统计!C:C,"人民币")</f>
        <v>0</v>
      </c>
      <c r="O170" s="221">
        <f>SUMIF(逐日资产统计!A:A,汇总统计!F170,逐日资产统计!M:M)-SUMIFS(逐日资产统计!M:M,逐日资产统计!A:A,汇总统计!F170,逐日资产统计!C:C,"人民币")</f>
        <v>1.0289807854955455</v>
      </c>
      <c r="P170" s="198">
        <v>514539.84</v>
      </c>
      <c r="Q170" s="259">
        <f t="shared" si="69"/>
        <v>30455.739999999932</v>
      </c>
      <c r="R170" s="1" t="s">
        <v>93</v>
      </c>
    </row>
    <row r="171" spans="1:18" x14ac:dyDescent="0.25">
      <c r="A171" s="205">
        <v>43097</v>
      </c>
      <c r="B171" s="192">
        <v>3458.3090000000011</v>
      </c>
      <c r="C171">
        <f>SUM($B$2:B171)</f>
        <v>32231.732000000029</v>
      </c>
      <c r="F171" s="210">
        <f t="shared" si="64"/>
        <v>43097</v>
      </c>
      <c r="G171" s="213">
        <f>SUMIFS(逐日资产统计!$I:$I,逐日资产统计!$A:$A,F171,逐日资产统计!$C:$C,"人民币")</f>
        <v>0</v>
      </c>
      <c r="H171" s="212">
        <f>SUMIF(逐日资产统计!$A:$A,汇总统计!$F171,逐日资产统计!$I:$I)-G171</f>
        <v>548453.61</v>
      </c>
      <c r="I171" s="207">
        <f t="shared" si="65"/>
        <v>548453.61</v>
      </c>
      <c r="J171" s="212">
        <f>SUMIF(逐日资产统计!$A:$A,汇总统计!$F171,逐日资产统计!$G:$G)</f>
        <v>8804.6500000000015</v>
      </c>
      <c r="K171" s="223">
        <f t="shared" si="66"/>
        <v>539648.96</v>
      </c>
      <c r="L171" s="222">
        <f t="shared" si="67"/>
        <v>-0.27899999998044223</v>
      </c>
      <c r="M171" s="219">
        <f t="shared" si="68"/>
        <v>1.6315513699868896E-2</v>
      </c>
      <c r="N171" s="221">
        <f>SUMIFS(逐日资产统计!M:M,逐日资产统计!A:A,汇总统计!F171,逐日资产统计!C:C,"人民币")</f>
        <v>0</v>
      </c>
      <c r="O171" s="221">
        <f>SUMIF(逐日资产统计!A:A,汇总统计!F171,逐日资产统计!M:M)-SUMIFS(逐日资产统计!M:M,逐日资产统计!A:A,汇总统计!F171,逐日资产统计!C:C,"人民币")</f>
        <v>1.0224930600784992</v>
      </c>
      <c r="P171" s="198">
        <v>514614.18</v>
      </c>
      <c r="Q171" s="259">
        <f t="shared" si="69"/>
        <v>33839.429999999993</v>
      </c>
    </row>
    <row r="172" spans="1:18" x14ac:dyDescent="0.25">
      <c r="A172" s="205">
        <v>43098</v>
      </c>
      <c r="B172" s="192">
        <v>2951.7890000000007</v>
      </c>
      <c r="C172">
        <f>SUM($B$2:B172)</f>
        <v>35183.52100000003</v>
      </c>
      <c r="F172" s="210">
        <f t="shared" si="64"/>
        <v>43098</v>
      </c>
      <c r="G172" s="213">
        <f>SUMIFS(逐日资产统计!$I:$I,逐日资产统计!$A:$A,F172,逐日资产统计!$C:$C,"人民币")</f>
        <v>0</v>
      </c>
      <c r="H172" s="212">
        <f>SUMIF(逐日资产统计!$A:$A,汇总统计!$F172,逐日资产统计!$I:$I)-G172</f>
        <v>551405.12</v>
      </c>
      <c r="I172" s="207">
        <f t="shared" si="65"/>
        <v>551405.12</v>
      </c>
      <c r="J172" s="212">
        <f>SUMIF(逐日资产统计!$A:$A,汇总统计!$F172,逐日资产统计!$G:$G)</f>
        <v>11756.439000000002</v>
      </c>
      <c r="K172" s="223">
        <f t="shared" si="66"/>
        <v>539648.68099999998</v>
      </c>
      <c r="L172" s="222">
        <f t="shared" si="67"/>
        <v>-0.27899999998044223</v>
      </c>
      <c r="M172" s="219">
        <f t="shared" si="68"/>
        <v>2.1785356684676124E-2</v>
      </c>
      <c r="N172" s="221">
        <f>SUMIFS(逐日资产统计!M:M,逐日资产统计!A:A,汇总统计!F172,逐日资产统计!C:C,"人民币")</f>
        <v>0</v>
      </c>
      <c r="O172" s="221">
        <f>SUMIF(逐日资产统计!A:A,汇总统计!F172,逐日资产统计!M:M)-SUMIFS(逐日资产统计!M:M,逐日资产统计!A:A,汇总统计!F172,逐日资产统计!C:C,"人民币")</f>
        <v>1.0170171796736314</v>
      </c>
      <c r="P172" s="198">
        <v>514688.52</v>
      </c>
      <c r="Q172" s="259">
        <f t="shared" si="69"/>
        <v>36716.599999999977</v>
      </c>
      <c r="R172" s="261"/>
    </row>
    <row r="173" spans="1:18" x14ac:dyDescent="0.25">
      <c r="A173" s="205">
        <v>43102</v>
      </c>
      <c r="B173" s="192">
        <v>7777.5190000000002</v>
      </c>
      <c r="C173">
        <f>SUM($B$2:B173)</f>
        <v>42961.04000000003</v>
      </c>
      <c r="F173" s="210">
        <f t="shared" si="64"/>
        <v>43102</v>
      </c>
      <c r="G173" s="213">
        <f>SUMIFS(逐日资产统计!$I:$I,逐日资产统计!$A:$A,F173,逐日资产统计!$C:$C,"人民币")</f>
        <v>0</v>
      </c>
      <c r="H173" s="212">
        <f>SUMIF(逐日资产统计!$A:$A,汇总统计!$F173,逐日资产统计!$I:$I)-G173</f>
        <v>559196.57000000007</v>
      </c>
      <c r="I173" s="207">
        <f t="shared" si="65"/>
        <v>559196.57000000007</v>
      </c>
      <c r="J173" s="212">
        <f>SUMIF(逐日资产统计!$A:$A,汇总统计!$F173,逐日资产统计!$G:$G)</f>
        <v>19533.958000000002</v>
      </c>
      <c r="K173" s="223">
        <f t="shared" si="66"/>
        <v>539662.61200000008</v>
      </c>
      <c r="L173" s="222">
        <f t="shared" si="67"/>
        <v>13.93100000009872</v>
      </c>
      <c r="M173" s="219">
        <f t="shared" si="68"/>
        <v>3.6196611671145379E-2</v>
      </c>
      <c r="N173" s="221">
        <f>SUMIFS(逐日资产统计!M:M,逐日资产统计!A:A,汇总统计!F173,逐日资产统计!C:C,"人民币")</f>
        <v>0</v>
      </c>
      <c r="O173" s="221">
        <f>SUMIF(逐日资产统计!A:A,汇总统计!F173,逐日资产统计!M:M)-SUMIFS(逐日资产统计!M:M,逐日资产统计!A:A,汇总统计!F173,逐日资产统计!C:C,"人民币")</f>
        <v>1.0028715662544201</v>
      </c>
      <c r="P173" s="198">
        <v>551717.91</v>
      </c>
      <c r="Q173" s="259">
        <f t="shared" si="69"/>
        <v>7478.6600000000326</v>
      </c>
    </row>
    <row r="174" spans="1:18" x14ac:dyDescent="0.25">
      <c r="A174" s="205">
        <v>43103</v>
      </c>
      <c r="B174" s="192">
        <v>1665.9019999999982</v>
      </c>
      <c r="C174">
        <f>SUM($B$2:B174)</f>
        <v>44626.942000000025</v>
      </c>
      <c r="F174" s="210">
        <f t="shared" si="64"/>
        <v>43103</v>
      </c>
      <c r="G174" s="213">
        <f>SUMIFS(逐日资产统计!$I:$I,逐日资产统计!$A:$A,F174,逐日资产统计!$C:$C,"人民币")</f>
        <v>0</v>
      </c>
      <c r="H174" s="212">
        <f>SUMIF(逐日资产统计!$A:$A,汇总统计!$F174,逐日资产统计!$I:$I)-G174</f>
        <v>530840.80000000005</v>
      </c>
      <c r="I174" s="207">
        <f t="shared" si="65"/>
        <v>530840.80000000005</v>
      </c>
      <c r="J174" s="212">
        <f>SUMIF(逐日资产统计!$A:$A,汇总统计!$F174,逐日资产统计!$G:$G)</f>
        <v>21199.86</v>
      </c>
      <c r="K174" s="223">
        <f t="shared" si="66"/>
        <v>509640.94000000006</v>
      </c>
      <c r="L174" s="222">
        <f t="shared" si="67"/>
        <v>-30021.67200000002</v>
      </c>
      <c r="M174" s="219">
        <f t="shared" si="68"/>
        <v>4.1597639310531051E-2</v>
      </c>
      <c r="N174" s="221">
        <f>SUMIFS(逐日资产统计!M:M,逐日资产统计!A:A,汇总统计!F174,逐日资产统计!C:C,"人民币")</f>
        <v>0</v>
      </c>
      <c r="O174" s="221">
        <f>SUMIF(逐日资产统计!A:A,汇总统计!F174,逐日资产统计!M:M)-SUMIFS(逐日资产统计!M:M,逐日资产统计!A:A,汇总统计!F174,逐日资产统计!C:C,"人民币")</f>
        <v>0.9998901365531816</v>
      </c>
      <c r="P174" s="198">
        <v>521762.27</v>
      </c>
      <c r="Q174" s="259">
        <f t="shared" si="69"/>
        <v>9078.5300000000279</v>
      </c>
      <c r="R174" s="1" t="s">
        <v>94</v>
      </c>
    </row>
    <row r="175" spans="1:18" x14ac:dyDescent="0.25">
      <c r="A175" s="205">
        <v>43104</v>
      </c>
      <c r="B175" s="192">
        <v>-499.31999999999971</v>
      </c>
      <c r="C175">
        <f>SUM($B$2:B175)</f>
        <v>44127.622000000025</v>
      </c>
      <c r="F175" s="210">
        <f t="shared" si="64"/>
        <v>43104</v>
      </c>
      <c r="G175" s="213">
        <f>SUMIFS(逐日资产统计!$I:$I,逐日资产统计!$A:$A,F175,逐日资产统计!$C:$C,"人民币")</f>
        <v>0</v>
      </c>
      <c r="H175" s="212">
        <f>SUMIF(逐日资产统计!$A:$A,汇总统计!$F175,逐日资产统计!$I:$I)-G175</f>
        <v>530341.48</v>
      </c>
      <c r="I175" s="207">
        <f t="shared" si="65"/>
        <v>530341.48</v>
      </c>
      <c r="J175" s="212">
        <f>SUMIF(逐日资产统计!$A:$A,汇总统计!$F175,逐日资产统计!$G:$G)</f>
        <v>20700.54</v>
      </c>
      <c r="K175" s="223">
        <f t="shared" si="66"/>
        <v>509640.94</v>
      </c>
      <c r="L175" s="222">
        <f t="shared" si="67"/>
        <v>0</v>
      </c>
      <c r="M175" s="219">
        <f t="shared" si="68"/>
        <v>4.0617890705562237E-2</v>
      </c>
      <c r="N175" s="221">
        <f>SUMIFS(逐日资产统计!M:M,逐日资产统计!A:A,汇总统计!F175,逐日资产统计!C:C,"人民币")</f>
        <v>0</v>
      </c>
      <c r="O175" s="221">
        <f>SUMIF(逐日资产统计!A:A,汇总统计!F175,逐日资产统计!M:M)-SUMIFS(逐日资产统计!M:M,逐日资产统计!A:A,汇总统计!F175,逐日资产统计!C:C,"人民币")</f>
        <v>1.0008315962764218</v>
      </c>
      <c r="P175" s="198">
        <v>521832.95</v>
      </c>
      <c r="Q175" s="259">
        <f t="shared" si="69"/>
        <v>8508.5299999999697</v>
      </c>
    </row>
    <row r="176" spans="1:18" x14ac:dyDescent="0.25">
      <c r="A176" s="205">
        <v>43105</v>
      </c>
      <c r="B176" s="192">
        <v>5994.7400000000016</v>
      </c>
      <c r="C176">
        <f>SUM($B$2:B176)</f>
        <v>50122.362000000023</v>
      </c>
      <c r="F176" s="210">
        <f t="shared" si="64"/>
        <v>43105</v>
      </c>
      <c r="G176" s="213">
        <f>SUMIFS(逐日资产统计!$I:$I,逐日资产统计!$A:$A,F176,逐日资产统计!$C:$C,"人民币")</f>
        <v>0</v>
      </c>
      <c r="H176" s="212">
        <f>SUMIF(逐日资产统计!$A:$A,汇总统计!$F176,逐日资产统计!$I:$I)-G176</f>
        <v>534927.31000000006</v>
      </c>
      <c r="I176" s="207">
        <f t="shared" si="65"/>
        <v>534927.31000000006</v>
      </c>
      <c r="J176" s="212">
        <f>SUMIF(逐日资产统计!$A:$A,汇总统计!$F176,逐日资产统计!$G:$G)</f>
        <v>26695.280000000002</v>
      </c>
      <c r="K176" s="223">
        <f t="shared" si="66"/>
        <v>508232.03</v>
      </c>
      <c r="L176" s="222">
        <f t="shared" si="67"/>
        <v>-1408.9099999999744</v>
      </c>
      <c r="M176" s="219">
        <f t="shared" si="68"/>
        <v>5.252577252952751E-2</v>
      </c>
      <c r="N176" s="221">
        <f>SUMIFS(逐日资产统计!M:M,逐日资产统计!A:A,汇总统计!F176,逐日资产统计!C:C,"人民币")</f>
        <v>0</v>
      </c>
      <c r="O176" s="221">
        <f>SUMIF(逐日资产统计!A:A,汇总统计!F176,逐日资产统计!M:M)-SUMIFS(逐日资产统计!M:M,逐日资产统计!A:A,汇总统计!F176,逐日资产统计!C:C,"人民币")</f>
        <v>0.98962485201961359</v>
      </c>
      <c r="P176" s="198">
        <v>520494.58</v>
      </c>
      <c r="Q176" s="259">
        <f t="shared" si="69"/>
        <v>14432.73000000004</v>
      </c>
      <c r="R176" s="1" t="s">
        <v>95</v>
      </c>
    </row>
    <row r="177" spans="1:18" x14ac:dyDescent="0.25">
      <c r="A177" s="205">
        <v>43108</v>
      </c>
      <c r="B177" s="192">
        <v>3174.2299999999959</v>
      </c>
      <c r="C177">
        <f>SUM($B$2:B177)</f>
        <v>53296.592000000019</v>
      </c>
      <c r="F177" s="210">
        <f t="shared" si="64"/>
        <v>43108</v>
      </c>
      <c r="G177" s="213">
        <f>SUMIFS(逐日资产统计!$I:$I,逐日资产统计!$A:$A,F177,逐日资产统计!$C:$C,"人民币")</f>
        <v>0</v>
      </c>
      <c r="H177" s="212">
        <f>SUMIF(逐日资产统计!$A:$A,汇总统计!$F177,逐日资产统计!$I:$I)-G177</f>
        <v>538101.54</v>
      </c>
      <c r="I177" s="207">
        <f t="shared" si="65"/>
        <v>538101.54</v>
      </c>
      <c r="J177" s="212">
        <f>SUMIF(逐日资产统计!$A:$A,汇总统计!$F177,逐日资产统计!$G:$G)</f>
        <v>29869.51</v>
      </c>
      <c r="K177" s="223">
        <f t="shared" si="66"/>
        <v>508232.03</v>
      </c>
      <c r="L177" s="222">
        <f t="shared" si="67"/>
        <v>0</v>
      </c>
      <c r="M177" s="219">
        <f t="shared" si="68"/>
        <v>5.8771404076992148E-2</v>
      </c>
      <c r="N177" s="221">
        <f>SUMIFS(逐日资产统计!M:M,逐日资产统计!A:A,汇总统计!F177,逐日资产统计!C:C,"人民币")</f>
        <v>0</v>
      </c>
      <c r="O177" s="221">
        <f>SUMIF(逐日资产统计!A:A,汇总统计!F177,逐日资产统计!M:M)-SUMIFS(逐日资产统计!M:M,逐日资产统计!A:A,汇总统计!F177,逐日资产统计!C:C,"人民币")</f>
        <v>0.98379110752963206</v>
      </c>
      <c r="P177" s="198">
        <v>520706.2</v>
      </c>
      <c r="Q177" s="259">
        <f t="shared" si="69"/>
        <v>17395.340000000026</v>
      </c>
    </row>
    <row r="178" spans="1:18" x14ac:dyDescent="0.25">
      <c r="A178" s="205">
        <v>43109</v>
      </c>
      <c r="B178" s="192">
        <v>-946.0199999999968</v>
      </c>
      <c r="C178">
        <f>SUM($B$2:B178)</f>
        <v>52350.572000000022</v>
      </c>
      <c r="F178" s="210">
        <f t="shared" si="64"/>
        <v>43109</v>
      </c>
      <c r="G178" s="213">
        <f>SUMIFS(逐日资产统计!$I:$I,逐日资产统计!$A:$A,F178,逐日资产统计!$C:$C,"人民币")</f>
        <v>0</v>
      </c>
      <c r="H178" s="212">
        <f>SUMIF(逐日资产统计!$A:$A,汇总统计!$F178,逐日资产统计!$I:$I)-G178</f>
        <v>537155.52</v>
      </c>
      <c r="I178" s="207">
        <f t="shared" si="65"/>
        <v>537155.52</v>
      </c>
      <c r="J178" s="212">
        <f>SUMIF(逐日资产统计!$A:$A,汇总统计!$F178,逐日资产统计!$G:$G)</f>
        <v>28923.49</v>
      </c>
      <c r="K178" s="223">
        <f t="shared" si="66"/>
        <v>508232.03</v>
      </c>
      <c r="L178" s="222">
        <f t="shared" si="67"/>
        <v>0</v>
      </c>
      <c r="M178" s="219">
        <f t="shared" si="68"/>
        <v>5.6910010177831573E-2</v>
      </c>
      <c r="N178" s="221">
        <f>SUMIFS(逐日资产统计!M:M,逐日资产统计!A:A,汇总统计!F178,逐日资产统计!C:C,"人民币")</f>
        <v>0</v>
      </c>
      <c r="O178" s="221">
        <f>SUMIF(逐日资产统计!A:A,汇总统计!F178,逐日资产统计!M:M)-SUMIFS(逐日资产统计!M:M,逐日资产统计!A:A,汇总统计!F178,逐日资产统计!C:C,"人民币")</f>
        <v>0.98553545535564901</v>
      </c>
      <c r="P178" s="198">
        <v>520776.74</v>
      </c>
      <c r="Q178" s="259">
        <f t="shared" si="69"/>
        <v>16378.780000000028</v>
      </c>
    </row>
    <row r="179" spans="1:18" x14ac:dyDescent="0.25">
      <c r="A179" s="205">
        <v>43110</v>
      </c>
      <c r="B179" s="192">
        <v>-1024.8400000000001</v>
      </c>
      <c r="C179">
        <f>SUM($B$2:B179)</f>
        <v>51325.732000000018</v>
      </c>
      <c r="F179" s="210">
        <f t="shared" si="64"/>
        <v>43110</v>
      </c>
      <c r="G179" s="213">
        <f>SUMIFS(逐日资产统计!$I:$I,逐日资产统计!$A:$A,F179,逐日资产统计!$C:$C,"人民币")</f>
        <v>0</v>
      </c>
      <c r="H179" s="212">
        <f>SUMIF(逐日资产统计!$A:$A,汇总统计!$F179,逐日资产统计!$I:$I)-G179</f>
        <v>536130.67999999993</v>
      </c>
      <c r="I179" s="207">
        <f t="shared" si="65"/>
        <v>536130.67999999993</v>
      </c>
      <c r="J179" s="212">
        <f>SUMIF(逐日资产统计!$A:$A,汇总统计!$F179,逐日资产统计!$G:$G)</f>
        <v>27898.65</v>
      </c>
      <c r="K179" s="223">
        <f t="shared" si="66"/>
        <v>508232.02999999991</v>
      </c>
      <c r="L179" s="222">
        <f t="shared" si="67"/>
        <v>0</v>
      </c>
      <c r="M179" s="219">
        <f t="shared" si="68"/>
        <v>5.4893529634486057E-2</v>
      </c>
      <c r="N179" s="221">
        <f>SUMIFS(逐日资产统计!M:M,逐日资产统计!A:A,汇总统计!F179,逐日资产统计!C:C,"人民币")</f>
        <v>0</v>
      </c>
      <c r="O179" s="221">
        <f>SUMIF(逐日资产统计!A:A,汇总统计!F179,逐日资产统计!M:M)-SUMIFS(逐日资产统计!M:M,逐日资产统计!A:A,汇总统计!F179,逐日资产统计!C:C,"人民币")</f>
        <v>0.98741935454990248</v>
      </c>
      <c r="P179" s="198">
        <v>520847.28</v>
      </c>
      <c r="Q179" s="259">
        <f t="shared" si="69"/>
        <v>15283.399999999907</v>
      </c>
    </row>
    <row r="180" spans="1:18" x14ac:dyDescent="0.25">
      <c r="A180" s="205">
        <v>43111</v>
      </c>
      <c r="B180" s="192">
        <v>-149.49000000000524</v>
      </c>
      <c r="C180">
        <f>SUM($B$2:B180)</f>
        <v>51176.242000000013</v>
      </c>
      <c r="F180" s="210">
        <f t="shared" si="64"/>
        <v>43111</v>
      </c>
      <c r="G180" s="213">
        <f>SUMIFS(逐日资产统计!$I:$I,逐日资产统计!$A:$A,F180,逐日资产统计!$C:$C,"人民币")</f>
        <v>0</v>
      </c>
      <c r="H180" s="212">
        <f>SUMIF(逐日资产统计!$A:$A,汇总统计!$F180,逐日资产统计!$I:$I)-G180</f>
        <v>535981.18999999994</v>
      </c>
      <c r="I180" s="207">
        <f t="shared" si="65"/>
        <v>535981.18999999994</v>
      </c>
      <c r="J180" s="212">
        <f>SUMIF(逐日资产统计!$A:$A,汇总统计!$F180,逐日资产统计!$G:$G)</f>
        <v>27749.159999999996</v>
      </c>
      <c r="K180" s="223">
        <f t="shared" si="66"/>
        <v>508232.02999999997</v>
      </c>
      <c r="L180" s="222">
        <f t="shared" si="67"/>
        <v>0</v>
      </c>
      <c r="M180" s="219">
        <f t="shared" si="68"/>
        <v>5.4599392328736146E-2</v>
      </c>
      <c r="N180" s="221">
        <f>SUMIFS(逐日资产统计!M:M,逐日资产统计!A:A,汇总统计!F180,逐日资产统计!C:C,"人民币")</f>
        <v>0</v>
      </c>
      <c r="O180" s="221">
        <f>SUMIF(逐日资产统计!A:A,汇总统计!F180,逐日资产统计!M:M)-SUMIFS(逐日资产统计!M:M,逐日资产统计!A:A,汇总统计!F180,逐日资产统计!C:C,"人民币")</f>
        <v>0.9877081507282004</v>
      </c>
      <c r="P180" s="198">
        <v>520917.82</v>
      </c>
      <c r="Q180" s="259">
        <f t="shared" si="69"/>
        <v>15063.369999999937</v>
      </c>
    </row>
    <row r="181" spans="1:18" x14ac:dyDescent="0.25">
      <c r="A181" s="205">
        <v>43112</v>
      </c>
      <c r="B181" s="192">
        <v>-220.68999999999505</v>
      </c>
      <c r="C181">
        <f>SUM($B$2:B181)</f>
        <v>50955.552000000018</v>
      </c>
      <c r="F181" s="210">
        <f t="shared" si="64"/>
        <v>43112</v>
      </c>
      <c r="G181" s="213">
        <f>SUMIFS(逐日资产统计!$I:$I,逐日资产统计!$A:$A,F181,逐日资产统计!$C:$C,"人民币")</f>
        <v>0</v>
      </c>
      <c r="H181" s="212">
        <f>SUMIF(逐日资产统计!$A:$A,汇总统计!$F181,逐日资产统计!$I:$I)-G181</f>
        <v>535760.5</v>
      </c>
      <c r="I181" s="207">
        <f t="shared" si="65"/>
        <v>535760.5</v>
      </c>
      <c r="J181" s="212">
        <f>SUMIF(逐日资产统计!$A:$A,汇总统计!$F181,逐日资产统计!$G:$G)</f>
        <v>27528.47</v>
      </c>
      <c r="K181" s="223">
        <f t="shared" si="66"/>
        <v>508232.03</v>
      </c>
      <c r="L181" s="222">
        <f t="shared" si="67"/>
        <v>0</v>
      </c>
      <c r="M181" s="219">
        <f t="shared" si="68"/>
        <v>5.4165161530649694E-2</v>
      </c>
      <c r="N181" s="221">
        <f>SUMIFS(逐日资产统计!M:M,逐日资产统计!A:A,汇总统计!F181,逐日资产统计!C:C,"人民币")</f>
        <v>0</v>
      </c>
      <c r="O181" s="221">
        <f>SUMIF(逐日资产统计!A:A,汇总统计!F181,逐日资产统计!M:M)-SUMIFS(逐日资产统计!M:M,逐日资产统计!A:A,汇总统计!F181,逐日资产统计!C:C,"人民币")</f>
        <v>0.988127922831191</v>
      </c>
      <c r="P181" s="198">
        <v>520988.36</v>
      </c>
      <c r="Q181" s="259">
        <f t="shared" si="69"/>
        <v>14772.140000000014</v>
      </c>
    </row>
    <row r="182" spans="1:18" x14ac:dyDescent="0.25">
      <c r="A182" s="205">
        <v>43115</v>
      </c>
      <c r="B182" s="192">
        <v>-9051.3099999999977</v>
      </c>
      <c r="C182">
        <f>SUM($B$2:B182)</f>
        <v>41904.24200000002</v>
      </c>
      <c r="F182" s="210">
        <f t="shared" si="64"/>
        <v>43115</v>
      </c>
      <c r="G182" s="213">
        <f>SUMIFS(逐日资产统计!$I:$I,逐日资产统计!$A:$A,F182,逐日资产统计!$C:$C,"人民币")</f>
        <v>0</v>
      </c>
      <c r="H182" s="212">
        <f>SUMIF(逐日资产统计!$A:$A,汇总统计!$F182,逐日资产统计!$I:$I)-G182</f>
        <v>526709.23</v>
      </c>
      <c r="I182" s="207">
        <f t="shared" si="65"/>
        <v>526709.23</v>
      </c>
      <c r="J182" s="212">
        <f>SUMIF(逐日资产统计!$A:$A,汇总统计!$F182,逐日资产统计!$G:$G)</f>
        <v>18477.160000000003</v>
      </c>
      <c r="K182" s="223">
        <f t="shared" si="66"/>
        <v>508232.06999999995</v>
      </c>
      <c r="L182" s="222">
        <f t="shared" si="67"/>
        <v>3.9999999920837581E-2</v>
      </c>
      <c r="M182" s="219">
        <f t="shared" si="68"/>
        <v>3.6355753779961197E-2</v>
      </c>
      <c r="N182" s="221">
        <f>SUMIFS(逐日资产统计!M:M,逐日资产统计!A:A,汇总统计!F182,逐日资产统计!C:C,"人民币")</f>
        <v>0</v>
      </c>
      <c r="O182" s="221">
        <f>SUMIF(逐日资产统计!A:A,汇总统计!F182,逐日资产统计!M:M)-SUMIFS(逐日资产统计!M:M,逐日资产统计!A:A,汇总统计!F182,逐日资产统计!C:C,"人民币")</f>
        <v>1.0084008400612237</v>
      </c>
      <c r="P182" s="198">
        <v>521199.98</v>
      </c>
      <c r="Q182" s="259">
        <f t="shared" si="69"/>
        <v>5509.25</v>
      </c>
    </row>
    <row r="183" spans="1:18" x14ac:dyDescent="0.25">
      <c r="A183" s="205">
        <v>43116</v>
      </c>
      <c r="B183" s="192">
        <v>9984.8799999999974</v>
      </c>
      <c r="C183">
        <f>SUM($B$2:B183)</f>
        <v>51889.122000000018</v>
      </c>
      <c r="F183" s="210">
        <f t="shared" si="64"/>
        <v>43116</v>
      </c>
      <c r="G183" s="213">
        <f>SUMIFS(逐日资产统计!$I:$I,逐日资产统计!$A:$A,F183,逐日资产统计!$C:$C,"人民币")</f>
        <v>0</v>
      </c>
      <c r="H183" s="212">
        <f>SUMIF(逐日资产统计!$A:$A,汇总统计!$F183,逐日资产统计!$I:$I)-G183</f>
        <v>536693.96000000008</v>
      </c>
      <c r="I183" s="207">
        <f t="shared" si="65"/>
        <v>536693.96000000008</v>
      </c>
      <c r="J183" s="212">
        <f>SUMIF(逐日资产统计!$A:$A,汇总统计!$F183,逐日资产统计!$G:$G)</f>
        <v>28462.04</v>
      </c>
      <c r="K183" s="223">
        <f t="shared" si="66"/>
        <v>508231.9200000001</v>
      </c>
      <c r="L183" s="222">
        <f t="shared" si="67"/>
        <v>-0.14999999984866008</v>
      </c>
      <c r="M183" s="219">
        <f t="shared" si="68"/>
        <v>5.6002070865600093E-2</v>
      </c>
      <c r="N183" s="221">
        <f>SUMIFS(逐日资产统计!M:M,逐日资产统计!A:A,汇总统计!F183,逐日资产统计!C:C,"人民币")</f>
        <v>0</v>
      </c>
      <c r="O183" s="221">
        <f>SUMIF(逐日资产统计!A:A,汇总统计!F183,逐日资产统计!M:M)-SUMIFS(逐日资产统计!M:M,逐日资产统计!A:A,汇总统计!F183,逐日资产统计!C:C,"人民币")</f>
        <v>0.98964012935789214</v>
      </c>
      <c r="P183" s="198">
        <v>521270.52</v>
      </c>
      <c r="Q183" s="259">
        <f t="shared" si="69"/>
        <v>15423.440000000061</v>
      </c>
    </row>
    <row r="184" spans="1:18" x14ac:dyDescent="0.25">
      <c r="A184" s="205">
        <v>43117</v>
      </c>
      <c r="B184" s="192">
        <v>-3954.5800000000017</v>
      </c>
      <c r="C184">
        <f>SUM($B$2:B184)</f>
        <v>47934.542000000016</v>
      </c>
      <c r="F184" s="210">
        <f t="shared" si="64"/>
        <v>43117</v>
      </c>
      <c r="G184" s="213">
        <f>SUMIFS(逐日资产统计!$I:$I,逐日资产统计!$A:$A,F184,逐日资产统计!$C:$C,"人民币")</f>
        <v>0</v>
      </c>
      <c r="H184" s="212">
        <f>SUMIF(逐日资产统计!$A:$A,汇总统计!$F184,逐日资产统计!$I:$I)-G184</f>
        <v>532739.53</v>
      </c>
      <c r="I184" s="207">
        <f t="shared" si="65"/>
        <v>532739.53</v>
      </c>
      <c r="J184" s="212">
        <f>SUMIF(逐日资产统计!$A:$A,汇总统计!$F184,逐日资产统计!$G:$G)</f>
        <v>24507.46</v>
      </c>
      <c r="K184" s="223">
        <f t="shared" si="66"/>
        <v>508232.07</v>
      </c>
      <c r="L184" s="222">
        <f t="shared" si="67"/>
        <v>0.14999999990686774</v>
      </c>
      <c r="M184" s="219">
        <f t="shared" si="68"/>
        <v>4.8221002661244891E-2</v>
      </c>
      <c r="N184" s="221">
        <f>SUMIFS(逐日资产统计!M:M,逐日资产统计!A:A,汇总统计!F184,逐日资产统计!C:C,"人民币")</f>
        <v>0</v>
      </c>
      <c r="O184" s="221">
        <f>SUMIF(逐日资产统计!A:A,汇总统计!F184,逐日资产统计!M:M)-SUMIFS(逐日资产统计!M:M,逐日资产统计!A:A,汇总统计!F184,逐日资产统计!C:C,"人民币")</f>
        <v>0.99699825165967981</v>
      </c>
      <c r="P184" s="198">
        <v>521341.06</v>
      </c>
      <c r="Q184" s="259">
        <f t="shared" si="69"/>
        <v>11398.47000000003</v>
      </c>
    </row>
    <row r="185" spans="1:18" x14ac:dyDescent="0.25">
      <c r="A185" s="205">
        <v>43118</v>
      </c>
      <c r="B185" s="192">
        <v>2092.25</v>
      </c>
      <c r="C185">
        <f>SUM($B$2:B185)</f>
        <v>50026.792000000016</v>
      </c>
      <c r="F185" s="210">
        <f t="shared" si="64"/>
        <v>43118</v>
      </c>
      <c r="G185" s="213">
        <f>SUMIFS(逐日资产统计!$I:$I,逐日资产统计!$A:$A,F185,逐日资产统计!$C:$C,"人民币")</f>
        <v>0</v>
      </c>
      <c r="H185" s="212">
        <f>SUMIF(逐日资产统计!$A:$A,汇总统计!$F185,逐日资产统计!$I:$I)-G185</f>
        <v>534831.78</v>
      </c>
      <c r="I185" s="207">
        <f t="shared" si="65"/>
        <v>534831.78</v>
      </c>
      <c r="J185" s="212">
        <f>SUMIF(逐日资产统计!$A:$A,汇总统计!$F185,逐日资产统计!$G:$G)</f>
        <v>26599.71</v>
      </c>
      <c r="K185" s="223">
        <f t="shared" si="66"/>
        <v>508232.07</v>
      </c>
      <c r="L185" s="222">
        <f t="shared" si="67"/>
        <v>0</v>
      </c>
      <c r="M185" s="219">
        <f t="shared" si="68"/>
        <v>5.2337724378550138E-2</v>
      </c>
      <c r="N185" s="221">
        <f>SUMIFS(逐日资产统计!M:M,逐日资产统计!A:A,汇总统计!F185,逐日资产统计!C:C,"人民币")</f>
        <v>0</v>
      </c>
      <c r="O185" s="221">
        <f>SUMIF(逐日资产统计!A:A,汇总统计!F185,逐日资产统计!M:M)-SUMIFS(逐日资产统计!M:M,逐日资产统计!A:A,汇总统计!F185,逐日资产统计!C:C,"人民币")</f>
        <v>0.99311415264066838</v>
      </c>
      <c r="P185" s="198">
        <v>521411.6</v>
      </c>
      <c r="Q185" s="259">
        <f t="shared" si="69"/>
        <v>13420.180000000051</v>
      </c>
    </row>
    <row r="186" spans="1:18" x14ac:dyDescent="0.25">
      <c r="A186" s="205">
        <v>43119</v>
      </c>
      <c r="B186" s="192">
        <v>-851.90000000000146</v>
      </c>
      <c r="C186">
        <f>SUM($B$2:B186)</f>
        <v>49174.892000000014</v>
      </c>
      <c r="F186" s="210">
        <f t="shared" si="64"/>
        <v>43119</v>
      </c>
      <c r="G186" s="213">
        <f>SUMIFS(逐日资产统计!$I:$I,逐日资产统计!$A:$A,F186,逐日资产统计!$C:$C,"人民币")</f>
        <v>0</v>
      </c>
      <c r="H186" s="212">
        <f>SUMIF(逐日资产统计!$A:$A,汇总统计!$F186,逐日资产统计!$I:$I)-G186</f>
        <v>533979.88</v>
      </c>
      <c r="I186" s="207">
        <f t="shared" si="65"/>
        <v>533979.88</v>
      </c>
      <c r="J186" s="212">
        <f>SUMIF(逐日资产统计!$A:$A,汇总统计!$F186,逐日资产统计!$G:$G)</f>
        <v>25747.809999999998</v>
      </c>
      <c r="K186" s="223">
        <f t="shared" si="66"/>
        <v>508232.07</v>
      </c>
      <c r="L186" s="222">
        <f t="shared" si="67"/>
        <v>0</v>
      </c>
      <c r="M186" s="219">
        <f t="shared" si="68"/>
        <v>5.0661521615509228E-2</v>
      </c>
      <c r="N186" s="221">
        <f>SUMIFS(逐日资产统计!M:M,逐日资产统计!A:A,汇总统计!F186,逐日资产统计!C:C,"人民币")</f>
        <v>0</v>
      </c>
      <c r="O186" s="221">
        <f>SUMIF(逐日资产统计!A:A,汇总统计!F186,逐日资产统计!M:M)-SUMIFS(逐日资产统计!M:M,逐日资产统计!A:A,汇总统计!F186,逐日资产统计!C:C,"人民币")</f>
        <v>0.99471657995803087</v>
      </c>
      <c r="P186" s="198">
        <v>521482.14</v>
      </c>
      <c r="Q186" s="259">
        <f t="shared" si="69"/>
        <v>12497.739999999991</v>
      </c>
    </row>
    <row r="187" spans="1:18" x14ac:dyDescent="0.25">
      <c r="A187" s="205">
        <v>43122</v>
      </c>
      <c r="B187" s="192">
        <v>1090.4400000000023</v>
      </c>
      <c r="C187">
        <f>SUM($B$2:B187)</f>
        <v>50265.332000000017</v>
      </c>
      <c r="F187" s="210">
        <f t="shared" si="64"/>
        <v>43122</v>
      </c>
      <c r="G187" s="213">
        <f>SUMIFS(逐日资产统计!$I:$I,逐日资产统计!$A:$A,F187,逐日资产统计!$C:$C,"人民币")</f>
        <v>0</v>
      </c>
      <c r="H187" s="212">
        <f>SUMIF(逐日资产统计!$A:$A,汇总统计!$F187,逐日资产统计!$I:$I)-G187</f>
        <v>535070.31999999995</v>
      </c>
      <c r="I187" s="207">
        <f t="shared" si="65"/>
        <v>535070.31999999995</v>
      </c>
      <c r="J187" s="212">
        <f>SUMIF(逐日资产统计!$A:$A,汇总统计!$F187,逐日资产统计!$G:$G)</f>
        <v>26838.25</v>
      </c>
      <c r="K187" s="223">
        <f t="shared" si="66"/>
        <v>508232.06999999995</v>
      </c>
      <c r="L187" s="222">
        <f t="shared" si="67"/>
        <v>0</v>
      </c>
      <c r="M187" s="219">
        <f t="shared" si="68"/>
        <v>5.2807076893042197E-2</v>
      </c>
      <c r="N187" s="221">
        <f>SUMIFS(逐日资产统计!M:M,逐日资产统计!A:A,汇总统计!F187,逐日资产统计!C:C,"人民币")</f>
        <v>0</v>
      </c>
      <c r="O187" s="221">
        <f>SUMIF(逐日资产统计!A:A,汇总统计!F187,逐日资产统计!M:M)-SUMIFS(逐日资产统计!M:M,逐日资产统计!A:A,汇总统计!F187,逐日资产统计!C:C,"人民币")</f>
        <v>0.99270662218752892</v>
      </c>
      <c r="P187" s="198">
        <v>521693.76</v>
      </c>
      <c r="Q187" s="259">
        <f t="shared" si="69"/>
        <v>13376.559999999939</v>
      </c>
    </row>
    <row r="188" spans="1:18" x14ac:dyDescent="0.25">
      <c r="A188" s="205">
        <v>43123</v>
      </c>
      <c r="B188" s="192">
        <v>2913.489999999998</v>
      </c>
      <c r="C188">
        <f>SUM($B$2:B188)</f>
        <v>53178.822000000015</v>
      </c>
      <c r="F188" s="210">
        <f t="shared" si="64"/>
        <v>43123</v>
      </c>
      <c r="G188" s="213">
        <f>SUMIFS(逐日资产统计!$I:$I,逐日资产统计!$A:$A,F188,逐日资产统计!$C:$C,"人民币")</f>
        <v>0</v>
      </c>
      <c r="H188" s="212">
        <f>SUMIF(逐日资产统计!$A:$A,汇总统计!$F188,逐日资产统计!$I:$I)-G188</f>
        <v>537983.81000000006</v>
      </c>
      <c r="I188" s="207">
        <f t="shared" si="65"/>
        <v>537983.81000000006</v>
      </c>
      <c r="J188" s="212">
        <f>SUMIF(逐日资产统计!$A:$A,汇总统计!$F188,逐日资产统计!$G:$G)</f>
        <v>29751.739999999998</v>
      </c>
      <c r="K188" s="223">
        <f t="shared" si="66"/>
        <v>508232.07000000007</v>
      </c>
      <c r="L188" s="222">
        <f t="shared" si="67"/>
        <v>0</v>
      </c>
      <c r="M188" s="219">
        <f t="shared" si="68"/>
        <v>5.8539674601801484E-2</v>
      </c>
      <c r="N188" s="221">
        <f>SUMIFS(逐日资产统计!M:M,逐日资产统计!A:A,汇总统计!F188,逐日资产统计!C:C,"人民币")</f>
        <v>0</v>
      </c>
      <c r="O188" s="221">
        <f>SUMIF(逐日资产统计!A:A,汇总统计!F188,逐日资产统计!M:M)-SUMIFS(逐日资产统计!M:M,逐日资产统计!A:A,汇总统计!F188,逐日资产统计!C:C,"人民币")</f>
        <v>0.98737660897267499</v>
      </c>
      <c r="P188" s="198">
        <v>521764.3</v>
      </c>
      <c r="Q188" s="259">
        <f t="shared" si="69"/>
        <v>16219.510000000068</v>
      </c>
    </row>
    <row r="189" spans="1:18" x14ac:dyDescent="0.25">
      <c r="A189" s="205">
        <v>43124</v>
      </c>
      <c r="B189" s="192">
        <v>164.94999999999709</v>
      </c>
      <c r="C189">
        <f>SUM($B$2:B189)</f>
        <v>53343.772000000012</v>
      </c>
      <c r="F189" s="210">
        <f t="shared" si="64"/>
        <v>43124</v>
      </c>
      <c r="G189" s="213">
        <f>SUMIFS(逐日资产统计!$I:$I,逐日资产统计!$A:$A,F189,逐日资产统计!$C:$C,"人民币")</f>
        <v>0</v>
      </c>
      <c r="H189" s="212">
        <f>SUMIF(逐日资产统计!$A:$A,汇总统计!$F189,逐日资产统计!$I:$I)-G189</f>
        <v>538148.76</v>
      </c>
      <c r="I189" s="207">
        <f t="shared" si="65"/>
        <v>538148.76</v>
      </c>
      <c r="J189" s="212">
        <f>SUMIF(逐日资产统计!$A:$A,汇总统计!$F189,逐日资产统计!$G:$G)</f>
        <v>29916.689999999995</v>
      </c>
      <c r="K189" s="223">
        <f t="shared" si="66"/>
        <v>508232.07</v>
      </c>
      <c r="L189" s="222">
        <f t="shared" si="67"/>
        <v>0</v>
      </c>
      <c r="M189" s="219">
        <f t="shared" si="68"/>
        <v>5.886423105885466E-2</v>
      </c>
      <c r="N189" s="221">
        <f>SUMIFS(逐日资产统计!M:M,逐日资产统计!A:A,汇总统计!F189,逐日资产统计!C:C,"人民币")</f>
        <v>0</v>
      </c>
      <c r="O189" s="221">
        <f>SUMIF(逐日资产统计!A:A,汇总统计!F189,逐日资产统计!M:M)-SUMIFS(逐日资产统计!M:M,逐日资产统计!A:A,汇总统计!F189,逐日资产统计!C:C,"人民币")</f>
        <v>0.9870883285134765</v>
      </c>
      <c r="P189" s="198">
        <v>521834.84</v>
      </c>
      <c r="Q189" s="259">
        <f t="shared" si="69"/>
        <v>16313.919999999984</v>
      </c>
    </row>
    <row r="190" spans="1:18" x14ac:dyDescent="0.25">
      <c r="A190" s="205">
        <v>43125</v>
      </c>
      <c r="B190" s="192">
        <v>-1456.4200000000019</v>
      </c>
      <c r="C190">
        <f>SUM($B$2:B190)</f>
        <v>51887.352000000014</v>
      </c>
      <c r="F190" s="210">
        <f t="shared" si="64"/>
        <v>43125</v>
      </c>
      <c r="G190" s="213">
        <f>SUMIFS(逐日资产统计!$I:$I,逐日资产统计!$A:$A,F190,逐日资产统计!$C:$C,"人民币")</f>
        <v>0</v>
      </c>
      <c r="H190" s="212">
        <f>SUMIF(逐日资产统计!$A:$A,汇总统计!$F190,逐日资产统计!$I:$I)-G190</f>
        <v>516688.30000000005</v>
      </c>
      <c r="I190" s="207">
        <f t="shared" si="65"/>
        <v>516688.30000000005</v>
      </c>
      <c r="J190" s="212">
        <f>SUMIF(逐日资产统计!$A:$A,汇总统计!$F190,逐日资产统计!$G:$G)</f>
        <v>28460.269999999993</v>
      </c>
      <c r="K190" s="223">
        <f t="shared" si="66"/>
        <v>488228.03</v>
      </c>
      <c r="L190" s="222">
        <f t="shared" si="67"/>
        <v>-20004.039999999979</v>
      </c>
      <c r="M190" s="219">
        <f t="shared" si="68"/>
        <v>5.8292986578423182E-2</v>
      </c>
      <c r="N190" s="221">
        <f>SUMIFS(逐日资产统计!M:M,逐日资产统计!A:A,汇总统计!F190,逐日资产统计!C:C,"人民币")</f>
        <v>0</v>
      </c>
      <c r="O190" s="221">
        <f>SUMIF(逐日资产统计!A:A,汇总统计!F190,逐日资产统计!M:M)-SUMIFS(逐日资产统计!M:M,逐日资产统计!A:A,汇总统计!F190,逐日资产统计!C:C,"人民币")</f>
        <v>0.98940237276516596</v>
      </c>
      <c r="P190" s="198">
        <v>501902.1</v>
      </c>
      <c r="Q190" s="259">
        <f t="shared" si="69"/>
        <v>14786.20000000007</v>
      </c>
      <c r="R190" s="1" t="s">
        <v>96</v>
      </c>
    </row>
    <row r="191" spans="1:18" x14ac:dyDescent="0.25">
      <c r="A191" s="205">
        <v>43126</v>
      </c>
      <c r="B191" s="192">
        <v>3231.9500000000007</v>
      </c>
      <c r="C191">
        <f>SUM($B$2:B191)</f>
        <v>55119.302000000011</v>
      </c>
      <c r="F191" s="210">
        <f t="shared" si="64"/>
        <v>43126</v>
      </c>
      <c r="G191" s="213">
        <f>SUMIFS(逐日资产统计!$I:$I,逐日资产统计!$A:$A,F191,逐日资产统计!$C:$C,"人民币")</f>
        <v>0</v>
      </c>
      <c r="H191" s="212">
        <f>SUMIF(逐日资产统计!$A:$A,汇总统计!$F191,逐日资产统计!$I:$I)-G191</f>
        <v>519920.25</v>
      </c>
      <c r="I191" s="207">
        <f t="shared" si="65"/>
        <v>519920.25</v>
      </c>
      <c r="J191" s="212">
        <f>SUMIF(逐日资产统计!$A:$A,汇总统计!$F191,逐日资产统计!$G:$G)</f>
        <v>31692.219999999994</v>
      </c>
      <c r="K191" s="223">
        <f t="shared" si="66"/>
        <v>488228.03</v>
      </c>
      <c r="L191" s="222">
        <f t="shared" si="67"/>
        <v>0</v>
      </c>
      <c r="M191" s="219">
        <f t="shared" si="68"/>
        <v>6.4912741695719506E-2</v>
      </c>
      <c r="N191" s="221">
        <f>SUMIFS(逐日资产统计!M:M,逐日资产统计!A:A,汇总统计!F191,逐日资产统计!C:C,"人民币")</f>
        <v>0</v>
      </c>
      <c r="O191" s="221">
        <f>SUMIF(逐日资产统计!A:A,汇总统计!F191,逐日资产统计!M:M)-SUMIFS(逐日资产统计!M:M,逐日资产统计!A:A,汇总统计!F191,逐日资产统计!C:C,"人民币")</f>
        <v>0.98327674292355416</v>
      </c>
      <c r="P191" s="198">
        <v>501969.36</v>
      </c>
      <c r="Q191" s="259">
        <f t="shared" si="69"/>
        <v>17950.890000000014</v>
      </c>
    </row>
    <row r="192" spans="1:18" x14ac:dyDescent="0.25">
      <c r="A192" s="205">
        <v>43129</v>
      </c>
      <c r="B192" s="192">
        <v>-1269.5699999999961</v>
      </c>
      <c r="C192">
        <f>SUM($B$2:B192)</f>
        <v>53849.732000000018</v>
      </c>
      <c r="F192" s="210">
        <f t="shared" si="64"/>
        <v>43129</v>
      </c>
      <c r="G192" s="213">
        <f>SUMIFS(逐日资产统计!$I:$I,逐日资产统计!$A:$A,F192,逐日资产统计!$C:$C,"人民币")</f>
        <v>0</v>
      </c>
      <c r="H192" s="212">
        <f>SUMIF(逐日资产统计!$A:$A,汇总统计!$F192,逐日资产统计!$I:$I)-G192</f>
        <v>518650.68</v>
      </c>
      <c r="I192" s="207">
        <f t="shared" si="65"/>
        <v>518650.68</v>
      </c>
      <c r="J192" s="212">
        <f>SUMIF(逐日资产统计!$A:$A,汇总统计!$F192,逐日资产统计!$G:$G)</f>
        <v>30422.649999999998</v>
      </c>
      <c r="K192" s="223">
        <f t="shared" si="66"/>
        <v>488228.02999999997</v>
      </c>
      <c r="L192" s="222">
        <f t="shared" si="67"/>
        <v>0</v>
      </c>
      <c r="M192" s="219">
        <f t="shared" si="68"/>
        <v>6.2312378910321882E-2</v>
      </c>
      <c r="N192" s="221">
        <f>SUMIFS(逐日资产统计!M:M,逐日资产统计!A:A,汇总统计!F192,逐日资产统计!C:C,"人民币")</f>
        <v>0</v>
      </c>
      <c r="O192" s="221">
        <f>SUMIF(逐日资产统计!A:A,汇总统计!F192,逐日资产统计!M:M)-SUMIFS(逐日资产统计!M:M,逐日资产统计!A:A,汇总统计!F192,逐日资产统计!C:C,"人民币")</f>
        <v>0.98570936029622125</v>
      </c>
      <c r="P192" s="198">
        <v>502171.14</v>
      </c>
      <c r="Q192" s="259">
        <f t="shared" si="69"/>
        <v>16479.539999999979</v>
      </c>
    </row>
    <row r="193" spans="1:17" x14ac:dyDescent="0.25">
      <c r="A193" s="205">
        <v>43130</v>
      </c>
      <c r="B193" s="192">
        <v>-2850.2199999999975</v>
      </c>
      <c r="C193">
        <f>SUM($B$2:B193)</f>
        <v>50999.512000000017</v>
      </c>
      <c r="F193" s="210">
        <f t="shared" si="64"/>
        <v>43130</v>
      </c>
      <c r="G193" s="213">
        <f>SUMIFS(逐日资产统计!$I:$I,逐日资产统计!$A:$A,F193,逐日资产统计!$C:$C,"人民币")</f>
        <v>0</v>
      </c>
      <c r="H193" s="212">
        <f>SUMIF(逐日资产统计!$A:$A,汇总统计!$F193,逐日资产统计!$I:$I)-G193</f>
        <v>515800.45999999996</v>
      </c>
      <c r="I193" s="207">
        <f t="shared" si="65"/>
        <v>515800.45999999996</v>
      </c>
      <c r="J193" s="212">
        <f>SUMIF(逐日资产统计!$A:$A,汇总统计!$F193,逐日资产统计!$G:$G)</f>
        <v>27572.43</v>
      </c>
      <c r="K193" s="223">
        <f t="shared" si="66"/>
        <v>488228.02999999997</v>
      </c>
      <c r="L193" s="222">
        <f t="shared" si="67"/>
        <v>0</v>
      </c>
      <c r="M193" s="219">
        <f t="shared" si="68"/>
        <v>5.6474492052412478E-2</v>
      </c>
      <c r="N193" s="221">
        <f>SUMIFS(逐日资产统计!M:M,逐日资产统计!A:A,汇总统计!F193,逐日资产统计!C:C,"人民币")</f>
        <v>0</v>
      </c>
      <c r="O193" s="221">
        <f>SUMIF(逐日资产统计!A:A,汇总统计!F193,逐日资产统计!M:M)-SUMIFS(逐日资产统计!M:M,逐日资产统计!A:A,汇总统计!F193,逐日资产统计!C:C,"人民币")</f>
        <v>0.99122718890169215</v>
      </c>
      <c r="P193" s="198">
        <v>502238.4</v>
      </c>
      <c r="Q193" s="259">
        <f t="shared" si="69"/>
        <v>13562.059999999939</v>
      </c>
    </row>
    <row r="194" spans="1:17" x14ac:dyDescent="0.25">
      <c r="A194" s="205">
        <v>43131</v>
      </c>
      <c r="B194" s="192">
        <v>-10214.580000000002</v>
      </c>
      <c r="C194">
        <f>SUM($B$2:B194)</f>
        <v>40784.932000000015</v>
      </c>
      <c r="F194" s="210">
        <f t="shared" si="64"/>
        <v>43131</v>
      </c>
      <c r="G194" s="213">
        <f>SUMIFS(逐日资产统计!$I:$I,逐日资产统计!$A:$A,F194,逐日资产统计!$C:$C,"人民币")</f>
        <v>0</v>
      </c>
      <c r="H194" s="212">
        <f>SUMIF(逐日资产统计!$A:$A,汇总统计!$F194,逐日资产统计!$I:$I)-G194</f>
        <v>505585.88</v>
      </c>
      <c r="I194" s="207">
        <f t="shared" si="65"/>
        <v>505585.88</v>
      </c>
      <c r="J194" s="212">
        <f>SUMIF(逐日资产统计!$A:$A,汇总统计!$F194,逐日资产统计!$G:$G)</f>
        <v>17357.849999999999</v>
      </c>
      <c r="K194" s="223">
        <f t="shared" si="66"/>
        <v>488228.03</v>
      </c>
      <c r="L194" s="222">
        <f t="shared" si="67"/>
        <v>0</v>
      </c>
      <c r="M194" s="219">
        <f t="shared" si="68"/>
        <v>3.5552751856545391E-2</v>
      </c>
      <c r="N194" s="221">
        <f>SUMIFS(逐日资产统计!M:M,逐日资产统计!A:A,汇总统计!F194,逐日资产统计!C:C,"人民币")</f>
        <v>0</v>
      </c>
      <c r="O194" s="221">
        <f>SUMIF(逐日资产统计!A:A,汇总统计!F194,逐日资产统计!M:M)-SUMIFS(逐日资产统计!M:M,逐日资产统计!A:A,汇总统计!F194,逐日资产统计!C:C,"人民币")</f>
        <v>1.0112849868354705</v>
      </c>
      <c r="P194" s="198">
        <v>502305.66</v>
      </c>
      <c r="Q194" s="259">
        <f t="shared" si="69"/>
        <v>3280.2200000000303</v>
      </c>
    </row>
    <row r="195" spans="1:17" x14ac:dyDescent="0.25">
      <c r="A195" s="205">
        <v>43132</v>
      </c>
      <c r="B195" s="192">
        <v>-19906.840000000004</v>
      </c>
      <c r="C195">
        <f>SUM($B$2:B195)</f>
        <v>20878.092000000011</v>
      </c>
      <c r="F195" s="210">
        <f t="shared" si="64"/>
        <v>43132</v>
      </c>
      <c r="G195" s="213">
        <f>SUMIFS(逐日资产统计!$I:$I,逐日资产统计!$A:$A,F195,逐日资产统计!$C:$C,"人民币")</f>
        <v>0</v>
      </c>
      <c r="H195" s="212">
        <f>SUMIF(逐日资产统计!$A:$A,汇总统计!$F195,逐日资产统计!$I:$I)-G195</f>
        <v>485679.04000000004</v>
      </c>
      <c r="I195" s="207">
        <f t="shared" si="65"/>
        <v>485679.04000000004</v>
      </c>
      <c r="J195" s="212">
        <f>SUMIF(逐日资产统计!$A:$A,汇总统计!$F195,逐日资产统计!$G:$G)</f>
        <v>-2548.9900000000052</v>
      </c>
      <c r="K195" s="223">
        <f t="shared" si="66"/>
        <v>488228.03</v>
      </c>
      <c r="L195" s="222">
        <f t="shared" si="67"/>
        <v>0</v>
      </c>
      <c r="M195" s="219">
        <f t="shared" si="68"/>
        <v>-5.2209005697604156E-3</v>
      </c>
      <c r="N195" s="221">
        <f>SUMIFS(逐日资产统计!M:M,逐日资产统计!A:A,汇总统计!F195,逐日资产统计!C:C,"人民币")</f>
        <v>0</v>
      </c>
      <c r="O195" s="221">
        <f>SUMIF(逐日资产统计!A:A,汇总统计!F195,逐日资产统计!M:M)-SUMIFS(逐日资产统计!M:M,逐日资产统计!A:A,汇总统计!F195,逐日资产统计!C:C,"人民币")</f>
        <v>1.0527680379206812</v>
      </c>
      <c r="P195" s="198">
        <v>502372.92</v>
      </c>
      <c r="Q195" s="259">
        <f t="shared" si="69"/>
        <v>-16693.879999999946</v>
      </c>
    </row>
    <row r="196" spans="1:17" x14ac:dyDescent="0.25">
      <c r="A196" s="205">
        <v>43135</v>
      </c>
      <c r="B196" s="192">
        <v>-8869.9599999999991</v>
      </c>
      <c r="C196">
        <f>SUM($B$2:B196)</f>
        <v>12008.132000000012</v>
      </c>
      <c r="F196" s="210">
        <f t="shared" si="64"/>
        <v>43135</v>
      </c>
      <c r="G196" s="213">
        <f>SUMIFS(逐日资产统计!$I:$I,逐日资产统计!$A:$A,F196,逐日资产统计!$C:$C,"人民币")</f>
        <v>0</v>
      </c>
      <c r="H196" s="212">
        <f>SUMIF(逐日资产统计!$A:$A,汇总统计!$F196,逐日资产统计!$I:$I)-G196</f>
        <v>476809.07999999996</v>
      </c>
      <c r="I196" s="207">
        <f t="shared" si="65"/>
        <v>476809.07999999996</v>
      </c>
      <c r="J196" s="212">
        <f>SUMIF(逐日资产统计!$A:$A,汇总统计!$F196,逐日资产统计!$G:$G)</f>
        <v>-11418.950000000004</v>
      </c>
      <c r="K196" s="223">
        <f t="shared" si="66"/>
        <v>488228.02999999997</v>
      </c>
      <c r="L196" s="222">
        <f t="shared" si="67"/>
        <v>0</v>
      </c>
      <c r="M196" s="219">
        <f t="shared" si="68"/>
        <v>-2.3388558825678248E-2</v>
      </c>
      <c r="N196" s="221">
        <f>SUMIFS(逐日资产统计!M:M,逐日资产统计!A:A,汇总统计!F196,逐日资产统计!C:C,"人民币")</f>
        <v>0</v>
      </c>
      <c r="O196" s="221">
        <f>SUMIF(逐日资产统计!A:A,汇总统计!F196,逐日资产统计!M:M)-SUMIFS(逐日资产统计!M:M,逐日资产统计!A:A,汇总统计!F196,逐日资产统计!C:C,"人民币")</f>
        <v>1.0724029206826358</v>
      </c>
      <c r="P196" s="198">
        <v>502574.7</v>
      </c>
      <c r="Q196" s="259">
        <f t="shared" si="69"/>
        <v>-25765.620000000054</v>
      </c>
    </row>
    <row r="197" spans="1:17" x14ac:dyDescent="0.25">
      <c r="A197" s="205">
        <v>43136</v>
      </c>
      <c r="B197" s="192">
        <v>3036.1499999999978</v>
      </c>
      <c r="C197">
        <f>SUM($B$2:B197)</f>
        <v>15044.28200000001</v>
      </c>
      <c r="F197" s="210">
        <f t="shared" si="64"/>
        <v>43136</v>
      </c>
      <c r="G197" s="213">
        <f>SUMIFS(逐日资产统计!$I:$I,逐日资产统计!$A:$A,F197,逐日资产统计!$C:$C,"人民币")</f>
        <v>0</v>
      </c>
      <c r="H197" s="212">
        <f>SUMIF(逐日资产统计!$A:$A,汇总统计!$F197,逐日资产统计!$I:$I)-G197</f>
        <v>479845.23</v>
      </c>
      <c r="I197" s="207">
        <f t="shared" si="65"/>
        <v>479845.23</v>
      </c>
      <c r="J197" s="212">
        <f>SUMIF(逐日资产统计!$A:$A,汇总统计!$F197,逐日资产统计!$G:$G)</f>
        <v>-8382.8000000000065</v>
      </c>
      <c r="K197" s="223">
        <f t="shared" si="66"/>
        <v>488228.02999999997</v>
      </c>
      <c r="L197" s="222">
        <f t="shared" si="67"/>
        <v>0</v>
      </c>
      <c r="M197" s="219">
        <f t="shared" si="68"/>
        <v>-1.7169845819790409E-2</v>
      </c>
      <c r="N197" s="221">
        <f>SUMIFS(逐日资产统计!M:M,逐日资产统计!A:A,汇总统计!F197,逐日资产统计!C:C,"人民币")</f>
        <v>0</v>
      </c>
      <c r="O197" s="221">
        <f>SUMIF(逐日资产统计!A:A,汇总统计!F197,逐日资产统计!M:M)-SUMIFS(逐日资产统计!M:M,逐日资产统计!A:A,汇总统计!F197,逐日资产统计!C:C,"人民币")</f>
        <v>1.0656174491929409</v>
      </c>
      <c r="P197" s="198">
        <v>502641.96</v>
      </c>
      <c r="Q197" s="259">
        <f t="shared" si="69"/>
        <v>-22796.73000000004</v>
      </c>
    </row>
    <row r="198" spans="1:17" x14ac:dyDescent="0.25">
      <c r="A198" s="205">
        <v>43137</v>
      </c>
      <c r="B198" s="192">
        <v>-14420.679999999989</v>
      </c>
      <c r="C198">
        <f>SUM($B$2:B198)</f>
        <v>623.60200000002078</v>
      </c>
      <c r="F198" s="210">
        <f t="shared" ref="F198:F228" si="70">A198</f>
        <v>43137</v>
      </c>
      <c r="G198" s="213">
        <f>SUMIFS(逐日资产统计!$I:$I,逐日资产统计!$A:$A,F198,逐日资产统计!$C:$C,"人民币")</f>
        <v>0</v>
      </c>
      <c r="H198" s="212">
        <f>SUMIF(逐日资产统计!$A:$A,汇总统计!$F198,逐日资产统计!$I:$I)-G198</f>
        <v>465424.55</v>
      </c>
      <c r="I198" s="207">
        <f t="shared" ref="I198:I228" si="71">G198+H198</f>
        <v>465424.55</v>
      </c>
      <c r="J198" s="212">
        <f>SUMIF(逐日资产统计!$A:$A,汇总统计!$F198,逐日资产统计!$G:$G)</f>
        <v>-22803.479999999996</v>
      </c>
      <c r="K198" s="223">
        <f t="shared" ref="K198:K228" si="72">I198-J198</f>
        <v>488228.02999999997</v>
      </c>
      <c r="L198" s="222">
        <f t="shared" ref="L198:L228" si="73">K198-K197</f>
        <v>0</v>
      </c>
      <c r="M198" s="219">
        <f t="shared" ref="M198:M228" si="74">J198/K198</f>
        <v>-4.6706617807256982E-2</v>
      </c>
      <c r="N198" s="221">
        <f>SUMIFS(逐日资产统计!M:M,逐日资产统计!A:A,汇总统计!F198,逐日资产统计!C:C,"人民币")</f>
        <v>0</v>
      </c>
      <c r="O198" s="221">
        <f>SUMIF(逐日资产统计!A:A,汇总统计!F198,逐日资产统计!M:M)-SUMIFS(逐日资产统计!M:M,逐日资产统计!A:A,汇总统计!F198,逐日资产统计!C:C,"人民币")</f>
        <v>1.0986816015614118</v>
      </c>
      <c r="P198" s="198">
        <v>502709.22</v>
      </c>
      <c r="Q198" s="259">
        <f t="shared" ref="Q198:Q228" si="75">I198-P198</f>
        <v>-37284.669999999984</v>
      </c>
    </row>
    <row r="199" spans="1:17" x14ac:dyDescent="0.25">
      <c r="A199" s="205">
        <v>43138</v>
      </c>
      <c r="B199" s="192">
        <v>-1432.6800000000076</v>
      </c>
      <c r="C199">
        <f>SUM($B$2:B199)</f>
        <v>-809.07799999998679</v>
      </c>
      <c r="F199" s="210">
        <f t="shared" si="70"/>
        <v>43138</v>
      </c>
      <c r="G199" s="213">
        <f>SUMIFS(逐日资产统计!$I:$I,逐日资产统计!$A:$A,F199,逐日资产统计!$C:$C,"人民币")</f>
        <v>0</v>
      </c>
      <c r="H199" s="212">
        <f>SUMIF(逐日资产统计!$A:$A,汇总统计!$F199,逐日资产统计!$I:$I)-G199</f>
        <v>463991.87</v>
      </c>
      <c r="I199" s="207">
        <f t="shared" si="71"/>
        <v>463991.87</v>
      </c>
      <c r="J199" s="212">
        <f>SUMIF(逐日资产统计!$A:$A,汇总统计!$F199,逐日资产统计!$G:$G)</f>
        <v>-24236.160000000003</v>
      </c>
      <c r="K199" s="223">
        <f t="shared" si="72"/>
        <v>488228.03</v>
      </c>
      <c r="L199" s="222">
        <f t="shared" si="73"/>
        <v>0</v>
      </c>
      <c r="M199" s="219">
        <f t="shared" si="74"/>
        <v>-4.9641066286177794E-2</v>
      </c>
      <c r="N199" s="221">
        <f>SUMIFS(逐日资产统计!M:M,逐日资产统计!A:A,汇总统计!F199,逐日资产统计!C:C,"人民币")</f>
        <v>0</v>
      </c>
      <c r="O199" s="221">
        <f>SUMIF(逐日资产统计!A:A,汇总统计!F199,逐日资产统计!M:M)-SUMIFS(逐日资产统计!M:M,逐日资产统计!A:A,汇总统计!F199,逐日资产统计!C:C,"人民币")</f>
        <v>1.1020899137737055</v>
      </c>
      <c r="P199" s="198">
        <v>502776.48</v>
      </c>
      <c r="Q199" s="259">
        <f t="shared" si="75"/>
        <v>-38784.609999999986</v>
      </c>
    </row>
    <row r="200" spans="1:17" x14ac:dyDescent="0.25">
      <c r="A200" s="205">
        <v>43139</v>
      </c>
      <c r="B200" s="192">
        <v>4796.6000000000058</v>
      </c>
      <c r="C200">
        <f>SUM($B$2:B200)</f>
        <v>3987.522000000019</v>
      </c>
      <c r="F200" s="210">
        <f t="shared" si="70"/>
        <v>43139</v>
      </c>
      <c r="G200" s="213">
        <f>SUMIFS(逐日资产统计!$I:$I,逐日资产统计!$A:$A,F200,逐日资产统计!$C:$C,"人民币")</f>
        <v>0</v>
      </c>
      <c r="H200" s="212">
        <f>SUMIF(逐日资产统计!$A:$A,汇总统计!$F200,逐日资产统计!$I:$I)-G200</f>
        <v>468788.47</v>
      </c>
      <c r="I200" s="207">
        <f t="shared" si="71"/>
        <v>468788.47</v>
      </c>
      <c r="J200" s="212">
        <f>SUMIF(逐日资产统计!$A:$A,汇总统计!$F200,逐日资产统计!$G:$G)</f>
        <v>-19439.559999999998</v>
      </c>
      <c r="K200" s="223">
        <f t="shared" si="72"/>
        <v>488228.02999999997</v>
      </c>
      <c r="L200" s="222">
        <f t="shared" si="73"/>
        <v>0</v>
      </c>
      <c r="M200" s="219">
        <f t="shared" si="74"/>
        <v>-3.9816558668292763E-2</v>
      </c>
      <c r="N200" s="221">
        <f>SUMIFS(逐日资产统计!M:M,逐日资产统计!A:A,汇总统计!F200,逐日资产统计!C:C,"人民币")</f>
        <v>0</v>
      </c>
      <c r="O200" s="221">
        <f>SUMIF(逐日资产统计!A:A,汇总统计!F200,逐日资产统计!M:M)-SUMIFS(逐日资产统计!M:M,逐日资产统计!A:A,汇总统计!F200,逐日资产统计!C:C,"人民币")</f>
        <v>1.0908232022003443</v>
      </c>
      <c r="P200" s="198">
        <v>502843.74</v>
      </c>
      <c r="Q200" s="259">
        <f t="shared" si="75"/>
        <v>-34055.270000000019</v>
      </c>
    </row>
    <row r="201" spans="1:17" x14ac:dyDescent="0.25">
      <c r="A201" s="205">
        <v>43142</v>
      </c>
      <c r="B201" s="192">
        <v>-2603.0699999999997</v>
      </c>
      <c r="C201">
        <f>SUM($B$2:B201)</f>
        <v>1384.4520000000193</v>
      </c>
      <c r="F201" s="210">
        <f t="shared" si="70"/>
        <v>43142</v>
      </c>
      <c r="G201" s="213">
        <f>SUMIFS(逐日资产统计!$I:$I,逐日资产统计!$A:$A,F201,逐日资产统计!$C:$C,"人民币")</f>
        <v>0</v>
      </c>
      <c r="H201" s="212">
        <f>SUMIF(逐日资产统计!$A:$A,汇总统计!$F201,逐日资产统计!$I:$I)-G201</f>
        <v>466185.4</v>
      </c>
      <c r="I201" s="207">
        <f t="shared" si="71"/>
        <v>466185.4</v>
      </c>
      <c r="J201" s="212">
        <f>SUMIF(逐日资产统计!$A:$A,汇总统计!$F201,逐日资产统计!$G:$G)</f>
        <v>-22042.629999999997</v>
      </c>
      <c r="K201" s="223">
        <f t="shared" si="72"/>
        <v>488228.03</v>
      </c>
      <c r="L201" s="222">
        <f t="shared" si="73"/>
        <v>0</v>
      </c>
      <c r="M201" s="219">
        <f t="shared" si="74"/>
        <v>-4.514822715115311E-2</v>
      </c>
      <c r="N201" s="221">
        <f>SUMIFS(逐日资产统计!M:M,逐日资产统计!A:A,汇总统计!F201,逐日资产统计!C:C,"人民币")</f>
        <v>0</v>
      </c>
      <c r="O201" s="221">
        <f>SUMIF(逐日资产统计!A:A,汇总统计!F201,逐日资产统计!M:M)-SUMIFS(逐日资产统计!M:M,逐日资产统计!A:A,汇总统计!F201,逐日资产统计!C:C,"人民币")</f>
        <v>1.0969396081473164</v>
      </c>
      <c r="P201" s="198">
        <v>502911</v>
      </c>
      <c r="Q201" s="259">
        <f t="shared" si="75"/>
        <v>-36725.599999999977</v>
      </c>
    </row>
    <row r="202" spans="1:17" x14ac:dyDescent="0.25">
      <c r="A202" s="205">
        <v>43143</v>
      </c>
      <c r="B202" s="192">
        <v>-4549.4500000000044</v>
      </c>
      <c r="C202">
        <f>SUM($B$2:B202)</f>
        <v>-3164.997999999985</v>
      </c>
      <c r="F202" s="210">
        <f t="shared" si="70"/>
        <v>43143</v>
      </c>
      <c r="G202" s="213">
        <f>SUMIFS(逐日资产统计!$I:$I,逐日资产统计!$A:$A,F202,逐日资产统计!$C:$C,"人民币")</f>
        <v>0</v>
      </c>
      <c r="H202" s="212">
        <f>SUMIF(逐日资产统计!$A:$A,汇总统计!$F202,逐日资产统计!$I:$I)-G202</f>
        <v>461635.95</v>
      </c>
      <c r="I202" s="207">
        <f t="shared" si="71"/>
        <v>461635.95</v>
      </c>
      <c r="J202" s="212">
        <f>SUMIF(逐日资产统计!$A:$A,汇总统计!$F202,逐日资产统计!$G:$G)</f>
        <v>-26592.080000000002</v>
      </c>
      <c r="K202" s="223">
        <f t="shared" si="72"/>
        <v>488228.03</v>
      </c>
      <c r="L202" s="222">
        <f t="shared" si="73"/>
        <v>0</v>
      </c>
      <c r="M202" s="219">
        <f t="shared" si="74"/>
        <v>-5.4466516393989098E-2</v>
      </c>
      <c r="N202" s="221">
        <f>SUMIFS(逐日资产统计!M:M,逐日资产统计!A:A,汇总统计!F202,逐日资产统计!C:C,"人民币")</f>
        <v>0</v>
      </c>
      <c r="O202" s="221">
        <f>SUMIF(逐日资产统计!A:A,汇总统计!F202,逐日资产统计!M:M)-SUMIFS(逐日资产统计!M:M,逐日资产统计!A:A,汇总统计!F202,逐日资产统计!C:C,"人民币")</f>
        <v>1.1077500138366609</v>
      </c>
      <c r="P202" s="198">
        <v>503112.78</v>
      </c>
      <c r="Q202" s="259">
        <f t="shared" si="75"/>
        <v>-41476.830000000016</v>
      </c>
    </row>
    <row r="203" spans="1:17" x14ac:dyDescent="0.25">
      <c r="A203" s="205">
        <v>43144</v>
      </c>
      <c r="B203" s="192">
        <v>2848.9100000000035</v>
      </c>
      <c r="C203">
        <f>SUM($B$2:B203)</f>
        <v>-316.08799999998155</v>
      </c>
      <c r="F203" s="210">
        <f t="shared" si="70"/>
        <v>43144</v>
      </c>
      <c r="G203" s="213">
        <f>SUMIFS(逐日资产统计!$I:$I,逐日资产统计!$A:$A,F203,逐日资产统计!$C:$C,"人民币")</f>
        <v>0</v>
      </c>
      <c r="H203" s="212">
        <f>SUMIF(逐日资产统计!$A:$A,汇总统计!$F203,逐日资产统计!$I:$I)-G203</f>
        <v>464484.86000000004</v>
      </c>
      <c r="I203" s="207">
        <f t="shared" si="71"/>
        <v>464484.86000000004</v>
      </c>
      <c r="J203" s="212">
        <f>SUMIF(逐日资产统计!$A:$A,汇总统计!$F203,逐日资产统计!$G:$G)</f>
        <v>-23743.17</v>
      </c>
      <c r="K203" s="223">
        <f t="shared" si="72"/>
        <v>488228.03</v>
      </c>
      <c r="L203" s="222">
        <f t="shared" si="73"/>
        <v>0</v>
      </c>
      <c r="M203" s="219">
        <f t="shared" si="74"/>
        <v>-4.8631312708530883E-2</v>
      </c>
      <c r="N203" s="221">
        <f>SUMIFS(逐日资产统计!M:M,逐日资产统计!A:A,汇总统计!F203,逐日资产统计!C:C,"人民币")</f>
        <v>0</v>
      </c>
      <c r="O203" s="221">
        <f>SUMIF(逐日资产统计!A:A,汇总统计!F203,逐日资产统计!M:M)-SUMIFS(逐日资产统计!M:M,逐日资产统计!A:A,汇总统计!F203,逐日资产统计!C:C,"人民币")</f>
        <v>1.1009704600490089</v>
      </c>
      <c r="P203" s="198">
        <v>503180.04</v>
      </c>
      <c r="Q203" s="259">
        <f t="shared" si="75"/>
        <v>-38695.179999999935</v>
      </c>
    </row>
    <row r="204" spans="1:17" x14ac:dyDescent="0.25">
      <c r="A204" s="205">
        <v>43145</v>
      </c>
      <c r="B204" s="192">
        <v>1917.8399999999965</v>
      </c>
      <c r="C204">
        <f>SUM($B$2:B204)</f>
        <v>1601.752000000015</v>
      </c>
      <c r="F204" s="210">
        <f t="shared" si="70"/>
        <v>43145</v>
      </c>
      <c r="G204" s="213">
        <f>SUMIFS(逐日资产统计!$I:$I,逐日资产统计!$A:$A,F204,逐日资产统计!$C:$C,"人民币")</f>
        <v>0</v>
      </c>
      <c r="H204" s="212">
        <f>SUMIF(逐日资产统计!$A:$A,汇总统计!$F204,逐日资产统计!$I:$I)-G204</f>
        <v>466402.7</v>
      </c>
      <c r="I204" s="207">
        <f t="shared" si="71"/>
        <v>466402.7</v>
      </c>
      <c r="J204" s="212">
        <f>SUMIF(逐日资产统计!$A:$A,汇总统计!$F204,逐日资产统计!$G:$G)</f>
        <v>-21825.33</v>
      </c>
      <c r="K204" s="223">
        <f t="shared" si="72"/>
        <v>488228.03</v>
      </c>
      <c r="L204" s="222">
        <f t="shared" si="73"/>
        <v>0</v>
      </c>
      <c r="M204" s="219">
        <f t="shared" si="74"/>
        <v>-4.4703148239973033E-2</v>
      </c>
      <c r="N204" s="221">
        <f>SUMIFS(逐日资产统计!M:M,逐日资产统计!A:A,汇总统计!F204,逐日资产统计!C:C,"人民币")</f>
        <v>0</v>
      </c>
      <c r="O204" s="221">
        <f>SUMIF(逐日资产统计!A:A,汇总统计!F204,逐日资产统计!M:M)-SUMIFS(逐日资产统计!M:M,逐日资产统计!A:A,汇总统计!F204,逐日资产统计!C:C,"人民币")</f>
        <v>1.0964611697144995</v>
      </c>
      <c r="P204" s="198">
        <v>503247.3</v>
      </c>
      <c r="Q204" s="259">
        <f t="shared" si="75"/>
        <v>-36844.599999999977</v>
      </c>
    </row>
    <row r="205" spans="1:17" x14ac:dyDescent="0.25">
      <c r="A205" s="205">
        <v>43153</v>
      </c>
      <c r="B205" s="192">
        <v>4342.4300000000076</v>
      </c>
      <c r="C205">
        <f>SUM($B$2:B205)</f>
        <v>5944.1820000000225</v>
      </c>
      <c r="F205" s="210">
        <f t="shared" si="70"/>
        <v>43153</v>
      </c>
      <c r="G205" s="213">
        <f>SUMIFS(逐日资产统计!$I:$I,逐日资产统计!$A:$A,F205,逐日资产统计!$C:$C,"人民币")</f>
        <v>0</v>
      </c>
      <c r="H205" s="212">
        <f>SUMIF(逐日资产统计!$A:$A,汇总统计!$F205,逐日资产统计!$I:$I)-G205</f>
        <v>470745.13</v>
      </c>
      <c r="I205" s="207">
        <f t="shared" si="71"/>
        <v>470745.13</v>
      </c>
      <c r="J205" s="212">
        <f>SUMIF(逐日资产统计!$A:$A,汇总统计!$F205,逐日资产统计!$G:$G)</f>
        <v>-17482.899999999994</v>
      </c>
      <c r="K205" s="223">
        <f t="shared" si="72"/>
        <v>488228.03</v>
      </c>
      <c r="L205" s="222">
        <f t="shared" si="73"/>
        <v>0</v>
      </c>
      <c r="M205" s="219">
        <f t="shared" si="74"/>
        <v>-3.5808882173356565E-2</v>
      </c>
      <c r="N205" s="221">
        <f>SUMIFS(逐日资产统计!M:M,逐日资产统计!A:A,汇总统计!F205,逐日资产统计!C:C,"人民币")</f>
        <v>0</v>
      </c>
      <c r="O205" s="221">
        <f>SUMIF(逐日资产统计!A:A,汇总统计!F205,逐日资产统计!M:M)-SUMIFS(逐日资产统计!M:M,逐日资产统计!A:A,汇总统计!F205,逐日资产统计!C:C,"人民币")</f>
        <v>1.086346766879988</v>
      </c>
      <c r="P205" s="198">
        <v>503785.38</v>
      </c>
      <c r="Q205" s="259">
        <f t="shared" si="75"/>
        <v>-33040.25</v>
      </c>
    </row>
    <row r="206" spans="1:17" x14ac:dyDescent="0.25">
      <c r="A206" s="205">
        <v>43154</v>
      </c>
      <c r="B206" s="192">
        <v>1645.2699999999932</v>
      </c>
      <c r="C206">
        <f>SUM($B$2:B206)</f>
        <v>7589.4520000000157</v>
      </c>
      <c r="F206" s="210">
        <f t="shared" si="70"/>
        <v>43154</v>
      </c>
      <c r="G206" s="213">
        <f>SUMIFS(逐日资产统计!$I:$I,逐日资产统计!$A:$A,F206,逐日资产统计!$C:$C,"人民币")</f>
        <v>0</v>
      </c>
      <c r="H206" s="212">
        <f>SUMIF(逐日资产统计!$A:$A,汇总统计!$F206,逐日资产统计!$I:$I)-G206</f>
        <v>472390.40000000002</v>
      </c>
      <c r="I206" s="207">
        <f t="shared" si="71"/>
        <v>472390.40000000002</v>
      </c>
      <c r="J206" s="212">
        <f>SUMIF(逐日资产统计!$A:$A,汇总统计!$F206,逐日资产统计!$G:$G)</f>
        <v>-15837.630000000001</v>
      </c>
      <c r="K206" s="223">
        <f t="shared" si="72"/>
        <v>488228.03</v>
      </c>
      <c r="L206" s="222">
        <f t="shared" si="73"/>
        <v>0</v>
      </c>
      <c r="M206" s="219">
        <f t="shared" si="74"/>
        <v>-3.2439001914740535E-2</v>
      </c>
      <c r="N206" s="221">
        <f>SUMIFS(逐日资产统计!M:M,逐日资产统计!A:A,汇总统计!F206,逐日资产统计!C:C,"人民币")</f>
        <v>0</v>
      </c>
      <c r="O206" s="221">
        <f>SUMIF(逐日资产统计!A:A,汇总统计!F206,逐日资产统计!M:M)-SUMIFS(逐日资产统计!M:M,逐日资产统计!A:A,汇总统计!F206,逐日资产统计!C:C,"人民币")</f>
        <v>1.0826461757055179</v>
      </c>
      <c r="P206" s="198">
        <v>503852.64</v>
      </c>
      <c r="Q206" s="259">
        <f t="shared" si="75"/>
        <v>-31462.239999999991</v>
      </c>
    </row>
    <row r="207" spans="1:17" x14ac:dyDescent="0.25">
      <c r="A207" s="205">
        <v>43157</v>
      </c>
      <c r="B207" s="192">
        <v>4831.989999999998</v>
      </c>
      <c r="C207">
        <f>SUM($B$2:B207)</f>
        <v>12421.442000000014</v>
      </c>
      <c r="F207" s="210">
        <f t="shared" si="70"/>
        <v>43157</v>
      </c>
      <c r="G207" s="213">
        <f>SUMIFS(逐日资产统计!$I:$I,逐日资产统计!$A:$A,F207,逐日资产统计!$C:$C,"人民币")</f>
        <v>0</v>
      </c>
      <c r="H207" s="212">
        <f>SUMIF(逐日资产统计!$A:$A,汇总统计!$F207,逐日资产统计!$I:$I)-G207</f>
        <v>477222.38000000006</v>
      </c>
      <c r="I207" s="207">
        <f t="shared" si="71"/>
        <v>477222.38000000006</v>
      </c>
      <c r="J207" s="212">
        <f>SUMIF(逐日资产统计!$A:$A,汇总统计!$F207,逐日资产统计!$G:$G)</f>
        <v>-11005.640000000003</v>
      </c>
      <c r="K207" s="223">
        <f t="shared" si="72"/>
        <v>488228.02000000008</v>
      </c>
      <c r="L207" s="222">
        <f t="shared" si="73"/>
        <v>-9.9999999511055648E-3</v>
      </c>
      <c r="M207" s="219">
        <f t="shared" si="74"/>
        <v>-2.2542008137918838E-2</v>
      </c>
      <c r="N207" s="221">
        <f>SUMIFS(逐日资产统计!M:M,逐日资产统计!A:A,汇总统计!F207,逐日资产统计!C:C,"人民币")</f>
        <v>0</v>
      </c>
      <c r="O207" s="221">
        <f>SUMIF(逐日资产统计!A:A,汇总统计!F207,逐日资产统计!M:M)-SUMIFS(逐日资产统计!M:M,逐日资产统计!A:A,汇总统计!F207,逐日资产统计!C:C,"人民币")</f>
        <v>1.0740368463021364</v>
      </c>
      <c r="P207" s="198">
        <v>504054.42</v>
      </c>
      <c r="Q207" s="259">
        <f t="shared" si="75"/>
        <v>-26832.039999999921</v>
      </c>
    </row>
    <row r="208" spans="1:17" x14ac:dyDescent="0.25">
      <c r="A208" s="205">
        <v>43158</v>
      </c>
      <c r="B208" s="192">
        <v>-434.16999999999825</v>
      </c>
      <c r="C208">
        <f>SUM($B$2:B208)</f>
        <v>11987.272000000015</v>
      </c>
      <c r="F208" s="210">
        <f t="shared" si="70"/>
        <v>43158</v>
      </c>
      <c r="G208" s="213">
        <f>SUMIFS(逐日资产统计!$I:$I,逐日资产统计!$A:$A,F208,逐日资产统计!$C:$C,"人民币")</f>
        <v>0</v>
      </c>
      <c r="H208" s="212">
        <f>SUMIF(逐日资产统计!$A:$A,汇总统计!$F208,逐日资产统计!$I:$I)-G208</f>
        <v>476788.22000000003</v>
      </c>
      <c r="I208" s="207">
        <f t="shared" si="71"/>
        <v>476788.22000000003</v>
      </c>
      <c r="J208" s="212">
        <f>SUMIF(逐日资产统计!$A:$A,汇总统计!$F208,逐日资产统计!$G:$G)</f>
        <v>-11439.810000000001</v>
      </c>
      <c r="K208" s="223">
        <f t="shared" si="72"/>
        <v>488228.03</v>
      </c>
      <c r="L208" s="222">
        <f t="shared" si="73"/>
        <v>9.9999999511055648E-3</v>
      </c>
      <c r="M208" s="219">
        <f t="shared" si="74"/>
        <v>-2.3431284762572932E-2</v>
      </c>
      <c r="N208" s="221">
        <f>SUMIFS(逐日资产统计!M:M,逐日资产统计!A:A,汇总统计!F208,逐日资产统计!C:C,"人民币")</f>
        <v>0</v>
      </c>
      <c r="O208" s="221">
        <f>SUMIF(逐日资产统计!A:A,汇总统计!F208,逐日资产统计!M:M)-SUMIFS(逐日资产统计!M:M,逐日资产统计!A:A,汇总统计!F208,逐日资产统计!C:C,"人民币")</f>
        <v>1.0760684901149613</v>
      </c>
      <c r="P208" s="198">
        <v>504121.68</v>
      </c>
      <c r="Q208" s="259">
        <f t="shared" si="75"/>
        <v>-27333.459999999963</v>
      </c>
    </row>
    <row r="209" spans="1:18" x14ac:dyDescent="0.25">
      <c r="A209" s="205">
        <v>43159</v>
      </c>
      <c r="B209" s="192">
        <v>-1611.8999999999978</v>
      </c>
      <c r="C209">
        <f>SUM($B$2:B209)</f>
        <v>10375.372000000018</v>
      </c>
      <c r="F209" s="210">
        <f t="shared" si="70"/>
        <v>43159</v>
      </c>
      <c r="G209" s="213">
        <f>SUMIFS(逐日资产统计!$I:$I,逐日资产统计!$A:$A,F209,逐日资产统计!$C:$C,"人民币")</f>
        <v>0</v>
      </c>
      <c r="H209" s="212">
        <f>SUMIF(逐日资产统计!$A:$A,汇总统计!$F209,逐日资产统计!$I:$I)-G209</f>
        <v>475176.27999999997</v>
      </c>
      <c r="I209" s="207">
        <f t="shared" si="71"/>
        <v>475176.27999999997</v>
      </c>
      <c r="J209" s="212">
        <f>SUMIF(逐日资产统计!$A:$A,汇总统计!$F209,逐日资产统计!$G:$G)</f>
        <v>-13051.71</v>
      </c>
      <c r="K209" s="223">
        <f t="shared" si="72"/>
        <v>488227.99</v>
      </c>
      <c r="L209" s="222">
        <f t="shared" si="73"/>
        <v>-4.0000000037252903E-2</v>
      </c>
      <c r="M209" s="219">
        <f t="shared" si="74"/>
        <v>-2.6732818001688103E-2</v>
      </c>
      <c r="N209" s="221">
        <f>SUMIFS(逐日资产统计!M:M,逐日资产统计!A:A,汇总统计!F209,逐日资产统计!C:C,"人民币")</f>
        <v>0</v>
      </c>
      <c r="O209" s="221">
        <f>SUMIF(逐日资产统计!A:A,汇总统计!F209,逐日资产统计!M:M)-SUMIFS(逐日资产统计!M:M,逐日资产统计!A:A,汇总统计!F209,逐日资产统计!C:C,"人民币")</f>
        <v>1.0761370496018869</v>
      </c>
      <c r="P209" s="198">
        <v>504188.94</v>
      </c>
      <c r="Q209" s="259">
        <f t="shared" si="75"/>
        <v>-29012.660000000033</v>
      </c>
    </row>
    <row r="210" spans="1:18" x14ac:dyDescent="0.25">
      <c r="A210" s="205">
        <v>43160</v>
      </c>
      <c r="B210" s="192">
        <v>5641.41</v>
      </c>
      <c r="C210">
        <f>SUM($B$2:B210)</f>
        <v>16016.782000000017</v>
      </c>
      <c r="F210" s="210">
        <f t="shared" si="70"/>
        <v>43160</v>
      </c>
      <c r="G210" s="213">
        <f>SUMIFS(逐日资产统计!$I:$I,逐日资产统计!$A:$A,F210,逐日资产统计!$C:$C,"人民币")</f>
        <v>0</v>
      </c>
      <c r="H210" s="212">
        <f>SUMIF(逐日资产统计!$A:$A,汇总统计!$F210,逐日资产统计!$I:$I)-G210</f>
        <v>480817.69</v>
      </c>
      <c r="I210" s="207">
        <f t="shared" si="71"/>
        <v>480817.69</v>
      </c>
      <c r="J210" s="212">
        <f>SUMIF(逐日资产统计!$A:$A,汇总统计!$F210,逐日资产统计!$G:$G)</f>
        <v>-7410.2999999999993</v>
      </c>
      <c r="K210" s="223">
        <f t="shared" si="72"/>
        <v>488227.99</v>
      </c>
      <c r="L210" s="222">
        <f t="shared" si="73"/>
        <v>0</v>
      </c>
      <c r="M210" s="219">
        <f t="shared" si="74"/>
        <v>-1.5177949957354964E-2</v>
      </c>
      <c r="N210" s="221">
        <f>SUMIFS(逐日资产统计!M:M,逐日资产统计!A:A,汇总统计!F210,逐日资产统计!C:C,"人民币")</f>
        <v>0</v>
      </c>
      <c r="O210" s="221">
        <f>SUMIF(逐日资产统计!A:A,汇总统计!F210,逐日资产统计!M:M)-SUMIFS(逐日资产统计!M:M,逐日资产统计!A:A,汇总统计!F210,逐日资产统计!C:C,"人民币")</f>
        <v>1.0635261984641213</v>
      </c>
      <c r="P210" s="198">
        <v>504256.2</v>
      </c>
      <c r="Q210" s="259">
        <f t="shared" si="75"/>
        <v>-23438.510000000009</v>
      </c>
    </row>
    <row r="211" spans="1:18" x14ac:dyDescent="0.25">
      <c r="A211" s="205">
        <v>43161</v>
      </c>
      <c r="B211" s="192">
        <v>572.36000000000058</v>
      </c>
      <c r="C211">
        <f>SUM($B$2:B211)</f>
        <v>16589.142000000018</v>
      </c>
      <c r="F211" s="210">
        <f t="shared" si="70"/>
        <v>43161</v>
      </c>
      <c r="G211" s="213">
        <f>SUMIFS(逐日资产统计!$I:$I,逐日资产统计!$A:$A,F211,逐日资产统计!$C:$C,"人民币")</f>
        <v>0</v>
      </c>
      <c r="H211" s="212">
        <f>SUMIF(逐日资产统计!$A:$A,汇总统计!$F211,逐日资产统计!$I:$I)-G211</f>
        <v>481390.05</v>
      </c>
      <c r="I211" s="207">
        <f t="shared" si="71"/>
        <v>481390.05</v>
      </c>
      <c r="J211" s="212">
        <f>SUMIF(逐日资产统计!$A:$A,汇总统计!$F211,逐日资产统计!$G:$G)</f>
        <v>-6837.9399999999987</v>
      </c>
      <c r="K211" s="223">
        <f t="shared" si="72"/>
        <v>488227.99</v>
      </c>
      <c r="L211" s="222">
        <f t="shared" si="73"/>
        <v>0</v>
      </c>
      <c r="M211" s="219">
        <f t="shared" si="74"/>
        <v>-1.4005628804690199E-2</v>
      </c>
      <c r="N211" s="221">
        <f>SUMIFS(逐日资产统计!M:M,逐日资产统计!A:A,汇总统计!F211,逐日资产统计!C:C,"人民币")</f>
        <v>0</v>
      </c>
      <c r="O211" s="221">
        <f>SUMIF(逐日资产统计!A:A,汇总统计!F211,逐日资产统计!M:M)-SUMIFS(逐日资产统计!M:M,逐日资产统计!A:A,汇总统计!F211,逐日资产统计!C:C,"人民币")</f>
        <v>1.0622759444238616</v>
      </c>
      <c r="P211" s="198">
        <v>504323.46</v>
      </c>
      <c r="Q211" s="259">
        <f t="shared" si="75"/>
        <v>-22933.410000000033</v>
      </c>
    </row>
    <row r="212" spans="1:18" x14ac:dyDescent="0.25">
      <c r="A212" s="205">
        <v>43164</v>
      </c>
      <c r="B212" s="192">
        <v>3046.4599999999991</v>
      </c>
      <c r="C212">
        <f>SUM($B$2:B212)</f>
        <v>19635.602000000017</v>
      </c>
      <c r="F212" s="210">
        <f t="shared" si="70"/>
        <v>43164</v>
      </c>
      <c r="G212" s="213">
        <f>SUMIFS(逐日资产统计!$I:$I,逐日资产统计!$A:$A,F212,逐日资产统计!$C:$C,"人民币")</f>
        <v>0</v>
      </c>
      <c r="H212" s="212">
        <f>SUMIF(逐日资产统计!$A:$A,汇总统计!$F212,逐日资产统计!$I:$I)-G212</f>
        <v>484436.51</v>
      </c>
      <c r="I212" s="207">
        <f t="shared" si="71"/>
        <v>484436.51</v>
      </c>
      <c r="J212" s="212">
        <f>SUMIF(逐日资产统计!$A:$A,汇总统计!$F212,逐日资产统计!$G:$G)</f>
        <v>-3791.4799999999996</v>
      </c>
      <c r="K212" s="223">
        <f t="shared" si="72"/>
        <v>488227.99</v>
      </c>
      <c r="L212" s="222">
        <f t="shared" si="73"/>
        <v>0</v>
      </c>
      <c r="M212" s="219">
        <f t="shared" si="74"/>
        <v>-7.7657981059217835E-3</v>
      </c>
      <c r="N212" s="221">
        <f>SUMIFS(逐日资产统计!M:M,逐日资产统计!A:A,汇总统计!F212,逐日资产统计!C:C,"人民币")</f>
        <v>0</v>
      </c>
      <c r="O212" s="221">
        <f>SUMIF(逐日资产统计!A:A,汇总统计!F212,逐日资产统计!M:M)-SUMIFS(逐日资产统计!M:M,逐日资产统计!A:A,汇总统计!F212,逐日资产统计!C:C,"人民币")</f>
        <v>1.0556111883474679</v>
      </c>
      <c r="P212" s="198">
        <v>504525.24</v>
      </c>
      <c r="Q212" s="259">
        <f t="shared" si="75"/>
        <v>-20088.729999999981</v>
      </c>
    </row>
    <row r="213" spans="1:18" x14ac:dyDescent="0.25">
      <c r="A213" s="205">
        <v>43165</v>
      </c>
      <c r="B213" s="192">
        <v>1947.4400000000023</v>
      </c>
      <c r="C213">
        <f>SUM($B$2:B213)</f>
        <v>21583.042000000019</v>
      </c>
      <c r="F213" s="210">
        <f t="shared" si="70"/>
        <v>43165</v>
      </c>
      <c r="G213" s="213">
        <f>SUMIFS(逐日资产统计!$I:$I,逐日资产统计!$A:$A,F213,逐日资产统计!$C:$C,"人民币")</f>
        <v>0</v>
      </c>
      <c r="H213" s="212">
        <f>SUMIF(逐日资产统计!$A:$A,汇总统计!$F213,逐日资产统计!$I:$I)-G213</f>
        <v>486383.95</v>
      </c>
      <c r="I213" s="207">
        <f t="shared" si="71"/>
        <v>486383.95</v>
      </c>
      <c r="J213" s="212">
        <f>SUMIF(逐日资产统计!$A:$A,汇总统计!$F213,逐日资产统计!$G:$G)</f>
        <v>-1844.0399999999972</v>
      </c>
      <c r="K213" s="223">
        <f t="shared" si="72"/>
        <v>488227.99</v>
      </c>
      <c r="L213" s="222">
        <f t="shared" si="73"/>
        <v>0</v>
      </c>
      <c r="M213" s="219">
        <f t="shared" si="74"/>
        <v>-3.7770059025087795E-3</v>
      </c>
      <c r="N213" s="221">
        <f>SUMIFS(逐日资产统计!M:M,逐日资产统计!A:A,汇总统计!F213,逐日资产统计!C:C,"人民币")</f>
        <v>0</v>
      </c>
      <c r="O213" s="221">
        <f>SUMIF(逐日资产统计!A:A,汇总统计!F213,逐日资产统计!M:M)-SUMIFS(逐日资产统计!M:M,逐日资产统计!A:A,汇总统计!F213,逐日资产统计!C:C,"人民币")</f>
        <v>1.0514252372020085</v>
      </c>
      <c r="P213" s="198">
        <v>504592.5</v>
      </c>
      <c r="Q213" s="259">
        <f t="shared" si="75"/>
        <v>-18208.549999999988</v>
      </c>
    </row>
    <row r="214" spans="1:18" x14ac:dyDescent="0.25">
      <c r="A214" s="205">
        <v>43166</v>
      </c>
      <c r="B214" s="192">
        <v>-2838.4000000000015</v>
      </c>
      <c r="C214">
        <f>SUM($B$2:B214)</f>
        <v>18744.642000000018</v>
      </c>
      <c r="F214" s="210">
        <f t="shared" si="70"/>
        <v>43166</v>
      </c>
      <c r="G214" s="213">
        <f>SUMIFS(逐日资产统计!$I:$I,逐日资产统计!$A:$A,F214,逐日资产统计!$C:$C,"人民币")</f>
        <v>0</v>
      </c>
      <c r="H214" s="212">
        <f>SUMIF(逐日资产统计!$A:$A,汇总统计!$F214,逐日资产统计!$I:$I)-G214</f>
        <v>483545.55</v>
      </c>
      <c r="I214" s="207">
        <f t="shared" si="71"/>
        <v>483545.55</v>
      </c>
      <c r="J214" s="212">
        <f>SUMIF(逐日资产统计!$A:$A,汇总统计!$F214,逐日资产统计!$G:$G)</f>
        <v>-4682.4399999999987</v>
      </c>
      <c r="K214" s="223">
        <f t="shared" si="72"/>
        <v>488227.99</v>
      </c>
      <c r="L214" s="222">
        <f t="shared" si="73"/>
        <v>0</v>
      </c>
      <c r="M214" s="219">
        <f t="shared" si="74"/>
        <v>-9.5906832379683907E-3</v>
      </c>
      <c r="N214" s="221">
        <f>SUMIFS(逐日资产统计!M:M,逐日资产统计!A:A,汇总统计!F214,逐日资产统计!C:C,"人民币")</f>
        <v>0</v>
      </c>
      <c r="O214" s="221">
        <f>SUMIF(逐日资产统计!A:A,汇总统计!F214,逐日资产统计!M:M)-SUMIFS(逐日资产统计!M:M,逐日资产统计!A:A,汇总统计!F214,逐日资产统计!C:C,"人民币")</f>
        <v>1.0576120491647589</v>
      </c>
      <c r="P214" s="198">
        <v>504659.76</v>
      </c>
      <c r="Q214" s="259">
        <f t="shared" si="75"/>
        <v>-21114.210000000021</v>
      </c>
    </row>
    <row r="215" spans="1:18" x14ac:dyDescent="0.25">
      <c r="A215" s="205">
        <v>43167</v>
      </c>
      <c r="B215" s="192">
        <v>2439.9799999999996</v>
      </c>
      <c r="C215">
        <f>SUM($B$2:B215)</f>
        <v>21184.622000000018</v>
      </c>
      <c r="F215" s="210">
        <f t="shared" si="70"/>
        <v>43167</v>
      </c>
      <c r="G215" s="213">
        <f>SUMIFS(逐日资产统计!$I:$I,逐日资产统计!$A:$A,F215,逐日资产统计!$C:$C,"人民币")</f>
        <v>0</v>
      </c>
      <c r="H215" s="212">
        <f>SUMIF(逐日资产统计!$A:$A,汇总统计!$F215,逐日资产统计!$I:$I)-G215</f>
        <v>485985.53</v>
      </c>
      <c r="I215" s="207">
        <f t="shared" si="71"/>
        <v>485985.53</v>
      </c>
      <c r="J215" s="212">
        <f>SUMIF(逐日资产统计!$A:$A,汇总统计!$F215,逐日资产统计!$G:$G)</f>
        <v>-2242.4599999999991</v>
      </c>
      <c r="K215" s="223">
        <f t="shared" si="72"/>
        <v>488227.99000000005</v>
      </c>
      <c r="L215" s="222">
        <f t="shared" si="73"/>
        <v>0</v>
      </c>
      <c r="M215" s="219">
        <f t="shared" si="74"/>
        <v>-4.5930590747163E-3</v>
      </c>
      <c r="N215" s="221">
        <f>SUMIFS(逐日资产统计!M:M,逐日资产统计!A:A,汇总统计!F215,逐日资产统计!C:C,"人民币")</f>
        <v>0</v>
      </c>
      <c r="O215" s="221">
        <f>SUMIF(逐日资产统计!A:A,汇总统计!F215,逐日资产统计!M:M)-SUMIFS(逐日资产统计!M:M,逐日资产统计!A:A,汇总统计!F215,逐日资产统计!C:C,"人民币")</f>
        <v>1.0523227718323218</v>
      </c>
      <c r="P215" s="198">
        <v>504727.02</v>
      </c>
      <c r="Q215" s="259">
        <f t="shared" si="75"/>
        <v>-18741.489999999991</v>
      </c>
    </row>
    <row r="216" spans="1:18" x14ac:dyDescent="0.25">
      <c r="A216" s="205">
        <v>43168</v>
      </c>
      <c r="B216" s="192">
        <v>3889.369999999999</v>
      </c>
      <c r="C216">
        <f>SUM($B$2:B216)</f>
        <v>25073.992000000017</v>
      </c>
      <c r="F216" s="210">
        <f t="shared" si="70"/>
        <v>43168</v>
      </c>
      <c r="G216" s="213">
        <f>SUMIFS(逐日资产统计!$I:$I,逐日资产统计!$A:$A,F216,逐日资产统计!$C:$C,"人民币")</f>
        <v>0</v>
      </c>
      <c r="H216" s="212">
        <f>SUMIF(逐日资产统计!$A:$A,汇总统计!$F216,逐日资产统计!$I:$I)-G216</f>
        <v>489874.89</v>
      </c>
      <c r="I216" s="207">
        <f t="shared" si="71"/>
        <v>489874.89</v>
      </c>
      <c r="J216" s="212">
        <f>SUMIF(逐日资产统计!$A:$A,汇总统计!$F216,逐日资产统计!$G:$G)</f>
        <v>1646.9099999999999</v>
      </c>
      <c r="K216" s="223">
        <f t="shared" si="72"/>
        <v>488227.98000000004</v>
      </c>
      <c r="L216" s="222">
        <f t="shared" si="73"/>
        <v>-1.0000000009313226E-2</v>
      </c>
      <c r="M216" s="219">
        <f t="shared" si="74"/>
        <v>3.373239690195551E-3</v>
      </c>
      <c r="N216" s="221">
        <f>SUMIFS(逐日资产统计!M:M,逐日资产统计!A:A,汇总统计!F216,逐日资产统计!C:C,"人民币")</f>
        <v>0</v>
      </c>
      <c r="O216" s="221">
        <f>SUMIF(逐日资产统计!A:A,汇总统计!F216,逐日资产统计!M:M)-SUMIFS(逐日资产统计!M:M,逐日资产统计!A:A,汇总统计!F216,逐日资产统计!C:C,"人民币")</f>
        <v>1.0449893237026289</v>
      </c>
      <c r="P216" s="198">
        <v>504794.28</v>
      </c>
      <c r="Q216" s="259">
        <f t="shared" si="75"/>
        <v>-14919.390000000014</v>
      </c>
    </row>
    <row r="217" spans="1:18" x14ac:dyDescent="0.25">
      <c r="A217" s="205">
        <v>43171</v>
      </c>
      <c r="B217" s="192">
        <v>377.22999999999956</v>
      </c>
      <c r="C217">
        <f>SUM($B$2:B217)</f>
        <v>25451.222000000016</v>
      </c>
      <c r="F217" s="210">
        <f t="shared" si="70"/>
        <v>43171</v>
      </c>
      <c r="G217" s="213">
        <f>SUMIFS(逐日资产统计!$I:$I,逐日资产统计!$A:$A,F217,逐日资产统计!$C:$C,"人民币")</f>
        <v>0</v>
      </c>
      <c r="H217" s="212">
        <f>SUMIF(逐日资产统计!$A:$A,汇总统计!$F217,逐日资产统计!$I:$I)-G217</f>
        <v>490252.12</v>
      </c>
      <c r="I217" s="207">
        <f t="shared" si="71"/>
        <v>490252.12</v>
      </c>
      <c r="J217" s="212">
        <f>SUMIF(逐日资产统计!$A:$A,汇总统计!$F217,逐日资产统计!$G:$G)</f>
        <v>2024.1399999999994</v>
      </c>
      <c r="K217" s="223">
        <f t="shared" si="72"/>
        <v>488227.98</v>
      </c>
      <c r="L217" s="222">
        <f t="shared" si="73"/>
        <v>0</v>
      </c>
      <c r="M217" s="219">
        <f t="shared" si="74"/>
        <v>4.1458910241072202E-3</v>
      </c>
      <c r="N217" s="221">
        <f>SUMIFS(逐日资产统计!M:M,逐日资产统计!A:A,汇总统计!F217,逐日资产统计!C:C,"人民币")</f>
        <v>0</v>
      </c>
      <c r="O217" s="221">
        <f>SUMIF(逐日资产统计!A:A,汇总统计!F217,逐日资产统计!M:M)-SUMIFS(逐日资产统计!M:M,逐日资产统计!A:A,汇总统计!F217,逐日资产统计!C:C,"人民币")</f>
        <v>1.0442081515119197</v>
      </c>
      <c r="P217" s="198">
        <v>504996.06</v>
      </c>
      <c r="Q217" s="259">
        <f t="shared" si="75"/>
        <v>-14743.940000000002</v>
      </c>
    </row>
    <row r="218" spans="1:18" x14ac:dyDescent="0.25">
      <c r="A218" s="205">
        <v>43172</v>
      </c>
      <c r="B218" s="192">
        <v>153.94000000000051</v>
      </c>
      <c r="C218">
        <f>SUM($B$2:B218)</f>
        <v>25605.162000000018</v>
      </c>
      <c r="F218" s="210">
        <f t="shared" si="70"/>
        <v>43172</v>
      </c>
      <c r="G218" s="213">
        <f>SUMIFS(逐日资产统计!$I:$I,逐日资产统计!$A:$A,F218,逐日资产统计!$C:$C,"人民币")</f>
        <v>0</v>
      </c>
      <c r="H218" s="212">
        <f>SUMIF(逐日资产统计!$A:$A,汇总统计!$F218,逐日资产统计!$I:$I)-G218</f>
        <v>490406.06</v>
      </c>
      <c r="I218" s="207">
        <f t="shared" si="71"/>
        <v>490406.06</v>
      </c>
      <c r="J218" s="212">
        <f>SUMIF(逐日资产统计!$A:$A,汇总统计!$F218,逐日资产统计!$G:$G)</f>
        <v>2178.08</v>
      </c>
      <c r="K218" s="223">
        <f t="shared" si="72"/>
        <v>488227.98</v>
      </c>
      <c r="L218" s="222">
        <f t="shared" si="73"/>
        <v>0</v>
      </c>
      <c r="M218" s="219">
        <f t="shared" si="74"/>
        <v>4.4611945427625839E-3</v>
      </c>
      <c r="N218" s="221">
        <f>SUMIFS(逐日资产统计!M:M,逐日资产统计!A:A,汇总统计!F218,逐日资产统计!C:C,"人民币")</f>
        <v>0</v>
      </c>
      <c r="O218" s="221">
        <f>SUMIF(逐日资产统计!A:A,汇总统计!F218,逐日资产统计!M:M)-SUMIFS(逐日资产统计!M:M,逐日资产统计!A:A,汇总统计!F218,逐日资产统计!C:C,"人民币")</f>
        <v>1.0439384864045111</v>
      </c>
      <c r="P218" s="198">
        <v>505063.32</v>
      </c>
      <c r="Q218" s="259">
        <f t="shared" si="75"/>
        <v>-14657.260000000009</v>
      </c>
    </row>
    <row r="219" spans="1:18" x14ac:dyDescent="0.25">
      <c r="A219" s="205">
        <v>43173</v>
      </c>
      <c r="B219" s="192">
        <v>-4258.4299999999985</v>
      </c>
      <c r="C219">
        <f>SUM($B$2:B219)</f>
        <v>21346.732000000018</v>
      </c>
      <c r="F219" s="210">
        <f t="shared" si="70"/>
        <v>43173</v>
      </c>
      <c r="G219" s="213">
        <f>SUMIFS(逐日资产统计!$I:$I,逐日资产统计!$A:$A,F219,逐日资产统计!$C:$C,"人民币")</f>
        <v>0</v>
      </c>
      <c r="H219" s="212">
        <f>SUMIF(逐日资产统计!$A:$A,汇总统计!$F219,逐日资产统计!$I:$I)-G219</f>
        <v>486147.63</v>
      </c>
      <c r="I219" s="207">
        <f t="shared" si="71"/>
        <v>486147.63</v>
      </c>
      <c r="J219" s="212">
        <f>SUMIF(逐日资产统计!$A:$A,汇总统计!$F219,逐日资产统计!$G:$G)</f>
        <v>-2080.3499999999985</v>
      </c>
      <c r="K219" s="223">
        <f t="shared" si="72"/>
        <v>488227.98</v>
      </c>
      <c r="L219" s="222">
        <f t="shared" si="73"/>
        <v>0</v>
      </c>
      <c r="M219" s="219">
        <f t="shared" si="74"/>
        <v>-4.2610216645100896E-3</v>
      </c>
      <c r="N219" s="221">
        <f>SUMIFS(逐日资产统计!M:M,逐日资产统计!A:A,汇总统计!F219,逐日资产统计!C:C,"人民币")</f>
        <v>0</v>
      </c>
      <c r="O219" s="221">
        <f>SUMIF(逐日资产统计!A:A,汇总统计!F219,逐日资产统计!M:M)-SUMIFS(逐日资产统计!M:M,逐日资产统计!A:A,汇总统计!F219,逐日资产统计!C:C,"人民币")</f>
        <v>1.0531272774074829</v>
      </c>
      <c r="P219" s="198">
        <v>505130.58</v>
      </c>
      <c r="Q219" s="259">
        <f t="shared" si="75"/>
        <v>-18982.950000000012</v>
      </c>
    </row>
    <row r="220" spans="1:18" x14ac:dyDescent="0.25">
      <c r="A220" s="205">
        <v>43174</v>
      </c>
      <c r="B220" s="192">
        <v>-6082</v>
      </c>
      <c r="C220">
        <f>SUM($B$2:B220)</f>
        <v>15264.732000000018</v>
      </c>
      <c r="F220" s="210">
        <f t="shared" si="70"/>
        <v>43174</v>
      </c>
      <c r="G220" s="213">
        <f>SUMIFS(逐日资产统计!$I:$I,逐日资产统计!$A:$A,F220,逐日资产统计!$C:$C,"人民币")</f>
        <v>0</v>
      </c>
      <c r="H220" s="212">
        <f>SUMIF(逐日资产统计!$A:$A,汇总统计!$F220,逐日资产统计!$I:$I)-G220</f>
        <v>480065.63</v>
      </c>
      <c r="I220" s="207">
        <f t="shared" si="71"/>
        <v>480065.63</v>
      </c>
      <c r="J220" s="212">
        <f>SUMIF(逐日资产统计!$A:$A,汇总统计!$F220,逐日资产统计!$G:$G)</f>
        <v>-8162.3499999999985</v>
      </c>
      <c r="K220" s="223">
        <f t="shared" si="72"/>
        <v>488227.98</v>
      </c>
      <c r="L220" s="222">
        <f t="shared" si="73"/>
        <v>0</v>
      </c>
      <c r="M220" s="219">
        <f t="shared" si="74"/>
        <v>-1.6718316717530199E-2</v>
      </c>
      <c r="N220" s="221">
        <f>SUMIFS(逐日资产统计!M:M,逐日资产统计!A:A,汇总统计!F220,逐日资产统计!C:C,"人民币")</f>
        <v>0</v>
      </c>
      <c r="O220" s="221">
        <f>SUMIF(逐日资产统计!A:A,汇总统计!F220,逐日资产统计!M:M)-SUMIFS(逐日资产统计!M:M,逐日资产统计!A:A,汇总统计!F220,逐日资产统计!C:C,"人民币")</f>
        <v>1.0664694533537011</v>
      </c>
      <c r="P220" s="198">
        <v>505197.84</v>
      </c>
      <c r="Q220" s="259">
        <f t="shared" si="75"/>
        <v>-25132.210000000021</v>
      </c>
    </row>
    <row r="221" spans="1:18" x14ac:dyDescent="0.25">
      <c r="A221" s="205">
        <v>43175</v>
      </c>
      <c r="B221" s="192">
        <v>2965.3899999999994</v>
      </c>
      <c r="C221">
        <f>SUM($B$2:B221)</f>
        <v>18230.122000000018</v>
      </c>
      <c r="F221" s="210">
        <f t="shared" si="70"/>
        <v>43175</v>
      </c>
      <c r="G221" s="213">
        <f>SUMIFS(逐日资产统计!$I:$I,逐日资产统计!$A:$A,F221,逐日资产统计!$C:$C,"人民币")</f>
        <v>0</v>
      </c>
      <c r="H221" s="212">
        <f>SUMIF(逐日资产统计!$A:$A,汇总统计!$F221,逐日资产统计!$I:$I)-G221</f>
        <v>483031.02</v>
      </c>
      <c r="I221" s="207">
        <f t="shared" si="71"/>
        <v>483031.02</v>
      </c>
      <c r="J221" s="212">
        <f>SUMIF(逐日资产统计!$A:$A,汇总统计!$F221,逐日资产统计!$G:$G)</f>
        <v>-5196.9599999999991</v>
      </c>
      <c r="K221" s="223">
        <f t="shared" si="72"/>
        <v>488227.98000000004</v>
      </c>
      <c r="L221" s="222">
        <f t="shared" si="73"/>
        <v>0</v>
      </c>
      <c r="M221" s="219">
        <f t="shared" si="74"/>
        <v>-1.064453536644909E-2</v>
      </c>
      <c r="N221" s="221">
        <f>SUMIFS(逐日资产统计!M:M,逐日资产统计!A:A,汇总统计!F221,逐日资产统计!C:C,"人民币")</f>
        <v>0</v>
      </c>
      <c r="O221" s="221">
        <f>SUMIF(逐日资产统计!A:A,汇总统计!F221,逐日资产统计!M:M)-SUMIFS(逐日资产统计!M:M,逐日资产统计!A:A,汇总统计!F221,逐日资产统计!C:C,"人民币")</f>
        <v>1.0599437692428118</v>
      </c>
      <c r="P221" s="198">
        <v>505265.1</v>
      </c>
      <c r="Q221" s="259">
        <f t="shared" si="75"/>
        <v>-22234.079999999958</v>
      </c>
    </row>
    <row r="222" spans="1:18" x14ac:dyDescent="0.25">
      <c r="A222" s="205">
        <v>43178</v>
      </c>
      <c r="B222" s="192">
        <v>-155.91000000000349</v>
      </c>
      <c r="C222">
        <f>SUM($B$2:B222)</f>
        <v>18074.212000000014</v>
      </c>
      <c r="F222" s="210">
        <f t="shared" si="70"/>
        <v>43178</v>
      </c>
      <c r="G222" s="213">
        <f>SUMIFS(逐日资产统计!$I:$I,逐日资产统计!$A:$A,F222,逐日资产统计!$C:$C,"人民币")</f>
        <v>0</v>
      </c>
      <c r="H222" s="212">
        <f>SUMIF(逐日资产统计!$A:$A,汇总统计!$F222,逐日资产统计!$I:$I)-G222</f>
        <v>482875.11</v>
      </c>
      <c r="I222" s="207">
        <f t="shared" si="71"/>
        <v>482875.11</v>
      </c>
      <c r="J222" s="212">
        <f>SUMIF(逐日资产统计!$A:$A,汇总统计!$F222,逐日资产统计!$G:$G)</f>
        <v>-5352.8700000000026</v>
      </c>
      <c r="K222" s="223">
        <f t="shared" si="72"/>
        <v>488227.98</v>
      </c>
      <c r="L222" s="222">
        <f t="shared" si="73"/>
        <v>0</v>
      </c>
      <c r="M222" s="219">
        <f t="shared" si="74"/>
        <v>-1.0963873885310716E-2</v>
      </c>
      <c r="N222" s="221">
        <f>SUMIFS(逐日资产统计!M:M,逐日资产统计!A:A,汇总统计!F222,逐日资产统计!C:C,"人民币")</f>
        <v>0</v>
      </c>
      <c r="O222" s="221">
        <f>SUMIF(逐日资产统计!A:A,汇总统计!F222,逐日资产统计!M:M)-SUMIFS(逐日资产统计!M:M,逐日资产统计!A:A,汇总统计!F222,逐日资产统计!C:C,"人民币")</f>
        <v>1.0569887522262225</v>
      </c>
      <c r="P222" s="198">
        <v>505466.88</v>
      </c>
      <c r="Q222" s="259">
        <f t="shared" si="75"/>
        <v>-22591.770000000019</v>
      </c>
    </row>
    <row r="223" spans="1:18" x14ac:dyDescent="0.25">
      <c r="A223" s="205">
        <v>43179</v>
      </c>
      <c r="B223" s="192">
        <v>1715.9100000000035</v>
      </c>
      <c r="C223">
        <f>SUM($B$2:B223)</f>
        <v>19790.122000000018</v>
      </c>
      <c r="F223" s="210">
        <f t="shared" si="70"/>
        <v>43179</v>
      </c>
      <c r="G223" s="213">
        <f>SUMIFS(逐日资产统计!$I:$I,逐日资产统计!$A:$A,F223,逐日资产统计!$C:$C,"人民币")</f>
        <v>0</v>
      </c>
      <c r="H223" s="212">
        <f>SUMIF(逐日资产统计!$A:$A,汇总统计!$F223,逐日资产统计!$I:$I)-G223</f>
        <v>484591.02</v>
      </c>
      <c r="I223" s="207">
        <f t="shared" si="71"/>
        <v>484591.02</v>
      </c>
      <c r="J223" s="212">
        <f>SUMIF(逐日资产统计!$A:$A,汇总统计!$F223,逐日资产统计!$G:$G)</f>
        <v>-3636.9599999999991</v>
      </c>
      <c r="K223" s="223">
        <f t="shared" si="72"/>
        <v>488227.98000000004</v>
      </c>
      <c r="L223" s="222">
        <f t="shared" si="73"/>
        <v>0</v>
      </c>
      <c r="M223" s="219">
        <f t="shared" si="74"/>
        <v>-7.4493067767234453E-3</v>
      </c>
      <c r="N223" s="221">
        <f>SUMIFS(逐日资产统计!M:M,逐日资产统计!A:A,汇总统计!F223,逐日资产统计!C:C,"人民币")</f>
        <v>0</v>
      </c>
      <c r="O223" s="221">
        <f>SUMIF(逐日资产统计!A:A,汇总统计!F223,逐日资产统计!M:M)-SUMIFS(逐日资产统计!M:M,逐日资产统计!A:A,汇总统计!F223,逐日资产统计!C:C,"人民币")</f>
        <v>1.0533009257992445</v>
      </c>
      <c r="P223" s="198">
        <v>505534.14</v>
      </c>
      <c r="Q223" s="259">
        <f t="shared" si="75"/>
        <v>-20943.119999999995</v>
      </c>
    </row>
    <row r="224" spans="1:18" x14ac:dyDescent="0.25">
      <c r="A224" s="205">
        <v>43180</v>
      </c>
      <c r="B224" s="192">
        <v>-912.11000000000058</v>
      </c>
      <c r="C224">
        <f>SUM($B$2:B224)</f>
        <v>18878.012000000017</v>
      </c>
      <c r="F224" s="210">
        <f t="shared" si="70"/>
        <v>43180</v>
      </c>
      <c r="G224" s="213">
        <f>SUMIFS(逐日资产统计!$I:$I,逐日资产统计!$A:$A,F224,逐日资产统计!$C:$C,"人民币")</f>
        <v>0</v>
      </c>
      <c r="H224" s="212">
        <f>SUMIF(逐日资产统计!$A:$A,汇总统计!$F224,逐日资产统计!$I:$I)-G224</f>
        <v>483691.8</v>
      </c>
      <c r="I224" s="207">
        <f t="shared" si="71"/>
        <v>483691.8</v>
      </c>
      <c r="J224" s="212">
        <f>SUMIF(逐日资产统计!$A:$A,汇总统计!$F224,逐日资产统计!$G:$G)</f>
        <v>-4549.07</v>
      </c>
      <c r="K224" s="223">
        <f t="shared" si="72"/>
        <v>488240.87</v>
      </c>
      <c r="L224" s="222">
        <f t="shared" si="73"/>
        <v>12.889999999955762</v>
      </c>
      <c r="M224" s="219">
        <f t="shared" si="74"/>
        <v>-9.3172658814900111E-3</v>
      </c>
      <c r="N224" s="221">
        <f>SUMIFS(逐日资产统计!M:M,逐日资产统计!A:A,汇总统计!F224,逐日资产统计!C:C,"人民币")</f>
        <v>0</v>
      </c>
      <c r="O224" s="221">
        <f>SUMIF(逐日资产统计!A:A,汇总统计!F224,逐日资产统计!M:M)-SUMIFS(逐日资产统计!M:M,逐日资产统计!A:A,汇总统计!F224,逐日资产统计!C:C,"人民币")</f>
        <v>1.0553061887755804</v>
      </c>
      <c r="P224" s="198">
        <v>505601.4</v>
      </c>
      <c r="Q224" s="259">
        <f t="shared" si="75"/>
        <v>-21909.600000000035</v>
      </c>
      <c r="R224" s="1" t="s">
        <v>97</v>
      </c>
    </row>
    <row r="225" spans="1:17" x14ac:dyDescent="0.25">
      <c r="A225" s="205">
        <v>43181</v>
      </c>
      <c r="B225" s="192">
        <v>3570.41</v>
      </c>
      <c r="C225">
        <f>SUM($B$2:B225)</f>
        <v>22448.422000000017</v>
      </c>
      <c r="F225" s="210">
        <f t="shared" si="70"/>
        <v>43181</v>
      </c>
      <c r="G225" s="213">
        <f>SUMIFS(逐日资产统计!$I:$I,逐日资产统计!$A:$A,F225,逐日资产统计!$C:$C,"人民币")</f>
        <v>0</v>
      </c>
      <c r="H225" s="212">
        <f>SUMIF(逐日资产统计!$A:$A,汇总统计!$F225,逐日资产统计!$I:$I)-G225</f>
        <v>487262.21</v>
      </c>
      <c r="I225" s="207">
        <f t="shared" si="71"/>
        <v>487262.21</v>
      </c>
      <c r="J225" s="212">
        <f>SUMIF(逐日资产统计!$A:$A,汇总统计!$F225,逐日资产统计!$G:$G)</f>
        <v>-978.65999999999985</v>
      </c>
      <c r="K225" s="223">
        <f t="shared" si="72"/>
        <v>488240.87</v>
      </c>
      <c r="L225" s="222">
        <f t="shared" si="73"/>
        <v>0</v>
      </c>
      <c r="M225" s="219">
        <f t="shared" si="74"/>
        <v>-2.0044614454336851E-3</v>
      </c>
      <c r="N225" s="221">
        <f>SUMIFS(逐日资产统计!M:M,逐日资产统计!A:A,汇总统计!F225,逐日资产统计!C:C,"人民币")</f>
        <v>0</v>
      </c>
      <c r="O225" s="221">
        <f>SUMIF(逐日资产统计!A:A,汇总统计!F225,逐日资产统计!M:M)-SUMIFS(逐日资产统计!M:M,逐日资产统计!A:A,汇总统计!F225,逐日资产统计!C:C,"人民币")</f>
        <v>1.0475912548194541</v>
      </c>
      <c r="P225" s="198">
        <v>505668.66</v>
      </c>
      <c r="Q225" s="259">
        <f t="shared" si="75"/>
        <v>-18406.449999999953</v>
      </c>
    </row>
    <row r="226" spans="1:17" x14ac:dyDescent="0.25">
      <c r="A226" s="205">
        <v>43182</v>
      </c>
      <c r="B226" s="192">
        <v>-20668.939999999999</v>
      </c>
      <c r="C226">
        <f>SUM($B$2:B226)</f>
        <v>1779.4820000000182</v>
      </c>
      <c r="F226" s="210">
        <f t="shared" si="70"/>
        <v>43182</v>
      </c>
      <c r="G226" s="213">
        <f>SUMIFS(逐日资产统计!$I:$I,逐日资产统计!$A:$A,F226,逐日资产统计!$C:$C,"人民币")</f>
        <v>0</v>
      </c>
      <c r="H226" s="212">
        <f>SUMIF(逐日资产统计!$A:$A,汇总统计!$F226,逐日资产统计!$I:$I)-G226</f>
        <v>466593.27</v>
      </c>
      <c r="I226" s="207">
        <f t="shared" si="71"/>
        <v>466593.27</v>
      </c>
      <c r="J226" s="212">
        <f>SUMIF(逐日资产统计!$A:$A,汇总统计!$F226,逐日资产统计!$G:$G)</f>
        <v>-21647.599999999999</v>
      </c>
      <c r="K226" s="223">
        <f t="shared" si="72"/>
        <v>488240.87</v>
      </c>
      <c r="L226" s="222">
        <f t="shared" si="73"/>
        <v>0</v>
      </c>
      <c r="M226" s="219">
        <f t="shared" si="74"/>
        <v>-4.433795147055182E-2</v>
      </c>
      <c r="N226" s="221">
        <f>SUMIFS(逐日资产统计!M:M,逐日资产统计!A:A,汇总统计!F226,逐日资产统计!C:C,"人民币")</f>
        <v>0</v>
      </c>
      <c r="O226" s="221">
        <f>SUMIF(逐日资产统计!A:A,汇总统计!F226,逐日资产统计!M:M)-SUMIFS(逐日资产统计!M:M,逐日资产统计!A:A,汇总统计!F226,逐日资产统计!C:C,"人民币")</f>
        <v>1.0940149651108333</v>
      </c>
      <c r="P226" s="198">
        <v>505735.92</v>
      </c>
      <c r="Q226" s="259">
        <f t="shared" si="75"/>
        <v>-39142.649999999965</v>
      </c>
    </row>
    <row r="227" spans="1:17" x14ac:dyDescent="0.25">
      <c r="A227" s="205">
        <v>43185</v>
      </c>
      <c r="B227" s="192">
        <v>5231.7200000000012</v>
      </c>
      <c r="C227">
        <f>SUM($B$2:B227)</f>
        <v>7011.2020000000193</v>
      </c>
      <c r="F227" s="210">
        <f t="shared" si="70"/>
        <v>43185</v>
      </c>
      <c r="G227" s="213">
        <f>SUMIFS(逐日资产统计!$I:$I,逐日资产统计!$A:$A,F227,逐日资产统计!$C:$C,"人民币")</f>
        <v>0</v>
      </c>
      <c r="H227" s="212">
        <f>SUMIF(逐日资产统计!$A:$A,汇总统计!$F227,逐日资产统计!$I:$I)-G227</f>
        <v>471824.99000000005</v>
      </c>
      <c r="I227" s="207">
        <f t="shared" si="71"/>
        <v>471824.99000000005</v>
      </c>
      <c r="J227" s="212">
        <f>SUMIF(逐日资产统计!$A:$A,汇总统计!$F227,逐日资产统计!$G:$G)</f>
        <v>-16415.879999999997</v>
      </c>
      <c r="K227" s="223">
        <f t="shared" si="72"/>
        <v>488240.87000000005</v>
      </c>
      <c r="L227" s="222">
        <f t="shared" si="73"/>
        <v>0</v>
      </c>
      <c r="M227" s="219">
        <f t="shared" si="74"/>
        <v>-3.3622502761802786E-2</v>
      </c>
      <c r="N227" s="221">
        <f>SUMIFS(逐日资产统计!M:M,逐日资产统计!A:A,汇总统计!F227,逐日资产统计!C:C,"人民币")</f>
        <v>0</v>
      </c>
      <c r="O227" s="221">
        <f>SUMIF(逐日资产统计!A:A,汇总统计!F227,逐日资产统计!M:M)-SUMIFS(逐日资产统计!M:M,逐日资产统计!A:A,汇总统计!F227,逐日资产统计!C:C,"人民币")</f>
        <v>1.0819017025783224</v>
      </c>
      <c r="P227" s="198">
        <v>505937.7</v>
      </c>
      <c r="Q227" s="259">
        <f t="shared" si="75"/>
        <v>-34112.709999999963</v>
      </c>
    </row>
    <row r="228" spans="1:17" x14ac:dyDescent="0.25">
      <c r="A228" s="205">
        <v>43186</v>
      </c>
      <c r="B228" s="192">
        <v>5580.3099999999977</v>
      </c>
      <c r="C228">
        <f>SUM($B$2:B228)</f>
        <v>12591.512000000017</v>
      </c>
      <c r="F228" s="210">
        <f t="shared" si="70"/>
        <v>43186</v>
      </c>
      <c r="G228" s="213">
        <f>SUMIFS(逐日资产统计!$I:$I,逐日资产统计!$A:$A,F228,逐日资产统计!$C:$C,"人民币")</f>
        <v>0</v>
      </c>
      <c r="H228" s="212">
        <f>SUMIF(逐日资产统计!$A:$A,汇总统计!$F228,逐日资产统计!$I:$I)-G228</f>
        <v>477405.3</v>
      </c>
      <c r="I228" s="207">
        <f t="shared" si="71"/>
        <v>477405.3</v>
      </c>
      <c r="J228" s="212">
        <f>SUMIF(逐日资产统计!$A:$A,汇总统计!$F228,逐日资产统计!$G:$G)</f>
        <v>-10835.57</v>
      </c>
      <c r="K228" s="223">
        <f t="shared" si="72"/>
        <v>488240.87</v>
      </c>
      <c r="L228" s="222">
        <f t="shared" si="73"/>
        <v>0</v>
      </c>
      <c r="M228" s="219">
        <f t="shared" si="74"/>
        <v>-2.2193082688878544E-2</v>
      </c>
      <c r="N228" s="221">
        <f>SUMIFS(逐日资产统计!M:M,逐日资产统计!A:A,汇总统计!F228,逐日资产统计!C:C,"人民币")</f>
        <v>0</v>
      </c>
      <c r="O228" s="221">
        <f>SUMIF(逐日资产统计!A:A,汇总统计!F228,逐日资产统计!M:M)-SUMIFS(逐日资产统计!M:M,逐日资产统计!A:A,汇总统计!F228,逐日资产统计!C:C,"人民币")</f>
        <v>1.0692829132814394</v>
      </c>
      <c r="P228" s="198">
        <v>506004.96</v>
      </c>
      <c r="Q228" s="259">
        <f t="shared" si="75"/>
        <v>-28599.660000000033</v>
      </c>
    </row>
    <row r="229" spans="1:17" x14ac:dyDescent="0.25">
      <c r="A229" s="205">
        <v>43187</v>
      </c>
      <c r="B229" s="192">
        <v>-2535.9100000000035</v>
      </c>
      <c r="C229">
        <f>SUM($B$2:B229)</f>
        <v>10055.602000000014</v>
      </c>
      <c r="F229" s="210">
        <f t="shared" ref="F229:F251" si="76">A229</f>
        <v>43187</v>
      </c>
      <c r="G229" s="213">
        <f>SUMIFS(逐日资产统计!$I:$I,逐日资产统计!$A:$A,F229,逐日资产统计!$C:$C,"人民币")</f>
        <v>0</v>
      </c>
      <c r="H229" s="212">
        <f>SUMIF(逐日资产统计!$A:$A,汇总统计!$F229,逐日资产统计!$I:$I)-G229</f>
        <v>474869.38999999996</v>
      </c>
      <c r="I229" s="207">
        <f t="shared" ref="I229:I251" si="77">G229+H229</f>
        <v>474869.38999999996</v>
      </c>
      <c r="J229" s="212">
        <f>SUMIF(逐日资产统计!$A:$A,汇总统计!$F229,逐日资产统计!$G:$G)</f>
        <v>-13371.480000000003</v>
      </c>
      <c r="K229" s="223">
        <f t="shared" ref="K229:K251" si="78">I229-J229</f>
        <v>488240.86999999994</v>
      </c>
      <c r="L229" s="222">
        <f t="shared" ref="L229:L251" si="79">K229-K228</f>
        <v>0</v>
      </c>
      <c r="M229" s="219">
        <f t="shared" ref="M229:M251" si="80">J229/K229</f>
        <v>-2.738705590132183E-2</v>
      </c>
      <c r="N229" s="221">
        <f>SUMIFS(逐日资产统计!M:M,逐日资产统计!A:A,汇总统计!F229,逐日资产统计!C:C,"人民币")</f>
        <v>0</v>
      </c>
      <c r="O229" s="221">
        <f>SUMIF(逐日资产统计!A:A,汇总统计!F229,逐日资产统计!M:M)-SUMIFS(逐日资产统计!M:M,逐日资产统计!A:A,汇总统计!F229,逐日资产统计!C:C,"人民币")</f>
        <v>1.0749996751738409</v>
      </c>
      <c r="P229" s="198">
        <v>506072.22</v>
      </c>
      <c r="Q229" s="259">
        <f t="shared" ref="Q229:Q251" si="81">I229-P229</f>
        <v>-31202.830000000016</v>
      </c>
    </row>
    <row r="230" spans="1:17" x14ac:dyDescent="0.25">
      <c r="A230" s="205">
        <v>43188</v>
      </c>
      <c r="B230" s="192">
        <v>8001.1300000000047</v>
      </c>
      <c r="C230">
        <f>SUM($B$2:B230)</f>
        <v>18056.732000000018</v>
      </c>
      <c r="F230" s="210">
        <f t="shared" si="76"/>
        <v>43188</v>
      </c>
      <c r="G230" s="213">
        <f>SUMIFS(逐日资产统计!$I:$I,逐日资产统计!$A:$A,F230,逐日资产统计!$C:$C,"人民币")</f>
        <v>0</v>
      </c>
      <c r="H230" s="212">
        <f>SUMIF(逐日资产统计!$A:$A,汇总统计!$F230,逐日资产统计!$I:$I)-G230</f>
        <v>482870.51999999996</v>
      </c>
      <c r="I230" s="207">
        <f t="shared" si="77"/>
        <v>482870.51999999996</v>
      </c>
      <c r="J230" s="212">
        <f>SUMIF(逐日资产统计!$A:$A,汇总统计!$F230,逐日资产统计!$G:$G)</f>
        <v>-5370.3499999999985</v>
      </c>
      <c r="K230" s="223">
        <f t="shared" si="78"/>
        <v>488240.86999999994</v>
      </c>
      <c r="L230" s="222">
        <f t="shared" si="79"/>
        <v>0</v>
      </c>
      <c r="M230" s="219">
        <f t="shared" si="80"/>
        <v>-1.0999386429898832E-2</v>
      </c>
      <c r="N230" s="221">
        <f>SUMIFS(逐日资产统计!M:M,逐日资产统计!A:A,汇总统计!F230,逐日资产统计!C:C,"人民币")</f>
        <v>0</v>
      </c>
      <c r="O230" s="221">
        <f>SUMIF(逐日资产统计!A:A,汇总统计!F230,逐日资产统计!M:M)-SUMIFS(逐日资产统计!M:M,逐日资产统计!A:A,汇总统计!F230,逐日资产统计!C:C,"人民币")</f>
        <v>1.0571976313650291</v>
      </c>
      <c r="P230" s="198">
        <v>506139.48</v>
      </c>
      <c r="Q230" s="259">
        <f t="shared" si="81"/>
        <v>-23268.960000000021</v>
      </c>
    </row>
    <row r="231" spans="1:17" x14ac:dyDescent="0.25">
      <c r="A231" s="205">
        <v>43189</v>
      </c>
      <c r="B231" s="192">
        <v>424.09999999999764</v>
      </c>
      <c r="C231">
        <f>SUM($B$2:B231)</f>
        <v>18480.832000000017</v>
      </c>
      <c r="F231" s="210">
        <f t="shared" si="76"/>
        <v>43189</v>
      </c>
      <c r="G231" s="213">
        <f>SUMIFS(逐日资产统计!$I:$I,逐日资产统计!$A:$A,F231,逐日资产统计!$C:$C,"人民币")</f>
        <v>0</v>
      </c>
      <c r="H231" s="212">
        <f>SUMIF(逐日资产统计!$A:$A,汇总统计!$F231,逐日资产统计!$I:$I)-G231</f>
        <v>483294.62</v>
      </c>
      <c r="I231" s="207">
        <f t="shared" si="77"/>
        <v>483294.62</v>
      </c>
      <c r="J231" s="212">
        <f>SUMIF(逐日资产统计!$A:$A,汇总统计!$F231,逐日资产统计!$G:$G)</f>
        <v>-4946.2500000000009</v>
      </c>
      <c r="K231" s="223">
        <f t="shared" si="78"/>
        <v>488240.87</v>
      </c>
      <c r="L231" s="222">
        <f t="shared" si="79"/>
        <v>0</v>
      </c>
      <c r="M231" s="219">
        <f t="shared" si="80"/>
        <v>-1.0130757795839584E-2</v>
      </c>
      <c r="N231" s="221">
        <f>SUMIFS(逐日资产统计!M:M,逐日资产统计!A:A,汇总统计!F231,逐日资产统计!C:C,"人民币")</f>
        <v>0</v>
      </c>
      <c r="O231" s="221">
        <f>SUMIF(逐日资产统计!A:A,汇总统计!F231,逐日资产统计!M:M)-SUMIFS(逐日资产统计!M:M,逐日资产统计!A:A,汇总统计!F231,逐日资产统计!C:C,"人民币")</f>
        <v>1.0562796871192148</v>
      </c>
      <c r="P231" s="198">
        <v>506206.74</v>
      </c>
      <c r="Q231" s="259">
        <f t="shared" si="81"/>
        <v>-22912.119999999995</v>
      </c>
    </row>
    <row r="232" spans="1:17" x14ac:dyDescent="0.25">
      <c r="A232" s="205">
        <v>43192</v>
      </c>
      <c r="B232" s="192">
        <v>-454.97000000000025</v>
      </c>
      <c r="C232">
        <f>SUM($B$2:B232)</f>
        <v>18025.862000000016</v>
      </c>
      <c r="F232" s="210">
        <f t="shared" si="76"/>
        <v>43192</v>
      </c>
      <c r="G232" s="213">
        <f>SUMIFS(逐日资产统计!$I:$I,逐日资产统计!$A:$A,F232,逐日资产统计!$C:$C,"人民币")</f>
        <v>0</v>
      </c>
      <c r="H232" s="212">
        <f>SUMIF(逐日资产统计!$A:$A,汇总统计!$F232,逐日资产统计!$I:$I)-G232</f>
        <v>482846.89</v>
      </c>
      <c r="I232" s="207">
        <f t="shared" si="77"/>
        <v>482846.89</v>
      </c>
      <c r="J232" s="212">
        <f>SUMIF(逐日资产统计!$A:$A,汇总统计!$F232,逐日资产统计!$G:$G)</f>
        <v>-5401.2200000000012</v>
      </c>
      <c r="K232" s="223">
        <f t="shared" si="78"/>
        <v>488248.11</v>
      </c>
      <c r="L232" s="222">
        <f t="shared" si="79"/>
        <v>7.2399999999906868</v>
      </c>
      <c r="M232" s="219">
        <f t="shared" si="80"/>
        <v>-1.1062449376404142E-2</v>
      </c>
      <c r="N232" s="221">
        <f>SUMIFS(逐日资产统计!M:M,逐日资产统计!A:A,汇总统计!F232,逐日资产统计!C:C,"人民币")</f>
        <v>0</v>
      </c>
      <c r="O232" s="221">
        <f>SUMIF(逐日资产统计!A:A,汇总统计!F232,逐日资产统计!M:M)-SUMIFS(逐日资产统计!M:M,逐日资产统计!A:A,汇总统计!F232,逐日资产统计!C:C,"人民币")</f>
        <v>1.0572873525187254</v>
      </c>
      <c r="P232" s="198">
        <v>506408.52</v>
      </c>
      <c r="Q232" s="259">
        <f t="shared" si="81"/>
        <v>-23561.630000000005</v>
      </c>
    </row>
    <row r="233" spans="1:17" x14ac:dyDescent="0.25">
      <c r="A233" s="205">
        <v>43193</v>
      </c>
      <c r="B233" s="192">
        <v>-5747.6400000000031</v>
      </c>
      <c r="C233">
        <f>SUM($B$2:B233)</f>
        <v>12278.222000000012</v>
      </c>
      <c r="F233" s="210">
        <f t="shared" si="76"/>
        <v>43193</v>
      </c>
      <c r="G233" s="213">
        <f>SUMIFS(逐日资产统计!$I:$I,逐日资产统计!$A:$A,F233,逐日资产统计!$C:$C,"人民币")</f>
        <v>0</v>
      </c>
      <c r="H233" s="212">
        <f>SUMIF(逐日资产统计!$A:$A,汇总统计!$F233,逐日资产统计!$I:$I)-G233</f>
        <v>477099.25000000006</v>
      </c>
      <c r="I233" s="207">
        <f t="shared" si="77"/>
        <v>477099.25000000006</v>
      </c>
      <c r="J233" s="212">
        <f>SUMIF(逐日资产统计!$A:$A,汇总统计!$F233,逐日资产统计!$G:$G)</f>
        <v>-11148.860000000004</v>
      </c>
      <c r="K233" s="223">
        <f t="shared" si="78"/>
        <v>488248.11000000004</v>
      </c>
      <c r="L233" s="222">
        <f t="shared" si="79"/>
        <v>0</v>
      </c>
      <c r="M233" s="219">
        <f t="shared" si="80"/>
        <v>-2.2834415068191463E-2</v>
      </c>
      <c r="N233" s="221">
        <f>SUMIFS(逐日资产统计!M:M,逐日资产统计!A:A,汇总统计!F233,逐日资产统计!C:C,"人民币")</f>
        <v>0</v>
      </c>
      <c r="O233" s="221">
        <f>SUMIF(逐日资产统计!A:A,汇总统计!F233,逐日资产统计!M:M)-SUMIFS(逐日资产统计!M:M,逐日资产统计!A:A,汇总统计!F233,逐日资产统计!C:C,"人民币")</f>
        <v>1.0700517345185507</v>
      </c>
      <c r="P233" s="198">
        <v>506475.78</v>
      </c>
      <c r="Q233" s="259">
        <f t="shared" si="81"/>
        <v>-29376.52999999997</v>
      </c>
    </row>
    <row r="234" spans="1:17" x14ac:dyDescent="0.25">
      <c r="A234" s="205">
        <v>43194</v>
      </c>
      <c r="B234" s="192">
        <v>1455.0900000000074</v>
      </c>
      <c r="C234">
        <f>SUM($B$2:B234)</f>
        <v>13733.31200000002</v>
      </c>
      <c r="F234" s="210">
        <f t="shared" si="76"/>
        <v>43194</v>
      </c>
      <c r="G234" s="213">
        <f>SUMIFS(逐日资产统计!$I:$I,逐日资产统计!$A:$A,F234,逐日资产统计!$C:$C,"人民币")</f>
        <v>0</v>
      </c>
      <c r="H234" s="212">
        <f>SUMIF(逐日资产统计!$A:$A,汇总统计!$F234,逐日资产统计!$I:$I)-G234</f>
        <v>478554.34</v>
      </c>
      <c r="I234" s="207">
        <f t="shared" si="77"/>
        <v>478554.34</v>
      </c>
      <c r="J234" s="212">
        <f>SUMIF(逐日资产统计!$A:$A,汇总统计!$F234,逐日资产统计!$G:$G)</f>
        <v>-9693.7699999999968</v>
      </c>
      <c r="K234" s="223">
        <f t="shared" si="78"/>
        <v>488248.11000000004</v>
      </c>
      <c r="L234" s="222">
        <f t="shared" si="79"/>
        <v>0</v>
      </c>
      <c r="M234" s="219">
        <f t="shared" si="80"/>
        <v>-1.9854188478067015E-2</v>
      </c>
      <c r="N234" s="221">
        <f>SUMIFS(逐日资产统计!M:M,逐日资产统计!A:A,汇总统计!F234,逐日资产统计!C:C,"人民币")</f>
        <v>0</v>
      </c>
      <c r="O234" s="221">
        <f>SUMIF(逐日资产统计!A:A,汇总统计!F234,逐日资产统计!M:M)-SUMIFS(逐日资产统计!M:M,逐日资产统计!A:A,汇总统计!F234,逐日资产统计!C:C,"人民币")</f>
        <v>1.0668098423263692</v>
      </c>
      <c r="P234" s="198">
        <v>506543.04</v>
      </c>
      <c r="Q234" s="259">
        <f t="shared" si="81"/>
        <v>-27988.699999999953</v>
      </c>
    </row>
    <row r="235" spans="1:17" x14ac:dyDescent="0.25">
      <c r="A235" s="205">
        <v>43199</v>
      </c>
      <c r="B235" s="192">
        <v>-4829.0600000000049</v>
      </c>
      <c r="C235">
        <f>SUM($B$2:B235)</f>
        <v>8904.252000000015</v>
      </c>
      <c r="F235" s="210">
        <f t="shared" si="76"/>
        <v>43199</v>
      </c>
      <c r="G235" s="213">
        <f>SUMIFS(逐日资产统计!$I:$I,逐日资产统计!$A:$A,F235,逐日资产统计!$C:$C,"人民币")</f>
        <v>0</v>
      </c>
      <c r="H235" s="212">
        <f>SUMIF(逐日资产统计!$A:$A,汇总统计!$F235,逐日资产统计!$I:$I)-G235</f>
        <v>473725.27999999997</v>
      </c>
      <c r="I235" s="207">
        <f t="shared" si="77"/>
        <v>473725.27999999997</v>
      </c>
      <c r="J235" s="212">
        <f>SUMIF(逐日资产统计!$A:$A,汇总统计!$F235,逐日资产统计!$G:$G)</f>
        <v>-14522.830000000002</v>
      </c>
      <c r="K235" s="223">
        <f t="shared" si="78"/>
        <v>488248.11</v>
      </c>
      <c r="L235" s="222">
        <f t="shared" si="79"/>
        <v>0</v>
      </c>
      <c r="M235" s="219">
        <f t="shared" si="80"/>
        <v>-2.9744774639271009E-2</v>
      </c>
      <c r="N235" s="221">
        <f>SUMIFS(逐日资产统计!M:M,逐日资产统计!A:A,汇总统计!F235,逐日资产统计!C:C,"人民币")</f>
        <v>0</v>
      </c>
      <c r="O235" s="221">
        <f>SUMIF(逐日资产统计!A:A,汇总统计!F235,逐日资产统计!M:M)-SUMIFS(逐日资产统计!M:M,逐日资产统计!A:A,汇总统计!F235,逐日资产统计!C:C,"人民币")</f>
        <v>1.0776943759471727</v>
      </c>
      <c r="P235" s="198">
        <v>506879.34</v>
      </c>
      <c r="Q235" s="259">
        <f t="shared" si="81"/>
        <v>-33154.060000000056</v>
      </c>
    </row>
    <row r="236" spans="1:17" x14ac:dyDescent="0.25">
      <c r="A236" s="205">
        <v>43200</v>
      </c>
      <c r="B236" s="192">
        <v>4413.1900000000023</v>
      </c>
      <c r="C236">
        <f>SUM($B$2:B236)</f>
        <v>13317.442000000017</v>
      </c>
      <c r="F236" s="210">
        <f t="shared" si="76"/>
        <v>43200</v>
      </c>
      <c r="G236" s="213">
        <f>SUMIFS(逐日资产统计!$I:$I,逐日资产统计!$A:$A,F236,逐日资产统计!$C:$C,"人民币")</f>
        <v>0</v>
      </c>
      <c r="H236" s="212">
        <f>SUMIF(逐日资产统计!$A:$A,汇总统计!$F236,逐日资产统计!$I:$I)-G236</f>
        <v>478138.47</v>
      </c>
      <c r="I236" s="207">
        <f t="shared" si="77"/>
        <v>478138.47</v>
      </c>
      <c r="J236" s="212">
        <f>SUMIF(逐日资产统计!$A:$A,汇总统计!$F236,逐日资产统计!$G:$G)</f>
        <v>-10109.64</v>
      </c>
      <c r="K236" s="223">
        <f t="shared" si="78"/>
        <v>488248.11</v>
      </c>
      <c r="L236" s="222">
        <f t="shared" si="79"/>
        <v>0</v>
      </c>
      <c r="M236" s="219">
        <f t="shared" si="80"/>
        <v>-2.0705948047602271E-2</v>
      </c>
      <c r="N236" s="221">
        <f>SUMIFS(逐日资产统计!M:M,逐日资产统计!A:A,汇总统计!F236,逐日资产统计!C:C,"人民币")</f>
        <v>0</v>
      </c>
      <c r="O236" s="221">
        <f>SUMIF(逐日资产统计!A:A,汇总统计!F236,逐日资产统计!M:M)-SUMIFS(逐日资产统计!M:M,逐日资产统计!A:A,汇总统计!F236,逐日资产统计!C:C,"人民币")</f>
        <v>1.0677925789991338</v>
      </c>
      <c r="P236" s="198">
        <v>506946.6</v>
      </c>
      <c r="Q236" s="259">
        <f t="shared" si="81"/>
        <v>-28808.130000000005</v>
      </c>
    </row>
    <row r="237" spans="1:17" x14ac:dyDescent="0.25">
      <c r="A237" s="205">
        <v>43201</v>
      </c>
      <c r="B237" s="192">
        <v>2844.3300000000017</v>
      </c>
      <c r="C237">
        <f>SUM($B$2:B237)</f>
        <v>16161.772000000019</v>
      </c>
      <c r="F237" s="210">
        <f t="shared" si="76"/>
        <v>43201</v>
      </c>
      <c r="G237" s="213">
        <f>SUMIFS(逐日资产统计!$I:$I,逐日资产统计!$A:$A,F237,逐日资产统计!$C:$C,"人民币")</f>
        <v>0</v>
      </c>
      <c r="H237" s="212">
        <f>SUMIF(逐日资产统计!$A:$A,汇总统计!$F237,逐日资产统计!$I:$I)-G237</f>
        <v>480982.86</v>
      </c>
      <c r="I237" s="207">
        <f t="shared" si="77"/>
        <v>480982.86</v>
      </c>
      <c r="J237" s="212">
        <f>SUMIF(逐日资产统计!$A:$A,汇总统计!$F237,逐日资产统计!$G:$G)</f>
        <v>-7265.3099999999977</v>
      </c>
      <c r="K237" s="223">
        <f t="shared" si="78"/>
        <v>488248.17</v>
      </c>
      <c r="L237" s="222">
        <f t="shared" si="79"/>
        <v>5.9999999997671694E-2</v>
      </c>
      <c r="M237" s="219">
        <f t="shared" si="80"/>
        <v>-1.488036299245115E-2</v>
      </c>
      <c r="N237" s="221">
        <f>SUMIFS(逐日资产统计!M:M,逐日资产统计!A:A,汇总统计!F237,逐日资产统计!C:C,"人民币")</f>
        <v>0</v>
      </c>
      <c r="O237" s="221">
        <f>SUMIF(逐日资产统计!A:A,汇总统计!F237,逐日资产统计!M:M)-SUMIFS(逐日资产统计!M:M,逐日资产统计!A:A,汇总统计!F237,逐日资产统计!C:C,"人民币")</f>
        <v>1.0658100165980984</v>
      </c>
      <c r="P237" s="198">
        <v>507013.86</v>
      </c>
      <c r="Q237" s="259">
        <f t="shared" si="81"/>
        <v>-26031</v>
      </c>
    </row>
    <row r="238" spans="1:17" x14ac:dyDescent="0.25">
      <c r="A238" s="205">
        <v>43202</v>
      </c>
      <c r="B238" s="192">
        <v>-1464.9100000000035</v>
      </c>
      <c r="C238">
        <f>SUM($B$2:B238)</f>
        <v>14696.862000000016</v>
      </c>
      <c r="F238" s="210">
        <f t="shared" si="76"/>
        <v>43202</v>
      </c>
      <c r="G238" s="213">
        <f>SUMIFS(逐日资产统计!$I:$I,逐日资产统计!$A:$A,F238,逐日资产统计!$C:$C,"人民币")</f>
        <v>0</v>
      </c>
      <c r="H238" s="212">
        <f>SUMIF(逐日资产统计!$A:$A,汇总统计!$F238,逐日资产统计!$I:$I)-G238</f>
        <v>479517.94999999995</v>
      </c>
      <c r="I238" s="207">
        <f t="shared" si="77"/>
        <v>479517.94999999995</v>
      </c>
      <c r="J238" s="212">
        <f>SUMIF(逐日资产统计!$A:$A,汇总统计!$F238,逐日资产统计!$G:$G)</f>
        <v>-8730.2200000000012</v>
      </c>
      <c r="K238" s="223">
        <f t="shared" si="78"/>
        <v>488248.16999999993</v>
      </c>
      <c r="L238" s="222">
        <f t="shared" si="79"/>
        <v>0</v>
      </c>
      <c r="M238" s="219">
        <f t="shared" si="80"/>
        <v>-1.7880701938934051E-2</v>
      </c>
      <c r="N238" s="221">
        <f>SUMIFS(逐日资产统计!M:M,逐日资产统计!A:A,汇总统计!F238,逐日资产统计!C:C,"人民币")</f>
        <v>0</v>
      </c>
      <c r="O238" s="221">
        <f>SUMIF(逐日资产统计!A:A,汇总统计!F238,逐日资产统计!M:M)-SUMIFS(逐日资产统计!M:M,逐日资产统计!A:A,汇总统计!F238,逐日资产统计!C:C,"人民币")</f>
        <v>1.0690746196258147</v>
      </c>
      <c r="P238" s="198">
        <v>507081.12</v>
      </c>
      <c r="Q238" s="259">
        <f t="shared" si="81"/>
        <v>-27563.170000000042</v>
      </c>
    </row>
    <row r="239" spans="1:17" x14ac:dyDescent="0.25">
      <c r="A239" s="205">
        <v>43203</v>
      </c>
      <c r="B239" s="192">
        <v>-362.37999999999738</v>
      </c>
      <c r="C239">
        <f>SUM($B$2:B239)</f>
        <v>14334.482000000018</v>
      </c>
      <c r="F239" s="210">
        <f t="shared" si="76"/>
        <v>43203</v>
      </c>
      <c r="G239" s="213">
        <f>SUMIFS(逐日资产统计!$I:$I,逐日资产统计!$A:$A,F239,逐日资产统计!$C:$C,"人民币")</f>
        <v>0</v>
      </c>
      <c r="H239" s="212">
        <f>SUMIF(逐日资产统计!$A:$A,汇总统计!$F239,逐日资产统计!$I:$I)-G239</f>
        <v>479155.57</v>
      </c>
      <c r="I239" s="207">
        <f t="shared" si="77"/>
        <v>479155.57</v>
      </c>
      <c r="J239" s="212">
        <f>SUMIF(逐日资产统计!$A:$A,汇总统计!$F239,逐日资产统计!$G:$G)</f>
        <v>-9092.5999999999985</v>
      </c>
      <c r="K239" s="223">
        <f t="shared" si="78"/>
        <v>488248.17</v>
      </c>
      <c r="L239" s="222">
        <f t="shared" si="79"/>
        <v>0</v>
      </c>
      <c r="M239" s="219">
        <f t="shared" si="80"/>
        <v>-1.8622906461687298E-2</v>
      </c>
      <c r="N239" s="221">
        <f>SUMIFS(逐日资产统计!M:M,逐日资产统计!A:A,汇总统计!F239,逐日资产统计!C:C,"人民币")</f>
        <v>0</v>
      </c>
      <c r="O239" s="221">
        <f>SUMIF(逐日资产统计!A:A,汇总统计!F239,逐日资产统计!M:M)-SUMIFS(逐日资产统计!M:M,逐日资产统计!A:A,汇总统计!F239,逐日资产统计!C:C,"人民币")</f>
        <v>1.0698948777742483</v>
      </c>
      <c r="P239" s="198">
        <v>507081.12</v>
      </c>
      <c r="Q239" s="259">
        <f t="shared" si="81"/>
        <v>-27925.549999999988</v>
      </c>
    </row>
    <row r="240" spans="1:17" x14ac:dyDescent="0.25">
      <c r="A240" s="205">
        <v>43206</v>
      </c>
      <c r="B240" s="192">
        <v>-7982.1200000000026</v>
      </c>
      <c r="C240">
        <f>SUM($B$2:B240)</f>
        <v>6352.3620000000155</v>
      </c>
      <c r="F240" s="210">
        <f t="shared" si="76"/>
        <v>43206</v>
      </c>
      <c r="G240" s="213">
        <f>SUMIFS(逐日资产统计!$I:$I,逐日资产统计!$A:$A,F240,逐日资产统计!$C:$C,"人民币")</f>
        <v>0</v>
      </c>
      <c r="H240" s="212">
        <f>SUMIF(逐日资产统计!$A:$A,汇总统计!$F240,逐日资产统计!$I:$I)-G240</f>
        <v>471173.39</v>
      </c>
      <c r="I240" s="207">
        <f t="shared" si="77"/>
        <v>471173.39</v>
      </c>
      <c r="J240" s="212">
        <f>SUMIF(逐日资产统计!$A:$A,汇总统计!$F240,逐日资产统计!$G:$G)</f>
        <v>-17074.72</v>
      </c>
      <c r="K240" s="223">
        <f t="shared" si="78"/>
        <v>488248.11</v>
      </c>
      <c r="L240" s="222">
        <f t="shared" si="79"/>
        <v>-5.9999999997671694E-2</v>
      </c>
      <c r="M240" s="219">
        <f t="shared" si="80"/>
        <v>-3.4971400094103801E-2</v>
      </c>
      <c r="N240" s="221">
        <f>SUMIFS(逐日资产统计!M:M,逐日资产统计!A:A,汇总统计!F240,逐日资产统计!C:C,"人民币")</f>
        <v>0</v>
      </c>
      <c r="O240" s="221">
        <f>SUMIF(逐日资产统计!A:A,汇总统计!F240,逐日资产统计!M:M)-SUMIFS(逐日资产统计!M:M,逐日资产统计!A:A,汇总统计!F240,逐日资产统计!C:C,"人民币")</f>
        <v>1.0836193232389455</v>
      </c>
      <c r="P240" s="198">
        <v>507350.16</v>
      </c>
      <c r="Q240" s="259">
        <f t="shared" si="81"/>
        <v>-36176.76999999996</v>
      </c>
    </row>
    <row r="241" spans="1:17" x14ac:dyDescent="0.25">
      <c r="A241" s="205">
        <v>43207</v>
      </c>
      <c r="B241" s="192">
        <v>-2378.6599999999962</v>
      </c>
      <c r="C241">
        <f>SUM($B$2:B241)</f>
        <v>3973.7020000000193</v>
      </c>
      <c r="F241" s="210">
        <f t="shared" si="76"/>
        <v>43207</v>
      </c>
      <c r="G241" s="213">
        <f>SUMIFS(逐日资产统计!$I:$I,逐日资产统计!$A:$A,F241,逐日资产统计!$C:$C,"人民币")</f>
        <v>0</v>
      </c>
      <c r="H241" s="212">
        <f>SUMIF(逐日资产统计!$A:$A,汇总统计!$F241,逐日资产统计!$I:$I)-G241</f>
        <v>468794.73000000004</v>
      </c>
      <c r="I241" s="207">
        <f t="shared" si="77"/>
        <v>468794.73000000004</v>
      </c>
      <c r="J241" s="212">
        <f>SUMIF(逐日资产统计!$A:$A,汇总统计!$F241,逐日资产统计!$G:$G)</f>
        <v>-19453.379999999997</v>
      </c>
      <c r="K241" s="223">
        <f t="shared" si="78"/>
        <v>488248.11000000004</v>
      </c>
      <c r="L241" s="222">
        <f t="shared" si="79"/>
        <v>0</v>
      </c>
      <c r="M241" s="219">
        <f t="shared" si="80"/>
        <v>-3.9843226428464815E-2</v>
      </c>
      <c r="N241" s="221">
        <f>SUMIFS(逐日资产统计!M:M,逐日资产统计!A:A,汇总统计!F241,逐日资产统计!C:C,"人民币")</f>
        <v>0</v>
      </c>
      <c r="O241" s="221">
        <f>SUMIF(逐日资产统计!A:A,汇总统计!F241,逐日资产统计!M:M)-SUMIFS(逐日资产统计!M:M,逐日资产统计!A:A,汇总统计!F241,逐日资产统计!C:C,"人民币")</f>
        <v>1.0891515141392474</v>
      </c>
      <c r="P241" s="198">
        <v>507417.42</v>
      </c>
      <c r="Q241" s="259">
        <f t="shared" si="81"/>
        <v>-38622.689999999944</v>
      </c>
    </row>
    <row r="242" spans="1:17" x14ac:dyDescent="0.25">
      <c r="A242" s="205">
        <v>43208</v>
      </c>
      <c r="B242" s="192">
        <v>5564.9199999999983</v>
      </c>
      <c r="C242">
        <f>SUM($B$2:B242)</f>
        <v>9538.6220000000176</v>
      </c>
      <c r="F242" s="210">
        <f t="shared" si="76"/>
        <v>43208</v>
      </c>
      <c r="G242" s="213">
        <f>SUMIFS(逐日资产统计!$I:$I,逐日资产统计!$A:$A,F242,逐日资产统计!$C:$C,"人民币")</f>
        <v>0</v>
      </c>
      <c r="H242" s="212">
        <f>SUMIF(逐日资产统计!$A:$A,汇总统计!$F242,逐日资产统计!$I:$I)-G242</f>
        <v>474359.65</v>
      </c>
      <c r="I242" s="207">
        <f t="shared" si="77"/>
        <v>474359.65</v>
      </c>
      <c r="J242" s="212">
        <f>SUMIF(逐日资产统计!$A:$A,汇总统计!$F242,逐日资产统计!$G:$G)</f>
        <v>-13888.46</v>
      </c>
      <c r="K242" s="223">
        <f t="shared" si="78"/>
        <v>488248.11000000004</v>
      </c>
      <c r="L242" s="222">
        <f t="shared" si="79"/>
        <v>0</v>
      </c>
      <c r="M242" s="219">
        <f t="shared" si="80"/>
        <v>-2.8445496696341534E-2</v>
      </c>
      <c r="N242" s="221">
        <f>SUMIFS(逐日资产统计!M:M,逐日资产统计!A:A,汇总统计!F242,逐日资产统计!C:C,"人民币")</f>
        <v>0</v>
      </c>
      <c r="O242" s="221">
        <f>SUMIF(逐日资产统计!A:A,汇总统计!F242,逐日资产统计!M:M)-SUMIFS(逐日资产统计!M:M,逐日资产统计!A:A,汇总统计!F242,逐日资产统计!C:C,"人民币")</f>
        <v>1.076382634990138</v>
      </c>
      <c r="P242" s="198">
        <v>507484.68</v>
      </c>
      <c r="Q242" s="259">
        <f t="shared" si="81"/>
        <v>-33125.02999999997</v>
      </c>
    </row>
    <row r="243" spans="1:17" x14ac:dyDescent="0.25">
      <c r="A243" s="205">
        <v>43209</v>
      </c>
      <c r="B243" s="192">
        <v>3246.4399999999987</v>
      </c>
      <c r="C243">
        <f>SUM($B$2:B243)</f>
        <v>12785.062000000016</v>
      </c>
      <c r="F243" s="210">
        <f t="shared" si="76"/>
        <v>43209</v>
      </c>
      <c r="G243" s="213">
        <f>SUMIFS(逐日资产统计!$I:$I,逐日资产统计!$A:$A,F243,逐日资产统计!$C:$C,"人民币")</f>
        <v>0</v>
      </c>
      <c r="H243" s="212">
        <f>SUMIF(逐日资产统计!$A:$A,汇总统计!$F243,逐日资产统计!$I:$I)-G243</f>
        <v>477606.07</v>
      </c>
      <c r="I243" s="207">
        <f t="shared" si="77"/>
        <v>477606.07</v>
      </c>
      <c r="J243" s="212">
        <f>SUMIF(逐日资产统计!$A:$A,汇总统计!$F243,逐日资产统计!$G:$G)</f>
        <v>-10642.02</v>
      </c>
      <c r="K243" s="223">
        <f t="shared" si="78"/>
        <v>488248.09</v>
      </c>
      <c r="L243" s="222">
        <f t="shared" si="79"/>
        <v>-2.0000000018626451E-2</v>
      </c>
      <c r="M243" s="219">
        <f t="shared" si="80"/>
        <v>-2.179633718587614E-2</v>
      </c>
      <c r="N243" s="221">
        <f>SUMIFS(逐日资产统计!M:M,逐日资产统计!A:A,汇总统计!F243,逐日资产统计!C:C,"人民币")</f>
        <v>0</v>
      </c>
      <c r="O243" s="221">
        <f>SUMIF(逐日资产统计!A:A,汇总统计!F243,逐日资产统计!M:M)-SUMIFS(逐日资产统计!M:M,逐日资产统计!A:A,汇总统计!F243,逐日资产统计!C:C,"人民币")</f>
        <v>1.0756249810644152</v>
      </c>
      <c r="P243" s="198">
        <v>507551.94</v>
      </c>
      <c r="Q243" s="259">
        <f t="shared" si="81"/>
        <v>-29945.869999999995</v>
      </c>
    </row>
    <row r="244" spans="1:17" x14ac:dyDescent="0.25">
      <c r="A244" s="205">
        <v>43213</v>
      </c>
      <c r="B244" s="192">
        <v>-5023.1400000000031</v>
      </c>
      <c r="C244">
        <f>SUM($B$2:B244)</f>
        <v>7761.9220000000132</v>
      </c>
      <c r="F244" s="210">
        <f t="shared" si="76"/>
        <v>43213</v>
      </c>
      <c r="G244" s="213">
        <f>SUMIFS(逐日资产统计!$I:$I,逐日资产统计!$A:$A,F244,逐日资产统计!$C:$C,"人民币")</f>
        <v>0</v>
      </c>
      <c r="H244" s="212">
        <f>SUMIF(逐日资产统计!$A:$A,汇总统计!$F244,逐日资产统计!$I:$I)-G244</f>
        <v>472582.95999999996</v>
      </c>
      <c r="I244" s="207">
        <f t="shared" si="77"/>
        <v>472582.95999999996</v>
      </c>
      <c r="J244" s="212">
        <f>SUMIF(逐日资产统计!$A:$A,汇总统计!$F244,逐日资产统计!$G:$G)</f>
        <v>-15665.160000000003</v>
      </c>
      <c r="K244" s="223">
        <f t="shared" si="78"/>
        <v>488248.12</v>
      </c>
      <c r="L244" s="222">
        <f t="shared" si="79"/>
        <v>2.9999999969732016E-2</v>
      </c>
      <c r="M244" s="219">
        <f t="shared" si="80"/>
        <v>-3.2084424615910462E-2</v>
      </c>
      <c r="N244" s="221">
        <f>SUMIFS(逐日资产统计!M:M,逐日资产统计!A:A,汇总统计!F244,逐日资产统计!C:C,"人民币")</f>
        <v>0</v>
      </c>
      <c r="O244" s="221">
        <f>SUMIF(逐日资产统计!A:A,汇总统计!F244,逐日资产统计!M:M)-SUMIFS(逐日资产统计!M:M,逐日资产统计!A:A,汇总统计!F244,逐日资产统计!C:C,"人民币")</f>
        <v>1.0794206164352598</v>
      </c>
      <c r="P244" s="198">
        <v>507820.98</v>
      </c>
      <c r="Q244" s="259">
        <f t="shared" si="81"/>
        <v>-35238.020000000019</v>
      </c>
    </row>
    <row r="245" spans="1:17" x14ac:dyDescent="0.25">
      <c r="A245" s="205">
        <v>43214</v>
      </c>
      <c r="B245" s="192">
        <v>6628.4000000000015</v>
      </c>
      <c r="C245">
        <f>SUM($B$2:B245)</f>
        <v>14390.322000000015</v>
      </c>
      <c r="F245" s="210">
        <f t="shared" si="76"/>
        <v>43214</v>
      </c>
      <c r="G245" s="213">
        <f>SUMIFS(逐日资产统计!$I:$I,逐日资产统计!$A:$A,F245,逐日资产统计!$C:$C,"人民币")</f>
        <v>0</v>
      </c>
      <c r="H245" s="212">
        <f>SUMIF(逐日资产统计!$A:$A,汇总统计!$F245,逐日资产统计!$I:$I)-G245</f>
        <v>479211.29000000004</v>
      </c>
      <c r="I245" s="207">
        <f t="shared" si="77"/>
        <v>479211.29000000004</v>
      </c>
      <c r="J245" s="212">
        <f>SUMIF(逐日资产统计!$A:$A,汇总统计!$F245,逐日资产统计!$G:$G)</f>
        <v>-9036.760000000002</v>
      </c>
      <c r="K245" s="223">
        <f t="shared" si="78"/>
        <v>488248.05000000005</v>
      </c>
      <c r="L245" s="222">
        <f t="shared" si="79"/>
        <v>-6.9999999948777258E-2</v>
      </c>
      <c r="M245" s="219">
        <f t="shared" si="80"/>
        <v>-1.8508542942465414E-2</v>
      </c>
      <c r="N245" s="221">
        <f>SUMIFS(逐日资产统计!M:M,逐日资产统计!A:A,汇总统计!F245,逐日资产统计!C:C,"人民币")</f>
        <v>0</v>
      </c>
      <c r="O245" s="221">
        <f>SUMIF(逐日资产统计!A:A,汇总统计!F245,逐日资产统计!M:M)-SUMIFS(逐日资产统计!M:M,逐日资产统计!A:A,汇总统计!F245,逐日资产统计!C:C,"人民币")</f>
        <v>1.0692317578744863</v>
      </c>
      <c r="P245" s="198">
        <v>507888.24</v>
      </c>
      <c r="Q245" s="259">
        <f t="shared" si="81"/>
        <v>-28676.949999999953</v>
      </c>
    </row>
    <row r="246" spans="1:17" x14ac:dyDescent="0.25">
      <c r="A246" s="205">
        <v>43215</v>
      </c>
      <c r="B246" s="192">
        <v>-201.54000000000087</v>
      </c>
      <c r="C246">
        <f>SUM($B$2:B246)</f>
        <v>14188.782000000014</v>
      </c>
      <c r="F246" s="210">
        <f t="shared" si="76"/>
        <v>43215</v>
      </c>
      <c r="G246" s="213">
        <f>SUMIFS(逐日资产统计!$I:$I,逐日资产统计!$A:$A,F246,逐日资产统计!$C:$C,"人民币")</f>
        <v>0</v>
      </c>
      <c r="H246" s="212">
        <f>SUMIF(逐日资产统计!$A:$A,汇总统计!$F246,逐日资产统计!$I:$I)-G246</f>
        <v>479014.86</v>
      </c>
      <c r="I246" s="207">
        <f t="shared" si="77"/>
        <v>479014.86</v>
      </c>
      <c r="J246" s="212">
        <f>SUMIF(逐日资产统计!$A:$A,汇总统计!$F246,逐日资产统计!$G:$G)</f>
        <v>-9238.3000000000029</v>
      </c>
      <c r="K246" s="223">
        <f t="shared" si="78"/>
        <v>488253.16</v>
      </c>
      <c r="L246" s="222">
        <f t="shared" si="79"/>
        <v>5.1099999999278225</v>
      </c>
      <c r="M246" s="219">
        <f t="shared" si="80"/>
        <v>-1.8921126900643109E-2</v>
      </c>
      <c r="N246" s="221">
        <f>SUMIFS(逐日资产统计!M:M,逐日资产统计!A:A,汇总统计!F246,逐日资产统计!C:C,"人民币")</f>
        <v>0</v>
      </c>
      <c r="O246" s="221">
        <f>SUMIF(逐日资产统计!A:A,汇总统计!F246,逐日资产统计!M:M)-SUMIFS(逐日资产统计!M:M,逐日资产统计!A:A,汇总统计!F246,逐日资产统计!C:C,"人民币")</f>
        <v>1.0696943723207253</v>
      </c>
      <c r="P246" s="198">
        <v>507955.5</v>
      </c>
      <c r="Q246" s="259">
        <f t="shared" si="81"/>
        <v>-28940.640000000014</v>
      </c>
    </row>
    <row r="247" spans="1:17" x14ac:dyDescent="0.25">
      <c r="A247" s="205">
        <v>43216</v>
      </c>
      <c r="B247" s="192">
        <v>-4452.7899999999972</v>
      </c>
      <c r="C247">
        <f>SUM($B$2:B247)</f>
        <v>9735.9920000000166</v>
      </c>
      <c r="F247" s="210">
        <f t="shared" si="76"/>
        <v>43216</v>
      </c>
      <c r="G247" s="213">
        <f>SUMIFS(逐日资产统计!$I:$I,逐日资产统计!$A:$A,F247,逐日资产统计!$C:$C,"人民币")</f>
        <v>0</v>
      </c>
      <c r="H247" s="212">
        <f>SUMIF(逐日资产统计!$A:$A,汇总统计!$F247,逐日资产统计!$I:$I)-G247</f>
        <v>474561.87</v>
      </c>
      <c r="I247" s="207">
        <f t="shared" si="77"/>
        <v>474561.87</v>
      </c>
      <c r="J247" s="212">
        <f>SUMIF(逐日资产统计!$A:$A,汇总统计!$F247,逐日资产统计!$G:$G)</f>
        <v>-13691.09</v>
      </c>
      <c r="K247" s="223">
        <f t="shared" si="78"/>
        <v>488252.96</v>
      </c>
      <c r="L247" s="222">
        <f t="shared" si="79"/>
        <v>-0.19999999995343387</v>
      </c>
      <c r="M247" s="219">
        <f t="shared" si="80"/>
        <v>-2.8040976955879589E-2</v>
      </c>
      <c r="N247" s="221">
        <f>SUMIFS(逐日资产统计!M:M,逐日资产统计!A:A,汇总统计!F247,逐日资产统计!C:C,"人民币")</f>
        <v>0</v>
      </c>
      <c r="O247" s="221">
        <f>SUMIF(逐日资产统计!A:A,汇总统计!F247,逐日资产统计!M:M)-SUMIFS(逐日资产统计!M:M,逐日资产统计!A:A,汇总统计!F247,逐日资产统计!C:C,"人民币")</f>
        <v>1.0797415308566611</v>
      </c>
      <c r="P247" s="198">
        <v>508022.76</v>
      </c>
      <c r="Q247" s="259">
        <f t="shared" si="81"/>
        <v>-33460.890000000014</v>
      </c>
    </row>
    <row r="248" spans="1:17" x14ac:dyDescent="0.25">
      <c r="A248" s="205">
        <v>43217</v>
      </c>
      <c r="B248" s="192">
        <v>3576.5500000000065</v>
      </c>
      <c r="C248">
        <f>SUM($B$2:B248)</f>
        <v>13312.542000000023</v>
      </c>
      <c r="F248" s="210">
        <f t="shared" si="76"/>
        <v>43217</v>
      </c>
      <c r="G248" s="213">
        <f>SUMIFS(逐日资产统计!$I:$I,逐日资产统计!$A:$A,F248,逐日资产统计!$C:$C,"人民币")</f>
        <v>0</v>
      </c>
      <c r="H248" s="212">
        <f>SUMIF(逐日资产统计!$A:$A,汇总统计!$F248,逐日资产统计!$I:$I)-G248</f>
        <v>478138.42</v>
      </c>
      <c r="I248" s="207">
        <f t="shared" si="77"/>
        <v>478138.42</v>
      </c>
      <c r="J248" s="212">
        <f>SUMIF(逐日资产统计!$A:$A,汇总统计!$F248,逐日资产统计!$G:$G)</f>
        <v>-10114.539999999994</v>
      </c>
      <c r="K248" s="223">
        <f t="shared" si="78"/>
        <v>488252.95999999996</v>
      </c>
      <c r="L248" s="222">
        <f t="shared" si="79"/>
        <v>0</v>
      </c>
      <c r="M248" s="219">
        <f t="shared" si="80"/>
        <v>-2.0715778149097128E-2</v>
      </c>
      <c r="N248" s="221">
        <f>SUMIFS(逐日资产统计!M:M,逐日资产统计!A:A,汇总统计!F248,逐日资产统计!C:C,"人民币")</f>
        <v>0</v>
      </c>
      <c r="O248" s="221">
        <f>SUMIF(逐日资产统计!A:A,汇总统计!F248,逐日资产统计!M:M)-SUMIFS(逐日资产统计!M:M,逐日资产统计!A:A,汇总统计!F248,逐日资产统计!C:C,"人民币")</f>
        <v>1.0716737006827444</v>
      </c>
      <c r="P248" s="198">
        <v>508090.02</v>
      </c>
      <c r="Q248" s="259">
        <f t="shared" si="81"/>
        <v>-29951.600000000035</v>
      </c>
    </row>
    <row r="249" spans="1:17" x14ac:dyDescent="0.25">
      <c r="A249" s="205">
        <v>43222</v>
      </c>
      <c r="B249" s="192">
        <v>-3615.3700000000063</v>
      </c>
      <c r="C249">
        <f>SUM($B$2:B249)</f>
        <v>9697.1720000000169</v>
      </c>
      <c r="F249" s="210">
        <f t="shared" si="76"/>
        <v>43222</v>
      </c>
      <c r="G249" s="213">
        <f>SUMIFS(逐日资产统计!$I:$I,逐日资产统计!$A:$A,F249,逐日资产统计!$C:$C,"人民币")</f>
        <v>0</v>
      </c>
      <c r="H249" s="212">
        <f>SUMIF(逐日资产统计!$A:$A,汇总统计!$F249,逐日资产统计!$I:$I)-G249</f>
        <v>474523.05</v>
      </c>
      <c r="I249" s="207">
        <f t="shared" si="77"/>
        <v>474523.05</v>
      </c>
      <c r="J249" s="212">
        <f>SUMIF(逐日资产统计!$A:$A,汇总统计!$F249,逐日资产统计!$G:$G)</f>
        <v>-13729.91</v>
      </c>
      <c r="K249" s="223">
        <f t="shared" si="78"/>
        <v>488252.95999999996</v>
      </c>
      <c r="L249" s="222">
        <f t="shared" si="79"/>
        <v>0</v>
      </c>
      <c r="M249" s="219">
        <f t="shared" si="80"/>
        <v>-2.8120484922405799E-2</v>
      </c>
      <c r="N249" s="221">
        <f>SUMIFS(逐日资产统计!M:M,逐日资产统计!A:A,汇总统计!F249,逐日资产统计!C:C,"人民币")</f>
        <v>0</v>
      </c>
      <c r="O249" s="221">
        <f>SUMIF(逐日资产统计!A:A,汇总统计!F249,逐日资产统计!M:M)-SUMIFS(逐日资产统计!M:M,逐日资产统计!A:A,汇总统计!F249,逐日资产统计!C:C,"人民币")</f>
        <v>1.0798505994598153</v>
      </c>
      <c r="P249" s="198">
        <v>508426.32</v>
      </c>
      <c r="Q249" s="259">
        <f t="shared" si="81"/>
        <v>-33903.270000000019</v>
      </c>
    </row>
    <row r="250" spans="1:17" x14ac:dyDescent="0.25">
      <c r="A250" s="205">
        <v>43223</v>
      </c>
      <c r="B250" s="192">
        <v>-314.83000000000175</v>
      </c>
      <c r="C250">
        <f>SUM($B$2:B250)</f>
        <v>9382.3420000000151</v>
      </c>
      <c r="F250" s="210">
        <f t="shared" si="76"/>
        <v>43223</v>
      </c>
      <c r="G250" s="213">
        <f>SUMIFS(逐日资产统计!$I:$I,逐日资产统计!$A:$A,F250,逐日资产统计!$C:$C,"人民币")</f>
        <v>0</v>
      </c>
      <c r="H250" s="212">
        <f>SUMIF(逐日资产统计!$A:$A,汇总统计!$F250,逐日资产统计!$I:$I)-G250</f>
        <v>474208.32</v>
      </c>
      <c r="I250" s="207">
        <f t="shared" si="77"/>
        <v>474208.32</v>
      </c>
      <c r="J250" s="212">
        <f>SUMIF(逐日资产统计!$A:$A,汇总统计!$F250,逐日资产统计!$G:$G)</f>
        <v>-14044.740000000002</v>
      </c>
      <c r="K250" s="223">
        <f t="shared" si="78"/>
        <v>488253.06</v>
      </c>
      <c r="L250" s="222">
        <f t="shared" si="79"/>
        <v>0.1000000000349246</v>
      </c>
      <c r="M250" s="219">
        <f t="shared" si="80"/>
        <v>-2.8765288229837212E-2</v>
      </c>
      <c r="N250" s="221">
        <f>SUMIFS(逐日资产统计!M:M,逐日资产统计!A:A,汇总统计!F250,逐日资产统计!C:C,"人民币")</f>
        <v>0</v>
      </c>
      <c r="O250" s="221">
        <f>SUMIF(逐日资产统计!A:A,汇总统计!F250,逐日资产统计!M:M)-SUMIFS(逐日资产统计!M:M,逐日资产统计!A:A,汇总统计!F250,逐日资产统计!C:C,"人民币")</f>
        <v>1.0827272494923748</v>
      </c>
      <c r="P250" s="198">
        <v>508493.58</v>
      </c>
      <c r="Q250" s="259">
        <f t="shared" si="81"/>
        <v>-34285.260000000009</v>
      </c>
    </row>
    <row r="251" spans="1:17" x14ac:dyDescent="0.25">
      <c r="A251" s="205">
        <v>43224</v>
      </c>
      <c r="B251" s="192">
        <v>-1538.6599999999999</v>
      </c>
      <c r="C251">
        <f>SUM($B$2:B251)</f>
        <v>7843.6820000000153</v>
      </c>
      <c r="F251" s="210">
        <f t="shared" si="76"/>
        <v>43224</v>
      </c>
      <c r="G251" s="213">
        <f>SUMIFS(逐日资产统计!$I:$I,逐日资产统计!$A:$A,F251,逐日资产统计!$C:$C,"人民币")</f>
        <v>0</v>
      </c>
      <c r="H251" s="212">
        <f>SUMIF(逐日资产统计!$A:$A,汇总统计!$F251,逐日资产统计!$I:$I)-G251</f>
        <v>472669.66</v>
      </c>
      <c r="I251" s="207">
        <f t="shared" si="77"/>
        <v>472669.66</v>
      </c>
      <c r="J251" s="212">
        <f>SUMIF(逐日资产统计!$A:$A,汇总统计!$F251,逐日资产统计!$G:$G)</f>
        <v>-15583.400000000001</v>
      </c>
      <c r="K251" s="223">
        <f t="shared" si="78"/>
        <v>488253.06</v>
      </c>
      <c r="L251" s="222">
        <f t="shared" si="79"/>
        <v>0</v>
      </c>
      <c r="M251" s="219">
        <f t="shared" si="80"/>
        <v>-3.1916645847544715E-2</v>
      </c>
      <c r="N251" s="221">
        <f>SUMIFS(逐日资产统计!M:M,逐日资产统计!A:A,汇总统计!F251,逐日资产统计!C:C,"人民币")</f>
        <v>0</v>
      </c>
      <c r="O251" s="221">
        <f>SUMIF(逐日资产统计!A:A,汇总统计!F251,逐日资产统计!M:M)-SUMIFS(逐日资产统计!M:M,逐日资产统计!A:A,汇总统计!F251,逐日资产统计!C:C,"人民币")</f>
        <v>1.0862518021571348</v>
      </c>
      <c r="P251" s="198">
        <v>508560.84</v>
      </c>
      <c r="Q251" s="259">
        <f t="shared" si="81"/>
        <v>-35891.180000000051</v>
      </c>
    </row>
    <row r="252" spans="1:17" x14ac:dyDescent="0.25">
      <c r="A252" s="205">
        <v>43227</v>
      </c>
      <c r="B252" s="192">
        <v>5952.5099999999984</v>
      </c>
      <c r="C252">
        <f>SUM($B$2:B252)</f>
        <v>13796.192000000014</v>
      </c>
      <c r="F252" s="210">
        <f t="shared" ref="F252:F283" si="82">A252</f>
        <v>43227</v>
      </c>
      <c r="G252" s="213">
        <f>SUMIFS(逐日资产统计!$I:$I,逐日资产统计!$A:$A,F252,逐日资产统计!$C:$C,"人民币")</f>
        <v>0</v>
      </c>
      <c r="H252" s="212">
        <f>SUMIF(逐日资产统计!$A:$A,汇总统计!$F252,逐日资产统计!$I:$I)-G252</f>
        <v>478622.17</v>
      </c>
      <c r="I252" s="207">
        <f t="shared" ref="I252:I283" si="83">G252+H252</f>
        <v>478622.17</v>
      </c>
      <c r="J252" s="212">
        <f>SUMIF(逐日资产统计!$A:$A,汇总统计!$F252,逐日资产统计!$G:$G)</f>
        <v>-9630.8900000000031</v>
      </c>
      <c r="K252" s="223">
        <f t="shared" ref="K252:K283" si="84">I252-J252</f>
        <v>488253.06</v>
      </c>
      <c r="L252" s="222">
        <f t="shared" ref="L252:L283" si="85">K252-K251</f>
        <v>0</v>
      </c>
      <c r="M252" s="219">
        <f t="shared" ref="M252:M283" si="86">J252/K252</f>
        <v>-1.9725201517426235E-2</v>
      </c>
      <c r="N252" s="221">
        <f>SUMIFS(逐日资产统计!M:M,逐日资产统计!A:A,汇总统计!F252,逐日资产统计!C:C,"人民币")</f>
        <v>0</v>
      </c>
      <c r="O252" s="221">
        <f>SUMIF(逐日资产统计!A:A,汇总统计!F252,逐日资产统计!M:M)-SUMIFS(逐日资产统计!M:M,逐日资产统计!A:A,汇总统计!F252,逐日资产统计!C:C,"人民币")</f>
        <v>1.0727513311805015</v>
      </c>
      <c r="P252" s="198">
        <v>508762.62</v>
      </c>
      <c r="Q252" s="259">
        <f t="shared" ref="Q252:Q283" si="87">I252-P252</f>
        <v>-30140.450000000012</v>
      </c>
    </row>
    <row r="253" spans="1:17" x14ac:dyDescent="0.25">
      <c r="A253" s="205">
        <v>43228</v>
      </c>
      <c r="B253" s="192">
        <v>3680.0599999999977</v>
      </c>
      <c r="C253">
        <f>SUM($B$2:B253)</f>
        <v>17476.252000000011</v>
      </c>
      <c r="F253" s="210">
        <f t="shared" si="82"/>
        <v>43228</v>
      </c>
      <c r="G253" s="213">
        <f>SUMIFS(逐日资产统计!$I:$I,逐日资产统计!$A:$A,F253,逐日资产统计!$C:$C,"人民币")</f>
        <v>0</v>
      </c>
      <c r="H253" s="212">
        <f>SUMIF(逐日资产统计!$A:$A,汇总统计!$F253,逐日资产统计!$I:$I)-G253</f>
        <v>482302.23000000004</v>
      </c>
      <c r="I253" s="207">
        <f t="shared" si="83"/>
        <v>482302.23000000004</v>
      </c>
      <c r="J253" s="212">
        <f>SUMIF(逐日资产统计!$A:$A,汇总统计!$F253,逐日资产统计!$G:$G)</f>
        <v>-5950.8300000000054</v>
      </c>
      <c r="K253" s="223">
        <f t="shared" si="84"/>
        <v>488253.06000000006</v>
      </c>
      <c r="L253" s="222">
        <f t="shared" si="85"/>
        <v>0</v>
      </c>
      <c r="M253" s="219">
        <f t="shared" si="86"/>
        <v>-1.2188003491468143E-2</v>
      </c>
      <c r="N253" s="221">
        <f>SUMIFS(逐日资产统计!M:M,逐日资产统计!A:A,汇总统计!F253,逐日资产统计!C:C,"人民币")</f>
        <v>0</v>
      </c>
      <c r="O253" s="221">
        <f>SUMIF(逐日资产统计!A:A,汇总统计!F253,逐日资产统计!M:M)-SUMIFS(逐日资产统计!M:M,逐日资产统计!A:A,汇总统计!F253,逐日资产统计!C:C,"人民币")</f>
        <v>1.0645929420645637</v>
      </c>
      <c r="P253" s="198">
        <v>508829.88</v>
      </c>
      <c r="Q253" s="259">
        <f t="shared" si="87"/>
        <v>-26527.649999999965</v>
      </c>
    </row>
    <row r="254" spans="1:17" x14ac:dyDescent="0.25">
      <c r="A254" s="205">
        <v>43230</v>
      </c>
      <c r="B254" s="192">
        <v>3338.8900000000031</v>
      </c>
      <c r="C254">
        <f>SUM($B$2:B254)</f>
        <v>20815.142000000014</v>
      </c>
      <c r="F254" s="210">
        <f t="shared" si="82"/>
        <v>43230</v>
      </c>
      <c r="G254" s="213">
        <f>SUMIFS(逐日资产统计!$I:$I,逐日资产统计!$A:$A,F254,逐日资产统计!$C:$C,"人民币")</f>
        <v>0</v>
      </c>
      <c r="H254" s="212">
        <f>SUMIF(逐日资产统计!$A:$A,汇总统计!$F254,逐日资产统计!$I:$I)-G254</f>
        <v>485641.12000000005</v>
      </c>
      <c r="I254" s="207">
        <f t="shared" si="83"/>
        <v>485641.12000000005</v>
      </c>
      <c r="J254" s="212">
        <f>SUMIF(逐日资产统计!$A:$A,汇总统计!$F254,逐日资产统计!$G:$G)</f>
        <v>-2611.9400000000023</v>
      </c>
      <c r="K254" s="223">
        <f t="shared" si="84"/>
        <v>488253.06000000006</v>
      </c>
      <c r="L254" s="222">
        <f t="shared" si="85"/>
        <v>0</v>
      </c>
      <c r="M254" s="219">
        <f t="shared" si="86"/>
        <v>-5.3495619669029866E-3</v>
      </c>
      <c r="N254" s="221">
        <f>SUMIFS(逐日资产统计!M:M,逐日资产统计!A:A,汇总统计!F254,逐日资产统计!C:C,"人民币")</f>
        <v>0</v>
      </c>
      <c r="O254" s="221">
        <f>SUMIF(逐日资产统计!A:A,汇总统计!F254,逐日资产统计!M:M)-SUMIFS(逐日资产统计!M:M,逐日资产统计!A:A,汇总统计!F254,逐日资产统计!C:C,"人民币")</f>
        <v>1.0572937069249824</v>
      </c>
      <c r="P254" s="198">
        <v>508964.4</v>
      </c>
      <c r="Q254" s="259">
        <f t="shared" si="87"/>
        <v>-23323.27999999997</v>
      </c>
    </row>
    <row r="255" spans="1:17" x14ac:dyDescent="0.25">
      <c r="A255" s="205">
        <v>43234</v>
      </c>
      <c r="B255" s="192">
        <v>-4693.7099999999991</v>
      </c>
      <c r="C255">
        <f>SUM($B$2:B255)</f>
        <v>16121.432000000015</v>
      </c>
      <c r="F255" s="210">
        <f t="shared" si="82"/>
        <v>43234</v>
      </c>
      <c r="G255" s="213">
        <f>SUMIFS(逐日资产统计!$I:$I,逐日资产统计!$A:$A,F255,逐日资产统计!$C:$C,"人民币")</f>
        <v>0</v>
      </c>
      <c r="H255" s="212">
        <f>SUMIF(逐日资产统计!$A:$A,汇总统计!$F255,逐日资产统计!$I:$I)-G255</f>
        <v>480947.31</v>
      </c>
      <c r="I255" s="207">
        <f t="shared" si="83"/>
        <v>480947.31</v>
      </c>
      <c r="J255" s="212">
        <f>SUMIF(逐日资产统计!$A:$A,汇总统计!$F255,逐日资产统计!$G:$G)</f>
        <v>-7305.6500000000015</v>
      </c>
      <c r="K255" s="223">
        <f t="shared" si="84"/>
        <v>488252.96</v>
      </c>
      <c r="L255" s="222">
        <f t="shared" si="85"/>
        <v>-0.1000000000349246</v>
      </c>
      <c r="M255" s="219">
        <f t="shared" si="86"/>
        <v>-1.4962838115717724E-2</v>
      </c>
      <c r="N255" s="221">
        <f>SUMIFS(逐日资产统计!M:M,逐日资产统计!A:A,汇总统计!F255,逐日资产统计!C:C,"人民币")</f>
        <v>0</v>
      </c>
      <c r="O255" s="221">
        <f>SUMIF(逐日资产统计!A:A,汇总统计!F255,逐日资产统计!M:M)-SUMIFS(逐日资产统计!M:M,逐日资产统计!A:A,汇总统计!F255,逐日资产统计!C:C,"人民币")</f>
        <v>1.0656042342767233</v>
      </c>
      <c r="P255" s="198">
        <v>509233.44</v>
      </c>
      <c r="Q255" s="259">
        <f t="shared" si="87"/>
        <v>-28286.130000000005</v>
      </c>
    </row>
    <row r="256" spans="1:17" x14ac:dyDescent="0.25">
      <c r="A256" s="205">
        <v>43235</v>
      </c>
      <c r="B256" s="192">
        <v>3230.5600000000013</v>
      </c>
      <c r="C256">
        <f>SUM($B$2:B256)</f>
        <v>19351.992000000017</v>
      </c>
      <c r="F256" s="210">
        <f t="shared" si="82"/>
        <v>43235</v>
      </c>
      <c r="G256" s="213">
        <f>SUMIFS(逐日资产统计!$I:$I,逐日资产统计!$A:$A,F256,逐日资产统计!$C:$C,"人民币")</f>
        <v>0</v>
      </c>
      <c r="H256" s="212">
        <f>SUMIF(逐日资产统计!$A:$A,汇总统计!$F256,逐日资产统计!$I:$I)-G256</f>
        <v>484177.93</v>
      </c>
      <c r="I256" s="207">
        <f t="shared" si="83"/>
        <v>484177.93</v>
      </c>
      <c r="J256" s="212">
        <f>SUMIF(逐日资产统计!$A:$A,汇总统计!$F256,逐日资产统计!$G:$G)</f>
        <v>-4075.09</v>
      </c>
      <c r="K256" s="223">
        <f t="shared" si="84"/>
        <v>488253.02</v>
      </c>
      <c r="L256" s="222">
        <f t="shared" si="85"/>
        <v>5.9999999997671694E-2</v>
      </c>
      <c r="M256" s="219">
        <f t="shared" si="86"/>
        <v>-8.3462668597523472E-3</v>
      </c>
      <c r="N256" s="221">
        <f>SUMIFS(逐日资产统计!M:M,逐日资产统计!A:A,汇总统计!F256,逐日资产统计!C:C,"人民币")</f>
        <v>0</v>
      </c>
      <c r="O256" s="221">
        <f>SUMIF(逐日资产统计!A:A,汇总统计!F256,逐日资产统计!M:M)-SUMIFS(逐日资产统计!M:M,逐日资产统计!A:A,汇总统计!F256,逐日资产统计!C:C,"人民币")</f>
        <v>1.0606681514789404</v>
      </c>
      <c r="P256" s="198">
        <v>509300.7</v>
      </c>
      <c r="Q256" s="259">
        <f t="shared" si="87"/>
        <v>-25122.770000000019</v>
      </c>
    </row>
    <row r="257" spans="1:17" x14ac:dyDescent="0.25">
      <c r="A257" s="205">
        <v>43237</v>
      </c>
      <c r="B257" s="192">
        <v>2939.4799999999996</v>
      </c>
      <c r="C257">
        <f>SUM($B$2:B257)</f>
        <v>22291.472000000016</v>
      </c>
      <c r="F257" s="210">
        <f t="shared" si="82"/>
        <v>43237</v>
      </c>
      <c r="G257" s="213">
        <f>SUMIFS(逐日资产统计!$I:$I,逐日资产统计!$A:$A,F257,逐日资产统计!$C:$C,"人民币")</f>
        <v>0</v>
      </c>
      <c r="H257" s="212">
        <f>SUMIF(逐日资产统计!$A:$A,汇总统计!$F257,逐日资产统计!$I:$I)-G257</f>
        <v>487117.41000000003</v>
      </c>
      <c r="I257" s="207">
        <f t="shared" si="83"/>
        <v>487117.41000000003</v>
      </c>
      <c r="J257" s="212">
        <f>SUMIF(逐日资产统计!$A:$A,汇总统计!$F257,逐日资产统计!$G:$G)</f>
        <v>-1135.6100000000006</v>
      </c>
      <c r="K257" s="223">
        <f t="shared" si="84"/>
        <v>488253.02</v>
      </c>
      <c r="L257" s="222">
        <f t="shared" si="85"/>
        <v>0</v>
      </c>
      <c r="M257" s="219">
        <f t="shared" si="86"/>
        <v>-2.3258637499057365E-3</v>
      </c>
      <c r="N257" s="221">
        <f>SUMIFS(逐日资产统计!M:M,逐日资产统计!A:A,汇总统计!F257,逐日资产统计!C:C,"人民币")</f>
        <v>0</v>
      </c>
      <c r="O257" s="221">
        <f>SUMIF(逐日资产统计!A:A,汇总统计!F257,逐日资产统计!M:M)-SUMIFS(逐日资产统计!M:M,逐日资产统计!A:A,汇总统计!F257,逐日资产统计!C:C,"人民币")</f>
        <v>1.0542917363598228</v>
      </c>
      <c r="P257" s="198">
        <v>509435.22</v>
      </c>
      <c r="Q257" s="259">
        <f t="shared" si="87"/>
        <v>-22317.809999999939</v>
      </c>
    </row>
    <row r="258" spans="1:17" x14ac:dyDescent="0.25">
      <c r="A258" s="205">
        <v>43238</v>
      </c>
      <c r="B258" s="192">
        <v>7586.4599999999973</v>
      </c>
      <c r="C258">
        <f>SUM($B$2:B258)</f>
        <v>29877.932000000015</v>
      </c>
      <c r="F258" s="210">
        <f t="shared" si="82"/>
        <v>43238</v>
      </c>
      <c r="G258" s="213">
        <f>SUMIFS(逐日资产统计!$I:$I,逐日资产统计!$A:$A,F258,逐日资产统计!$C:$C,"人民币")</f>
        <v>0</v>
      </c>
      <c r="H258" s="212">
        <f>SUMIF(逐日资产统计!$A:$A,汇总统计!$F258,逐日资产统计!$I:$I)-G258</f>
        <v>494703.87</v>
      </c>
      <c r="I258" s="207">
        <f t="shared" si="83"/>
        <v>494703.87</v>
      </c>
      <c r="J258" s="212">
        <f>SUMIF(逐日资产统计!$A:$A,汇总统计!$F258,逐日资产统计!$G:$G)</f>
        <v>6450.8499999999967</v>
      </c>
      <c r="K258" s="223">
        <f t="shared" si="84"/>
        <v>488253.02</v>
      </c>
      <c r="L258" s="222">
        <f t="shared" si="85"/>
        <v>0</v>
      </c>
      <c r="M258" s="219">
        <f t="shared" si="86"/>
        <v>1.32121046583593E-2</v>
      </c>
      <c r="N258" s="221">
        <f>SUMIFS(逐日资产统计!M:M,逐日资产统计!A:A,汇总统计!F258,逐日资产统计!C:C,"人民币")</f>
        <v>0</v>
      </c>
      <c r="O258" s="221">
        <f>SUMIF(逐日资产统计!A:A,汇总统计!F258,逐日资产统计!M:M)-SUMIFS(逐日资产统计!M:M,逐日资产统计!A:A,汇总统计!F258,逐日资产统计!C:C,"人民币")</f>
        <v>1.0381354405010015</v>
      </c>
      <c r="P258" s="198">
        <v>509502.48</v>
      </c>
      <c r="Q258" s="259">
        <f t="shared" si="87"/>
        <v>-14798.609999999986</v>
      </c>
    </row>
    <row r="259" spans="1:17" x14ac:dyDescent="0.25">
      <c r="A259" s="205">
        <v>43241</v>
      </c>
      <c r="B259" s="192">
        <v>3806.6900000000005</v>
      </c>
      <c r="C259">
        <f>SUM($B$2:B259)</f>
        <v>33684.622000000018</v>
      </c>
      <c r="F259" s="210">
        <f t="shared" si="82"/>
        <v>43241</v>
      </c>
      <c r="G259" s="213">
        <f>SUMIFS(逐日资产统计!$I:$I,逐日资产统计!$A:$A,F259,逐日资产统计!$C:$C,"人民币")</f>
        <v>0</v>
      </c>
      <c r="H259" s="212">
        <f>SUMIF(逐日资产统计!$A:$A,汇总统计!$F259,逐日资产统计!$I:$I)-G259</f>
        <v>498510.56</v>
      </c>
      <c r="I259" s="207">
        <f t="shared" si="83"/>
        <v>498510.56</v>
      </c>
      <c r="J259" s="212">
        <f>SUMIF(逐日资产统计!$A:$A,汇总统计!$F259,逐日资产统计!$G:$G)</f>
        <v>10257.539999999997</v>
      </c>
      <c r="K259" s="223">
        <f t="shared" si="84"/>
        <v>488253.02</v>
      </c>
      <c r="L259" s="222">
        <f t="shared" si="85"/>
        <v>0</v>
      </c>
      <c r="M259" s="219">
        <f t="shared" si="86"/>
        <v>2.1008656536317987E-2</v>
      </c>
      <c r="N259" s="221">
        <f>SUMIFS(逐日资产统计!M:M,逐日资产统计!A:A,汇总统计!F259,逐日资产统计!C:C,"人民币")</f>
        <v>0</v>
      </c>
      <c r="O259" s="221">
        <f>SUMIF(逐日资产统计!A:A,汇总统计!F259,逐日资产统计!M:M)-SUMIFS(逐日资产统计!M:M,逐日资产统计!A:A,汇总统计!F259,逐日资产统计!C:C,"人民币")</f>
        <v>1.0302204631332181</v>
      </c>
      <c r="P259" s="198">
        <v>509704.26</v>
      </c>
      <c r="Q259" s="259">
        <f t="shared" si="87"/>
        <v>-11193.700000000012</v>
      </c>
    </row>
    <row r="260" spans="1:17" x14ac:dyDescent="0.25">
      <c r="A260" s="205">
        <v>43245</v>
      </c>
      <c r="B260" s="192">
        <v>-7281.6999999999971</v>
      </c>
      <c r="C260">
        <f>SUM($B$2:B260)</f>
        <v>26402.92200000002</v>
      </c>
      <c r="F260" s="210">
        <f t="shared" si="82"/>
        <v>43245</v>
      </c>
      <c r="G260" s="213">
        <f>SUMIFS(逐日资产统计!$I:$I,逐日资产统计!$A:$A,F260,逐日资产统计!$C:$C,"人民币")</f>
        <v>0</v>
      </c>
      <c r="H260" s="212">
        <f>SUMIF(逐日资产统计!$A:$A,汇总统计!$F260,逐日资产统计!$I:$I)-G260</f>
        <v>491228.86000000004</v>
      </c>
      <c r="I260" s="207">
        <f t="shared" si="83"/>
        <v>491228.86000000004</v>
      </c>
      <c r="J260" s="212">
        <f>SUMIF(逐日资产统计!$A:$A,汇总统计!$F260,逐日资产统计!$G:$G)</f>
        <v>2975.84</v>
      </c>
      <c r="K260" s="223">
        <f t="shared" si="84"/>
        <v>488253.02</v>
      </c>
      <c r="L260" s="222">
        <f t="shared" si="85"/>
        <v>0</v>
      </c>
      <c r="M260" s="219">
        <f t="shared" si="86"/>
        <v>6.0948726953086747E-3</v>
      </c>
      <c r="N260" s="221">
        <f>SUMIFS(逐日资产统计!M:M,逐日资产统计!A:A,汇总统计!F260,逐日资产统计!C:C,"人民币")</f>
        <v>0</v>
      </c>
      <c r="O260" s="221">
        <f>SUMIF(逐日资产统计!A:A,汇总统计!F260,逐日资产统计!M:M)-SUMIFS(逐日资产统计!M:M,逐日资产统计!A:A,汇总统计!F260,逐日资产统计!C:C,"人民币")</f>
        <v>1.045576047791654</v>
      </c>
      <c r="P260" s="198">
        <v>509973.3</v>
      </c>
      <c r="Q260" s="259">
        <f t="shared" si="87"/>
        <v>-18744.439999999944</v>
      </c>
    </row>
    <row r="261" spans="1:17" x14ac:dyDescent="0.25">
      <c r="A261" s="205">
        <v>43250</v>
      </c>
      <c r="B261" s="192">
        <v>-14083.060000000001</v>
      </c>
      <c r="C261">
        <f>SUM($B$2:B261)</f>
        <v>12319.862000000019</v>
      </c>
      <c r="F261" s="210">
        <f t="shared" si="82"/>
        <v>43250</v>
      </c>
      <c r="G261" s="213">
        <f>SUMIFS(逐日资产统计!$I:$I,逐日资产统计!$A:$A,F261,逐日资产统计!$C:$C,"人民币")</f>
        <v>0</v>
      </c>
      <c r="H261" s="212">
        <f>SUMIF(逐日资产统计!$A:$A,汇总统计!$F261,逐日资产统计!$I:$I)-G261</f>
        <v>477145.8</v>
      </c>
      <c r="I261" s="207">
        <f t="shared" si="83"/>
        <v>477145.8</v>
      </c>
      <c r="J261" s="212">
        <f>SUMIF(逐日资产统计!$A:$A,汇总统计!$F261,逐日资产统计!$G:$G)</f>
        <v>-11107.220000000001</v>
      </c>
      <c r="K261" s="223">
        <f t="shared" si="84"/>
        <v>488253.02</v>
      </c>
      <c r="L261" s="222">
        <f t="shared" si="85"/>
        <v>0</v>
      </c>
      <c r="M261" s="219">
        <f t="shared" si="86"/>
        <v>-2.274890178866687E-2</v>
      </c>
      <c r="N261" s="221">
        <f>SUMIFS(逐日资产统计!M:M,逐日资产统计!A:A,汇总统计!F261,逐日资产统计!C:C,"人民币")</f>
        <v>0</v>
      </c>
      <c r="O261" s="221">
        <f>SUMIF(逐日资产统计!A:A,汇总统计!F261,逐日资产统计!M:M)-SUMIFS(逐日资产统计!M:M,逐日资产统计!A:A,汇总统计!F261,逐日资产统计!C:C,"人民币")</f>
        <v>1.0765166957353496</v>
      </c>
      <c r="P261" s="198">
        <v>510309.6</v>
      </c>
      <c r="Q261" s="259">
        <f t="shared" si="87"/>
        <v>-33163.799999999988</v>
      </c>
    </row>
    <row r="262" spans="1:17" x14ac:dyDescent="0.25">
      <c r="A262" s="205">
        <v>43251</v>
      </c>
      <c r="B262" s="192">
        <v>3460.8199999999997</v>
      </c>
      <c r="C262">
        <f>SUM($B$2:B262)</f>
        <v>15780.682000000019</v>
      </c>
      <c r="F262" s="210">
        <f t="shared" si="82"/>
        <v>43251</v>
      </c>
      <c r="G262" s="213">
        <f>SUMIFS(逐日资产统计!$I:$I,逐日资产统计!$A:$A,F262,逐日资产统计!$C:$C,"人民币")</f>
        <v>0</v>
      </c>
      <c r="H262" s="212">
        <f>SUMIF(逐日资产统计!$A:$A,汇总统计!$F262,逐日资产统计!$I:$I)-G262</f>
        <v>480606.62</v>
      </c>
      <c r="I262" s="207">
        <f t="shared" si="83"/>
        <v>480606.62</v>
      </c>
      <c r="J262" s="212">
        <f>SUMIF(逐日资产统计!$A:$A,汇总统计!$F262,逐日资产统计!$G:$G)</f>
        <v>-7646.4000000000015</v>
      </c>
      <c r="K262" s="223">
        <f t="shared" si="84"/>
        <v>488253.02</v>
      </c>
      <c r="L262" s="222">
        <f t="shared" si="85"/>
        <v>0</v>
      </c>
      <c r="M262" s="219">
        <f t="shared" si="86"/>
        <v>-1.5660732625883196E-2</v>
      </c>
      <c r="N262" s="221">
        <f>SUMIFS(逐日资产统计!M:M,逐日资产统计!A:A,汇总统计!F262,逐日资产统计!C:C,"人民币")</f>
        <v>0</v>
      </c>
      <c r="O262" s="221">
        <f>SUMIF(逐日资产统计!A:A,汇总统计!F262,逐日资产统计!M:M)-SUMIFS(逐日资产统计!M:M,逐日资产统计!A:A,汇总统计!F262,逐日资产统计!C:C,"人民币")</f>
        <v>1.0687773713978386</v>
      </c>
      <c r="P262" s="198">
        <v>510376.86</v>
      </c>
      <c r="Q262" s="259">
        <f t="shared" si="87"/>
        <v>-29770.239999999991</v>
      </c>
    </row>
    <row r="263" spans="1:17" x14ac:dyDescent="0.25">
      <c r="A263" s="205">
        <v>43256</v>
      </c>
      <c r="B263" s="192">
        <v>5922.2699999999968</v>
      </c>
      <c r="C263">
        <f>SUM($B$2:B263)</f>
        <v>21702.952000000016</v>
      </c>
      <c r="F263" s="210">
        <f t="shared" si="82"/>
        <v>43256</v>
      </c>
      <c r="G263" s="213">
        <f>SUMIFS(逐日资产统计!$I:$I,逐日资产统计!$A:$A,F263,逐日资产统计!$C:$C,"人民币")</f>
        <v>0</v>
      </c>
      <c r="H263" s="212">
        <f>SUMIF(逐日资产统计!$A:$A,汇总统计!$F263,逐日资产统计!$I:$I)-G263</f>
        <v>486528.89</v>
      </c>
      <c r="I263" s="207">
        <f t="shared" si="83"/>
        <v>486528.89</v>
      </c>
      <c r="J263" s="212">
        <f>SUMIF(逐日资产统计!$A:$A,汇总统计!$F263,逐日资产统计!$G:$G)</f>
        <v>-1724.1300000000047</v>
      </c>
      <c r="K263" s="223">
        <f t="shared" si="84"/>
        <v>488253.02</v>
      </c>
      <c r="L263" s="222">
        <f t="shared" si="85"/>
        <v>0</v>
      </c>
      <c r="M263" s="219">
        <f t="shared" si="86"/>
        <v>-3.531222397764185E-3</v>
      </c>
      <c r="N263" s="221">
        <f>SUMIFS(逐日资产统计!M:M,逐日资产统计!A:A,汇总统计!F263,逐日资产统计!C:C,"人民币")</f>
        <v>0</v>
      </c>
      <c r="O263" s="221">
        <f>SUMIF(逐日资产统计!A:A,汇总统计!F263,逐日资产统计!M:M)-SUMIFS(逐日资产统计!M:M,逐日资产统计!A:A,汇总统计!F263,逐日资产统计!C:C,"人民币")</f>
        <v>1.0559008325281569</v>
      </c>
      <c r="P263" s="198">
        <v>510713.16</v>
      </c>
      <c r="Q263" s="259">
        <f t="shared" si="87"/>
        <v>-24184.26999999996</v>
      </c>
    </row>
    <row r="264" spans="1:17" x14ac:dyDescent="0.25">
      <c r="A264" s="205">
        <v>43258</v>
      </c>
      <c r="B264" s="192">
        <v>-2909.1099999999969</v>
      </c>
      <c r="C264">
        <f>SUM($B$2:B264)</f>
        <v>18793.842000000019</v>
      </c>
      <c r="F264" s="210">
        <f t="shared" si="82"/>
        <v>43258</v>
      </c>
      <c r="G264" s="213">
        <f>SUMIFS(逐日资产统计!$I:$I,逐日资产统计!$A:$A,F264,逐日资产统计!$C:$C,"人民币")</f>
        <v>0</v>
      </c>
      <c r="H264" s="212">
        <f>SUMIF(逐日资产统计!$A:$A,汇总统计!$F264,逐日资产统计!$I:$I)-G264</f>
        <v>483619.77999999997</v>
      </c>
      <c r="I264" s="207">
        <f t="shared" si="83"/>
        <v>483619.77999999997</v>
      </c>
      <c r="J264" s="212">
        <f>SUMIF(逐日资产统计!$A:$A,汇总统计!$F264,逐日资产统计!$G:$G)</f>
        <v>-4633.2400000000016</v>
      </c>
      <c r="K264" s="223">
        <f t="shared" si="84"/>
        <v>488253.01999999996</v>
      </c>
      <c r="L264" s="222">
        <f t="shared" si="85"/>
        <v>0</v>
      </c>
      <c r="M264" s="219">
        <f t="shared" si="86"/>
        <v>-9.4894241514368958E-3</v>
      </c>
      <c r="N264" s="221">
        <f>SUMIFS(逐日资产统计!M:M,逐日资产统计!A:A,汇总统计!F264,逐日资产统计!C:C,"人民币")</f>
        <v>0</v>
      </c>
      <c r="O264" s="221">
        <f>SUMIF(逐日资产统计!A:A,汇总统计!F264,逐日资产统计!M:M)-SUMIFS(逐日资产统计!M:M,逐日资产统计!A:A,汇总统计!F264,逐日资产统计!C:C,"人民币")</f>
        <v>1.0622738590220608</v>
      </c>
      <c r="P264" s="198">
        <v>510847.68</v>
      </c>
      <c r="Q264" s="259">
        <f t="shared" si="87"/>
        <v>-27227.900000000023</v>
      </c>
    </row>
    <row r="265" spans="1:17" x14ac:dyDescent="0.25">
      <c r="A265" s="205">
        <v>43262</v>
      </c>
      <c r="B265" s="192">
        <v>-10671.629999999994</v>
      </c>
      <c r="C265">
        <f>SUM($B$2:B265)</f>
        <v>8122.212000000025</v>
      </c>
      <c r="F265" s="210">
        <f t="shared" si="82"/>
        <v>43262</v>
      </c>
      <c r="G265" s="213">
        <f>SUMIFS(逐日资产统计!$I:$I,逐日资产统计!$A:$A,F265,逐日资产统计!$C:$C,"人民币")</f>
        <v>0</v>
      </c>
      <c r="H265" s="212">
        <f>SUMIF(逐日资产统计!$A:$A,汇总统计!$F265,逐日资产统计!$I:$I)-G265</f>
        <v>472948.15</v>
      </c>
      <c r="I265" s="207">
        <f t="shared" si="83"/>
        <v>472948.15</v>
      </c>
      <c r="J265" s="212">
        <f>SUMIF(逐日资产统计!$A:$A,汇总统计!$F265,逐日资产统计!$G:$G)</f>
        <v>-15304.869999999995</v>
      </c>
      <c r="K265" s="223">
        <f t="shared" si="84"/>
        <v>488253.02</v>
      </c>
      <c r="L265" s="222">
        <f t="shared" si="85"/>
        <v>0</v>
      </c>
      <c r="M265" s="219">
        <f t="shared" si="86"/>
        <v>-3.1346186040999799E-2</v>
      </c>
      <c r="N265" s="221">
        <f>SUMIFS(逐日资产统计!M:M,逐日资产统计!A:A,汇总统计!F265,逐日资产统计!C:C,"人民币")</f>
        <v>0</v>
      </c>
      <c r="O265" s="221">
        <f>SUMIF(逐日资产统计!A:A,汇总统计!F265,逐日资产统计!M:M)-SUMIFS(逐日资产统计!M:M,逐日资产统计!A:A,汇总统计!F265,逐日资产统计!C:C,"人民币")</f>
        <v>1.0862615066789034</v>
      </c>
      <c r="P265" s="198">
        <v>511116.72</v>
      </c>
      <c r="Q265" s="259">
        <f t="shared" si="87"/>
        <v>-38168.569999999949</v>
      </c>
    </row>
    <row r="266" spans="1:17" x14ac:dyDescent="0.25">
      <c r="A266" s="205">
        <v>43264</v>
      </c>
      <c r="B266" s="192">
        <v>2881.2099999999991</v>
      </c>
      <c r="C266">
        <f>SUM($B$2:B266)</f>
        <v>11003.422000000024</v>
      </c>
      <c r="F266" s="210">
        <f t="shared" si="82"/>
        <v>43264</v>
      </c>
      <c r="G266" s="213">
        <f>SUMIFS(逐日资产统计!$I:$I,逐日资产统计!$A:$A,F266,逐日资产统计!$C:$C,"人民币")</f>
        <v>0</v>
      </c>
      <c r="H266" s="212">
        <f>SUMIF(逐日资产统计!$A:$A,汇总统计!$F266,逐日资产统计!$I:$I)-G266</f>
        <v>475829.36</v>
      </c>
      <c r="I266" s="207">
        <f t="shared" si="83"/>
        <v>475829.36</v>
      </c>
      <c r="J266" s="212">
        <f>SUMIF(逐日资产统计!$A:$A,汇总统计!$F266,逐日资产统计!$G:$G)</f>
        <v>-12423.659999999996</v>
      </c>
      <c r="K266" s="223">
        <f t="shared" si="84"/>
        <v>488253.01999999996</v>
      </c>
      <c r="L266" s="222">
        <f t="shared" si="85"/>
        <v>0</v>
      </c>
      <c r="M266" s="219">
        <f t="shared" si="86"/>
        <v>-2.5445126791023221E-2</v>
      </c>
      <c r="N266" s="221">
        <f>SUMIFS(逐日资产统计!M:M,逐日资产统计!A:A,汇总统计!F266,逐日资产统计!C:C,"人民币")</f>
        <v>0</v>
      </c>
      <c r="O266" s="221">
        <f>SUMIF(逐日资产统计!A:A,汇总统计!F266,逐日资产统计!M:M)-SUMIFS(逐日资产统计!M:M,逐日资产统计!A:A,汇总统计!F266,逐日资产统计!C:C,"人民币")</f>
        <v>1.079696574419031</v>
      </c>
      <c r="P266" s="198">
        <v>511251.24</v>
      </c>
      <c r="Q266" s="259">
        <f t="shared" si="87"/>
        <v>-35421.880000000005</v>
      </c>
    </row>
    <row r="267" spans="1:17" x14ac:dyDescent="0.25">
      <c r="A267" s="205">
        <v>43266</v>
      </c>
      <c r="B267" s="192">
        <v>-14219.851000000002</v>
      </c>
      <c r="C267">
        <f>SUM($B$2:B267)</f>
        <v>-3216.4289999999783</v>
      </c>
      <c r="F267" s="210">
        <f t="shared" si="82"/>
        <v>43266</v>
      </c>
      <c r="G267" s="213">
        <f>SUMIFS(逐日资产统计!$I:$I,逐日资产统计!$A:$A,F267,逐日资产统计!$C:$C,"人民币")</f>
        <v>0</v>
      </c>
      <c r="H267" s="212">
        <f>SUMIF(逐日资产统计!$A:$A,汇总统计!$F267,逐日资产统计!$I:$I)-G267</f>
        <v>457519.27</v>
      </c>
      <c r="I267" s="207">
        <f t="shared" si="83"/>
        <v>457519.27</v>
      </c>
      <c r="J267" s="212">
        <f>SUMIF(逐日资产统计!$A:$A,汇总统计!$F267,逐日资产统计!$G:$G)</f>
        <v>-26643.510999999999</v>
      </c>
      <c r="K267" s="223">
        <f t="shared" si="84"/>
        <v>484162.78100000002</v>
      </c>
      <c r="L267" s="222">
        <f t="shared" si="85"/>
        <v>-4090.2389999999432</v>
      </c>
      <c r="M267" s="219">
        <f t="shared" si="86"/>
        <v>-5.5030068492604757E-2</v>
      </c>
      <c r="N267" s="221">
        <f>SUMIFS(逐日资产统计!M:M,逐日资产统计!A:A,汇总统计!F267,逐日资产统计!C:C,"人民币")</f>
        <v>0</v>
      </c>
      <c r="O267" s="221">
        <f>SUMIF(逐日资产统计!A:A,汇总统计!F267,逐日资产统计!M:M)-SUMIFS(逐日资产统计!M:M,逐日资产统计!A:A,汇总统计!F267,逐日资产统计!C:C,"人民币")</f>
        <v>1.1139925319429722</v>
      </c>
      <c r="P267" s="198">
        <v>511385.76</v>
      </c>
      <c r="Q267" s="259">
        <f t="shared" si="87"/>
        <v>-53866.489999999991</v>
      </c>
    </row>
    <row r="268" spans="1:17" x14ac:dyDescent="0.25">
      <c r="A268" s="205">
        <v>43270</v>
      </c>
      <c r="B268" s="192">
        <v>-29342.172999999995</v>
      </c>
      <c r="C268">
        <f>SUM($B$2:B268)</f>
        <v>-32558.601999999973</v>
      </c>
      <c r="F268" s="210">
        <f t="shared" si="82"/>
        <v>43270</v>
      </c>
      <c r="G268" s="213">
        <f>SUMIFS(逐日资产统计!$I:$I,逐日资产统计!$A:$A,F268,逐日资产统计!$C:$C,"人民币")</f>
        <v>0</v>
      </c>
      <c r="H268" s="212">
        <f>SUMIF(逐日资产统计!$A:$A,汇总统计!$F268,逐日资产统计!$I:$I)-G268</f>
        <v>482271.84</v>
      </c>
      <c r="I268" s="207">
        <f t="shared" si="83"/>
        <v>482271.84</v>
      </c>
      <c r="J268" s="212">
        <f>SUMIF(逐日资产统计!$A:$A,汇总统计!$F268,逐日资产统计!$G:$G)</f>
        <v>-55985.683999999994</v>
      </c>
      <c r="K268" s="223">
        <f t="shared" si="84"/>
        <v>538257.52399999998</v>
      </c>
      <c r="L268" s="222">
        <f t="shared" si="85"/>
        <v>54094.742999999959</v>
      </c>
      <c r="M268" s="219">
        <f t="shared" si="86"/>
        <v>-0.10401282193688387</v>
      </c>
      <c r="N268" s="221">
        <f>SUMIFS(逐日资产统计!M:M,逐日资产统计!A:A,汇总统计!F268,逐日资产统计!C:C,"人民币")</f>
        <v>0</v>
      </c>
      <c r="O268" s="221">
        <f>SUMIF(逐日资产统计!A:A,汇总统计!F268,逐日资产统计!M:M)-SUMIFS(逐日资产统计!M:M,逐日资产统计!A:A,汇总统计!F268,逐日资产统计!C:C,"人民币")</f>
        <v>1.1689839904399146</v>
      </c>
      <c r="P268" s="198">
        <v>511654.8</v>
      </c>
      <c r="Q268" s="259">
        <f t="shared" si="87"/>
        <v>-29382.959999999963</v>
      </c>
    </row>
    <row r="269" spans="1:17" x14ac:dyDescent="0.25">
      <c r="A269" s="205">
        <v>43272</v>
      </c>
      <c r="B269" s="192">
        <v>-3442.4279999999999</v>
      </c>
      <c r="C269">
        <f>SUM($B$2:B269)</f>
        <v>-36001.02999999997</v>
      </c>
      <c r="F269" s="210">
        <f t="shared" si="82"/>
        <v>43272</v>
      </c>
      <c r="G269" s="213">
        <f>SUMIFS(逐日资产统计!$I:$I,逐日资产统计!$A:$A,F269,逐日资产统计!$C:$C,"人民币")</f>
        <v>0</v>
      </c>
      <c r="H269" s="212">
        <f>SUMIF(逐日资产统计!$A:$A,汇总统计!$F269,逐日资产统计!$I:$I)-G269</f>
        <v>478837.54000000004</v>
      </c>
      <c r="I269" s="207">
        <f t="shared" si="83"/>
        <v>478837.54000000004</v>
      </c>
      <c r="J269" s="212">
        <f>SUMIF(逐日资产统计!$A:$A,汇总统计!$F269,逐日资产统计!$G:$G)</f>
        <v>-59428.111999999994</v>
      </c>
      <c r="K269" s="223">
        <f t="shared" si="84"/>
        <v>538265.652</v>
      </c>
      <c r="L269" s="222">
        <f t="shared" si="85"/>
        <v>8.128000000026077</v>
      </c>
      <c r="M269" s="219">
        <f t="shared" si="86"/>
        <v>-0.11040665845793184</v>
      </c>
      <c r="N269" s="221">
        <f>SUMIFS(逐日资产统计!M:M,逐日资产统计!A:A,汇总统计!F269,逐日资产统计!C:C,"人民币")</f>
        <v>0</v>
      </c>
      <c r="O269" s="221">
        <f>SUMIF(逐日资产统计!A:A,汇总统计!F269,逐日资产统计!M:M)-SUMIFS(逐日资产统计!M:M,逐日资产统计!A:A,汇总统计!F269,逐日资产统计!C:C,"人民币")</f>
        <v>1.1773884520415843</v>
      </c>
      <c r="P269" s="198">
        <v>511789.32</v>
      </c>
      <c r="Q269" s="259">
        <f t="shared" si="87"/>
        <v>-32951.77999999997</v>
      </c>
    </row>
    <row r="270" spans="1:17" x14ac:dyDescent="0.25">
      <c r="A270" s="205">
        <v>43285</v>
      </c>
      <c r="B270" s="192">
        <v>-23043.698000000004</v>
      </c>
      <c r="C270">
        <f>SUM($B$2:B270)</f>
        <v>-59044.727999999974</v>
      </c>
      <c r="F270" s="210">
        <f t="shared" si="82"/>
        <v>43285</v>
      </c>
      <c r="G270" s="213">
        <f>SUMIFS(逐日资产统计!$I:$I,逐日资产统计!$A:$A,F270,逐日资产统计!$C:$C,"人民币")</f>
        <v>0</v>
      </c>
      <c r="H270" s="212">
        <f>SUMIF(逐日资产统计!$A:$A,汇总统计!$F270,逐日资产统计!$I:$I)-G270</f>
        <v>475789.73</v>
      </c>
      <c r="I270" s="207">
        <f t="shared" si="83"/>
        <v>475789.73</v>
      </c>
      <c r="J270" s="212">
        <f>SUMIF(逐日资产统计!$A:$A,汇总统计!$F270,逐日资产统计!$G:$G)</f>
        <v>-82471.81</v>
      </c>
      <c r="K270" s="223">
        <f t="shared" si="84"/>
        <v>558261.54</v>
      </c>
      <c r="L270" s="222">
        <f t="shared" si="85"/>
        <v>19995.888000000035</v>
      </c>
      <c r="M270" s="219">
        <f t="shared" si="86"/>
        <v>-0.14772970031215116</v>
      </c>
      <c r="N270" s="221">
        <f>SUMIFS(逐日资产统计!M:M,逐日资产统计!A:A,汇总统计!F270,逐日资产统计!C:C,"人民币")</f>
        <v>0</v>
      </c>
      <c r="O270" s="221">
        <f>SUMIF(逐日资产统计!A:A,汇总统计!F270,逐日资产统计!M:M)-SUMIFS(逐日资产统计!M:M,逐日资产统计!A:A,汇总统计!F270,逐日资产统计!C:C,"人民币")</f>
        <v>1.2269662693223748</v>
      </c>
      <c r="P270" s="198">
        <v>582863.12</v>
      </c>
      <c r="Q270" s="259">
        <f t="shared" si="87"/>
        <v>-107073.39000000001</v>
      </c>
    </row>
    <row r="271" spans="1:17" x14ac:dyDescent="0.25">
      <c r="A271" s="205">
        <v>43305</v>
      </c>
      <c r="B271" s="192">
        <v>9607.2299999999959</v>
      </c>
      <c r="C271">
        <f>SUM($B$2:B271)</f>
        <v>-49437.497999999978</v>
      </c>
      <c r="F271" s="210">
        <f t="shared" si="82"/>
        <v>43305</v>
      </c>
      <c r="G271" s="213">
        <f>SUMIFS(逐日资产统计!$I:$I,逐日资产统计!$A:$A,F271,逐日资产统计!$C:$C,"人民币")</f>
        <v>0</v>
      </c>
      <c r="H271" s="212">
        <f>SUMIF(逐日资产统计!$A:$A,汇总统计!$F271,逐日资产统计!$I:$I)-G271</f>
        <v>475319.92</v>
      </c>
      <c r="I271" s="207">
        <f t="shared" si="83"/>
        <v>475319.92</v>
      </c>
      <c r="J271" s="212">
        <f>SUMIF(逐日资产统计!$A:$A,汇总统计!$F271,逐日资产统计!$G:$G)</f>
        <v>-72864.58</v>
      </c>
      <c r="K271" s="223">
        <f t="shared" si="84"/>
        <v>548184.5</v>
      </c>
      <c r="L271" s="222">
        <f t="shared" si="85"/>
        <v>-10077.040000000037</v>
      </c>
      <c r="M271" s="219">
        <f t="shared" si="86"/>
        <v>-0.13291981075714474</v>
      </c>
      <c r="N271" s="221">
        <f>SUMIFS(逐日资产统计!M:M,逐日资产统计!A:A,汇总统计!F271,逐日资产统计!C:C,"人民币")</f>
        <v>0</v>
      </c>
      <c r="O271" s="221">
        <f>SUMIF(逐日资产统计!A:A,汇总统计!F271,逐日资产统计!M:M)-SUMIFS(逐日资产统计!M:M,逐日资产统计!A:A,汇总统计!F271,逐日资产统计!C:C,"人民币")</f>
        <v>1.2070404076479686</v>
      </c>
      <c r="P271" s="198">
        <v>584515.12</v>
      </c>
      <c r="Q271" s="259">
        <f t="shared" si="87"/>
        <v>-109195.20000000001</v>
      </c>
    </row>
    <row r="272" spans="1:17" x14ac:dyDescent="0.25">
      <c r="A272" s="205">
        <v>43426</v>
      </c>
      <c r="B272" s="192">
        <v>-37614.953999999998</v>
      </c>
      <c r="C272">
        <f>SUM($B$2:B272)</f>
        <v>-87052.451999999976</v>
      </c>
      <c r="F272" s="210">
        <f t="shared" si="82"/>
        <v>43426</v>
      </c>
      <c r="G272" s="213">
        <f>SUMIFS(逐日资产统计!$I:$I,逐日资产统计!$A:$A,F272,逐日资产统计!$C:$C,"人民币")</f>
        <v>0</v>
      </c>
      <c r="H272" s="212">
        <f>SUMIF(逐日资产统计!$A:$A,汇总统计!$F272,逐日资产统计!$I:$I)-G272</f>
        <v>447448.08999999997</v>
      </c>
      <c r="I272" s="207">
        <f t="shared" si="83"/>
        <v>447448.08999999997</v>
      </c>
      <c r="J272" s="212">
        <f>SUMIF(逐日资产统计!$A:$A,汇总统计!$F272,逐日资产统计!$G:$G)</f>
        <v>-110479.534</v>
      </c>
      <c r="K272" s="223">
        <f t="shared" si="84"/>
        <v>557927.62399999995</v>
      </c>
      <c r="L272" s="222">
        <f t="shared" si="85"/>
        <v>9743.1239999999525</v>
      </c>
      <c r="M272" s="219">
        <f t="shared" si="86"/>
        <v>-0.19801768051549282</v>
      </c>
      <c r="N272" s="221">
        <f>SUMIFS(逐日资产统计!M:M,逐日资产统计!A:A,汇总统计!F272,逐日资产统计!C:C,"人民币")</f>
        <v>0</v>
      </c>
      <c r="O272" s="221">
        <f>SUMIF(逐日资产统计!A:A,汇总统计!F272,逐日资产统计!M:M)-SUMIFS(逐日资产统计!M:M,逐日资产统计!A:A,汇总统计!F272,逐日资产统计!C:C,"人民币")</f>
        <v>1.2965550931282332</v>
      </c>
      <c r="P272" s="198">
        <v>593118.22</v>
      </c>
      <c r="Q272" s="259">
        <f t="shared" si="87"/>
        <v>-145670.13</v>
      </c>
    </row>
    <row r="273" spans="1:18" x14ac:dyDescent="0.25">
      <c r="A273" s="205">
        <v>43550</v>
      </c>
      <c r="B273" s="192">
        <v>76327.164000000004</v>
      </c>
      <c r="C273">
        <f>SUM($B$2:B273)</f>
        <v>-10725.287999999971</v>
      </c>
      <c r="F273" s="210">
        <f t="shared" si="82"/>
        <v>43550</v>
      </c>
      <c r="G273" s="213">
        <f>SUMIFS(逐日资产统计!$I:$I,逐日资产统计!$A:$A,F273,逐日资产统计!$C:$C,"人民币")</f>
        <v>0</v>
      </c>
      <c r="H273" s="212">
        <f>SUMIF(逐日资产统计!$A:$A,汇总统计!$F273,逐日资产统计!$I:$I)-G273</f>
        <v>501716.01</v>
      </c>
      <c r="I273" s="207">
        <f t="shared" si="83"/>
        <v>501716.01</v>
      </c>
      <c r="J273" s="212">
        <f>SUMIF(逐日资产统计!$A:$A,汇总统计!$F273,逐日资产统计!$G:$G)</f>
        <v>-34152.369999999995</v>
      </c>
      <c r="K273" s="223">
        <f t="shared" si="84"/>
        <v>535868.38</v>
      </c>
      <c r="L273" s="222">
        <f t="shared" si="85"/>
        <v>-22059.243999999948</v>
      </c>
      <c r="M273" s="219">
        <f t="shared" si="86"/>
        <v>-6.3732758406084708E-2</v>
      </c>
      <c r="N273" s="221">
        <f>SUMIFS(逐日资产统计!M:M,逐日资产统计!A:A,汇总统计!F273,逐日资产统计!C:C,"人民币")</f>
        <v>0</v>
      </c>
      <c r="O273" s="221">
        <f>SUMIF(逐日资产统计!A:A,汇总统计!F273,逐日资产统计!M:M)-SUMIFS(逐日资产统计!M:M,逐日资产统计!A:A,汇总统计!F273,逐日资产统计!C:C,"人民币")</f>
        <v>1.144829761362409</v>
      </c>
      <c r="P273" s="198">
        <v>593119.22</v>
      </c>
      <c r="Q273" s="259">
        <f t="shared" si="87"/>
        <v>-91403.209999999963</v>
      </c>
    </row>
    <row r="274" spans="1:18" x14ac:dyDescent="0.25">
      <c r="A274" s="205">
        <v>43552</v>
      </c>
      <c r="B274" s="192">
        <v>-4290.4199999999983</v>
      </c>
      <c r="C274">
        <f>SUM($B$2:B274)</f>
        <v>-15015.70799999997</v>
      </c>
      <c r="F274" s="210">
        <f t="shared" si="82"/>
        <v>43552</v>
      </c>
      <c r="G274" s="213">
        <f>SUMIFS(逐日资产统计!$I:$I,逐日资产统计!$A:$A,F274,逐日资产统计!$C:$C,"人民币")</f>
        <v>0</v>
      </c>
      <c r="H274" s="212">
        <f>SUMIF(逐日资产统计!$A:$A,汇总统计!$F274,逐日资产统计!$I:$I)-G274</f>
        <v>517425.59</v>
      </c>
      <c r="I274" s="207">
        <f t="shared" si="83"/>
        <v>517425.59</v>
      </c>
      <c r="J274" s="212">
        <f>SUMIF(逐日资产统计!$A:$A,汇总统计!$F274,逐日资产统计!$G:$G)</f>
        <v>-38442.789999999994</v>
      </c>
      <c r="K274" s="223">
        <f t="shared" si="84"/>
        <v>555868.38</v>
      </c>
      <c r="L274" s="222">
        <f t="shared" si="85"/>
        <v>20000</v>
      </c>
      <c r="M274" s="219">
        <f t="shared" si="86"/>
        <v>-6.9158080191573393E-2</v>
      </c>
      <c r="N274" s="221">
        <f>SUMIFS(逐日资产统计!M:M,逐日资产统计!A:A,汇总统计!F274,逐日资产统计!C:C,"人民币")</f>
        <v>0</v>
      </c>
      <c r="O274" s="221">
        <f>SUMIF(逐日资产统计!A:A,汇总统计!F274,逐日资产统计!M:M)-SUMIFS(逐日资产统计!M:M,逐日资产统计!A:A,汇总统计!F274,逐日资产统计!C:C,"人民币")</f>
        <v>1.1487294240704253</v>
      </c>
      <c r="P274" s="198">
        <v>593120.22</v>
      </c>
      <c r="Q274" s="259">
        <f t="shared" si="87"/>
        <v>-75694.629999999946</v>
      </c>
    </row>
    <row r="275" spans="1:18" x14ac:dyDescent="0.25">
      <c r="A275" s="205">
        <v>43553</v>
      </c>
      <c r="B275" s="192">
        <v>23186.369999999995</v>
      </c>
      <c r="C275">
        <f>SUM($B$2:B275)</f>
        <v>8170.6620000000257</v>
      </c>
      <c r="F275" s="210">
        <f t="shared" si="82"/>
        <v>43553</v>
      </c>
      <c r="G275" s="213">
        <f>SUMIFS(逐日资产统计!$I:$I,逐日资产统计!$A:$A,F275,逐日资产统计!$C:$C,"人民币")</f>
        <v>0</v>
      </c>
      <c r="H275" s="212">
        <f>SUMIF(逐日资产统计!$A:$A,汇总统计!$F275,逐日资产统计!$I:$I)-G275</f>
        <v>540611.96</v>
      </c>
      <c r="I275" s="207">
        <f t="shared" si="83"/>
        <v>540611.96</v>
      </c>
      <c r="J275" s="212">
        <f>SUMIF(逐日资产统计!$A:$A,汇总统计!$F275,逐日资产统计!$G:$G)</f>
        <v>-15256.419999999998</v>
      </c>
      <c r="K275" s="223">
        <f t="shared" si="84"/>
        <v>555868.38</v>
      </c>
      <c r="L275" s="222">
        <f t="shared" si="85"/>
        <v>0</v>
      </c>
      <c r="M275" s="219">
        <f t="shared" si="86"/>
        <v>-2.7446101539360807E-2</v>
      </c>
      <c r="N275" s="221">
        <f>SUMIFS(逐日资产统计!M:M,逐日资产统计!A:A,汇总统计!F275,逐日资产统计!C:C,"人民币")</f>
        <v>0</v>
      </c>
      <c r="O275" s="221">
        <f>SUMIF(逐日资产统计!A:A,汇总统计!F275,逐日资产统计!M:M)-SUMIFS(逐日资产统计!M:M,逐日资产统计!A:A,汇总统计!F275,逐日资产统计!C:C,"人民币")</f>
        <v>1.0994667968499994</v>
      </c>
      <c r="P275" s="198">
        <v>593121.22</v>
      </c>
      <c r="Q275" s="259">
        <f t="shared" si="87"/>
        <v>-52509.260000000009</v>
      </c>
    </row>
    <row r="276" spans="1:18" x14ac:dyDescent="0.25">
      <c r="A276" s="205">
        <v>43556</v>
      </c>
      <c r="B276" s="192">
        <v>15282.479999999996</v>
      </c>
      <c r="C276">
        <f>SUM($B$2:B276)</f>
        <v>23453.142000000022</v>
      </c>
      <c r="F276" s="210">
        <f t="shared" si="82"/>
        <v>43556</v>
      </c>
      <c r="G276" s="213">
        <f>SUMIFS(逐日资产统计!$I:$I,逐日资产统计!$A:$A,F276,逐日资产统计!$C:$C,"人民币")</f>
        <v>0</v>
      </c>
      <c r="H276" s="212">
        <f>SUMIF(逐日资产统计!$A:$A,汇总统计!$F276,逐日资产统计!$I:$I)-G276</f>
        <v>535846.43999999994</v>
      </c>
      <c r="I276" s="207">
        <f t="shared" si="83"/>
        <v>535846.43999999994</v>
      </c>
      <c r="J276" s="212">
        <f>SUMIF(逐日资产统计!$A:$A,汇总统计!$F276,逐日资产统计!$G:$G)</f>
        <v>26.059999999997672</v>
      </c>
      <c r="K276" s="223">
        <f t="shared" si="84"/>
        <v>535820.37999999989</v>
      </c>
      <c r="L276" s="222">
        <f t="shared" si="85"/>
        <v>-20048.000000000116</v>
      </c>
      <c r="M276" s="219">
        <f t="shared" si="86"/>
        <v>4.8635701389330653E-5</v>
      </c>
      <c r="N276" s="221">
        <f>SUMIFS(逐日资产统计!M:M,逐日资产统计!A:A,汇总统计!F276,逐日资产统计!C:C,"人民币")</f>
        <v>0</v>
      </c>
      <c r="O276" s="221">
        <f>SUMIF(逐日资产统计!A:A,汇总统计!F276,逐日资产统计!M:M)-SUMIFS(逐日资产统计!M:M,逐日资产统计!A:A,汇总统计!F276,逐日资产统计!C:C,"人民币")</f>
        <v>1.071838398329193</v>
      </c>
      <c r="P276" s="198">
        <v>593122.22</v>
      </c>
      <c r="Q276" s="259">
        <f t="shared" si="87"/>
        <v>-57275.780000000028</v>
      </c>
    </row>
    <row r="277" spans="1:18" x14ac:dyDescent="0.25">
      <c r="A277" s="205">
        <v>43557</v>
      </c>
      <c r="B277" s="192">
        <v>398.2300000000032</v>
      </c>
      <c r="C277">
        <f>SUM($B$2:B277)</f>
        <v>23851.372000000025</v>
      </c>
      <c r="F277" s="210">
        <f t="shared" si="82"/>
        <v>43557</v>
      </c>
      <c r="G277" s="213">
        <f>SUMIFS(逐日资产统计!$I:$I,逐日资产统计!$A:$A,F277,逐日资产统计!$C:$C,"人民币")</f>
        <v>0</v>
      </c>
      <c r="H277" s="212">
        <f>SUMIF(逐日资产统计!$A:$A,汇总统计!$F277,逐日资产统计!$I:$I)-G277</f>
        <v>536204.66999999993</v>
      </c>
      <c r="I277" s="207">
        <f t="shared" si="83"/>
        <v>536204.66999999993</v>
      </c>
      <c r="J277" s="212">
        <f>SUMIF(逐日资产统计!$A:$A,汇总统计!$F277,逐日资产统计!$G:$G)</f>
        <v>424.29000000000087</v>
      </c>
      <c r="K277" s="223">
        <f t="shared" si="84"/>
        <v>535780.37999999989</v>
      </c>
      <c r="L277" s="222">
        <f t="shared" si="85"/>
        <v>-40</v>
      </c>
      <c r="M277" s="219">
        <f t="shared" si="86"/>
        <v>7.9191029727516515E-4</v>
      </c>
      <c r="N277" s="221">
        <f>SUMIFS(逐日资产统计!M:M,逐日资产统计!A:A,汇总统计!F277,逐日资产统计!C:C,"人民币")</f>
        <v>0</v>
      </c>
      <c r="O277" s="221">
        <f>SUMIF(逐日资产统计!A:A,汇总统计!F277,逐日资产统计!M:M)-SUMIFS(逐日资产统计!M:M,逐日资产统计!A:A,汇总统计!F277,逐日资产统计!C:C,"人民币")</f>
        <v>1.0710688513772177</v>
      </c>
      <c r="P277" s="198">
        <v>593123.22</v>
      </c>
      <c r="Q277" s="259">
        <f t="shared" si="87"/>
        <v>-56918.550000000047</v>
      </c>
    </row>
    <row r="278" spans="1:18" x14ac:dyDescent="0.25">
      <c r="A278" s="205">
        <v>43558</v>
      </c>
      <c r="B278" s="192">
        <v>14803.84</v>
      </c>
      <c r="C278">
        <f>SUM($B$2:B278)</f>
        <v>38655.212000000029</v>
      </c>
      <c r="F278" s="210">
        <f t="shared" si="82"/>
        <v>43558</v>
      </c>
      <c r="G278" s="213">
        <f>SUMIFS(逐日资产统计!$I:$I,逐日资产统计!$A:$A,F278,逐日资产统计!$C:$C,"人民币")</f>
        <v>0</v>
      </c>
      <c r="H278" s="212">
        <f>SUMIF(逐日资产统计!$A:$A,汇总统计!$F278,逐日资产统计!$I:$I)-G278</f>
        <v>551008.51</v>
      </c>
      <c r="I278" s="207">
        <f t="shared" si="83"/>
        <v>551008.51</v>
      </c>
      <c r="J278" s="212">
        <f>SUMIF(逐日资产统计!$A:$A,汇总统计!$F278,逐日资产统计!$G:$G)</f>
        <v>15228.130000000001</v>
      </c>
      <c r="K278" s="223">
        <f t="shared" si="84"/>
        <v>535780.38</v>
      </c>
      <c r="L278" s="222">
        <f t="shared" si="85"/>
        <v>0</v>
      </c>
      <c r="M278" s="219">
        <f t="shared" si="86"/>
        <v>2.8422336032536317E-2</v>
      </c>
      <c r="N278" s="221">
        <f>SUMIFS(逐日资产统计!M:M,逐日资产统计!A:A,汇总统计!F278,逐日资产统计!C:C,"人民币")</f>
        <v>0</v>
      </c>
      <c r="O278" s="221">
        <f>SUMIF(逐日资产统计!A:A,汇总统计!F278,逐日资产统计!M:M)-SUMIFS(逐日资产统计!M:M,逐日资产统计!A:A,汇总统计!F278,逐日资产统计!C:C,"人民币")</f>
        <v>1.0423007804362223</v>
      </c>
      <c r="P278" s="198">
        <v>593124.22</v>
      </c>
      <c r="Q278" s="259">
        <f t="shared" si="87"/>
        <v>-42115.709999999963</v>
      </c>
    </row>
    <row r="279" spans="1:18" x14ac:dyDescent="0.25">
      <c r="A279" s="205">
        <v>43559</v>
      </c>
      <c r="B279" s="192">
        <v>751.31000000000131</v>
      </c>
      <c r="C279">
        <f>SUM($B$2:B279)</f>
        <v>39406.522000000026</v>
      </c>
      <c r="F279" s="210">
        <f t="shared" si="82"/>
        <v>43559</v>
      </c>
      <c r="G279" s="213">
        <f>SUMIFS(逐日资产统计!$I:$I,逐日资产统计!$A:$A,F279,逐日资产统计!$C:$C,"人民币")</f>
        <v>0</v>
      </c>
      <c r="H279" s="212">
        <f>SUMIF(逐日资产统计!$A:$A,汇总统计!$F279,逐日资产统计!$I:$I)-G279</f>
        <v>550727.82000000007</v>
      </c>
      <c r="I279" s="207">
        <f t="shared" si="83"/>
        <v>550727.82000000007</v>
      </c>
      <c r="J279" s="212">
        <f>SUMIF(逐日资产统计!$A:$A,汇总统计!$F279,逐日资产统计!$G:$G)</f>
        <v>15979.440000000002</v>
      </c>
      <c r="K279" s="223">
        <f t="shared" si="84"/>
        <v>534748.38000000012</v>
      </c>
      <c r="L279" s="222">
        <f t="shared" si="85"/>
        <v>-1031.9999999998836</v>
      </c>
      <c r="M279" s="219">
        <f t="shared" si="86"/>
        <v>2.9882166262944074E-2</v>
      </c>
      <c r="N279" s="221">
        <f>SUMIFS(逐日资产统计!M:M,逐日资产统计!A:A,汇总统计!F279,逐日资产统计!C:C,"人民币")</f>
        <v>0</v>
      </c>
      <c r="O279" s="221">
        <f>SUMIF(逐日资产统计!A:A,汇总统计!F279,逐日资产统计!M:M)-SUMIFS(逐日资产统计!M:M,逐日资产统计!A:A,汇总统计!F279,逐日资产统计!C:C,"人民币")</f>
        <v>1.0409665703831703</v>
      </c>
      <c r="P279" s="198">
        <v>593125.22</v>
      </c>
      <c r="Q279" s="259">
        <f t="shared" si="87"/>
        <v>-42397.399999999907</v>
      </c>
      <c r="R279" s="307" t="s">
        <v>697</v>
      </c>
    </row>
    <row r="280" spans="1:18" x14ac:dyDescent="0.25">
      <c r="A280" s="205">
        <v>43563</v>
      </c>
      <c r="B280" s="192">
        <v>-773.12000000000626</v>
      </c>
      <c r="C280">
        <f>SUM($B$2:B280)</f>
        <v>38633.402000000016</v>
      </c>
      <c r="F280" s="210">
        <f t="shared" si="82"/>
        <v>43563</v>
      </c>
      <c r="G280" s="213">
        <f>SUMIFS(逐日资产统计!$I:$I,逐日资产统计!$A:$A,F280,逐日资产统计!$C:$C,"人民币")</f>
        <v>0</v>
      </c>
      <c r="H280" s="212">
        <f>SUMIF(逐日资产统计!$A:$A,汇总统计!$F280,逐日资产统计!$I:$I)-G280</f>
        <v>549927.17000000004</v>
      </c>
      <c r="I280" s="207">
        <f t="shared" si="83"/>
        <v>549927.17000000004</v>
      </c>
      <c r="J280" s="212">
        <f>SUMIF(逐日资产统计!$A:$A,汇总统计!$F280,逐日资产统计!$G:$G)</f>
        <v>15206.319999999996</v>
      </c>
      <c r="K280" s="223">
        <f t="shared" si="84"/>
        <v>534720.85000000009</v>
      </c>
      <c r="L280" s="222">
        <f t="shared" si="85"/>
        <v>-27.53000000002794</v>
      </c>
      <c r="M280" s="219">
        <f t="shared" si="86"/>
        <v>2.8437866224965781E-2</v>
      </c>
      <c r="N280" s="221">
        <f>SUMIFS(逐日资产统计!M:M,逐日资产统计!A:A,汇总统计!F280,逐日资产统计!C:C,"人民币")</f>
        <v>0</v>
      </c>
      <c r="O280" s="221">
        <f>SUMIF(逐日资产统计!A:A,汇总统计!F280,逐日资产统计!M:M)-SUMIFS(逐日资产统计!M:M,逐日资产统计!A:A,汇总统计!F280,逐日资产统计!C:C,"人民币")</f>
        <v>1.0443408533533631</v>
      </c>
      <c r="P280" s="198">
        <v>593126.22</v>
      </c>
      <c r="Q280" s="259">
        <f t="shared" si="87"/>
        <v>-43199.04999999993</v>
      </c>
    </row>
    <row r="281" spans="1:18" x14ac:dyDescent="0.25">
      <c r="A281" s="205">
        <v>43564</v>
      </c>
      <c r="B281" s="192">
        <v>4394.3900000000031</v>
      </c>
      <c r="C281">
        <f>SUM($B$2:B281)</f>
        <v>43027.792000000016</v>
      </c>
      <c r="F281" s="210">
        <f t="shared" si="82"/>
        <v>43564</v>
      </c>
      <c r="G281" s="213">
        <f>SUMIFS(逐日资产统计!$I:$I,逐日资产统计!$A:$A,F281,逐日资产统计!$C:$C,"人民币")</f>
        <v>0</v>
      </c>
      <c r="H281" s="212">
        <f>SUMIF(逐日资产统计!$A:$A,汇总统计!$F281,逐日资产统计!$I:$I)-G281</f>
        <v>554309.56000000006</v>
      </c>
      <c r="I281" s="207">
        <f t="shared" si="83"/>
        <v>554309.56000000006</v>
      </c>
      <c r="J281" s="212">
        <f>SUMIF(逐日资产统计!$A:$A,汇总统计!$F281,逐日资产统计!$G:$G)</f>
        <v>19600.71</v>
      </c>
      <c r="K281" s="223">
        <f t="shared" si="84"/>
        <v>534708.85000000009</v>
      </c>
      <c r="L281" s="222">
        <f t="shared" si="85"/>
        <v>-12</v>
      </c>
      <c r="M281" s="219">
        <f t="shared" si="86"/>
        <v>3.6656789952139369E-2</v>
      </c>
      <c r="N281" s="221">
        <f>SUMIFS(逐日资产统计!M:M,逐日资产统计!A:A,汇总统计!F281,逐日资产统计!C:C,"人民币")</f>
        <v>0</v>
      </c>
      <c r="O281" s="221">
        <f>SUMIF(逐日资产统计!A:A,汇总统计!F281,逐日资产统计!M:M)-SUMIFS(逐日资产统计!M:M,逐日资产统计!A:A,汇总统计!F281,逐日资产统计!C:C,"人民币")</f>
        <v>1.0361025344755013</v>
      </c>
      <c r="P281" s="198">
        <v>593127.22</v>
      </c>
      <c r="Q281" s="259">
        <f t="shared" si="87"/>
        <v>-38817.659999999916</v>
      </c>
    </row>
    <row r="282" spans="1:18" x14ac:dyDescent="0.25">
      <c r="A282" s="205">
        <v>43565</v>
      </c>
      <c r="B282" s="192">
        <v>-2316.5200000000004</v>
      </c>
      <c r="C282">
        <f>SUM($B$2:B282)</f>
        <v>40711.272000000012</v>
      </c>
      <c r="F282" s="210">
        <f t="shared" si="82"/>
        <v>43565</v>
      </c>
      <c r="G282" s="213">
        <f>SUMIFS(逐日资产统计!$I:$I,逐日资产统计!$A:$A,F282,逐日资产统计!$C:$C,"人民币")</f>
        <v>0</v>
      </c>
      <c r="H282" s="212">
        <f>SUMIF(逐日资产统计!$A:$A,汇总统计!$F282,逐日资产统计!$I:$I)-G282</f>
        <v>551981.16999999993</v>
      </c>
      <c r="I282" s="207">
        <f t="shared" si="83"/>
        <v>551981.16999999993</v>
      </c>
      <c r="J282" s="212">
        <f>SUMIF(逐日资产统计!$A:$A,汇总统计!$F282,逐日资产统计!$G:$G)</f>
        <v>17284.189999999999</v>
      </c>
      <c r="K282" s="223">
        <f t="shared" si="84"/>
        <v>534696.98</v>
      </c>
      <c r="L282" s="222">
        <f t="shared" si="85"/>
        <v>-11.870000000111759</v>
      </c>
      <c r="M282" s="219">
        <f t="shared" si="86"/>
        <v>3.2325205951228675E-2</v>
      </c>
      <c r="N282" s="221">
        <f>SUMIFS(逐日资产统计!M:M,逐日资产统计!A:A,汇总统计!F282,逐日资产统计!C:C,"人民币")</f>
        <v>0</v>
      </c>
      <c r="O282" s="221">
        <f>SUMIF(逐日资产统计!A:A,汇总统计!F282,逐日资产统计!M:M)-SUMIFS(逐日资产统计!M:M,逐日资产统计!A:A,汇总统计!F282,逐日资产统计!C:C,"人民币")</f>
        <v>1.0385689062545378</v>
      </c>
      <c r="P282" s="198">
        <v>593128.22</v>
      </c>
      <c r="Q282" s="259">
        <f t="shared" si="87"/>
        <v>-41147.050000000047</v>
      </c>
      <c r="R282" s="313"/>
    </row>
    <row r="283" spans="1:18" x14ac:dyDescent="0.25">
      <c r="A283" s="205">
        <v>43566</v>
      </c>
      <c r="B283" s="192">
        <v>-8614.98</v>
      </c>
      <c r="C283">
        <f>SUM($B$2:B283)</f>
        <v>32096.292000000012</v>
      </c>
      <c r="F283" s="210">
        <f t="shared" si="82"/>
        <v>43566</v>
      </c>
      <c r="G283" s="213">
        <f>SUMIFS(逐日资产统计!$I:$I,逐日资产统计!$A:$A,F283,逐日资产统计!$C:$C,"人民币")</f>
        <v>0</v>
      </c>
      <c r="H283" s="212">
        <f>SUMIF(逐日资产统计!$A:$A,汇总统计!$F283,逐日资产统计!$I:$I)-G283</f>
        <v>543366.18999999994</v>
      </c>
      <c r="I283" s="207">
        <f t="shared" si="83"/>
        <v>543366.18999999994</v>
      </c>
      <c r="J283" s="212">
        <f>SUMIF(逐日资产统计!$A:$A,汇总统计!$F283,逐日资产统计!$G:$G)</f>
        <v>8669.2099999999991</v>
      </c>
      <c r="K283" s="223">
        <f t="shared" si="84"/>
        <v>534696.98</v>
      </c>
      <c r="L283" s="222">
        <f t="shared" si="85"/>
        <v>0</v>
      </c>
      <c r="M283" s="219">
        <f t="shared" si="86"/>
        <v>1.6213313940916591E-2</v>
      </c>
      <c r="N283" s="221">
        <f>SUMIFS(逐日资产统计!M:M,逐日资产统计!A:A,汇总统计!F283,逐日资产统计!C:C,"人民币")</f>
        <v>0</v>
      </c>
      <c r="O283" s="221">
        <f>SUMIF(逐日资产统计!A:A,汇总统计!F283,逐日资产统计!M:M)-SUMIFS(逐日资产统计!M:M,逐日资产统计!A:A,汇总统计!F283,逐日资产统计!C:C,"人民币")</f>
        <v>1.0550446651824252</v>
      </c>
      <c r="P283" s="198">
        <v>593129.22</v>
      </c>
      <c r="Q283" s="259">
        <f t="shared" si="87"/>
        <v>-49763.030000000028</v>
      </c>
    </row>
    <row r="284" spans="1:18" x14ac:dyDescent="0.25">
      <c r="A284" s="205">
        <v>43567</v>
      </c>
      <c r="B284" s="192">
        <v>1603.6800000000003</v>
      </c>
      <c r="C284">
        <f>SUM($B$2:B284)</f>
        <v>33699.972000000009</v>
      </c>
      <c r="F284" s="210">
        <f t="shared" ref="F284:F309" si="88">A284</f>
        <v>43567</v>
      </c>
      <c r="G284" s="213">
        <f>SUMIFS(逐日资产统计!$I:$I,逐日资产统计!$A:$A,F284,逐日资产统计!$C:$C,"人民币")</f>
        <v>0</v>
      </c>
      <c r="H284" s="212">
        <f>SUMIF(逐日资产统计!$A:$A,汇总统计!$F284,逐日资产统计!$I:$I)-G284</f>
        <v>544969.87</v>
      </c>
      <c r="I284" s="207">
        <f t="shared" ref="I284:I309" si="89">G284+H284</f>
        <v>544969.87</v>
      </c>
      <c r="J284" s="212">
        <f>SUMIF(逐日资产统计!$A:$A,汇总统计!$F284,逐日资产统计!$G:$G)</f>
        <v>10272.89</v>
      </c>
      <c r="K284" s="223">
        <f t="shared" ref="K284:K309" si="90">I284-J284</f>
        <v>534696.98</v>
      </c>
      <c r="L284" s="222">
        <f t="shared" ref="L284:L309" si="91">K284-K283</f>
        <v>0</v>
      </c>
      <c r="M284" s="219">
        <f t="shared" ref="M284:M309" si="92">J284/K284</f>
        <v>1.921254539346753E-2</v>
      </c>
      <c r="N284" s="221">
        <f>SUMIFS(逐日资产统计!M:M,逐日资产统计!A:A,汇总统计!F284,逐日资产统计!C:C,"人民币")</f>
        <v>0</v>
      </c>
      <c r="O284" s="221">
        <f>SUMIF(逐日资产统计!A:A,汇总统计!F284,逐日资产统计!M:M)-SUMIFS(逐日资产统计!M:M,逐日资产统计!A:A,汇总统计!F284,逐日资产统计!C:C,"人民币")</f>
        <v>1.0519489270113227</v>
      </c>
      <c r="P284" s="198">
        <v>593130.22</v>
      </c>
      <c r="Q284" s="259">
        <f t="shared" ref="Q284:Q301" si="93">I284-P284</f>
        <v>-48160.349999999977</v>
      </c>
    </row>
    <row r="285" spans="1:18" x14ac:dyDescent="0.25">
      <c r="A285" s="205">
        <v>43570</v>
      </c>
      <c r="B285" s="192">
        <v>-6464.3600000000006</v>
      </c>
      <c r="C285">
        <f>SUM($B$2:B285)</f>
        <v>27235.612000000008</v>
      </c>
      <c r="F285" s="210">
        <f t="shared" si="88"/>
        <v>43570</v>
      </c>
      <c r="G285" s="213">
        <f>SUMIFS(逐日资产统计!$I:$I,逐日资产统计!$A:$A,F285,逐日资产统计!$C:$C,"人民币")</f>
        <v>0</v>
      </c>
      <c r="H285" s="212">
        <f>SUMIF(逐日资产统计!$A:$A,汇总统计!$F285,逐日资产统计!$I:$I)-G285</f>
        <v>538505.51</v>
      </c>
      <c r="I285" s="207">
        <f t="shared" si="89"/>
        <v>538505.51</v>
      </c>
      <c r="J285" s="212">
        <f>SUMIF(逐日资产统计!$A:$A,汇总统计!$F285,逐日资产统计!$G:$G)</f>
        <v>3808.5299999999988</v>
      </c>
      <c r="K285" s="223">
        <f t="shared" si="90"/>
        <v>534696.98</v>
      </c>
      <c r="L285" s="222">
        <f t="shared" si="91"/>
        <v>0</v>
      </c>
      <c r="M285" s="219">
        <f t="shared" si="92"/>
        <v>7.1227819539956983E-3</v>
      </c>
      <c r="N285" s="221">
        <f>SUMIFS(逐日资产统计!M:M,逐日资产统计!A:A,汇总统计!F285,逐日资产统计!C:C,"人民币")</f>
        <v>0</v>
      </c>
      <c r="O285" s="221">
        <f>SUMIF(逐日资产统计!A:A,汇总统计!F285,逐日资产统计!M:M)-SUMIFS(逐日资产统计!M:M,逐日资产统计!A:A,汇总统计!F285,逐日资产统计!C:C,"人民币")</f>
        <v>1.064585764405642</v>
      </c>
      <c r="P285" s="198">
        <v>593131.22</v>
      </c>
      <c r="Q285" s="259">
        <f t="shared" si="93"/>
        <v>-54625.709999999963</v>
      </c>
    </row>
    <row r="286" spans="1:18" x14ac:dyDescent="0.25">
      <c r="A286" s="205">
        <v>43571</v>
      </c>
      <c r="B286" s="192">
        <v>11381.880000000001</v>
      </c>
      <c r="C286">
        <f>SUM($B$2:B286)</f>
        <v>38617.492000000013</v>
      </c>
      <c r="F286" s="210">
        <f t="shared" si="88"/>
        <v>43571</v>
      </c>
      <c r="G286" s="213">
        <f>SUMIFS(逐日资产统计!$I:$I,逐日资产统计!$A:$A,F286,逐日资产统计!$C:$C,"人民币")</f>
        <v>0</v>
      </c>
      <c r="H286" s="212">
        <f>SUMIF(逐日资产统计!$A:$A,汇总统计!$F286,逐日资产统计!$I:$I)-G286</f>
        <v>549879.81999999995</v>
      </c>
      <c r="I286" s="207">
        <f t="shared" si="89"/>
        <v>549879.81999999995</v>
      </c>
      <c r="J286" s="212">
        <f>SUMIF(逐日资产统计!$A:$A,汇总统计!$F286,逐日资产统计!$G:$G)</f>
        <v>15190.41</v>
      </c>
      <c r="K286" s="223">
        <f t="shared" si="90"/>
        <v>534689.40999999992</v>
      </c>
      <c r="L286" s="222">
        <f t="shared" si="91"/>
        <v>-7.5700000000651926</v>
      </c>
      <c r="M286" s="219">
        <f t="shared" si="92"/>
        <v>2.8409782793341658E-2</v>
      </c>
      <c r="N286" s="221">
        <f>SUMIFS(逐日资产统计!M:M,逐日资产统计!A:A,汇总统计!F286,逐日资产统计!C:C,"人民币")</f>
        <v>0</v>
      </c>
      <c r="O286" s="221">
        <f>SUMIF(逐日资产统计!A:A,汇总统计!F286,逐日资产统计!M:M)-SUMIFS(逐日资产统计!M:M,逐日资产统计!A:A,汇总统计!F286,逐日资产统计!C:C,"人民币")</f>
        <v>1.0434193966237932</v>
      </c>
      <c r="P286" s="198">
        <v>593132.22</v>
      </c>
      <c r="Q286" s="259">
        <f t="shared" si="93"/>
        <v>-43252.400000000023</v>
      </c>
    </row>
    <row r="287" spans="1:18" x14ac:dyDescent="0.25">
      <c r="A287" s="205">
        <v>43577</v>
      </c>
      <c r="B287" s="192">
        <v>1643.0399999999972</v>
      </c>
      <c r="C287">
        <f>SUM($B$2:B287)</f>
        <v>40260.532000000007</v>
      </c>
      <c r="F287" s="210">
        <f t="shared" si="88"/>
        <v>43577</v>
      </c>
      <c r="G287" s="213">
        <f>SUMIFS(逐日资产统计!$I:$I,逐日资产统计!$A:$A,F287,逐日资产统计!$C:$C,"人民币")</f>
        <v>0</v>
      </c>
      <c r="H287" s="212">
        <f>SUMIF(逐日资产统计!$A:$A,汇总统计!$F287,逐日资产统计!$I:$I)-G287</f>
        <v>551504.46000000008</v>
      </c>
      <c r="I287" s="207">
        <f t="shared" si="89"/>
        <v>551504.46000000008</v>
      </c>
      <c r="J287" s="212">
        <f>SUMIF(逐日资产统计!$A:$A,汇总统计!$F287,逐日资产统计!$G:$G)</f>
        <v>16833.449999999997</v>
      </c>
      <c r="K287" s="223">
        <f t="shared" si="90"/>
        <v>534671.01000000013</v>
      </c>
      <c r="L287" s="222">
        <f t="shared" si="91"/>
        <v>-18.399999999790452</v>
      </c>
      <c r="M287" s="219">
        <f t="shared" si="92"/>
        <v>3.1483752971757331E-2</v>
      </c>
      <c r="N287" s="221">
        <f>SUMIFS(逐日资产统计!M:M,逐日资产统计!A:A,汇总统计!F287,逐日资产统计!C:C,"人民币")</f>
        <v>0</v>
      </c>
      <c r="O287" s="221">
        <f>SUMIF(逐日资产统计!A:A,汇总统计!F287,逐日资产统计!M:M)-SUMIFS(逐日资产统计!M:M,逐日资产统计!A:A,汇总统计!F287,逐日资产统计!C:C,"人民币")</f>
        <v>1.0403507162933912</v>
      </c>
      <c r="P287" s="198">
        <v>593133.22</v>
      </c>
      <c r="Q287" s="259">
        <f t="shared" si="93"/>
        <v>-41628.759999999893</v>
      </c>
    </row>
    <row r="288" spans="1:18" x14ac:dyDescent="0.25">
      <c r="A288" s="205">
        <v>43578</v>
      </c>
      <c r="B288" s="192">
        <v>-7940.2200000000012</v>
      </c>
      <c r="C288">
        <f>SUM($B$2:B288)</f>
        <v>32320.312000000005</v>
      </c>
      <c r="F288" s="210">
        <f t="shared" si="88"/>
        <v>43578</v>
      </c>
      <c r="G288" s="213">
        <f>SUMIFS(逐日资产统计!$I:$I,逐日资产统计!$A:$A,F288,逐日资产统计!$C:$C,"人民币")</f>
        <v>0</v>
      </c>
      <c r="H288" s="212">
        <f>SUMIF(逐日资产统计!$A:$A,汇总统计!$F288,逐日资产统计!$I:$I)-G288</f>
        <v>543557.61</v>
      </c>
      <c r="I288" s="207">
        <f t="shared" si="89"/>
        <v>543557.61</v>
      </c>
      <c r="J288" s="212">
        <f>SUMIF(逐日资产统计!$A:$A,汇总统计!$F288,逐日资产统计!$G:$G)</f>
        <v>8893.2299999999959</v>
      </c>
      <c r="K288" s="223">
        <f t="shared" si="90"/>
        <v>534664.38</v>
      </c>
      <c r="L288" s="222">
        <f t="shared" si="91"/>
        <v>-6.6300000001210719</v>
      </c>
      <c r="M288" s="219">
        <f t="shared" si="92"/>
        <v>1.6633294329425865E-2</v>
      </c>
      <c r="N288" s="221">
        <f>SUMIFS(逐日资产统计!M:M,逐日资产统计!A:A,汇总统计!F288,逐日资产统计!C:C,"人民币")</f>
        <v>0</v>
      </c>
      <c r="O288" s="221">
        <f>SUMIF(逐日资产统计!A:A,汇总统计!F288,逐日资产统计!M:M)-SUMIFS(逐日资产统计!M:M,逐日资产统计!A:A,汇总统计!F288,逐日资产统计!C:C,"人民币")</f>
        <v>1.0547241349449601</v>
      </c>
      <c r="P288" s="198">
        <v>593134.22</v>
      </c>
      <c r="Q288" s="259">
        <f t="shared" si="93"/>
        <v>-49576.609999999986</v>
      </c>
    </row>
    <row r="289" spans="1:18" x14ac:dyDescent="0.25">
      <c r="A289" s="205">
        <v>43579</v>
      </c>
      <c r="B289" s="192">
        <v>11299.160000000003</v>
      </c>
      <c r="C289">
        <f>SUM($B$2:B289)</f>
        <v>43619.472000000009</v>
      </c>
      <c r="F289" s="210">
        <f t="shared" si="88"/>
        <v>43579</v>
      </c>
      <c r="G289" s="213">
        <f>SUMIFS(逐日资产统计!$I:$I,逐日资产统计!$A:$A,F289,逐日资产统计!$C:$C,"人民币")</f>
        <v>0</v>
      </c>
      <c r="H289" s="212">
        <f>SUMIF(逐日资产统计!$A:$A,汇总统计!$F289,逐日资产统计!$I:$I)-G289</f>
        <v>554856.77</v>
      </c>
      <c r="I289" s="207">
        <f t="shared" si="89"/>
        <v>554856.77</v>
      </c>
      <c r="J289" s="212">
        <f>SUMIF(逐日资产统计!$A:$A,汇总统计!$F289,逐日资产统计!$G:$G)</f>
        <v>20192.39</v>
      </c>
      <c r="K289" s="223">
        <f t="shared" si="90"/>
        <v>534664.38</v>
      </c>
      <c r="L289" s="222">
        <f t="shared" si="91"/>
        <v>0</v>
      </c>
      <c r="M289" s="219">
        <f t="shared" si="92"/>
        <v>3.7766476981316764E-2</v>
      </c>
      <c r="N289" s="221">
        <f>SUMIFS(逐日资产统计!M:M,逐日资产统计!A:A,汇总统计!F289,逐日资产统计!C:C,"人民币")</f>
        <v>0</v>
      </c>
      <c r="O289" s="221">
        <f>SUMIF(逐日资产统计!A:A,汇总统计!F289,逐日资产统计!M:M)-SUMIFS(逐日资产统计!M:M,逐日资产统计!A:A,汇总统计!F289,逐日资产统计!C:C,"人民币")</f>
        <v>1.0332590336781868</v>
      </c>
      <c r="P289" s="198">
        <v>593135.22</v>
      </c>
      <c r="Q289" s="259">
        <f t="shared" si="93"/>
        <v>-38278.449999999953</v>
      </c>
    </row>
    <row r="290" spans="1:18" x14ac:dyDescent="0.25">
      <c r="A290" s="205">
        <v>43580</v>
      </c>
      <c r="B290" s="192">
        <v>724.4700000000048</v>
      </c>
      <c r="C290">
        <f>SUM($B$2:B290)</f>
        <v>44343.94200000001</v>
      </c>
      <c r="F290" s="210">
        <f t="shared" si="88"/>
        <v>43580</v>
      </c>
      <c r="G290" s="213">
        <f>SUMIFS(逐日资产统计!$I:$I,逐日资产统计!$A:$A,F290,逐日资产统计!$C:$C,"人民币")</f>
        <v>0</v>
      </c>
      <c r="H290" s="212">
        <f>SUMIF(逐日资产统计!$A:$A,汇总统计!$F290,逐日资产统计!$I:$I)-G290</f>
        <v>555581.24</v>
      </c>
      <c r="I290" s="207">
        <f t="shared" si="89"/>
        <v>555581.24</v>
      </c>
      <c r="J290" s="212">
        <f>SUMIF(逐日资产统计!$A:$A,汇总统计!$F290,逐日资产统计!$G:$G)</f>
        <v>20916.860000000004</v>
      </c>
      <c r="K290" s="223">
        <f t="shared" si="90"/>
        <v>534664.38</v>
      </c>
      <c r="L290" s="222">
        <f t="shared" si="91"/>
        <v>0</v>
      </c>
      <c r="M290" s="219">
        <f t="shared" si="92"/>
        <v>3.9121476541975744E-2</v>
      </c>
      <c r="N290" s="221">
        <f>SUMIFS(逐日资产统计!M:M,逐日资产统计!A:A,汇总统计!F290,逐日资产统计!C:C,"人民币")</f>
        <v>0</v>
      </c>
      <c r="O290" s="221">
        <f>SUMIF(逐日资产统计!A:A,汇总统计!F290,逐日资产统计!M:M)-SUMIFS(逐日资产统计!M:M,逐日资产统计!A:A,汇总统计!F290,逐日资产统计!C:C,"人民币")</f>
        <v>1.0319191303147672</v>
      </c>
      <c r="P290" s="198">
        <v>593136.22</v>
      </c>
      <c r="Q290" s="259">
        <f t="shared" si="93"/>
        <v>-37554.979999999981</v>
      </c>
    </row>
    <row r="291" spans="1:18" x14ac:dyDescent="0.25">
      <c r="A291" s="205">
        <v>43581</v>
      </c>
      <c r="B291" s="192">
        <v>37.630000000001019</v>
      </c>
      <c r="C291">
        <f>SUM($B$2:B291)</f>
        <v>44381.572000000015</v>
      </c>
      <c r="F291" s="210">
        <f t="shared" si="88"/>
        <v>43581</v>
      </c>
      <c r="G291" s="213">
        <f>SUMIFS(逐日资产统计!$I:$I,逐日资产统计!$A:$A,F291,逐日资产统计!$C:$C,"人民币")</f>
        <v>0</v>
      </c>
      <c r="H291" s="212">
        <f>SUMIF(逐日资产统计!$A:$A,汇总统计!$F291,逐日资产统计!$I:$I)-G291</f>
        <v>555618.87</v>
      </c>
      <c r="I291" s="207">
        <f t="shared" si="89"/>
        <v>555618.87</v>
      </c>
      <c r="J291" s="212">
        <f>SUMIF(逐日资产统计!$A:$A,汇总统计!$F291,逐日资产统计!$G:$G)</f>
        <v>20954.490000000005</v>
      </c>
      <c r="K291" s="223">
        <f t="shared" si="90"/>
        <v>534664.38</v>
      </c>
      <c r="L291" s="222">
        <f t="shared" si="91"/>
        <v>0</v>
      </c>
      <c r="M291" s="219">
        <f t="shared" si="92"/>
        <v>3.9191857142231924E-2</v>
      </c>
      <c r="N291" s="221">
        <f>SUMIFS(逐日资产统计!M:M,逐日资产统计!A:A,汇总统计!F291,逐日资产统计!C:C,"人民币")</f>
        <v>0</v>
      </c>
      <c r="O291" s="221">
        <f>SUMIF(逐日资产统计!A:A,汇总统计!F291,逐日资产统计!M:M)-SUMIFS(逐日资产统计!M:M,逐日资产统计!A:A,汇总统计!F291,逐日资产统计!C:C,"人民币")</f>
        <v>1.0318564774446917</v>
      </c>
      <c r="P291" s="198">
        <v>593137.22</v>
      </c>
      <c r="Q291" s="259">
        <f t="shared" si="93"/>
        <v>-37518.349999999977</v>
      </c>
    </row>
    <row r="292" spans="1:18" x14ac:dyDescent="0.25">
      <c r="A292" s="205">
        <v>43584</v>
      </c>
      <c r="B292" s="192">
        <v>-15205.629999999997</v>
      </c>
      <c r="C292">
        <f>SUM($B$2:B292)</f>
        <v>29175.942000000017</v>
      </c>
      <c r="F292" s="210">
        <f t="shared" si="88"/>
        <v>43584</v>
      </c>
      <c r="G292" s="213">
        <f>SUMIFS(逐日资产统计!$I:$I,逐日资产统计!$A:$A,F292,逐日资产统计!$C:$C,"人民币")</f>
        <v>0</v>
      </c>
      <c r="H292" s="212">
        <f>SUMIF(逐日资产统计!$A:$A,汇总统计!$F292,逐日资产统计!$I:$I)-G292</f>
        <v>540413.24</v>
      </c>
      <c r="I292" s="207">
        <f t="shared" si="89"/>
        <v>540413.24</v>
      </c>
      <c r="J292" s="212">
        <f>SUMIF(逐日资产统计!$A:$A,汇总统计!$F292,逐日资产统计!$G:$G)</f>
        <v>5748.8600000000079</v>
      </c>
      <c r="K292" s="223">
        <f t="shared" si="90"/>
        <v>534664.38</v>
      </c>
      <c r="L292" s="222">
        <f t="shared" si="91"/>
        <v>0</v>
      </c>
      <c r="M292" s="219">
        <f t="shared" si="92"/>
        <v>1.0752277905627466E-2</v>
      </c>
      <c r="N292" s="221">
        <f>SUMIFS(逐日资产统计!M:M,逐日资产统计!A:A,汇总统计!F292,逐日资产统计!C:C,"人民币")</f>
        <v>0</v>
      </c>
      <c r="O292" s="221">
        <f>SUMIF(逐日资产统计!A:A,汇总统计!F292,逐日资产统计!M:M)-SUMIFS(逐日资产统计!M:M,逐日资产统计!A:A,汇总统计!F292,逐日资产统计!C:C,"人民币")</f>
        <v>1.0608967685543753</v>
      </c>
      <c r="P292" s="198">
        <v>593138.22</v>
      </c>
      <c r="Q292" s="259">
        <f t="shared" si="93"/>
        <v>-52724.979999999981</v>
      </c>
    </row>
    <row r="293" spans="1:18" x14ac:dyDescent="0.25">
      <c r="A293" s="205">
        <v>43636</v>
      </c>
      <c r="B293" s="192">
        <v>-22938.98000000001</v>
      </c>
      <c r="C293">
        <f>SUM($B$2:B293)</f>
        <v>6236.9620000000068</v>
      </c>
      <c r="F293" s="210">
        <f t="shared" si="88"/>
        <v>43636</v>
      </c>
      <c r="G293" s="213">
        <f>SUMIFS(逐日资产统计!$I:$I,逐日资产统计!$A:$A,F293,逐日资产统计!$C:$C,"人民币")</f>
        <v>0</v>
      </c>
      <c r="H293" s="212">
        <f>SUMIF(逐日资产统计!$A:$A,汇总统计!$F293,逐日资产统计!$I:$I)-G293</f>
        <v>517364.3</v>
      </c>
      <c r="I293" s="207">
        <f t="shared" si="89"/>
        <v>517364.3</v>
      </c>
      <c r="J293" s="212">
        <f>SUMIF(逐日资产统计!$A:$A,汇总统计!$F293,逐日资产统计!$G:$G)</f>
        <v>-17190.120000000003</v>
      </c>
      <c r="K293" s="223">
        <f t="shared" si="90"/>
        <v>534554.42000000004</v>
      </c>
      <c r="L293" s="222">
        <f t="shared" si="91"/>
        <v>-109.95999999996275</v>
      </c>
      <c r="M293" s="219">
        <f t="shared" si="92"/>
        <v>-3.2157848400168498E-2</v>
      </c>
      <c r="N293" s="221">
        <f>SUMIFS(逐日资产统计!M:M,逐日资产统计!A:A,汇总统计!F293,逐日资产统计!C:C,"人民币")</f>
        <v>0</v>
      </c>
      <c r="O293" s="221">
        <f>SUMIF(逐日资产统计!A:A,汇总统计!F293,逐日资产统计!M:M)-SUMIFS(逐日资产统计!M:M,逐日资产统计!A:A,汇总统计!F293,逐日资产统计!C:C,"人民币")</f>
        <v>1.1028248760109658</v>
      </c>
      <c r="P293" s="198">
        <v>593139.22</v>
      </c>
      <c r="Q293" s="259">
        <f t="shared" si="93"/>
        <v>-75774.919999999984</v>
      </c>
    </row>
    <row r="294" spans="1:18" x14ac:dyDescent="0.25">
      <c r="A294" s="205">
        <v>43640</v>
      </c>
      <c r="B294" s="192">
        <v>20381.640000000007</v>
      </c>
      <c r="C294">
        <f>SUM($B$2:B294)</f>
        <v>26618.602000000014</v>
      </c>
      <c r="F294" s="210">
        <f t="shared" si="88"/>
        <v>43640</v>
      </c>
      <c r="G294" s="213">
        <f>SUMIFS(逐日资产统计!$I:$I,逐日资产统计!$A:$A,F294,逐日资产统计!$C:$C,"人民币")</f>
        <v>0</v>
      </c>
      <c r="H294" s="212">
        <f>SUMIF(逐日资产统计!$A:$A,汇总统计!$F294,逐日资产统计!$I:$I)-G294</f>
        <v>537709.24</v>
      </c>
      <c r="I294" s="207">
        <f t="shared" si="89"/>
        <v>537709.24</v>
      </c>
      <c r="J294" s="212">
        <f>SUMIF(逐日资产统计!$A:$A,汇总统计!$F294,逐日资产统计!$G:$G)</f>
        <v>3191.5200000000023</v>
      </c>
      <c r="K294" s="223">
        <f t="shared" si="90"/>
        <v>534517.72</v>
      </c>
      <c r="L294" s="222">
        <f t="shared" si="91"/>
        <v>-36.700000000069849</v>
      </c>
      <c r="M294" s="219">
        <f t="shared" si="92"/>
        <v>5.9708404054406323E-3</v>
      </c>
      <c r="N294" s="221">
        <f>SUMIFS(逐日资产统计!M:M,逐日资产统计!A:A,汇总统计!F294,逐日资产统计!C:C,"人民币")</f>
        <v>0</v>
      </c>
      <c r="O294" s="221">
        <f>SUMIF(逐日资产统计!A:A,汇总统计!F294,逐日资产统计!M:M)-SUMIFS(逐日资产统计!M:M,逐日资产统计!A:A,汇总统计!F294,逐日资产统计!C:C,"人民币")</f>
        <v>1.0610831794521516</v>
      </c>
      <c r="P294" s="198">
        <v>593140.22</v>
      </c>
      <c r="Q294" s="259">
        <f t="shared" si="93"/>
        <v>-55430.979999999981</v>
      </c>
    </row>
    <row r="295" spans="1:18" x14ac:dyDescent="0.25">
      <c r="A295" s="205">
        <v>43642</v>
      </c>
      <c r="B295" s="192">
        <v>-5904.79000000001</v>
      </c>
      <c r="C295">
        <f>SUM($B$2:B295)</f>
        <v>20713.812000000005</v>
      </c>
      <c r="F295" s="210">
        <f t="shared" si="88"/>
        <v>43642</v>
      </c>
      <c r="G295" s="213">
        <f>SUMIFS(逐日资产统计!$I:$I,逐日资产统计!$A:$A,F295,逐日资产统计!$C:$C,"人民币")</f>
        <v>0</v>
      </c>
      <c r="H295" s="212">
        <f>SUMIF(逐日资产统计!$A:$A,汇总统计!$F295,逐日资产统计!$I:$I)-G295</f>
        <v>531771.45000000007</v>
      </c>
      <c r="I295" s="207">
        <f t="shared" si="89"/>
        <v>531771.45000000007</v>
      </c>
      <c r="J295" s="212">
        <f>SUMIF(逐日资产统计!$A:$A,汇总统计!$F295,逐日资产统计!$G:$G)</f>
        <v>-2713.2700000000077</v>
      </c>
      <c r="K295" s="223">
        <f t="shared" si="90"/>
        <v>534484.72000000009</v>
      </c>
      <c r="L295" s="222">
        <f t="shared" si="91"/>
        <v>-32.999999999883585</v>
      </c>
      <c r="M295" s="219">
        <f t="shared" si="92"/>
        <v>-5.0764220163300594E-3</v>
      </c>
      <c r="N295" s="221">
        <f>SUMIFS(逐日资产统计!M:M,逐日资产统计!A:A,汇总统计!F295,逐日资产统计!C:C,"人民币")</f>
        <v>0</v>
      </c>
      <c r="O295" s="221">
        <f>SUMIF(逐日资产统计!A:A,汇总统计!F295,逐日资产统计!M:M)-SUMIFS(逐日资产统计!M:M,逐日资产统计!A:A,汇总统计!F295,逐日资产统计!C:C,"人民币")</f>
        <v>1.0728733556493115</v>
      </c>
      <c r="P295" s="198">
        <v>593141.22</v>
      </c>
      <c r="Q295" s="259">
        <f t="shared" si="93"/>
        <v>-61369.769999999902</v>
      </c>
    </row>
    <row r="296" spans="1:18" x14ac:dyDescent="0.25">
      <c r="A296" s="205">
        <v>43643</v>
      </c>
      <c r="B296" s="192">
        <v>4574.6100000000006</v>
      </c>
      <c r="C296">
        <f>SUM($B$2:B296)</f>
        <v>25288.422000000006</v>
      </c>
      <c r="F296" s="210">
        <f t="shared" si="88"/>
        <v>43643</v>
      </c>
      <c r="G296" s="213">
        <f>SUMIFS(逐日资产统计!$I:$I,逐日资产统计!$A:$A,F296,逐日资产统计!$C:$C,"人民币")</f>
        <v>0</v>
      </c>
      <c r="H296" s="212">
        <f>SUMIF(逐日资产统计!$A:$A,汇总统计!$F296,逐日资产统计!$I:$I)-G296</f>
        <v>536346.06000000006</v>
      </c>
      <c r="I296" s="207">
        <f t="shared" si="89"/>
        <v>536346.06000000006</v>
      </c>
      <c r="J296" s="212">
        <f>SUMIF(逐日资产统计!$A:$A,汇总统计!$F296,逐日资产统计!$G:$G)</f>
        <v>1861.3399999999929</v>
      </c>
      <c r="K296" s="223">
        <f t="shared" si="90"/>
        <v>534484.72000000009</v>
      </c>
      <c r="L296" s="222">
        <f t="shared" si="91"/>
        <v>0</v>
      </c>
      <c r="M296" s="219">
        <f t="shared" si="92"/>
        <v>3.4824943171434209E-3</v>
      </c>
      <c r="N296" s="221">
        <f>SUMIFS(逐日资产统计!M:M,逐日资产统计!A:A,汇总统计!F296,逐日资产统计!C:C,"人民币")</f>
        <v>0</v>
      </c>
      <c r="O296" s="221">
        <f>SUMIF(逐日资产统计!A:A,汇总统计!F296,逐日资产统计!M:M)-SUMIFS(逐日资产统计!M:M,逐日资产统计!A:A,汇总统计!F296,逐日资产统计!C:C,"人民币")</f>
        <v>1.0637259645386412</v>
      </c>
      <c r="P296" s="198">
        <v>593142.22</v>
      </c>
      <c r="Q296" s="259">
        <f t="shared" si="93"/>
        <v>-56796.159999999916</v>
      </c>
    </row>
    <row r="297" spans="1:18" x14ac:dyDescent="0.25">
      <c r="A297" s="205">
        <v>43647</v>
      </c>
      <c r="B297" s="192">
        <v>6016.8500000000131</v>
      </c>
      <c r="C297">
        <f>SUM($B$2:B297)</f>
        <v>31305.272000000019</v>
      </c>
      <c r="F297" s="210">
        <f t="shared" si="88"/>
        <v>43647</v>
      </c>
      <c r="G297" s="213">
        <f>SUMIFS(逐日资产统计!$I:$I,逐日资产统计!$A:$A,F297,逐日资产统计!$C:$C,"人民币")</f>
        <v>0</v>
      </c>
      <c r="H297" s="212">
        <f>SUMIF(逐日资产统计!$A:$A,汇总统计!$F297,逐日资产统计!$I:$I)-G297</f>
        <v>542362.91</v>
      </c>
      <c r="I297" s="207">
        <f t="shared" si="89"/>
        <v>542362.91</v>
      </c>
      <c r="J297" s="212">
        <f>SUMIF(逐日资产统计!$A:$A,汇总统计!$F297,逐日资产统计!$G:$G)</f>
        <v>7878.190000000006</v>
      </c>
      <c r="K297" s="223">
        <f t="shared" si="90"/>
        <v>534484.72</v>
      </c>
      <c r="L297" s="222">
        <f t="shared" si="91"/>
        <v>0</v>
      </c>
      <c r="M297" s="219">
        <f t="shared" si="92"/>
        <v>1.473978526458157E-2</v>
      </c>
      <c r="N297" s="221">
        <f>SUMIFS(逐日资产统计!M:M,逐日资产统计!A:A,汇总统计!F297,逐日资产统计!C:C,"人民币")</f>
        <v>0</v>
      </c>
      <c r="O297" s="221">
        <f>SUMIF(逐日资产统计!A:A,汇总统计!F297,逐日资产统计!M:M)-SUMIFS(逐日资产统计!M:M,逐日资产统计!A:A,汇总统计!F297,逐日资产统计!C:C,"人民币")</f>
        <v>1.0519325519512386</v>
      </c>
      <c r="P297" s="198">
        <v>593143.22</v>
      </c>
      <c r="Q297" s="259">
        <f t="shared" si="93"/>
        <v>-50780.309999999939</v>
      </c>
    </row>
    <row r="298" spans="1:18" x14ac:dyDescent="0.25">
      <c r="A298" s="205">
        <v>43648</v>
      </c>
      <c r="B298" s="192">
        <v>638.31999999999243</v>
      </c>
      <c r="C298">
        <f>SUM($B$2:B298)</f>
        <v>31943.592000000011</v>
      </c>
      <c r="F298" s="210">
        <f t="shared" si="88"/>
        <v>43648</v>
      </c>
      <c r="G298" s="213">
        <f>SUMIFS(逐日资产统计!$I:$I,逐日资产统计!$A:$A,F298,逐日资产统计!$C:$C,"人民币")</f>
        <v>0</v>
      </c>
      <c r="H298" s="212">
        <f>SUMIF(逐日资产统计!$A:$A,汇总统计!$F298,逐日资产统计!$I:$I)-G298</f>
        <v>542995.23</v>
      </c>
      <c r="I298" s="207">
        <f t="shared" si="89"/>
        <v>542995.23</v>
      </c>
      <c r="J298" s="212">
        <f>SUMIF(逐日资产统计!$A:$A,汇总统计!$F298,逐日资产统计!$G:$G)</f>
        <v>8516.5099999999984</v>
      </c>
      <c r="K298" s="223">
        <f t="shared" si="90"/>
        <v>534478.72</v>
      </c>
      <c r="L298" s="222">
        <f t="shared" si="91"/>
        <v>-6</v>
      </c>
      <c r="M298" s="219">
        <f t="shared" si="92"/>
        <v>1.5934235885013342E-2</v>
      </c>
      <c r="N298" s="221">
        <f>SUMIFS(逐日资产统计!M:M,逐日资产统计!A:A,汇总统计!F298,逐日资产统计!C:C,"人民币")</f>
        <v>0</v>
      </c>
      <c r="O298" s="221">
        <f>SUMIF(逐日资产统计!A:A,汇总统计!F298,逐日资产统计!M:M)-SUMIFS(逐日资产统计!M:M,逐日资产统计!A:A,汇总统计!F298,逐日资产统计!C:C,"人民币")</f>
        <v>1.0507059702900152</v>
      </c>
      <c r="P298" s="198">
        <v>593144.22</v>
      </c>
      <c r="Q298" s="259">
        <f t="shared" si="93"/>
        <v>-50148.989999999991</v>
      </c>
    </row>
    <row r="299" spans="1:18" x14ac:dyDescent="0.25">
      <c r="A299" s="205">
        <v>43650</v>
      </c>
      <c r="B299" s="192">
        <v>1361.260000000002</v>
      </c>
      <c r="C299">
        <f>SUM($B$2:B299)</f>
        <v>33304.852000000014</v>
      </c>
      <c r="F299" s="210">
        <f t="shared" si="88"/>
        <v>43650</v>
      </c>
      <c r="G299" s="213">
        <f>SUMIFS(逐日资产统计!$I:$I,逐日资产统计!$A:$A,F299,逐日资产统计!$C:$C,"人民币")</f>
        <v>0</v>
      </c>
      <c r="H299" s="212">
        <f>SUMIF(逐日资产统计!$A:$A,汇总统计!$F299,逐日资产统计!$I:$I)-G299</f>
        <v>544344.44999999995</v>
      </c>
      <c r="I299" s="207">
        <f t="shared" si="89"/>
        <v>544344.44999999995</v>
      </c>
      <c r="J299" s="212">
        <f>SUMIF(逐日资产统计!$A:$A,汇总统计!$F299,逐日资产统计!$G:$G)</f>
        <v>9877.77</v>
      </c>
      <c r="K299" s="223">
        <f t="shared" si="90"/>
        <v>534466.67999999993</v>
      </c>
      <c r="L299" s="222">
        <f t="shared" si="91"/>
        <v>-12.040000000037253</v>
      </c>
      <c r="M299" s="219">
        <f t="shared" si="92"/>
        <v>1.8481545004826124E-2</v>
      </c>
      <c r="N299" s="221">
        <f>SUMIFS(逐日资产统计!M:M,逐日资产统计!A:A,汇总统计!F299,逐日资产统计!C:C,"人民币")</f>
        <v>0</v>
      </c>
      <c r="O299" s="221">
        <f>SUMIF(逐日资产统计!A:A,汇总统计!F299,逐日资产统计!M:M)-SUMIFS(逐日资产统计!M:M,逐日资产统计!A:A,汇总统计!F299,逐日资产统计!C:C,"人民币")</f>
        <v>0.9504353355673969</v>
      </c>
      <c r="P299" s="198">
        <v>593145.22</v>
      </c>
      <c r="Q299" s="259">
        <f t="shared" si="93"/>
        <v>-48800.770000000019</v>
      </c>
    </row>
    <row r="300" spans="1:18" x14ac:dyDescent="0.25">
      <c r="A300" s="205">
        <v>43661</v>
      </c>
      <c r="B300" s="192">
        <v>-14397.779999999999</v>
      </c>
      <c r="C300">
        <f>SUM($B$2:B300)</f>
        <v>18907.072000000015</v>
      </c>
      <c r="F300" s="210">
        <f t="shared" si="88"/>
        <v>43661</v>
      </c>
      <c r="G300" s="213">
        <f>SUMIFS(逐日资产统计!$I:$I,逐日资产统计!$A:$A,F300,逐日资产统计!$C:$C,"人民币")</f>
        <v>0</v>
      </c>
      <c r="H300" s="212">
        <f>SUMIF(逐日资产统计!$A:$A,汇总统计!$F300,逐日资产统计!$I:$I)-G300</f>
        <v>527014.23</v>
      </c>
      <c r="I300" s="207">
        <f t="shared" si="89"/>
        <v>527014.23</v>
      </c>
      <c r="J300" s="212">
        <f>SUMIF(逐日资产统计!$A:$A,汇总统计!$F300,逐日资产统计!$G:$G)</f>
        <v>-4520.0099999999984</v>
      </c>
      <c r="K300" s="223">
        <f t="shared" si="90"/>
        <v>531534.24</v>
      </c>
      <c r="L300" s="222">
        <f t="shared" si="91"/>
        <v>-2932.4399999999441</v>
      </c>
      <c r="M300" s="219">
        <f t="shared" si="92"/>
        <v>-8.5037042957006835E-3</v>
      </c>
      <c r="N300" s="221">
        <f>SUMIFS(逐日资产统计!M:M,逐日资产统计!A:A,汇总统计!F300,逐日资产统计!C:C,"人民币")</f>
        <v>0</v>
      </c>
      <c r="O300" s="221">
        <f>SUMIF(逐日资产统计!A:A,汇总统计!F300,逐日资产统计!M:M)-SUMIFS(逐日资产统计!M:M,逐日资产统计!A:A,汇总统计!F300,逐日资产统计!C:C,"人民币")</f>
        <v>1.078183524570105</v>
      </c>
      <c r="P300" s="198">
        <v>593146.22</v>
      </c>
      <c r="Q300" s="259">
        <f t="shared" si="93"/>
        <v>-66131.989999999991</v>
      </c>
      <c r="R300" s="307" t="s">
        <v>742</v>
      </c>
    </row>
    <row r="301" spans="1:18" x14ac:dyDescent="0.25">
      <c r="A301" s="205">
        <v>43663</v>
      </c>
      <c r="B301" s="192">
        <v>1164.8599999999933</v>
      </c>
      <c r="C301">
        <f>SUM($B$2:B301)</f>
        <v>20071.932000000008</v>
      </c>
      <c r="F301" s="210">
        <f t="shared" si="88"/>
        <v>43663</v>
      </c>
      <c r="G301" s="213">
        <f>SUMIFS(逐日资产统计!$I:$I,逐日资产统计!$A:$A,F301,逐日资产统计!$C:$C,"人民币")</f>
        <v>0</v>
      </c>
      <c r="H301" s="212">
        <f>SUMIF(逐日资产统计!$A:$A,汇总统计!$F301,逐日资产统计!$I:$I)-G301</f>
        <v>531074.09000000008</v>
      </c>
      <c r="I301" s="207">
        <f t="shared" si="89"/>
        <v>531074.09000000008</v>
      </c>
      <c r="J301" s="212">
        <f>SUMIF(逐日资产统计!$A:$A,汇总统计!$F301,逐日资产统计!$G:$G)</f>
        <v>-3355.1500000000051</v>
      </c>
      <c r="K301" s="223">
        <f t="shared" si="90"/>
        <v>534429.24000000011</v>
      </c>
      <c r="L301" s="222">
        <f t="shared" si="91"/>
        <v>2895.0000000001164</v>
      </c>
      <c r="M301" s="219">
        <f t="shared" si="92"/>
        <v>-6.2780060462260716E-3</v>
      </c>
      <c r="N301" s="221">
        <f>SUMIFS(逐日资产统计!M:M,逐日资产统计!A:A,汇总统计!F301,逐日资产统计!C:C,"人民币")</f>
        <v>0</v>
      </c>
      <c r="O301" s="221">
        <f>SUMIF(逐日资产统计!A:A,汇总统计!F301,逐日资产统计!M:M)-SUMIFS(逐日资产统计!M:M,逐日资产统计!A:A,汇总统计!F301,逐日资产统计!C:C,"人民币")</f>
        <v>1.075401023612355</v>
      </c>
      <c r="P301" s="198">
        <v>593147.22</v>
      </c>
      <c r="Q301" s="259">
        <f t="shared" si="93"/>
        <v>-62073.129999999888</v>
      </c>
    </row>
    <row r="302" spans="1:18" x14ac:dyDescent="0.25">
      <c r="A302" s="205">
        <v>43669</v>
      </c>
      <c r="B302" s="192">
        <v>-9741.9800000000032</v>
      </c>
      <c r="C302">
        <f>SUM($B$2:B302)</f>
        <v>10329.952000000005</v>
      </c>
      <c r="F302" s="210">
        <f t="shared" si="88"/>
        <v>43669</v>
      </c>
      <c r="G302" s="213">
        <f>SUMIFS(逐日资产统计!$I:$I,逐日资产统计!$A:$A,F302,逐日资产统计!$C:$C,"人民币")</f>
        <v>0</v>
      </c>
      <c r="H302" s="212">
        <f>SUMIF(逐日资产统计!$A:$A,汇总统计!$F302,逐日资产统计!$I:$I)-G302</f>
        <v>521328.66</v>
      </c>
      <c r="I302" s="207">
        <f t="shared" si="89"/>
        <v>521328.66</v>
      </c>
      <c r="J302" s="212">
        <f>SUMIF(逐日资产统计!$A:$A,汇总统计!$F302,逐日资产统计!$G:$G)</f>
        <v>-13097.130000000008</v>
      </c>
      <c r="K302" s="223">
        <f t="shared" si="90"/>
        <v>534425.79</v>
      </c>
      <c r="L302" s="222">
        <f t="shared" si="91"/>
        <v>-3.4500000000698492</v>
      </c>
      <c r="M302" s="219">
        <f t="shared" si="92"/>
        <v>-2.4506919847562012E-2</v>
      </c>
      <c r="N302" s="221">
        <f>SUMIFS(逐日资产统计!M:M,逐日资产统计!A:A,汇总统计!F302,逐日资产统计!C:C,"人民币")</f>
        <v>0</v>
      </c>
      <c r="O302" s="221">
        <f>SUMIF(逐日资产统计!A:A,汇总统计!F302,逐日资产统计!M:M)-SUMIFS(逐日资产统计!M:M,逐日资产统计!A:A,汇总统计!F302,逐日资产统计!C:C,"人民币")</f>
        <v>1.0955188230012138</v>
      </c>
      <c r="P302" s="198">
        <v>593148.22</v>
      </c>
    </row>
    <row r="303" spans="1:18" x14ac:dyDescent="0.25">
      <c r="A303" s="205">
        <v>43713</v>
      </c>
      <c r="B303" s="192">
        <v>-6793.9280000000072</v>
      </c>
      <c r="C303">
        <f>SUM($B$2:B303)</f>
        <v>3536.0239999999976</v>
      </c>
      <c r="F303" s="210">
        <f t="shared" si="88"/>
        <v>43713</v>
      </c>
      <c r="G303" s="213">
        <f>SUMIFS(逐日资产统计!$I:$I,逐日资产统计!$A:$A,F303,逐日资产统计!$C:$C,"人民币")</f>
        <v>0</v>
      </c>
      <c r="H303" s="212">
        <f>SUMIF(逐日资产统计!$A:$A,汇总统计!$F303,逐日资产统计!$I:$I)-G303</f>
        <v>514484.32</v>
      </c>
      <c r="I303" s="207">
        <f t="shared" si="89"/>
        <v>514484.32</v>
      </c>
      <c r="J303" s="212">
        <f>SUMIF(逐日资产统计!$A:$A,汇总统计!$F303,逐日资产统计!$G:$G)</f>
        <v>-19891.058000000015</v>
      </c>
      <c r="K303" s="223">
        <f t="shared" si="90"/>
        <v>534375.37800000003</v>
      </c>
      <c r="L303" s="222">
        <f t="shared" si="91"/>
        <v>-50.412000000011176</v>
      </c>
      <c r="M303" s="219">
        <f t="shared" si="92"/>
        <v>-3.7223006184240799E-2</v>
      </c>
      <c r="N303" s="221">
        <f>SUMIFS(逐日资产统计!M:M,逐日资产统计!A:A,汇总统计!F303,逐日资产统计!C:C,"人民币")</f>
        <v>0</v>
      </c>
      <c r="O303" s="221">
        <f>SUMIF(逐日资产统计!A:A,汇总统计!F303,逐日资产统计!M:M)-SUMIFS(逐日资产统计!M:M,逐日资产统计!A:A,汇总统计!F303,逐日资产统计!C:C,"人民币")</f>
        <v>1.1100026333164048</v>
      </c>
      <c r="P303" s="198">
        <v>593149.22</v>
      </c>
    </row>
    <row r="304" spans="1:18" x14ac:dyDescent="0.25">
      <c r="A304" s="205">
        <v>43719</v>
      </c>
      <c r="B304" s="192">
        <v>10400.292000000016</v>
      </c>
      <c r="C304">
        <f>SUM($B$2:B304)</f>
        <v>13936.316000000013</v>
      </c>
      <c r="F304" s="210">
        <f t="shared" si="88"/>
        <v>43719</v>
      </c>
      <c r="G304" s="213">
        <f>SUMIFS(逐日资产统计!$I:$I,逐日资产统计!$A:$A,F304,逐日资产统计!$C:$C,"人民币")</f>
        <v>0</v>
      </c>
      <c r="H304" s="212">
        <f>SUMIF(逐日资产统计!$A:$A,汇总统计!$F304,逐日资产统计!$I:$I)-G304</f>
        <v>524871.25</v>
      </c>
      <c r="I304" s="207">
        <f t="shared" si="89"/>
        <v>524871.25</v>
      </c>
      <c r="J304" s="212">
        <f>SUMIF(逐日资产统计!$A:$A,汇总统计!$F304,逐日资产统计!$G:$G)</f>
        <v>-9490.7659999999996</v>
      </c>
      <c r="K304" s="223">
        <f t="shared" si="90"/>
        <v>534362.01599999995</v>
      </c>
      <c r="L304" s="222">
        <f t="shared" si="91"/>
        <v>-13.362000000081025</v>
      </c>
      <c r="M304" s="219">
        <f t="shared" si="92"/>
        <v>-1.7760929324737034E-2</v>
      </c>
      <c r="N304" s="221">
        <f>SUMIFS(逐日资产统计!M:M,逐日资产统计!A:A,汇总统计!F304,逐日资产统计!C:C,"人民币")</f>
        <v>0</v>
      </c>
      <c r="O304" s="221">
        <f>SUMIF(逐日资产统计!A:A,汇总统计!F304,逐日资产统计!M:M)-SUMIFS(逐日资产统计!M:M,逐日资产统计!A:A,汇总统计!F304,逐日资产统计!C:C,"人民币")</f>
        <v>1.0880135080745994</v>
      </c>
      <c r="P304" s="198">
        <v>593150.22</v>
      </c>
    </row>
    <row r="305" spans="1:16" x14ac:dyDescent="0.25">
      <c r="A305" s="205">
        <v>43720</v>
      </c>
      <c r="B305" s="192">
        <v>1905.9769999999917</v>
      </c>
      <c r="C305">
        <f>SUM($B$2:B305)</f>
        <v>15842.293000000005</v>
      </c>
      <c r="F305" s="210">
        <f t="shared" si="88"/>
        <v>43720</v>
      </c>
      <c r="G305" s="213">
        <f>SUMIFS(逐日资产统计!$I:$I,逐日资产统计!$A:$A,F305,逐日资产统计!$C:$C,"人民币")</f>
        <v>0</v>
      </c>
      <c r="H305" s="212">
        <f>SUMIF(逐日资产统计!$A:$A,汇总统计!$F305,逐日资产统计!$I:$I)-G305</f>
        <v>526753</v>
      </c>
      <c r="I305" s="207">
        <f t="shared" si="89"/>
        <v>526753</v>
      </c>
      <c r="J305" s="212">
        <f>SUMIF(逐日资产统计!$A:$A,汇总统计!$F305,逐日资产统计!$G:$G)</f>
        <v>-7584.7890000000079</v>
      </c>
      <c r="K305" s="223">
        <f t="shared" si="90"/>
        <v>534337.78899999999</v>
      </c>
      <c r="L305" s="222">
        <f t="shared" si="91"/>
        <v>-24.226999999955297</v>
      </c>
      <c r="M305" s="219">
        <f t="shared" si="92"/>
        <v>-1.4194745638699359E-2</v>
      </c>
      <c r="N305" s="221">
        <f>SUMIFS(逐日资产统计!M:M,逐日资产统计!A:A,汇总统计!F305,逐日资产统计!C:C,"人民币")</f>
        <v>0</v>
      </c>
      <c r="O305" s="221">
        <f>SUMIF(逐日资产统计!A:A,汇总统计!F305,逐日资产统计!M:M)-SUMIFS(逐日资产统计!M:M,逐日资产统计!A:A,汇总统计!F305,逐日资产统计!C:C,"人民币")</f>
        <v>1.0840811917540099</v>
      </c>
      <c r="P305" s="198">
        <v>593151.22</v>
      </c>
    </row>
    <row r="306" spans="1:16" x14ac:dyDescent="0.25">
      <c r="A306" s="205">
        <v>43724</v>
      </c>
      <c r="B306" s="192">
        <v>1327.3389999999999</v>
      </c>
      <c r="C306">
        <f>SUM($B$2:B306)</f>
        <v>17169.632000000005</v>
      </c>
      <c r="F306" s="210">
        <f t="shared" si="88"/>
        <v>43724</v>
      </c>
      <c r="G306" s="213">
        <f>SUMIFS(逐日资产统计!$I:$I,逐日资产统计!$A:$A,F306,逐日资产统计!$C:$C,"人民币")</f>
        <v>0</v>
      </c>
      <c r="H306" s="212">
        <f>SUMIF(逐日资产统计!$A:$A,汇总统计!$F306,逐日资产统计!$I:$I)-G306</f>
        <v>528075.14</v>
      </c>
      <c r="I306" s="207">
        <f t="shared" si="89"/>
        <v>528075.14</v>
      </c>
      <c r="J306" s="212">
        <f>SUMIF(逐日资产统计!$A:$A,汇总统计!$F306,逐日资产统计!$G:$G)</f>
        <v>-6257.450000000008</v>
      </c>
      <c r="K306" s="223">
        <f t="shared" si="90"/>
        <v>534332.59</v>
      </c>
      <c r="L306" s="222">
        <f t="shared" si="91"/>
        <v>-5.1990000000223517</v>
      </c>
      <c r="M306" s="219">
        <f t="shared" si="92"/>
        <v>-1.1710777364337835E-2</v>
      </c>
      <c r="N306" s="221">
        <f>SUMIFS(逐日资产统计!M:M,逐日资产统计!A:A,汇总统计!F306,逐日资产统计!C:C,"人民币")</f>
        <v>0</v>
      </c>
      <c r="O306" s="221">
        <f>SUMIF(逐日资产统计!A:A,汇总统计!F306,逐日资产统计!M:M)-SUMIFS(逐日资产统计!M:M,逐日资产统计!A:A,汇总统计!F306,逐日资产统计!C:C,"人民币")</f>
        <v>1.0813670001583484</v>
      </c>
      <c r="P306" s="198">
        <v>593152.22</v>
      </c>
    </row>
    <row r="307" spans="1:16" x14ac:dyDescent="0.25">
      <c r="A307" s="205">
        <v>43738</v>
      </c>
      <c r="B307" s="192">
        <v>-22345.436000000002</v>
      </c>
      <c r="C307">
        <f>SUM($B$2:B307)</f>
        <v>-5175.8039999999964</v>
      </c>
      <c r="F307" s="210">
        <f t="shared" si="88"/>
        <v>43738</v>
      </c>
      <c r="G307" s="213">
        <f>SUMIFS(逐日资产统计!$I:$I,逐日资产统计!$A:$A,F307,逐日资产统计!$C:$C,"人民币")</f>
        <v>0</v>
      </c>
      <c r="H307" s="212">
        <f>SUMIF(逐日资产统计!$A:$A,汇总统计!$F307,逐日资产统计!$I:$I)-G307</f>
        <v>505736.28999999992</v>
      </c>
      <c r="I307" s="207">
        <f t="shared" si="89"/>
        <v>505736.28999999992</v>
      </c>
      <c r="J307" s="212">
        <f>SUMIF(逐日资产统计!$A:$A,汇总统计!$F307,逐日资产统计!$G:$G)</f>
        <v>-28602.88600000001</v>
      </c>
      <c r="K307" s="223">
        <f t="shared" si="90"/>
        <v>534339.17599999998</v>
      </c>
      <c r="L307" s="222">
        <f t="shared" si="91"/>
        <v>6.5860000000102445</v>
      </c>
      <c r="M307" s="219">
        <f t="shared" si="92"/>
        <v>-5.3529457102729841E-2</v>
      </c>
      <c r="N307" s="221">
        <f>SUMIFS(逐日资产统计!M:M,逐日资产统计!A:A,汇总统计!F307,逐日资产统计!C:C,"人民币")</f>
        <v>0</v>
      </c>
      <c r="O307" s="221">
        <f>SUMIF(逐日资产统计!A:A,汇总统计!F307,逐日资产统计!M:M)-SUMIFS(逐日资产统计!M:M,逐日资产统计!A:A,汇总统计!F307,逐日资产统计!C:C,"人民币")</f>
        <v>1.1291641143648208</v>
      </c>
      <c r="P307" s="198">
        <v>593153.22</v>
      </c>
    </row>
    <row r="308" spans="1:16" x14ac:dyDescent="0.25">
      <c r="A308" s="205">
        <v>43753</v>
      </c>
      <c r="B308" s="192">
        <v>16313.016000000003</v>
      </c>
      <c r="C308">
        <f>SUM($B$2:B308)</f>
        <v>11137.212000000007</v>
      </c>
      <c r="F308" s="210">
        <f t="shared" si="88"/>
        <v>43753</v>
      </c>
      <c r="G308" s="213">
        <f>SUMIFS(逐日资产统计!$I:$I,逐日资产统计!$A:$A,F308,逐日资产统计!$C:$C,"人民币")</f>
        <v>0</v>
      </c>
      <c r="H308" s="212">
        <f>SUMIF(逐日资产统计!$A:$A,汇总统计!$F308,逐日资产统计!$I:$I)-G308</f>
        <v>521982.88</v>
      </c>
      <c r="I308" s="207">
        <f t="shared" si="89"/>
        <v>521982.88</v>
      </c>
      <c r="J308" s="212">
        <f>SUMIF(逐日资产统计!$A:$A,汇总统计!$F308,逐日资产统计!$G:$G)</f>
        <v>-12289.870000000006</v>
      </c>
      <c r="K308" s="223">
        <f t="shared" si="90"/>
        <v>534272.75</v>
      </c>
      <c r="L308" s="222">
        <f t="shared" si="91"/>
        <v>-66.425999999977648</v>
      </c>
      <c r="M308" s="219">
        <f t="shared" si="92"/>
        <v>-2.3002988642037248E-2</v>
      </c>
      <c r="N308" s="221">
        <f>SUMIFS(逐日资产统计!M:M,逐日资产统计!A:A,汇总统计!F308,逐日资产统计!C:C,"人民币")</f>
        <v>0</v>
      </c>
      <c r="O308" s="221">
        <f>SUMIF(逐日资产统计!A:A,汇总统计!F308,逐日资产统计!M:M)-SUMIFS(逐日资产统计!M:M,逐日资产统计!A:A,汇总统计!F308,逐日资产统计!C:C,"人民币")</f>
        <v>1.0938919490999399</v>
      </c>
      <c r="P308" s="198">
        <v>593154.22</v>
      </c>
    </row>
    <row r="309" spans="1:16" x14ac:dyDescent="0.25">
      <c r="A309" s="205">
        <v>43773</v>
      </c>
      <c r="B309" s="192">
        <v>-4615.5779999999941</v>
      </c>
      <c r="C309">
        <f>SUM($B$2:B309)</f>
        <v>6521.6340000000127</v>
      </c>
      <c r="F309" s="210">
        <f t="shared" si="88"/>
        <v>43773</v>
      </c>
      <c r="G309" s="213">
        <f>SUMIFS(逐日资产统计!$I:$I,逐日资产统计!$A:$A,F309,逐日资产统计!$C:$C,"人民币")</f>
        <v>0</v>
      </c>
      <c r="H309" s="212">
        <f>SUMIF(逐日资产统计!$A:$A,汇总统计!$F309,逐日资产统计!$I:$I)-G309</f>
        <v>504346.03999999992</v>
      </c>
      <c r="I309" s="207">
        <f t="shared" si="89"/>
        <v>504346.03999999992</v>
      </c>
      <c r="J309" s="212">
        <f>SUMIF(逐日资产统计!$A:$A,汇总统计!$F309,逐日资产统计!$G:$G)</f>
        <v>-16905.448</v>
      </c>
      <c r="K309" s="223">
        <f t="shared" si="90"/>
        <v>521251.4879999999</v>
      </c>
      <c r="L309" s="222">
        <f t="shared" si="91"/>
        <v>-13021.262000000104</v>
      </c>
      <c r="M309" s="219">
        <f t="shared" si="92"/>
        <v>-3.2432421564617203E-2</v>
      </c>
      <c r="N309" s="221">
        <f>SUMIFS(逐日资产统计!M:M,逐日资产统计!A:A,汇总统计!F309,逐日资产统计!C:C,"人民币")</f>
        <v>0</v>
      </c>
      <c r="O309" s="221">
        <f>SUMIF(逐日资产统计!A:A,汇总统计!F309,逐日资产统计!M:M)-SUMIFS(逐日资产统计!M:M,逐日资产统计!A:A,汇总统计!F309,逐日资产统计!C:C,"人民币")</f>
        <v>1.1324126784062782</v>
      </c>
      <c r="P309" s="198">
        <v>593155.22</v>
      </c>
    </row>
    <row r="310" spans="1:16" x14ac:dyDescent="0.25">
      <c r="A310" s="205">
        <v>43815</v>
      </c>
      <c r="B310" s="192">
        <v>-1485.8099999999977</v>
      </c>
      <c r="C310">
        <f>SUM($B$2:B310)</f>
        <v>5035.8240000000151</v>
      </c>
      <c r="F310" s="210">
        <f t="shared" ref="F310:F318" si="94">A310</f>
        <v>43815</v>
      </c>
      <c r="G310" s="213">
        <f>SUMIFS(逐日资产统计!$I:$I,逐日资产统计!$A:$A,F310,逐日资产统计!$C:$C,"人民币")</f>
        <v>0</v>
      </c>
      <c r="H310" s="212">
        <f>SUMIF(逐日资产统计!$A:$A,汇总统计!$F310,逐日资产统计!$I:$I)-G310</f>
        <v>502947.18</v>
      </c>
      <c r="I310" s="207">
        <f t="shared" ref="I310:I318" si="95">G310+H310</f>
        <v>502947.18</v>
      </c>
      <c r="J310" s="212">
        <f>SUMIF(逐日资产统计!$A:$A,汇总统计!$F310,逐日资产统计!$G:$G)</f>
        <v>-18391.257999999998</v>
      </c>
      <c r="K310" s="223">
        <f t="shared" ref="K310:K318" si="96">I310-J310</f>
        <v>521338.43799999997</v>
      </c>
      <c r="L310" s="222">
        <f t="shared" ref="L310:L318" si="97">K310-K309</f>
        <v>86.950000000069849</v>
      </c>
      <c r="M310" s="219">
        <f t="shared" ref="M310:M318" si="98">J310/K310</f>
        <v>-3.5277003687957491E-2</v>
      </c>
      <c r="N310" s="221">
        <f>SUMIFS(逐日资产统计!M:M,逐日资产统计!A:A,汇总统计!F310,逐日资产统计!C:C,"人民币")</f>
        <v>0</v>
      </c>
      <c r="O310" s="221">
        <f>SUMIF(逐日资产统计!A:A,汇总统计!F310,逐日资产统计!M:M)-SUMIFS(逐日资产统计!M:M,逐日资产统计!A:A,汇总统计!F310,逐日资产统计!C:C,"人民币")</f>
        <v>1.1391780743258166</v>
      </c>
      <c r="P310" s="198">
        <v>593156.22</v>
      </c>
    </row>
    <row r="311" spans="1:16" x14ac:dyDescent="0.25">
      <c r="A311" s="205">
        <v>43816</v>
      </c>
      <c r="B311" s="192">
        <v>9514.8379999999961</v>
      </c>
      <c r="C311">
        <f>SUM($B$2:B311)</f>
        <v>14550.662000000011</v>
      </c>
      <c r="F311" s="210">
        <f t="shared" si="94"/>
        <v>43816</v>
      </c>
      <c r="G311" s="213">
        <f>SUMIFS(逐日资产统计!$I:$I,逐日资产统计!$A:$A,F311,逐日资产统计!$C:$C,"人民币")</f>
        <v>0</v>
      </c>
      <c r="H311" s="212">
        <f>SUMIF(逐日资产统计!$A:$A,汇总统计!$F311,逐日资产统计!$I:$I)-G311</f>
        <v>512462.08000000002</v>
      </c>
      <c r="I311" s="207">
        <f t="shared" si="95"/>
        <v>512462.08000000002</v>
      </c>
      <c r="J311" s="212">
        <f>SUMIF(逐日资产统计!$A:$A,汇总统计!$F311,逐日资产统计!$G:$G)</f>
        <v>-8876.4200000000019</v>
      </c>
      <c r="K311" s="223">
        <f t="shared" si="96"/>
        <v>521338.5</v>
      </c>
      <c r="L311" s="222">
        <f t="shared" si="97"/>
        <v>6.2000000034458935E-2</v>
      </c>
      <c r="M311" s="219">
        <f t="shared" si="98"/>
        <v>-1.7026212336130945E-2</v>
      </c>
      <c r="N311" s="221">
        <f>SUMIFS(逐日资产统计!M:M,逐日资产统计!A:A,汇总统计!F311,逐日资产统计!C:C,"人民币")</f>
        <v>0</v>
      </c>
      <c r="O311" s="221">
        <f>SUMIF(逐日资产统计!A:A,汇总统计!F311,逐日资产统计!M:M)-SUMIFS(逐日资产统计!M:M,逐日资产统计!A:A,汇总统计!F311,逐日资产统计!C:C,"人民币")</f>
        <v>1.1180269182063189</v>
      </c>
      <c r="P311" s="198">
        <v>593157.22</v>
      </c>
    </row>
    <row r="312" spans="1:16" x14ac:dyDescent="0.25">
      <c r="A312" s="205">
        <v>43818</v>
      </c>
      <c r="B312" s="192">
        <v>4315.320000000007</v>
      </c>
      <c r="C312">
        <f>SUM($B$2:B312)</f>
        <v>18865.982000000018</v>
      </c>
      <c r="F312" s="210">
        <f t="shared" si="94"/>
        <v>43818</v>
      </c>
      <c r="G312" s="213">
        <f>SUMIFS(逐日资产统计!$I:$I,逐日资产统计!$A:$A,F312,逐日资产统计!$C:$C,"人民币")</f>
        <v>0</v>
      </c>
      <c r="H312" s="212">
        <f>SUMIF(逐日资产统计!$A:$A,汇总统计!$F312,逐日资产统计!$I:$I)-G312</f>
        <v>516776.4</v>
      </c>
      <c r="I312" s="207">
        <f t="shared" si="95"/>
        <v>516776.4</v>
      </c>
      <c r="J312" s="212">
        <f>SUMIF(逐日资产统计!$A:$A,汇总统计!$F312,逐日资产统计!$G:$G)</f>
        <v>-4561.0999999999949</v>
      </c>
      <c r="K312" s="223">
        <f t="shared" si="96"/>
        <v>521337.5</v>
      </c>
      <c r="L312" s="222">
        <f t="shared" si="97"/>
        <v>-1</v>
      </c>
      <c r="M312" s="219">
        <f t="shared" si="98"/>
        <v>-8.7488431198599666E-3</v>
      </c>
      <c r="N312" s="221">
        <f>SUMIFS(逐日资产统计!M:M,逐日资产统计!A:A,汇总统计!F312,逐日资产统计!C:C,"人民币")</f>
        <v>0</v>
      </c>
      <c r="O312" s="221">
        <f>SUMIF(逐日资产统计!A:A,汇总统计!F312,逐日资产统计!M:M)-SUMIFS(逐日资产统计!M:M,逐日资产统计!A:A,汇总统计!F312,逐日资产统计!C:C,"人民币")</f>
        <v>1.1086952306645581</v>
      </c>
      <c r="P312" s="198">
        <v>593158.22</v>
      </c>
    </row>
    <row r="313" spans="1:16" x14ac:dyDescent="0.25">
      <c r="A313" s="205">
        <v>43825</v>
      </c>
      <c r="B313" s="192">
        <v>-4337.2900000000009</v>
      </c>
      <c r="C313">
        <f>SUM($B$2:B313)</f>
        <v>14528.692000000017</v>
      </c>
      <c r="F313" s="210">
        <f t="shared" si="94"/>
        <v>43825</v>
      </c>
      <c r="G313" s="213">
        <f>SUMIFS(逐日资产统计!$I:$I,逐日资产统计!$A:$A,F313,逐日资产统计!$C:$C,"人民币")</f>
        <v>0</v>
      </c>
      <c r="H313" s="212">
        <f>SUMIF(逐日资产统计!$A:$A,汇总统计!$F313,逐日资产统计!$I:$I)-G313</f>
        <v>512448.32000000007</v>
      </c>
      <c r="I313" s="207">
        <f t="shared" si="95"/>
        <v>512448.32000000007</v>
      </c>
      <c r="J313" s="212">
        <f>SUMIF(逐日资产统计!$A:$A,汇总统计!$F313,逐日资产统计!$G:$G)</f>
        <v>-8898.3899999999958</v>
      </c>
      <c r="K313" s="223">
        <f t="shared" si="96"/>
        <v>521346.71000000008</v>
      </c>
      <c r="L313" s="222">
        <f t="shared" si="97"/>
        <v>9.2100000000791624</v>
      </c>
      <c r="M313" s="219">
        <f t="shared" si="98"/>
        <v>-1.7068085075285112E-2</v>
      </c>
      <c r="N313" s="221">
        <f>SUMIFS(逐日资产统计!M:M,逐日资产统计!A:A,汇总统计!F313,逐日资产统计!C:C,"人民币")</f>
        <v>0</v>
      </c>
      <c r="O313" s="221">
        <f>SUMIF(逐日资产统计!A:A,汇总统计!F313,逐日资产统计!M:M)-SUMIFS(逐日资产统计!M:M,逐日资产统计!A:A,汇总统计!F313,逐日资产统计!C:C,"人民币")</f>
        <v>1.1217157273537357</v>
      </c>
      <c r="P313" s="198">
        <v>593159.22</v>
      </c>
    </row>
    <row r="314" spans="1:16" x14ac:dyDescent="0.25">
      <c r="A314" s="205">
        <v>43830</v>
      </c>
      <c r="B314" s="192">
        <v>1039.3899999999921</v>
      </c>
      <c r="C314">
        <f>SUM($B$2:B314)</f>
        <v>15568.082000000009</v>
      </c>
      <c r="F314" s="210">
        <f t="shared" si="94"/>
        <v>43830</v>
      </c>
      <c r="G314" s="213">
        <f>SUMIFS(逐日资产统计!$I:$I,逐日资产统计!$A:$A,F314,逐日资产统计!$C:$C,"人民币")</f>
        <v>0</v>
      </c>
      <c r="H314" s="212">
        <f>SUMIF(逐日资产统计!$A:$A,汇总统计!$F314,逐日资产统计!$I:$I)-G314</f>
        <v>513487.71000000008</v>
      </c>
      <c r="I314" s="207">
        <f t="shared" si="95"/>
        <v>513487.71000000008</v>
      </c>
      <c r="J314" s="212">
        <f>SUMIF(逐日资产统计!$A:$A,汇总统计!$F314,逐日资产统计!$G:$G)</f>
        <v>-7859.0000000000036</v>
      </c>
      <c r="K314" s="223">
        <f t="shared" si="96"/>
        <v>521346.71000000008</v>
      </c>
      <c r="L314" s="222">
        <f t="shared" si="97"/>
        <v>0</v>
      </c>
      <c r="M314" s="219">
        <f t="shared" si="98"/>
        <v>-1.5074421396080168E-2</v>
      </c>
      <c r="N314" s="221">
        <f>SUMIFS(逐日资产统计!M:M,逐日资产统计!A:A,汇总统计!F314,逐日资产统计!C:C,"人民币")</f>
        <v>0</v>
      </c>
      <c r="O314" s="221">
        <f>SUMIF(逐日资产统计!A:A,汇总统计!F314,逐日资产统计!M:M)-SUMIFS(逐日资产统计!M:M,逐日资产统计!A:A,汇总统计!F314,逐日资产统计!C:C,"人民币")</f>
        <v>1.119471720170284</v>
      </c>
      <c r="P314" s="198">
        <v>593160.22</v>
      </c>
    </row>
    <row r="315" spans="1:16" x14ac:dyDescent="0.25">
      <c r="A315" s="205">
        <v>43892</v>
      </c>
      <c r="B315" s="192">
        <v>-15379.983999999997</v>
      </c>
      <c r="C315">
        <f>SUM($B$2:B315)</f>
        <v>188.09800000001269</v>
      </c>
      <c r="F315" s="210">
        <f t="shared" si="94"/>
        <v>43892</v>
      </c>
      <c r="G315" s="213">
        <f>SUMIFS(逐日资产统计!$I:$I,逐日资产统计!$A:$A,F315,逐日资产统计!$C:$C,"人民币")</f>
        <v>0</v>
      </c>
      <c r="H315" s="212">
        <f>SUMIF(逐日资产统计!$A:$A,汇总统计!$F315,逐日资产统计!$I:$I)-G315</f>
        <v>497745.65</v>
      </c>
      <c r="I315" s="207">
        <f t="shared" si="95"/>
        <v>497745.65</v>
      </c>
      <c r="J315" s="212">
        <f>SUMIF(逐日资产统计!$A:$A,汇总统计!$F315,逐日资产统计!$G:$G)</f>
        <v>-23238.984</v>
      </c>
      <c r="K315" s="223">
        <f t="shared" si="96"/>
        <v>520984.63400000002</v>
      </c>
      <c r="L315" s="222">
        <f t="shared" si="97"/>
        <v>-362.07600000005914</v>
      </c>
      <c r="M315" s="219">
        <f t="shared" si="98"/>
        <v>-4.4605891389879262E-2</v>
      </c>
      <c r="N315" s="221">
        <f>SUMIFS(逐日资产统计!M:M,逐日资产统计!A:A,汇总统计!F315,逐日资产统计!C:C,"人民币")</f>
        <v>0</v>
      </c>
      <c r="O315" s="221">
        <f>SUMIF(逐日资产统计!A:A,汇总统计!F315,逐日资产统计!M:M)-SUMIFS(逐日资产统计!M:M,逐日资产统计!A:A,汇总统计!F315,逐日资产统计!C:C,"人民币")</f>
        <v>1.1558720402679563</v>
      </c>
    </row>
    <row r="316" spans="1:16" x14ac:dyDescent="0.25">
      <c r="A316" s="205">
        <v>43894</v>
      </c>
      <c r="B316" s="192">
        <v>19058.863999999972</v>
      </c>
      <c r="C316">
        <f>SUM($B$2:B316)</f>
        <v>19246.961999999985</v>
      </c>
      <c r="F316" s="210">
        <f t="shared" si="94"/>
        <v>43894</v>
      </c>
      <c r="G316" s="213">
        <f>SUMIFS(逐日资产统计!$I:$I,逐日资产统计!$A:$A,F316,逐日资产统计!$C:$C,"人民币")</f>
        <v>0</v>
      </c>
      <c r="H316" s="212">
        <f>SUMIF(逐日资产统计!$A:$A,汇总统计!$F316,逐日资产统计!$I:$I)-G316</f>
        <v>516800.66000000003</v>
      </c>
      <c r="I316" s="207">
        <f t="shared" si="95"/>
        <v>516800.66000000003</v>
      </c>
      <c r="J316" s="212">
        <f>SUMIF(逐日资产统计!$A:$A,汇总统计!$F316,逐日资产统计!$G:$G)</f>
        <v>-4180.1200000000281</v>
      </c>
      <c r="K316" s="223">
        <f t="shared" si="96"/>
        <v>520980.78000000009</v>
      </c>
      <c r="L316" s="222">
        <f t="shared" si="97"/>
        <v>-3.8539999999338761</v>
      </c>
      <c r="M316" s="219">
        <f t="shared" si="98"/>
        <v>-8.0235589497179294E-3</v>
      </c>
      <c r="N316" s="221">
        <f>SUMIFS(逐日资产统计!M:M,逐日资产统计!A:A,汇总统计!F316,逐日资产统计!C:C,"人民币")</f>
        <v>0</v>
      </c>
      <c r="O316" s="221">
        <f>SUMIF(逐日资产统计!A:A,汇总统计!F316,逐日资产统计!M:M)-SUMIFS(逐日资产统计!M:M,逐日资产统计!A:A,汇总统计!F316,逐日资产统计!C:C,"人民币")</f>
        <v>1.1132538220829673</v>
      </c>
    </row>
    <row r="317" spans="1:16" x14ac:dyDescent="0.25">
      <c r="A317" s="205">
        <v>43958</v>
      </c>
      <c r="B317" s="192">
        <v>-48180.279999999955</v>
      </c>
      <c r="C317">
        <f>SUM($B$2:B317)</f>
        <v>-28933.31799999997</v>
      </c>
      <c r="F317" s="210">
        <f t="shared" si="94"/>
        <v>43958</v>
      </c>
      <c r="G317" s="213">
        <f>SUMIFS(逐日资产统计!$I:$I,逐日资产统计!$A:$A,F317,逐日资产统计!$C:$C,"人民币")</f>
        <v>0</v>
      </c>
      <c r="H317" s="212">
        <f>SUMIF(逐日资产统计!$A:$A,汇总统计!$F317,逐日资产统计!$I:$I)-G317</f>
        <v>463402.75</v>
      </c>
      <c r="I317" s="207">
        <f t="shared" si="95"/>
        <v>463402.75</v>
      </c>
      <c r="J317" s="212">
        <f>SUMIF(逐日资产统计!$A:$A,汇总统计!$F317,逐日资产统计!$G:$G)</f>
        <v>-52360.39999999998</v>
      </c>
      <c r="K317" s="223">
        <f t="shared" si="96"/>
        <v>515763.14999999997</v>
      </c>
      <c r="L317" s="222">
        <f t="shared" si="97"/>
        <v>-5217.6300000001211</v>
      </c>
      <c r="M317" s="219">
        <f t="shared" si="98"/>
        <v>-0.10152024238257422</v>
      </c>
      <c r="N317" s="221">
        <f>SUMIFS(逐日资产统计!M:M,逐日资产统计!A:A,汇总统计!F317,逐日资产统计!C:C,"人民币")</f>
        <v>0</v>
      </c>
      <c r="O317" s="221">
        <f>SUMIF(逐日资产统计!A:A,汇总统计!F317,逐日资产统计!M:M)-SUMIFS(逐日资产统计!M:M,逐日资产统计!A:A,汇总统计!F317,逐日资产统计!C:C,"人民币")</f>
        <v>1.2211849843359801</v>
      </c>
    </row>
    <row r="318" spans="1:16" x14ac:dyDescent="0.25">
      <c r="A318" s="205">
        <v>43962</v>
      </c>
      <c r="B318" s="192">
        <v>7274.9900000000052</v>
      </c>
      <c r="C318">
        <f>SUM($B$2:B318)</f>
        <v>-21658.327999999965</v>
      </c>
      <c r="F318" s="210">
        <f t="shared" si="94"/>
        <v>43962</v>
      </c>
      <c r="G318" s="213">
        <f>SUMIFS(逐日资产统计!$I:$I,逐日资产统计!$A:$A,F318,逐日资产统计!$C:$C,"人民币")</f>
        <v>0</v>
      </c>
      <c r="H318" s="212">
        <f>SUMIF(逐日资产统计!$A:$A,汇总统计!$F318,逐日资产统计!$I:$I)-G318</f>
        <v>480440.51999999996</v>
      </c>
      <c r="I318" s="207">
        <f t="shared" si="95"/>
        <v>480440.51999999996</v>
      </c>
      <c r="J318" s="212">
        <f>SUMIF(逐日资产统计!$A:$A,汇总统计!$F318,逐日资产统计!$G:$G)</f>
        <v>-45085.409999999974</v>
      </c>
      <c r="K318" s="223">
        <f t="shared" si="96"/>
        <v>525525.92999999993</v>
      </c>
      <c r="L318" s="222">
        <f t="shared" si="97"/>
        <v>9762.7799999999697</v>
      </c>
      <c r="M318" s="219">
        <f t="shared" si="98"/>
        <v>-8.5791028427464999E-2</v>
      </c>
      <c r="N318" s="221">
        <f>SUMIFS(逐日资产统计!M:M,逐日资产统计!A:A,汇总统计!F318,逐日资产统计!C:C,"人民币")</f>
        <v>0</v>
      </c>
      <c r="O318" s="221">
        <f>SUMIF(逐日资产统计!A:A,汇总统计!F318,逐日资产统计!M:M)-SUMIFS(逐日资产统计!M:M,逐日资产统计!A:A,汇总统计!F318,逐日资产统计!C:C,"人民币")</f>
        <v>1.1981988113741946</v>
      </c>
    </row>
    <row r="319" spans="1:16" x14ac:dyDescent="0.25">
      <c r="A319" s="205">
        <v>44006</v>
      </c>
      <c r="B319" s="192">
        <v>52218.709999999977</v>
      </c>
      <c r="C319">
        <f>SUM($B$2:B319)</f>
        <v>30560.382000000012</v>
      </c>
      <c r="F319" s="210">
        <f>A319</f>
        <v>44006</v>
      </c>
      <c r="G319" s="213">
        <f>SUMIFS(逐日资产统计!$I:$I,逐日资产统计!$A:$A,F319,逐日资产统计!$C:$C,"人民币")</f>
        <v>0</v>
      </c>
      <c r="H319" s="212">
        <f>SUMIF(逐日资产统计!$A:$A,汇总统计!$F319,逐日资产统计!$I:$I)-G319</f>
        <v>581389.75999999989</v>
      </c>
      <c r="I319" s="207">
        <f>G319+H319</f>
        <v>581389.75999999989</v>
      </c>
      <c r="J319" s="212">
        <f>SUMIF(逐日资产统计!$A:$A,汇总统计!$F319,逐日资产统计!$G:$G)</f>
        <v>7133.3000000000029</v>
      </c>
      <c r="K319" s="223">
        <f>I319-J319</f>
        <v>574256.45999999985</v>
      </c>
      <c r="L319" s="222">
        <f>K319-K318</f>
        <v>48730.529999999912</v>
      </c>
      <c r="M319" s="219">
        <f>J319/K319</f>
        <v>1.2421801924526901E-2</v>
      </c>
      <c r="N319" s="221">
        <f>SUMIFS(逐日资产统计!M:M,逐日资产统计!A:A,汇总统计!F319,逐日资产统计!C:C,"人民币")</f>
        <v>0</v>
      </c>
      <c r="O319" s="221">
        <f>SUMIF(逐日资产统计!A:A,汇总统计!F319,逐日资产统计!M:M)-SUMIFS(逐日资产统计!M:M,逐日资产统计!A:A,汇总统计!F319,逐日资产统计!C:C,"人民币")</f>
        <v>1.0578665850599092</v>
      </c>
    </row>
    <row r="320" spans="1:16" x14ac:dyDescent="0.25">
      <c r="A320" s="205">
        <v>44022</v>
      </c>
      <c r="B320" s="192">
        <v>134508.81</v>
      </c>
      <c r="C320">
        <f>SUM($B$2:B320)</f>
        <v>165069.19200000001</v>
      </c>
      <c r="F320" s="210">
        <f>A320</f>
        <v>44022</v>
      </c>
      <c r="G320" s="213">
        <f>SUMIFS(逐日资产统计!$I:$I,逐日资产统计!$A:$A,F320,逐日资产统计!$C:$C,"人民币")</f>
        <v>0</v>
      </c>
      <c r="H320" s="212">
        <f>SUMIF(逐日资产统计!$A:$A,汇总统计!$F320,逐日资产统计!$I:$I)-G320</f>
        <v>725696.51000000013</v>
      </c>
      <c r="I320" s="207">
        <f>G320+H320</f>
        <v>725696.51000000013</v>
      </c>
      <c r="J320" s="212">
        <f>SUMIF(逐日资产统计!$A:$A,汇总统计!$F320,逐日资产统计!$G:$G)</f>
        <v>141642.10999999999</v>
      </c>
      <c r="K320" s="223">
        <f>I320-J320</f>
        <v>584054.40000000014</v>
      </c>
      <c r="L320" s="222">
        <f>K320-K319</f>
        <v>9797.9400000002934</v>
      </c>
      <c r="M320" s="219">
        <f>J320/K320</f>
        <v>0.24251526912561561</v>
      </c>
      <c r="N320" s="221">
        <f>SUMIFS(逐日资产统计!M:M,逐日资产统计!A:A,汇总统计!F320,逐日资产统计!C:C,"人民币")</f>
        <v>0</v>
      </c>
      <c r="O320" s="221">
        <f>SUMIF(逐日资产统计!A:A,汇总统计!F320,逐日资产统计!M:M)-SUMIFS(逐日资产统计!M:M,逐日资产统计!A:A,汇总统计!F320,逐日资产统计!C:C,"人民币")</f>
        <v>0.79589693768818037</v>
      </c>
    </row>
    <row r="321" spans="1:15" x14ac:dyDescent="0.25">
      <c r="A321" s="205">
        <v>44025</v>
      </c>
      <c r="B321" s="192">
        <v>25313.349999999977</v>
      </c>
      <c r="C321">
        <f>SUM($B$2:B321)</f>
        <v>190382.54199999999</v>
      </c>
      <c r="F321" s="210">
        <f>A321</f>
        <v>44025</v>
      </c>
      <c r="G321" s="213">
        <f>SUMIFS(逐日资产统计!$I:$I,逐日资产统计!$A:$A,F321,逐日资产统计!$C:$C,"人民币")</f>
        <v>0</v>
      </c>
      <c r="H321" s="212">
        <f>SUMIF(逐日资产统计!$A:$A,汇总统计!$F321,逐日资产统计!$I:$I)-G321</f>
        <v>737962.86</v>
      </c>
      <c r="I321" s="207">
        <f>G321+H321</f>
        <v>737962.86</v>
      </c>
      <c r="J321" s="212">
        <f>SUMIF(逐日资产统计!$A:$A,汇总统计!$F321,逐日资产统计!$G:$G)</f>
        <v>166955.45999999996</v>
      </c>
      <c r="K321" s="223">
        <f>I321-J321</f>
        <v>571007.4</v>
      </c>
      <c r="L321" s="222">
        <f>K321-K320</f>
        <v>-13047.000000000116</v>
      </c>
      <c r="M321" s="219">
        <f>J321/K321</f>
        <v>0.29238755925054555</v>
      </c>
      <c r="N321" s="221">
        <f>SUMIFS(逐日资产统计!M:M,逐日资产统计!A:A,汇总统计!F321,逐日资产统计!C:C,"人民币")</f>
        <v>0</v>
      </c>
      <c r="O321" s="221">
        <f>SUMIF(逐日资产统计!A:A,汇总统计!F321,逐日资产统计!M:M)-SUMIFS(逐日资产统计!M:M,逐日资产统计!A:A,汇总统计!F321,逐日资产统计!C:C,"人民币")</f>
        <v>0.83581320068058695</v>
      </c>
    </row>
    <row r="322" spans="1:15" x14ac:dyDescent="0.25">
      <c r="A322" s="205">
        <v>44026</v>
      </c>
      <c r="B322" s="192">
        <v>-784.55999999999767</v>
      </c>
      <c r="C322">
        <f>SUM($B$2:B322)</f>
        <v>189597.98199999999</v>
      </c>
      <c r="F322" s="210">
        <f t="shared" ref="F322:F326" si="99">A322</f>
        <v>44026</v>
      </c>
      <c r="G322" s="213">
        <f>SUMIFS(逐日资产统计!$I:$I,逐日资产统计!$A:$A,F322,逐日资产统计!$C:$C,"人民币")</f>
        <v>0</v>
      </c>
      <c r="H322" s="212">
        <f>SUMIF(逐日资产统计!$A:$A,汇总统计!$F322,逐日资产统计!$I:$I)-G322</f>
        <v>750332.2300000001</v>
      </c>
      <c r="I322" s="207">
        <f t="shared" ref="I322:I326" si="100">G322+H322</f>
        <v>750332.2300000001</v>
      </c>
      <c r="J322" s="212">
        <f>SUMIF(逐日资产统计!$A:$A,汇总统计!$F322,逐日资产统计!$G:$G)</f>
        <v>166170.89999999997</v>
      </c>
      <c r="K322" s="223">
        <f t="shared" ref="K322:K326" si="101">I322-J322</f>
        <v>584161.33000000007</v>
      </c>
      <c r="L322" s="222">
        <f t="shared" ref="L322:L326" si="102">K322-K321</f>
        <v>13153.930000000051</v>
      </c>
      <c r="M322" s="219">
        <f t="shared" ref="M322:M326" si="103">J322/K322</f>
        <v>0.28446063007970751</v>
      </c>
      <c r="N322" s="221">
        <f>SUMIFS(逐日资产统计!M:M,逐日资产统计!A:A,汇总统计!F322,逐日资产统计!C:C,"人民币")</f>
        <v>0</v>
      </c>
      <c r="O322" s="221">
        <f>SUMIF(逐日资产统计!A:A,汇总统计!F322,逐日资产统计!M:M)-SUMIFS(逐日资产统计!M:M,逐日资产统计!A:A,汇总统计!F322,逐日资产统计!C:C,"人民币")</f>
        <v>0.82592532278850683</v>
      </c>
    </row>
    <row r="323" spans="1:15" x14ac:dyDescent="0.25">
      <c r="A323" s="205">
        <v>44030</v>
      </c>
      <c r="B323" s="192">
        <v>-225453.51999999996</v>
      </c>
      <c r="C323">
        <f>SUM($B$2:B323)</f>
        <v>-35855.537999999971</v>
      </c>
      <c r="F323" s="210">
        <f t="shared" si="99"/>
        <v>44030</v>
      </c>
      <c r="G323" s="213">
        <f>SUMIFS(逐日资产统计!$I:$I,逐日资产统计!$A:$A,F323,逐日资产统计!$C:$C,"人民币")</f>
        <v>0</v>
      </c>
      <c r="H323" s="212">
        <f>SUMIF(逐日资产统计!$A:$A,汇总统计!$F323,逐日资产统计!$I:$I)-G323</f>
        <v>739644.76</v>
      </c>
      <c r="I323" s="207">
        <f t="shared" si="100"/>
        <v>739644.76</v>
      </c>
      <c r="J323" s="212">
        <f>SUMIF(逐日资产统计!$A:$A,汇总统计!$F323,逐日资产统计!$G:$G)</f>
        <v>-59282.62000000001</v>
      </c>
      <c r="K323" s="223">
        <f t="shared" si="101"/>
        <v>798927.38</v>
      </c>
      <c r="L323" s="222">
        <f t="shared" si="102"/>
        <v>214766.04999999993</v>
      </c>
      <c r="M323" s="219">
        <f t="shared" si="103"/>
        <v>-7.4202764211185268E-2</v>
      </c>
      <c r="N323" s="221">
        <f>SUMIFS(逐日资产统计!M:M,逐日资产统计!A:A,汇总统计!F323,逐日资产统计!C:C,"人民币")</f>
        <v>0</v>
      </c>
      <c r="O323" s="221">
        <f>SUMIF(逐日资产统计!A:A,汇总统计!F323,逐日资产统计!M:M)-SUMIFS(逐日资产统计!M:M,逐日资产统计!A:A,汇总统计!F323,逐日资产统计!C:C,"人民币")</f>
        <v>1.0837755546324697</v>
      </c>
    </row>
    <row r="324" spans="1:15" x14ac:dyDescent="0.25">
      <c r="A324" s="205">
        <v>44032</v>
      </c>
      <c r="B324" s="192">
        <v>2020.4600000000137</v>
      </c>
      <c r="C324">
        <f>SUM($B$2:B324)</f>
        <v>-33835.077999999958</v>
      </c>
      <c r="F324" s="210">
        <f t="shared" si="99"/>
        <v>44032</v>
      </c>
      <c r="G324" s="213">
        <f>SUMIFS(逐日资产统计!$I:$I,逐日资产统计!$A:$A,F324,逐日资产统计!$C:$C,"人民币")</f>
        <v>0</v>
      </c>
      <c r="H324" s="212">
        <f>SUMIF(逐日资产统计!$A:$A,汇总统计!$F324,逐日资产统计!$I:$I)-G324</f>
        <v>748938.92999999993</v>
      </c>
      <c r="I324" s="207">
        <f t="shared" si="100"/>
        <v>748938.92999999993</v>
      </c>
      <c r="J324" s="212">
        <f>SUMIF(逐日资产统计!$A:$A,汇总统计!$F324,逐日资产统计!$G:$G)</f>
        <v>-57262.159999999996</v>
      </c>
      <c r="K324" s="223">
        <f t="shared" si="101"/>
        <v>806201.09</v>
      </c>
      <c r="L324" s="222">
        <f t="shared" si="102"/>
        <v>7273.7099999999627</v>
      </c>
      <c r="M324" s="219">
        <f t="shared" si="103"/>
        <v>-7.1027142868288609E-2</v>
      </c>
      <c r="N324" s="221">
        <f>SUMIFS(逐日资产统计!M:M,逐日资产统计!A:A,汇总统计!F324,逐日资产统计!C:C,"人民币")</f>
        <v>0</v>
      </c>
      <c r="O324" s="221">
        <f>SUMIF(逐日资产统计!A:A,汇总统计!F324,逐日资产统计!M:M)-SUMIFS(逐日资产统计!M:M,逐日资产统计!A:A,汇总统计!F324,逐日资产统计!C:C,"人民币")</f>
        <v>0.76265132859364126</v>
      </c>
    </row>
    <row r="325" spans="1:15" x14ac:dyDescent="0.25">
      <c r="A325" s="205">
        <v>44033</v>
      </c>
      <c r="B325" s="192">
        <v>-2234.0400000000009</v>
      </c>
      <c r="C325">
        <f>SUM($B$2:B325)</f>
        <v>-36069.117999999959</v>
      </c>
      <c r="F325" s="210">
        <f t="shared" si="99"/>
        <v>44033</v>
      </c>
      <c r="G325" s="213">
        <f>SUMIFS(逐日资产统计!$I:$I,逐日资产统计!$A:$A,F325,逐日资产统计!$C:$C,"人民币")</f>
        <v>0</v>
      </c>
      <c r="H325" s="212">
        <f>SUMIF(逐日资产统计!$A:$A,汇总统计!$F325,逐日资产统计!$I:$I)-G325</f>
        <v>746687.33000000007</v>
      </c>
      <c r="I325" s="207">
        <f t="shared" si="100"/>
        <v>746687.33000000007</v>
      </c>
      <c r="J325" s="212">
        <f>SUMIF(逐日资产统计!$A:$A,汇总统计!$F325,逐日资产统计!$G:$G)</f>
        <v>-59496.2</v>
      </c>
      <c r="K325" s="223">
        <f t="shared" si="101"/>
        <v>806183.53</v>
      </c>
      <c r="L325" s="222">
        <f t="shared" si="102"/>
        <v>-17.559999999939464</v>
      </c>
      <c r="M325" s="219">
        <f t="shared" si="103"/>
        <v>-7.3799820743050901E-2</v>
      </c>
      <c r="N325" s="221">
        <f>SUMIFS(逐日资产统计!M:M,逐日资产统计!A:A,汇总统计!F325,逐日资产统计!C:C,"人民币")</f>
        <v>0</v>
      </c>
      <c r="O325" s="221">
        <f>SUMIF(逐日资产统计!A:A,汇总统计!F325,逐日资产统计!M:M)-SUMIFS(逐日资产统计!M:M,逐日资产统计!A:A,汇总统计!F325,逐日资产统计!C:C,"人民币")</f>
        <v>1.0500159570187952</v>
      </c>
    </row>
    <row r="326" spans="1:15" x14ac:dyDescent="0.25">
      <c r="A326" s="205">
        <v>44038</v>
      </c>
      <c r="B326" s="192">
        <v>-14637.410000000003</v>
      </c>
      <c r="C326">
        <f>SUM($B$2:B326)</f>
        <v>-50706.527999999962</v>
      </c>
      <c r="F326" s="210">
        <f t="shared" si="99"/>
        <v>44038</v>
      </c>
      <c r="G326" s="213">
        <f>SUMIFS(逐日资产统计!$I:$I,逐日资产统计!$A:$A,F326,逐日资产统计!$C:$C,"人民币")</f>
        <v>0</v>
      </c>
      <c r="H326" s="212">
        <f>SUMIF(逐日资产统计!$A:$A,汇总统计!$F326,逐日资产统计!$I:$I)-G326</f>
        <v>532049.92000000004</v>
      </c>
      <c r="I326" s="207">
        <f t="shared" si="100"/>
        <v>532049.92000000004</v>
      </c>
      <c r="J326" s="212">
        <f>SUMIF(逐日资产统计!$A:$A,汇总统计!$F326,逐日资产统计!$G:$G)</f>
        <v>-74133.61</v>
      </c>
      <c r="K326" s="223">
        <f t="shared" si="101"/>
        <v>606183.53</v>
      </c>
      <c r="L326" s="222">
        <f t="shared" si="102"/>
        <v>-200000</v>
      </c>
      <c r="M326" s="219">
        <f t="shared" si="103"/>
        <v>-0.12229565194554197</v>
      </c>
      <c r="N326" s="221">
        <f>SUMIFS(逐日资产统计!M:M,逐日资产统计!A:A,汇总统计!F326,逐日资产统计!C:C,"人民币")</f>
        <v>0</v>
      </c>
      <c r="O326" s="221">
        <f>SUMIF(逐日资产统计!A:A,汇总统计!F326,逐日资产统计!M:M)-SUMIFS(逐日资产统计!M:M,逐日资产统计!A:A,汇总统计!F326,逐日资产统计!C:C,"人民币")</f>
        <v>1.1307402132491626</v>
      </c>
    </row>
    <row r="327" spans="1:15" x14ac:dyDescent="0.25">
      <c r="A327" s="205">
        <v>44040</v>
      </c>
      <c r="B327" s="192">
        <v>433.19000000000233</v>
      </c>
      <c r="C327">
        <f>SUM($B$2:B327)</f>
        <v>-50273.33799999996</v>
      </c>
      <c r="F327" s="210">
        <f t="shared" ref="F327:F329" si="104">A327</f>
        <v>44040</v>
      </c>
      <c r="G327" s="213">
        <f>SUMIFS(逐日资产统计!$I:$I,逐日资产统计!$A:$A,F327,逐日资产统计!$C:$C,"人民币")</f>
        <v>0</v>
      </c>
      <c r="H327" s="212">
        <f>SUMIF(逐日资产统计!$A:$A,汇总统计!$F327,逐日资产统计!$I:$I)-G327</f>
        <v>532483.1100000001</v>
      </c>
      <c r="I327" s="207">
        <f t="shared" ref="I327:I329" si="105">G327+H327</f>
        <v>532483.1100000001</v>
      </c>
      <c r="J327" s="212">
        <f>SUMIF(逐日资产统计!$A:$A,汇总统计!$F327,逐日资产统计!$G:$G)</f>
        <v>-73700.42</v>
      </c>
      <c r="K327" s="223">
        <f t="shared" ref="K327:K329" si="106">I327-J327</f>
        <v>606183.53000000014</v>
      </c>
      <c r="L327" s="222">
        <f t="shared" ref="L327:L329" si="107">K327-K326</f>
        <v>0</v>
      </c>
      <c r="M327" s="219">
        <f t="shared" ref="M327:M329" si="108">J327/K327</f>
        <v>-0.12158103338769363</v>
      </c>
      <c r="N327" s="221">
        <f>SUMIFS(逐日资产统计!M:M,逐日资产统计!A:A,汇总统计!F327,逐日资产统计!C:C,"人民币")</f>
        <v>0</v>
      </c>
      <c r="O327" s="221">
        <f>SUMIF(逐日资产统计!A:A,汇总统计!F327,逐日资产统计!M:M)-SUMIFS(逐日资产统计!M:M,逐日资产统计!A:A,汇总统计!F327,逐日资产统计!C:C,"人民币")</f>
        <v>1.129371070567853</v>
      </c>
    </row>
    <row r="328" spans="1:15" x14ac:dyDescent="0.25">
      <c r="A328" s="205">
        <v>44042</v>
      </c>
      <c r="B328" s="192">
        <v>11704.670000000013</v>
      </c>
      <c r="C328">
        <f>SUM($B$2:B328)</f>
        <v>-38568.667999999947</v>
      </c>
      <c r="F328" s="210">
        <f t="shared" si="104"/>
        <v>44042</v>
      </c>
      <c r="G328" s="213">
        <f>SUMIFS(逐日资产统计!$I:$I,逐日资产统计!$A:$A,F328,逐日资产统计!$C:$C,"人民币")</f>
        <v>0</v>
      </c>
      <c r="H328" s="212">
        <f>SUMIF(逐日资产统计!$A:$A,汇总统计!$F328,逐日资产统计!$I:$I)-G328</f>
        <v>544180.58000000007</v>
      </c>
      <c r="I328" s="207">
        <f t="shared" si="105"/>
        <v>544180.58000000007</v>
      </c>
      <c r="J328" s="212">
        <f>SUMIF(逐日资产统计!$A:$A,汇总统计!$F328,逐日资产统计!$G:$G)</f>
        <v>-61995.749999999985</v>
      </c>
      <c r="K328" s="223">
        <f t="shared" si="106"/>
        <v>606176.33000000007</v>
      </c>
      <c r="L328" s="222">
        <f t="shared" si="107"/>
        <v>-7.2000000000698492</v>
      </c>
      <c r="M328" s="219">
        <f t="shared" si="108"/>
        <v>-0.10227345894551834</v>
      </c>
      <c r="N328" s="221">
        <f>SUMIFS(逐日资产统计!M:M,逐日资产统计!A:A,汇总统计!F328,逐日资产统计!C:C,"人民币")</f>
        <v>0</v>
      </c>
      <c r="O328" s="221">
        <f>SUMIF(逐日资产统计!A:A,汇总统计!F328,逐日资产统计!M:M)-SUMIFS(逐日资产统计!M:M,逐日资产统计!A:A,汇总统计!F328,逐日资产统计!C:C,"人民币")</f>
        <v>1.1143938102311548</v>
      </c>
    </row>
    <row r="329" spans="1:15" x14ac:dyDescent="0.25">
      <c r="A329" s="205">
        <v>44046</v>
      </c>
      <c r="B329" s="192">
        <v>10419.299999999988</v>
      </c>
      <c r="C329">
        <f>SUM($B$2:B329)</f>
        <v>-28149.367999999959</v>
      </c>
      <c r="F329" s="210">
        <f t="shared" si="104"/>
        <v>44046</v>
      </c>
      <c r="G329" s="213">
        <f>SUMIFS(逐日资产统计!$I:$I,逐日资产统计!$A:$A,F329,逐日资产统计!$C:$C,"人民币")</f>
        <v>0</v>
      </c>
      <c r="H329" s="212">
        <f>SUMIF(逐日资产统计!$A:$A,汇总统计!$F329,逐日资产统计!$I:$I)-G329</f>
        <v>554595.88000000012</v>
      </c>
      <c r="I329" s="207">
        <f t="shared" si="105"/>
        <v>554595.88000000012</v>
      </c>
      <c r="J329" s="212">
        <f>SUMIF(逐日资产统计!$A:$A,汇总统计!$F329,逐日资产统计!$G:$G)</f>
        <v>-51576.45</v>
      </c>
      <c r="K329" s="223">
        <f t="shared" si="106"/>
        <v>606172.33000000007</v>
      </c>
      <c r="L329" s="222">
        <f t="shared" si="107"/>
        <v>-4</v>
      </c>
      <c r="M329" s="219">
        <f t="shared" si="108"/>
        <v>-8.508545746388653E-2</v>
      </c>
      <c r="N329" s="221">
        <f>SUMIFS(逐日资产统计!M:M,逐日资产统计!A:A,汇总统计!F329,逐日资产统计!C:C,"人民币")</f>
        <v>0</v>
      </c>
      <c r="O329" s="221">
        <f>SUMIF(逐日资产统计!A:A,汇总统计!F329,逐日资产统计!M:M)-SUMIFS(逐日资产统计!M:M,逐日资产统计!A:A,汇总统计!F329,逐日资产统计!C:C,"人民币")</f>
        <v>1.0818638248809203</v>
      </c>
    </row>
    <row r="330" spans="1:15" x14ac:dyDescent="0.25">
      <c r="A330" s="205">
        <v>44053</v>
      </c>
      <c r="B330" s="192">
        <v>9798.669999999991</v>
      </c>
      <c r="C330">
        <f>SUM($B$2:B330)</f>
        <v>-18350.697999999968</v>
      </c>
      <c r="F330" s="210">
        <f t="shared" ref="F330:F332" si="109">A330</f>
        <v>44053</v>
      </c>
      <c r="G330" s="213">
        <f>SUMIFS(逐日资产统计!$I:$I,逐日资产统计!$A:$A,F330,逐日资产统计!$C:$C,"人民币")</f>
        <v>0</v>
      </c>
      <c r="H330" s="212">
        <f>SUMIF(逐日资产统计!$A:$A,汇总统计!$F330,逐日资产统计!$I:$I)-G330</f>
        <v>564696.59</v>
      </c>
      <c r="I330" s="207">
        <f t="shared" ref="I330:I332" si="110">G330+H330</f>
        <v>564696.59</v>
      </c>
      <c r="J330" s="212">
        <f>SUMIF(逐日资产统计!$A:$A,汇总统计!$F330,逐日资产统计!$G:$G)</f>
        <v>-41777.780000000006</v>
      </c>
      <c r="K330" s="223">
        <f t="shared" ref="K330:K332" si="111">I330-J330</f>
        <v>606474.37</v>
      </c>
      <c r="L330" s="222">
        <f t="shared" ref="L330:L332" si="112">K330-K329</f>
        <v>302.03999999992084</v>
      </c>
      <c r="M330" s="219">
        <f t="shared" ref="M330:M332" si="113">J330/K330</f>
        <v>-6.8886307594499013E-2</v>
      </c>
      <c r="N330" s="221">
        <f>SUMIFS(逐日资产统计!M:M,逐日资产统计!A:A,汇总统计!F330,逐日资产统计!C:C,"人民币")</f>
        <v>0</v>
      </c>
      <c r="O330" s="221">
        <f>SUMIF(逐日资产统计!A:A,汇总统计!F330,逐日资产统计!M:M)-SUMIFS(逐日资产统计!M:M,逐日资产统计!A:A,汇总统计!F330,逐日资产统计!C:C,"人民币")</f>
        <v>1.0745059572610489</v>
      </c>
    </row>
    <row r="331" spans="1:15" x14ac:dyDescent="0.25">
      <c r="A331" s="205">
        <v>44057</v>
      </c>
      <c r="B331" s="192">
        <v>-19230.69999999999</v>
      </c>
      <c r="C331">
        <f>SUM($B$2:B331)</f>
        <v>-37581.397999999957</v>
      </c>
      <c r="F331" s="210">
        <f t="shared" si="109"/>
        <v>44057</v>
      </c>
      <c r="G331" s="213">
        <f>SUMIFS(逐日资产统计!$I:$I,逐日资产统计!$A:$A,F331,逐日资产统计!$C:$C,"人民币")</f>
        <v>0</v>
      </c>
      <c r="H331" s="212">
        <f>SUMIF(逐日资产统计!$A:$A,汇总统计!$F331,逐日资产统计!$I:$I)-G331</f>
        <v>568149.49</v>
      </c>
      <c r="I331" s="207">
        <f t="shared" si="110"/>
        <v>568149.49</v>
      </c>
      <c r="J331" s="212">
        <f>SUMIF(逐日资产统计!$A:$A,汇总统计!$F331,逐日资产统计!$G:$G)</f>
        <v>-61008.479999999996</v>
      </c>
      <c r="K331" s="223">
        <f t="shared" si="111"/>
        <v>629157.97</v>
      </c>
      <c r="L331" s="222">
        <f t="shared" si="112"/>
        <v>22683.599999999977</v>
      </c>
      <c r="M331" s="219">
        <f t="shared" si="113"/>
        <v>-9.6968460877957241E-2</v>
      </c>
      <c r="N331" s="221">
        <f>SUMIFS(逐日资产统计!M:M,逐日资产统计!A:A,汇总统计!F331,逐日资产统计!C:C,"人民币")</f>
        <v>0</v>
      </c>
      <c r="O331" s="221">
        <f>SUMIF(逐日资产统计!A:A,汇总统计!F331,逐日资产统计!M:M)-SUMIFS(逐日资产统计!M:M,逐日资产统计!A:A,汇总统计!F331,逐日资产统计!C:C,"人民币")</f>
        <v>1.0979604857165319</v>
      </c>
    </row>
    <row r="332" spans="1:15" x14ac:dyDescent="0.25">
      <c r="A332" s="205">
        <v>44060</v>
      </c>
      <c r="B332" s="192">
        <v>7487.7200000000012</v>
      </c>
      <c r="C332">
        <f>SUM($B$2:B332)</f>
        <v>-30093.677999999956</v>
      </c>
      <c r="F332" s="210">
        <f t="shared" si="109"/>
        <v>44060</v>
      </c>
      <c r="G332" s="213">
        <f>SUMIFS(逐日资产统计!$I:$I,逐日资产统计!$A:$A,F332,逐日资产统计!$C:$C,"人民币")</f>
        <v>0</v>
      </c>
      <c r="H332" s="212">
        <f>SUMIF(逐日资产统计!$A:$A,汇总统计!$F332,逐日资产统计!$I:$I)-G332</f>
        <v>575731.21</v>
      </c>
      <c r="I332" s="207">
        <f t="shared" si="110"/>
        <v>575731.21</v>
      </c>
      <c r="J332" s="212">
        <f>SUMIF(逐日资产统计!$A:$A,汇总统计!$F332,逐日资产统计!$G:$G)</f>
        <v>-53520.759999999995</v>
      </c>
      <c r="K332" s="223">
        <f t="shared" si="111"/>
        <v>629251.97</v>
      </c>
      <c r="L332" s="222">
        <f t="shared" si="112"/>
        <v>94</v>
      </c>
      <c r="M332" s="219">
        <f t="shared" si="113"/>
        <v>-8.5054576785830324E-2</v>
      </c>
      <c r="N332" s="221">
        <f>SUMIFS(逐日资产统计!M:M,逐日资产统计!A:A,汇总统计!F332,逐日资产统计!C:C,"人民币")</f>
        <v>0</v>
      </c>
      <c r="O332" s="221">
        <f>SUMIF(逐日资产统计!A:A,汇总统计!F332,逐日资产统计!M:M)-SUMIFS(逐日资产统计!M:M,逐日资产统计!A:A,汇总统计!F332,逐日资产统计!C:C,"人民币")</f>
        <v>1.07025274867416</v>
      </c>
    </row>
    <row r="333" spans="1:15" x14ac:dyDescent="0.25">
      <c r="A333" s="208" t="s">
        <v>98</v>
      </c>
      <c r="B333" s="192"/>
    </row>
  </sheetData>
  <autoFilter ref="F1:N272"/>
  <phoneticPr fontId="16" type="noConversion"/>
  <conditionalFormatting sqref="J1:J1048576">
    <cfRule type="top10" dxfId="362" priority="1" percent="1" rank="10"/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{169CC13E-24CF-4A1B-AE63-C28279812A3C}</x14:id>
        </ext>
      </extLst>
    </cfRule>
  </conditionalFormatting>
  <pageMargins left="0.69930555555555596" right="0.69930555555555596" top="0.75" bottom="0.75" header="0.3" footer="0.3"/>
  <pageSetup paperSize="9" orientation="portrait"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69CC13E-24CF-4A1B-AE63-C28279812A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R116"/>
  <sheetViews>
    <sheetView topLeftCell="AE1" workbookViewId="0">
      <pane ySplit="1" topLeftCell="A26" activePane="bottomLeft" state="frozen"/>
      <selection pane="bottomLeft" activeCell="AO33" sqref="AO33"/>
    </sheetView>
  </sheetViews>
  <sheetFormatPr defaultColWidth="8.88671875" defaultRowHeight="14.4" x14ac:dyDescent="0.25"/>
  <cols>
    <col min="1" max="1" width="11.6640625" hidden="1" customWidth="1"/>
    <col min="2" max="2" width="10.77734375" style="2" hidden="1" customWidth="1"/>
    <col min="3" max="3" width="0" hidden="1" customWidth="1"/>
    <col min="4" max="4" width="10.77734375" hidden="1" customWidth="1"/>
    <col min="5" max="5" width="0" hidden="1" customWidth="1"/>
    <col min="6" max="6" width="10.77734375" hidden="1" customWidth="1"/>
    <col min="7" max="7" width="13.88671875" style="72" hidden="1" customWidth="1"/>
    <col min="8" max="8" width="10.77734375" style="73" hidden="1" customWidth="1"/>
    <col min="9" max="10" width="10.77734375" hidden="1" customWidth="1"/>
    <col min="11" max="11" width="10.109375" hidden="1" customWidth="1"/>
    <col min="12" max="12" width="12.77734375" hidden="1" customWidth="1"/>
    <col min="13" max="14" width="0" hidden="1" customWidth="1"/>
    <col min="15" max="15" width="14.77734375" hidden="1" customWidth="1"/>
    <col min="16" max="16" width="11.88671875" hidden="1" customWidth="1"/>
    <col min="17" max="17" width="10.77734375" hidden="1" customWidth="1"/>
    <col min="18" max="18" width="14.77734375" hidden="1" customWidth="1"/>
    <col min="19" max="20" width="10.77734375" hidden="1" customWidth="1"/>
    <col min="21" max="22" width="14.77734375" hidden="1" customWidth="1"/>
    <col min="23" max="23" width="18.77734375" hidden="1" customWidth="1"/>
    <col min="24" max="24" width="19.88671875" hidden="1" customWidth="1"/>
    <col min="25" max="25" width="15.88671875" hidden="1" customWidth="1"/>
    <col min="26" max="26" width="11.6640625" hidden="1" customWidth="1"/>
    <col min="27" max="27" width="12.77734375" hidden="1" customWidth="1"/>
    <col min="28" max="28" width="10.77734375" hidden="1" customWidth="1"/>
    <col min="29" max="29" width="12.109375" hidden="1" customWidth="1"/>
    <col min="30" max="30" width="14.44140625" hidden="1" customWidth="1"/>
    <col min="34" max="34" width="11.6640625" bestFit="1" customWidth="1"/>
    <col min="35" max="35" width="13.88671875" bestFit="1" customWidth="1"/>
    <col min="36" max="36" width="11.6640625" bestFit="1" customWidth="1"/>
    <col min="38" max="38" width="13.88671875" bestFit="1" customWidth="1"/>
    <col min="39" max="39" width="20.44140625" style="347" bestFit="1" customWidth="1"/>
    <col min="40" max="40" width="16.109375" bestFit="1" customWidth="1"/>
    <col min="41" max="41" width="13.88671875" bestFit="1" customWidth="1"/>
    <col min="42" max="42" width="13.88671875" style="352" bestFit="1" customWidth="1"/>
    <col min="43" max="43" width="15.21875" style="352" customWidth="1"/>
    <col min="44" max="44" width="19.33203125" bestFit="1" customWidth="1"/>
  </cols>
  <sheetData>
    <row r="1" spans="1:44" ht="28.8" x14ac:dyDescent="0.25">
      <c r="A1" s="3" t="s">
        <v>3</v>
      </c>
      <c r="B1" s="4" t="s">
        <v>151</v>
      </c>
      <c r="C1" s="74" t="s">
        <v>152</v>
      </c>
      <c r="D1" s="5" t="s">
        <v>153</v>
      </c>
      <c r="E1" s="4" t="s">
        <v>154</v>
      </c>
      <c r="F1" s="5" t="s">
        <v>155</v>
      </c>
      <c r="G1" s="26" t="s">
        <v>156</v>
      </c>
      <c r="H1" s="4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 t="s">
        <v>17</v>
      </c>
      <c r="W1" s="26" t="s">
        <v>168</v>
      </c>
      <c r="X1" s="26" t="s">
        <v>169</v>
      </c>
      <c r="Y1" s="26" t="s">
        <v>170</v>
      </c>
      <c r="Z1" s="126" t="s">
        <v>171</v>
      </c>
      <c r="AA1" s="4" t="s">
        <v>106</v>
      </c>
      <c r="AB1" s="37" t="s">
        <v>172</v>
      </c>
      <c r="AC1" s="37" t="s">
        <v>50</v>
      </c>
      <c r="AD1" s="37" t="s">
        <v>173</v>
      </c>
      <c r="AH1" s="252" t="s">
        <v>841</v>
      </c>
      <c r="AI1" s="252" t="s">
        <v>842</v>
      </c>
      <c r="AJ1" s="252" t="s">
        <v>843</v>
      </c>
      <c r="AK1" s="252" t="s">
        <v>844</v>
      </c>
      <c r="AL1" s="252" t="s">
        <v>845</v>
      </c>
      <c r="AM1" s="349" t="s">
        <v>846</v>
      </c>
      <c r="AN1" s="252" t="s">
        <v>847</v>
      </c>
      <c r="AO1" s="252" t="s">
        <v>848</v>
      </c>
      <c r="AP1" s="350" t="s">
        <v>856</v>
      </c>
      <c r="AQ1" s="350" t="s">
        <v>851</v>
      </c>
      <c r="AR1" s="252" t="s">
        <v>852</v>
      </c>
    </row>
    <row r="2" spans="1:44" x14ac:dyDescent="0.25">
      <c r="A2" s="75">
        <v>41813</v>
      </c>
      <c r="B2" s="344" t="s">
        <v>72</v>
      </c>
      <c r="C2" s="76" t="s">
        <v>69</v>
      </c>
      <c r="D2" s="77">
        <v>500</v>
      </c>
      <c r="E2" s="76">
        <v>6.02</v>
      </c>
      <c r="F2" s="76">
        <v>7100</v>
      </c>
      <c r="G2" s="78">
        <v>12.916428873239401</v>
      </c>
      <c r="H2" s="79">
        <v>91706.645000000004</v>
      </c>
      <c r="I2" s="31">
        <v>-48964.644999999997</v>
      </c>
      <c r="J2" s="108">
        <v>-0.53392690355208205</v>
      </c>
      <c r="K2" s="109">
        <v>42742</v>
      </c>
      <c r="L2" s="76">
        <f>751.990000000005-9407</f>
        <v>-8655.0099999999948</v>
      </c>
      <c r="M2" s="110">
        <v>5</v>
      </c>
      <c r="N2" s="31">
        <v>3.01</v>
      </c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0">
        <f t="shared" ref="AC2:AC48" si="0">I2/E2*(1-0.0005)</f>
        <v>-8129.5951291528245</v>
      </c>
      <c r="AD2" s="40">
        <f t="shared" ref="AD2:AD48" si="1">AC2-F2</f>
        <v>-15229.595129152825</v>
      </c>
      <c r="AH2" s="136">
        <v>44022</v>
      </c>
      <c r="AI2" s="342">
        <v>4339097</v>
      </c>
      <c r="AJ2" s="342">
        <v>159277</v>
      </c>
      <c r="AK2" s="46">
        <v>733.93</v>
      </c>
      <c r="AL2" s="345">
        <v>3915031.23</v>
      </c>
      <c r="AM2" s="348">
        <f t="shared" ref="AM2:AM8" si="2">SUM(AI2:AK2)-AL2</f>
        <v>584076.69999999972</v>
      </c>
      <c r="AN2" s="345">
        <f>SUMIF(逐日资产统计!$A:$A,盈亏统计!AH2,逐日资产统计!$I:$I)</f>
        <v>725696.51000000013</v>
      </c>
      <c r="AO2" s="346">
        <f t="shared" ref="AO2:AO7" si="3">AN2-AM2</f>
        <v>141619.81000000041</v>
      </c>
      <c r="AP2" s="351">
        <f>SUMIF(逐日资产统计!$A:$A,盈亏统计!AH2,逐日资产统计!$G:$G)</f>
        <v>141642.10999999999</v>
      </c>
    </row>
    <row r="3" spans="1:44" x14ac:dyDescent="0.25">
      <c r="A3" s="51">
        <v>41816</v>
      </c>
      <c r="B3" s="80"/>
      <c r="C3" s="62" t="s">
        <v>69</v>
      </c>
      <c r="D3" s="16">
        <v>500</v>
      </c>
      <c r="E3" s="62">
        <v>6.33</v>
      </c>
      <c r="F3" s="62">
        <v>6600</v>
      </c>
      <c r="G3" s="81">
        <v>13.416637878787901</v>
      </c>
      <c r="H3" s="82">
        <v>88549.81</v>
      </c>
      <c r="I3" s="15">
        <v>-46771.81</v>
      </c>
      <c r="J3" s="33">
        <v>-0.52819774542712195</v>
      </c>
      <c r="K3" s="111">
        <v>41778</v>
      </c>
      <c r="L3" s="62">
        <v>2192.83500000001</v>
      </c>
      <c r="M3" s="112">
        <v>5</v>
      </c>
      <c r="N3" s="15">
        <v>3.165</v>
      </c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0">
        <f t="shared" si="0"/>
        <v>-7385.217076619273</v>
      </c>
      <c r="AD3" s="40">
        <f t="shared" si="1"/>
        <v>-13985.217076619272</v>
      </c>
      <c r="AH3" s="136">
        <v>44025</v>
      </c>
      <c r="AI3" s="342">
        <v>4339097</v>
      </c>
      <c r="AJ3" s="342">
        <v>159277</v>
      </c>
      <c r="AK3" s="46">
        <v>733.93</v>
      </c>
      <c r="AL3" s="345">
        <v>3928031.23</v>
      </c>
      <c r="AM3" s="348">
        <f t="shared" si="2"/>
        <v>571076.69999999972</v>
      </c>
      <c r="AN3" s="345">
        <f>SUMIF(逐日资产统计!$A:$A,盈亏统计!AH3,逐日资产统计!$I:$I)</f>
        <v>737962.86</v>
      </c>
      <c r="AO3" s="346">
        <f t="shared" si="3"/>
        <v>166886.16000000027</v>
      </c>
      <c r="AP3" s="351">
        <f>SUMIF(逐日资产统计!$A:$A,盈亏统计!AH3,逐日资产统计!$G:$G)</f>
        <v>166955.45999999996</v>
      </c>
      <c r="AQ3" s="352">
        <f t="shared" ref="AQ3:AQ8" si="4">AO3-AO2</f>
        <v>25266.34999999986</v>
      </c>
      <c r="AR3" s="343" t="s">
        <v>853</v>
      </c>
    </row>
    <row r="4" spans="1:44" x14ac:dyDescent="0.25">
      <c r="A4" s="53">
        <v>41820</v>
      </c>
      <c r="B4" s="80"/>
      <c r="C4" s="62" t="s">
        <v>69</v>
      </c>
      <c r="D4" s="16">
        <v>500</v>
      </c>
      <c r="E4" s="62">
        <v>6.6</v>
      </c>
      <c r="F4" s="62">
        <v>6100</v>
      </c>
      <c r="G4" s="81">
        <v>13.976739344262301</v>
      </c>
      <c r="H4" s="82">
        <v>85258.11</v>
      </c>
      <c r="I4" s="15">
        <v>-44998.11</v>
      </c>
      <c r="J4" s="33">
        <v>-0.52778685804787395</v>
      </c>
      <c r="K4" s="111">
        <v>40260</v>
      </c>
      <c r="L4" s="62">
        <v>1773.7</v>
      </c>
      <c r="M4" s="112">
        <v>5</v>
      </c>
      <c r="N4" s="15">
        <v>3.3</v>
      </c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0">
        <f t="shared" si="0"/>
        <v>-6814.4865068181825</v>
      </c>
      <c r="AD4" s="40">
        <f t="shared" si="1"/>
        <v>-12914.486506818183</v>
      </c>
      <c r="AH4" s="136">
        <v>44026</v>
      </c>
      <c r="AI4" s="342">
        <v>4339097</v>
      </c>
      <c r="AJ4" s="342">
        <v>159277</v>
      </c>
      <c r="AK4" s="46">
        <v>733.93</v>
      </c>
      <c r="AL4" s="345">
        <v>3928031.23</v>
      </c>
      <c r="AM4" s="348">
        <f t="shared" si="2"/>
        <v>571076.69999999972</v>
      </c>
      <c r="AN4" s="345">
        <f>SUMIF(逐日资产统计!$A:$A,盈亏统计!AH4,逐日资产统计!$I:$I)</f>
        <v>750332.2300000001</v>
      </c>
      <c r="AO4" s="346">
        <f t="shared" si="3"/>
        <v>179255.53000000038</v>
      </c>
      <c r="AP4" s="351">
        <f>SUMIF(逐日资产统计!$A:$A,盈亏统计!AH4,逐日资产统计!$G:$G)</f>
        <v>166170.89999999997</v>
      </c>
      <c r="AQ4" s="352">
        <f t="shared" si="4"/>
        <v>12369.370000000112</v>
      </c>
    </row>
    <row r="5" spans="1:44" x14ac:dyDescent="0.25">
      <c r="A5" s="83">
        <v>41852</v>
      </c>
      <c r="B5" s="84"/>
      <c r="C5" s="76" t="s">
        <v>69</v>
      </c>
      <c r="D5" s="77">
        <v>500</v>
      </c>
      <c r="E5" s="76">
        <v>7.25</v>
      </c>
      <c r="F5" s="76">
        <v>4100</v>
      </c>
      <c r="G5" s="78">
        <v>17.376136585365899</v>
      </c>
      <c r="H5" s="79">
        <v>71242.16</v>
      </c>
      <c r="I5" s="31">
        <v>-41517.160000000003</v>
      </c>
      <c r="J5" s="108">
        <v>-0.58276110662562697</v>
      </c>
      <c r="K5" s="109">
        <v>29725</v>
      </c>
      <c r="L5" s="76">
        <v>727.375</v>
      </c>
      <c r="M5" s="110">
        <v>5</v>
      </c>
      <c r="N5" s="31">
        <v>3.625</v>
      </c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0">
        <f t="shared" si="0"/>
        <v>-5723.6415751724144</v>
      </c>
      <c r="AD5" s="40">
        <f t="shared" si="1"/>
        <v>-9823.6415751724144</v>
      </c>
      <c r="AH5" s="136">
        <v>44030</v>
      </c>
      <c r="AI5" s="342">
        <v>4339097</v>
      </c>
      <c r="AJ5" s="342">
        <v>159277</v>
      </c>
      <c r="AK5" s="46">
        <v>733.93</v>
      </c>
      <c r="AL5" s="345">
        <v>3928031.23</v>
      </c>
      <c r="AM5" s="348">
        <f t="shared" si="2"/>
        <v>571076.69999999972</v>
      </c>
      <c r="AN5" s="345">
        <f>SUMIF(逐日资产统计!$A:$A,盈亏统计!AH5,逐日资产统计!$I:$I)</f>
        <v>739644.76</v>
      </c>
      <c r="AO5" s="346">
        <f t="shared" si="3"/>
        <v>168568.06000000029</v>
      </c>
      <c r="AP5" s="351">
        <f>SUMIF(逐日资产统计!$A:$A,盈亏统计!AH5,逐日资产统计!$G:$G)</f>
        <v>-59282.62000000001</v>
      </c>
      <c r="AQ5" s="352">
        <f t="shared" si="4"/>
        <v>-10687.470000000088</v>
      </c>
    </row>
    <row r="6" spans="1:44" x14ac:dyDescent="0.25">
      <c r="A6" s="75">
        <v>41866</v>
      </c>
      <c r="B6" s="84"/>
      <c r="C6" s="12" t="s">
        <v>69</v>
      </c>
      <c r="D6" s="12">
        <v>500</v>
      </c>
      <c r="E6" s="12">
        <v>7.45</v>
      </c>
      <c r="F6" s="12">
        <v>3100</v>
      </c>
      <c r="G6" s="85">
        <v>20.565540322580599</v>
      </c>
      <c r="H6" s="86">
        <v>63753.175000000003</v>
      </c>
      <c r="I6" s="113">
        <v>-40658.175000000003</v>
      </c>
      <c r="J6" s="114">
        <v>-0.63774353198879896</v>
      </c>
      <c r="K6" s="115">
        <v>23095</v>
      </c>
      <c r="L6" s="12">
        <v>279.275000000001</v>
      </c>
      <c r="M6" s="116">
        <v>5</v>
      </c>
      <c r="N6" s="113">
        <v>3.7250000000000001</v>
      </c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0">
        <f t="shared" si="0"/>
        <v>-5454.7444177852358</v>
      </c>
      <c r="AD6" s="40">
        <f t="shared" si="1"/>
        <v>-8554.7444177852358</v>
      </c>
      <c r="AH6" s="136">
        <v>44032</v>
      </c>
      <c r="AI6" s="342">
        <v>4339097</v>
      </c>
      <c r="AJ6" s="342">
        <v>159277</v>
      </c>
      <c r="AK6" s="46">
        <v>733.93</v>
      </c>
      <c r="AL6" s="345">
        <v>3928031.23</v>
      </c>
      <c r="AM6" s="348">
        <f t="shared" si="2"/>
        <v>571076.69999999972</v>
      </c>
      <c r="AN6" s="345">
        <f>SUMIF(逐日资产统计!$A:$A,盈亏统计!AH6,逐日资产统计!$I:$I)</f>
        <v>748938.92999999993</v>
      </c>
      <c r="AO6" s="346">
        <f t="shared" si="3"/>
        <v>177862.23000000021</v>
      </c>
      <c r="AP6" s="351">
        <f>SUMIF(逐日资产统计!$A:$A,盈亏统计!AH6,逐日资产统计!$G:$G)</f>
        <v>-57262.159999999996</v>
      </c>
      <c r="AQ6" s="352">
        <f t="shared" si="4"/>
        <v>9294.1699999999255</v>
      </c>
    </row>
    <row r="7" spans="1:44" x14ac:dyDescent="0.25">
      <c r="A7" s="83">
        <v>42136</v>
      </c>
      <c r="B7" s="87"/>
      <c r="C7" s="88" t="s">
        <v>69</v>
      </c>
      <c r="D7" s="88">
        <v>500</v>
      </c>
      <c r="E7" s="88">
        <v>11.92</v>
      </c>
      <c r="F7" s="88">
        <v>600</v>
      </c>
      <c r="G7" s="89">
        <v>95.606841666666597</v>
      </c>
      <c r="H7" s="90">
        <v>57364.105000000003</v>
      </c>
      <c r="I7" s="117">
        <v>-50212.105000000003</v>
      </c>
      <c r="J7" s="118">
        <v>-0.87532273012888495</v>
      </c>
      <c r="K7" s="119">
        <v>7152</v>
      </c>
      <c r="L7" s="88">
        <v>209.04000000000099</v>
      </c>
      <c r="M7" s="120">
        <v>5</v>
      </c>
      <c r="N7" s="117">
        <v>5.96</v>
      </c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0">
        <f t="shared" si="0"/>
        <v>-4210.31870364933</v>
      </c>
      <c r="AD7" s="40">
        <f t="shared" si="1"/>
        <v>-4810.31870364933</v>
      </c>
      <c r="AH7" s="136">
        <v>44033</v>
      </c>
      <c r="AI7" s="342">
        <v>4339097</v>
      </c>
      <c r="AJ7" s="342">
        <v>159277</v>
      </c>
      <c r="AK7" s="46">
        <v>733.93</v>
      </c>
      <c r="AL7" s="345">
        <v>3928031.23</v>
      </c>
      <c r="AM7" s="348">
        <f t="shared" si="2"/>
        <v>571076.69999999972</v>
      </c>
      <c r="AN7" s="345">
        <f>SUMIF(逐日资产统计!$A:$A,盈亏统计!AH7,逐日资产统计!$I:$I)</f>
        <v>746687.33000000007</v>
      </c>
      <c r="AO7" s="346">
        <f t="shared" si="3"/>
        <v>175610.63000000035</v>
      </c>
      <c r="AP7" s="351">
        <f>SUMIF(逐日资产统计!$A:$A,盈亏统计!AH7,逐日资产统计!$G:$G)</f>
        <v>-59496.2</v>
      </c>
      <c r="AQ7" s="352">
        <f t="shared" si="4"/>
        <v>-2251.5999999998603</v>
      </c>
      <c r="AR7" s="343" t="s">
        <v>869</v>
      </c>
    </row>
    <row r="8" spans="1:44" x14ac:dyDescent="0.25">
      <c r="A8" s="53">
        <v>42138</v>
      </c>
      <c r="B8" s="91"/>
      <c r="C8" s="58" t="s">
        <v>69</v>
      </c>
      <c r="D8" s="58">
        <v>500</v>
      </c>
      <c r="E8" s="58">
        <v>12.8</v>
      </c>
      <c r="F8" s="58">
        <v>100</v>
      </c>
      <c r="G8" s="92">
        <v>509.75504999999998</v>
      </c>
      <c r="H8" s="93">
        <v>50975.504999999997</v>
      </c>
      <c r="I8" s="10">
        <v>-49695.504999999997</v>
      </c>
      <c r="J8" s="27">
        <v>-0.97488990055125502</v>
      </c>
      <c r="K8" s="121">
        <v>1280</v>
      </c>
      <c r="L8" s="58">
        <v>516.599999999999</v>
      </c>
      <c r="M8" s="122">
        <v>5</v>
      </c>
      <c r="N8" s="10">
        <v>6.4</v>
      </c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0">
        <f t="shared" si="0"/>
        <v>-3880.520097460937</v>
      </c>
      <c r="AD8" s="40">
        <f t="shared" si="1"/>
        <v>-3980.520097460937</v>
      </c>
      <c r="AH8" s="136">
        <v>44038</v>
      </c>
      <c r="AI8" s="342">
        <v>4339097</v>
      </c>
      <c r="AJ8" s="342">
        <v>159277</v>
      </c>
      <c r="AK8" s="46">
        <v>733.93</v>
      </c>
      <c r="AL8" s="345">
        <v>4128031.23</v>
      </c>
      <c r="AM8" s="348">
        <f t="shared" si="2"/>
        <v>371076.69999999972</v>
      </c>
      <c r="AN8" s="345">
        <f>SUMIF(逐日资产统计!$A:$A,盈亏统计!AH8,逐日资产统计!$I:$I)</f>
        <v>532049.92000000004</v>
      </c>
      <c r="AO8" s="346">
        <f t="shared" ref="AO8" si="5">AN8-AM8</f>
        <v>160973.22000000032</v>
      </c>
      <c r="AP8" s="351">
        <f>SUMIF(逐日资产统计!$A:$A,盈亏统计!AH8,逐日资产统计!$G:$G)</f>
        <v>-74133.61</v>
      </c>
      <c r="AQ8" s="352">
        <f t="shared" si="4"/>
        <v>-14637.410000000033</v>
      </c>
    </row>
    <row r="9" spans="1:44" x14ac:dyDescent="0.25">
      <c r="A9" s="83">
        <v>42201</v>
      </c>
      <c r="B9" s="87"/>
      <c r="C9" s="88" t="s">
        <v>69</v>
      </c>
      <c r="D9" s="88">
        <v>500</v>
      </c>
      <c r="E9" s="88">
        <v>8.9600000000000009</v>
      </c>
      <c r="F9" s="88">
        <v>600</v>
      </c>
      <c r="G9" s="89">
        <v>66.292158333333305</v>
      </c>
      <c r="H9" s="90">
        <v>39775.294999999998</v>
      </c>
      <c r="I9" s="117">
        <v>-34399.294999999998</v>
      </c>
      <c r="J9" s="118">
        <v>-0.86484072588273697</v>
      </c>
      <c r="K9" s="119">
        <v>5376</v>
      </c>
      <c r="L9" s="88">
        <v>452.51999999999703</v>
      </c>
      <c r="M9" s="120">
        <v>5</v>
      </c>
      <c r="N9" s="117">
        <v>4.4800000000000004</v>
      </c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0">
        <f t="shared" si="0"/>
        <v>-3837.2874277343749</v>
      </c>
      <c r="AD9" s="40">
        <f t="shared" si="1"/>
        <v>-4437.2874277343744</v>
      </c>
      <c r="AH9" s="136">
        <v>44040</v>
      </c>
      <c r="AI9" s="342">
        <v>4339097</v>
      </c>
      <c r="AJ9" s="342">
        <v>159277</v>
      </c>
      <c r="AK9" s="46">
        <v>733.93</v>
      </c>
      <c r="AL9" s="345">
        <v>4128031.23</v>
      </c>
      <c r="AM9" s="348">
        <f t="shared" ref="AM9" si="6">SUM(AI9:AK9)-AL9</f>
        <v>371076.69999999972</v>
      </c>
      <c r="AN9" s="345">
        <f>SUMIF(逐日资产统计!$A:$A,盈亏统计!AH9,逐日资产统计!$I:$I)</f>
        <v>532483.1100000001</v>
      </c>
      <c r="AO9" s="346">
        <f t="shared" ref="AO9" si="7">AN9-AM9</f>
        <v>161406.41000000038</v>
      </c>
      <c r="AP9" s="351">
        <f>SUMIF(逐日资产统计!$A:$A,盈亏统计!AH9,逐日资产统计!$G:$G)</f>
        <v>-73700.42</v>
      </c>
      <c r="AQ9" s="352">
        <f t="shared" ref="AQ9" si="8">AO9-AO8</f>
        <v>433.19000000006054</v>
      </c>
    </row>
    <row r="10" spans="1:44" x14ac:dyDescent="0.25">
      <c r="A10" s="75">
        <v>42220</v>
      </c>
      <c r="B10" s="94"/>
      <c r="C10" s="12" t="s">
        <v>69</v>
      </c>
      <c r="D10" s="12">
        <v>500</v>
      </c>
      <c r="E10" s="12">
        <v>8.8699999999999992</v>
      </c>
      <c r="F10" s="12">
        <v>100</v>
      </c>
      <c r="G10" s="85">
        <v>347.74430000000001</v>
      </c>
      <c r="H10" s="86">
        <v>34774.43</v>
      </c>
      <c r="I10" s="113">
        <v>-33887.43</v>
      </c>
      <c r="J10" s="114">
        <v>-0.97449275228954102</v>
      </c>
      <c r="K10" s="115">
        <v>887</v>
      </c>
      <c r="L10" s="12">
        <v>380.56500000000199</v>
      </c>
      <c r="M10" s="116">
        <v>5</v>
      </c>
      <c r="N10" s="113">
        <v>4.4349999999999996</v>
      </c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0">
        <f t="shared" si="0"/>
        <v>-3818.54411330327</v>
      </c>
      <c r="AD10" s="40">
        <f t="shared" si="1"/>
        <v>-3918.54411330327</v>
      </c>
      <c r="AH10" s="136">
        <v>44042</v>
      </c>
      <c r="AI10" s="342">
        <v>4339097</v>
      </c>
      <c r="AJ10" s="342">
        <v>159277</v>
      </c>
      <c r="AK10" s="46">
        <v>733.93</v>
      </c>
      <c r="AL10" s="345">
        <v>4128031.23</v>
      </c>
      <c r="AM10" s="348">
        <f t="shared" ref="AM10" si="9">SUM(AI10:AK10)-AL10</f>
        <v>371076.69999999972</v>
      </c>
      <c r="AN10" s="345">
        <f>SUMIF(逐日资产统计!$A:$A,盈亏统计!AH10,逐日资产统计!$I:$I)</f>
        <v>544180.58000000007</v>
      </c>
      <c r="AO10" s="346">
        <f t="shared" ref="AO10" si="10">AN10-AM10</f>
        <v>173103.88000000035</v>
      </c>
      <c r="AP10" s="351">
        <f>SUMIF(逐日资产统计!$A:$A,盈亏统计!AH10,逐日资产统计!$G:$G)</f>
        <v>-61995.749999999985</v>
      </c>
      <c r="AQ10" s="352">
        <f t="shared" ref="AQ10" si="11">AO10-AO9</f>
        <v>11697.469999999972</v>
      </c>
    </row>
    <row r="11" spans="1:44" x14ac:dyDescent="0.25">
      <c r="A11" s="83">
        <v>42254</v>
      </c>
      <c r="B11" s="95"/>
      <c r="C11" s="76" t="s">
        <v>69</v>
      </c>
      <c r="D11" s="76">
        <v>500</v>
      </c>
      <c r="E11" s="76">
        <v>7.12</v>
      </c>
      <c r="F11" s="76">
        <v>1600</v>
      </c>
      <c r="G11" s="78">
        <v>28.604993749999998</v>
      </c>
      <c r="H11" s="79">
        <v>45767.99</v>
      </c>
      <c r="I11" s="31">
        <v>-34375.99</v>
      </c>
      <c r="J11" s="108">
        <v>-0.75109241196740295</v>
      </c>
      <c r="K11" s="109">
        <v>11392</v>
      </c>
      <c r="L11" s="76">
        <v>894.44000000000199</v>
      </c>
      <c r="M11" s="110">
        <v>5</v>
      </c>
      <c r="N11" s="31">
        <v>3.56</v>
      </c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0">
        <f t="shared" si="0"/>
        <v>-4825.6744389044943</v>
      </c>
      <c r="AD11" s="40">
        <f t="shared" si="1"/>
        <v>-6425.6744389044943</v>
      </c>
      <c r="AH11" s="136">
        <v>44046</v>
      </c>
      <c r="AI11" s="342">
        <v>4339097</v>
      </c>
      <c r="AJ11" s="342">
        <v>159277</v>
      </c>
      <c r="AK11" s="46">
        <v>733.93</v>
      </c>
      <c r="AL11" s="345">
        <v>4128031.23</v>
      </c>
      <c r="AM11" s="348">
        <f t="shared" ref="AM11" si="12">SUM(AI11:AK11)-AL11</f>
        <v>371076.69999999972</v>
      </c>
      <c r="AN11" s="345">
        <f>SUMIF(逐日资产统计!$A:$A,盈亏统计!AH11,逐日资产统计!$I:$I)</f>
        <v>554595.88000000012</v>
      </c>
      <c r="AO11" s="346">
        <f t="shared" ref="AO11" si="13">AN11-AM11</f>
        <v>183519.1800000004</v>
      </c>
      <c r="AP11" s="351">
        <f>SUMIF(逐日资产统计!$A:$A,盈亏统计!AH11,逐日资产统计!$G:$G)</f>
        <v>-51576.45</v>
      </c>
      <c r="AQ11" s="352">
        <f t="shared" ref="AQ11" si="14">AO11-AO10</f>
        <v>10415.300000000047</v>
      </c>
    </row>
    <row r="12" spans="1:44" x14ac:dyDescent="0.25">
      <c r="A12" s="53">
        <v>42256</v>
      </c>
      <c r="B12" s="96"/>
      <c r="C12" s="62" t="s">
        <v>69</v>
      </c>
      <c r="D12" s="62">
        <v>500</v>
      </c>
      <c r="E12" s="62">
        <v>7.56</v>
      </c>
      <c r="F12" s="62">
        <v>1100</v>
      </c>
      <c r="G12" s="81">
        <v>38.1788818181818</v>
      </c>
      <c r="H12" s="82">
        <v>41996.77</v>
      </c>
      <c r="I12" s="15">
        <v>-33680.769999999997</v>
      </c>
      <c r="J12" s="33">
        <v>-0.80198477168601301</v>
      </c>
      <c r="K12" s="111">
        <v>8316</v>
      </c>
      <c r="L12" s="62">
        <v>695.22000000000105</v>
      </c>
      <c r="M12" s="112">
        <v>5</v>
      </c>
      <c r="N12" s="15">
        <v>3.78</v>
      </c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0">
        <f t="shared" si="0"/>
        <v>-4452.900742724868</v>
      </c>
      <c r="AD12" s="40">
        <f t="shared" si="1"/>
        <v>-5552.900742724868</v>
      </c>
      <c r="AH12" s="136">
        <v>44053</v>
      </c>
      <c r="AI12" s="342">
        <v>4339097</v>
      </c>
      <c r="AJ12" s="342">
        <v>159277</v>
      </c>
      <c r="AK12" s="46">
        <v>733.93</v>
      </c>
      <c r="AL12" s="345">
        <v>4128031.23</v>
      </c>
      <c r="AM12" s="348">
        <f t="shared" ref="AM12" si="15">SUM(AI12:AK12)-AL12</f>
        <v>371076.69999999972</v>
      </c>
      <c r="AN12" s="345">
        <f>SUMIF(逐日资产统计!$A:$A,盈亏统计!AH12,逐日资产统计!$I:$I)</f>
        <v>564696.59</v>
      </c>
      <c r="AO12" s="346">
        <f t="shared" ref="AO12" si="16">AN12-AM12</f>
        <v>193619.89000000025</v>
      </c>
      <c r="AP12" s="351">
        <f>SUMIF(逐日资产统计!$A:$A,盈亏统计!AH12,逐日资产统计!$G:$G)</f>
        <v>-41777.780000000006</v>
      </c>
      <c r="AQ12" s="352">
        <f t="shared" ref="AQ12" si="17">AO12-AO11</f>
        <v>10100.709999999846</v>
      </c>
    </row>
    <row r="13" spans="1:44" x14ac:dyDescent="0.25">
      <c r="A13" s="51">
        <v>42263</v>
      </c>
      <c r="B13" s="96"/>
      <c r="C13" s="56" t="s">
        <v>69</v>
      </c>
      <c r="D13" s="56">
        <v>500</v>
      </c>
      <c r="E13" s="56">
        <v>7.85</v>
      </c>
      <c r="F13" s="56">
        <v>600</v>
      </c>
      <c r="G13" s="97">
        <v>63.467824999999998</v>
      </c>
      <c r="H13" s="98">
        <v>38080.695</v>
      </c>
      <c r="I13" s="19">
        <v>-33370.695</v>
      </c>
      <c r="J13" s="29">
        <v>-0.87631528258609803</v>
      </c>
      <c r="K13" s="123">
        <v>4710</v>
      </c>
      <c r="L13" s="56">
        <v>310.07499999999698</v>
      </c>
      <c r="M13" s="124">
        <v>5</v>
      </c>
      <c r="N13" s="19">
        <v>3.9249999999999998</v>
      </c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0">
        <f t="shared" si="0"/>
        <v>-4248.9184270700644</v>
      </c>
      <c r="AD13" s="40">
        <f t="shared" si="1"/>
        <v>-4848.9184270700644</v>
      </c>
      <c r="AH13" s="136">
        <v>44057</v>
      </c>
      <c r="AI13" s="342">
        <v>4339097</v>
      </c>
      <c r="AJ13" s="342">
        <v>159277</v>
      </c>
      <c r="AK13" s="46">
        <v>733.93</v>
      </c>
      <c r="AL13" s="345">
        <v>4128031.23</v>
      </c>
      <c r="AM13" s="348">
        <f t="shared" ref="AM13" si="18">SUM(AI13:AK13)-AL13</f>
        <v>371076.69999999972</v>
      </c>
      <c r="AN13" s="345">
        <f>SUMIF(逐日资产统计!$A:$A,盈亏统计!AH13,逐日资产统计!$I:$I)</f>
        <v>568149.49</v>
      </c>
      <c r="AO13" s="346">
        <f t="shared" ref="AO13" si="19">AN13-AM13</f>
        <v>197072.79000000027</v>
      </c>
      <c r="AP13" s="351">
        <f>SUMIF(逐日资产统计!$A:$A,盈亏统计!AH13,逐日资产统计!$G:$G)</f>
        <v>-61008.479999999996</v>
      </c>
      <c r="AQ13" s="352">
        <f t="shared" ref="AQ13" si="20">AO13-AO12</f>
        <v>3452.9000000000233</v>
      </c>
    </row>
    <row r="14" spans="1:44" x14ac:dyDescent="0.25">
      <c r="A14" s="53">
        <v>42277</v>
      </c>
      <c r="B14" s="96"/>
      <c r="C14" s="62" t="s">
        <v>69</v>
      </c>
      <c r="D14" s="62">
        <v>500</v>
      </c>
      <c r="E14" s="62">
        <v>8</v>
      </c>
      <c r="F14" s="62">
        <v>100</v>
      </c>
      <c r="G14" s="81">
        <v>340.89695</v>
      </c>
      <c r="H14" s="82">
        <v>34089.695</v>
      </c>
      <c r="I14" s="15">
        <v>-33289.695</v>
      </c>
      <c r="J14" s="33">
        <v>-0.97653249757734695</v>
      </c>
      <c r="K14" s="111">
        <v>800</v>
      </c>
      <c r="L14" s="62">
        <v>81</v>
      </c>
      <c r="M14" s="112">
        <v>5</v>
      </c>
      <c r="N14" s="15">
        <v>4</v>
      </c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0">
        <f t="shared" si="0"/>
        <v>-4159.1312690625</v>
      </c>
      <c r="AD14" s="40">
        <f t="shared" si="1"/>
        <v>-4259.1312690625</v>
      </c>
      <c r="AH14" s="136">
        <v>44060</v>
      </c>
      <c r="AI14" s="342">
        <v>4339097</v>
      </c>
      <c r="AJ14" s="342">
        <v>159277</v>
      </c>
      <c r="AK14" s="46">
        <v>733.93</v>
      </c>
      <c r="AL14" s="345">
        <v>4128031.23</v>
      </c>
      <c r="AM14" s="348">
        <f t="shared" ref="AM14" si="21">SUM(AI14:AK14)-AL14</f>
        <v>371076.69999999972</v>
      </c>
      <c r="AN14" s="345">
        <f>SUMIF(逐日资产统计!$A:$A,盈亏统计!AH14,逐日资产统计!$I:$I)</f>
        <v>575731.21</v>
      </c>
      <c r="AO14" s="346">
        <f t="shared" ref="AO14" si="22">AN14-AM14</f>
        <v>204654.51000000024</v>
      </c>
      <c r="AP14" s="351">
        <f>SUMIF(逐日资产统计!$A:$A,盈亏统计!AH14,逐日资产统计!$G:$G)</f>
        <v>-53520.759999999995</v>
      </c>
      <c r="AQ14" s="352">
        <f t="shared" ref="AQ14" si="23">AO14-AO13</f>
        <v>7581.7199999999721</v>
      </c>
    </row>
    <row r="15" spans="1:44" x14ac:dyDescent="0.25">
      <c r="A15" s="99">
        <v>42775</v>
      </c>
      <c r="B15" s="87"/>
      <c r="C15" s="88" t="s">
        <v>69</v>
      </c>
      <c r="D15" s="88">
        <v>500</v>
      </c>
      <c r="E15" s="88">
        <v>9.64</v>
      </c>
      <c r="F15" s="88">
        <v>100</v>
      </c>
      <c r="G15" s="89">
        <v>7.7447499999997804</v>
      </c>
      <c r="H15" s="90">
        <v>774.47499999997797</v>
      </c>
      <c r="I15" s="117">
        <v>189.525000000022</v>
      </c>
      <c r="J15" s="118">
        <v>0.244714161206014</v>
      </c>
      <c r="K15" s="119">
        <v>964</v>
      </c>
      <c r="L15" s="88">
        <v>110.18</v>
      </c>
      <c r="M15" s="120">
        <v>5</v>
      </c>
      <c r="N15" s="117">
        <v>4.82</v>
      </c>
      <c r="O15" s="46"/>
      <c r="P15" s="46"/>
      <c r="Q15" s="46"/>
      <c r="R15" s="46"/>
      <c r="S15" s="46">
        <v>1</v>
      </c>
      <c r="T15" s="46"/>
      <c r="U15" s="46"/>
      <c r="V15" s="46"/>
      <c r="W15" s="46"/>
      <c r="X15" s="46"/>
      <c r="Y15" s="46"/>
      <c r="Z15" s="46"/>
      <c r="AA15" s="46"/>
      <c r="AB15" s="46"/>
      <c r="AC15" s="40">
        <f t="shared" si="0"/>
        <v>19.650439574691077</v>
      </c>
      <c r="AD15" s="40">
        <f t="shared" si="1"/>
        <v>-80.349560425308923</v>
      </c>
      <c r="AH15" s="136">
        <v>44061</v>
      </c>
      <c r="AI15" s="342">
        <v>4339097</v>
      </c>
      <c r="AJ15" s="342">
        <v>159277</v>
      </c>
      <c r="AK15" s="46">
        <v>733.93</v>
      </c>
      <c r="AL15" s="345">
        <v>4128031.23</v>
      </c>
      <c r="AM15" s="348">
        <f t="shared" ref="AM15" si="24">SUM(AI15:AK15)-AL15</f>
        <v>371076.69999999972</v>
      </c>
      <c r="AN15" s="345">
        <f>SUMIF(逐日资产统计!$A:$A,盈亏统计!AH15,逐日资产统计!$I:$I)</f>
        <v>578228.25</v>
      </c>
      <c r="AO15" s="346">
        <f t="shared" ref="AO15" si="25">AN15-AM15</f>
        <v>207151.55000000028</v>
      </c>
      <c r="AP15" s="351">
        <f>SUMIF(逐日资产统计!$A:$A,盈亏统计!AH15,逐日资产统计!$G:$G)</f>
        <v>-51000.160000000003</v>
      </c>
      <c r="AQ15" s="352">
        <f t="shared" ref="AQ15" si="26">AO15-AO14</f>
        <v>2497.0400000000373</v>
      </c>
    </row>
    <row r="16" spans="1:44" x14ac:dyDescent="0.25">
      <c r="A16" s="99">
        <v>42821</v>
      </c>
      <c r="B16" s="100" t="s">
        <v>594</v>
      </c>
      <c r="C16" s="101" t="s">
        <v>63</v>
      </c>
      <c r="D16" s="77">
        <v>500</v>
      </c>
      <c r="E16" s="31">
        <v>9.56</v>
      </c>
      <c r="F16" s="102">
        <f t="shared" ref="F16:F48" si="27">IF(C16="买",F15+D16,F15-D16)</f>
        <v>600</v>
      </c>
      <c r="G16" s="32">
        <f t="shared" ref="G16:G48" si="28">H16/F16</f>
        <v>9.2657916666666296</v>
      </c>
      <c r="H16" s="31">
        <f t="shared" ref="H16:H48" si="29">IF(C16="买",H15+D16*E16+M16+N16,H15+-1*D16*E16+M16+N16)+O15</f>
        <v>5559.4749999999776</v>
      </c>
      <c r="I16" s="31">
        <f t="shared" ref="I16:I48" si="30">-H16+K16</f>
        <v>176.52500000002237</v>
      </c>
      <c r="J16" s="108">
        <f t="shared" ref="J16:J48" si="31">(E16-G16)/G16</f>
        <v>3.1752098894234304E-2</v>
      </c>
      <c r="K16" s="31">
        <f t="shared" ref="K16:K48" si="32">F16*E16</f>
        <v>5736</v>
      </c>
      <c r="L16" s="31">
        <f t="shared" ref="L16:L48" si="33">I16-I15</f>
        <v>-12.999999999999631</v>
      </c>
      <c r="M16" s="31">
        <f t="shared" ref="M16:M33" si="34">IF(D16*E16*5/10000&gt;5,D16*E16*5/10000,5)</f>
        <v>5</v>
      </c>
      <c r="N16" s="31">
        <f t="shared" ref="N16:N48" si="35">IF(C16="卖",D16*E16/1000,0)</f>
        <v>0</v>
      </c>
      <c r="O16" s="125"/>
      <c r="P16" s="32">
        <f t="shared" ref="P16:P48" si="36">E16-G16</f>
        <v>0.29420833333337093</v>
      </c>
      <c r="Q16" s="31">
        <f t="shared" ref="Q16:Q48" si="37">(H16-H15)*-1</f>
        <v>-4785</v>
      </c>
      <c r="R16" s="34"/>
      <c r="S16" s="34">
        <f t="shared" ref="S16:S48" si="38">S15+Q16+O16+R16</f>
        <v>-4784</v>
      </c>
      <c r="T16" s="34">
        <f t="shared" ref="T16:T48" si="39">S16/E16</f>
        <v>-500.41841004184096</v>
      </c>
      <c r="U16" s="34">
        <f t="shared" ref="U16:U48" si="40">F16+T16</f>
        <v>99.581589958159043</v>
      </c>
      <c r="V16" s="31">
        <f t="shared" ref="V16:V48" si="41">H16+S16</f>
        <v>775.47499999997763</v>
      </c>
      <c r="W16" s="32">
        <f t="shared" ref="W16:W48" si="42">V16/U16</f>
        <v>7.7873329831930489</v>
      </c>
      <c r="X16" s="32">
        <f t="shared" ref="X16:X48" si="43">W16-G16</f>
        <v>-1.4784586834735807</v>
      </c>
      <c r="Y16" s="32">
        <f t="shared" ref="Y16:Y48" si="44">(X16-P16)*-1</f>
        <v>1.7726670168069516</v>
      </c>
      <c r="Z16" s="38">
        <f t="shared" ref="Z16:Z50" si="45">F16/U16</f>
        <v>6.0252100840336107</v>
      </c>
      <c r="AA16" s="31">
        <f>SUM(L$2:L16)-SUM(AB$2:AB16)</f>
        <v>-45.184999999985081</v>
      </c>
      <c r="AB16" s="127"/>
      <c r="AC16" s="40">
        <f t="shared" si="0"/>
        <v>18.455725679918658</v>
      </c>
      <c r="AD16" s="40">
        <f t="shared" si="1"/>
        <v>-581.54427432008129</v>
      </c>
      <c r="AH16" s="136">
        <v>44071</v>
      </c>
      <c r="AI16" s="342">
        <v>4339097</v>
      </c>
      <c r="AJ16" s="342">
        <v>159277</v>
      </c>
      <c r="AK16" s="46">
        <v>733.93</v>
      </c>
      <c r="AL16" s="345">
        <v>4128031.23</v>
      </c>
      <c r="AM16" s="348">
        <f t="shared" ref="AM16" si="46">SUM(AI16:AK16)-AL16</f>
        <v>371076.69999999972</v>
      </c>
      <c r="AN16" s="345">
        <f>SUMIF(逐日资产统计!$A:$A,盈亏统计!AH16,逐日资产统计!$I:$I)</f>
        <v>566580.47999999998</v>
      </c>
      <c r="AO16" s="346">
        <f t="shared" ref="AO16" si="47">AN16-AM16</f>
        <v>195503.78000000026</v>
      </c>
      <c r="AP16" s="351">
        <f>SUMIF(逐日资产统计!$A:$A,盈亏统计!AH16,逐日资产统计!$G:$G)</f>
        <v>-61635.929999999993</v>
      </c>
      <c r="AQ16" s="352">
        <f t="shared" ref="AQ16" si="48">AO16-AO15</f>
        <v>-11647.770000000019</v>
      </c>
    </row>
    <row r="17" spans="1:44" x14ac:dyDescent="0.25">
      <c r="A17" s="99">
        <v>42824</v>
      </c>
      <c r="B17" s="100" t="s">
        <v>185</v>
      </c>
      <c r="C17" s="101" t="s">
        <v>63</v>
      </c>
      <c r="D17" s="77">
        <v>500</v>
      </c>
      <c r="E17" s="31">
        <v>9.32</v>
      </c>
      <c r="F17" s="102">
        <f t="shared" si="27"/>
        <v>1100</v>
      </c>
      <c r="G17" s="32">
        <f t="shared" si="28"/>
        <v>9.2949772727272517</v>
      </c>
      <c r="H17" s="31">
        <f t="shared" si="29"/>
        <v>10224.474999999977</v>
      </c>
      <c r="I17" s="31">
        <f t="shared" si="30"/>
        <v>27.525000000023283</v>
      </c>
      <c r="J17" s="108">
        <f t="shared" si="31"/>
        <v>2.6920697639755083E-3</v>
      </c>
      <c r="K17" s="31">
        <f t="shared" si="32"/>
        <v>10252</v>
      </c>
      <c r="L17" s="31">
        <f t="shared" si="33"/>
        <v>-148.99999999999909</v>
      </c>
      <c r="M17" s="31">
        <f t="shared" si="34"/>
        <v>5</v>
      </c>
      <c r="N17" s="31">
        <f t="shared" si="35"/>
        <v>0</v>
      </c>
      <c r="O17" s="125"/>
      <c r="P17" s="32">
        <f t="shared" si="36"/>
        <v>2.5022727272748568E-2</v>
      </c>
      <c r="Q17" s="31">
        <f t="shared" si="37"/>
        <v>-4664.9999999999991</v>
      </c>
      <c r="R17" s="34"/>
      <c r="S17" s="34">
        <f t="shared" si="38"/>
        <v>-9449</v>
      </c>
      <c r="T17" s="34">
        <f t="shared" si="39"/>
        <v>-1013.8412017167382</v>
      </c>
      <c r="U17" s="34">
        <f t="shared" si="40"/>
        <v>86.158798283261831</v>
      </c>
      <c r="V17" s="31">
        <f t="shared" si="41"/>
        <v>775.47499999997672</v>
      </c>
      <c r="W17" s="32">
        <f t="shared" si="42"/>
        <v>9.0005317559150448</v>
      </c>
      <c r="X17" s="32">
        <f t="shared" si="43"/>
        <v>-0.29444551681220688</v>
      </c>
      <c r="Y17" s="32">
        <f t="shared" si="44"/>
        <v>0.31946824408495544</v>
      </c>
      <c r="Z17" s="38">
        <f t="shared" si="45"/>
        <v>12.767123287671229</v>
      </c>
      <c r="AA17" s="31">
        <f>SUM(L$2:L17)-SUM(AB$2:AB17)</f>
        <v>-194.18499999998417</v>
      </c>
      <c r="AB17" s="64"/>
      <c r="AC17" s="40">
        <f t="shared" si="0"/>
        <v>2.9518495171698791</v>
      </c>
      <c r="AD17" s="40">
        <f t="shared" si="1"/>
        <v>-1097.0481504828301</v>
      </c>
      <c r="AH17" s="136">
        <v>44084</v>
      </c>
      <c r="AI17" s="342">
        <v>4339097</v>
      </c>
      <c r="AJ17" s="342">
        <v>159277</v>
      </c>
      <c r="AK17" s="46">
        <v>733.93</v>
      </c>
      <c r="AL17" s="345">
        <v>4218808.2300000004</v>
      </c>
      <c r="AM17" s="348">
        <f t="shared" ref="AM17" si="49">SUM(AI17:AK17)-AL17</f>
        <v>280299.69999999925</v>
      </c>
      <c r="AN17" s="345">
        <f>SUMIF(逐日资产统计!$A:$A,盈亏统计!AH17,逐日资产统计!$I:$I)</f>
        <v>454244.81</v>
      </c>
      <c r="AO17" s="346">
        <f t="shared" ref="AO17" si="50">AN17-AM17</f>
        <v>173945.11000000074</v>
      </c>
      <c r="AP17" s="351">
        <f>SUMIF(逐日资产统计!$A:$A,盈亏统计!AH17,逐日资产统计!$G:$G)</f>
        <v>-84181.2</v>
      </c>
      <c r="AQ17" s="352">
        <f t="shared" ref="AQ17" si="51">AO17-AO16</f>
        <v>-21558.669999999518</v>
      </c>
      <c r="AR17" s="343" t="s">
        <v>902</v>
      </c>
    </row>
    <row r="18" spans="1:44" x14ac:dyDescent="0.25">
      <c r="A18" s="99">
        <v>42824</v>
      </c>
      <c r="B18" s="103" t="s">
        <v>200</v>
      </c>
      <c r="C18" s="101" t="s">
        <v>63</v>
      </c>
      <c r="D18" s="104">
        <v>500</v>
      </c>
      <c r="E18" s="31">
        <v>9.14</v>
      </c>
      <c r="F18" s="102">
        <f t="shared" si="27"/>
        <v>1600</v>
      </c>
      <c r="G18" s="32">
        <f t="shared" si="28"/>
        <v>9.2496718749999847</v>
      </c>
      <c r="H18" s="31">
        <f t="shared" si="29"/>
        <v>14799.474999999977</v>
      </c>
      <c r="I18" s="31">
        <f t="shared" si="30"/>
        <v>-175.47499999997672</v>
      </c>
      <c r="J18" s="108">
        <f t="shared" si="31"/>
        <v>-1.1856839516264924E-2</v>
      </c>
      <c r="K18" s="31">
        <f t="shared" si="32"/>
        <v>14624</v>
      </c>
      <c r="L18" s="31">
        <f t="shared" si="33"/>
        <v>-203</v>
      </c>
      <c r="M18" s="31">
        <f t="shared" si="34"/>
        <v>5</v>
      </c>
      <c r="N18" s="31">
        <f t="shared" si="35"/>
        <v>0</v>
      </c>
      <c r="O18" s="125"/>
      <c r="P18" s="32">
        <f t="shared" si="36"/>
        <v>-0.1096718749999841</v>
      </c>
      <c r="Q18" s="31">
        <f t="shared" si="37"/>
        <v>-4575</v>
      </c>
      <c r="R18" s="34"/>
      <c r="S18" s="34">
        <f t="shared" si="38"/>
        <v>-14024</v>
      </c>
      <c r="T18" s="34">
        <f t="shared" si="39"/>
        <v>-1534.3544857768052</v>
      </c>
      <c r="U18" s="34">
        <f t="shared" si="40"/>
        <v>65.645514223194823</v>
      </c>
      <c r="V18" s="31">
        <f t="shared" si="41"/>
        <v>775.47499999997672</v>
      </c>
      <c r="W18" s="32">
        <f t="shared" si="42"/>
        <v>11.813069166666299</v>
      </c>
      <c r="X18" s="32">
        <f t="shared" si="43"/>
        <v>2.5633972916663144</v>
      </c>
      <c r="Y18" s="32">
        <f t="shared" si="44"/>
        <v>-2.6730691666662985</v>
      </c>
      <c r="Z18" s="38">
        <f t="shared" si="45"/>
        <v>24.373333333333306</v>
      </c>
      <c r="AA18" s="31">
        <f>SUM(L$2:L18)-SUM(AB$2:AB18)</f>
        <v>-397.18499999998414</v>
      </c>
      <c r="AB18" s="64"/>
      <c r="AC18" s="40">
        <f t="shared" si="0"/>
        <v>-19.188978391682355</v>
      </c>
      <c r="AD18" s="40">
        <f t="shared" si="1"/>
        <v>-1619.1889783916824</v>
      </c>
      <c r="AH18" s="136">
        <v>44095</v>
      </c>
      <c r="AI18" s="342">
        <v>4339097</v>
      </c>
      <c r="AJ18" s="342">
        <v>159277</v>
      </c>
      <c r="AK18" s="46">
        <v>751.92</v>
      </c>
      <c r="AL18" s="345">
        <v>4218808.2300000004</v>
      </c>
      <c r="AM18" s="348">
        <f t="shared" ref="AM18" si="52">SUM(AI18:AK18)-AL18</f>
        <v>280317.68999999948</v>
      </c>
      <c r="AN18" s="345">
        <f>SUMIF(逐日资产统计!$A:$A,盈亏统计!AH18,逐日资产统计!$I:$I)</f>
        <v>472069.37</v>
      </c>
      <c r="AO18" s="346">
        <f t="shared" ref="AO18" si="53">AN18-AM18</f>
        <v>191751.68000000052</v>
      </c>
      <c r="AP18" s="351">
        <f>SUMIF(逐日资产统计!$A:$A,盈亏统计!AH18,逐日资产统计!$G:$G)</f>
        <v>-66443.03</v>
      </c>
      <c r="AQ18" s="352">
        <f t="shared" ref="AQ18" si="54">AO18-AO17</f>
        <v>17806.569999999774</v>
      </c>
    </row>
    <row r="19" spans="1:44" x14ac:dyDescent="0.25">
      <c r="A19" s="99">
        <v>42830</v>
      </c>
      <c r="B19" s="100"/>
      <c r="C19" s="101" t="s">
        <v>69</v>
      </c>
      <c r="D19" s="104">
        <v>500</v>
      </c>
      <c r="E19" s="31">
        <v>9.2899999999999991</v>
      </c>
      <c r="F19" s="102">
        <f t="shared" si="27"/>
        <v>1100</v>
      </c>
      <c r="G19" s="32">
        <f t="shared" si="28"/>
        <v>9.2401090909090708</v>
      </c>
      <c r="H19" s="31">
        <f t="shared" si="29"/>
        <v>10164.119999999977</v>
      </c>
      <c r="I19" s="31">
        <f t="shared" si="30"/>
        <v>54.880000000021028</v>
      </c>
      <c r="J19" s="108">
        <f t="shared" si="31"/>
        <v>5.3993852886448854E-3</v>
      </c>
      <c r="K19" s="31">
        <f t="shared" si="32"/>
        <v>10218.999999999998</v>
      </c>
      <c r="L19" s="31">
        <f t="shared" si="33"/>
        <v>230.35499999999774</v>
      </c>
      <c r="M19" s="31">
        <f t="shared" si="34"/>
        <v>5</v>
      </c>
      <c r="N19" s="31">
        <f t="shared" si="35"/>
        <v>4.6449999999999996</v>
      </c>
      <c r="O19" s="125"/>
      <c r="P19" s="32">
        <f t="shared" si="36"/>
        <v>4.9890909090928304E-2</v>
      </c>
      <c r="Q19" s="31">
        <f t="shared" si="37"/>
        <v>4635.3549999999996</v>
      </c>
      <c r="R19" s="34"/>
      <c r="S19" s="34">
        <f t="shared" si="38"/>
        <v>-9388.6450000000004</v>
      </c>
      <c r="T19" s="34">
        <f t="shared" si="39"/>
        <v>-1010.6184068891282</v>
      </c>
      <c r="U19" s="34">
        <f t="shared" si="40"/>
        <v>89.38159311087179</v>
      </c>
      <c r="V19" s="31">
        <f t="shared" si="41"/>
        <v>775.47499999997672</v>
      </c>
      <c r="W19" s="32">
        <f t="shared" si="42"/>
        <v>8.6760033359223385</v>
      </c>
      <c r="X19" s="32">
        <f t="shared" si="43"/>
        <v>-0.56410575498673232</v>
      </c>
      <c r="Y19" s="32">
        <f t="shared" si="44"/>
        <v>0.61399666407766063</v>
      </c>
      <c r="Z19" s="38">
        <f t="shared" si="45"/>
        <v>12.306784447615795</v>
      </c>
      <c r="AA19" s="31">
        <f>SUM(L$2:L19)-SUM(AB$2:AB19)</f>
        <v>-166.8299999999864</v>
      </c>
      <c r="AB19" s="64"/>
      <c r="AC19" s="40">
        <f t="shared" si="0"/>
        <v>5.904473627558775</v>
      </c>
      <c r="AD19" s="40">
        <f t="shared" si="1"/>
        <v>-1094.0955263724413</v>
      </c>
      <c r="AH19" s="136">
        <v>44116</v>
      </c>
      <c r="AI19" s="342">
        <v>4339097</v>
      </c>
      <c r="AJ19" s="342">
        <v>159277</v>
      </c>
      <c r="AK19" s="46">
        <v>751.92</v>
      </c>
      <c r="AL19" s="345">
        <v>4218808.2300000004</v>
      </c>
      <c r="AM19" s="348">
        <f t="shared" ref="AM19" si="55">SUM(AI19:AK19)-AL19</f>
        <v>280317.68999999948</v>
      </c>
      <c r="AN19" s="345">
        <f>SUMIF(逐日资产统计!$A:$A,盈亏统计!AH19,逐日资产统计!$I:$I)</f>
        <v>463983.11000000004</v>
      </c>
      <c r="AO19" s="346">
        <f t="shared" ref="AO19" si="56">AN19-AM19</f>
        <v>183665.42000000057</v>
      </c>
      <c r="AP19" s="351">
        <f>SUMIF(逐日资产统计!$A:$A,盈亏统计!AH19,逐日资产统计!$G:$G)</f>
        <v>-74525.289999999994</v>
      </c>
      <c r="AQ19" s="352">
        <f t="shared" ref="AQ19" si="57">AO19-AO18</f>
        <v>-8086.2599999999511</v>
      </c>
    </row>
    <row r="20" spans="1:44" x14ac:dyDescent="0.25">
      <c r="A20" s="99">
        <v>42830</v>
      </c>
      <c r="B20" s="100"/>
      <c r="C20" s="101" t="s">
        <v>69</v>
      </c>
      <c r="D20" s="104">
        <v>500</v>
      </c>
      <c r="E20" s="31">
        <v>9.41</v>
      </c>
      <c r="F20" s="102">
        <f t="shared" si="27"/>
        <v>600</v>
      </c>
      <c r="G20" s="32">
        <f t="shared" si="28"/>
        <v>9.1147083333332954</v>
      </c>
      <c r="H20" s="31">
        <f t="shared" si="29"/>
        <v>5468.8249999999771</v>
      </c>
      <c r="I20" s="31">
        <f t="shared" si="30"/>
        <v>177.17500000002292</v>
      </c>
      <c r="J20" s="108">
        <f t="shared" si="31"/>
        <v>3.2397269980301721E-2</v>
      </c>
      <c r="K20" s="31">
        <f t="shared" si="32"/>
        <v>5646</v>
      </c>
      <c r="L20" s="31">
        <f t="shared" si="33"/>
        <v>122.29500000000189</v>
      </c>
      <c r="M20" s="31">
        <f t="shared" si="34"/>
        <v>5</v>
      </c>
      <c r="N20" s="31">
        <f t="shared" si="35"/>
        <v>4.7050000000000001</v>
      </c>
      <c r="O20" s="125"/>
      <c r="P20" s="32">
        <f t="shared" si="36"/>
        <v>0.2952916666667047</v>
      </c>
      <c r="Q20" s="31">
        <f t="shared" si="37"/>
        <v>4695.2950000000001</v>
      </c>
      <c r="R20" s="34"/>
      <c r="S20" s="34">
        <f t="shared" si="38"/>
        <v>-4693.3500000000004</v>
      </c>
      <c r="T20" s="34">
        <f t="shared" si="39"/>
        <v>-498.7619553666313</v>
      </c>
      <c r="U20" s="34">
        <f t="shared" si="40"/>
        <v>101.2380446333687</v>
      </c>
      <c r="V20" s="31">
        <f t="shared" si="41"/>
        <v>775.47499999997672</v>
      </c>
      <c r="W20" s="32">
        <f t="shared" si="42"/>
        <v>7.6599168110006666</v>
      </c>
      <c r="X20" s="32">
        <f t="shared" si="43"/>
        <v>-1.4547915223326289</v>
      </c>
      <c r="Y20" s="32">
        <f t="shared" si="44"/>
        <v>1.7500831889993336</v>
      </c>
      <c r="Z20" s="38">
        <f t="shared" si="45"/>
        <v>5.9266257282317776</v>
      </c>
      <c r="AA20" s="31">
        <f>SUM(L$2:L20)-SUM(AB$2:AB20)</f>
        <v>-44.534999999984507</v>
      </c>
      <c r="AB20" s="64"/>
      <c r="AC20" s="69">
        <f t="shared" si="0"/>
        <v>18.818959883105517</v>
      </c>
      <c r="AD20" s="69">
        <f t="shared" si="1"/>
        <v>-581.18104011689445</v>
      </c>
      <c r="AH20" s="136">
        <v>44118</v>
      </c>
      <c r="AI20" s="342">
        <v>4339097</v>
      </c>
      <c r="AJ20" s="342">
        <v>159277</v>
      </c>
      <c r="AK20" s="46">
        <v>751.92</v>
      </c>
      <c r="AL20" s="345">
        <v>4218808.2300000004</v>
      </c>
      <c r="AM20" s="348">
        <f t="shared" ref="AM20:AM28" si="58">SUM(AI20:AK20)-AL20</f>
        <v>280317.68999999948</v>
      </c>
      <c r="AN20" s="345">
        <f>SUMIF(逐日资产统计!$A:$A,盈亏统计!AH20,逐日资产统计!$I:$I)</f>
        <v>459237.72000000003</v>
      </c>
      <c r="AO20" s="346">
        <f t="shared" ref="AO20:AO28" si="59">AN20-AM20</f>
        <v>178920.03000000055</v>
      </c>
      <c r="AP20" s="351">
        <f>SUMIF(逐日资产统计!$A:$A,盈亏统计!AH20,逐日资产统计!$G:$G)</f>
        <v>-79266.679999999993</v>
      </c>
      <c r="AQ20" s="352">
        <f t="shared" ref="AQ20:AQ28" si="60">AO20-AO19</f>
        <v>-4745.390000000014</v>
      </c>
    </row>
    <row r="21" spans="1:44" x14ac:dyDescent="0.25">
      <c r="A21" s="99">
        <v>42831</v>
      </c>
      <c r="B21" s="100"/>
      <c r="C21" s="101" t="s">
        <v>69</v>
      </c>
      <c r="D21" s="104">
        <v>500</v>
      </c>
      <c r="E21" s="31">
        <v>9.57</v>
      </c>
      <c r="F21" s="102">
        <f t="shared" si="27"/>
        <v>100</v>
      </c>
      <c r="G21" s="32">
        <f t="shared" si="28"/>
        <v>6.9360999999997706</v>
      </c>
      <c r="H21" s="31">
        <f t="shared" si="29"/>
        <v>693.60999999997705</v>
      </c>
      <c r="I21" s="31">
        <f t="shared" si="30"/>
        <v>263.39000000002295</v>
      </c>
      <c r="J21" s="108">
        <f t="shared" si="31"/>
        <v>0.37973789305233729</v>
      </c>
      <c r="K21" s="31">
        <f t="shared" si="32"/>
        <v>957</v>
      </c>
      <c r="L21" s="31">
        <f t="shared" si="33"/>
        <v>86.215000000000032</v>
      </c>
      <c r="M21" s="31">
        <f t="shared" si="34"/>
        <v>5</v>
      </c>
      <c r="N21" s="31">
        <f t="shared" si="35"/>
        <v>4.7850000000000001</v>
      </c>
      <c r="O21" s="125"/>
      <c r="P21" s="32">
        <f t="shared" si="36"/>
        <v>2.6339000000002297</v>
      </c>
      <c r="Q21" s="31">
        <f t="shared" si="37"/>
        <v>4775.2150000000001</v>
      </c>
      <c r="R21" s="34"/>
      <c r="S21" s="34">
        <f t="shared" si="38"/>
        <v>81.864999999999782</v>
      </c>
      <c r="T21" s="34">
        <f t="shared" si="39"/>
        <v>8.5543364681295486</v>
      </c>
      <c r="U21" s="34">
        <f t="shared" si="40"/>
        <v>108.55433646812955</v>
      </c>
      <c r="V21" s="31">
        <f t="shared" si="41"/>
        <v>775.47499999997683</v>
      </c>
      <c r="W21" s="32">
        <f t="shared" si="42"/>
        <v>7.1436575012150563</v>
      </c>
      <c r="X21" s="32">
        <f t="shared" si="43"/>
        <v>0.20755750121528571</v>
      </c>
      <c r="Y21" s="32">
        <f t="shared" si="44"/>
        <v>2.426342498784944</v>
      </c>
      <c r="Z21" s="38">
        <f t="shared" si="45"/>
        <v>0.92119765320806857</v>
      </c>
      <c r="AA21" s="31">
        <f>SUM(L$2:L21)-SUM(AB$2:AB21)</f>
        <v>41.680000000015525</v>
      </c>
      <c r="AB21" s="64"/>
      <c r="AC21" s="69">
        <f t="shared" si="0"/>
        <v>27.508704806689963</v>
      </c>
      <c r="AD21" s="69">
        <f t="shared" si="1"/>
        <v>-72.491295193310037</v>
      </c>
      <c r="AH21" s="136">
        <v>44120</v>
      </c>
      <c r="AI21" s="342">
        <v>4339097</v>
      </c>
      <c r="AJ21" s="342">
        <v>159277</v>
      </c>
      <c r="AK21" s="46">
        <v>751.92</v>
      </c>
      <c r="AL21" s="345">
        <v>4218808.2300000004</v>
      </c>
      <c r="AM21" s="348">
        <f t="shared" si="58"/>
        <v>280317.68999999948</v>
      </c>
      <c r="AN21" s="345">
        <f>SUMIF(逐日资产统计!$A:$A,盈亏统计!AH21,逐日资产统计!$I:$I)</f>
        <v>466064.92999999993</v>
      </c>
      <c r="AO21" s="346">
        <f t="shared" si="59"/>
        <v>185747.24000000046</v>
      </c>
      <c r="AP21" s="351">
        <f>SUMIF(逐日资产统计!$A:$A,盈亏统计!AH21,逐日资产统计!$G:$G)</f>
        <v>-72429.91</v>
      </c>
      <c r="AQ21" s="352">
        <f t="shared" si="60"/>
        <v>6827.2099999999045</v>
      </c>
    </row>
    <row r="22" spans="1:44" x14ac:dyDescent="0.25">
      <c r="A22" s="99">
        <v>42835</v>
      </c>
      <c r="B22" s="100" t="s">
        <v>174</v>
      </c>
      <c r="C22" s="101" t="s">
        <v>63</v>
      </c>
      <c r="D22" s="104">
        <v>500</v>
      </c>
      <c r="E22" s="31">
        <v>9.27</v>
      </c>
      <c r="F22" s="102">
        <f t="shared" si="27"/>
        <v>600</v>
      </c>
      <c r="G22" s="32">
        <f t="shared" si="28"/>
        <v>8.8893499999999612</v>
      </c>
      <c r="H22" s="31">
        <f t="shared" si="29"/>
        <v>5333.6099999999769</v>
      </c>
      <c r="I22" s="31">
        <f t="shared" si="30"/>
        <v>228.39000000002306</v>
      </c>
      <c r="J22" s="108">
        <f t="shared" si="31"/>
        <v>4.2820903665626846E-2</v>
      </c>
      <c r="K22" s="31">
        <f t="shared" si="32"/>
        <v>5562</v>
      </c>
      <c r="L22" s="31">
        <f t="shared" si="33"/>
        <v>-34.999999999999886</v>
      </c>
      <c r="M22" s="31">
        <f t="shared" si="34"/>
        <v>5</v>
      </c>
      <c r="N22" s="31">
        <f t="shared" si="35"/>
        <v>0</v>
      </c>
      <c r="O22" s="125"/>
      <c r="P22" s="32">
        <f t="shared" si="36"/>
        <v>0.38065000000003835</v>
      </c>
      <c r="Q22" s="31">
        <f t="shared" si="37"/>
        <v>-4640</v>
      </c>
      <c r="R22" s="34"/>
      <c r="S22" s="34">
        <f t="shared" si="38"/>
        <v>-4558.1350000000002</v>
      </c>
      <c r="T22" s="34">
        <f t="shared" si="39"/>
        <v>-491.70819848975191</v>
      </c>
      <c r="U22" s="34">
        <f t="shared" si="40"/>
        <v>108.29180151024809</v>
      </c>
      <c r="V22" s="31">
        <f t="shared" si="41"/>
        <v>775.47499999997672</v>
      </c>
      <c r="W22" s="32">
        <f t="shared" si="42"/>
        <v>7.1609760774604014</v>
      </c>
      <c r="X22" s="32">
        <f t="shared" si="43"/>
        <v>-1.7283739225395598</v>
      </c>
      <c r="Y22" s="32">
        <f t="shared" si="44"/>
        <v>2.1090239225395981</v>
      </c>
      <c r="Z22" s="38">
        <f t="shared" si="45"/>
        <v>5.5405856365148711</v>
      </c>
      <c r="AA22" s="31">
        <f>SUM(L$2:L22)-SUM(AB$2:AB22)</f>
        <v>6.6800000000156388</v>
      </c>
      <c r="AB22" s="64"/>
      <c r="AC22" s="69">
        <f t="shared" si="0"/>
        <v>24.625221682850388</v>
      </c>
      <c r="AD22" s="69">
        <f t="shared" si="1"/>
        <v>-575.37477831714966</v>
      </c>
      <c r="AH22" s="136">
        <v>44123</v>
      </c>
      <c r="AI22" s="342">
        <v>4339097</v>
      </c>
      <c r="AJ22" s="342">
        <v>159277</v>
      </c>
      <c r="AK22" s="46">
        <v>751.92</v>
      </c>
      <c r="AL22" s="345">
        <v>4218808.2300000004</v>
      </c>
      <c r="AM22" s="348">
        <f t="shared" si="58"/>
        <v>280317.68999999948</v>
      </c>
      <c r="AN22" s="345">
        <f>SUMIF(逐日资产统计!$A:$A,盈亏统计!AH22,逐日资产统计!$I:$I)</f>
        <v>465242.9</v>
      </c>
      <c r="AO22" s="346">
        <f t="shared" si="59"/>
        <v>184925.21000000054</v>
      </c>
      <c r="AP22" s="351">
        <f>SUMIF(逐日资产统计!$A:$A,盈亏统计!AH22,逐日资产统计!$G:$G)</f>
        <v>-73242.37999999999</v>
      </c>
      <c r="AQ22" s="352">
        <f t="shared" si="60"/>
        <v>-822.02999999991152</v>
      </c>
    </row>
    <row r="23" spans="1:44" x14ac:dyDescent="0.25">
      <c r="A23" s="99">
        <v>42836</v>
      </c>
      <c r="B23" s="100" t="s">
        <v>598</v>
      </c>
      <c r="C23" s="101" t="s">
        <v>63</v>
      </c>
      <c r="D23" s="104">
        <v>500</v>
      </c>
      <c r="E23" s="31">
        <v>9.1999999999999993</v>
      </c>
      <c r="F23" s="102">
        <f t="shared" si="27"/>
        <v>1100</v>
      </c>
      <c r="G23" s="32">
        <f t="shared" si="28"/>
        <v>9.0350999999999786</v>
      </c>
      <c r="H23" s="31">
        <f t="shared" si="29"/>
        <v>9938.6099999999769</v>
      </c>
      <c r="I23" s="31">
        <f t="shared" si="30"/>
        <v>181.39000000002306</v>
      </c>
      <c r="J23" s="108">
        <f t="shared" si="31"/>
        <v>1.825104315392426E-2</v>
      </c>
      <c r="K23" s="31">
        <f t="shared" si="32"/>
        <v>10120</v>
      </c>
      <c r="L23" s="31">
        <f t="shared" si="33"/>
        <v>-47</v>
      </c>
      <c r="M23" s="31">
        <f t="shared" si="34"/>
        <v>5</v>
      </c>
      <c r="N23" s="31">
        <f t="shared" si="35"/>
        <v>0</v>
      </c>
      <c r="O23" s="125"/>
      <c r="P23" s="32">
        <f t="shared" si="36"/>
        <v>0.1649000000000207</v>
      </c>
      <c r="Q23" s="31">
        <f t="shared" si="37"/>
        <v>-4605</v>
      </c>
      <c r="R23" s="34"/>
      <c r="S23" s="34">
        <f t="shared" si="38"/>
        <v>-9163.1350000000002</v>
      </c>
      <c r="T23" s="34">
        <f t="shared" si="39"/>
        <v>-995.99293478260881</v>
      </c>
      <c r="U23" s="34">
        <f t="shared" si="40"/>
        <v>104.00706521739119</v>
      </c>
      <c r="V23" s="31">
        <f t="shared" si="41"/>
        <v>775.47499999997672</v>
      </c>
      <c r="W23" s="32">
        <f t="shared" si="42"/>
        <v>7.4559838639722367</v>
      </c>
      <c r="X23" s="32">
        <f t="shared" si="43"/>
        <v>-1.5791161360277419</v>
      </c>
      <c r="Y23" s="32">
        <f t="shared" si="44"/>
        <v>1.7440161360277626</v>
      </c>
      <c r="Z23" s="38">
        <f t="shared" si="45"/>
        <v>10.576204584763797</v>
      </c>
      <c r="AA23" s="31">
        <f>SUM(L$2:L23)-SUM(AB$2:AB23)</f>
        <v>-40.319999999984361</v>
      </c>
      <c r="AB23" s="46"/>
      <c r="AC23" s="69">
        <f t="shared" si="0"/>
        <v>19.706446195654685</v>
      </c>
      <c r="AD23" s="69">
        <f t="shared" si="1"/>
        <v>-1080.2935538043453</v>
      </c>
      <c r="AH23" s="136">
        <v>44130</v>
      </c>
      <c r="AI23" s="342">
        <v>4339097</v>
      </c>
      <c r="AJ23" s="342">
        <v>159277</v>
      </c>
      <c r="AK23" s="46">
        <v>751.92</v>
      </c>
      <c r="AL23" s="345">
        <v>4218808.2300000004</v>
      </c>
      <c r="AM23" s="348">
        <f t="shared" si="58"/>
        <v>280317.68999999948</v>
      </c>
      <c r="AN23" s="345">
        <f>SUMIF(逐日资产统计!$A:$A,盈亏统计!AH23,逐日资产统计!$I:$I)</f>
        <v>460252.01</v>
      </c>
      <c r="AO23" s="346">
        <f t="shared" si="59"/>
        <v>179934.32000000053</v>
      </c>
      <c r="AP23" s="351">
        <f>SUMIF(逐日资产统计!$A:$A,盈亏统计!AH23,逐日资产统计!$G:$G)</f>
        <v>-78233.27</v>
      </c>
      <c r="AQ23" s="352">
        <f t="shared" si="60"/>
        <v>-4990.890000000014</v>
      </c>
    </row>
    <row r="24" spans="1:44" x14ac:dyDescent="0.25">
      <c r="A24" s="99">
        <v>42844</v>
      </c>
      <c r="B24" s="100" t="s">
        <v>188</v>
      </c>
      <c r="C24" s="101" t="s">
        <v>63</v>
      </c>
      <c r="D24" s="104">
        <v>500</v>
      </c>
      <c r="E24" s="31">
        <v>8.7100000000000009</v>
      </c>
      <c r="F24" s="102">
        <f t="shared" si="27"/>
        <v>1600</v>
      </c>
      <c r="G24" s="32">
        <f t="shared" si="28"/>
        <v>8.9366312499999854</v>
      </c>
      <c r="H24" s="31">
        <f t="shared" si="29"/>
        <v>14298.609999999977</v>
      </c>
      <c r="I24" s="31">
        <f t="shared" si="30"/>
        <v>-362.60999999997512</v>
      </c>
      <c r="J24" s="108">
        <f t="shared" si="31"/>
        <v>-2.5359807701586086E-2</v>
      </c>
      <c r="K24" s="31">
        <f t="shared" si="32"/>
        <v>13936.000000000002</v>
      </c>
      <c r="L24" s="31">
        <f t="shared" si="33"/>
        <v>-543.99999999999818</v>
      </c>
      <c r="M24" s="31">
        <f t="shared" si="34"/>
        <v>5</v>
      </c>
      <c r="N24" s="31">
        <f t="shared" si="35"/>
        <v>0</v>
      </c>
      <c r="O24" s="125"/>
      <c r="P24" s="32">
        <f t="shared" si="36"/>
        <v>-0.22663124999998452</v>
      </c>
      <c r="Q24" s="31">
        <f t="shared" si="37"/>
        <v>-4360</v>
      </c>
      <c r="R24" s="34"/>
      <c r="S24" s="34">
        <f t="shared" si="38"/>
        <v>-13523.135</v>
      </c>
      <c r="T24" s="34">
        <f t="shared" si="39"/>
        <v>-1552.5987370838116</v>
      </c>
      <c r="U24" s="34">
        <f t="shared" si="40"/>
        <v>47.401262916188443</v>
      </c>
      <c r="V24" s="31">
        <f t="shared" si="41"/>
        <v>775.47499999997672</v>
      </c>
      <c r="W24" s="32">
        <f t="shared" si="42"/>
        <v>16.359796180348965</v>
      </c>
      <c r="X24" s="32">
        <f t="shared" si="43"/>
        <v>7.42316493034898</v>
      </c>
      <c r="Y24" s="32">
        <f t="shared" si="44"/>
        <v>-7.6497961803489645</v>
      </c>
      <c r="Z24" s="38">
        <f t="shared" si="45"/>
        <v>33.754374916740232</v>
      </c>
      <c r="AA24" s="31">
        <f>SUM(L$2:L24)-SUM(AB$2:AB24)</f>
        <v>-584.31999999998254</v>
      </c>
      <c r="AB24" s="46"/>
      <c r="AC24" s="69">
        <f t="shared" si="0"/>
        <v>-41.610642365094733</v>
      </c>
      <c r="AD24" s="69">
        <f t="shared" si="1"/>
        <v>-1641.6106423650947</v>
      </c>
      <c r="AH24" s="136">
        <v>44140</v>
      </c>
      <c r="AI24" s="342">
        <v>4341097</v>
      </c>
      <c r="AJ24" s="342">
        <v>159277</v>
      </c>
      <c r="AK24" s="46">
        <v>751.92</v>
      </c>
      <c r="AL24" s="345">
        <v>4218808.2300000004</v>
      </c>
      <c r="AM24" s="348">
        <f t="shared" si="58"/>
        <v>282317.68999999948</v>
      </c>
      <c r="AN24" s="345">
        <f>SUMIF(逐日资产统计!$A:$A,盈亏统计!AH24,逐日资产统计!$I:$I)</f>
        <v>461031.61000000004</v>
      </c>
      <c r="AO24" s="346">
        <f t="shared" si="59"/>
        <v>178713.92000000057</v>
      </c>
      <c r="AP24" s="351">
        <f>SUMIF(逐日资产统计!$A:$A,盈亏统计!AH24,逐日资产统计!$G:$G)</f>
        <v>-79779.26999999999</v>
      </c>
      <c r="AQ24" s="352">
        <f t="shared" si="60"/>
        <v>-1220.3999999999651</v>
      </c>
    </row>
    <row r="25" spans="1:44" x14ac:dyDescent="0.25">
      <c r="A25" s="99">
        <v>42849</v>
      </c>
      <c r="B25" s="100"/>
      <c r="C25" s="101" t="s">
        <v>63</v>
      </c>
      <c r="D25" s="104">
        <v>500</v>
      </c>
      <c r="E25" s="31">
        <v>8.32</v>
      </c>
      <c r="F25" s="102">
        <f t="shared" si="27"/>
        <v>2100</v>
      </c>
      <c r="G25" s="32">
        <f t="shared" si="28"/>
        <v>8.7921952380952284</v>
      </c>
      <c r="H25" s="31">
        <f t="shared" si="29"/>
        <v>18463.609999999979</v>
      </c>
      <c r="I25" s="31">
        <f t="shared" si="30"/>
        <v>-991.60999999997875</v>
      </c>
      <c r="J25" s="108">
        <f t="shared" si="31"/>
        <v>-5.3706182052154487E-2</v>
      </c>
      <c r="K25" s="31">
        <f t="shared" si="32"/>
        <v>17472</v>
      </c>
      <c r="L25" s="31">
        <f t="shared" si="33"/>
        <v>-629.00000000000364</v>
      </c>
      <c r="M25" s="31">
        <f t="shared" si="34"/>
        <v>5</v>
      </c>
      <c r="N25" s="31">
        <f t="shared" si="35"/>
        <v>0</v>
      </c>
      <c r="O25" s="125"/>
      <c r="P25" s="32">
        <f t="shared" si="36"/>
        <v>-0.47219523809522812</v>
      </c>
      <c r="Q25" s="31">
        <f t="shared" si="37"/>
        <v>-4165.0000000000018</v>
      </c>
      <c r="R25" s="34"/>
      <c r="S25" s="34">
        <f t="shared" si="38"/>
        <v>-17688.135000000002</v>
      </c>
      <c r="T25" s="34">
        <f t="shared" si="39"/>
        <v>-2125.9777644230771</v>
      </c>
      <c r="U25" s="34">
        <f t="shared" si="40"/>
        <v>-25.977764423077133</v>
      </c>
      <c r="V25" s="31">
        <f t="shared" si="41"/>
        <v>775.47499999997672</v>
      </c>
      <c r="W25" s="32">
        <f t="shared" si="42"/>
        <v>-29.851490966293078</v>
      </c>
      <c r="X25" s="32">
        <f t="shared" si="43"/>
        <v>-38.643686204388302</v>
      </c>
      <c r="Y25" s="32">
        <f t="shared" si="44"/>
        <v>38.171490966293078</v>
      </c>
      <c r="Z25" s="38">
        <f t="shared" si="45"/>
        <v>-80.838364910818967</v>
      </c>
      <c r="AA25" s="31">
        <f>SUM(L$2:L25)-SUM(AB$2:AB25)</f>
        <v>-1213.3199999999861</v>
      </c>
      <c r="AB25" s="46"/>
      <c r="AC25" s="69">
        <f t="shared" si="0"/>
        <v>-119.12430228365129</v>
      </c>
      <c r="AD25" s="69">
        <f t="shared" si="1"/>
        <v>-2219.1243022836511</v>
      </c>
      <c r="AH25" s="136">
        <v>44145</v>
      </c>
      <c r="AI25" s="342">
        <v>4341097</v>
      </c>
      <c r="AJ25" s="342">
        <v>159277</v>
      </c>
      <c r="AK25" s="46">
        <v>751.92</v>
      </c>
      <c r="AL25" s="345">
        <v>4218808.2300000004</v>
      </c>
      <c r="AM25" s="348">
        <f t="shared" si="58"/>
        <v>282317.68999999948</v>
      </c>
      <c r="AN25" s="345">
        <f>SUMIF(逐日资产统计!$A:$A,盈亏统计!AH25,逐日资产统计!$I:$I)</f>
        <v>460375.93</v>
      </c>
      <c r="AO25" s="346">
        <f t="shared" si="59"/>
        <v>178058.24000000051</v>
      </c>
      <c r="AP25" s="351">
        <f>SUMIF(逐日资产统计!$A:$A,盈亏统计!AH25,逐日资产统计!$G:$G)</f>
        <v>-80425.95</v>
      </c>
      <c r="AQ25" s="352">
        <f t="shared" si="60"/>
        <v>-655.68000000005122</v>
      </c>
    </row>
    <row r="26" spans="1:44" x14ac:dyDescent="0.25">
      <c r="A26" s="99">
        <v>42850</v>
      </c>
      <c r="B26" s="100" t="s">
        <v>187</v>
      </c>
      <c r="C26" s="101" t="s">
        <v>63</v>
      </c>
      <c r="D26" s="104">
        <v>500</v>
      </c>
      <c r="E26" s="31">
        <v>8.1300000000000008</v>
      </c>
      <c r="F26" s="102">
        <f t="shared" si="27"/>
        <v>2600</v>
      </c>
      <c r="G26" s="32">
        <f t="shared" si="28"/>
        <v>8.666773076923068</v>
      </c>
      <c r="H26" s="31">
        <f t="shared" si="29"/>
        <v>22533.609999999979</v>
      </c>
      <c r="I26" s="31">
        <f t="shared" si="30"/>
        <v>-1395.6099999999751</v>
      </c>
      <c r="J26" s="108">
        <f t="shared" si="31"/>
        <v>-6.193459459003578E-2</v>
      </c>
      <c r="K26" s="31">
        <f t="shared" si="32"/>
        <v>21138.000000000004</v>
      </c>
      <c r="L26" s="31">
        <f t="shared" si="33"/>
        <v>-403.99999999999636</v>
      </c>
      <c r="M26" s="31">
        <f t="shared" si="34"/>
        <v>5</v>
      </c>
      <c r="N26" s="31">
        <f t="shared" si="35"/>
        <v>0</v>
      </c>
      <c r="O26" s="125"/>
      <c r="P26" s="32">
        <f t="shared" si="36"/>
        <v>-0.53677307692306719</v>
      </c>
      <c r="Q26" s="31">
        <f t="shared" si="37"/>
        <v>-4070</v>
      </c>
      <c r="R26" s="34"/>
      <c r="S26" s="34">
        <f t="shared" si="38"/>
        <v>-21758.135000000002</v>
      </c>
      <c r="T26" s="34">
        <f t="shared" si="39"/>
        <v>-2676.2773677736777</v>
      </c>
      <c r="U26" s="34">
        <f t="shared" si="40"/>
        <v>-76.277367773677724</v>
      </c>
      <c r="V26" s="31">
        <f t="shared" si="41"/>
        <v>775.47499999997672</v>
      </c>
      <c r="W26" s="32">
        <f t="shared" si="42"/>
        <v>-10.166514952389095</v>
      </c>
      <c r="X26" s="32">
        <f t="shared" si="43"/>
        <v>-18.833288029312165</v>
      </c>
      <c r="Y26" s="32">
        <f t="shared" si="44"/>
        <v>18.296514952389096</v>
      </c>
      <c r="Z26" s="38">
        <f t="shared" si="45"/>
        <v>-34.086126407959561</v>
      </c>
      <c r="AA26" s="31">
        <f>SUM(L$2:L26)-SUM(AB$2:AB26)</f>
        <v>-1617.3199999999824</v>
      </c>
      <c r="AB26" s="46"/>
      <c r="AC26" s="69">
        <f t="shared" si="0"/>
        <v>-171.5759157441544</v>
      </c>
      <c r="AD26" s="69">
        <f t="shared" si="1"/>
        <v>-2771.5759157441544</v>
      </c>
      <c r="AH26" s="136">
        <v>44148</v>
      </c>
      <c r="AI26" s="342">
        <v>4341097</v>
      </c>
      <c r="AJ26" s="342">
        <v>159277</v>
      </c>
      <c r="AK26" s="46">
        <v>751.92</v>
      </c>
      <c r="AL26" s="345">
        <v>4218808.2300000004</v>
      </c>
      <c r="AM26" s="348">
        <f t="shared" si="58"/>
        <v>282317.68999999948</v>
      </c>
      <c r="AN26" s="345">
        <f>SUMIF(逐日资产统计!$A:$A,盈亏统计!AH26,逐日资产统计!$I:$I)</f>
        <v>463074.80000000005</v>
      </c>
      <c r="AO26" s="346">
        <f t="shared" si="59"/>
        <v>180757.11000000057</v>
      </c>
      <c r="AP26" s="351">
        <f>SUMIF(逐日资产统计!$A:$A,盈亏统计!AH26,逐日资产统计!$G:$G)</f>
        <v>-77727.08</v>
      </c>
      <c r="AQ26" s="352">
        <f t="shared" si="60"/>
        <v>2698.8700000000536</v>
      </c>
    </row>
    <row r="27" spans="1:44" x14ac:dyDescent="0.25">
      <c r="A27" s="99">
        <v>42852</v>
      </c>
      <c r="B27" s="100"/>
      <c r="C27" s="101" t="s">
        <v>63</v>
      </c>
      <c r="D27" s="104">
        <v>500</v>
      </c>
      <c r="E27" s="31">
        <v>7.78</v>
      </c>
      <c r="F27" s="102">
        <f t="shared" si="27"/>
        <v>3100</v>
      </c>
      <c r="G27" s="32">
        <f t="shared" si="28"/>
        <v>8.5253580645161229</v>
      </c>
      <c r="H27" s="31">
        <f t="shared" si="29"/>
        <v>26428.609999999979</v>
      </c>
      <c r="I27" s="31">
        <f t="shared" si="30"/>
        <v>-2310.6099999999788</v>
      </c>
      <c r="J27" s="108">
        <f t="shared" si="31"/>
        <v>-8.7428358888340399E-2</v>
      </c>
      <c r="K27" s="31">
        <f t="shared" si="32"/>
        <v>24118</v>
      </c>
      <c r="L27" s="31">
        <f t="shared" si="33"/>
        <v>-915.00000000000364</v>
      </c>
      <c r="M27" s="31">
        <f t="shared" si="34"/>
        <v>5</v>
      </c>
      <c r="N27" s="31">
        <f t="shared" si="35"/>
        <v>0</v>
      </c>
      <c r="O27" s="125"/>
      <c r="P27" s="32">
        <f t="shared" si="36"/>
        <v>-0.74535806451612263</v>
      </c>
      <c r="Q27" s="31">
        <f t="shared" si="37"/>
        <v>-3895</v>
      </c>
      <c r="R27" s="34"/>
      <c r="S27" s="34">
        <f t="shared" si="38"/>
        <v>-25653.135000000002</v>
      </c>
      <c r="T27" s="34">
        <f t="shared" si="39"/>
        <v>-3297.3181233933165</v>
      </c>
      <c r="U27" s="34">
        <f t="shared" si="40"/>
        <v>-197.31812339331645</v>
      </c>
      <c r="V27" s="31">
        <f t="shared" si="41"/>
        <v>775.47499999997672</v>
      </c>
      <c r="W27" s="32">
        <f t="shared" si="42"/>
        <v>-3.9300748794078766</v>
      </c>
      <c r="X27" s="32">
        <f t="shared" si="43"/>
        <v>-12.455432943923999</v>
      </c>
      <c r="Y27" s="32">
        <f t="shared" si="44"/>
        <v>11.710074879407877</v>
      </c>
      <c r="Z27" s="38">
        <f t="shared" si="45"/>
        <v>-15.710670397066036</v>
      </c>
      <c r="AA27" s="31">
        <f>SUM(L$2:L27)-SUM(AB$2:AB27)</f>
        <v>-2532.3199999999861</v>
      </c>
      <c r="AB27" s="46"/>
      <c r="AC27" s="69">
        <f t="shared" si="0"/>
        <v>-296.84507647814638</v>
      </c>
      <c r="AD27" s="69">
        <f t="shared" si="1"/>
        <v>-3396.8450764781464</v>
      </c>
      <c r="AH27" s="136">
        <v>44152</v>
      </c>
      <c r="AI27" s="342">
        <v>4341097</v>
      </c>
      <c r="AJ27" s="342">
        <v>159277</v>
      </c>
      <c r="AK27" s="46">
        <v>751.92</v>
      </c>
      <c r="AL27" s="345">
        <v>4218808.2300000004</v>
      </c>
      <c r="AM27" s="348">
        <f t="shared" si="58"/>
        <v>282317.68999999948</v>
      </c>
      <c r="AN27" s="345">
        <f>SUMIF(逐日资产统计!$A:$A,盈亏统计!AH27,逐日资产统计!$I:$I)</f>
        <v>472737.12</v>
      </c>
      <c r="AO27" s="346">
        <f t="shared" si="59"/>
        <v>190419.43000000052</v>
      </c>
      <c r="AP27" s="351">
        <f>SUMIF(逐日资产统计!$A:$A,盈亏统计!AH27,逐日资产统计!$G:$G)</f>
        <v>-68056.760000000009</v>
      </c>
      <c r="AQ27" s="352">
        <f t="shared" si="60"/>
        <v>9662.3199999999488</v>
      </c>
    </row>
    <row r="28" spans="1:44" x14ac:dyDescent="0.25">
      <c r="A28" s="99">
        <v>42852</v>
      </c>
      <c r="B28" s="100" t="s">
        <v>180</v>
      </c>
      <c r="C28" s="101" t="s">
        <v>69</v>
      </c>
      <c r="D28" s="104">
        <v>500</v>
      </c>
      <c r="E28" s="31">
        <v>8.1</v>
      </c>
      <c r="F28" s="102">
        <f t="shared" si="27"/>
        <v>2600</v>
      </c>
      <c r="G28" s="32">
        <f t="shared" si="28"/>
        <v>8.6106384615384535</v>
      </c>
      <c r="H28" s="31">
        <f t="shared" si="29"/>
        <v>22387.659999999978</v>
      </c>
      <c r="I28" s="31">
        <f t="shared" si="30"/>
        <v>-1327.659999999978</v>
      </c>
      <c r="J28" s="108">
        <f t="shared" si="31"/>
        <v>-5.9303205426560042E-2</v>
      </c>
      <c r="K28" s="31">
        <f t="shared" si="32"/>
        <v>21060</v>
      </c>
      <c r="L28" s="31">
        <f t="shared" si="33"/>
        <v>982.95000000000073</v>
      </c>
      <c r="M28" s="31">
        <f t="shared" si="34"/>
        <v>5</v>
      </c>
      <c r="N28" s="31">
        <f t="shared" si="35"/>
        <v>4.05</v>
      </c>
      <c r="O28" s="125"/>
      <c r="P28" s="32">
        <f t="shared" si="36"/>
        <v>-0.51063846153845383</v>
      </c>
      <c r="Q28" s="31">
        <f t="shared" si="37"/>
        <v>4040.9500000000007</v>
      </c>
      <c r="R28" s="34"/>
      <c r="S28" s="34">
        <f t="shared" si="38"/>
        <v>-21612.185000000001</v>
      </c>
      <c r="T28" s="34">
        <f t="shared" si="39"/>
        <v>-2668.1709876543214</v>
      </c>
      <c r="U28" s="34">
        <f t="shared" si="40"/>
        <v>-68.17098765432138</v>
      </c>
      <c r="V28" s="31">
        <f t="shared" si="41"/>
        <v>775.47499999997672</v>
      </c>
      <c r="W28" s="32">
        <f t="shared" si="42"/>
        <v>-11.375440296277109</v>
      </c>
      <c r="X28" s="32">
        <f t="shared" si="43"/>
        <v>-19.986078757815562</v>
      </c>
      <c r="Y28" s="32">
        <f t="shared" si="44"/>
        <v>19.475440296277107</v>
      </c>
      <c r="Z28" s="38">
        <f t="shared" si="45"/>
        <v>-38.139391689379245</v>
      </c>
      <c r="AA28" s="31">
        <f>SUM(L$2:L28)-SUM(AB$2:AB28)</f>
        <v>-1549.3699999999853</v>
      </c>
      <c r="AB28" s="46"/>
      <c r="AC28" s="69">
        <f t="shared" si="0"/>
        <v>-163.82668765431828</v>
      </c>
      <c r="AD28" s="69">
        <f t="shared" si="1"/>
        <v>-2763.8266876543184</v>
      </c>
      <c r="AH28" s="136">
        <v>44154</v>
      </c>
      <c r="AI28" s="342">
        <v>4341097</v>
      </c>
      <c r="AJ28" s="342">
        <v>159277</v>
      </c>
      <c r="AK28" s="46">
        <v>751.92</v>
      </c>
      <c r="AL28" s="345">
        <v>4218808.2300000004</v>
      </c>
      <c r="AM28" s="348">
        <f t="shared" si="58"/>
        <v>282317.68999999948</v>
      </c>
      <c r="AN28" s="345">
        <f>SUMIF(逐日资产统计!$A:$A,盈亏统计!AH28,逐日资产统计!$I:$I)</f>
        <v>473137.71</v>
      </c>
      <c r="AO28" s="346">
        <f t="shared" si="59"/>
        <v>190820.02000000054</v>
      </c>
      <c r="AP28" s="351">
        <f>SUMIF(逐日资产统计!$A:$A,盈亏统计!AH28,逐日资产统计!$G:$G)</f>
        <v>-67642.610000000015</v>
      </c>
      <c r="AQ28" s="352">
        <f t="shared" si="60"/>
        <v>400.59000000002561</v>
      </c>
    </row>
    <row r="29" spans="1:44" x14ac:dyDescent="0.25">
      <c r="A29" s="99">
        <v>42857</v>
      </c>
      <c r="B29" s="100" t="s">
        <v>179</v>
      </c>
      <c r="C29" s="101" t="s">
        <v>69</v>
      </c>
      <c r="D29" s="104">
        <v>500</v>
      </c>
      <c r="E29" s="31">
        <v>8.36</v>
      </c>
      <c r="F29" s="102">
        <f t="shared" si="27"/>
        <v>2100</v>
      </c>
      <c r="G29" s="32">
        <f t="shared" si="28"/>
        <v>8.6746857142857046</v>
      </c>
      <c r="H29" s="31">
        <f t="shared" si="29"/>
        <v>18216.839999999978</v>
      </c>
      <c r="I29" s="31">
        <f t="shared" si="30"/>
        <v>-660.83999999997832</v>
      </c>
      <c r="J29" s="108">
        <f t="shared" si="31"/>
        <v>-3.6276324543662981E-2</v>
      </c>
      <c r="K29" s="31">
        <f t="shared" si="32"/>
        <v>17556</v>
      </c>
      <c r="L29" s="31">
        <f t="shared" si="33"/>
        <v>666.81999999999971</v>
      </c>
      <c r="M29" s="31">
        <f t="shared" si="34"/>
        <v>5</v>
      </c>
      <c r="N29" s="31">
        <f t="shared" si="35"/>
        <v>4.18</v>
      </c>
      <c r="O29" s="125"/>
      <c r="P29" s="32">
        <f t="shared" si="36"/>
        <v>-0.31468571428570513</v>
      </c>
      <c r="Q29" s="31">
        <f t="shared" si="37"/>
        <v>4170.82</v>
      </c>
      <c r="R29" s="34"/>
      <c r="S29" s="34">
        <f t="shared" si="38"/>
        <v>-17441.365000000002</v>
      </c>
      <c r="T29" s="34">
        <f t="shared" si="39"/>
        <v>-2086.2876794258377</v>
      </c>
      <c r="U29" s="34">
        <f t="shared" si="40"/>
        <v>13.712320574162277</v>
      </c>
      <c r="V29" s="31">
        <f t="shared" si="41"/>
        <v>775.47499999997672</v>
      </c>
      <c r="W29" s="32">
        <f t="shared" si="42"/>
        <v>56.553155667989671</v>
      </c>
      <c r="X29" s="32">
        <f t="shared" si="43"/>
        <v>47.87846995370397</v>
      </c>
      <c r="Y29" s="32">
        <f t="shared" si="44"/>
        <v>-48.193155667989672</v>
      </c>
      <c r="Z29" s="38">
        <f t="shared" si="45"/>
        <v>153.14694465041669</v>
      </c>
      <c r="AA29" s="31">
        <f>SUM(L$2:L29)-SUM(AB$2:AB29)</f>
        <v>-882.54999999998563</v>
      </c>
      <c r="AB29" s="46"/>
      <c r="AC29" s="69">
        <f t="shared" si="0"/>
        <v>-79.008322966504593</v>
      </c>
      <c r="AD29" s="69">
        <f t="shared" si="1"/>
        <v>-2179.0083229665047</v>
      </c>
      <c r="AH29" s="136">
        <v>44158</v>
      </c>
      <c r="AI29" s="342">
        <v>4341097</v>
      </c>
      <c r="AJ29" s="342">
        <v>159277</v>
      </c>
      <c r="AK29" s="46">
        <v>751.92</v>
      </c>
      <c r="AL29" s="345">
        <v>4218808.2300000004</v>
      </c>
      <c r="AM29" s="348">
        <f t="shared" ref="AM29" si="61">SUM(AI29:AK29)-AL29</f>
        <v>282317.68999999948</v>
      </c>
      <c r="AN29" s="345">
        <f>SUMIF(逐日资产统计!$A:$A,盈亏统计!AH29,逐日资产统计!$I:$I)</f>
        <v>474614.03</v>
      </c>
      <c r="AO29" s="346">
        <f t="shared" ref="AO29" si="62">AN29-AM29</f>
        <v>192296.34000000055</v>
      </c>
      <c r="AP29" s="351">
        <f>SUMIF(逐日资产统计!$A:$A,盈亏统计!AH29,逐日资产统计!$G:$G)</f>
        <v>-66166.290000000008</v>
      </c>
      <c r="AQ29" s="352">
        <f t="shared" ref="AQ29" si="63">AO29-AO28</f>
        <v>1476.320000000007</v>
      </c>
    </row>
    <row r="30" spans="1:44" x14ac:dyDescent="0.25">
      <c r="A30" s="99">
        <v>42865</v>
      </c>
      <c r="B30" s="100" t="s">
        <v>175</v>
      </c>
      <c r="C30" s="101" t="s">
        <v>63</v>
      </c>
      <c r="D30" s="104">
        <v>500</v>
      </c>
      <c r="E30" s="31">
        <v>7.8</v>
      </c>
      <c r="F30" s="102">
        <f t="shared" si="27"/>
        <v>2600</v>
      </c>
      <c r="G30" s="32">
        <f t="shared" si="28"/>
        <v>8.5083999999999911</v>
      </c>
      <c r="H30" s="31">
        <f t="shared" si="29"/>
        <v>22121.839999999978</v>
      </c>
      <c r="I30" s="31">
        <f t="shared" si="30"/>
        <v>-1841.8399999999783</v>
      </c>
      <c r="J30" s="108">
        <f t="shared" si="31"/>
        <v>-8.3258897089933712E-2</v>
      </c>
      <c r="K30" s="31">
        <f t="shared" si="32"/>
        <v>20280</v>
      </c>
      <c r="L30" s="31">
        <f t="shared" si="33"/>
        <v>-1181</v>
      </c>
      <c r="M30" s="31">
        <f t="shared" si="34"/>
        <v>5</v>
      </c>
      <c r="N30" s="31">
        <f t="shared" si="35"/>
        <v>0</v>
      </c>
      <c r="O30" s="125"/>
      <c r="P30" s="32">
        <f t="shared" si="36"/>
        <v>-0.70839999999999126</v>
      </c>
      <c r="Q30" s="31">
        <f t="shared" si="37"/>
        <v>-3905</v>
      </c>
      <c r="R30" s="34"/>
      <c r="S30" s="34">
        <f t="shared" si="38"/>
        <v>-21346.365000000002</v>
      </c>
      <c r="T30" s="34">
        <f t="shared" si="39"/>
        <v>-2736.7134615384616</v>
      </c>
      <c r="U30" s="34">
        <f t="shared" si="40"/>
        <v>-136.71346153846162</v>
      </c>
      <c r="V30" s="31">
        <f t="shared" si="41"/>
        <v>775.47499999997672</v>
      </c>
      <c r="W30" s="32">
        <f t="shared" si="42"/>
        <v>-5.672265124980485</v>
      </c>
      <c r="X30" s="32">
        <f t="shared" si="43"/>
        <v>-14.180665124980475</v>
      </c>
      <c r="Y30" s="32">
        <f t="shared" si="44"/>
        <v>13.472265124980485</v>
      </c>
      <c r="Z30" s="38">
        <f t="shared" si="45"/>
        <v>-19.017878493761508</v>
      </c>
      <c r="AA30" s="31">
        <f>SUM(L$2:L30)-SUM(AB$2:AB30)</f>
        <v>-2063.5499999999856</v>
      </c>
      <c r="AB30" s="46"/>
      <c r="AC30" s="69">
        <f t="shared" si="0"/>
        <v>-236.0152666666639</v>
      </c>
      <c r="AD30" s="69">
        <f t="shared" si="1"/>
        <v>-2836.015266666664</v>
      </c>
      <c r="AH30" s="136">
        <v>44161</v>
      </c>
      <c r="AI30" s="342">
        <v>4341097</v>
      </c>
      <c r="AJ30" s="342">
        <v>159277</v>
      </c>
      <c r="AK30" s="46">
        <v>751.92</v>
      </c>
      <c r="AL30" s="345">
        <v>4218808.2300000004</v>
      </c>
      <c r="AM30" s="348">
        <f t="shared" ref="AM30" si="64">SUM(AI30:AK30)-AL30</f>
        <v>282317.68999999948</v>
      </c>
      <c r="AN30" s="345">
        <f>SUMIF(逐日资产统计!$A:$A,盈亏统计!AH30,逐日资产统计!$I:$I)</f>
        <v>471409.11000000004</v>
      </c>
      <c r="AO30" s="346">
        <f t="shared" ref="AO30" si="65">AN30-AM30</f>
        <v>189091.42000000057</v>
      </c>
      <c r="AP30" s="351">
        <f>SUMIF(逐日资产统计!$A:$A,盈亏统计!AH30,逐日资产统计!$G:$G)</f>
        <v>-69357.209999999992</v>
      </c>
      <c r="AQ30" s="352">
        <f t="shared" ref="AQ30" si="66">AO30-AO29</f>
        <v>-3204.9199999999837</v>
      </c>
    </row>
    <row r="31" spans="1:44" x14ac:dyDescent="0.25">
      <c r="A31" s="99">
        <v>42866</v>
      </c>
      <c r="B31" s="100" t="s">
        <v>220</v>
      </c>
      <c r="C31" s="101" t="s">
        <v>63</v>
      </c>
      <c r="D31" s="104">
        <v>500</v>
      </c>
      <c r="E31" s="31">
        <v>7.37</v>
      </c>
      <c r="F31" s="102">
        <f t="shared" si="27"/>
        <v>3100</v>
      </c>
      <c r="G31" s="32">
        <f t="shared" si="28"/>
        <v>8.3263999999999925</v>
      </c>
      <c r="H31" s="31">
        <f t="shared" si="29"/>
        <v>25811.839999999978</v>
      </c>
      <c r="I31" s="31">
        <f t="shared" si="30"/>
        <v>-2964.8399999999783</v>
      </c>
      <c r="J31" s="108">
        <f t="shared" si="31"/>
        <v>-0.11486356648731663</v>
      </c>
      <c r="K31" s="31">
        <f t="shared" si="32"/>
        <v>22847</v>
      </c>
      <c r="L31" s="31">
        <f t="shared" si="33"/>
        <v>-1123</v>
      </c>
      <c r="M31" s="31">
        <f t="shared" si="34"/>
        <v>5</v>
      </c>
      <c r="N31" s="31">
        <f t="shared" si="35"/>
        <v>0</v>
      </c>
      <c r="O31" s="125"/>
      <c r="P31" s="32">
        <f t="shared" si="36"/>
        <v>-0.95639999999999237</v>
      </c>
      <c r="Q31" s="31">
        <f t="shared" si="37"/>
        <v>-3690</v>
      </c>
      <c r="R31" s="34"/>
      <c r="S31" s="34">
        <f t="shared" si="38"/>
        <v>-25036.365000000002</v>
      </c>
      <c r="T31" s="34">
        <f t="shared" si="39"/>
        <v>-3397.0644504748984</v>
      </c>
      <c r="U31" s="34">
        <f t="shared" si="40"/>
        <v>-297.06445047489842</v>
      </c>
      <c r="V31" s="31">
        <f t="shared" si="41"/>
        <v>775.47499999997672</v>
      </c>
      <c r="W31" s="32">
        <f t="shared" si="42"/>
        <v>-2.6104604531450102</v>
      </c>
      <c r="X31" s="32">
        <f t="shared" si="43"/>
        <v>-10.936860453145002</v>
      </c>
      <c r="Y31" s="32">
        <f t="shared" si="44"/>
        <v>9.9804604531450103</v>
      </c>
      <c r="Z31" s="38">
        <f t="shared" si="45"/>
        <v>-10.435445894129113</v>
      </c>
      <c r="AA31" s="31">
        <f>SUM(L$2:L31)-SUM(AB$2:AB31)</f>
        <v>-3186.5499999999856</v>
      </c>
      <c r="AB31" s="46"/>
      <c r="AC31" s="69">
        <f t="shared" si="0"/>
        <v>-402.08379647218158</v>
      </c>
      <c r="AD31" s="69">
        <f t="shared" si="1"/>
        <v>-3502.0837964721813</v>
      </c>
      <c r="AH31" s="136">
        <v>44165</v>
      </c>
      <c r="AI31" s="342">
        <v>4341097</v>
      </c>
      <c r="AJ31" s="342">
        <v>159277</v>
      </c>
      <c r="AK31" s="46">
        <v>751.92</v>
      </c>
      <c r="AL31" s="345">
        <v>4220108.2300000004</v>
      </c>
      <c r="AM31" s="348">
        <f t="shared" ref="AM31" si="67">SUM(AI31:AK31)-AL31</f>
        <v>281017.68999999948</v>
      </c>
      <c r="AN31" s="345">
        <f>SUMIF(逐日资产统计!$A:$A,盈亏统计!AH31,逐日资产统计!$I:$I)</f>
        <v>466941.59</v>
      </c>
      <c r="AO31" s="346">
        <f t="shared" ref="AO31" si="68">AN31-AM31</f>
        <v>185923.90000000055</v>
      </c>
      <c r="AP31" s="351">
        <f>SUMIF(逐日资产统计!$A:$A,盈亏统计!AH31,逐日资产统计!$G:$G)</f>
        <v>-72859.439999999988</v>
      </c>
      <c r="AQ31" s="352">
        <f t="shared" ref="AQ31" si="69">AO31-AO30</f>
        <v>-3167.5200000000186</v>
      </c>
    </row>
    <row r="32" spans="1:44" x14ac:dyDescent="0.25">
      <c r="A32" s="99">
        <v>42871</v>
      </c>
      <c r="B32" s="100"/>
      <c r="C32" s="101" t="s">
        <v>69</v>
      </c>
      <c r="D32" s="104">
        <v>500</v>
      </c>
      <c r="E32" s="31">
        <v>7.77</v>
      </c>
      <c r="F32" s="102">
        <f t="shared" si="27"/>
        <v>2600</v>
      </c>
      <c r="G32" s="32">
        <f t="shared" si="28"/>
        <v>8.4368173076922979</v>
      </c>
      <c r="H32" s="31">
        <f t="shared" si="29"/>
        <v>21935.724999999977</v>
      </c>
      <c r="I32" s="31">
        <f t="shared" si="30"/>
        <v>-1733.7249999999767</v>
      </c>
      <c r="J32" s="108">
        <f t="shared" si="31"/>
        <v>-7.9036594413905967E-2</v>
      </c>
      <c r="K32" s="31">
        <f t="shared" si="32"/>
        <v>20202</v>
      </c>
      <c r="L32" s="31">
        <f t="shared" si="33"/>
        <v>1231.1150000000016</v>
      </c>
      <c r="M32" s="31">
        <f t="shared" si="34"/>
        <v>5</v>
      </c>
      <c r="N32" s="31">
        <f t="shared" si="35"/>
        <v>3.8849999999999998</v>
      </c>
      <c r="O32" s="125"/>
      <c r="P32" s="32">
        <f t="shared" si="36"/>
        <v>-0.6668173076922983</v>
      </c>
      <c r="Q32" s="31">
        <f t="shared" si="37"/>
        <v>3876.1150000000016</v>
      </c>
      <c r="R32" s="34"/>
      <c r="S32" s="34">
        <f t="shared" si="38"/>
        <v>-21160.25</v>
      </c>
      <c r="T32" s="34">
        <f t="shared" si="39"/>
        <v>-2723.3268983268986</v>
      </c>
      <c r="U32" s="34">
        <f t="shared" si="40"/>
        <v>-123.32689832689857</v>
      </c>
      <c r="V32" s="31">
        <f t="shared" si="41"/>
        <v>775.47499999997672</v>
      </c>
      <c r="W32" s="32">
        <f t="shared" si="42"/>
        <v>-6.2879632141923372</v>
      </c>
      <c r="X32" s="32">
        <f t="shared" si="43"/>
        <v>-14.724780521884636</v>
      </c>
      <c r="Y32" s="32">
        <f t="shared" si="44"/>
        <v>14.057963214192338</v>
      </c>
      <c r="Z32" s="38">
        <f t="shared" si="45"/>
        <v>-21.082181059222499</v>
      </c>
      <c r="AA32" s="31">
        <f>SUM(L$2:L32)-SUM(AB$2:AB32)</f>
        <v>-1955.434999999984</v>
      </c>
      <c r="AB32" s="46"/>
      <c r="AC32" s="69">
        <f t="shared" si="0"/>
        <v>-223.01906531531236</v>
      </c>
      <c r="AD32" s="69">
        <f t="shared" si="1"/>
        <v>-2823.0190653153122</v>
      </c>
      <c r="AH32" s="136">
        <v>44172</v>
      </c>
      <c r="AI32" s="342">
        <v>4341097</v>
      </c>
      <c r="AJ32" s="342">
        <v>159277</v>
      </c>
      <c r="AK32" s="46">
        <v>751.92</v>
      </c>
      <c r="AL32" s="345">
        <v>4221308.2300000004</v>
      </c>
      <c r="AM32" s="348">
        <f t="shared" ref="AM32:AM33" si="70">SUM(AI32:AK32)-AL32</f>
        <v>279817.68999999948</v>
      </c>
      <c r="AN32" s="345">
        <f>SUMIF(逐日资产统计!$A:$A,盈亏统计!AH32,逐日资产统计!$I:$I)</f>
        <v>464542.92000000004</v>
      </c>
      <c r="AO32" s="346">
        <f t="shared" ref="AO32" si="71">AN32-AM32</f>
        <v>184725.23000000056</v>
      </c>
      <c r="AP32" s="351">
        <f>SUMIF(逐日资产统计!$A:$A,盈亏统计!AH32,逐日资产统计!$G:$G)</f>
        <v>-73319.209999999992</v>
      </c>
      <c r="AQ32" s="352">
        <f t="shared" ref="AQ32" si="72">AO32-AO31</f>
        <v>-1198.6699999999837</v>
      </c>
      <c r="AR32" s="343" t="s">
        <v>1158</v>
      </c>
    </row>
    <row r="33" spans="1:44" x14ac:dyDescent="0.25">
      <c r="A33" s="99">
        <v>42872</v>
      </c>
      <c r="B33" s="100"/>
      <c r="C33" s="101" t="s">
        <v>69</v>
      </c>
      <c r="D33" s="104">
        <v>500</v>
      </c>
      <c r="E33" s="31">
        <v>8.2899999999999991</v>
      </c>
      <c r="F33" s="102">
        <f t="shared" si="27"/>
        <v>2100</v>
      </c>
      <c r="G33" s="32">
        <f t="shared" si="28"/>
        <v>8.4761285714285606</v>
      </c>
      <c r="H33" s="31">
        <f t="shared" si="29"/>
        <v>17799.869999999977</v>
      </c>
      <c r="I33" s="31">
        <f t="shared" si="30"/>
        <v>-390.86999999997715</v>
      </c>
      <c r="J33" s="108">
        <f t="shared" si="31"/>
        <v>-2.1959149139852117E-2</v>
      </c>
      <c r="K33" s="31">
        <f t="shared" si="32"/>
        <v>17409</v>
      </c>
      <c r="L33" s="31">
        <f t="shared" si="33"/>
        <v>1342.8549999999996</v>
      </c>
      <c r="M33" s="31">
        <f t="shared" si="34"/>
        <v>5</v>
      </c>
      <c r="N33" s="31">
        <f t="shared" si="35"/>
        <v>4.1449999999999996</v>
      </c>
      <c r="O33" s="125">
        <v>-47</v>
      </c>
      <c r="P33" s="32">
        <f t="shared" si="36"/>
        <v>-0.18612857142856143</v>
      </c>
      <c r="Q33" s="31">
        <f t="shared" si="37"/>
        <v>4135.8549999999996</v>
      </c>
      <c r="R33" s="34">
        <v>47</v>
      </c>
      <c r="S33" s="34">
        <f t="shared" si="38"/>
        <v>-17024.395</v>
      </c>
      <c r="T33" s="34">
        <f t="shared" si="39"/>
        <v>-2053.6061519903501</v>
      </c>
      <c r="U33" s="34">
        <f t="shared" si="40"/>
        <v>46.393848009649901</v>
      </c>
      <c r="V33" s="31">
        <f t="shared" si="41"/>
        <v>775.47499999997672</v>
      </c>
      <c r="W33" s="32">
        <f t="shared" si="42"/>
        <v>16.715039456064911</v>
      </c>
      <c r="X33" s="32">
        <f t="shared" si="43"/>
        <v>8.2389108846363506</v>
      </c>
      <c r="Y33" s="32">
        <f t="shared" si="44"/>
        <v>-8.425039456064912</v>
      </c>
      <c r="Z33" s="38">
        <f t="shared" si="45"/>
        <v>45.264622144798182</v>
      </c>
      <c r="AA33" s="31">
        <f>SUM(L$2:L33)-SUM(AB$2:AB33)</f>
        <v>-612.57999999998447</v>
      </c>
      <c r="AB33" s="46"/>
      <c r="AC33" s="69">
        <f t="shared" si="0"/>
        <v>-47.126003015678798</v>
      </c>
      <c r="AD33" s="69">
        <f t="shared" si="1"/>
        <v>-2147.1260030156786</v>
      </c>
      <c r="AH33" s="136">
        <v>44214</v>
      </c>
      <c r="AI33" s="342">
        <v>4361697</v>
      </c>
      <c r="AJ33" s="342">
        <v>159277</v>
      </c>
      <c r="AK33" s="46">
        <v>762.23</v>
      </c>
      <c r="AL33" s="345">
        <v>4241308.2300000004</v>
      </c>
      <c r="AM33" s="348">
        <f t="shared" si="70"/>
        <v>280428</v>
      </c>
      <c r="AN33" s="345">
        <f>SUMIF(逐日资产统计!$A:$A,盈亏统计!AH33,逐日资产统计!$I:$I)</f>
        <v>426254.43</v>
      </c>
      <c r="AO33" s="346">
        <f t="shared" ref="AO33" si="73">AN33-AM33</f>
        <v>145826.43</v>
      </c>
      <c r="AP33" s="351">
        <f>SUMIF(逐日资产统计!$A:$A,盈亏统计!AH33,逐日资产统计!$G:$G)</f>
        <v>-125132.67</v>
      </c>
      <c r="AQ33" s="352">
        <f t="shared" ref="AQ33" si="74">AO33-AO32</f>
        <v>-38898.80000000057</v>
      </c>
      <c r="AR33" s="343" t="s">
        <v>1164</v>
      </c>
    </row>
    <row r="34" spans="1:44" x14ac:dyDescent="0.25">
      <c r="A34" s="99">
        <v>42907</v>
      </c>
      <c r="B34" s="105" t="s">
        <v>605</v>
      </c>
      <c r="C34" s="101"/>
      <c r="D34" s="104"/>
      <c r="E34" s="31">
        <v>7.92</v>
      </c>
      <c r="F34" s="102">
        <f t="shared" si="27"/>
        <v>2100</v>
      </c>
      <c r="G34" s="32">
        <f t="shared" si="28"/>
        <v>8.456128571428561</v>
      </c>
      <c r="H34" s="31">
        <f t="shared" si="29"/>
        <v>17757.869999999977</v>
      </c>
      <c r="I34" s="31">
        <f t="shared" si="30"/>
        <v>-1125.8699999999772</v>
      </c>
      <c r="J34" s="108">
        <f t="shared" si="31"/>
        <v>-6.3401184939408814E-2</v>
      </c>
      <c r="K34" s="31">
        <f t="shared" si="32"/>
        <v>16632</v>
      </c>
      <c r="L34" s="31">
        <f t="shared" si="33"/>
        <v>-735</v>
      </c>
      <c r="M34" s="31">
        <f>IF(D34*E34*2.5/10000&gt;5,D34*E34*2.5/10000,5)</f>
        <v>5</v>
      </c>
      <c r="N34" s="31">
        <f t="shared" si="35"/>
        <v>0</v>
      </c>
      <c r="O34" s="125"/>
      <c r="P34" s="32">
        <f t="shared" si="36"/>
        <v>-0.53612857142856107</v>
      </c>
      <c r="Q34" s="31">
        <f t="shared" si="37"/>
        <v>42</v>
      </c>
      <c r="R34" s="34"/>
      <c r="S34" s="34">
        <f t="shared" si="38"/>
        <v>-16982.395</v>
      </c>
      <c r="T34" s="34">
        <f t="shared" si="39"/>
        <v>-2144.2417929292928</v>
      </c>
      <c r="U34" s="34">
        <f t="shared" si="40"/>
        <v>-44.241792929292842</v>
      </c>
      <c r="V34" s="31">
        <f t="shared" si="41"/>
        <v>775.47499999997672</v>
      </c>
      <c r="W34" s="32">
        <f t="shared" si="42"/>
        <v>-17.528109704761277</v>
      </c>
      <c r="X34" s="32">
        <f t="shared" si="43"/>
        <v>-25.984238276189839</v>
      </c>
      <c r="Y34" s="32">
        <f t="shared" si="44"/>
        <v>25.448109704761279</v>
      </c>
      <c r="Z34" s="38">
        <f t="shared" si="45"/>
        <v>-47.466430742447905</v>
      </c>
      <c r="AA34" s="31">
        <f>SUM(L$2:L34)-SUM(AB$2:AB34)</f>
        <v>-1347.5799999999845</v>
      </c>
      <c r="AB34" s="46"/>
      <c r="AC34" s="69">
        <f t="shared" si="0"/>
        <v>-142.08422537878502</v>
      </c>
      <c r="AD34" s="69">
        <f t="shared" si="1"/>
        <v>-2242.084225378785</v>
      </c>
      <c r="AH34" s="136">
        <v>44228</v>
      </c>
      <c r="AI34" s="342">
        <v>4361697</v>
      </c>
      <c r="AJ34" s="342">
        <v>159277</v>
      </c>
      <c r="AK34" s="46">
        <v>762.23</v>
      </c>
      <c r="AL34" s="345">
        <v>4241308.2300000004</v>
      </c>
      <c r="AM34" s="348">
        <f t="shared" ref="AM34" si="75">SUM(AI34:AK34)-AL34</f>
        <v>280428</v>
      </c>
      <c r="AN34" s="345">
        <f>SUMIF(逐日资产统计!$A:$A,盈亏统计!AH34,逐日资产统计!$I:$I)</f>
        <v>422661.12</v>
      </c>
      <c r="AO34" s="346">
        <f t="shared" ref="AO34" si="76">AN34-AM34</f>
        <v>142233.12</v>
      </c>
      <c r="AP34" s="351">
        <f>SUMIF(逐日资产统计!$A:$A,盈亏统计!AH34,逐日资产统计!$G:$G)</f>
        <v>-128721.98000000001</v>
      </c>
      <c r="AQ34" s="352">
        <f t="shared" ref="AQ34" si="77">AO34-AO33</f>
        <v>-3593.3099999999977</v>
      </c>
    </row>
    <row r="35" spans="1:44" x14ac:dyDescent="0.25">
      <c r="A35" s="99">
        <v>43041</v>
      </c>
      <c r="B35" s="106"/>
      <c r="C35" s="101" t="s">
        <v>69</v>
      </c>
      <c r="D35" s="104">
        <v>400</v>
      </c>
      <c r="E35" s="31">
        <v>8.6999999999999993</v>
      </c>
      <c r="F35" s="102">
        <f t="shared" si="27"/>
        <v>1700</v>
      </c>
      <c r="G35" s="32">
        <f t="shared" si="28"/>
        <v>8.4037352941176326</v>
      </c>
      <c r="H35" s="31">
        <f t="shared" si="29"/>
        <v>14286.349999999977</v>
      </c>
      <c r="I35" s="31">
        <f t="shared" si="30"/>
        <v>503.65000000002146</v>
      </c>
      <c r="J35" s="108">
        <f t="shared" si="31"/>
        <v>3.5253931200063288E-2</v>
      </c>
      <c r="K35" s="31">
        <f t="shared" si="32"/>
        <v>14789.999999999998</v>
      </c>
      <c r="L35" s="31">
        <f t="shared" si="33"/>
        <v>1629.5199999999986</v>
      </c>
      <c r="M35" s="31">
        <f t="shared" ref="M35:M48" si="78">IF(D35*E35*2.5/10000&gt;5,D35*E35*2.5/10000,5)</f>
        <v>5</v>
      </c>
      <c r="N35" s="31">
        <f t="shared" si="35"/>
        <v>3.4799999999999995</v>
      </c>
      <c r="O35" s="125"/>
      <c r="P35" s="32">
        <f t="shared" si="36"/>
        <v>0.29626470588236664</v>
      </c>
      <c r="Q35" s="31">
        <f t="shared" si="37"/>
        <v>3471.5200000000004</v>
      </c>
      <c r="R35" s="34"/>
      <c r="S35" s="34">
        <f t="shared" si="38"/>
        <v>-13510.875</v>
      </c>
      <c r="T35" s="34">
        <f t="shared" si="39"/>
        <v>-1552.9741379310346</v>
      </c>
      <c r="U35" s="34">
        <f t="shared" si="40"/>
        <v>147.02586206896535</v>
      </c>
      <c r="V35" s="31">
        <f t="shared" si="41"/>
        <v>775.47499999997672</v>
      </c>
      <c r="W35" s="32">
        <f t="shared" si="42"/>
        <v>5.2744121958368453</v>
      </c>
      <c r="X35" s="32">
        <f t="shared" si="43"/>
        <v>-3.1293230982807874</v>
      </c>
      <c r="Y35" s="32">
        <f t="shared" si="44"/>
        <v>3.425587804163154</v>
      </c>
      <c r="Z35" s="38">
        <f t="shared" si="45"/>
        <v>11.562591615362077</v>
      </c>
      <c r="AA35" s="31">
        <f>SUM(L$2:L35)-SUM(AB$2:AB35)</f>
        <v>281.94000000001415</v>
      </c>
      <c r="AB35" s="46"/>
      <c r="AC35" s="69">
        <f t="shared" si="0"/>
        <v>57.861859195404776</v>
      </c>
      <c r="AD35" s="69">
        <f t="shared" si="1"/>
        <v>-1642.1381408045952</v>
      </c>
      <c r="AH35" s="136">
        <v>44236</v>
      </c>
      <c r="AI35" s="342">
        <v>4361697</v>
      </c>
      <c r="AJ35" s="342">
        <v>159277</v>
      </c>
      <c r="AK35" s="46">
        <v>762.23</v>
      </c>
      <c r="AL35" s="345">
        <v>4241308.2300000004</v>
      </c>
      <c r="AM35" s="348">
        <f t="shared" ref="AM35:AM37" si="79">SUM(AI35:AK35)-AL35</f>
        <v>280428</v>
      </c>
      <c r="AN35" s="345">
        <f>SUMIF(逐日资产统计!$A:$A,盈亏统计!AH35,逐日资产统计!$I:$I)</f>
        <v>408838.88000000006</v>
      </c>
      <c r="AO35" s="346">
        <f t="shared" ref="AO35:AO37" si="80">AN35-AM35</f>
        <v>128410.88000000006</v>
      </c>
      <c r="AP35" s="351">
        <f>SUMIF(逐日资产统计!$A:$A,盈亏统计!AH35,逐日资产统计!$G:$G)</f>
        <v>-142539.42000000001</v>
      </c>
      <c r="AQ35" s="352">
        <f t="shared" ref="AQ35:AQ37" si="81">AO35-AO34</f>
        <v>-13822.239999999932</v>
      </c>
    </row>
    <row r="36" spans="1:44" x14ac:dyDescent="0.25">
      <c r="A36" s="99">
        <v>43045</v>
      </c>
      <c r="B36" s="100" t="s">
        <v>593</v>
      </c>
      <c r="C36" s="101" t="s">
        <v>63</v>
      </c>
      <c r="D36" s="104">
        <v>500</v>
      </c>
      <c r="E36" s="31">
        <v>8</v>
      </c>
      <c r="F36" s="102">
        <f t="shared" si="27"/>
        <v>2200</v>
      </c>
      <c r="G36" s="32">
        <f t="shared" si="28"/>
        <v>8.3142499999999888</v>
      </c>
      <c r="H36" s="31">
        <f t="shared" si="29"/>
        <v>18291.349999999977</v>
      </c>
      <c r="I36" s="31">
        <f t="shared" si="30"/>
        <v>-691.34999999997672</v>
      </c>
      <c r="J36" s="108">
        <f t="shared" si="31"/>
        <v>-3.7796554108908108E-2</v>
      </c>
      <c r="K36" s="31">
        <f t="shared" si="32"/>
        <v>17600</v>
      </c>
      <c r="L36" s="31">
        <f t="shared" si="33"/>
        <v>-1194.9999999999982</v>
      </c>
      <c r="M36" s="31">
        <f t="shared" si="78"/>
        <v>5</v>
      </c>
      <c r="N36" s="31">
        <f t="shared" si="35"/>
        <v>0</v>
      </c>
      <c r="O36" s="125"/>
      <c r="P36" s="32">
        <f t="shared" si="36"/>
        <v>-0.31424999999998882</v>
      </c>
      <c r="Q36" s="31">
        <f t="shared" si="37"/>
        <v>-4005</v>
      </c>
      <c r="R36" s="34"/>
      <c r="S36" s="34">
        <f t="shared" si="38"/>
        <v>-17515.875</v>
      </c>
      <c r="T36" s="34">
        <f t="shared" si="39"/>
        <v>-2189.484375</v>
      </c>
      <c r="U36" s="34">
        <f t="shared" si="40"/>
        <v>10.515625</v>
      </c>
      <c r="V36" s="31">
        <f t="shared" si="41"/>
        <v>775.47499999997672</v>
      </c>
      <c r="W36" s="32">
        <f t="shared" si="42"/>
        <v>73.745022288259307</v>
      </c>
      <c r="X36" s="32">
        <f t="shared" si="43"/>
        <v>65.43077228825932</v>
      </c>
      <c r="Y36" s="32">
        <f t="shared" si="44"/>
        <v>-65.745022288259307</v>
      </c>
      <c r="Z36" s="38">
        <f t="shared" si="45"/>
        <v>209.21248142644873</v>
      </c>
      <c r="AA36" s="31">
        <f>SUM(L$2:L36)-SUM(AB$2:AB36)</f>
        <v>-913.05999999998403</v>
      </c>
      <c r="AB36" s="46"/>
      <c r="AC36" s="69">
        <f t="shared" si="0"/>
        <v>-86.3755406249971</v>
      </c>
      <c r="AD36" s="69">
        <f t="shared" si="1"/>
        <v>-2286.375540624997</v>
      </c>
      <c r="AH36" s="136">
        <v>44245</v>
      </c>
      <c r="AI36" s="342">
        <v>4361697</v>
      </c>
      <c r="AJ36" s="342">
        <v>159277</v>
      </c>
      <c r="AK36" s="46">
        <v>762.23</v>
      </c>
      <c r="AL36" s="345">
        <v>4241308.2300000004</v>
      </c>
      <c r="AM36" s="348">
        <f t="shared" si="79"/>
        <v>280428</v>
      </c>
      <c r="AN36" s="345">
        <f>SUMIF(逐日资产统计!$A:$A,盈亏统计!AH36,逐日资产统计!$I:$I)</f>
        <v>417006.64</v>
      </c>
      <c r="AO36" s="346">
        <f t="shared" si="80"/>
        <v>136578.64000000001</v>
      </c>
      <c r="AP36" s="351">
        <f>SUMIF(逐日资产统计!$A:$A,盈亏统计!AH36,逐日资产统计!$G:$G)</f>
        <v>-134371.66</v>
      </c>
      <c r="AQ36" s="352">
        <f t="shared" si="81"/>
        <v>8167.7599999999511</v>
      </c>
    </row>
    <row r="37" spans="1:44" x14ac:dyDescent="0.25">
      <c r="A37" s="99">
        <v>43046</v>
      </c>
      <c r="B37" s="100"/>
      <c r="C37" s="101" t="s">
        <v>63</v>
      </c>
      <c r="D37" s="104">
        <v>500</v>
      </c>
      <c r="E37" s="31">
        <v>7.85</v>
      </c>
      <c r="F37" s="102">
        <f t="shared" si="27"/>
        <v>2700</v>
      </c>
      <c r="G37" s="32">
        <f t="shared" si="28"/>
        <v>8.2301296296296211</v>
      </c>
      <c r="H37" s="31">
        <f t="shared" si="29"/>
        <v>22221.349999999977</v>
      </c>
      <c r="I37" s="31">
        <f t="shared" si="30"/>
        <v>-1026.3499999999767</v>
      </c>
      <c r="J37" s="108">
        <f t="shared" si="31"/>
        <v>-4.6187562861841384E-2</v>
      </c>
      <c r="K37" s="31">
        <f t="shared" si="32"/>
        <v>21195</v>
      </c>
      <c r="L37" s="31">
        <f t="shared" si="33"/>
        <v>-335</v>
      </c>
      <c r="M37" s="31">
        <f t="shared" si="78"/>
        <v>5</v>
      </c>
      <c r="N37" s="31">
        <f t="shared" si="35"/>
        <v>0</v>
      </c>
      <c r="O37" s="125"/>
      <c r="P37" s="32">
        <f t="shared" si="36"/>
        <v>-0.38012962962962149</v>
      </c>
      <c r="Q37" s="31">
        <f t="shared" si="37"/>
        <v>-3930</v>
      </c>
      <c r="R37" s="34"/>
      <c r="S37" s="34">
        <f t="shared" si="38"/>
        <v>-21445.875</v>
      </c>
      <c r="T37" s="34">
        <f t="shared" si="39"/>
        <v>-2731.9585987261148</v>
      </c>
      <c r="U37" s="34">
        <f t="shared" si="40"/>
        <v>-31.958598726114815</v>
      </c>
      <c r="V37" s="31">
        <f t="shared" si="41"/>
        <v>775.47499999997672</v>
      </c>
      <c r="W37" s="32">
        <f t="shared" si="42"/>
        <v>-24.264987543596554</v>
      </c>
      <c r="X37" s="32">
        <f t="shared" si="43"/>
        <v>-32.495117173226177</v>
      </c>
      <c r="Y37" s="32">
        <f t="shared" si="44"/>
        <v>32.114987543596555</v>
      </c>
      <c r="Z37" s="38">
        <f t="shared" si="45"/>
        <v>-84.484304932734986</v>
      </c>
      <c r="AA37" s="31">
        <f>SUM(L$2:L37)-SUM(AB$2:AB37)</f>
        <v>-1248.059999999984</v>
      </c>
      <c r="AB37" s="46"/>
      <c r="AC37" s="69">
        <f t="shared" si="0"/>
        <v>-130.67985031846837</v>
      </c>
      <c r="AD37" s="69">
        <f t="shared" si="1"/>
        <v>-2830.6798503184682</v>
      </c>
      <c r="AH37" s="136">
        <v>44246</v>
      </c>
      <c r="AI37" s="342">
        <v>4361697</v>
      </c>
      <c r="AJ37" s="342">
        <v>159277</v>
      </c>
      <c r="AK37" s="46">
        <v>762.23</v>
      </c>
      <c r="AL37" s="345">
        <v>4241308.2300000004</v>
      </c>
      <c r="AM37" s="348">
        <f t="shared" si="79"/>
        <v>280428</v>
      </c>
      <c r="AN37" s="345">
        <f>SUMIF(逐日资产统计!$A:$A,盈亏统计!AH37,逐日资产统计!$I:$I)</f>
        <v>427112.22</v>
      </c>
      <c r="AO37" s="346">
        <f t="shared" si="80"/>
        <v>146684.21999999997</v>
      </c>
      <c r="AP37" s="351">
        <f>SUMIF(逐日资产统计!$A:$A,盈亏统计!AH37,逐日资产统计!$G:$G)</f>
        <v>-124266.07999999999</v>
      </c>
      <c r="AQ37" s="352">
        <f t="shared" si="81"/>
        <v>10105.579999999958</v>
      </c>
    </row>
    <row r="38" spans="1:44" x14ac:dyDescent="0.25">
      <c r="A38" s="99">
        <v>43047</v>
      </c>
      <c r="B38" s="100"/>
      <c r="C38" s="101" t="s">
        <v>69</v>
      </c>
      <c r="D38" s="104">
        <v>400</v>
      </c>
      <c r="E38" s="31">
        <v>8.0500000000000007</v>
      </c>
      <c r="F38" s="102">
        <f t="shared" si="27"/>
        <v>2300</v>
      </c>
      <c r="G38" s="32">
        <f t="shared" si="28"/>
        <v>8.2650304347825987</v>
      </c>
      <c r="H38" s="31">
        <f t="shared" si="29"/>
        <v>19009.569999999978</v>
      </c>
      <c r="I38" s="31">
        <f t="shared" si="30"/>
        <v>-494.56999999997788</v>
      </c>
      <c r="J38" s="108">
        <f t="shared" si="31"/>
        <v>-2.601689570042752E-2</v>
      </c>
      <c r="K38" s="31">
        <f t="shared" si="32"/>
        <v>18515</v>
      </c>
      <c r="L38" s="31">
        <f t="shared" si="33"/>
        <v>531.77999999999884</v>
      </c>
      <c r="M38" s="31">
        <f t="shared" si="78"/>
        <v>5</v>
      </c>
      <c r="N38" s="31">
        <f t="shared" si="35"/>
        <v>3.2200000000000006</v>
      </c>
      <c r="O38" s="125"/>
      <c r="P38" s="32">
        <f t="shared" si="36"/>
        <v>-0.21503043478259798</v>
      </c>
      <c r="Q38" s="31">
        <f t="shared" si="37"/>
        <v>3211.7799999999988</v>
      </c>
      <c r="R38" s="34"/>
      <c r="S38" s="34">
        <f t="shared" si="38"/>
        <v>-18234.095000000001</v>
      </c>
      <c r="T38" s="34">
        <f t="shared" si="39"/>
        <v>-2265.1049689440993</v>
      </c>
      <c r="U38" s="34">
        <f t="shared" si="40"/>
        <v>34.895031055900745</v>
      </c>
      <c r="V38" s="31">
        <f t="shared" si="41"/>
        <v>775.47499999997672</v>
      </c>
      <c r="W38" s="32">
        <f t="shared" si="42"/>
        <v>22.223078086896958</v>
      </c>
      <c r="X38" s="32">
        <f t="shared" si="43"/>
        <v>13.958047652114359</v>
      </c>
      <c r="Y38" s="32">
        <f t="shared" si="44"/>
        <v>-14.173078086896957</v>
      </c>
      <c r="Z38" s="38">
        <f t="shared" si="45"/>
        <v>65.911963119203762</v>
      </c>
      <c r="AA38" s="31">
        <f>SUM(L$2:L38)-SUM(AB$2:AB38)</f>
        <v>-716.27999999998519</v>
      </c>
      <c r="AB38" s="46"/>
      <c r="AC38" s="69">
        <f t="shared" si="0"/>
        <v>-61.406548447202219</v>
      </c>
      <c r="AD38" s="69">
        <f t="shared" si="1"/>
        <v>-2361.4065484472021</v>
      </c>
    </row>
    <row r="39" spans="1:44" x14ac:dyDescent="0.25">
      <c r="A39" s="99">
        <v>43048</v>
      </c>
      <c r="B39" s="100" t="s">
        <v>181</v>
      </c>
      <c r="C39" s="101" t="s">
        <v>63</v>
      </c>
      <c r="D39" s="104">
        <v>500</v>
      </c>
      <c r="E39" s="31">
        <v>7.72</v>
      </c>
      <c r="F39" s="102">
        <f t="shared" si="27"/>
        <v>2800</v>
      </c>
      <c r="G39" s="32">
        <f t="shared" si="28"/>
        <v>8.1694892857142776</v>
      </c>
      <c r="H39" s="31">
        <f t="shared" si="29"/>
        <v>22874.569999999978</v>
      </c>
      <c r="I39" s="31">
        <f t="shared" si="30"/>
        <v>-1258.5699999999779</v>
      </c>
      <c r="J39" s="108">
        <f t="shared" si="31"/>
        <v>-5.5020487816819251E-2</v>
      </c>
      <c r="K39" s="31">
        <f t="shared" si="32"/>
        <v>21616</v>
      </c>
      <c r="L39" s="31">
        <f t="shared" si="33"/>
        <v>-764</v>
      </c>
      <c r="M39" s="31">
        <f t="shared" si="78"/>
        <v>5</v>
      </c>
      <c r="N39" s="31">
        <f t="shared" si="35"/>
        <v>0</v>
      </c>
      <c r="O39" s="125"/>
      <c r="P39" s="32">
        <f t="shared" si="36"/>
        <v>-0.44948928571427782</v>
      </c>
      <c r="Q39" s="31">
        <f t="shared" si="37"/>
        <v>-3865</v>
      </c>
      <c r="R39" s="34"/>
      <c r="S39" s="34">
        <f t="shared" si="38"/>
        <v>-22099.095000000001</v>
      </c>
      <c r="T39" s="34">
        <f t="shared" si="39"/>
        <v>-2862.5770725388602</v>
      </c>
      <c r="U39" s="34">
        <f t="shared" si="40"/>
        <v>-62.577072538860193</v>
      </c>
      <c r="V39" s="31">
        <f t="shared" si="41"/>
        <v>775.47499999997672</v>
      </c>
      <c r="W39" s="32">
        <f t="shared" si="42"/>
        <v>-12.392318281083041</v>
      </c>
      <c r="X39" s="32">
        <f t="shared" si="43"/>
        <v>-20.56180756679732</v>
      </c>
      <c r="Y39" s="32">
        <f t="shared" si="44"/>
        <v>20.112318281083041</v>
      </c>
      <c r="Z39" s="38">
        <f t="shared" si="45"/>
        <v>-44.744822446930662</v>
      </c>
      <c r="AA39" s="31">
        <f>SUM(L$2:L39)-SUM(AB$2:AB39)</f>
        <v>-1480.2799999999852</v>
      </c>
      <c r="AB39" s="46"/>
      <c r="AC39" s="69">
        <f t="shared" si="0"/>
        <v>-162.94568847149975</v>
      </c>
      <c r="AD39" s="69">
        <f t="shared" si="1"/>
        <v>-2962.9456884714996</v>
      </c>
    </row>
    <row r="40" spans="1:44" x14ac:dyDescent="0.25">
      <c r="A40" s="99">
        <v>43049</v>
      </c>
      <c r="B40" s="100" t="s">
        <v>475</v>
      </c>
      <c r="C40" s="101" t="s">
        <v>63</v>
      </c>
      <c r="D40" s="104">
        <v>500</v>
      </c>
      <c r="E40" s="31">
        <v>7.54</v>
      </c>
      <c r="F40" s="102">
        <f t="shared" si="27"/>
        <v>3300</v>
      </c>
      <c r="G40" s="32">
        <f t="shared" si="28"/>
        <v>8.0756272727272655</v>
      </c>
      <c r="H40" s="31">
        <f t="shared" si="29"/>
        <v>26649.569999999978</v>
      </c>
      <c r="I40" s="31">
        <f t="shared" si="30"/>
        <v>-1767.5699999999779</v>
      </c>
      <c r="J40" s="108">
        <f t="shared" si="31"/>
        <v>-6.6326398512245324E-2</v>
      </c>
      <c r="K40" s="31">
        <f t="shared" si="32"/>
        <v>24882</v>
      </c>
      <c r="L40" s="31">
        <f t="shared" si="33"/>
        <v>-509</v>
      </c>
      <c r="M40" s="31">
        <f t="shared" si="78"/>
        <v>5</v>
      </c>
      <c r="N40" s="31">
        <f t="shared" si="35"/>
        <v>0</v>
      </c>
      <c r="O40" s="125"/>
      <c r="P40" s="32">
        <f t="shared" si="36"/>
        <v>-0.53562727272726551</v>
      </c>
      <c r="Q40" s="31">
        <f t="shared" si="37"/>
        <v>-3775</v>
      </c>
      <c r="R40" s="34"/>
      <c r="S40" s="34">
        <f t="shared" si="38"/>
        <v>-25874.095000000001</v>
      </c>
      <c r="T40" s="34">
        <f t="shared" si="39"/>
        <v>-3431.5775862068967</v>
      </c>
      <c r="U40" s="34">
        <f t="shared" si="40"/>
        <v>-131.57758620689674</v>
      </c>
      <c r="V40" s="31">
        <f t="shared" si="41"/>
        <v>775.47499999997672</v>
      </c>
      <c r="W40" s="32">
        <f t="shared" si="42"/>
        <v>-5.8936709690098388</v>
      </c>
      <c r="X40" s="32">
        <f t="shared" si="43"/>
        <v>-13.969298241737103</v>
      </c>
      <c r="Y40" s="32">
        <f t="shared" si="44"/>
        <v>13.433670969009839</v>
      </c>
      <c r="Z40" s="38">
        <f t="shared" si="45"/>
        <v>-25.080259450959801</v>
      </c>
      <c r="AA40" s="31">
        <f>SUM(L$2:L40)-SUM(AB$2:AB40)</f>
        <v>-1989.2799999999852</v>
      </c>
      <c r="AB40" s="46"/>
      <c r="AC40" s="69">
        <f t="shared" si="0"/>
        <v>-234.30851657824641</v>
      </c>
      <c r="AD40" s="69">
        <f t="shared" si="1"/>
        <v>-3534.3085165782463</v>
      </c>
    </row>
    <row r="41" spans="1:44" x14ac:dyDescent="0.25">
      <c r="A41" s="99">
        <v>43049</v>
      </c>
      <c r="B41" s="100" t="s">
        <v>606</v>
      </c>
      <c r="C41" s="101" t="s">
        <v>69</v>
      </c>
      <c r="D41" s="104">
        <v>400</v>
      </c>
      <c r="E41" s="31">
        <v>7.88</v>
      </c>
      <c r="F41" s="102">
        <f t="shared" si="27"/>
        <v>2900</v>
      </c>
      <c r="G41" s="32">
        <f t="shared" si="28"/>
        <v>8.1054213793103358</v>
      </c>
      <c r="H41" s="31">
        <f t="shared" si="29"/>
        <v>23505.721999999976</v>
      </c>
      <c r="I41" s="31">
        <f t="shared" si="30"/>
        <v>-653.72199999997611</v>
      </c>
      <c r="J41" s="108">
        <f t="shared" si="31"/>
        <v>-2.7811185718948556E-2</v>
      </c>
      <c r="K41" s="31">
        <f t="shared" si="32"/>
        <v>22852</v>
      </c>
      <c r="L41" s="31">
        <f t="shared" si="33"/>
        <v>1113.8480000000018</v>
      </c>
      <c r="M41" s="31">
        <f t="shared" si="78"/>
        <v>5</v>
      </c>
      <c r="N41" s="31">
        <f t="shared" si="35"/>
        <v>3.1520000000000001</v>
      </c>
      <c r="O41" s="125"/>
      <c r="P41" s="32">
        <f t="shared" si="36"/>
        <v>-0.2254213793103359</v>
      </c>
      <c r="Q41" s="31">
        <f t="shared" si="37"/>
        <v>3143.8480000000018</v>
      </c>
      <c r="R41" s="34"/>
      <c r="S41" s="34">
        <f t="shared" si="38"/>
        <v>-22730.246999999999</v>
      </c>
      <c r="T41" s="34">
        <f t="shared" si="39"/>
        <v>-2884.5491116751268</v>
      </c>
      <c r="U41" s="34">
        <f t="shared" si="40"/>
        <v>15.450888324873176</v>
      </c>
      <c r="V41" s="31">
        <f t="shared" si="41"/>
        <v>775.47499999997672</v>
      </c>
      <c r="W41" s="32">
        <f t="shared" si="42"/>
        <v>50.189670891064573</v>
      </c>
      <c r="X41" s="32">
        <f t="shared" si="43"/>
        <v>42.084249511754237</v>
      </c>
      <c r="Y41" s="32">
        <f t="shared" si="44"/>
        <v>-42.30967089106457</v>
      </c>
      <c r="Z41" s="38">
        <f t="shared" si="45"/>
        <v>187.69147372138576</v>
      </c>
      <c r="AA41" s="31">
        <f>SUM(L$2:L41)-SUM(AB$2:AB41)</f>
        <v>-875.43199999998342</v>
      </c>
      <c r="AB41" s="46"/>
      <c r="AC41" s="69">
        <f t="shared" si="0"/>
        <v>-82.918164847712717</v>
      </c>
      <c r="AD41" s="69">
        <f t="shared" si="1"/>
        <v>-2982.9181648477129</v>
      </c>
    </row>
    <row r="42" spans="1:44" x14ac:dyDescent="0.25">
      <c r="A42" s="99">
        <v>43052</v>
      </c>
      <c r="B42" s="100"/>
      <c r="C42" s="101" t="s">
        <v>69</v>
      </c>
      <c r="D42" s="104">
        <v>400</v>
      </c>
      <c r="E42" s="31">
        <v>8.01</v>
      </c>
      <c r="F42" s="102">
        <f t="shared" si="27"/>
        <v>2500</v>
      </c>
      <c r="G42" s="32">
        <f t="shared" si="28"/>
        <v>8.1239703999999904</v>
      </c>
      <c r="H42" s="31">
        <f t="shared" si="29"/>
        <v>20309.925999999978</v>
      </c>
      <c r="I42" s="31">
        <f t="shared" si="30"/>
        <v>-284.92599999997765</v>
      </c>
      <c r="J42" s="108">
        <f t="shared" si="31"/>
        <v>-1.4028903896546784E-2</v>
      </c>
      <c r="K42" s="31">
        <f t="shared" si="32"/>
        <v>20025</v>
      </c>
      <c r="L42" s="31">
        <f t="shared" si="33"/>
        <v>368.79599999999846</v>
      </c>
      <c r="M42" s="31">
        <f t="shared" si="78"/>
        <v>5</v>
      </c>
      <c r="N42" s="31">
        <f t="shared" si="35"/>
        <v>3.2040000000000002</v>
      </c>
      <c r="O42" s="125"/>
      <c r="P42" s="32">
        <f t="shared" si="36"/>
        <v>-0.11397039999999059</v>
      </c>
      <c r="Q42" s="31">
        <f t="shared" si="37"/>
        <v>3195.7959999999985</v>
      </c>
      <c r="R42" s="34"/>
      <c r="S42" s="34">
        <f t="shared" si="38"/>
        <v>-19534.451000000001</v>
      </c>
      <c r="T42" s="34">
        <f t="shared" si="39"/>
        <v>-2438.7579275905118</v>
      </c>
      <c r="U42" s="34">
        <f t="shared" si="40"/>
        <v>61.242072409488173</v>
      </c>
      <c r="V42" s="31">
        <f t="shared" si="41"/>
        <v>775.47499999997672</v>
      </c>
      <c r="W42" s="32">
        <f t="shared" si="42"/>
        <v>12.662455228733133</v>
      </c>
      <c r="X42" s="32">
        <f t="shared" si="43"/>
        <v>4.538484828733143</v>
      </c>
      <c r="Y42" s="32">
        <f t="shared" si="44"/>
        <v>-4.6524552287331336</v>
      </c>
      <c r="Z42" s="38">
        <f t="shared" si="45"/>
        <v>40.821610073611382</v>
      </c>
      <c r="AA42" s="31">
        <f>SUM(L$2:L42)-SUM(AB$2:AB42)</f>
        <v>-506.63599999998496</v>
      </c>
      <c r="AB42" s="46"/>
      <c r="AC42" s="69">
        <f t="shared" si="0"/>
        <v>-35.553500249685101</v>
      </c>
      <c r="AD42" s="69">
        <f t="shared" si="1"/>
        <v>-2535.5535002496849</v>
      </c>
    </row>
    <row r="43" spans="1:44" x14ac:dyDescent="0.25">
      <c r="A43" s="99">
        <v>43052</v>
      </c>
      <c r="B43" s="100"/>
      <c r="C43" s="101" t="s">
        <v>69</v>
      </c>
      <c r="D43" s="104">
        <v>400</v>
      </c>
      <c r="E43" s="31">
        <v>8.1300000000000008</v>
      </c>
      <c r="F43" s="102">
        <f t="shared" si="27"/>
        <v>2100</v>
      </c>
      <c r="G43" s="32">
        <f t="shared" si="28"/>
        <v>8.1267514285714189</v>
      </c>
      <c r="H43" s="31">
        <f t="shared" si="29"/>
        <v>17066.177999999978</v>
      </c>
      <c r="I43" s="31">
        <f t="shared" si="30"/>
        <v>6.8220000000219443</v>
      </c>
      <c r="J43" s="108">
        <f t="shared" si="31"/>
        <v>3.9973800812472785E-4</v>
      </c>
      <c r="K43" s="31">
        <f t="shared" si="32"/>
        <v>17073</v>
      </c>
      <c r="L43" s="31">
        <f t="shared" si="33"/>
        <v>291.74799999999959</v>
      </c>
      <c r="M43" s="31">
        <f t="shared" si="78"/>
        <v>5</v>
      </c>
      <c r="N43" s="31">
        <f t="shared" si="35"/>
        <v>3.2520000000000007</v>
      </c>
      <c r="O43" s="125"/>
      <c r="P43" s="32">
        <f t="shared" si="36"/>
        <v>3.2485714285819256E-3</v>
      </c>
      <c r="Q43" s="31">
        <f t="shared" si="37"/>
        <v>3243.7479999999996</v>
      </c>
      <c r="R43" s="34"/>
      <c r="S43" s="34">
        <f t="shared" si="38"/>
        <v>-16290.703000000001</v>
      </c>
      <c r="T43" s="34">
        <f t="shared" si="39"/>
        <v>-2003.7765067650676</v>
      </c>
      <c r="U43" s="34">
        <f t="shared" si="40"/>
        <v>96.223493234932448</v>
      </c>
      <c r="V43" s="31">
        <f t="shared" si="41"/>
        <v>775.47499999997672</v>
      </c>
      <c r="W43" s="32">
        <f t="shared" si="42"/>
        <v>8.0591025531221572</v>
      </c>
      <c r="X43" s="32">
        <f t="shared" si="43"/>
        <v>-6.7648875449261681E-2</v>
      </c>
      <c r="Y43" s="32">
        <f t="shared" si="44"/>
        <v>7.0897446877843606E-2</v>
      </c>
      <c r="Z43" s="38">
        <f t="shared" si="45"/>
        <v>21.824192090727667</v>
      </c>
      <c r="AA43" s="31">
        <f>SUM(L$2:L43)-SUM(AB$2:AB43)</f>
        <v>-214.88799999998537</v>
      </c>
      <c r="AB43" s="46"/>
      <c r="AC43" s="69">
        <f t="shared" si="0"/>
        <v>0.83869483395103728</v>
      </c>
      <c r="AD43" s="69">
        <f t="shared" si="1"/>
        <v>-2099.1613051660488</v>
      </c>
    </row>
    <row r="44" spans="1:44" x14ac:dyDescent="0.25">
      <c r="A44" s="99">
        <v>43052</v>
      </c>
      <c r="B44" s="106"/>
      <c r="C44" s="101" t="s">
        <v>69</v>
      </c>
      <c r="D44" s="104">
        <v>400</v>
      </c>
      <c r="E44" s="31">
        <v>8.15</v>
      </c>
      <c r="F44" s="102">
        <f t="shared" si="27"/>
        <v>1700</v>
      </c>
      <c r="G44" s="32">
        <f t="shared" si="28"/>
        <v>8.126139999999987</v>
      </c>
      <c r="H44" s="31">
        <f t="shared" si="29"/>
        <v>13814.437999999978</v>
      </c>
      <c r="I44" s="31">
        <f t="shared" si="30"/>
        <v>40.562000000021726</v>
      </c>
      <c r="J44" s="108">
        <f t="shared" si="31"/>
        <v>2.9362034126920473E-3</v>
      </c>
      <c r="K44" s="31">
        <f t="shared" si="32"/>
        <v>13855</v>
      </c>
      <c r="L44" s="31">
        <f t="shared" si="33"/>
        <v>33.739999999999782</v>
      </c>
      <c r="M44" s="31">
        <f t="shared" si="78"/>
        <v>5</v>
      </c>
      <c r="N44" s="31">
        <f t="shared" si="35"/>
        <v>3.26</v>
      </c>
      <c r="O44" s="125"/>
      <c r="P44" s="32">
        <f t="shared" si="36"/>
        <v>2.3860000000013315E-2</v>
      </c>
      <c r="Q44" s="31">
        <f t="shared" si="37"/>
        <v>3251.74</v>
      </c>
      <c r="R44" s="34"/>
      <c r="S44" s="34">
        <f t="shared" si="38"/>
        <v>-13038.963000000002</v>
      </c>
      <c r="T44" s="34">
        <f t="shared" si="39"/>
        <v>-1599.8727607361964</v>
      </c>
      <c r="U44" s="34">
        <f t="shared" si="40"/>
        <v>100.12723926380363</v>
      </c>
      <c r="V44" s="31">
        <f t="shared" si="41"/>
        <v>775.47499999997672</v>
      </c>
      <c r="W44" s="32">
        <f t="shared" si="42"/>
        <v>7.7448954520442248</v>
      </c>
      <c r="X44" s="32">
        <f t="shared" si="43"/>
        <v>-0.38124454795576224</v>
      </c>
      <c r="Y44" s="32">
        <f t="shared" si="44"/>
        <v>0.40510454795577555</v>
      </c>
      <c r="Z44" s="38">
        <f t="shared" si="45"/>
        <v>16.978396812889621</v>
      </c>
      <c r="AA44" s="31">
        <f>SUM(L$2:L44)-SUM(AB$2:AB44)</f>
        <v>-181.14799999998559</v>
      </c>
      <c r="AB44" s="46"/>
      <c r="AC44" s="69">
        <f t="shared" si="0"/>
        <v>4.9744440490824191</v>
      </c>
      <c r="AD44" s="69">
        <f t="shared" si="1"/>
        <v>-1695.0255559509176</v>
      </c>
    </row>
    <row r="45" spans="1:44" x14ac:dyDescent="0.25">
      <c r="A45" s="99">
        <v>43053</v>
      </c>
      <c r="B45" s="106"/>
      <c r="C45" s="101" t="s">
        <v>69</v>
      </c>
      <c r="D45" s="104">
        <v>400</v>
      </c>
      <c r="E45" s="31">
        <v>8.25</v>
      </c>
      <c r="F45" s="102">
        <f t="shared" si="27"/>
        <v>1300</v>
      </c>
      <c r="G45" s="32">
        <f t="shared" si="28"/>
        <v>8.0944138461538291</v>
      </c>
      <c r="H45" s="31">
        <f t="shared" si="29"/>
        <v>10522.737999999978</v>
      </c>
      <c r="I45" s="31">
        <f t="shared" si="30"/>
        <v>202.26200000002245</v>
      </c>
      <c r="J45" s="108">
        <f t="shared" si="31"/>
        <v>1.9221423169523237E-2</v>
      </c>
      <c r="K45" s="31">
        <f t="shared" si="32"/>
        <v>10725</v>
      </c>
      <c r="L45" s="31">
        <f t="shared" si="33"/>
        <v>161.70000000000073</v>
      </c>
      <c r="M45" s="31">
        <f t="shared" si="78"/>
        <v>5</v>
      </c>
      <c r="N45" s="31">
        <f t="shared" si="35"/>
        <v>3.3</v>
      </c>
      <c r="O45" s="125"/>
      <c r="P45" s="32">
        <f t="shared" si="36"/>
        <v>0.15558615384617092</v>
      </c>
      <c r="Q45" s="31">
        <f t="shared" si="37"/>
        <v>3291.7000000000007</v>
      </c>
      <c r="R45" s="34"/>
      <c r="S45" s="34">
        <f t="shared" si="38"/>
        <v>-9747.2630000000008</v>
      </c>
      <c r="T45" s="34">
        <f t="shared" si="39"/>
        <v>-1181.4864242424244</v>
      </c>
      <c r="U45" s="34">
        <f t="shared" si="40"/>
        <v>118.51357575757561</v>
      </c>
      <c r="V45" s="31">
        <f t="shared" si="41"/>
        <v>775.47499999997672</v>
      </c>
      <c r="W45" s="32">
        <f t="shared" si="42"/>
        <v>6.5433431996537061</v>
      </c>
      <c r="X45" s="32">
        <f t="shared" si="43"/>
        <v>-1.5510706465001229</v>
      </c>
      <c r="Y45" s="32">
        <f t="shared" si="44"/>
        <v>1.7066568003462939</v>
      </c>
      <c r="Z45" s="38">
        <f t="shared" si="45"/>
        <v>10.969207465811373</v>
      </c>
      <c r="AA45" s="31">
        <f>SUM(L$2:L45)-SUM(AB$2:AB45)</f>
        <v>-19.447999999984859</v>
      </c>
      <c r="AB45" s="46"/>
      <c r="AC45" s="69">
        <f t="shared" si="0"/>
        <v>24.504347757578479</v>
      </c>
      <c r="AD45" s="69">
        <f t="shared" si="1"/>
        <v>-1275.4956522424216</v>
      </c>
    </row>
    <row r="46" spans="1:44" x14ac:dyDescent="0.25">
      <c r="A46" s="99">
        <v>43054</v>
      </c>
      <c r="B46" s="100" t="s">
        <v>607</v>
      </c>
      <c r="C46" s="101" t="s">
        <v>63</v>
      </c>
      <c r="D46" s="104">
        <v>500</v>
      </c>
      <c r="E46" s="31">
        <v>8.01</v>
      </c>
      <c r="F46" s="102">
        <f t="shared" si="27"/>
        <v>1800</v>
      </c>
      <c r="G46" s="32">
        <f t="shared" si="28"/>
        <v>8.0737433333333204</v>
      </c>
      <c r="H46" s="31">
        <f t="shared" si="29"/>
        <v>14532.737999999978</v>
      </c>
      <c r="I46" s="31">
        <f t="shared" si="30"/>
        <v>-114.73799999997755</v>
      </c>
      <c r="J46" s="108">
        <f t="shared" si="31"/>
        <v>-7.8951399247669148E-3</v>
      </c>
      <c r="K46" s="31">
        <f t="shared" si="32"/>
        <v>14418</v>
      </c>
      <c r="L46" s="31">
        <f t="shared" si="33"/>
        <v>-317</v>
      </c>
      <c r="M46" s="31">
        <f t="shared" si="78"/>
        <v>5</v>
      </c>
      <c r="N46" s="31">
        <f t="shared" si="35"/>
        <v>0</v>
      </c>
      <c r="O46" s="125"/>
      <c r="P46" s="32">
        <f t="shared" si="36"/>
        <v>-6.3743333333320606E-2</v>
      </c>
      <c r="Q46" s="31">
        <f t="shared" si="37"/>
        <v>-4010</v>
      </c>
      <c r="R46" s="34"/>
      <c r="S46" s="34">
        <f t="shared" si="38"/>
        <v>-13757.263000000001</v>
      </c>
      <c r="T46" s="34">
        <f t="shared" si="39"/>
        <v>-1717.5109862671661</v>
      </c>
      <c r="U46" s="34">
        <f t="shared" si="40"/>
        <v>82.489013732833882</v>
      </c>
      <c r="V46" s="31">
        <f t="shared" si="41"/>
        <v>775.47499999997672</v>
      </c>
      <c r="W46" s="32">
        <f t="shared" si="42"/>
        <v>9.4009488646765949</v>
      </c>
      <c r="X46" s="32">
        <f t="shared" si="43"/>
        <v>1.3272055313432745</v>
      </c>
      <c r="Y46" s="32">
        <f t="shared" si="44"/>
        <v>-1.3909488646765951</v>
      </c>
      <c r="Z46" s="38">
        <f t="shared" si="45"/>
        <v>21.821087664229509</v>
      </c>
      <c r="AA46" s="31">
        <f>SUM(L$2:L46)-SUM(AB$2:AB46)</f>
        <v>-336.44799999998486</v>
      </c>
      <c r="AB46" s="46"/>
      <c r="AC46" s="69">
        <f t="shared" si="0"/>
        <v>-14.317182397000945</v>
      </c>
      <c r="AD46" s="69">
        <f t="shared" si="1"/>
        <v>-1814.317182397001</v>
      </c>
    </row>
    <row r="47" spans="1:44" x14ac:dyDescent="0.25">
      <c r="A47" s="99">
        <v>43055</v>
      </c>
      <c r="B47" s="106"/>
      <c r="C47" s="101" t="s">
        <v>69</v>
      </c>
      <c r="D47" s="104">
        <v>400</v>
      </c>
      <c r="E47" s="31">
        <v>8.26</v>
      </c>
      <c r="F47" s="102">
        <f t="shared" si="27"/>
        <v>1400</v>
      </c>
      <c r="G47" s="32">
        <f t="shared" si="28"/>
        <v>8.0264585714285559</v>
      </c>
      <c r="H47" s="31">
        <f t="shared" si="29"/>
        <v>11237.041999999978</v>
      </c>
      <c r="I47" s="31">
        <f t="shared" si="30"/>
        <v>326.95800000002237</v>
      </c>
      <c r="J47" s="108">
        <f t="shared" si="31"/>
        <v>2.9096447267886166E-2</v>
      </c>
      <c r="K47" s="31">
        <f t="shared" si="32"/>
        <v>11564</v>
      </c>
      <c r="L47" s="31">
        <f t="shared" si="33"/>
        <v>441.69599999999991</v>
      </c>
      <c r="M47" s="31">
        <f t="shared" si="78"/>
        <v>5</v>
      </c>
      <c r="N47" s="31">
        <f t="shared" si="35"/>
        <v>3.3039999999999998</v>
      </c>
      <c r="O47" s="125"/>
      <c r="P47" s="32">
        <f t="shared" si="36"/>
        <v>0.23354142857144389</v>
      </c>
      <c r="Q47" s="31">
        <f t="shared" si="37"/>
        <v>3295.6959999999999</v>
      </c>
      <c r="R47" s="34"/>
      <c r="S47" s="34">
        <f t="shared" si="38"/>
        <v>-10461.567000000001</v>
      </c>
      <c r="T47" s="34">
        <f t="shared" si="39"/>
        <v>-1266.5335351089591</v>
      </c>
      <c r="U47" s="34">
        <f t="shared" si="40"/>
        <v>133.46646489104091</v>
      </c>
      <c r="V47" s="31">
        <f t="shared" si="41"/>
        <v>775.47499999997672</v>
      </c>
      <c r="W47" s="32">
        <f t="shared" si="42"/>
        <v>5.8102610317360055</v>
      </c>
      <c r="X47" s="32">
        <f t="shared" si="43"/>
        <v>-2.2161975396925504</v>
      </c>
      <c r="Y47" s="32">
        <f t="shared" si="44"/>
        <v>2.4497389682639943</v>
      </c>
      <c r="Z47" s="38">
        <f t="shared" si="45"/>
        <v>10.489526347632937</v>
      </c>
      <c r="AA47" s="31">
        <f>SUM(L$2:L47)-SUM(AB$2:AB47)</f>
        <v>105.24800000001505</v>
      </c>
      <c r="AB47" s="46"/>
      <c r="AC47" s="69">
        <f t="shared" si="0"/>
        <v>39.563501331721838</v>
      </c>
      <c r="AD47" s="69">
        <f t="shared" si="1"/>
        <v>-1360.4364986682781</v>
      </c>
    </row>
    <row r="48" spans="1:44" x14ac:dyDescent="0.25">
      <c r="A48" s="99">
        <v>43055</v>
      </c>
      <c r="B48" s="106"/>
      <c r="C48" s="101" t="s">
        <v>69</v>
      </c>
      <c r="D48" s="104">
        <v>400</v>
      </c>
      <c r="E48" s="31">
        <v>8.34</v>
      </c>
      <c r="F48" s="102">
        <f t="shared" si="27"/>
        <v>1000</v>
      </c>
      <c r="G48" s="32">
        <f t="shared" si="28"/>
        <v>7.909377999999978</v>
      </c>
      <c r="H48" s="31">
        <f t="shared" si="29"/>
        <v>7909.3779999999779</v>
      </c>
      <c r="I48" s="31">
        <f t="shared" si="30"/>
        <v>430.62200000002213</v>
      </c>
      <c r="J48" s="108">
        <f t="shared" si="31"/>
        <v>5.4444483497946741E-2</v>
      </c>
      <c r="K48" s="31">
        <f t="shared" si="32"/>
        <v>8340</v>
      </c>
      <c r="L48" s="31">
        <f t="shared" si="33"/>
        <v>103.66399999999976</v>
      </c>
      <c r="M48" s="31">
        <f t="shared" si="78"/>
        <v>5</v>
      </c>
      <c r="N48" s="31">
        <f t="shared" si="35"/>
        <v>3.3359999999999999</v>
      </c>
      <c r="O48" s="125"/>
      <c r="P48" s="32">
        <f t="shared" si="36"/>
        <v>0.43062200000002182</v>
      </c>
      <c r="Q48" s="31">
        <f t="shared" si="37"/>
        <v>3327.6639999999998</v>
      </c>
      <c r="R48" s="34"/>
      <c r="S48" s="34">
        <f t="shared" si="38"/>
        <v>-7133.9030000000012</v>
      </c>
      <c r="T48" s="34">
        <f t="shared" si="39"/>
        <v>-855.38405275779394</v>
      </c>
      <c r="U48" s="34">
        <f t="shared" si="40"/>
        <v>144.61594724220606</v>
      </c>
      <c r="V48" s="31">
        <f t="shared" si="41"/>
        <v>775.47499999997672</v>
      </c>
      <c r="W48" s="32">
        <f t="shared" si="42"/>
        <v>5.3623062655821325</v>
      </c>
      <c r="X48" s="32">
        <f t="shared" si="43"/>
        <v>-2.5470717344178455</v>
      </c>
      <c r="Y48" s="32">
        <f t="shared" si="44"/>
        <v>2.9776937344178673</v>
      </c>
      <c r="Z48" s="38">
        <f t="shared" si="45"/>
        <v>6.914866714700401</v>
      </c>
      <c r="AA48" s="31">
        <f>SUM(L$2:L48)-SUM(AB$2:AB48)</f>
        <v>208.91200000001481</v>
      </c>
      <c r="AB48" s="46"/>
      <c r="AC48" s="69">
        <f t="shared" si="0"/>
        <v>51.607516666669326</v>
      </c>
      <c r="AD48" s="69">
        <f t="shared" si="1"/>
        <v>-948.39248333333069</v>
      </c>
    </row>
    <row r="49" spans="1:30" x14ac:dyDescent="0.25">
      <c r="A49" s="99">
        <v>43056</v>
      </c>
      <c r="B49" s="100" t="s">
        <v>177</v>
      </c>
      <c r="C49" s="101" t="s">
        <v>63</v>
      </c>
      <c r="D49" s="104">
        <v>500</v>
      </c>
      <c r="E49" s="31">
        <v>7.61</v>
      </c>
      <c r="F49" s="102">
        <f t="shared" ref="F49:F63" si="82">IF(C49="买",F48+D49,F48-D49)</f>
        <v>1500</v>
      </c>
      <c r="G49" s="32">
        <f t="shared" ref="G49:G63" si="83">H49/F49</f>
        <v>7.8129186666666524</v>
      </c>
      <c r="H49" s="31">
        <f t="shared" ref="H49:H55" si="84">IF(C49="买",H48+D49*E49+M49+N49,H48+-1*D49*E49+M49+N49)+O48</f>
        <v>11719.377999999979</v>
      </c>
      <c r="I49" s="31">
        <f t="shared" ref="I49:I55" si="85">-H49+K49</f>
        <v>-304.37799999997878</v>
      </c>
      <c r="J49" s="108">
        <f t="shared" ref="J49:J55" si="86">(E49-G49)/G49</f>
        <v>-2.5972197500582252E-2</v>
      </c>
      <c r="K49" s="31">
        <f t="shared" ref="K49:K55" si="87">F49*E49</f>
        <v>11415</v>
      </c>
      <c r="L49" s="31">
        <f t="shared" ref="L49:L55" si="88">I49-I48</f>
        <v>-735.00000000000091</v>
      </c>
      <c r="M49" s="31">
        <f t="shared" ref="M49:M55" si="89">IF(D49*E49*2.5/10000&gt;5,D49*E49*2.5/10000,5)</f>
        <v>5</v>
      </c>
      <c r="N49" s="31">
        <f t="shared" ref="N49:N55" si="90">IF(C49="卖",D49*E49/1000,0)</f>
        <v>0</v>
      </c>
      <c r="O49" s="125"/>
      <c r="P49" s="32">
        <f t="shared" ref="P49:P55" si="91">E49-G49</f>
        <v>-0.20291866666665204</v>
      </c>
      <c r="Q49" s="31">
        <f t="shared" ref="Q49:Q55" si="92">(H49-H48)*-1</f>
        <v>-3810.0000000000009</v>
      </c>
      <c r="R49" s="34"/>
      <c r="S49" s="34">
        <f t="shared" ref="S49:S55" si="93">S48+Q49+O49+R49</f>
        <v>-10943.903000000002</v>
      </c>
      <c r="T49" s="34">
        <f t="shared" ref="T49:T55" si="94">S49/E49</f>
        <v>-1438.0950065703025</v>
      </c>
      <c r="U49" s="34">
        <f t="shared" ref="U49:U55" si="95">F49+T49</f>
        <v>61.90499342969747</v>
      </c>
      <c r="V49" s="31">
        <f t="shared" ref="V49:V55" si="96">H49+S49</f>
        <v>775.47499999997672</v>
      </c>
      <c r="W49" s="32">
        <f t="shared" ref="W49:W55" si="97">V49/U49</f>
        <v>12.526856995480445</v>
      </c>
      <c r="X49" s="32">
        <f t="shared" ref="X49:X55" si="98">W49-G49</f>
        <v>4.7139383288137928</v>
      </c>
      <c r="Y49" s="32">
        <f t="shared" ref="Y49:Y55" si="99">(X49-P49)*-1</f>
        <v>-4.9168569954804449</v>
      </c>
      <c r="Z49" s="38">
        <f t="shared" si="45"/>
        <v>24.230678607590484</v>
      </c>
      <c r="AA49" s="31">
        <f>SUM(L$2:L49)-SUM(AB$2:AB49)</f>
        <v>-526.0879999999861</v>
      </c>
      <c r="AB49" s="46"/>
      <c r="AC49" s="69">
        <f t="shared" ref="AC49:AC55" si="100">I49/E49*(1-0.0005)</f>
        <v>-39.977110512480785</v>
      </c>
      <c r="AD49" s="69">
        <f t="shared" ref="AD49:AD55" si="101">AC49-F49</f>
        <v>-1539.9771105124807</v>
      </c>
    </row>
    <row r="50" spans="1:30" x14ac:dyDescent="0.25">
      <c r="A50" s="99">
        <v>43056</v>
      </c>
      <c r="B50" s="106"/>
      <c r="C50" s="101" t="s">
        <v>69</v>
      </c>
      <c r="D50" s="104">
        <v>400</v>
      </c>
      <c r="E50" s="31">
        <v>7.92</v>
      </c>
      <c r="F50" s="102">
        <f t="shared" si="82"/>
        <v>1100</v>
      </c>
      <c r="G50" s="32">
        <f t="shared" si="83"/>
        <v>7.7814054545454345</v>
      </c>
      <c r="H50" s="31">
        <f t="shared" si="84"/>
        <v>8559.5459999999784</v>
      </c>
      <c r="I50" s="31">
        <f t="shared" si="85"/>
        <v>152.45400000002155</v>
      </c>
      <c r="J50" s="108">
        <f t="shared" si="86"/>
        <v>1.7810991377349025E-2</v>
      </c>
      <c r="K50" s="31">
        <f t="shared" si="87"/>
        <v>8712</v>
      </c>
      <c r="L50" s="31">
        <f t="shared" si="88"/>
        <v>456.83200000000033</v>
      </c>
      <c r="M50" s="31">
        <f t="shared" si="89"/>
        <v>5</v>
      </c>
      <c r="N50" s="31">
        <f t="shared" si="90"/>
        <v>3.1680000000000001</v>
      </c>
      <c r="O50" s="125"/>
      <c r="P50" s="32">
        <f t="shared" si="91"/>
        <v>0.1385945454545654</v>
      </c>
      <c r="Q50" s="31">
        <f t="shared" si="92"/>
        <v>3159.8320000000003</v>
      </c>
      <c r="R50" s="34"/>
      <c r="S50" s="34">
        <f t="shared" si="93"/>
        <v>-7784.0710000000017</v>
      </c>
      <c r="T50" s="34">
        <f t="shared" si="94"/>
        <v>-982.83724747474776</v>
      </c>
      <c r="U50" s="34">
        <f t="shared" si="95"/>
        <v>117.16275252525224</v>
      </c>
      <c r="V50" s="31">
        <f t="shared" si="96"/>
        <v>775.47499999997672</v>
      </c>
      <c r="W50" s="32">
        <f t="shared" si="97"/>
        <v>6.6187844113071481</v>
      </c>
      <c r="X50" s="32">
        <f t="shared" si="98"/>
        <v>-1.1626210432382864</v>
      </c>
      <c r="Y50" s="32">
        <f t="shared" si="99"/>
        <v>1.3012155886928518</v>
      </c>
      <c r="Z50" s="38">
        <f t="shared" si="45"/>
        <v>9.3886493470944661</v>
      </c>
      <c r="AA50" s="31">
        <f>SUM(L$2:L50)-SUM(AB$2:AB50)</f>
        <v>-69.255999999985761</v>
      </c>
      <c r="AB50" s="46"/>
      <c r="AC50" s="69">
        <f t="shared" si="100"/>
        <v>19.239617803033024</v>
      </c>
      <c r="AD50" s="69">
        <f t="shared" si="101"/>
        <v>-1080.7603821969669</v>
      </c>
    </row>
    <row r="51" spans="1:30" x14ac:dyDescent="0.25">
      <c r="A51" s="99">
        <v>43059</v>
      </c>
      <c r="B51" s="100" t="s">
        <v>221</v>
      </c>
      <c r="C51" s="101" t="s">
        <v>63</v>
      </c>
      <c r="D51" s="104">
        <v>500</v>
      </c>
      <c r="E51" s="31">
        <v>7.28</v>
      </c>
      <c r="F51" s="102">
        <f t="shared" si="82"/>
        <v>1600</v>
      </c>
      <c r="G51" s="32">
        <f t="shared" si="83"/>
        <v>7.6278412499999861</v>
      </c>
      <c r="H51" s="31">
        <f t="shared" si="84"/>
        <v>12204.545999999978</v>
      </c>
      <c r="I51" s="31">
        <f t="shared" si="85"/>
        <v>-556.54599999997845</v>
      </c>
      <c r="J51" s="108">
        <f t="shared" si="86"/>
        <v>-4.5601532412592689E-2</v>
      </c>
      <c r="K51" s="31">
        <f t="shared" si="87"/>
        <v>11648</v>
      </c>
      <c r="L51" s="31">
        <f t="shared" si="88"/>
        <v>-709</v>
      </c>
      <c r="M51" s="31">
        <f t="shared" si="89"/>
        <v>5</v>
      </c>
      <c r="N51" s="31">
        <f t="shared" si="90"/>
        <v>0</v>
      </c>
      <c r="O51" s="125"/>
      <c r="P51" s="32">
        <f t="shared" si="91"/>
        <v>-0.34784124999998589</v>
      </c>
      <c r="Q51" s="31">
        <f t="shared" si="92"/>
        <v>-3645</v>
      </c>
      <c r="R51" s="34"/>
      <c r="S51" s="34">
        <f t="shared" si="93"/>
        <v>-11429.071000000002</v>
      </c>
      <c r="T51" s="34">
        <f t="shared" si="94"/>
        <v>-1569.9273351648353</v>
      </c>
      <c r="U51" s="34">
        <f t="shared" si="95"/>
        <v>30.072664835164687</v>
      </c>
      <c r="V51" s="31">
        <f t="shared" si="96"/>
        <v>775.47499999997672</v>
      </c>
      <c r="W51" s="32">
        <f t="shared" si="97"/>
        <v>25.786707105956079</v>
      </c>
      <c r="X51" s="32">
        <f t="shared" si="98"/>
        <v>18.158865855956094</v>
      </c>
      <c r="Y51" s="32">
        <f t="shared" si="99"/>
        <v>-18.506707105956082</v>
      </c>
      <c r="Z51" s="38">
        <f t="shared" ref="Z51:Z63" si="102">F51/U51</f>
        <v>53.204463547543071</v>
      </c>
      <c r="AA51" s="31">
        <f>SUM(L$2:L51)-SUM(AB$2:AB51)</f>
        <v>-778.25599999998576</v>
      </c>
      <c r="AB51" s="46"/>
      <c r="AC51" s="69">
        <f t="shared" si="100"/>
        <v>-76.41040206043661</v>
      </c>
      <c r="AD51" s="69">
        <f t="shared" si="101"/>
        <v>-1676.4104020604366</v>
      </c>
    </row>
    <row r="52" spans="1:30" x14ac:dyDescent="0.25">
      <c r="A52" s="99">
        <v>43059</v>
      </c>
      <c r="B52" s="100" t="s">
        <v>228</v>
      </c>
      <c r="C52" s="101" t="s">
        <v>63</v>
      </c>
      <c r="D52" s="104">
        <v>500</v>
      </c>
      <c r="E52" s="31">
        <v>7.07</v>
      </c>
      <c r="F52" s="102">
        <f t="shared" si="82"/>
        <v>2100</v>
      </c>
      <c r="G52" s="32">
        <f t="shared" si="83"/>
        <v>7.4974028571428466</v>
      </c>
      <c r="H52" s="31">
        <f t="shared" si="84"/>
        <v>15744.545999999978</v>
      </c>
      <c r="I52" s="31">
        <f t="shared" si="85"/>
        <v>-897.54599999997845</v>
      </c>
      <c r="J52" s="108">
        <f t="shared" si="86"/>
        <v>-5.7006788255436425E-2</v>
      </c>
      <c r="K52" s="31">
        <f t="shared" si="87"/>
        <v>14847</v>
      </c>
      <c r="L52" s="31">
        <f t="shared" si="88"/>
        <v>-341</v>
      </c>
      <c r="M52" s="31">
        <f t="shared" si="89"/>
        <v>5</v>
      </c>
      <c r="N52" s="31">
        <f t="shared" si="90"/>
        <v>0</v>
      </c>
      <c r="O52" s="125"/>
      <c r="P52" s="32">
        <f t="shared" si="91"/>
        <v>-0.42740285714284632</v>
      </c>
      <c r="Q52" s="31">
        <f t="shared" si="92"/>
        <v>-3540</v>
      </c>
      <c r="R52" s="34"/>
      <c r="S52" s="34">
        <f t="shared" si="93"/>
        <v>-14969.071000000002</v>
      </c>
      <c r="T52" s="34">
        <f t="shared" si="94"/>
        <v>-2117.266053748232</v>
      </c>
      <c r="U52" s="34">
        <f t="shared" si="95"/>
        <v>-17.266053748232025</v>
      </c>
      <c r="V52" s="31">
        <f t="shared" si="96"/>
        <v>775.47499999997672</v>
      </c>
      <c r="W52" s="32">
        <f t="shared" si="97"/>
        <v>-44.913273832440275</v>
      </c>
      <c r="X52" s="32">
        <f t="shared" si="98"/>
        <v>-52.41067668958312</v>
      </c>
      <c r="Y52" s="32">
        <f t="shared" si="99"/>
        <v>51.983273832440275</v>
      </c>
      <c r="Z52" s="38">
        <f t="shared" si="102"/>
        <v>-121.62593900271112</v>
      </c>
      <c r="AA52" s="31">
        <f>SUM(L$2:L52)-SUM(AB$2:AB52)</f>
        <v>-1119.2559999999858</v>
      </c>
      <c r="AB52" s="46"/>
      <c r="AC52" s="69">
        <f t="shared" si="100"/>
        <v>-126.88786803394321</v>
      </c>
      <c r="AD52" s="69">
        <f t="shared" si="101"/>
        <v>-2226.8878680339431</v>
      </c>
    </row>
    <row r="53" spans="1:30" x14ac:dyDescent="0.25">
      <c r="A53" s="99">
        <v>43062</v>
      </c>
      <c r="B53" s="100"/>
      <c r="C53" s="101" t="s">
        <v>63</v>
      </c>
      <c r="D53" s="104">
        <v>500</v>
      </c>
      <c r="E53" s="31">
        <v>6.83</v>
      </c>
      <c r="F53" s="102">
        <f t="shared" si="82"/>
        <v>2600</v>
      </c>
      <c r="G53" s="32">
        <f t="shared" si="83"/>
        <v>7.3709792307692235</v>
      </c>
      <c r="H53" s="31">
        <f t="shared" si="84"/>
        <v>19164.54599999998</v>
      </c>
      <c r="I53" s="31">
        <f t="shared" si="85"/>
        <v>-1406.5459999999803</v>
      </c>
      <c r="J53" s="108">
        <f t="shared" si="86"/>
        <v>-7.3393129166742704E-2</v>
      </c>
      <c r="K53" s="31">
        <f t="shared" si="87"/>
        <v>17758</v>
      </c>
      <c r="L53" s="31">
        <f t="shared" si="88"/>
        <v>-509.00000000000182</v>
      </c>
      <c r="M53" s="31">
        <f t="shared" si="89"/>
        <v>5</v>
      </c>
      <c r="N53" s="31">
        <f t="shared" si="90"/>
        <v>0</v>
      </c>
      <c r="O53" s="125"/>
      <c r="P53" s="32">
        <f t="shared" si="91"/>
        <v>-0.54097923076922338</v>
      </c>
      <c r="Q53" s="31">
        <f t="shared" si="92"/>
        <v>-3420.0000000000018</v>
      </c>
      <c r="R53" s="34"/>
      <c r="S53" s="34">
        <f t="shared" si="93"/>
        <v>-18389.071000000004</v>
      </c>
      <c r="T53" s="34">
        <f t="shared" si="94"/>
        <v>-2692.3969253294295</v>
      </c>
      <c r="U53" s="34">
        <f t="shared" si="95"/>
        <v>-92.39692532942945</v>
      </c>
      <c r="V53" s="31">
        <f t="shared" si="96"/>
        <v>775.47499999997672</v>
      </c>
      <c r="W53" s="32">
        <f t="shared" si="97"/>
        <v>-8.3928658581994959</v>
      </c>
      <c r="X53" s="32">
        <f t="shared" si="98"/>
        <v>-15.763845088968718</v>
      </c>
      <c r="Y53" s="32">
        <f t="shared" si="99"/>
        <v>15.222865858199494</v>
      </c>
      <c r="Z53" s="38">
        <f t="shared" si="102"/>
        <v>-28.139464497655432</v>
      </c>
      <c r="AA53" s="31">
        <f>SUM(L$2:L53)-SUM(AB$2:AB53)</f>
        <v>-1628.2559999999876</v>
      </c>
      <c r="AB53" s="46"/>
      <c r="AC53" s="69">
        <f t="shared" si="100"/>
        <v>-205.83348857979215</v>
      </c>
      <c r="AD53" s="69">
        <f t="shared" si="101"/>
        <v>-2805.8334885797922</v>
      </c>
    </row>
    <row r="54" spans="1:30" x14ac:dyDescent="0.25">
      <c r="A54" s="99">
        <v>43062</v>
      </c>
      <c r="B54" s="100" t="s">
        <v>607</v>
      </c>
      <c r="C54" s="101" t="s">
        <v>63</v>
      </c>
      <c r="D54" s="104">
        <v>500</v>
      </c>
      <c r="E54" s="31">
        <v>6.6</v>
      </c>
      <c r="F54" s="102">
        <f t="shared" si="82"/>
        <v>3100</v>
      </c>
      <c r="G54" s="32">
        <f t="shared" si="83"/>
        <v>7.2482406451612835</v>
      </c>
      <c r="H54" s="31">
        <f t="shared" si="84"/>
        <v>22469.54599999998</v>
      </c>
      <c r="I54" s="31">
        <f t="shared" si="85"/>
        <v>-2009.5459999999803</v>
      </c>
      <c r="J54" s="108">
        <f t="shared" si="86"/>
        <v>-8.9434205746746376E-2</v>
      </c>
      <c r="K54" s="31">
        <f t="shared" si="87"/>
        <v>20460</v>
      </c>
      <c r="L54" s="31">
        <f t="shared" si="88"/>
        <v>-603</v>
      </c>
      <c r="M54" s="31">
        <f t="shared" si="89"/>
        <v>5</v>
      </c>
      <c r="N54" s="31">
        <f t="shared" si="90"/>
        <v>0</v>
      </c>
      <c r="O54" s="125"/>
      <c r="P54" s="32">
        <f t="shared" si="91"/>
        <v>-0.64824064516128388</v>
      </c>
      <c r="Q54" s="31">
        <f t="shared" si="92"/>
        <v>-3305</v>
      </c>
      <c r="R54" s="34"/>
      <c r="S54" s="34">
        <f t="shared" si="93"/>
        <v>-21694.071000000004</v>
      </c>
      <c r="T54" s="34">
        <f t="shared" si="94"/>
        <v>-3286.9804545454554</v>
      </c>
      <c r="U54" s="34">
        <f t="shared" si="95"/>
        <v>-186.98045454545536</v>
      </c>
      <c r="V54" s="31">
        <f t="shared" si="96"/>
        <v>775.47499999997672</v>
      </c>
      <c r="W54" s="32">
        <f t="shared" si="97"/>
        <v>-4.1473586203709703</v>
      </c>
      <c r="X54" s="32">
        <f t="shared" si="98"/>
        <v>-11.395599265532255</v>
      </c>
      <c r="Y54" s="32">
        <f t="shared" si="99"/>
        <v>10.747358620370971</v>
      </c>
      <c r="Z54" s="38">
        <f t="shared" si="102"/>
        <v>-16.579272991586311</v>
      </c>
      <c r="AA54" s="31">
        <f>SUM(L$2:L54)-SUM(AB$2:AB54)</f>
        <v>-2231.2559999999876</v>
      </c>
      <c r="AB54" s="46"/>
      <c r="AC54" s="69">
        <f t="shared" si="100"/>
        <v>-304.32442833333039</v>
      </c>
      <c r="AD54" s="69">
        <f t="shared" si="101"/>
        <v>-3404.3244283333306</v>
      </c>
    </row>
    <row r="55" spans="1:30" x14ac:dyDescent="0.25">
      <c r="A55" s="99">
        <v>43069</v>
      </c>
      <c r="B55" s="100" t="s">
        <v>400</v>
      </c>
      <c r="C55" s="101" t="s">
        <v>69</v>
      </c>
      <c r="D55" s="104">
        <v>400</v>
      </c>
      <c r="E55" s="31">
        <v>6.93</v>
      </c>
      <c r="F55" s="102">
        <f t="shared" si="82"/>
        <v>2700</v>
      </c>
      <c r="G55" s="32">
        <f t="shared" si="83"/>
        <v>7.2982659259259188</v>
      </c>
      <c r="H55" s="31">
        <f t="shared" si="84"/>
        <v>19705.317999999981</v>
      </c>
      <c r="I55" s="31">
        <f t="shared" si="85"/>
        <v>-994.31799999998111</v>
      </c>
      <c r="J55" s="108">
        <f t="shared" si="86"/>
        <v>-5.0459373454413807E-2</v>
      </c>
      <c r="K55" s="31">
        <f t="shared" si="87"/>
        <v>18711</v>
      </c>
      <c r="L55" s="31">
        <f t="shared" si="88"/>
        <v>1015.2279999999992</v>
      </c>
      <c r="M55" s="31">
        <f t="shared" si="89"/>
        <v>5</v>
      </c>
      <c r="N55" s="31">
        <f t="shared" si="90"/>
        <v>2.7719999999999998</v>
      </c>
      <c r="O55" s="125"/>
      <c r="P55" s="32">
        <f t="shared" si="91"/>
        <v>-0.36826592592591911</v>
      </c>
      <c r="Q55" s="31">
        <f t="shared" si="92"/>
        <v>2764.2279999999992</v>
      </c>
      <c r="R55" s="34"/>
      <c r="S55" s="34">
        <f t="shared" si="93"/>
        <v>-18929.843000000004</v>
      </c>
      <c r="T55" s="34">
        <f t="shared" si="94"/>
        <v>-2731.5790764790772</v>
      </c>
      <c r="U55" s="34">
        <f t="shared" si="95"/>
        <v>-31.57907647907723</v>
      </c>
      <c r="V55" s="31">
        <f t="shared" si="96"/>
        <v>775.47499999997672</v>
      </c>
      <c r="W55" s="32">
        <f t="shared" si="97"/>
        <v>-24.556607933540075</v>
      </c>
      <c r="X55" s="32">
        <f t="shared" si="98"/>
        <v>-31.854873859465993</v>
      </c>
      <c r="Y55" s="32">
        <f t="shared" si="99"/>
        <v>31.486607933540075</v>
      </c>
      <c r="Z55" s="38">
        <f t="shared" si="102"/>
        <v>-85.499650434327606</v>
      </c>
      <c r="AA55" s="31">
        <f>SUM(L$2:L55)-SUM(AB$2:AB55)</f>
        <v>-1216.0279999999884</v>
      </c>
      <c r="AB55" s="46"/>
      <c r="AC55" s="69">
        <f t="shared" si="100"/>
        <v>-143.40849076478807</v>
      </c>
      <c r="AD55" s="69">
        <f t="shared" si="101"/>
        <v>-2843.408490764788</v>
      </c>
    </row>
    <row r="56" spans="1:30" x14ac:dyDescent="0.25">
      <c r="A56" s="99">
        <v>43073</v>
      </c>
      <c r="B56" s="100"/>
      <c r="C56" s="101" t="s">
        <v>69</v>
      </c>
      <c r="D56" s="104">
        <v>400</v>
      </c>
      <c r="E56" s="31">
        <v>7.28</v>
      </c>
      <c r="F56" s="102">
        <f t="shared" si="82"/>
        <v>2300</v>
      </c>
      <c r="G56" s="32">
        <f t="shared" si="83"/>
        <v>7.3048826086956442</v>
      </c>
      <c r="H56" s="31">
        <f t="shared" ref="H56:H63" si="103">IF(C56="买",H55+D56*E56+M56+N56,H55+-1*D56*E56+M56+N56)+O55</f>
        <v>16801.229999999981</v>
      </c>
      <c r="I56" s="31">
        <f t="shared" ref="I56:I63" si="104">-H56+K56</f>
        <v>-57.229999999981374</v>
      </c>
      <c r="J56" s="108">
        <f t="shared" ref="J56:J63" si="105">(E56-G56)/G56</f>
        <v>-3.4062982293547061E-3</v>
      </c>
      <c r="K56" s="31">
        <f t="shared" ref="K56:K63" si="106">F56*E56</f>
        <v>16744</v>
      </c>
      <c r="L56" s="31">
        <f t="shared" ref="L56:L63" si="107">I56-I55</f>
        <v>937.08799999999974</v>
      </c>
      <c r="M56" s="31">
        <f t="shared" ref="M56:M63" si="108">IF(D56*E56*2.5/10000&gt;5,D56*E56*2.5/10000,5)</f>
        <v>5</v>
      </c>
      <c r="N56" s="31">
        <f t="shared" ref="N56:N63" si="109">IF(C56="卖",D56*E56/1000,0)</f>
        <v>2.9119999999999999</v>
      </c>
      <c r="O56" s="125"/>
      <c r="P56" s="32">
        <f t="shared" ref="P56:P63" si="110">E56-G56</f>
        <v>-2.488260869564396E-2</v>
      </c>
      <c r="Q56" s="31">
        <f t="shared" ref="Q56:Q63" si="111">(H56-H55)*-1</f>
        <v>2904.0879999999997</v>
      </c>
      <c r="R56" s="34"/>
      <c r="S56" s="34">
        <f t="shared" ref="S56:S63" si="112">S55+Q56+O56+R56</f>
        <v>-16025.755000000005</v>
      </c>
      <c r="T56" s="34">
        <f t="shared" ref="T56:T63" si="113">S56/E56</f>
        <v>-2201.339972527473</v>
      </c>
      <c r="U56" s="34">
        <f t="shared" ref="U56:U63" si="114">F56+T56</f>
        <v>98.660027472526963</v>
      </c>
      <c r="V56" s="31">
        <f t="shared" ref="V56:V63" si="115">H56+S56</f>
        <v>775.47499999997672</v>
      </c>
      <c r="W56" s="32">
        <f t="shared" ref="W56:W63" si="116">V56/U56</f>
        <v>7.8600728163786169</v>
      </c>
      <c r="X56" s="32">
        <f t="shared" ref="X56:X63" si="117">W56-G56</f>
        <v>0.55519020768297267</v>
      </c>
      <c r="Y56" s="32">
        <f t="shared" ref="Y56:Y63" si="118">(X56-P56)*-1</f>
        <v>-0.58007281637861663</v>
      </c>
      <c r="Z56" s="38">
        <f t="shared" si="102"/>
        <v>23.312379480539491</v>
      </c>
      <c r="AA56" s="31">
        <f>SUM(L$2:L56)-SUM(AB$2:AB56)</f>
        <v>-278.93999999998869</v>
      </c>
      <c r="AB56" s="46"/>
      <c r="AC56" s="69">
        <f t="shared" ref="AC56:AC63" si="119">I56/E56*(1-0.0005)</f>
        <v>-7.8573331043930477</v>
      </c>
      <c r="AD56" s="69">
        <f t="shared" ref="AD56:AD63" si="120">AC56-F56</f>
        <v>-2307.8573331043931</v>
      </c>
    </row>
    <row r="57" spans="1:30" x14ac:dyDescent="0.25">
      <c r="A57" s="99">
        <v>43077</v>
      </c>
      <c r="B57" s="100"/>
      <c r="C57" s="101" t="s">
        <v>69</v>
      </c>
      <c r="D57" s="104">
        <v>400</v>
      </c>
      <c r="E57" s="31">
        <v>7.38</v>
      </c>
      <c r="F57" s="102">
        <f t="shared" si="82"/>
        <v>1900</v>
      </c>
      <c r="G57" s="32">
        <f t="shared" si="83"/>
        <v>7.2932536842105158</v>
      </c>
      <c r="H57" s="31">
        <f t="shared" si="103"/>
        <v>13857.181999999981</v>
      </c>
      <c r="I57" s="31">
        <f t="shared" si="104"/>
        <v>164.81800000001931</v>
      </c>
      <c r="J57" s="108">
        <f t="shared" si="105"/>
        <v>1.189404887660565E-2</v>
      </c>
      <c r="K57" s="31">
        <f t="shared" si="106"/>
        <v>14022</v>
      </c>
      <c r="L57" s="31">
        <f t="shared" si="107"/>
        <v>222.04800000000068</v>
      </c>
      <c r="M57" s="31">
        <f t="shared" si="108"/>
        <v>5</v>
      </c>
      <c r="N57" s="31">
        <f t="shared" si="109"/>
        <v>2.952</v>
      </c>
      <c r="O57" s="125"/>
      <c r="P57" s="32">
        <f t="shared" si="110"/>
        <v>8.6746315789484107E-2</v>
      </c>
      <c r="Q57" s="31">
        <f t="shared" si="111"/>
        <v>2944.0480000000007</v>
      </c>
      <c r="R57" s="34"/>
      <c r="S57" s="34">
        <f t="shared" si="112"/>
        <v>-13081.707000000004</v>
      </c>
      <c r="T57" s="34">
        <f t="shared" si="113"/>
        <v>-1772.5890243902445</v>
      </c>
      <c r="U57" s="34">
        <f t="shared" si="114"/>
        <v>127.4109756097555</v>
      </c>
      <c r="V57" s="31">
        <f t="shared" si="115"/>
        <v>775.47499999997672</v>
      </c>
      <c r="W57" s="32">
        <f t="shared" si="116"/>
        <v>6.0864065775240856</v>
      </c>
      <c r="X57" s="32">
        <f t="shared" si="117"/>
        <v>-1.2068471066864301</v>
      </c>
      <c r="Y57" s="32">
        <f t="shared" si="118"/>
        <v>1.2935934224759142</v>
      </c>
      <c r="Z57" s="38">
        <f t="shared" si="102"/>
        <v>14.912373058185125</v>
      </c>
      <c r="AA57" s="31">
        <f>SUM(L$2:L57)-SUM(AB$2:AB57)</f>
        <v>-56.891999999988002</v>
      </c>
      <c r="AB57" s="46"/>
      <c r="AC57" s="69">
        <f t="shared" si="119"/>
        <v>22.321895799460613</v>
      </c>
      <c r="AD57" s="69">
        <f t="shared" si="120"/>
        <v>-1877.6781042005393</v>
      </c>
    </row>
    <row r="58" spans="1:30" x14ac:dyDescent="0.25">
      <c r="A58" s="99">
        <v>43083</v>
      </c>
      <c r="B58" s="100" t="s">
        <v>193</v>
      </c>
      <c r="C58" s="101" t="s">
        <v>63</v>
      </c>
      <c r="D58" s="104">
        <v>500</v>
      </c>
      <c r="E58" s="31">
        <v>6.97</v>
      </c>
      <c r="F58" s="102">
        <f t="shared" si="82"/>
        <v>2400</v>
      </c>
      <c r="G58" s="32">
        <f t="shared" si="83"/>
        <v>7.2279924999999912</v>
      </c>
      <c r="H58" s="31">
        <f t="shared" si="103"/>
        <v>17347.181999999979</v>
      </c>
      <c r="I58" s="31">
        <f t="shared" si="104"/>
        <v>-619.18199999997887</v>
      </c>
      <c r="J58" s="108">
        <f t="shared" si="105"/>
        <v>-3.5693520711316692E-2</v>
      </c>
      <c r="K58" s="31">
        <f t="shared" si="106"/>
        <v>16728</v>
      </c>
      <c r="L58" s="31">
        <f t="shared" si="107"/>
        <v>-783.99999999999818</v>
      </c>
      <c r="M58" s="31">
        <f t="shared" si="108"/>
        <v>5</v>
      </c>
      <c r="N58" s="31">
        <f t="shared" si="109"/>
        <v>0</v>
      </c>
      <c r="O58" s="125"/>
      <c r="P58" s="32">
        <f t="shared" si="110"/>
        <v>-0.25799249999999141</v>
      </c>
      <c r="Q58" s="31">
        <f t="shared" si="111"/>
        <v>-3489.9999999999982</v>
      </c>
      <c r="R58" s="34"/>
      <c r="S58" s="34">
        <f t="shared" si="112"/>
        <v>-16571.707000000002</v>
      </c>
      <c r="T58" s="34">
        <f t="shared" si="113"/>
        <v>-2377.5763271162127</v>
      </c>
      <c r="U58" s="34">
        <f t="shared" si="114"/>
        <v>22.423672883787276</v>
      </c>
      <c r="V58" s="31">
        <f t="shared" si="115"/>
        <v>775.47499999997672</v>
      </c>
      <c r="W58" s="32">
        <f t="shared" si="116"/>
        <v>34.582871593736961</v>
      </c>
      <c r="X58" s="32">
        <f t="shared" si="117"/>
        <v>27.354879093736969</v>
      </c>
      <c r="Y58" s="32">
        <f t="shared" si="118"/>
        <v>-27.612871593736962</v>
      </c>
      <c r="Z58" s="38">
        <f t="shared" si="102"/>
        <v>107.0297454140639</v>
      </c>
      <c r="AA58" s="31">
        <f>SUM(L$2:L58)-SUM(AB$2:AB58)</f>
        <v>-840.89199999998618</v>
      </c>
      <c r="AB58" s="46"/>
      <c r="AC58" s="69">
        <f t="shared" si="119"/>
        <v>-88.790876470585204</v>
      </c>
      <c r="AD58" s="69">
        <f t="shared" si="120"/>
        <v>-2488.7908764705853</v>
      </c>
    </row>
    <row r="59" spans="1:30" x14ac:dyDescent="0.25">
      <c r="A59" s="99">
        <v>43084</v>
      </c>
      <c r="B59" s="100"/>
      <c r="C59" s="101" t="s">
        <v>69</v>
      </c>
      <c r="D59" s="104">
        <v>400</v>
      </c>
      <c r="E59" s="31">
        <v>7.36</v>
      </c>
      <c r="F59" s="102">
        <f t="shared" si="82"/>
        <v>2000</v>
      </c>
      <c r="G59" s="32">
        <f t="shared" si="83"/>
        <v>7.2055629999999891</v>
      </c>
      <c r="H59" s="31">
        <f t="shared" si="103"/>
        <v>14411.125999999978</v>
      </c>
      <c r="I59" s="31">
        <f t="shared" si="104"/>
        <v>308.87400000002162</v>
      </c>
      <c r="J59" s="108">
        <f t="shared" si="105"/>
        <v>2.1433023345991353E-2</v>
      </c>
      <c r="K59" s="31">
        <f t="shared" si="106"/>
        <v>14720</v>
      </c>
      <c r="L59" s="31">
        <f t="shared" si="107"/>
        <v>928.05600000000049</v>
      </c>
      <c r="M59" s="31">
        <f t="shared" si="108"/>
        <v>5</v>
      </c>
      <c r="N59" s="31">
        <f t="shared" si="109"/>
        <v>2.944</v>
      </c>
      <c r="O59" s="125"/>
      <c r="P59" s="32">
        <f t="shared" si="110"/>
        <v>0.15443700000001126</v>
      </c>
      <c r="Q59" s="31">
        <f t="shared" si="111"/>
        <v>2936.0560000000005</v>
      </c>
      <c r="R59" s="34"/>
      <c r="S59" s="34">
        <f t="shared" si="112"/>
        <v>-13635.651000000002</v>
      </c>
      <c r="T59" s="34">
        <f t="shared" si="113"/>
        <v>-1852.6699728260871</v>
      </c>
      <c r="U59" s="34">
        <f t="shared" si="114"/>
        <v>147.33002717391287</v>
      </c>
      <c r="V59" s="31">
        <f t="shared" si="115"/>
        <v>775.47499999997672</v>
      </c>
      <c r="W59" s="32">
        <f t="shared" si="116"/>
        <v>5.2635230908128614</v>
      </c>
      <c r="X59" s="32">
        <f t="shared" si="117"/>
        <v>-1.9420399091871277</v>
      </c>
      <c r="Y59" s="32">
        <f t="shared" si="118"/>
        <v>2.0964769091871389</v>
      </c>
      <c r="Z59" s="38">
        <f t="shared" si="102"/>
        <v>13.574965255651103</v>
      </c>
      <c r="AA59" s="31">
        <f>SUM(L$2:L59)-SUM(AB$2:AB59)</f>
        <v>87.164000000014312</v>
      </c>
      <c r="AB59" s="46"/>
      <c r="AC59" s="69">
        <f t="shared" si="119"/>
        <v>41.945592798915982</v>
      </c>
      <c r="AD59" s="69">
        <f t="shared" si="120"/>
        <v>-1958.0544072010839</v>
      </c>
    </row>
    <row r="60" spans="1:30" x14ac:dyDescent="0.25">
      <c r="A60" s="99">
        <v>43094</v>
      </c>
      <c r="B60" s="100" t="s">
        <v>218</v>
      </c>
      <c r="C60" s="101" t="s">
        <v>63</v>
      </c>
      <c r="D60" s="104">
        <v>500</v>
      </c>
      <c r="E60" s="31">
        <v>6.93</v>
      </c>
      <c r="F60" s="102">
        <f t="shared" si="82"/>
        <v>2500</v>
      </c>
      <c r="G60" s="32">
        <f t="shared" si="83"/>
        <v>7.1524503999999913</v>
      </c>
      <c r="H60" s="31">
        <f t="shared" si="103"/>
        <v>17881.125999999978</v>
      </c>
      <c r="I60" s="31">
        <f t="shared" si="104"/>
        <v>-556.12599999997838</v>
      </c>
      <c r="J60" s="108">
        <f t="shared" si="105"/>
        <v>-3.1101285232259964E-2</v>
      </c>
      <c r="K60" s="31">
        <f t="shared" si="106"/>
        <v>17325</v>
      </c>
      <c r="L60" s="31">
        <f t="shared" si="107"/>
        <v>-865</v>
      </c>
      <c r="M60" s="31">
        <f t="shared" si="108"/>
        <v>5</v>
      </c>
      <c r="N60" s="31">
        <f t="shared" si="109"/>
        <v>0</v>
      </c>
      <c r="O60" s="125"/>
      <c r="P60" s="32">
        <f t="shared" si="110"/>
        <v>-0.22245039999999161</v>
      </c>
      <c r="Q60" s="31">
        <f t="shared" si="111"/>
        <v>-3470</v>
      </c>
      <c r="R60" s="34"/>
      <c r="S60" s="34">
        <f t="shared" si="112"/>
        <v>-17105.651000000002</v>
      </c>
      <c r="T60" s="34">
        <f t="shared" si="113"/>
        <v>-2468.347907647908</v>
      </c>
      <c r="U60" s="34">
        <f t="shared" si="114"/>
        <v>31.652092352092041</v>
      </c>
      <c r="V60" s="31">
        <f t="shared" si="115"/>
        <v>775.47499999997672</v>
      </c>
      <c r="W60" s="32">
        <f t="shared" si="116"/>
        <v>24.499960109231825</v>
      </c>
      <c r="X60" s="32">
        <f t="shared" si="117"/>
        <v>17.347509709231833</v>
      </c>
      <c r="Y60" s="32">
        <f t="shared" si="118"/>
        <v>-17.569960109231825</v>
      </c>
      <c r="Z60" s="38">
        <f t="shared" si="102"/>
        <v>78.983720007842166</v>
      </c>
      <c r="AA60" s="31">
        <f>SUM(L$2:L60)-SUM(AB$2:AB60)</f>
        <v>-777.83599999998569</v>
      </c>
      <c r="AB60" s="46"/>
      <c r="AC60" s="69">
        <f t="shared" si="119"/>
        <v>-80.208937518034404</v>
      </c>
      <c r="AD60" s="69">
        <f t="shared" si="120"/>
        <v>-2580.2089375180344</v>
      </c>
    </row>
    <row r="61" spans="1:30" x14ac:dyDescent="0.25">
      <c r="A61" s="99">
        <v>43095</v>
      </c>
      <c r="B61" s="100"/>
      <c r="C61" s="101" t="s">
        <v>69</v>
      </c>
      <c r="D61" s="104">
        <v>400</v>
      </c>
      <c r="E61" s="31">
        <v>7.06</v>
      </c>
      <c r="F61" s="102">
        <f t="shared" si="82"/>
        <v>2100</v>
      </c>
      <c r="G61" s="32">
        <f t="shared" si="83"/>
        <v>7.173785714285704</v>
      </c>
      <c r="H61" s="31">
        <f t="shared" si="103"/>
        <v>15064.949999999979</v>
      </c>
      <c r="I61" s="31">
        <f t="shared" si="104"/>
        <v>-238.9499999999789</v>
      </c>
      <c r="J61" s="108">
        <f t="shared" si="105"/>
        <v>-1.5861320482310235E-2</v>
      </c>
      <c r="K61" s="31">
        <f t="shared" si="106"/>
        <v>14826</v>
      </c>
      <c r="L61" s="31">
        <f t="shared" si="107"/>
        <v>317.17599999999948</v>
      </c>
      <c r="M61" s="31">
        <f t="shared" si="108"/>
        <v>5</v>
      </c>
      <c r="N61" s="31">
        <f t="shared" si="109"/>
        <v>2.8239999999999998</v>
      </c>
      <c r="O61" s="125"/>
      <c r="P61" s="32">
        <f t="shared" si="110"/>
        <v>-0.11378571428570439</v>
      </c>
      <c r="Q61" s="31">
        <f t="shared" si="111"/>
        <v>2816.1759999999995</v>
      </c>
      <c r="R61" s="34"/>
      <c r="S61" s="34">
        <f t="shared" si="112"/>
        <v>-14289.475000000002</v>
      </c>
      <c r="T61" s="34">
        <f t="shared" si="113"/>
        <v>-2024.0049575070825</v>
      </c>
      <c r="U61" s="34">
        <f t="shared" si="114"/>
        <v>75.995042492917491</v>
      </c>
      <c r="V61" s="31">
        <f t="shared" si="115"/>
        <v>775.47499999997672</v>
      </c>
      <c r="W61" s="32">
        <f t="shared" si="116"/>
        <v>10.204284050137201</v>
      </c>
      <c r="X61" s="32">
        <f t="shared" si="117"/>
        <v>3.0304983358514965</v>
      </c>
      <c r="Y61" s="32">
        <f t="shared" si="118"/>
        <v>-3.1442840501372009</v>
      </c>
      <c r="Z61" s="38">
        <f t="shared" si="102"/>
        <v>27.633381482689661</v>
      </c>
      <c r="AA61" s="31">
        <f>SUM(L$2:L61)-SUM(AB$2:AB61)</f>
        <v>-460.65999999998621</v>
      </c>
      <c r="AB61" s="46"/>
      <c r="AC61" s="69">
        <f t="shared" si="119"/>
        <v>-33.828686260620245</v>
      </c>
      <c r="AD61" s="69">
        <f t="shared" si="120"/>
        <v>-2133.8286862606201</v>
      </c>
    </row>
    <row r="62" spans="1:30" x14ac:dyDescent="0.25">
      <c r="A62" s="99">
        <v>43095</v>
      </c>
      <c r="B62" s="100"/>
      <c r="C62" s="101" t="s">
        <v>69</v>
      </c>
      <c r="D62" s="104">
        <v>400</v>
      </c>
      <c r="E62" s="31">
        <v>7.21</v>
      </c>
      <c r="F62" s="102">
        <f t="shared" si="82"/>
        <v>1700</v>
      </c>
      <c r="G62" s="32">
        <f t="shared" si="83"/>
        <v>7.1699023529411638</v>
      </c>
      <c r="H62" s="31">
        <f t="shared" si="103"/>
        <v>12188.833999999979</v>
      </c>
      <c r="I62" s="31">
        <f t="shared" si="104"/>
        <v>68.166000000021086</v>
      </c>
      <c r="J62" s="108">
        <f t="shared" si="105"/>
        <v>5.5924955578213241E-3</v>
      </c>
      <c r="K62" s="31">
        <f t="shared" si="106"/>
        <v>12257</v>
      </c>
      <c r="L62" s="31">
        <f t="shared" si="107"/>
        <v>307.11599999999999</v>
      </c>
      <c r="M62" s="31">
        <f t="shared" si="108"/>
        <v>5</v>
      </c>
      <c r="N62" s="31">
        <f t="shared" si="109"/>
        <v>2.8839999999999999</v>
      </c>
      <c r="O62" s="125"/>
      <c r="P62" s="32">
        <f t="shared" si="110"/>
        <v>4.0097647058836117E-2</v>
      </c>
      <c r="Q62" s="31">
        <f t="shared" si="111"/>
        <v>2876.116</v>
      </c>
      <c r="R62" s="34"/>
      <c r="S62" s="34">
        <f t="shared" si="112"/>
        <v>-11413.359000000002</v>
      </c>
      <c r="T62" s="34">
        <f t="shared" si="113"/>
        <v>-1582.9901525658811</v>
      </c>
      <c r="U62" s="34">
        <f t="shared" si="114"/>
        <v>117.00984743411891</v>
      </c>
      <c r="V62" s="31">
        <f t="shared" si="115"/>
        <v>775.47499999997672</v>
      </c>
      <c r="W62" s="32">
        <f t="shared" si="116"/>
        <v>6.6274336477243869</v>
      </c>
      <c r="X62" s="32">
        <f t="shared" si="117"/>
        <v>-0.54246870521677693</v>
      </c>
      <c r="Y62" s="32">
        <f t="shared" si="118"/>
        <v>0.58256635227561304</v>
      </c>
      <c r="Z62" s="38">
        <f t="shared" si="102"/>
        <v>14.528691706543469</v>
      </c>
      <c r="AA62" s="31">
        <f>SUM(L$2:L62)-SUM(AB$2:AB62)</f>
        <v>-153.54399999998623</v>
      </c>
      <c r="AB62" s="46"/>
      <c r="AC62" s="69">
        <f t="shared" si="119"/>
        <v>9.4496417475757397</v>
      </c>
      <c r="AD62" s="69">
        <f t="shared" si="120"/>
        <v>-1690.5503582524243</v>
      </c>
    </row>
    <row r="63" spans="1:30" x14ac:dyDescent="0.25">
      <c r="A63" s="99">
        <v>43104</v>
      </c>
      <c r="B63" s="106"/>
      <c r="C63" s="101" t="s">
        <v>69</v>
      </c>
      <c r="D63" s="104">
        <v>400</v>
      </c>
      <c r="E63" s="31">
        <v>7.34</v>
      </c>
      <c r="F63" s="102">
        <f t="shared" si="82"/>
        <v>1300</v>
      </c>
      <c r="G63" s="32">
        <f t="shared" si="83"/>
        <v>7.123669230769214</v>
      </c>
      <c r="H63" s="31">
        <f t="shared" si="103"/>
        <v>9260.7699999999786</v>
      </c>
      <c r="I63" s="31">
        <f t="shared" si="104"/>
        <v>281.23000000002139</v>
      </c>
      <c r="J63" s="108">
        <f t="shared" si="105"/>
        <v>3.0367885175857114E-2</v>
      </c>
      <c r="K63" s="31">
        <f t="shared" si="106"/>
        <v>9542</v>
      </c>
      <c r="L63" s="31">
        <f t="shared" si="107"/>
        <v>213.06400000000031</v>
      </c>
      <c r="M63" s="31">
        <f t="shared" si="108"/>
        <v>5</v>
      </c>
      <c r="N63" s="31">
        <f t="shared" si="109"/>
        <v>2.9359999999999999</v>
      </c>
      <c r="O63" s="125"/>
      <c r="P63" s="32">
        <f t="shared" si="110"/>
        <v>0.21633076923078587</v>
      </c>
      <c r="Q63" s="31">
        <f t="shared" si="111"/>
        <v>2928.0640000000003</v>
      </c>
      <c r="R63" s="34"/>
      <c r="S63" s="34">
        <f t="shared" si="112"/>
        <v>-8485.2950000000019</v>
      </c>
      <c r="T63" s="34">
        <f t="shared" si="113"/>
        <v>-1156.0347411444145</v>
      </c>
      <c r="U63" s="34">
        <f t="shared" si="114"/>
        <v>143.96525885558549</v>
      </c>
      <c r="V63" s="31">
        <f t="shared" si="115"/>
        <v>775.47499999997672</v>
      </c>
      <c r="W63" s="32">
        <f t="shared" si="116"/>
        <v>5.3865426017666636</v>
      </c>
      <c r="X63" s="32">
        <f t="shared" si="117"/>
        <v>-1.7371266290025504</v>
      </c>
      <c r="Y63" s="32">
        <f t="shared" si="118"/>
        <v>1.9534573982333363</v>
      </c>
      <c r="Z63" s="38">
        <f t="shared" si="102"/>
        <v>9.0299563265055269</v>
      </c>
      <c r="AA63" s="31">
        <f>SUM(L$2:L63)-SUM(AB$2:AB63)</f>
        <v>59.520000000014079</v>
      </c>
      <c r="AB63" s="46"/>
      <c r="AC63" s="69">
        <f t="shared" si="119"/>
        <v>38.295556539512454</v>
      </c>
      <c r="AD63" s="69">
        <f t="shared" si="120"/>
        <v>-1261.7044434604875</v>
      </c>
    </row>
    <row r="64" spans="1:30" x14ac:dyDescent="0.25">
      <c r="A64" s="99">
        <v>43105</v>
      </c>
      <c r="B64" s="107"/>
      <c r="C64" s="101" t="s">
        <v>69</v>
      </c>
      <c r="D64" s="104">
        <v>400</v>
      </c>
      <c r="E64" s="31">
        <v>7.48</v>
      </c>
      <c r="F64" s="102">
        <f t="shared" ref="F64:F70" si="121">IF(C64="买",F63+D64,F63-D64)</f>
        <v>900</v>
      </c>
      <c r="G64" s="32">
        <f t="shared" ref="G64:G71" si="122">H64/F64</f>
        <v>6.9741799999999765</v>
      </c>
      <c r="H64" s="31">
        <f t="shared" ref="H64:H71" si="123">IF(C64="买",H63+D64*E64+M64+N64,H63+-1*D64*E64+M64+N64)+O63</f>
        <v>6276.7619999999788</v>
      </c>
      <c r="I64" s="31">
        <f t="shared" ref="I64:I71" si="124">-H64+K64</f>
        <v>455.2380000000212</v>
      </c>
      <c r="J64" s="108">
        <f t="shared" ref="J64:J71" si="125">(E64-G64)/G64</f>
        <v>7.2527522948938175E-2</v>
      </c>
      <c r="K64" s="31">
        <f t="shared" ref="K64:K71" si="126">F64*E64</f>
        <v>6732</v>
      </c>
      <c r="L64" s="31">
        <f t="shared" ref="L64:L71" si="127">I64-I63</f>
        <v>174.00799999999981</v>
      </c>
      <c r="M64" s="31">
        <f t="shared" ref="M64:M71" si="128">IF(D64*E64*2.5/10000&gt;5,D64*E64*2.5/10000,5)</f>
        <v>5</v>
      </c>
      <c r="N64" s="31">
        <f t="shared" ref="N64:N71" si="129">IF(C64="卖",D64*E64/1000,0)</f>
        <v>2.992</v>
      </c>
      <c r="O64" s="125"/>
      <c r="P64" s="32">
        <f t="shared" ref="P64:P71" si="130">E64-G64</f>
        <v>0.50582000000002392</v>
      </c>
      <c r="Q64" s="31">
        <f t="shared" ref="Q64:Q71" si="131">(H64-H63)*-1</f>
        <v>2984.0079999999998</v>
      </c>
      <c r="R64" s="34"/>
      <c r="S64" s="34">
        <f t="shared" ref="S64:S71" si="132">S63+Q64+O64+R64</f>
        <v>-5501.2870000000021</v>
      </c>
      <c r="T64" s="34">
        <f t="shared" ref="T64:T71" si="133">S64/E64</f>
        <v>-735.46617647058849</v>
      </c>
      <c r="U64" s="34">
        <f t="shared" ref="U64:U71" si="134">F64+T64</f>
        <v>164.53382352941151</v>
      </c>
      <c r="V64" s="31">
        <f t="shared" ref="V64:V71" si="135">H64+S64</f>
        <v>775.47499999997672</v>
      </c>
      <c r="W64" s="32">
        <f t="shared" ref="W64:W71" si="136">V64/U64</f>
        <v>4.7131646452095941</v>
      </c>
      <c r="X64" s="32">
        <f t="shared" ref="X64:X71" si="137">W64-G64</f>
        <v>-2.2610153547903824</v>
      </c>
      <c r="Y64" s="32">
        <f t="shared" ref="Y64:Y71" si="138">(X64-P64)*-1</f>
        <v>2.7668353547904063</v>
      </c>
      <c r="Z64" s="38">
        <f t="shared" ref="Z64:Z77" si="139">F64/U64</f>
        <v>5.4699999106209249</v>
      </c>
      <c r="AA64" s="31">
        <f>SUM(L$2:L116)-SUM(AB$2:AB116)</f>
        <v>-1498.9659999999872</v>
      </c>
      <c r="AB64" s="46"/>
      <c r="AC64" s="69">
        <f t="shared" ref="AC64:AC71" si="140">I64/E64*(1-0.0005)</f>
        <v>60.83026483957503</v>
      </c>
      <c r="AD64" s="69">
        <f t="shared" ref="AD64:AD71" si="141">AC64-F64</f>
        <v>-839.16973516042492</v>
      </c>
    </row>
    <row r="65" spans="1:30" x14ac:dyDescent="0.25">
      <c r="A65" s="99">
        <v>43110</v>
      </c>
      <c r="B65" s="100" t="s">
        <v>600</v>
      </c>
      <c r="C65" s="101" t="s">
        <v>63</v>
      </c>
      <c r="D65" s="104">
        <v>500</v>
      </c>
      <c r="E65" s="31">
        <v>7.21</v>
      </c>
      <c r="F65" s="102">
        <f t="shared" si="121"/>
        <v>1400</v>
      </c>
      <c r="G65" s="32">
        <f t="shared" si="122"/>
        <v>7.061972857142842</v>
      </c>
      <c r="H65" s="31">
        <f t="shared" si="123"/>
        <v>9886.7619999999788</v>
      </c>
      <c r="I65" s="31">
        <f t="shared" si="124"/>
        <v>207.2380000000212</v>
      </c>
      <c r="J65" s="108">
        <f t="shared" si="125"/>
        <v>2.0961159983422444E-2</v>
      </c>
      <c r="K65" s="31">
        <f t="shared" si="126"/>
        <v>10094</v>
      </c>
      <c r="L65" s="31">
        <f t="shared" si="127"/>
        <v>-248</v>
      </c>
      <c r="M65" s="31">
        <f t="shared" si="128"/>
        <v>5</v>
      </c>
      <c r="N65" s="31">
        <f t="shared" si="129"/>
        <v>0</v>
      </c>
      <c r="O65" s="125"/>
      <c r="P65" s="32">
        <f t="shared" si="130"/>
        <v>0.14802714285715801</v>
      </c>
      <c r="Q65" s="31">
        <f t="shared" si="131"/>
        <v>-3610</v>
      </c>
      <c r="R65" s="34"/>
      <c r="S65" s="34">
        <f t="shared" si="132"/>
        <v>-9111.2870000000021</v>
      </c>
      <c r="T65" s="34">
        <f t="shared" si="133"/>
        <v>-1263.7013869625523</v>
      </c>
      <c r="U65" s="34">
        <f t="shared" si="134"/>
        <v>136.29861303744769</v>
      </c>
      <c r="V65" s="31">
        <f t="shared" si="135"/>
        <v>775.47499999997672</v>
      </c>
      <c r="W65" s="32">
        <f t="shared" si="136"/>
        <v>5.6895296490428482</v>
      </c>
      <c r="X65" s="32">
        <f t="shared" si="137"/>
        <v>-1.3724432080999938</v>
      </c>
      <c r="Y65" s="32">
        <f t="shared" si="138"/>
        <v>1.5204703509571518</v>
      </c>
      <c r="Z65" s="38">
        <f t="shared" si="139"/>
        <v>10.271564536136209</v>
      </c>
      <c r="AA65" s="31">
        <f>SUM(L$2:L65)-SUM(AB$2:AB65)</f>
        <v>-14.47199999998611</v>
      </c>
      <c r="AB65" s="46"/>
      <c r="AC65" s="69">
        <f t="shared" si="140"/>
        <v>28.728762968102803</v>
      </c>
      <c r="AD65" s="69">
        <f t="shared" si="141"/>
        <v>-1371.2712370318973</v>
      </c>
    </row>
    <row r="66" spans="1:30" x14ac:dyDescent="0.25">
      <c r="A66" s="99">
        <v>43115</v>
      </c>
      <c r="B66" s="100" t="s">
        <v>198</v>
      </c>
      <c r="C66" s="101" t="s">
        <v>63</v>
      </c>
      <c r="D66" s="104">
        <v>500</v>
      </c>
      <c r="E66" s="31">
        <v>6.99</v>
      </c>
      <c r="F66" s="102">
        <f t="shared" si="121"/>
        <v>1900</v>
      </c>
      <c r="G66" s="32">
        <f t="shared" si="122"/>
        <v>7.0456642105263043</v>
      </c>
      <c r="H66" s="31">
        <f t="shared" si="123"/>
        <v>13386.761999999979</v>
      </c>
      <c r="I66" s="31">
        <f t="shared" si="124"/>
        <v>-105.7619999999788</v>
      </c>
      <c r="J66" s="108">
        <f t="shared" si="125"/>
        <v>-7.9004915453025886E-3</v>
      </c>
      <c r="K66" s="31">
        <f t="shared" si="126"/>
        <v>13281</v>
      </c>
      <c r="L66" s="31">
        <f t="shared" si="127"/>
        <v>-313</v>
      </c>
      <c r="M66" s="31">
        <f t="shared" si="128"/>
        <v>5</v>
      </c>
      <c r="N66" s="31">
        <f t="shared" si="129"/>
        <v>0</v>
      </c>
      <c r="O66" s="125"/>
      <c r="P66" s="32">
        <f t="shared" si="130"/>
        <v>-5.5664210526304103E-2</v>
      </c>
      <c r="Q66" s="31">
        <f t="shared" si="131"/>
        <v>-3500</v>
      </c>
      <c r="R66" s="34"/>
      <c r="S66" s="34">
        <f t="shared" si="132"/>
        <v>-12611.287000000002</v>
      </c>
      <c r="T66" s="34">
        <f t="shared" si="133"/>
        <v>-1804.1898426323321</v>
      </c>
      <c r="U66" s="34">
        <f t="shared" si="134"/>
        <v>95.810157367667898</v>
      </c>
      <c r="V66" s="31">
        <f t="shared" si="135"/>
        <v>775.47499999997672</v>
      </c>
      <c r="W66" s="32">
        <f t="shared" si="136"/>
        <v>8.0938704340513752</v>
      </c>
      <c r="X66" s="32">
        <f t="shared" si="137"/>
        <v>1.0482062235250709</v>
      </c>
      <c r="Y66" s="32">
        <f t="shared" si="138"/>
        <v>-1.103870434051375</v>
      </c>
      <c r="Z66" s="38">
        <f t="shared" si="139"/>
        <v>19.83088278113166</v>
      </c>
      <c r="AA66" s="31">
        <f>SUM(L$2:L66)-SUM(AB$2:AB66)</f>
        <v>-327.47199999998611</v>
      </c>
      <c r="AB66" s="46"/>
      <c r="AC66" s="69">
        <f t="shared" si="140"/>
        <v>-15.122906866949759</v>
      </c>
      <c r="AD66" s="69">
        <f t="shared" si="141"/>
        <v>-1915.1229068669497</v>
      </c>
    </row>
    <row r="67" spans="1:30" x14ac:dyDescent="0.25">
      <c r="A67" s="99">
        <v>43122</v>
      </c>
      <c r="B67" s="100" t="s">
        <v>608</v>
      </c>
      <c r="C67" s="101" t="s">
        <v>63</v>
      </c>
      <c r="D67" s="104">
        <v>500</v>
      </c>
      <c r="E67" s="31">
        <v>6.94</v>
      </c>
      <c r="F67" s="102">
        <f t="shared" si="121"/>
        <v>2400</v>
      </c>
      <c r="G67" s="32">
        <f t="shared" si="122"/>
        <v>7.0257341666666582</v>
      </c>
      <c r="H67" s="31">
        <f t="shared" si="123"/>
        <v>16861.761999999981</v>
      </c>
      <c r="I67" s="31">
        <f t="shared" si="124"/>
        <v>-205.76199999998062</v>
      </c>
      <c r="J67" s="108">
        <f t="shared" si="125"/>
        <v>-1.2202876543980334E-2</v>
      </c>
      <c r="K67" s="31">
        <f t="shared" si="126"/>
        <v>16656</v>
      </c>
      <c r="L67" s="31">
        <f t="shared" si="127"/>
        <v>-100.00000000000182</v>
      </c>
      <c r="M67" s="31">
        <f t="shared" si="128"/>
        <v>5</v>
      </c>
      <c r="N67" s="31">
        <f t="shared" si="129"/>
        <v>0</v>
      </c>
      <c r="O67" s="125"/>
      <c r="P67" s="32">
        <f t="shared" si="130"/>
        <v>-8.5734166666657785E-2</v>
      </c>
      <c r="Q67" s="31">
        <f t="shared" si="131"/>
        <v>-3475.0000000000018</v>
      </c>
      <c r="R67" s="34"/>
      <c r="S67" s="34">
        <f t="shared" si="132"/>
        <v>-16086.287000000004</v>
      </c>
      <c r="T67" s="34">
        <f t="shared" si="133"/>
        <v>-2317.9087896253604</v>
      </c>
      <c r="U67" s="34">
        <f t="shared" si="134"/>
        <v>82.091210374639559</v>
      </c>
      <c r="V67" s="31">
        <f t="shared" si="135"/>
        <v>775.47499999997672</v>
      </c>
      <c r="W67" s="32">
        <f t="shared" si="136"/>
        <v>9.4465046435658877</v>
      </c>
      <c r="X67" s="32">
        <f t="shared" si="137"/>
        <v>2.4207704768992295</v>
      </c>
      <c r="Y67" s="32">
        <f t="shared" si="138"/>
        <v>-2.5065046435658873</v>
      </c>
      <c r="Z67" s="38">
        <f t="shared" si="139"/>
        <v>29.235773099788915</v>
      </c>
      <c r="AA67" s="31">
        <f>SUM(L$2:L67)-SUM(AB$2:AB67)</f>
        <v>-427.47199999998793</v>
      </c>
      <c r="AB67" s="46"/>
      <c r="AC67" s="69">
        <f t="shared" si="140"/>
        <v>-29.633878818441012</v>
      </c>
      <c r="AD67" s="69">
        <f t="shared" si="141"/>
        <v>-2429.6338788184412</v>
      </c>
    </row>
    <row r="68" spans="1:30" x14ac:dyDescent="0.25">
      <c r="A68" s="99">
        <v>43124</v>
      </c>
      <c r="B68" s="100"/>
      <c r="C68" s="101" t="s">
        <v>69</v>
      </c>
      <c r="D68" s="104">
        <v>400</v>
      </c>
      <c r="E68" s="31">
        <v>7.04</v>
      </c>
      <c r="F68" s="102">
        <f t="shared" si="121"/>
        <v>2000</v>
      </c>
      <c r="G68" s="32">
        <f t="shared" si="122"/>
        <v>7.0267889999999911</v>
      </c>
      <c r="H68" s="31">
        <f t="shared" si="123"/>
        <v>14053.577999999981</v>
      </c>
      <c r="I68" s="31">
        <f t="shared" si="124"/>
        <v>26.42200000001867</v>
      </c>
      <c r="J68" s="108">
        <f t="shared" si="125"/>
        <v>1.8800906075319727E-3</v>
      </c>
      <c r="K68" s="31">
        <f t="shared" si="126"/>
        <v>14080</v>
      </c>
      <c r="L68" s="31">
        <f t="shared" si="127"/>
        <v>232.18399999999929</v>
      </c>
      <c r="M68" s="31">
        <f t="shared" si="128"/>
        <v>5</v>
      </c>
      <c r="N68" s="31">
        <f t="shared" si="129"/>
        <v>2.8159999999999998</v>
      </c>
      <c r="O68" s="125"/>
      <c r="P68" s="32">
        <f t="shared" si="130"/>
        <v>1.3211000000008966E-2</v>
      </c>
      <c r="Q68" s="31">
        <f t="shared" si="131"/>
        <v>2808.1839999999993</v>
      </c>
      <c r="R68" s="34"/>
      <c r="S68" s="34">
        <f t="shared" si="132"/>
        <v>-13278.103000000005</v>
      </c>
      <c r="T68" s="34">
        <f t="shared" si="133"/>
        <v>-1886.0941761363642</v>
      </c>
      <c r="U68" s="34">
        <f t="shared" si="134"/>
        <v>113.90582386363576</v>
      </c>
      <c r="V68" s="31">
        <f t="shared" si="135"/>
        <v>775.47499999997672</v>
      </c>
      <c r="W68" s="32">
        <f t="shared" si="136"/>
        <v>6.808036443582985</v>
      </c>
      <c r="X68" s="32">
        <f t="shared" si="137"/>
        <v>-0.21875255641700608</v>
      </c>
      <c r="Y68" s="32">
        <f t="shared" si="138"/>
        <v>0.23196355641701505</v>
      </c>
      <c r="Z68" s="38">
        <f t="shared" si="139"/>
        <v>17.558364727639677</v>
      </c>
      <c r="AA68" s="31">
        <f>SUM(L$2:L68)-SUM(AB$2:AB68)</f>
        <v>-195.28799999998864</v>
      </c>
      <c r="AB68" s="46"/>
      <c r="AC68" s="69">
        <f t="shared" si="140"/>
        <v>3.7512484375026509</v>
      </c>
      <c r="AD68" s="69">
        <f t="shared" si="141"/>
        <v>-1996.2487515624973</v>
      </c>
    </row>
    <row r="69" spans="1:30" x14ac:dyDescent="0.25">
      <c r="A69" s="99">
        <v>43125</v>
      </c>
      <c r="B69" s="100"/>
      <c r="C69" s="101" t="s">
        <v>69</v>
      </c>
      <c r="D69" s="104">
        <v>400</v>
      </c>
      <c r="E69" s="31">
        <v>7.19</v>
      </c>
      <c r="F69" s="102">
        <f t="shared" si="121"/>
        <v>1600</v>
      </c>
      <c r="G69" s="32">
        <f t="shared" si="122"/>
        <v>6.9909087499999885</v>
      </c>
      <c r="H69" s="31">
        <f t="shared" si="123"/>
        <v>11185.453999999982</v>
      </c>
      <c r="I69" s="31">
        <f t="shared" si="124"/>
        <v>318.54600000001847</v>
      </c>
      <c r="J69" s="108">
        <f t="shared" si="125"/>
        <v>2.847859371644813E-2</v>
      </c>
      <c r="K69" s="31">
        <f t="shared" si="126"/>
        <v>11504</v>
      </c>
      <c r="L69" s="31">
        <f t="shared" si="127"/>
        <v>292.1239999999998</v>
      </c>
      <c r="M69" s="31">
        <f t="shared" si="128"/>
        <v>5</v>
      </c>
      <c r="N69" s="31">
        <f t="shared" si="129"/>
        <v>2.8759999999999999</v>
      </c>
      <c r="O69" s="125"/>
      <c r="P69" s="32">
        <f t="shared" si="130"/>
        <v>0.19909125000001193</v>
      </c>
      <c r="Q69" s="31">
        <f t="shared" si="131"/>
        <v>2868.1239999999998</v>
      </c>
      <c r="R69" s="34"/>
      <c r="S69" s="34">
        <f t="shared" si="132"/>
        <v>-10409.979000000005</v>
      </c>
      <c r="T69" s="34">
        <f t="shared" si="133"/>
        <v>-1447.8413073713498</v>
      </c>
      <c r="U69" s="34">
        <f t="shared" si="134"/>
        <v>152.15869262865021</v>
      </c>
      <c r="V69" s="31">
        <f t="shared" si="135"/>
        <v>775.47499999997672</v>
      </c>
      <c r="W69" s="32">
        <f t="shared" si="136"/>
        <v>5.0964883215220347</v>
      </c>
      <c r="X69" s="32">
        <f t="shared" si="137"/>
        <v>-1.8944204284779538</v>
      </c>
      <c r="Y69" s="32">
        <f t="shared" si="138"/>
        <v>2.0935116784779657</v>
      </c>
      <c r="Z69" s="38">
        <f t="shared" si="139"/>
        <v>10.515337456959283</v>
      </c>
      <c r="AA69" s="31">
        <f>SUM(L$2:L69)-SUM(AB$2:AB69)</f>
        <v>96.836000000011154</v>
      </c>
      <c r="AB69" s="46"/>
      <c r="AC69" s="69">
        <f t="shared" si="140"/>
        <v>44.28188136300674</v>
      </c>
      <c r="AD69" s="69">
        <f t="shared" si="141"/>
        <v>-1555.7181186369933</v>
      </c>
    </row>
    <row r="70" spans="1:30" x14ac:dyDescent="0.25">
      <c r="A70" s="99">
        <v>43126</v>
      </c>
      <c r="B70" s="100" t="s">
        <v>390</v>
      </c>
      <c r="C70" s="101" t="s">
        <v>63</v>
      </c>
      <c r="D70" s="104">
        <v>500</v>
      </c>
      <c r="E70" s="31">
        <v>7.06</v>
      </c>
      <c r="F70" s="102">
        <f t="shared" si="121"/>
        <v>2100</v>
      </c>
      <c r="G70" s="32">
        <f t="shared" si="122"/>
        <v>7.009739999999991</v>
      </c>
      <c r="H70" s="31">
        <f t="shared" si="123"/>
        <v>14720.453999999982</v>
      </c>
      <c r="I70" s="31">
        <f t="shared" si="124"/>
        <v>105.54600000001847</v>
      </c>
      <c r="J70" s="108">
        <f t="shared" si="125"/>
        <v>7.1700234245505104E-3</v>
      </c>
      <c r="K70" s="31">
        <f t="shared" si="126"/>
        <v>14826</v>
      </c>
      <c r="L70" s="31">
        <f t="shared" si="127"/>
        <v>-213</v>
      </c>
      <c r="M70" s="31">
        <f t="shared" si="128"/>
        <v>5</v>
      </c>
      <c r="N70" s="31">
        <f t="shared" si="129"/>
        <v>0</v>
      </c>
      <c r="O70" s="125"/>
      <c r="P70" s="32">
        <f t="shared" si="130"/>
        <v>5.0260000000008631E-2</v>
      </c>
      <c r="Q70" s="31">
        <f t="shared" si="131"/>
        <v>-3535</v>
      </c>
      <c r="R70" s="34"/>
      <c r="S70" s="34">
        <f t="shared" si="132"/>
        <v>-13944.979000000005</v>
      </c>
      <c r="T70" s="34">
        <f t="shared" si="133"/>
        <v>-1975.2094900849866</v>
      </c>
      <c r="U70" s="34">
        <f t="shared" si="134"/>
        <v>124.79050991501344</v>
      </c>
      <c r="V70" s="31">
        <f t="shared" si="135"/>
        <v>775.47499999997672</v>
      </c>
      <c r="W70" s="32">
        <f t="shared" si="136"/>
        <v>6.2142145306410033</v>
      </c>
      <c r="X70" s="32">
        <f t="shared" si="137"/>
        <v>-0.79552546935898771</v>
      </c>
      <c r="Y70" s="32">
        <f t="shared" si="138"/>
        <v>0.84578546935899634</v>
      </c>
      <c r="Z70" s="38">
        <f t="shared" si="139"/>
        <v>16.8282027329656</v>
      </c>
      <c r="AA70" s="31">
        <f>SUM(L$2:L70)-SUM(AB$2:AB70)</f>
        <v>-116.16399999998885</v>
      </c>
      <c r="AB70" s="46"/>
      <c r="AC70" s="69">
        <f t="shared" si="140"/>
        <v>14.942383427764655</v>
      </c>
      <c r="AD70" s="69">
        <f t="shared" si="141"/>
        <v>-2085.0576165722355</v>
      </c>
    </row>
    <row r="71" spans="1:30" x14ac:dyDescent="0.25">
      <c r="A71" s="99">
        <v>43129</v>
      </c>
      <c r="B71" s="100" t="s">
        <v>206</v>
      </c>
      <c r="C71" s="101" t="s">
        <v>63</v>
      </c>
      <c r="D71" s="104">
        <v>500</v>
      </c>
      <c r="E71" s="31">
        <v>6.93</v>
      </c>
      <c r="F71" s="102">
        <f t="shared" ref="F71:F77" si="142">IF(C71="买",F70+D71,F70-D71)</f>
        <v>2600</v>
      </c>
      <c r="G71" s="32">
        <f t="shared" si="122"/>
        <v>6.9963284615384556</v>
      </c>
      <c r="H71" s="31">
        <f t="shared" si="123"/>
        <v>18190.453999999983</v>
      </c>
      <c r="I71" s="31">
        <f t="shared" si="124"/>
        <v>-172.45399999998335</v>
      </c>
      <c r="J71" s="108">
        <f t="shared" si="125"/>
        <v>-9.4804670625584907E-3</v>
      </c>
      <c r="K71" s="31">
        <f t="shared" si="126"/>
        <v>18018</v>
      </c>
      <c r="L71" s="31">
        <f t="shared" si="127"/>
        <v>-278.00000000000182</v>
      </c>
      <c r="M71" s="31">
        <f t="shared" si="128"/>
        <v>5</v>
      </c>
      <c r="N71" s="31">
        <f t="shared" si="129"/>
        <v>0</v>
      </c>
      <c r="O71" s="125"/>
      <c r="P71" s="32">
        <f t="shared" si="130"/>
        <v>-6.6328461538455841E-2</v>
      </c>
      <c r="Q71" s="31">
        <f t="shared" si="131"/>
        <v>-3470.0000000000018</v>
      </c>
      <c r="R71" s="34"/>
      <c r="S71" s="34">
        <f t="shared" si="132"/>
        <v>-17414.979000000007</v>
      </c>
      <c r="T71" s="34">
        <f t="shared" si="133"/>
        <v>-2512.9839826839839</v>
      </c>
      <c r="U71" s="34">
        <f t="shared" si="134"/>
        <v>87.016017316016132</v>
      </c>
      <c r="V71" s="31">
        <f t="shared" si="135"/>
        <v>775.47499999997672</v>
      </c>
      <c r="W71" s="32">
        <f t="shared" si="136"/>
        <v>8.9118650096761343</v>
      </c>
      <c r="X71" s="32">
        <f t="shared" si="137"/>
        <v>1.9155365481376787</v>
      </c>
      <c r="Y71" s="32">
        <f t="shared" si="138"/>
        <v>-1.9818650096761345</v>
      </c>
      <c r="Z71" s="38">
        <f t="shared" si="139"/>
        <v>29.879556433358449</v>
      </c>
      <c r="AA71" s="31">
        <f>SUM(L$2:L71)-SUM(AB$2:AB71)</f>
        <v>-394.16399999999066</v>
      </c>
      <c r="AB71" s="46"/>
      <c r="AC71" s="69">
        <f t="shared" si="140"/>
        <v>-24.872694516592119</v>
      </c>
      <c r="AD71" s="69">
        <f t="shared" si="141"/>
        <v>-2624.8726945165922</v>
      </c>
    </row>
    <row r="72" spans="1:30" x14ac:dyDescent="0.25">
      <c r="A72" s="99">
        <v>43130</v>
      </c>
      <c r="B72" s="100" t="s">
        <v>398</v>
      </c>
      <c r="C72" s="101" t="s">
        <v>63</v>
      </c>
      <c r="D72" s="104">
        <v>500</v>
      </c>
      <c r="E72" s="31">
        <v>6.7</v>
      </c>
      <c r="F72" s="102">
        <f t="shared" si="142"/>
        <v>3100</v>
      </c>
      <c r="G72" s="32">
        <f t="shared" ref="G72:G77" si="143">H72/F72</f>
        <v>6.9501464516128975</v>
      </c>
      <c r="H72" s="31">
        <f t="shared" ref="H72:H77" si="144">IF(C72="买",H71+D72*E72+M72+N72,H71+-1*D72*E72+M72+N72)+O71</f>
        <v>21545.453999999983</v>
      </c>
      <c r="I72" s="31">
        <f t="shared" ref="I72:I77" si="145">-H72+K72</f>
        <v>-775.45399999998335</v>
      </c>
      <c r="J72" s="108">
        <f t="shared" ref="J72:J77" si="146">(E72-G72)/G72</f>
        <v>-3.599153677615622E-2</v>
      </c>
      <c r="K72" s="31">
        <f t="shared" ref="K72:K77" si="147">F72*E72</f>
        <v>20770</v>
      </c>
      <c r="L72" s="31">
        <f t="shared" ref="L72:L77" si="148">I72-I71</f>
        <v>-603</v>
      </c>
      <c r="M72" s="31">
        <f t="shared" ref="M72:M77" si="149">IF(D72*E72*2.5/10000&gt;5,D72*E72*2.5/10000,5)</f>
        <v>5</v>
      </c>
      <c r="N72" s="31">
        <f t="shared" ref="N72:N77" si="150">IF(C72="卖",D72*E72/1000,0)</f>
        <v>0</v>
      </c>
      <c r="O72" s="125"/>
      <c r="P72" s="32">
        <f t="shared" ref="P72:P77" si="151">E72-G72</f>
        <v>-0.25014645161289728</v>
      </c>
      <c r="Q72" s="31">
        <f t="shared" ref="Q72:Q77" si="152">(H72-H71)*-1</f>
        <v>-3355</v>
      </c>
      <c r="R72" s="34"/>
      <c r="S72" s="34">
        <f t="shared" ref="S72:S77" si="153">S71+Q72+O72+R72</f>
        <v>-20769.979000000007</v>
      </c>
      <c r="T72" s="34">
        <f t="shared" ref="T72:T77" si="154">S72/E72</f>
        <v>-3099.9968656716428</v>
      </c>
      <c r="U72" s="34">
        <f t="shared" ref="U72:U77" si="155">F72+T72</f>
        <v>3.1343283571914071E-3</v>
      </c>
      <c r="V72" s="31">
        <f t="shared" ref="V72:V77" si="156">H72+S72</f>
        <v>775.47499999997672</v>
      </c>
      <c r="W72" s="32">
        <f t="shared" ref="W72:W77" si="157">V72/U72</f>
        <v>247413.4524612668</v>
      </c>
      <c r="X72" s="32">
        <f t="shared" ref="X72:X77" si="158">W72-G72</f>
        <v>247406.50231481518</v>
      </c>
      <c r="Y72" s="32">
        <f t="shared" ref="Y72:Y77" si="159">(X72-P72)*-1</f>
        <v>-247406.75246126679</v>
      </c>
      <c r="Z72" s="38">
        <f t="shared" si="139"/>
        <v>989047.61936870974</v>
      </c>
      <c r="AA72" s="31">
        <f>SUM(L$2:L72)-SUM(AB$2:AB72)</f>
        <v>-997.16399999999066</v>
      </c>
      <c r="AB72" s="128"/>
      <c r="AC72" s="69">
        <f t="shared" ref="AC72:AC77" si="160">I72/E72*(1-0.0005)</f>
        <v>-115.6815332835796</v>
      </c>
      <c r="AD72" s="69">
        <f t="shared" ref="AD72:AD77" si="161">AC72-F72</f>
        <v>-3215.6815332835795</v>
      </c>
    </row>
    <row r="73" spans="1:30" x14ac:dyDescent="0.25">
      <c r="A73" s="99">
        <v>43131</v>
      </c>
      <c r="B73" s="100" t="s">
        <v>609</v>
      </c>
      <c r="C73" s="101" t="s">
        <v>63</v>
      </c>
      <c r="D73" s="104">
        <v>500</v>
      </c>
      <c r="E73" s="31">
        <v>6.47</v>
      </c>
      <c r="F73" s="102">
        <f t="shared" si="142"/>
        <v>3600</v>
      </c>
      <c r="G73" s="32">
        <f t="shared" si="143"/>
        <v>6.8848483333333288</v>
      </c>
      <c r="H73" s="31">
        <f t="shared" si="144"/>
        <v>24785.453999999983</v>
      </c>
      <c r="I73" s="31">
        <f t="shared" si="145"/>
        <v>-1493.4539999999834</v>
      </c>
      <c r="J73" s="108">
        <f t="shared" si="146"/>
        <v>-6.0255261009138084E-2</v>
      </c>
      <c r="K73" s="31">
        <f t="shared" si="147"/>
        <v>23292</v>
      </c>
      <c r="L73" s="31">
        <f t="shared" si="148"/>
        <v>-718</v>
      </c>
      <c r="M73" s="31">
        <f t="shared" si="149"/>
        <v>5</v>
      </c>
      <c r="N73" s="31">
        <f t="shared" si="150"/>
        <v>0</v>
      </c>
      <c r="O73" s="125"/>
      <c r="P73" s="32">
        <f t="shared" si="151"/>
        <v>-0.41484833333332904</v>
      </c>
      <c r="Q73" s="31">
        <f t="shared" si="152"/>
        <v>-3240</v>
      </c>
      <c r="R73" s="34"/>
      <c r="S73" s="34">
        <f t="shared" si="153"/>
        <v>-24009.979000000007</v>
      </c>
      <c r="T73" s="34">
        <f t="shared" si="154"/>
        <v>-3710.970479134468</v>
      </c>
      <c r="U73" s="34">
        <f t="shared" si="155"/>
        <v>-110.97047913446795</v>
      </c>
      <c r="V73" s="31">
        <f t="shared" si="156"/>
        <v>775.47499999997672</v>
      </c>
      <c r="W73" s="32">
        <f t="shared" si="157"/>
        <v>-6.9881197778762276</v>
      </c>
      <c r="X73" s="32">
        <f t="shared" si="158"/>
        <v>-13.872968111209556</v>
      </c>
      <c r="Y73" s="32">
        <f t="shared" si="159"/>
        <v>13.458119777876227</v>
      </c>
      <c r="Z73" s="38">
        <f t="shared" si="139"/>
        <v>-32.441060253851091</v>
      </c>
      <c r="AA73" s="31">
        <f>SUM(L$2:L73)-SUM(AB$2:AB73)</f>
        <v>-1715.1639999999907</v>
      </c>
      <c r="AB73" s="128"/>
      <c r="AC73" s="69">
        <f t="shared" si="160"/>
        <v>-230.71209783616436</v>
      </c>
      <c r="AD73" s="69">
        <f t="shared" si="161"/>
        <v>-3830.7120978361645</v>
      </c>
    </row>
    <row r="74" spans="1:30" x14ac:dyDescent="0.25">
      <c r="A74" s="99">
        <v>43133</v>
      </c>
      <c r="B74" s="100" t="s">
        <v>610</v>
      </c>
      <c r="C74" s="101" t="s">
        <v>63</v>
      </c>
      <c r="D74" s="104">
        <v>400</v>
      </c>
      <c r="E74" s="31">
        <v>6.13</v>
      </c>
      <c r="F74" s="102">
        <f t="shared" si="142"/>
        <v>4000</v>
      </c>
      <c r="G74" s="32">
        <f t="shared" si="143"/>
        <v>6.8106134999999961</v>
      </c>
      <c r="H74" s="31">
        <f t="shared" si="144"/>
        <v>27242.453999999983</v>
      </c>
      <c r="I74" s="31">
        <f t="shared" si="145"/>
        <v>-2722.4539999999834</v>
      </c>
      <c r="J74" s="108">
        <f t="shared" si="146"/>
        <v>-9.9934242341016208E-2</v>
      </c>
      <c r="K74" s="31">
        <f t="shared" si="147"/>
        <v>24520</v>
      </c>
      <c r="L74" s="31">
        <f t="shared" si="148"/>
        <v>-1229</v>
      </c>
      <c r="M74" s="31">
        <f t="shared" si="149"/>
        <v>5</v>
      </c>
      <c r="N74" s="31">
        <f t="shared" si="150"/>
        <v>0</v>
      </c>
      <c r="O74" s="125"/>
      <c r="P74" s="32">
        <f t="shared" si="151"/>
        <v>-0.68061349999999621</v>
      </c>
      <c r="Q74" s="31">
        <f t="shared" si="152"/>
        <v>-2457</v>
      </c>
      <c r="R74" s="34"/>
      <c r="S74" s="34">
        <f t="shared" si="153"/>
        <v>-26466.979000000007</v>
      </c>
      <c r="T74" s="34">
        <f t="shared" si="154"/>
        <v>-4317.6148450244709</v>
      </c>
      <c r="U74" s="34">
        <f t="shared" si="155"/>
        <v>-317.61484502447092</v>
      </c>
      <c r="V74" s="31">
        <f t="shared" si="156"/>
        <v>775.47499999997672</v>
      </c>
      <c r="W74" s="32">
        <f t="shared" si="157"/>
        <v>-2.4415577928677408</v>
      </c>
      <c r="X74" s="32">
        <f t="shared" si="158"/>
        <v>-9.252171292867736</v>
      </c>
      <c r="Y74" s="32">
        <f t="shared" si="159"/>
        <v>8.5715577928677398</v>
      </c>
      <c r="Z74" s="38">
        <f t="shared" si="139"/>
        <v>-12.593869784933435</v>
      </c>
      <c r="AA74" s="31">
        <f>SUM(L$2:L74)-SUM(AB$2:AB74)</f>
        <v>-2944.1639999999907</v>
      </c>
      <c r="AB74" s="128"/>
      <c r="AC74" s="69">
        <f t="shared" si="160"/>
        <v>-443.89767911908376</v>
      </c>
      <c r="AD74" s="69">
        <f t="shared" si="161"/>
        <v>-4443.8976791190835</v>
      </c>
    </row>
    <row r="75" spans="1:30" x14ac:dyDescent="0.25">
      <c r="A75" s="99">
        <v>43138</v>
      </c>
      <c r="B75" s="100" t="s">
        <v>405</v>
      </c>
      <c r="C75" s="101" t="s">
        <v>63</v>
      </c>
      <c r="D75" s="104">
        <v>500</v>
      </c>
      <c r="E75" s="31">
        <v>5.75</v>
      </c>
      <c r="F75" s="102">
        <f t="shared" si="142"/>
        <v>4500</v>
      </c>
      <c r="G75" s="32">
        <f t="shared" si="143"/>
        <v>6.693878666666663</v>
      </c>
      <c r="H75" s="31">
        <f t="shared" si="144"/>
        <v>30122.453999999983</v>
      </c>
      <c r="I75" s="31">
        <f t="shared" si="145"/>
        <v>-4247.4539999999834</v>
      </c>
      <c r="J75" s="108">
        <f t="shared" si="146"/>
        <v>-0.14100624072660167</v>
      </c>
      <c r="K75" s="31">
        <f t="shared" si="147"/>
        <v>25875</v>
      </c>
      <c r="L75" s="31">
        <f t="shared" si="148"/>
        <v>-1525</v>
      </c>
      <c r="M75" s="31">
        <f t="shared" si="149"/>
        <v>5</v>
      </c>
      <c r="N75" s="31">
        <f t="shared" si="150"/>
        <v>0</v>
      </c>
      <c r="O75" s="125"/>
      <c r="P75" s="32">
        <f t="shared" si="151"/>
        <v>-0.94387866666666298</v>
      </c>
      <c r="Q75" s="31">
        <f t="shared" si="152"/>
        <v>-2880</v>
      </c>
      <c r="R75" s="34"/>
      <c r="S75" s="34">
        <f t="shared" si="153"/>
        <v>-29346.979000000007</v>
      </c>
      <c r="T75" s="34">
        <f t="shared" si="154"/>
        <v>-5103.8224347826099</v>
      </c>
      <c r="U75" s="34">
        <f t="shared" si="155"/>
        <v>-603.82243478260989</v>
      </c>
      <c r="V75" s="31">
        <f t="shared" si="156"/>
        <v>775.47499999997672</v>
      </c>
      <c r="W75" s="32">
        <f t="shared" si="157"/>
        <v>-1.2842765610045042</v>
      </c>
      <c r="X75" s="32">
        <f t="shared" si="158"/>
        <v>-7.9781552276711674</v>
      </c>
      <c r="Y75" s="32">
        <f t="shared" si="159"/>
        <v>7.0342765610045044</v>
      </c>
      <c r="Z75" s="38">
        <f t="shared" si="139"/>
        <v>-7.4525220342634411</v>
      </c>
      <c r="AA75" s="31">
        <f>SUM(L$2:L75)-SUM(AB$2:AB75)</f>
        <v>-4469.1639999999907</v>
      </c>
      <c r="AB75" s="128"/>
      <c r="AC75" s="69">
        <f t="shared" si="160"/>
        <v>-738.31830834782318</v>
      </c>
      <c r="AD75" s="69">
        <f t="shared" si="161"/>
        <v>-5238.3183083478234</v>
      </c>
    </row>
    <row r="76" spans="1:30" x14ac:dyDescent="0.25">
      <c r="A76" s="99">
        <v>43140</v>
      </c>
      <c r="B76" s="100"/>
      <c r="C76" s="101" t="s">
        <v>69</v>
      </c>
      <c r="D76" s="104">
        <v>400</v>
      </c>
      <c r="E76" s="31">
        <v>6.06</v>
      </c>
      <c r="F76" s="102">
        <f t="shared" si="142"/>
        <v>4100</v>
      </c>
      <c r="G76" s="32">
        <f t="shared" si="143"/>
        <v>6.7575312195121908</v>
      </c>
      <c r="H76" s="31">
        <f t="shared" si="144"/>
        <v>27705.877999999982</v>
      </c>
      <c r="I76" s="31">
        <f t="shared" si="145"/>
        <v>-2859.8779999999824</v>
      </c>
      <c r="J76" s="108">
        <f t="shared" si="146"/>
        <v>-0.10322278904137186</v>
      </c>
      <c r="K76" s="31">
        <f t="shared" si="147"/>
        <v>24846</v>
      </c>
      <c r="L76" s="31">
        <f t="shared" si="148"/>
        <v>1387.5760000000009</v>
      </c>
      <c r="M76" s="31">
        <f t="shared" si="149"/>
        <v>5</v>
      </c>
      <c r="N76" s="31">
        <f t="shared" si="150"/>
        <v>2.4239999999999999</v>
      </c>
      <c r="O76" s="125"/>
      <c r="P76" s="32">
        <f t="shared" si="151"/>
        <v>-0.69753121951219121</v>
      </c>
      <c r="Q76" s="31">
        <f t="shared" si="152"/>
        <v>2416.5760000000009</v>
      </c>
      <c r="R76" s="34"/>
      <c r="S76" s="34">
        <f t="shared" si="153"/>
        <v>-26930.403000000006</v>
      </c>
      <c r="T76" s="34">
        <f t="shared" si="154"/>
        <v>-4443.9608910891102</v>
      </c>
      <c r="U76" s="34">
        <f t="shared" si="155"/>
        <v>-343.96089108911019</v>
      </c>
      <c r="V76" s="31">
        <f t="shared" si="156"/>
        <v>775.47499999997672</v>
      </c>
      <c r="W76" s="32">
        <f t="shared" si="157"/>
        <v>-2.2545441068736904</v>
      </c>
      <c r="X76" s="32">
        <f t="shared" si="158"/>
        <v>-9.0120753263858813</v>
      </c>
      <c r="Y76" s="32">
        <f t="shared" si="159"/>
        <v>8.3145441068736901</v>
      </c>
      <c r="Z76" s="38">
        <f t="shared" si="139"/>
        <v>-11.919959815832115</v>
      </c>
      <c r="AA76" s="31">
        <f>SUM(L$2:L76)-SUM(AB$2:AB76)</f>
        <v>-3081.5879999999897</v>
      </c>
      <c r="AB76" s="128"/>
      <c r="AC76" s="69">
        <f t="shared" si="160"/>
        <v>-471.69109917491465</v>
      </c>
      <c r="AD76" s="69">
        <f t="shared" si="161"/>
        <v>-4571.6910991749146</v>
      </c>
    </row>
    <row r="77" spans="1:30" x14ac:dyDescent="0.25">
      <c r="A77" s="99">
        <v>43157</v>
      </c>
      <c r="B77" s="100"/>
      <c r="C77" s="101" t="s">
        <v>69</v>
      </c>
      <c r="D77" s="104">
        <v>400</v>
      </c>
      <c r="E77" s="31">
        <v>6.25</v>
      </c>
      <c r="F77" s="102">
        <f t="shared" si="142"/>
        <v>3700</v>
      </c>
      <c r="G77" s="32">
        <f t="shared" si="143"/>
        <v>6.8144264864864814</v>
      </c>
      <c r="H77" s="31">
        <f t="shared" si="144"/>
        <v>25213.377999999982</v>
      </c>
      <c r="I77" s="31">
        <f t="shared" si="145"/>
        <v>-2088.3779999999824</v>
      </c>
      <c r="J77" s="108">
        <f t="shared" si="146"/>
        <v>-8.2828171615877202E-2</v>
      </c>
      <c r="K77" s="31">
        <f t="shared" si="147"/>
        <v>23125</v>
      </c>
      <c r="L77" s="31">
        <f t="shared" si="148"/>
        <v>771.5</v>
      </c>
      <c r="M77" s="31">
        <f t="shared" si="149"/>
        <v>5</v>
      </c>
      <c r="N77" s="31">
        <f t="shared" si="150"/>
        <v>2.5</v>
      </c>
      <c r="O77" s="125"/>
      <c r="P77" s="32">
        <f t="shared" si="151"/>
        <v>-0.56442648648648142</v>
      </c>
      <c r="Q77" s="31">
        <f t="shared" si="152"/>
        <v>2492.5</v>
      </c>
      <c r="R77" s="34"/>
      <c r="S77" s="34">
        <f t="shared" si="153"/>
        <v>-24437.903000000006</v>
      </c>
      <c r="T77" s="34">
        <f t="shared" si="154"/>
        <v>-3910.0644800000009</v>
      </c>
      <c r="U77" s="34">
        <f t="shared" si="155"/>
        <v>-210.06448000000091</v>
      </c>
      <c r="V77" s="31">
        <f t="shared" si="156"/>
        <v>775.47499999997672</v>
      </c>
      <c r="W77" s="32">
        <f t="shared" si="157"/>
        <v>-3.6916045968360445</v>
      </c>
      <c r="X77" s="32">
        <f t="shared" si="158"/>
        <v>-10.506031083322526</v>
      </c>
      <c r="Y77" s="32">
        <f t="shared" si="159"/>
        <v>9.9416045968360436</v>
      </c>
      <c r="Z77" s="38">
        <f t="shared" si="139"/>
        <v>-17.613639393009155</v>
      </c>
      <c r="AA77" s="31">
        <f>SUM(L$2:L77)-SUM(AB$2:AB77)</f>
        <v>-2310.0879999999897</v>
      </c>
      <c r="AB77" s="128"/>
      <c r="AC77" s="69">
        <f t="shared" si="160"/>
        <v>-333.9734097599972</v>
      </c>
      <c r="AD77" s="69">
        <f t="shared" si="161"/>
        <v>-4033.9734097599971</v>
      </c>
    </row>
    <row r="78" spans="1:30" x14ac:dyDescent="0.25">
      <c r="A78" s="99">
        <v>43159</v>
      </c>
      <c r="B78" s="100"/>
      <c r="C78" s="101" t="s">
        <v>69</v>
      </c>
      <c r="D78" s="104">
        <v>400</v>
      </c>
      <c r="E78" s="31">
        <v>6.32</v>
      </c>
      <c r="F78" s="102">
        <f t="shared" ref="F78:F90" si="162">IF(C78="买",F77+D78,F77-D78)</f>
        <v>3300</v>
      </c>
      <c r="G78" s="32">
        <f t="shared" ref="G78:G90" si="163">H78/F78</f>
        <v>6.8766381818181763</v>
      </c>
      <c r="H78" s="31">
        <f t="shared" ref="H78:H90" si="164">IF(C78="买",H77+D78*E78+M78+N78,H77+-1*D78*E78+M78+N78)+O77</f>
        <v>22692.905999999981</v>
      </c>
      <c r="I78" s="31">
        <f t="shared" ref="I78:I90" si="165">-H78+K78</f>
        <v>-1836.9059999999808</v>
      </c>
      <c r="J78" s="108">
        <f t="shared" ref="J78:J90" si="166">(E78-G78)/G78</f>
        <v>-8.0946265762524311E-2</v>
      </c>
      <c r="K78" s="31">
        <f t="shared" ref="K78:K90" si="167">F78*E78</f>
        <v>20856</v>
      </c>
      <c r="L78" s="31">
        <f t="shared" ref="L78:L90" si="168">I78-I77</f>
        <v>251.47200000000157</v>
      </c>
      <c r="M78" s="31">
        <f t="shared" ref="M78:M90" si="169">IF(D78*E78*2.5/10000&gt;5,D78*E78*2.5/10000,5)</f>
        <v>5</v>
      </c>
      <c r="N78" s="31">
        <f t="shared" ref="N78:N90" si="170">IF(C78="卖",D78*E78/1000,0)</f>
        <v>2.528</v>
      </c>
      <c r="O78" s="125"/>
      <c r="P78" s="32">
        <f t="shared" ref="P78:P90" si="171">E78-G78</f>
        <v>-0.55663818181817604</v>
      </c>
      <c r="Q78" s="31">
        <f t="shared" ref="Q78:Q90" si="172">(H78-H77)*-1</f>
        <v>2520.4720000000016</v>
      </c>
      <c r="R78" s="34"/>
      <c r="S78" s="34">
        <f t="shared" ref="S78:S90" si="173">S77+Q78+O78+R78</f>
        <v>-21917.431000000004</v>
      </c>
      <c r="T78" s="34">
        <f t="shared" ref="T78:T90" si="174">S78/E78</f>
        <v>-3467.9479430379752</v>
      </c>
      <c r="U78" s="34">
        <f t="shared" ref="U78:U90" si="175">F78+T78</f>
        <v>-167.94794303797516</v>
      </c>
      <c r="V78" s="31">
        <f t="shared" ref="V78:V90" si="176">H78+S78</f>
        <v>775.47499999997672</v>
      </c>
      <c r="W78" s="32">
        <f t="shared" ref="W78:W90" si="177">V78/U78</f>
        <v>-4.6173533654093752</v>
      </c>
      <c r="X78" s="32">
        <f t="shared" ref="X78:X90" si="178">W78-G78</f>
        <v>-11.493991547227552</v>
      </c>
      <c r="Y78" s="32">
        <f t="shared" ref="Y78:Y90" si="179">(X78-P78)*-1</f>
        <v>10.937353365409376</v>
      </c>
      <c r="Z78" s="38">
        <f t="shared" ref="Z78:Z90" si="180">F78/U78</f>
        <v>-19.648945621524092</v>
      </c>
      <c r="AA78" s="31">
        <f>SUM(L$2:L78)-SUM(AB$2:AB78)</f>
        <v>-2058.6159999999882</v>
      </c>
      <c r="AB78" s="128"/>
      <c r="AC78" s="69">
        <f t="shared" ref="AC78:AC90" si="181">I78/E78*(1-0.0005)</f>
        <v>-290.50435870252858</v>
      </c>
      <c r="AD78" s="69">
        <f t="shared" ref="AD78:AD90" si="182">AC78-F78</f>
        <v>-3590.5043587025284</v>
      </c>
    </row>
    <row r="79" spans="1:30" x14ac:dyDescent="0.25">
      <c r="A79" s="99">
        <v>43166</v>
      </c>
      <c r="B79" s="100"/>
      <c r="C79" s="101" t="s">
        <v>69</v>
      </c>
      <c r="D79" s="104">
        <v>400</v>
      </c>
      <c r="E79" s="31">
        <v>6.61</v>
      </c>
      <c r="F79" s="102">
        <f t="shared" si="162"/>
        <v>2900</v>
      </c>
      <c r="G79" s="32">
        <f t="shared" si="163"/>
        <v>6.9160517241379242</v>
      </c>
      <c r="H79" s="31">
        <f t="shared" si="164"/>
        <v>20056.549999999981</v>
      </c>
      <c r="I79" s="31">
        <f t="shared" si="165"/>
        <v>-887.54999999998108</v>
      </c>
      <c r="J79" s="108">
        <f t="shared" si="166"/>
        <v>-4.4252376405711863E-2</v>
      </c>
      <c r="K79" s="31">
        <f t="shared" si="167"/>
        <v>19169</v>
      </c>
      <c r="L79" s="31">
        <f t="shared" si="168"/>
        <v>949.35599999999977</v>
      </c>
      <c r="M79" s="31">
        <f t="shared" si="169"/>
        <v>5</v>
      </c>
      <c r="N79" s="31">
        <f t="shared" si="170"/>
        <v>2.6440000000000001</v>
      </c>
      <c r="O79" s="125"/>
      <c r="P79" s="32">
        <f t="shared" si="171"/>
        <v>-0.30605172413792392</v>
      </c>
      <c r="Q79" s="31">
        <f t="shared" si="172"/>
        <v>2636.3559999999998</v>
      </c>
      <c r="R79" s="34"/>
      <c r="S79" s="34">
        <f t="shared" si="173"/>
        <v>-19281.075000000004</v>
      </c>
      <c r="T79" s="34">
        <f t="shared" si="174"/>
        <v>-2916.9553706505299</v>
      </c>
      <c r="U79" s="34">
        <f t="shared" si="175"/>
        <v>-16.955370650529858</v>
      </c>
      <c r="V79" s="31">
        <f t="shared" si="176"/>
        <v>775.47499999997672</v>
      </c>
      <c r="W79" s="32">
        <f t="shared" si="177"/>
        <v>-45.736245817530566</v>
      </c>
      <c r="X79" s="32">
        <f t="shared" si="178"/>
        <v>-52.652297541668489</v>
      </c>
      <c r="Y79" s="32">
        <f t="shared" si="179"/>
        <v>52.346245817530566</v>
      </c>
      <c r="Z79" s="38">
        <f t="shared" si="180"/>
        <v>-171.03725184028193</v>
      </c>
      <c r="AA79" s="31">
        <f>SUM(L$2:L79)-SUM(AB$2:AB79)</f>
        <v>-1109.2599999999884</v>
      </c>
      <c r="AB79" s="128"/>
      <c r="AC79" s="69">
        <f t="shared" si="181"/>
        <v>-134.20669062026946</v>
      </c>
      <c r="AD79" s="69">
        <f t="shared" si="182"/>
        <v>-3034.2066906202695</v>
      </c>
    </row>
    <row r="80" spans="1:30" x14ac:dyDescent="0.25">
      <c r="A80" s="99">
        <v>43172</v>
      </c>
      <c r="B80" s="100"/>
      <c r="C80" s="101" t="s">
        <v>69</v>
      </c>
      <c r="D80" s="104">
        <v>400</v>
      </c>
      <c r="E80" s="31">
        <v>6.8</v>
      </c>
      <c r="F80" s="102">
        <f t="shared" si="162"/>
        <v>2500</v>
      </c>
      <c r="G80" s="32">
        <f t="shared" si="163"/>
        <v>6.9377079999999927</v>
      </c>
      <c r="H80" s="31">
        <f t="shared" si="164"/>
        <v>17344.269999999982</v>
      </c>
      <c r="I80" s="31">
        <f t="shared" si="165"/>
        <v>-344.26999999998225</v>
      </c>
      <c r="J80" s="108">
        <f t="shared" si="166"/>
        <v>-1.9849206683243657E-2</v>
      </c>
      <c r="K80" s="31">
        <f t="shared" si="167"/>
        <v>17000</v>
      </c>
      <c r="L80" s="31">
        <f t="shared" si="168"/>
        <v>543.27999999999884</v>
      </c>
      <c r="M80" s="31">
        <f t="shared" si="169"/>
        <v>5</v>
      </c>
      <c r="N80" s="31">
        <f t="shared" si="170"/>
        <v>2.72</v>
      </c>
      <c r="O80" s="125"/>
      <c r="P80" s="32">
        <f t="shared" si="171"/>
        <v>-0.13770799999999284</v>
      </c>
      <c r="Q80" s="31">
        <f t="shared" si="172"/>
        <v>2712.2799999999988</v>
      </c>
      <c r="R80" s="34"/>
      <c r="S80" s="34">
        <f t="shared" si="173"/>
        <v>-16568.795000000006</v>
      </c>
      <c r="T80" s="34">
        <f t="shared" si="174"/>
        <v>-2436.587500000001</v>
      </c>
      <c r="U80" s="34">
        <f t="shared" si="175"/>
        <v>63.412499999999</v>
      </c>
      <c r="V80" s="31">
        <f t="shared" si="176"/>
        <v>775.47499999997672</v>
      </c>
      <c r="W80" s="32">
        <f t="shared" si="177"/>
        <v>12.22905578553107</v>
      </c>
      <c r="X80" s="32">
        <f t="shared" si="178"/>
        <v>5.2913477855310775</v>
      </c>
      <c r="Y80" s="32">
        <f t="shared" si="179"/>
        <v>-5.4290557855310704</v>
      </c>
      <c r="Z80" s="38">
        <f t="shared" si="180"/>
        <v>39.424403705894569</v>
      </c>
      <c r="AA80" s="31">
        <f>SUM(L$2:L80)-SUM(AB$2:AB80)</f>
        <v>-565.97999999998956</v>
      </c>
      <c r="AB80" s="128"/>
      <c r="AC80" s="69">
        <f t="shared" si="181"/>
        <v>-50.602627205879749</v>
      </c>
      <c r="AD80" s="69">
        <f t="shared" si="182"/>
        <v>-2550.6026272058798</v>
      </c>
    </row>
    <row r="81" spans="1:30" x14ac:dyDescent="0.25">
      <c r="A81" s="99">
        <v>43174</v>
      </c>
      <c r="B81" s="100" t="s">
        <v>216</v>
      </c>
      <c r="C81" s="101" t="s">
        <v>63</v>
      </c>
      <c r="D81" s="104">
        <v>500</v>
      </c>
      <c r="E81" s="31">
        <v>6.49</v>
      </c>
      <c r="F81" s="102">
        <f t="shared" si="162"/>
        <v>3000</v>
      </c>
      <c r="G81" s="32">
        <f t="shared" si="163"/>
        <v>6.8647566666666604</v>
      </c>
      <c r="H81" s="31">
        <f t="shared" si="164"/>
        <v>20594.269999999982</v>
      </c>
      <c r="I81" s="31">
        <f t="shared" si="165"/>
        <v>-1124.2699999999822</v>
      </c>
      <c r="J81" s="108">
        <f t="shared" si="166"/>
        <v>-5.4591398481227134E-2</v>
      </c>
      <c r="K81" s="31">
        <f t="shared" si="167"/>
        <v>19470</v>
      </c>
      <c r="L81" s="31">
        <f t="shared" si="168"/>
        <v>-780</v>
      </c>
      <c r="M81" s="31">
        <f t="shared" si="169"/>
        <v>5</v>
      </c>
      <c r="N81" s="31">
        <f t="shared" si="170"/>
        <v>0</v>
      </c>
      <c r="O81" s="125"/>
      <c r="P81" s="32">
        <f t="shared" si="171"/>
        <v>-0.37475666666666019</v>
      </c>
      <c r="Q81" s="31">
        <f t="shared" si="172"/>
        <v>-3250</v>
      </c>
      <c r="R81" s="34"/>
      <c r="S81" s="34">
        <f t="shared" si="173"/>
        <v>-19818.795000000006</v>
      </c>
      <c r="T81" s="34">
        <f t="shared" si="174"/>
        <v>-3053.7434514637912</v>
      </c>
      <c r="U81" s="34">
        <f t="shared" si="175"/>
        <v>-53.743451463791189</v>
      </c>
      <c r="V81" s="31">
        <f t="shared" si="176"/>
        <v>775.47499999997672</v>
      </c>
      <c r="W81" s="32">
        <f t="shared" si="177"/>
        <v>-14.429199816510499</v>
      </c>
      <c r="X81" s="32">
        <f t="shared" si="178"/>
        <v>-21.293956483177158</v>
      </c>
      <c r="Y81" s="32">
        <f t="shared" si="179"/>
        <v>20.919199816510499</v>
      </c>
      <c r="Z81" s="38">
        <f t="shared" si="180"/>
        <v>-55.820754311270896</v>
      </c>
      <c r="AA81" s="31">
        <f>SUM(L$2:L81)-SUM(AB$2:AB81)</f>
        <v>-1345.9799999999896</v>
      </c>
      <c r="AB81" s="128"/>
      <c r="AC81" s="69">
        <f t="shared" si="181"/>
        <v>-173.14450924498956</v>
      </c>
      <c r="AD81" s="69">
        <f t="shared" si="182"/>
        <v>-3173.1445092449894</v>
      </c>
    </row>
    <row r="82" spans="1:30" x14ac:dyDescent="0.25">
      <c r="A82" s="99">
        <v>43182</v>
      </c>
      <c r="B82" s="100" t="s">
        <v>201</v>
      </c>
      <c r="C82" s="101" t="s">
        <v>63</v>
      </c>
      <c r="D82" s="104">
        <v>500</v>
      </c>
      <c r="E82" s="31">
        <v>6.36</v>
      </c>
      <c r="F82" s="102">
        <f t="shared" si="162"/>
        <v>3500</v>
      </c>
      <c r="G82" s="32">
        <f t="shared" si="163"/>
        <v>6.7940771428571374</v>
      </c>
      <c r="H82" s="31">
        <f t="shared" si="164"/>
        <v>23779.269999999982</v>
      </c>
      <c r="I82" s="31">
        <f t="shared" si="165"/>
        <v>-1519.2699999999822</v>
      </c>
      <c r="J82" s="108">
        <f t="shared" si="166"/>
        <v>-6.3890523132122262E-2</v>
      </c>
      <c r="K82" s="31">
        <f t="shared" si="167"/>
        <v>22260</v>
      </c>
      <c r="L82" s="31">
        <f t="shared" si="168"/>
        <v>-395</v>
      </c>
      <c r="M82" s="31">
        <f t="shared" si="169"/>
        <v>5</v>
      </c>
      <c r="N82" s="31">
        <f t="shared" si="170"/>
        <v>0</v>
      </c>
      <c r="O82" s="125"/>
      <c r="P82" s="32">
        <f t="shared" si="171"/>
        <v>-0.43407714285713705</v>
      </c>
      <c r="Q82" s="31">
        <f t="shared" si="172"/>
        <v>-3185</v>
      </c>
      <c r="R82" s="34"/>
      <c r="S82" s="34">
        <f t="shared" si="173"/>
        <v>-23003.795000000006</v>
      </c>
      <c r="T82" s="34">
        <f t="shared" si="174"/>
        <v>-3616.9488993710697</v>
      </c>
      <c r="U82" s="34">
        <f t="shared" si="175"/>
        <v>-116.94889937106973</v>
      </c>
      <c r="V82" s="31">
        <f t="shared" si="176"/>
        <v>775.47499999997672</v>
      </c>
      <c r="W82" s="32">
        <f t="shared" si="177"/>
        <v>-6.630887542938348</v>
      </c>
      <c r="X82" s="32">
        <f t="shared" si="178"/>
        <v>-13.424964685795485</v>
      </c>
      <c r="Y82" s="32">
        <f t="shared" si="179"/>
        <v>12.990887542938349</v>
      </c>
      <c r="Z82" s="38">
        <f t="shared" si="180"/>
        <v>-29.927601019097864</v>
      </c>
      <c r="AA82" s="31">
        <f>SUM(L$2:L82)-SUM(AB$2:AB82)</f>
        <v>-1740.9799999999896</v>
      </c>
      <c r="AB82" s="128"/>
      <c r="AC82" s="69">
        <f t="shared" si="181"/>
        <v>-238.75949135219847</v>
      </c>
      <c r="AD82" s="69">
        <f t="shared" si="182"/>
        <v>-3738.7594913521984</v>
      </c>
    </row>
    <row r="83" spans="1:30" x14ac:dyDescent="0.25">
      <c r="A83" s="99">
        <v>43182</v>
      </c>
      <c r="B83" s="100" t="s">
        <v>219</v>
      </c>
      <c r="C83" s="101" t="s">
        <v>63</v>
      </c>
      <c r="D83" s="104">
        <v>500</v>
      </c>
      <c r="E83" s="31">
        <v>6.06</v>
      </c>
      <c r="F83" s="102">
        <f t="shared" si="162"/>
        <v>4000</v>
      </c>
      <c r="G83" s="32">
        <f t="shared" si="163"/>
        <v>6.7035674999999957</v>
      </c>
      <c r="H83" s="31">
        <f t="shared" si="164"/>
        <v>26814.269999999982</v>
      </c>
      <c r="I83" s="31">
        <f t="shared" si="165"/>
        <v>-2574.2699999999822</v>
      </c>
      <c r="J83" s="108">
        <f t="shared" si="166"/>
        <v>-9.6003732341025355E-2</v>
      </c>
      <c r="K83" s="31">
        <f t="shared" si="167"/>
        <v>24240</v>
      </c>
      <c r="L83" s="31">
        <f t="shared" si="168"/>
        <v>-1055</v>
      </c>
      <c r="M83" s="31">
        <f t="shared" si="169"/>
        <v>5</v>
      </c>
      <c r="N83" s="31">
        <f t="shared" si="170"/>
        <v>0</v>
      </c>
      <c r="O83" s="125"/>
      <c r="P83" s="32">
        <f t="shared" si="171"/>
        <v>-0.64356749999999607</v>
      </c>
      <c r="Q83" s="31">
        <f t="shared" si="172"/>
        <v>-3035</v>
      </c>
      <c r="R83" s="34"/>
      <c r="S83" s="34">
        <f t="shared" si="173"/>
        <v>-26038.795000000006</v>
      </c>
      <c r="T83" s="34">
        <f t="shared" si="174"/>
        <v>-4296.8308580858102</v>
      </c>
      <c r="U83" s="34">
        <f t="shared" si="175"/>
        <v>-296.83085808581018</v>
      </c>
      <c r="V83" s="31">
        <f t="shared" si="176"/>
        <v>775.47499999997672</v>
      </c>
      <c r="W83" s="32">
        <f t="shared" si="177"/>
        <v>-2.6125147668299245</v>
      </c>
      <c r="X83" s="32">
        <f t="shared" si="178"/>
        <v>-9.3160822668299197</v>
      </c>
      <c r="Y83" s="32">
        <f t="shared" si="179"/>
        <v>8.6725147668299236</v>
      </c>
      <c r="Z83" s="38">
        <f t="shared" si="180"/>
        <v>-13.475687891060332</v>
      </c>
      <c r="AA83" s="31">
        <f>SUM(L$2:L83)-SUM(AB$2:AB83)</f>
        <v>-2795.9799999999896</v>
      </c>
      <c r="AB83" s="128"/>
      <c r="AC83" s="69">
        <f t="shared" si="181"/>
        <v>-424.58463118811591</v>
      </c>
      <c r="AD83" s="69">
        <f t="shared" si="182"/>
        <v>-4424.584631188116</v>
      </c>
    </row>
    <row r="84" spans="1:30" x14ac:dyDescent="0.25">
      <c r="A84" s="99">
        <v>43186</v>
      </c>
      <c r="B84" s="100" t="s">
        <v>211</v>
      </c>
      <c r="C84" s="101" t="s">
        <v>69</v>
      </c>
      <c r="D84" s="104">
        <v>400</v>
      </c>
      <c r="E84" s="31">
        <v>6.29</v>
      </c>
      <c r="F84" s="102">
        <f t="shared" si="162"/>
        <v>3600</v>
      </c>
      <c r="G84" s="32">
        <f t="shared" si="163"/>
        <v>6.7516072222222174</v>
      </c>
      <c r="H84" s="31">
        <f t="shared" si="164"/>
        <v>24305.785999999982</v>
      </c>
      <c r="I84" s="31">
        <f t="shared" si="165"/>
        <v>-1661.7859999999819</v>
      </c>
      <c r="J84" s="108">
        <f t="shared" si="166"/>
        <v>-6.8369975774491873E-2</v>
      </c>
      <c r="K84" s="31">
        <f t="shared" si="167"/>
        <v>22644</v>
      </c>
      <c r="L84" s="31">
        <f t="shared" si="168"/>
        <v>912.48400000000038</v>
      </c>
      <c r="M84" s="31">
        <f t="shared" si="169"/>
        <v>5</v>
      </c>
      <c r="N84" s="31">
        <f t="shared" si="170"/>
        <v>2.516</v>
      </c>
      <c r="O84" s="125"/>
      <c r="P84" s="32">
        <f t="shared" si="171"/>
        <v>-0.46160722222221739</v>
      </c>
      <c r="Q84" s="31">
        <f t="shared" si="172"/>
        <v>2508.4840000000004</v>
      </c>
      <c r="R84" s="34"/>
      <c r="S84" s="34">
        <f t="shared" si="173"/>
        <v>-23530.311000000005</v>
      </c>
      <c r="T84" s="34">
        <f t="shared" si="174"/>
        <v>-3740.907949125597</v>
      </c>
      <c r="U84" s="34">
        <f t="shared" si="175"/>
        <v>-140.90794912559704</v>
      </c>
      <c r="V84" s="31">
        <f t="shared" si="176"/>
        <v>775.47499999997672</v>
      </c>
      <c r="W84" s="32">
        <f t="shared" si="177"/>
        <v>-5.5034155618059843</v>
      </c>
      <c r="X84" s="32">
        <f t="shared" si="178"/>
        <v>-12.255022784028203</v>
      </c>
      <c r="Y84" s="32">
        <f t="shared" si="179"/>
        <v>11.793415561805986</v>
      </c>
      <c r="Z84" s="38">
        <f t="shared" si="180"/>
        <v>-25.548594116511993</v>
      </c>
      <c r="AA84" s="31">
        <f>SUM(L$2:L84)-SUM(AB$2:AB84)</f>
        <v>-1883.4959999999892</v>
      </c>
      <c r="AB84" s="128"/>
      <c r="AC84" s="69">
        <f t="shared" si="181"/>
        <v>-264.06281510333577</v>
      </c>
      <c r="AD84" s="69">
        <f t="shared" si="182"/>
        <v>-3864.0628151033357</v>
      </c>
    </row>
    <row r="85" spans="1:30" x14ac:dyDescent="0.25">
      <c r="A85" s="99">
        <v>43189</v>
      </c>
      <c r="B85" s="100"/>
      <c r="C85" s="101" t="s">
        <v>69</v>
      </c>
      <c r="D85" s="104">
        <v>400</v>
      </c>
      <c r="E85" s="31">
        <v>6.53</v>
      </c>
      <c r="F85" s="102">
        <f t="shared" si="162"/>
        <v>3200</v>
      </c>
      <c r="G85" s="32">
        <f t="shared" si="163"/>
        <v>6.7816868749999948</v>
      </c>
      <c r="H85" s="31">
        <f t="shared" si="164"/>
        <v>21701.397999999983</v>
      </c>
      <c r="I85" s="31">
        <f t="shared" si="165"/>
        <v>-805.39799999998286</v>
      </c>
      <c r="J85" s="108">
        <f t="shared" si="166"/>
        <v>-3.711272425859307E-2</v>
      </c>
      <c r="K85" s="31">
        <f t="shared" si="167"/>
        <v>20896</v>
      </c>
      <c r="L85" s="31">
        <f t="shared" si="168"/>
        <v>856.38799999999901</v>
      </c>
      <c r="M85" s="31">
        <f t="shared" si="169"/>
        <v>5</v>
      </c>
      <c r="N85" s="31">
        <f t="shared" si="170"/>
        <v>2.6120000000000001</v>
      </c>
      <c r="O85" s="125"/>
      <c r="P85" s="32">
        <f t="shared" si="171"/>
        <v>-0.25168687499999454</v>
      </c>
      <c r="Q85" s="31">
        <f t="shared" si="172"/>
        <v>2604.387999999999</v>
      </c>
      <c r="R85" s="34"/>
      <c r="S85" s="34">
        <f t="shared" si="173"/>
        <v>-20925.923000000006</v>
      </c>
      <c r="T85" s="34">
        <f t="shared" si="174"/>
        <v>-3204.5823889739672</v>
      </c>
      <c r="U85" s="34">
        <f t="shared" si="175"/>
        <v>-4.5823889739672268</v>
      </c>
      <c r="V85" s="31">
        <f t="shared" si="176"/>
        <v>775.47499999997672</v>
      </c>
      <c r="W85" s="32">
        <f t="shared" si="177"/>
        <v>-169.22941382878835</v>
      </c>
      <c r="X85" s="32">
        <f t="shared" si="178"/>
        <v>-176.01110070378834</v>
      </c>
      <c r="Y85" s="32">
        <f t="shared" si="179"/>
        <v>175.75941382878835</v>
      </c>
      <c r="Z85" s="38">
        <f t="shared" si="180"/>
        <v>-698.32570263662785</v>
      </c>
      <c r="AA85" s="31">
        <f>SUM(L$2:L85)-SUM(AB$2:AB85)</f>
        <v>-1027.1079999999902</v>
      </c>
      <c r="AB85" s="128"/>
      <c r="AC85" s="69">
        <f t="shared" si="181"/>
        <v>-123.27646263399431</v>
      </c>
      <c r="AD85" s="69">
        <f t="shared" si="182"/>
        <v>-3323.2764626339945</v>
      </c>
    </row>
    <row r="86" spans="1:30" x14ac:dyDescent="0.25">
      <c r="A86" s="99">
        <v>43201</v>
      </c>
      <c r="B86" s="100"/>
      <c r="C86" s="101" t="s">
        <v>69</v>
      </c>
      <c r="D86" s="104">
        <v>400</v>
      </c>
      <c r="E86" s="31">
        <v>6.63</v>
      </c>
      <c r="F86" s="102">
        <f t="shared" si="162"/>
        <v>2800</v>
      </c>
      <c r="G86" s="32">
        <f t="shared" si="163"/>
        <v>6.806089285714279</v>
      </c>
      <c r="H86" s="31">
        <f t="shared" si="164"/>
        <v>19057.049999999981</v>
      </c>
      <c r="I86" s="31">
        <f t="shared" si="165"/>
        <v>-493.04999999998108</v>
      </c>
      <c r="J86" s="108">
        <f t="shared" si="166"/>
        <v>-2.5872314970049503E-2</v>
      </c>
      <c r="K86" s="31">
        <f t="shared" si="167"/>
        <v>18564</v>
      </c>
      <c r="L86" s="31">
        <f t="shared" si="168"/>
        <v>312.34800000000178</v>
      </c>
      <c r="M86" s="31">
        <f t="shared" si="169"/>
        <v>5</v>
      </c>
      <c r="N86" s="31">
        <f t="shared" si="170"/>
        <v>2.6520000000000001</v>
      </c>
      <c r="O86" s="125"/>
      <c r="P86" s="32">
        <f t="shared" si="171"/>
        <v>-0.17608928571427906</v>
      </c>
      <c r="Q86" s="31">
        <f t="shared" si="172"/>
        <v>2644.3480000000018</v>
      </c>
      <c r="R86" s="34"/>
      <c r="S86" s="34">
        <f t="shared" si="173"/>
        <v>-18281.575000000004</v>
      </c>
      <c r="T86" s="34">
        <f t="shared" si="174"/>
        <v>-2757.4019607843143</v>
      </c>
      <c r="U86" s="34">
        <f t="shared" si="175"/>
        <v>42.598039215685731</v>
      </c>
      <c r="V86" s="31">
        <f t="shared" si="176"/>
        <v>775.47499999997672</v>
      </c>
      <c r="W86" s="32">
        <f t="shared" si="177"/>
        <v>18.204476409665968</v>
      </c>
      <c r="X86" s="32">
        <f t="shared" si="178"/>
        <v>11.398387123951689</v>
      </c>
      <c r="Y86" s="32">
        <f t="shared" si="179"/>
        <v>-11.574476409665969</v>
      </c>
      <c r="Z86" s="38">
        <f t="shared" si="180"/>
        <v>65.730724971232135</v>
      </c>
      <c r="AA86" s="31">
        <f>SUM(L$2:L86)-SUM(AB$2:AB86)</f>
        <v>-714.75999999998839</v>
      </c>
      <c r="AB86" s="128"/>
      <c r="AC86" s="69">
        <f t="shared" si="181"/>
        <v>-74.329332579182676</v>
      </c>
      <c r="AD86" s="69">
        <f t="shared" si="182"/>
        <v>-2874.3293325791828</v>
      </c>
    </row>
    <row r="87" spans="1:30" x14ac:dyDescent="0.25">
      <c r="A87" s="99">
        <v>43207</v>
      </c>
      <c r="B87" s="100" t="s">
        <v>209</v>
      </c>
      <c r="C87" s="101" t="s">
        <v>63</v>
      </c>
      <c r="D87" s="104">
        <v>500</v>
      </c>
      <c r="E87" s="31">
        <v>6.34</v>
      </c>
      <c r="F87" s="102">
        <f t="shared" si="162"/>
        <v>3300</v>
      </c>
      <c r="G87" s="32">
        <f t="shared" si="163"/>
        <v>6.7369848484848429</v>
      </c>
      <c r="H87" s="31">
        <f t="shared" si="164"/>
        <v>22232.049999999981</v>
      </c>
      <c r="I87" s="31">
        <f t="shared" si="165"/>
        <v>-1310.0499999999811</v>
      </c>
      <c r="J87" s="108">
        <f t="shared" si="166"/>
        <v>-5.8926189892519278E-2</v>
      </c>
      <c r="K87" s="31">
        <f t="shared" si="167"/>
        <v>20922</v>
      </c>
      <c r="L87" s="31">
        <f t="shared" si="168"/>
        <v>-817</v>
      </c>
      <c r="M87" s="31">
        <f t="shared" si="169"/>
        <v>5</v>
      </c>
      <c r="N87" s="31">
        <f t="shared" si="170"/>
        <v>0</v>
      </c>
      <c r="O87" s="125"/>
      <c r="P87" s="32">
        <f t="shared" si="171"/>
        <v>-0.39698484848484306</v>
      </c>
      <c r="Q87" s="31">
        <f t="shared" si="172"/>
        <v>-3175</v>
      </c>
      <c r="R87" s="34"/>
      <c r="S87" s="34">
        <f t="shared" si="173"/>
        <v>-21456.575000000004</v>
      </c>
      <c r="T87" s="34">
        <f t="shared" si="174"/>
        <v>-3384.3178233438493</v>
      </c>
      <c r="U87" s="34">
        <f t="shared" si="175"/>
        <v>-84.317823343849341</v>
      </c>
      <c r="V87" s="31">
        <f t="shared" si="176"/>
        <v>775.47499999997672</v>
      </c>
      <c r="W87" s="32">
        <f t="shared" si="177"/>
        <v>-9.1970471870173647</v>
      </c>
      <c r="X87" s="32">
        <f t="shared" si="178"/>
        <v>-15.934032035502208</v>
      </c>
      <c r="Y87" s="32">
        <f t="shared" si="179"/>
        <v>15.537047187017365</v>
      </c>
      <c r="Z87" s="38">
        <f t="shared" si="180"/>
        <v>-39.137632698872586</v>
      </c>
      <c r="AA87" s="31">
        <f>SUM(L$2:L87)-SUM(AB$2:AB87)</f>
        <v>-1531.7599999999884</v>
      </c>
      <c r="AB87" s="128"/>
      <c r="AC87" s="69">
        <f t="shared" si="181"/>
        <v>-206.5291758675049</v>
      </c>
      <c r="AD87" s="69">
        <f t="shared" si="182"/>
        <v>-3506.5291758675048</v>
      </c>
    </row>
    <row r="88" spans="1:30" x14ac:dyDescent="0.25">
      <c r="A88" s="99">
        <v>43210</v>
      </c>
      <c r="B88" s="106"/>
      <c r="C88" s="101" t="s">
        <v>69</v>
      </c>
      <c r="D88" s="104">
        <v>400</v>
      </c>
      <c r="E88" s="31">
        <v>6.65</v>
      </c>
      <c r="F88" s="102">
        <f t="shared" si="162"/>
        <v>2900</v>
      </c>
      <c r="G88" s="32">
        <f t="shared" si="163"/>
        <v>6.751624137931028</v>
      </c>
      <c r="H88" s="31">
        <f t="shared" si="164"/>
        <v>19579.709999999981</v>
      </c>
      <c r="I88" s="31">
        <f t="shared" si="165"/>
        <v>-294.70999999998094</v>
      </c>
      <c r="J88" s="108">
        <f t="shared" si="166"/>
        <v>-1.5051806180989426E-2</v>
      </c>
      <c r="K88" s="31">
        <f t="shared" si="167"/>
        <v>19285</v>
      </c>
      <c r="L88" s="31">
        <f t="shared" si="168"/>
        <v>1015.3400000000001</v>
      </c>
      <c r="M88" s="31">
        <f t="shared" si="169"/>
        <v>5</v>
      </c>
      <c r="N88" s="31">
        <f t="shared" si="170"/>
        <v>2.66</v>
      </c>
      <c r="O88" s="125"/>
      <c r="P88" s="32">
        <f t="shared" si="171"/>
        <v>-0.10162413793102765</v>
      </c>
      <c r="Q88" s="31">
        <f t="shared" si="172"/>
        <v>2652.34</v>
      </c>
      <c r="R88" s="34"/>
      <c r="S88" s="34">
        <f t="shared" si="173"/>
        <v>-18804.235000000004</v>
      </c>
      <c r="T88" s="34">
        <f t="shared" si="174"/>
        <v>-2827.7045112781962</v>
      </c>
      <c r="U88" s="34">
        <f t="shared" si="175"/>
        <v>72.295488721803849</v>
      </c>
      <c r="V88" s="31">
        <f t="shared" si="176"/>
        <v>775.47499999997672</v>
      </c>
      <c r="W88" s="32">
        <f t="shared" si="177"/>
        <v>10.726464592888194</v>
      </c>
      <c r="X88" s="32">
        <f t="shared" si="178"/>
        <v>3.9748404549571656</v>
      </c>
      <c r="Y88" s="32">
        <f t="shared" si="179"/>
        <v>-4.0764645928881933</v>
      </c>
      <c r="Z88" s="38">
        <f t="shared" si="180"/>
        <v>40.113152995746731</v>
      </c>
      <c r="AA88" s="31">
        <f>SUM(L$2:L88)-SUM(AB$2:AB88)</f>
        <v>-516.41999999998825</v>
      </c>
      <c r="AB88" s="128"/>
      <c r="AC88" s="69">
        <f t="shared" si="181"/>
        <v>-44.295134586463298</v>
      </c>
      <c r="AD88" s="69">
        <f t="shared" si="182"/>
        <v>-2944.2951345864635</v>
      </c>
    </row>
    <row r="89" spans="1:30" x14ac:dyDescent="0.25">
      <c r="A89" s="99">
        <v>43213</v>
      </c>
      <c r="B89" s="106"/>
      <c r="C89" s="101" t="s">
        <v>69</v>
      </c>
      <c r="D89" s="104">
        <v>400</v>
      </c>
      <c r="E89" s="31">
        <v>6.63</v>
      </c>
      <c r="F89" s="102">
        <f t="shared" si="162"/>
        <v>2500</v>
      </c>
      <c r="G89" s="32">
        <f t="shared" si="163"/>
        <v>6.7741447999999913</v>
      </c>
      <c r="H89" s="31">
        <f t="shared" si="164"/>
        <v>16935.361999999979</v>
      </c>
      <c r="I89" s="31">
        <f t="shared" si="165"/>
        <v>-360.36199999997916</v>
      </c>
      <c r="J89" s="108">
        <f t="shared" si="166"/>
        <v>-2.1278671220608038E-2</v>
      </c>
      <c r="K89" s="31">
        <f t="shared" si="167"/>
        <v>16575</v>
      </c>
      <c r="L89" s="31">
        <f t="shared" si="168"/>
        <v>-65.651999999998225</v>
      </c>
      <c r="M89" s="31">
        <f t="shared" si="169"/>
        <v>5</v>
      </c>
      <c r="N89" s="31">
        <f t="shared" si="170"/>
        <v>2.6520000000000001</v>
      </c>
      <c r="O89" s="125"/>
      <c r="P89" s="32">
        <f t="shared" si="171"/>
        <v>-0.14414479999999141</v>
      </c>
      <c r="Q89" s="31">
        <f t="shared" si="172"/>
        <v>2644.3480000000018</v>
      </c>
      <c r="R89" s="34"/>
      <c r="S89" s="34">
        <f t="shared" si="173"/>
        <v>-16159.887000000002</v>
      </c>
      <c r="T89" s="34">
        <f t="shared" si="174"/>
        <v>-2437.3886877828058</v>
      </c>
      <c r="U89" s="34">
        <f t="shared" si="175"/>
        <v>62.611312217194154</v>
      </c>
      <c r="V89" s="31">
        <f t="shared" si="176"/>
        <v>775.47499999997672</v>
      </c>
      <c r="W89" s="32">
        <f t="shared" si="177"/>
        <v>12.385541406797378</v>
      </c>
      <c r="X89" s="32">
        <f t="shared" si="178"/>
        <v>5.6113966067973866</v>
      </c>
      <c r="Y89" s="32">
        <f t="shared" si="179"/>
        <v>-5.755541406797378</v>
      </c>
      <c r="Z89" s="38">
        <f t="shared" si="180"/>
        <v>39.928886833223991</v>
      </c>
      <c r="AA89" s="31">
        <f>SUM(L$2:L89)-SUM(AB$2:AB89)</f>
        <v>-582.07199999998647</v>
      </c>
      <c r="AB89" s="128"/>
      <c r="AC89" s="69">
        <f t="shared" si="181"/>
        <v>-54.326066214174837</v>
      </c>
      <c r="AD89" s="69">
        <f t="shared" si="182"/>
        <v>-2554.3260662141747</v>
      </c>
    </row>
    <row r="90" spans="1:30" x14ac:dyDescent="0.25">
      <c r="A90" s="99">
        <v>43214</v>
      </c>
      <c r="B90" s="100"/>
      <c r="C90" s="101" t="s">
        <v>69</v>
      </c>
      <c r="D90" s="104">
        <v>400</v>
      </c>
      <c r="E90" s="31">
        <v>6.81</v>
      </c>
      <c r="F90" s="102">
        <f t="shared" si="162"/>
        <v>2100</v>
      </c>
      <c r="G90" s="32">
        <f t="shared" si="163"/>
        <v>6.7709933333333234</v>
      </c>
      <c r="H90" s="31">
        <f t="shared" si="164"/>
        <v>14219.085999999979</v>
      </c>
      <c r="I90" s="31">
        <f t="shared" si="165"/>
        <v>81.914000000020678</v>
      </c>
      <c r="J90" s="108">
        <f t="shared" si="166"/>
        <v>5.7608484821049747E-3</v>
      </c>
      <c r="K90" s="31">
        <f t="shared" si="167"/>
        <v>14301</v>
      </c>
      <c r="L90" s="31">
        <f t="shared" si="168"/>
        <v>442.27599999999984</v>
      </c>
      <c r="M90" s="31">
        <f t="shared" si="169"/>
        <v>5</v>
      </c>
      <c r="N90" s="31">
        <f t="shared" si="170"/>
        <v>2.7240000000000002</v>
      </c>
      <c r="O90" s="125"/>
      <c r="P90" s="32">
        <f t="shared" si="171"/>
        <v>3.9006666666676182E-2</v>
      </c>
      <c r="Q90" s="31">
        <f t="shared" si="172"/>
        <v>2716.2759999999998</v>
      </c>
      <c r="R90" s="34"/>
      <c r="S90" s="34">
        <f t="shared" si="173"/>
        <v>-13443.611000000003</v>
      </c>
      <c r="T90" s="34">
        <f t="shared" si="174"/>
        <v>-1974.0985315712194</v>
      </c>
      <c r="U90" s="34">
        <f t="shared" si="175"/>
        <v>125.90146842878062</v>
      </c>
      <c r="V90" s="31">
        <f t="shared" si="176"/>
        <v>775.47499999997672</v>
      </c>
      <c r="W90" s="32">
        <f t="shared" si="177"/>
        <v>6.1593801063459717</v>
      </c>
      <c r="X90" s="32">
        <f t="shared" si="178"/>
        <v>-0.61161322698735177</v>
      </c>
      <c r="Y90" s="32">
        <f t="shared" si="179"/>
        <v>0.65061989365402795</v>
      </c>
      <c r="Z90" s="38">
        <f t="shared" si="180"/>
        <v>16.67971014323728</v>
      </c>
      <c r="AA90" s="31">
        <f>SUM(L$2:L116)-SUM(AB$2:AB116)</f>
        <v>-1498.9659999999872</v>
      </c>
      <c r="AB90" s="128"/>
      <c r="AC90" s="69">
        <f t="shared" si="181"/>
        <v>12.022473274599218</v>
      </c>
      <c r="AD90" s="69">
        <f t="shared" si="182"/>
        <v>-2087.9775267254008</v>
      </c>
    </row>
    <row r="91" spans="1:30" x14ac:dyDescent="0.25">
      <c r="A91" s="99">
        <v>43214</v>
      </c>
      <c r="B91" s="100"/>
      <c r="C91" s="101" t="s">
        <v>69</v>
      </c>
      <c r="D91" s="104">
        <v>400</v>
      </c>
      <c r="E91" s="31">
        <v>6.88</v>
      </c>
      <c r="F91" s="102">
        <f t="shared" ref="F91:F105" si="183">IF(C91="买",F90+D91,F90-D91)</f>
        <v>1700</v>
      </c>
      <c r="G91" s="32">
        <f t="shared" ref="G91:G106" si="184">H91/F91</f>
        <v>6.7499047058823409</v>
      </c>
      <c r="H91" s="31">
        <f t="shared" ref="H91:H106" si="185">IF(C91="买",H90+D91*E91+M91+N91,H90+-1*D91*E91+M91+N91)+O90</f>
        <v>11474.83799999998</v>
      </c>
      <c r="I91" s="31">
        <f t="shared" ref="I91:I106" si="186">-H91+K91</f>
        <v>221.16200000002027</v>
      </c>
      <c r="J91" s="108">
        <f t="shared" ref="J91:J106" si="187">(E91-G91)/G91</f>
        <v>1.9273649004894068E-2</v>
      </c>
      <c r="K91" s="31">
        <f t="shared" ref="K91:K106" si="188">F91*E91</f>
        <v>11696</v>
      </c>
      <c r="L91" s="31">
        <f t="shared" ref="L91:L106" si="189">I91-I90</f>
        <v>139.24799999999959</v>
      </c>
      <c r="M91" s="31">
        <f t="shared" ref="M91:M106" si="190">IF(D91*E91*2.5/10000&gt;5,D91*E91*2.5/10000,5)</f>
        <v>5</v>
      </c>
      <c r="N91" s="31">
        <f t="shared" ref="N91:N106" si="191">IF(C91="卖",D91*E91/1000,0)</f>
        <v>2.7519999999999998</v>
      </c>
      <c r="O91" s="125"/>
      <c r="P91" s="32">
        <f t="shared" ref="P91:P106" si="192">E91-G91</f>
        <v>0.13009529411765897</v>
      </c>
      <c r="Q91" s="31">
        <f t="shared" ref="Q91:Q106" si="193">(H91-H90)*-1</f>
        <v>2744.2479999999996</v>
      </c>
      <c r="R91" s="34"/>
      <c r="S91" s="34">
        <f t="shared" ref="S91:S106" si="194">S90+Q91+O91+R91</f>
        <v>-10699.363000000003</v>
      </c>
      <c r="T91" s="34">
        <f t="shared" ref="T91:T106" si="195">S91/E91</f>
        <v>-1555.1399709302329</v>
      </c>
      <c r="U91" s="34">
        <f t="shared" ref="U91:U106" si="196">F91+T91</f>
        <v>144.86002906976705</v>
      </c>
      <c r="V91" s="31">
        <f t="shared" ref="V91:V106" si="197">H91+S91</f>
        <v>775.47499999997672</v>
      </c>
      <c r="W91" s="32">
        <f t="shared" ref="W91:W106" si="198">V91/U91</f>
        <v>5.3532710505428298</v>
      </c>
      <c r="X91" s="32">
        <f t="shared" ref="X91:X106" si="199">W91-G91</f>
        <v>-1.3966336553395111</v>
      </c>
      <c r="Y91" s="32">
        <f t="shared" ref="Y91:Y106" si="200">(X91-P91)*-1</f>
        <v>1.5267289494571701</v>
      </c>
      <c r="Z91" s="38">
        <f t="shared" ref="Z91:Z106" si="201">F91/U91</f>
        <v>11.735466373413821</v>
      </c>
      <c r="AA91" s="31">
        <f>SUM(L$2:L117)-SUM(AB$2:AB117)</f>
        <v>-1498.9659999999872</v>
      </c>
      <c r="AB91" s="128"/>
      <c r="AC91" s="69">
        <f t="shared" ref="AC91:AC106" si="202">I91/E91*(1-0.0005)</f>
        <v>32.129566715119225</v>
      </c>
      <c r="AD91" s="69">
        <f t="shared" ref="AD91:AD106" si="203">AC91-F91</f>
        <v>-1667.8704332848808</v>
      </c>
    </row>
    <row r="92" spans="1:30" x14ac:dyDescent="0.25">
      <c r="A92" s="99">
        <v>43216</v>
      </c>
      <c r="B92" s="106"/>
      <c r="C92" s="101" t="s">
        <v>69</v>
      </c>
      <c r="D92" s="104">
        <v>400</v>
      </c>
      <c r="E92" s="31">
        <v>7</v>
      </c>
      <c r="F92" s="102">
        <f t="shared" si="183"/>
        <v>1300</v>
      </c>
      <c r="G92" s="32">
        <f t="shared" si="184"/>
        <v>6.6789523076922919</v>
      </c>
      <c r="H92" s="31">
        <f t="shared" si="185"/>
        <v>8682.637999999979</v>
      </c>
      <c r="I92" s="31">
        <f t="shared" si="186"/>
        <v>417.362000000021</v>
      </c>
      <c r="J92" s="108">
        <f t="shared" si="187"/>
        <v>4.8068570865216487E-2</v>
      </c>
      <c r="K92" s="31">
        <f t="shared" si="188"/>
        <v>9100</v>
      </c>
      <c r="L92" s="31">
        <f t="shared" si="189"/>
        <v>196.20000000000073</v>
      </c>
      <c r="M92" s="31">
        <f t="shared" si="190"/>
        <v>5</v>
      </c>
      <c r="N92" s="31">
        <f t="shared" si="191"/>
        <v>2.8</v>
      </c>
      <c r="O92" s="125"/>
      <c r="P92" s="32">
        <f t="shared" si="192"/>
        <v>0.32104769230770813</v>
      </c>
      <c r="Q92" s="31">
        <f t="shared" si="193"/>
        <v>2792.2000000000007</v>
      </c>
      <c r="R92" s="34"/>
      <c r="S92" s="34">
        <f t="shared" si="194"/>
        <v>-7907.1630000000023</v>
      </c>
      <c r="T92" s="34">
        <f t="shared" si="195"/>
        <v>-1129.5947142857146</v>
      </c>
      <c r="U92" s="34">
        <f t="shared" si="196"/>
        <v>170.40528571428536</v>
      </c>
      <c r="V92" s="31">
        <f t="shared" si="197"/>
        <v>775.47499999997672</v>
      </c>
      <c r="W92" s="32">
        <f t="shared" si="198"/>
        <v>4.5507684620780946</v>
      </c>
      <c r="X92" s="32">
        <f t="shared" si="199"/>
        <v>-2.1281838456141973</v>
      </c>
      <c r="Y92" s="32">
        <f t="shared" si="200"/>
        <v>2.4492315379219054</v>
      </c>
      <c r="Z92" s="38">
        <f t="shared" si="201"/>
        <v>7.6288713378273973</v>
      </c>
      <c r="AA92" s="31">
        <f>SUM(L$2:L118)-SUM(AB$2:AB118)</f>
        <v>-1498.9659999999872</v>
      </c>
      <c r="AB92" s="128"/>
      <c r="AC92" s="69">
        <f t="shared" si="202"/>
        <v>59.593331285717291</v>
      </c>
      <c r="AD92" s="69">
        <f t="shared" si="203"/>
        <v>-1240.4066687142827</v>
      </c>
    </row>
    <row r="93" spans="1:30" x14ac:dyDescent="0.25">
      <c r="A93" s="99">
        <v>43216</v>
      </c>
      <c r="B93" s="106"/>
      <c r="C93" s="101" t="s">
        <v>69</v>
      </c>
      <c r="D93" s="104">
        <v>400</v>
      </c>
      <c r="E93" s="31">
        <v>7.05</v>
      </c>
      <c r="F93" s="102">
        <f t="shared" si="183"/>
        <v>900</v>
      </c>
      <c r="G93" s="32">
        <f t="shared" si="184"/>
        <v>6.5227311111110877</v>
      </c>
      <c r="H93" s="31">
        <f t="shared" si="185"/>
        <v>5870.4579999999787</v>
      </c>
      <c r="I93" s="31">
        <f t="shared" si="186"/>
        <v>474.54200000002129</v>
      </c>
      <c r="J93" s="108">
        <f t="shared" si="187"/>
        <v>8.0835600902011834E-2</v>
      </c>
      <c r="K93" s="31">
        <f t="shared" si="188"/>
        <v>6345</v>
      </c>
      <c r="L93" s="31">
        <f t="shared" si="189"/>
        <v>57.180000000000291</v>
      </c>
      <c r="M93" s="31">
        <f t="shared" si="190"/>
        <v>5</v>
      </c>
      <c r="N93" s="31">
        <f t="shared" si="191"/>
        <v>2.82</v>
      </c>
      <c r="O93" s="125"/>
      <c r="P93" s="32">
        <f t="shared" si="192"/>
        <v>0.5272688888889121</v>
      </c>
      <c r="Q93" s="31">
        <f t="shared" si="193"/>
        <v>2812.1800000000003</v>
      </c>
      <c r="R93" s="34"/>
      <c r="S93" s="34">
        <f t="shared" si="194"/>
        <v>-5094.983000000002</v>
      </c>
      <c r="T93" s="34">
        <f t="shared" si="195"/>
        <v>-722.69262411347552</v>
      </c>
      <c r="U93" s="34">
        <f t="shared" si="196"/>
        <v>177.30737588652448</v>
      </c>
      <c r="V93" s="31">
        <f t="shared" si="197"/>
        <v>775.47499999997672</v>
      </c>
      <c r="W93" s="32">
        <f t="shared" si="198"/>
        <v>4.3736195187744213</v>
      </c>
      <c r="X93" s="32">
        <f t="shared" si="199"/>
        <v>-2.1491115923366664</v>
      </c>
      <c r="Y93" s="32">
        <f t="shared" si="200"/>
        <v>2.6763804812255785</v>
      </c>
      <c r="Z93" s="38">
        <f t="shared" si="201"/>
        <v>5.075930967338854</v>
      </c>
      <c r="AA93" s="31">
        <f>SUM(L$2:L119)-SUM(AB$2:AB119)</f>
        <v>-1498.9659999999872</v>
      </c>
      <c r="AB93" s="128"/>
      <c r="AC93" s="69">
        <f t="shared" si="202"/>
        <v>67.27726652482572</v>
      </c>
      <c r="AD93" s="69">
        <f t="shared" si="203"/>
        <v>-832.72273347517432</v>
      </c>
    </row>
    <row r="94" spans="1:30" x14ac:dyDescent="0.25">
      <c r="A94" s="99">
        <v>43223</v>
      </c>
      <c r="B94" s="100" t="s">
        <v>207</v>
      </c>
      <c r="C94" s="101" t="s">
        <v>63</v>
      </c>
      <c r="D94" s="104">
        <v>500</v>
      </c>
      <c r="E94" s="31">
        <v>6.72</v>
      </c>
      <c r="F94" s="102">
        <f t="shared" si="183"/>
        <v>1400</v>
      </c>
      <c r="G94" s="32">
        <f t="shared" si="184"/>
        <v>6.596755714285699</v>
      </c>
      <c r="H94" s="31">
        <f t="shared" si="185"/>
        <v>9235.4579999999787</v>
      </c>
      <c r="I94" s="31">
        <f t="shared" si="186"/>
        <v>172.54200000002129</v>
      </c>
      <c r="J94" s="108">
        <f t="shared" si="187"/>
        <v>1.8682560193552016E-2</v>
      </c>
      <c r="K94" s="31">
        <f t="shared" si="188"/>
        <v>9408</v>
      </c>
      <c r="L94" s="31">
        <f t="shared" si="189"/>
        <v>-302</v>
      </c>
      <c r="M94" s="31">
        <f t="shared" si="190"/>
        <v>5</v>
      </c>
      <c r="N94" s="31">
        <f t="shared" si="191"/>
        <v>0</v>
      </c>
      <c r="O94" s="125"/>
      <c r="P94" s="32">
        <f t="shared" si="192"/>
        <v>0.12324428571430079</v>
      </c>
      <c r="Q94" s="31">
        <f t="shared" si="193"/>
        <v>-3365</v>
      </c>
      <c r="R94" s="34"/>
      <c r="S94" s="34">
        <f t="shared" si="194"/>
        <v>-8459.983000000002</v>
      </c>
      <c r="T94" s="34">
        <f t="shared" si="195"/>
        <v>-1258.9260416666671</v>
      </c>
      <c r="U94" s="34">
        <f t="shared" si="196"/>
        <v>141.07395833333294</v>
      </c>
      <c r="V94" s="31">
        <f t="shared" si="197"/>
        <v>775.47499999997672</v>
      </c>
      <c r="W94" s="32">
        <f t="shared" si="198"/>
        <v>5.496939400875573</v>
      </c>
      <c r="X94" s="32">
        <f t="shared" si="199"/>
        <v>-1.099816313410126</v>
      </c>
      <c r="Y94" s="32">
        <f t="shared" si="200"/>
        <v>1.2230605991244268</v>
      </c>
      <c r="Z94" s="38">
        <f t="shared" si="201"/>
        <v>9.9238726731693916</v>
      </c>
      <c r="AA94" s="31">
        <f>SUM(L$2:L120)-SUM(AB$2:AB120)</f>
        <v>-1498.9659999999872</v>
      </c>
      <c r="AB94" s="128"/>
      <c r="AC94" s="69">
        <f t="shared" si="202"/>
        <v>25.663054910717452</v>
      </c>
      <c r="AD94" s="69">
        <f t="shared" si="203"/>
        <v>-1374.3369450892826</v>
      </c>
    </row>
    <row r="95" spans="1:30" x14ac:dyDescent="0.25">
      <c r="A95" s="99">
        <v>43224</v>
      </c>
      <c r="B95" s="106"/>
      <c r="C95" s="101" t="s">
        <v>69</v>
      </c>
      <c r="D95" s="104">
        <v>400</v>
      </c>
      <c r="E95" s="31">
        <v>6.97</v>
      </c>
      <c r="F95" s="102">
        <f t="shared" si="183"/>
        <v>1000</v>
      </c>
      <c r="G95" s="32">
        <f t="shared" si="184"/>
        <v>6.4552459999999785</v>
      </c>
      <c r="H95" s="31">
        <f t="shared" si="185"/>
        <v>6455.2459999999783</v>
      </c>
      <c r="I95" s="31">
        <f t="shared" si="186"/>
        <v>514.75400000002173</v>
      </c>
      <c r="J95" s="108">
        <f t="shared" si="187"/>
        <v>7.9741964907305313E-2</v>
      </c>
      <c r="K95" s="31">
        <f t="shared" si="188"/>
        <v>6970</v>
      </c>
      <c r="L95" s="31">
        <f t="shared" si="189"/>
        <v>342.21200000000044</v>
      </c>
      <c r="M95" s="31">
        <f t="shared" si="190"/>
        <v>5</v>
      </c>
      <c r="N95" s="31">
        <f t="shared" si="191"/>
        <v>2.7879999999999998</v>
      </c>
      <c r="O95" s="125"/>
      <c r="P95" s="32">
        <f t="shared" si="192"/>
        <v>0.51475400000002125</v>
      </c>
      <c r="Q95" s="31">
        <f t="shared" si="193"/>
        <v>2780.2120000000004</v>
      </c>
      <c r="R95" s="34"/>
      <c r="S95" s="34">
        <f t="shared" si="194"/>
        <v>-5679.7710000000015</v>
      </c>
      <c r="T95" s="34">
        <f t="shared" si="195"/>
        <v>-814.88823529411786</v>
      </c>
      <c r="U95" s="34">
        <f t="shared" si="196"/>
        <v>185.11176470588214</v>
      </c>
      <c r="V95" s="31">
        <f t="shared" si="197"/>
        <v>775.47499999997672</v>
      </c>
      <c r="W95" s="32">
        <f t="shared" si="198"/>
        <v>4.1892259048586293</v>
      </c>
      <c r="X95" s="32">
        <f t="shared" si="199"/>
        <v>-2.2660200951413492</v>
      </c>
      <c r="Y95" s="32">
        <f t="shared" si="200"/>
        <v>2.7807740951413704</v>
      </c>
      <c r="Z95" s="38">
        <f t="shared" si="201"/>
        <v>5.4021417903333502</v>
      </c>
      <c r="AA95" s="31">
        <f>SUM(L$2:L121)-SUM(AB$2:AB121)</f>
        <v>-1498.9659999999872</v>
      </c>
      <c r="AB95" s="128"/>
      <c r="AC95" s="69">
        <f t="shared" si="202"/>
        <v>73.815871305598534</v>
      </c>
      <c r="AD95" s="69">
        <f t="shared" si="203"/>
        <v>-926.18412869440147</v>
      </c>
    </row>
    <row r="96" spans="1:30" x14ac:dyDescent="0.25">
      <c r="A96" s="99">
        <v>43224</v>
      </c>
      <c r="B96" s="106"/>
      <c r="C96" s="101" t="s">
        <v>69</v>
      </c>
      <c r="D96" s="104">
        <v>400</v>
      </c>
      <c r="E96" s="31">
        <v>7.18</v>
      </c>
      <c r="F96" s="102">
        <f t="shared" si="183"/>
        <v>600</v>
      </c>
      <c r="G96" s="32">
        <f t="shared" si="184"/>
        <v>5.9851966666666305</v>
      </c>
      <c r="H96" s="31">
        <f t="shared" si="185"/>
        <v>3591.1179999999781</v>
      </c>
      <c r="I96" s="31">
        <f t="shared" si="186"/>
        <v>716.88200000002189</v>
      </c>
      <c r="J96" s="108">
        <f t="shared" si="187"/>
        <v>0.19962641160775721</v>
      </c>
      <c r="K96" s="31">
        <f t="shared" si="188"/>
        <v>4308</v>
      </c>
      <c r="L96" s="31">
        <f t="shared" si="189"/>
        <v>202.12800000000016</v>
      </c>
      <c r="M96" s="31">
        <f t="shared" si="190"/>
        <v>5</v>
      </c>
      <c r="N96" s="31">
        <f t="shared" si="191"/>
        <v>2.8719999999999999</v>
      </c>
      <c r="O96" s="125"/>
      <c r="P96" s="32">
        <f t="shared" si="192"/>
        <v>1.1948033333333692</v>
      </c>
      <c r="Q96" s="31">
        <f t="shared" si="193"/>
        <v>2864.1280000000002</v>
      </c>
      <c r="R96" s="34"/>
      <c r="S96" s="34">
        <f t="shared" si="194"/>
        <v>-2815.6430000000014</v>
      </c>
      <c r="T96" s="34">
        <f t="shared" si="195"/>
        <v>-392.15083565459634</v>
      </c>
      <c r="U96" s="34">
        <f t="shared" si="196"/>
        <v>207.84916434540366</v>
      </c>
      <c r="V96" s="31">
        <f t="shared" si="197"/>
        <v>775.47499999997672</v>
      </c>
      <c r="W96" s="32">
        <f t="shared" si="198"/>
        <v>3.7309507711625565</v>
      </c>
      <c r="X96" s="32">
        <f t="shared" si="199"/>
        <v>-2.2542458955040741</v>
      </c>
      <c r="Y96" s="32">
        <f t="shared" si="200"/>
        <v>3.4490492288374432</v>
      </c>
      <c r="Z96" s="38">
        <f t="shared" si="201"/>
        <v>2.8867087432832794</v>
      </c>
      <c r="AA96" s="31">
        <f>SUM(L$2:L122)-SUM(AB$2:AB122)</f>
        <v>-1498.9659999999872</v>
      </c>
      <c r="AB96" s="128"/>
      <c r="AC96" s="69">
        <f t="shared" si="202"/>
        <v>99.794367548749577</v>
      </c>
      <c r="AD96" s="69">
        <f t="shared" si="203"/>
        <v>-500.20563245125044</v>
      </c>
    </row>
    <row r="97" spans="1:30" x14ac:dyDescent="0.25">
      <c r="A97" s="99">
        <v>43236</v>
      </c>
      <c r="B97" s="100" t="s">
        <v>232</v>
      </c>
      <c r="C97" s="101" t="s">
        <v>63</v>
      </c>
      <c r="D97" s="104">
        <v>500</v>
      </c>
      <c r="E97" s="31">
        <v>6.88</v>
      </c>
      <c r="F97" s="102">
        <f t="shared" si="183"/>
        <v>1100</v>
      </c>
      <c r="G97" s="32">
        <f t="shared" si="184"/>
        <v>6.3964709090908896</v>
      </c>
      <c r="H97" s="31">
        <f t="shared" si="185"/>
        <v>7036.1179999999786</v>
      </c>
      <c r="I97" s="31">
        <f t="shared" si="186"/>
        <v>531.88200000002143</v>
      </c>
      <c r="J97" s="108">
        <f t="shared" si="187"/>
        <v>7.5593104038338049E-2</v>
      </c>
      <c r="K97" s="31">
        <f t="shared" si="188"/>
        <v>7568</v>
      </c>
      <c r="L97" s="31">
        <f t="shared" si="189"/>
        <v>-185.00000000000045</v>
      </c>
      <c r="M97" s="31">
        <f t="shared" si="190"/>
        <v>5</v>
      </c>
      <c r="N97" s="31">
        <f t="shared" si="191"/>
        <v>0</v>
      </c>
      <c r="O97" s="125"/>
      <c r="P97" s="32">
        <f t="shared" si="192"/>
        <v>0.48352909090911034</v>
      </c>
      <c r="Q97" s="31">
        <f t="shared" si="193"/>
        <v>-3445.0000000000005</v>
      </c>
      <c r="R97" s="34"/>
      <c r="S97" s="34">
        <f t="shared" si="194"/>
        <v>-6260.6430000000018</v>
      </c>
      <c r="T97" s="34">
        <f t="shared" si="195"/>
        <v>-909.97718023255845</v>
      </c>
      <c r="U97" s="34">
        <f t="shared" si="196"/>
        <v>190.02281976744155</v>
      </c>
      <c r="V97" s="31">
        <f t="shared" si="197"/>
        <v>775.47499999997672</v>
      </c>
      <c r="W97" s="32">
        <f t="shared" si="198"/>
        <v>4.0809572289740661</v>
      </c>
      <c r="X97" s="32">
        <f t="shared" si="199"/>
        <v>-2.3155136801168235</v>
      </c>
      <c r="Y97" s="32">
        <f t="shared" si="200"/>
        <v>2.7990427710259338</v>
      </c>
      <c r="Z97" s="38">
        <f t="shared" si="201"/>
        <v>5.7887784285394215</v>
      </c>
      <c r="AA97" s="31">
        <f>SUM(L$2:L123)-SUM(AB$2:AB123)</f>
        <v>-1498.9659999999872</v>
      </c>
      <c r="AB97" s="128"/>
      <c r="AC97" s="69">
        <f t="shared" si="202"/>
        <v>77.269776017444968</v>
      </c>
      <c r="AD97" s="69">
        <f t="shared" si="203"/>
        <v>-1022.730223982555</v>
      </c>
    </row>
    <row r="98" spans="1:30" x14ac:dyDescent="0.25">
      <c r="A98" s="99">
        <v>43245</v>
      </c>
      <c r="B98" s="100" t="s">
        <v>603</v>
      </c>
      <c r="C98" s="101" t="s">
        <v>63</v>
      </c>
      <c r="D98" s="104">
        <v>500</v>
      </c>
      <c r="E98" s="31">
        <v>6.54</v>
      </c>
      <c r="F98" s="102">
        <f t="shared" si="183"/>
        <v>1600</v>
      </c>
      <c r="G98" s="32">
        <f t="shared" si="184"/>
        <v>6.444448749999987</v>
      </c>
      <c r="H98" s="31">
        <f t="shared" si="185"/>
        <v>10311.117999999979</v>
      </c>
      <c r="I98" s="31">
        <f t="shared" si="186"/>
        <v>152.88200000002143</v>
      </c>
      <c r="J98" s="108">
        <f t="shared" si="187"/>
        <v>1.482690819754184E-2</v>
      </c>
      <c r="K98" s="31">
        <f t="shared" si="188"/>
        <v>10464</v>
      </c>
      <c r="L98" s="31">
        <f t="shared" si="189"/>
        <v>-379</v>
      </c>
      <c r="M98" s="31">
        <f t="shared" si="190"/>
        <v>5</v>
      </c>
      <c r="N98" s="31">
        <f t="shared" si="191"/>
        <v>0</v>
      </c>
      <c r="O98" s="125"/>
      <c r="P98" s="32">
        <f t="shared" si="192"/>
        <v>9.5551250000013077E-2</v>
      </c>
      <c r="Q98" s="31">
        <f t="shared" si="193"/>
        <v>-3275</v>
      </c>
      <c r="R98" s="34"/>
      <c r="S98" s="34">
        <f t="shared" si="194"/>
        <v>-9535.6430000000018</v>
      </c>
      <c r="T98" s="34">
        <f t="shared" si="195"/>
        <v>-1458.0493883792051</v>
      </c>
      <c r="U98" s="34">
        <f t="shared" si="196"/>
        <v>141.95061162079492</v>
      </c>
      <c r="V98" s="31">
        <f t="shared" si="197"/>
        <v>775.47499999997672</v>
      </c>
      <c r="W98" s="32">
        <f t="shared" si="198"/>
        <v>5.462991607754188</v>
      </c>
      <c r="X98" s="32">
        <f t="shared" si="199"/>
        <v>-0.98145714224579894</v>
      </c>
      <c r="Y98" s="32">
        <f t="shared" si="200"/>
        <v>1.077008392245812</v>
      </c>
      <c r="Z98" s="38">
        <f t="shared" si="201"/>
        <v>11.271525932373013</v>
      </c>
      <c r="AA98" s="31">
        <f>SUM(L$2:L124)-SUM(AB$2:AB124)</f>
        <v>-1498.9659999999872</v>
      </c>
      <c r="AB98" s="128"/>
      <c r="AC98" s="69">
        <f t="shared" si="202"/>
        <v>23.364764373091962</v>
      </c>
      <c r="AD98" s="69">
        <f t="shared" si="203"/>
        <v>-1576.6352356269081</v>
      </c>
    </row>
    <row r="99" spans="1:30" x14ac:dyDescent="0.25">
      <c r="A99" s="99">
        <v>43250</v>
      </c>
      <c r="B99" s="100" t="s">
        <v>605</v>
      </c>
      <c r="C99" s="101" t="s">
        <v>63</v>
      </c>
      <c r="D99" s="104">
        <v>500</v>
      </c>
      <c r="E99" s="31">
        <v>6.24</v>
      </c>
      <c r="F99" s="102">
        <f t="shared" si="183"/>
        <v>2100</v>
      </c>
      <c r="G99" s="32">
        <f t="shared" si="184"/>
        <v>6.3981514285714187</v>
      </c>
      <c r="H99" s="31">
        <f t="shared" si="185"/>
        <v>13436.117999999979</v>
      </c>
      <c r="I99" s="31">
        <f t="shared" si="186"/>
        <v>-332.11799999997857</v>
      </c>
      <c r="J99" s="108">
        <f t="shared" si="187"/>
        <v>-2.4718300330495713E-2</v>
      </c>
      <c r="K99" s="31">
        <f t="shared" si="188"/>
        <v>13104</v>
      </c>
      <c r="L99" s="31">
        <f t="shared" si="189"/>
        <v>-485</v>
      </c>
      <c r="M99" s="31">
        <f t="shared" si="190"/>
        <v>5</v>
      </c>
      <c r="N99" s="31">
        <f t="shared" si="191"/>
        <v>0</v>
      </c>
      <c r="O99" s="125">
        <v>-42</v>
      </c>
      <c r="P99" s="32">
        <f t="shared" si="192"/>
        <v>-0.15815142857141851</v>
      </c>
      <c r="Q99" s="31">
        <f t="shared" si="193"/>
        <v>-3125</v>
      </c>
      <c r="R99" s="34"/>
      <c r="S99" s="34">
        <f t="shared" si="194"/>
        <v>-12702.643000000002</v>
      </c>
      <c r="T99" s="34">
        <f t="shared" si="195"/>
        <v>-2035.6799679487183</v>
      </c>
      <c r="U99" s="34">
        <f t="shared" si="196"/>
        <v>64.320032051281714</v>
      </c>
      <c r="V99" s="31">
        <f t="shared" si="197"/>
        <v>733.47499999997672</v>
      </c>
      <c r="W99" s="32">
        <f t="shared" si="198"/>
        <v>11.403523546368641</v>
      </c>
      <c r="X99" s="32">
        <f t="shared" si="199"/>
        <v>5.0053721177972221</v>
      </c>
      <c r="Y99" s="32">
        <f t="shared" si="200"/>
        <v>-5.1635235463686406</v>
      </c>
      <c r="Z99" s="38">
        <f t="shared" si="201"/>
        <v>32.649237461910637</v>
      </c>
      <c r="AA99" s="31">
        <f>SUM(L$2:L125)-SUM(AB$2:AB125)</f>
        <v>-1498.9659999999872</v>
      </c>
      <c r="AB99" s="128"/>
      <c r="AC99" s="69">
        <f t="shared" si="202"/>
        <v>-53.197426442304263</v>
      </c>
      <c r="AD99" s="69">
        <f t="shared" si="203"/>
        <v>-2153.1974264423043</v>
      </c>
    </row>
    <row r="100" spans="1:30" x14ac:dyDescent="0.25">
      <c r="A100" s="99">
        <v>43259</v>
      </c>
      <c r="B100" s="100" t="s">
        <v>202</v>
      </c>
      <c r="C100" s="101" t="s">
        <v>63</v>
      </c>
      <c r="D100" s="104">
        <v>500</v>
      </c>
      <c r="E100" s="31">
        <v>6.01</v>
      </c>
      <c r="F100" s="102">
        <f t="shared" si="183"/>
        <v>2600</v>
      </c>
      <c r="G100" s="32">
        <f t="shared" si="184"/>
        <v>6.3092761538461462</v>
      </c>
      <c r="H100" s="31">
        <f t="shared" si="185"/>
        <v>16404.11799999998</v>
      </c>
      <c r="I100" s="31">
        <f t="shared" si="186"/>
        <v>-778.11799999998038</v>
      </c>
      <c r="J100" s="108">
        <f t="shared" si="187"/>
        <v>-4.7434308872929438E-2</v>
      </c>
      <c r="K100" s="31">
        <f t="shared" si="188"/>
        <v>15626</v>
      </c>
      <c r="L100" s="31">
        <f t="shared" si="189"/>
        <v>-446.00000000000182</v>
      </c>
      <c r="M100" s="31">
        <f t="shared" si="190"/>
        <v>5</v>
      </c>
      <c r="N100" s="31">
        <f t="shared" si="191"/>
        <v>0</v>
      </c>
      <c r="O100" s="125"/>
      <c r="P100" s="32">
        <f t="shared" si="192"/>
        <v>-0.29927615384614636</v>
      </c>
      <c r="Q100" s="31">
        <f t="shared" si="193"/>
        <v>-2968.0000000000018</v>
      </c>
      <c r="R100" s="34"/>
      <c r="S100" s="34">
        <f t="shared" si="194"/>
        <v>-15670.643000000004</v>
      </c>
      <c r="T100" s="34">
        <f t="shared" si="195"/>
        <v>-2607.4281198003337</v>
      </c>
      <c r="U100" s="34">
        <f t="shared" si="196"/>
        <v>-7.4281198003336613</v>
      </c>
      <c r="V100" s="31">
        <f t="shared" si="197"/>
        <v>733.47499999997672</v>
      </c>
      <c r="W100" s="32">
        <f t="shared" si="198"/>
        <v>-98.743022422313388</v>
      </c>
      <c r="X100" s="32">
        <f t="shared" si="199"/>
        <v>-105.05229857615953</v>
      </c>
      <c r="Y100" s="32">
        <f t="shared" si="200"/>
        <v>104.75302242231338</v>
      </c>
      <c r="Z100" s="38">
        <f t="shared" si="201"/>
        <v>-350.02127993186264</v>
      </c>
      <c r="AA100" s="31">
        <f>SUM(L$2:L126)-SUM(AB$2:AB126)</f>
        <v>-1498.9659999999872</v>
      </c>
      <c r="AB100" s="128"/>
      <c r="AC100" s="69">
        <f t="shared" si="202"/>
        <v>-129.40581381031291</v>
      </c>
      <c r="AD100" s="69">
        <f t="shared" si="203"/>
        <v>-2729.4058138103128</v>
      </c>
    </row>
    <row r="101" spans="1:30" x14ac:dyDescent="0.25">
      <c r="A101" s="99">
        <v>43270</v>
      </c>
      <c r="B101" s="100" t="s">
        <v>403</v>
      </c>
      <c r="C101" s="101" t="s">
        <v>63</v>
      </c>
      <c r="D101" s="104">
        <v>500</v>
      </c>
      <c r="E101" s="31">
        <v>5.66</v>
      </c>
      <c r="F101" s="102">
        <f t="shared" si="183"/>
        <v>3100</v>
      </c>
      <c r="G101" s="32">
        <f t="shared" si="184"/>
        <v>6.2061670967741875</v>
      </c>
      <c r="H101" s="31">
        <f t="shared" si="185"/>
        <v>19239.11799999998</v>
      </c>
      <c r="I101" s="31">
        <f t="shared" si="186"/>
        <v>-1693.1179999999804</v>
      </c>
      <c r="J101" s="108">
        <f t="shared" si="187"/>
        <v>-8.8003930325703209E-2</v>
      </c>
      <c r="K101" s="31">
        <f t="shared" si="188"/>
        <v>17546</v>
      </c>
      <c r="L101" s="31">
        <f t="shared" si="189"/>
        <v>-915</v>
      </c>
      <c r="M101" s="31">
        <f t="shared" si="190"/>
        <v>5</v>
      </c>
      <c r="N101" s="31">
        <f t="shared" si="191"/>
        <v>0</v>
      </c>
      <c r="O101" s="125"/>
      <c r="P101" s="32">
        <f t="shared" si="192"/>
        <v>-0.5461670967741874</v>
      </c>
      <c r="Q101" s="31">
        <f t="shared" si="193"/>
        <v>-2835</v>
      </c>
      <c r="R101" s="34"/>
      <c r="S101" s="34">
        <f t="shared" si="194"/>
        <v>-18505.643000000004</v>
      </c>
      <c r="T101" s="34">
        <f t="shared" si="195"/>
        <v>-3269.5482332155484</v>
      </c>
      <c r="U101" s="34">
        <f t="shared" si="196"/>
        <v>-169.54823321554841</v>
      </c>
      <c r="V101" s="31">
        <f t="shared" si="197"/>
        <v>733.47499999997672</v>
      </c>
      <c r="W101" s="32">
        <f t="shared" si="198"/>
        <v>-4.3260551059090213</v>
      </c>
      <c r="X101" s="32">
        <f t="shared" si="199"/>
        <v>-10.532222202683208</v>
      </c>
      <c r="Y101" s="32">
        <f t="shared" si="200"/>
        <v>9.9860551059090206</v>
      </c>
      <c r="Z101" s="38">
        <f t="shared" si="201"/>
        <v>-18.283882652194542</v>
      </c>
      <c r="AA101" s="31">
        <f>SUM(L$2:L127)-SUM(AB$2:AB127)</f>
        <v>-1498.9659999999872</v>
      </c>
      <c r="AB101" s="128"/>
      <c r="AC101" s="69">
        <f t="shared" si="202"/>
        <v>-298.98788710247004</v>
      </c>
      <c r="AD101" s="69">
        <f t="shared" si="203"/>
        <v>-3398.9878871024703</v>
      </c>
    </row>
    <row r="102" spans="1:30" x14ac:dyDescent="0.25">
      <c r="A102" s="99">
        <v>43313</v>
      </c>
      <c r="B102" s="106"/>
      <c r="C102" s="101" t="s">
        <v>69</v>
      </c>
      <c r="D102" s="104">
        <v>400</v>
      </c>
      <c r="E102" s="31">
        <v>6.03</v>
      </c>
      <c r="F102" s="102">
        <f t="shared" si="183"/>
        <v>2700</v>
      </c>
      <c r="G102" s="32">
        <f t="shared" si="184"/>
        <v>6.2350111111111035</v>
      </c>
      <c r="H102" s="31">
        <f t="shared" si="185"/>
        <v>16834.529999999981</v>
      </c>
      <c r="I102" s="31">
        <f t="shared" si="186"/>
        <v>-553.52999999998065</v>
      </c>
      <c r="J102" s="108">
        <f t="shared" si="187"/>
        <v>-3.288063284213931E-2</v>
      </c>
      <c r="K102" s="31">
        <f t="shared" si="188"/>
        <v>16281</v>
      </c>
      <c r="L102" s="31">
        <f t="shared" si="189"/>
        <v>1139.5879999999997</v>
      </c>
      <c r="M102" s="31">
        <f t="shared" si="190"/>
        <v>5</v>
      </c>
      <c r="N102" s="31">
        <f t="shared" si="191"/>
        <v>2.4119999999999999</v>
      </c>
      <c r="O102" s="125"/>
      <c r="P102" s="32">
        <f t="shared" si="192"/>
        <v>-0.20501111111110326</v>
      </c>
      <c r="Q102" s="31">
        <f t="shared" si="193"/>
        <v>2404.5879999999997</v>
      </c>
      <c r="R102" s="34"/>
      <c r="S102" s="34">
        <f t="shared" si="194"/>
        <v>-16101.055000000004</v>
      </c>
      <c r="T102" s="34">
        <f t="shared" si="195"/>
        <v>-2670.1583747927039</v>
      </c>
      <c r="U102" s="34">
        <f t="shared" si="196"/>
        <v>29.841625207296147</v>
      </c>
      <c r="V102" s="31">
        <f t="shared" si="197"/>
        <v>733.47499999997672</v>
      </c>
      <c r="W102" s="32">
        <f t="shared" si="198"/>
        <v>24.578922726388416</v>
      </c>
      <c r="X102" s="32">
        <f t="shared" si="199"/>
        <v>18.343911615277314</v>
      </c>
      <c r="Y102" s="32">
        <f t="shared" si="200"/>
        <v>-18.548922726388419</v>
      </c>
      <c r="Z102" s="38">
        <f t="shared" si="201"/>
        <v>90.477645947374938</v>
      </c>
      <c r="AA102" s="31">
        <f>SUM(L$2:L128)-SUM(AB$2:AB128)</f>
        <v>-1498.9659999999872</v>
      </c>
      <c r="AB102" s="128"/>
      <c r="AC102" s="69">
        <f t="shared" si="202"/>
        <v>-91.750121890544065</v>
      </c>
      <c r="AD102" s="69">
        <f t="shared" si="203"/>
        <v>-2791.7501218905441</v>
      </c>
    </row>
    <row r="103" spans="1:30" x14ac:dyDescent="0.25">
      <c r="A103" s="99">
        <v>43314</v>
      </c>
      <c r="B103" s="106"/>
      <c r="C103" s="101" t="s">
        <v>69</v>
      </c>
      <c r="D103" s="104">
        <v>400</v>
      </c>
      <c r="E103" s="31">
        <v>6.63</v>
      </c>
      <c r="F103" s="102">
        <f t="shared" si="183"/>
        <v>2300</v>
      </c>
      <c r="G103" s="32">
        <f t="shared" si="184"/>
        <v>6.169644347826079</v>
      </c>
      <c r="H103" s="31">
        <f t="shared" si="185"/>
        <v>14190.181999999981</v>
      </c>
      <c r="I103" s="31">
        <f t="shared" si="186"/>
        <v>1058.8180000000193</v>
      </c>
      <c r="J103" s="108">
        <f t="shared" si="187"/>
        <v>7.4616238184966169E-2</v>
      </c>
      <c r="K103" s="31">
        <f t="shared" si="188"/>
        <v>15249</v>
      </c>
      <c r="L103" s="31">
        <f t="shared" si="189"/>
        <v>1612.348</v>
      </c>
      <c r="M103" s="31">
        <f t="shared" si="190"/>
        <v>5</v>
      </c>
      <c r="N103" s="31">
        <f t="shared" si="191"/>
        <v>2.6520000000000001</v>
      </c>
      <c r="O103" s="125"/>
      <c r="P103" s="32">
        <f t="shared" si="192"/>
        <v>0.46035565217392094</v>
      </c>
      <c r="Q103" s="31">
        <f t="shared" si="193"/>
        <v>2644.348</v>
      </c>
      <c r="R103" s="34"/>
      <c r="S103" s="34">
        <f t="shared" si="194"/>
        <v>-13456.707000000004</v>
      </c>
      <c r="T103" s="34">
        <f t="shared" si="195"/>
        <v>-2029.6692307692315</v>
      </c>
      <c r="U103" s="34">
        <f t="shared" si="196"/>
        <v>270.33076923076851</v>
      </c>
      <c r="V103" s="31">
        <f t="shared" si="197"/>
        <v>733.47499999997672</v>
      </c>
      <c r="W103" s="32">
        <f t="shared" si="198"/>
        <v>2.7132501493895576</v>
      </c>
      <c r="X103" s="32">
        <f t="shared" si="199"/>
        <v>-3.4563941984365214</v>
      </c>
      <c r="Y103" s="32">
        <f t="shared" si="200"/>
        <v>3.9167498506104423</v>
      </c>
      <c r="Z103" s="38">
        <f t="shared" si="201"/>
        <v>8.5080954955467885</v>
      </c>
      <c r="AA103" s="31">
        <f>SUM(L$2:L129)-SUM(AB$2:AB129)</f>
        <v>-1498.9659999999872</v>
      </c>
      <c r="AB103" s="128"/>
      <c r="AC103" s="69">
        <f t="shared" si="202"/>
        <v>159.62120527903761</v>
      </c>
      <c r="AD103" s="69">
        <f t="shared" si="203"/>
        <v>-2140.3787947209626</v>
      </c>
    </row>
    <row r="104" spans="1:30" x14ac:dyDescent="0.25">
      <c r="A104" s="99">
        <v>43315</v>
      </c>
      <c r="B104" s="106"/>
      <c r="C104" s="101" t="s">
        <v>69</v>
      </c>
      <c r="D104" s="104">
        <v>400</v>
      </c>
      <c r="E104" s="31">
        <v>7.29</v>
      </c>
      <c r="F104" s="102">
        <f t="shared" si="183"/>
        <v>1900</v>
      </c>
      <c r="G104" s="32">
        <f t="shared" si="184"/>
        <v>5.9379463157894632</v>
      </c>
      <c r="H104" s="31">
        <f t="shared" si="185"/>
        <v>11282.09799999998</v>
      </c>
      <c r="I104" s="31">
        <f t="shared" si="186"/>
        <v>2568.9020000000201</v>
      </c>
      <c r="J104" s="108">
        <f t="shared" si="187"/>
        <v>0.22769718894482432</v>
      </c>
      <c r="K104" s="31">
        <f t="shared" si="188"/>
        <v>13851</v>
      </c>
      <c r="L104" s="31">
        <f t="shared" si="189"/>
        <v>1510.0840000000007</v>
      </c>
      <c r="M104" s="31">
        <f t="shared" si="190"/>
        <v>5</v>
      </c>
      <c r="N104" s="31">
        <f t="shared" si="191"/>
        <v>2.9159999999999999</v>
      </c>
      <c r="O104" s="125"/>
      <c r="P104" s="32">
        <f t="shared" si="192"/>
        <v>1.3520536842105368</v>
      </c>
      <c r="Q104" s="31">
        <f t="shared" si="193"/>
        <v>2908.0840000000007</v>
      </c>
      <c r="R104" s="34"/>
      <c r="S104" s="34">
        <f t="shared" si="194"/>
        <v>-10548.623000000003</v>
      </c>
      <c r="T104" s="34">
        <f t="shared" si="195"/>
        <v>-1446.9990397805218</v>
      </c>
      <c r="U104" s="34">
        <f t="shared" si="196"/>
        <v>453.0009602194782</v>
      </c>
      <c r="V104" s="31">
        <f t="shared" si="197"/>
        <v>733.47499999997672</v>
      </c>
      <c r="W104" s="32">
        <f t="shared" si="198"/>
        <v>1.6191466782865302</v>
      </c>
      <c r="X104" s="32">
        <f t="shared" si="199"/>
        <v>-4.3187996375029325</v>
      </c>
      <c r="Y104" s="32">
        <f t="shared" si="200"/>
        <v>5.6708533217134693</v>
      </c>
      <c r="Z104" s="38">
        <f t="shared" si="201"/>
        <v>4.1942515951389003</v>
      </c>
      <c r="AA104" s="31">
        <f>SUM(L$2:L130)-SUM(AB$2:AB130)</f>
        <v>-1498.9659999999872</v>
      </c>
      <c r="AB104" s="128"/>
      <c r="AC104" s="69">
        <f t="shared" si="202"/>
        <v>352.21091207133338</v>
      </c>
      <c r="AD104" s="69">
        <f t="shared" si="203"/>
        <v>-1547.7890879286665</v>
      </c>
    </row>
    <row r="105" spans="1:30" x14ac:dyDescent="0.25">
      <c r="A105" s="99">
        <v>43315</v>
      </c>
      <c r="B105" s="106"/>
      <c r="C105" s="101" t="s">
        <v>69</v>
      </c>
      <c r="D105" s="104">
        <v>1200</v>
      </c>
      <c r="E105" s="31">
        <v>7.29</v>
      </c>
      <c r="F105" s="102">
        <f t="shared" si="183"/>
        <v>700</v>
      </c>
      <c r="G105" s="32">
        <f t="shared" si="184"/>
        <v>3.6397799999999716</v>
      </c>
      <c r="H105" s="31">
        <f t="shared" si="185"/>
        <v>2547.84599999998</v>
      </c>
      <c r="I105" s="31">
        <f t="shared" si="186"/>
        <v>2555.15400000002</v>
      </c>
      <c r="J105" s="108">
        <f t="shared" si="187"/>
        <v>1.0028683052272547</v>
      </c>
      <c r="K105" s="31">
        <f t="shared" si="188"/>
        <v>5103</v>
      </c>
      <c r="L105" s="31">
        <f t="shared" si="189"/>
        <v>-13.748000000000047</v>
      </c>
      <c r="M105" s="31">
        <f t="shared" si="190"/>
        <v>5</v>
      </c>
      <c r="N105" s="31">
        <f t="shared" si="191"/>
        <v>8.7479999999999993</v>
      </c>
      <c r="O105" s="125"/>
      <c r="P105" s="32">
        <f t="shared" si="192"/>
        <v>3.6502200000000284</v>
      </c>
      <c r="Q105" s="31">
        <f t="shared" si="193"/>
        <v>8734.2520000000004</v>
      </c>
      <c r="R105" s="34"/>
      <c r="S105" s="34">
        <f t="shared" si="194"/>
        <v>-1814.3710000000028</v>
      </c>
      <c r="T105" s="34">
        <f t="shared" si="195"/>
        <v>-248.88491083676308</v>
      </c>
      <c r="U105" s="34">
        <f t="shared" si="196"/>
        <v>451.11508916323692</v>
      </c>
      <c r="V105" s="31">
        <f t="shared" si="197"/>
        <v>733.47499999997717</v>
      </c>
      <c r="W105" s="32">
        <f t="shared" si="198"/>
        <v>1.6259154650767351</v>
      </c>
      <c r="X105" s="32">
        <f t="shared" si="199"/>
        <v>-2.0138645349232362</v>
      </c>
      <c r="Y105" s="32">
        <f t="shared" si="200"/>
        <v>5.6640845349232647</v>
      </c>
      <c r="Z105" s="38">
        <f t="shared" si="201"/>
        <v>1.5517104544173284</v>
      </c>
      <c r="AA105" s="31">
        <f>SUM(L$2:L131)-SUM(AB$2:AB131)</f>
        <v>-1498.9659999999872</v>
      </c>
      <c r="AB105" s="128"/>
      <c r="AC105" s="69">
        <f t="shared" si="202"/>
        <v>350.32598395062001</v>
      </c>
      <c r="AD105" s="69">
        <f t="shared" si="203"/>
        <v>-349.67401604937999</v>
      </c>
    </row>
    <row r="106" spans="1:30" x14ac:dyDescent="0.25">
      <c r="A106" s="99">
        <v>43318</v>
      </c>
      <c r="B106" s="106"/>
      <c r="C106" s="101" t="s">
        <v>69</v>
      </c>
      <c r="D106" s="104">
        <v>300</v>
      </c>
      <c r="E106" s="31">
        <v>8.02</v>
      </c>
      <c r="F106" s="102">
        <f>IF(C106="买",F105+D106,F105-D106)</f>
        <v>400</v>
      </c>
      <c r="G106" s="32">
        <f t="shared" si="184"/>
        <v>0.37312999999995</v>
      </c>
      <c r="H106" s="31">
        <f t="shared" si="185"/>
        <v>149.25199999998</v>
      </c>
      <c r="I106" s="31">
        <f t="shared" si="186"/>
        <v>3058.7480000000201</v>
      </c>
      <c r="J106" s="108">
        <f t="shared" si="187"/>
        <v>20.493849328655092</v>
      </c>
      <c r="K106" s="31">
        <f t="shared" si="188"/>
        <v>3208</v>
      </c>
      <c r="L106" s="31">
        <f t="shared" si="189"/>
        <v>503.59400000000005</v>
      </c>
      <c r="M106" s="31">
        <f t="shared" si="190"/>
        <v>5</v>
      </c>
      <c r="N106" s="31">
        <f t="shared" si="191"/>
        <v>2.4060000000000001</v>
      </c>
      <c r="O106" s="125"/>
      <c r="P106" s="32">
        <f t="shared" si="192"/>
        <v>7.6468700000000496</v>
      </c>
      <c r="Q106" s="31">
        <f t="shared" si="193"/>
        <v>2398.5940000000001</v>
      </c>
      <c r="R106" s="34"/>
      <c r="S106" s="34">
        <f t="shared" si="194"/>
        <v>584.22299999999723</v>
      </c>
      <c r="T106" s="34">
        <f t="shared" si="195"/>
        <v>72.845760598503404</v>
      </c>
      <c r="U106" s="34">
        <f t="shared" si="196"/>
        <v>472.84576059850338</v>
      </c>
      <c r="V106" s="31">
        <f t="shared" si="197"/>
        <v>733.47499999997717</v>
      </c>
      <c r="W106" s="32">
        <f t="shared" si="198"/>
        <v>1.551192928263929</v>
      </c>
      <c r="X106" s="32">
        <f t="shared" si="199"/>
        <v>1.178062928263979</v>
      </c>
      <c r="Y106" s="32">
        <f t="shared" si="200"/>
        <v>6.4688070717360704</v>
      </c>
      <c r="Z106" s="38">
        <f t="shared" si="201"/>
        <v>0.84594181302101756</v>
      </c>
      <c r="AA106" s="31">
        <f>SUM(L$2:L132)-SUM(AB$2:AB132)</f>
        <v>-1498.9659999999872</v>
      </c>
      <c r="AB106" s="128"/>
      <c r="AC106" s="69">
        <f t="shared" si="202"/>
        <v>381.19932992518955</v>
      </c>
      <c r="AD106" s="69">
        <f t="shared" si="203"/>
        <v>-18.800670074810455</v>
      </c>
    </row>
    <row r="107" spans="1:30" x14ac:dyDescent="0.25">
      <c r="A107" s="276">
        <v>43531</v>
      </c>
      <c r="B107" s="106"/>
      <c r="C107" s="101" t="s">
        <v>69</v>
      </c>
      <c r="D107" s="104">
        <v>300</v>
      </c>
      <c r="E107" s="31">
        <v>6.68</v>
      </c>
      <c r="F107" s="102">
        <f>IF(C107="买",F106+D107,F106-D107)</f>
        <v>100</v>
      </c>
      <c r="G107" s="32">
        <f>H107/F107</f>
        <v>-18.4774400000002</v>
      </c>
      <c r="H107" s="31">
        <f>IF(C107="买",H106+D107*E107+M107+N107,H106+-1*D107*E107+M107+N107)+O106</f>
        <v>-1847.7440000000202</v>
      </c>
      <c r="I107" s="31">
        <f>-H107+K107</f>
        <v>2515.7440000000202</v>
      </c>
      <c r="J107" s="108">
        <f>(E107-G107)/G107</f>
        <v>-1.36152194243358</v>
      </c>
      <c r="K107" s="31">
        <f>F107*E107</f>
        <v>668</v>
      </c>
      <c r="L107" s="31">
        <f>I107-I106</f>
        <v>-543.00399999999991</v>
      </c>
      <c r="M107" s="31">
        <f>IF(D107*E107*2.5/10000&gt;5,D107*E107*2.5/10000,5)</f>
        <v>5</v>
      </c>
      <c r="N107" s="31">
        <f>IF(C107="卖",D107*E107/1000,0)</f>
        <v>2.004</v>
      </c>
      <c r="O107" s="125"/>
      <c r="P107" s="32">
        <f>E107-G107</f>
        <v>25.1574400000002</v>
      </c>
      <c r="Q107" s="31">
        <f>(H107-H106)*-1</f>
        <v>1996.9960000000001</v>
      </c>
      <c r="R107" s="34"/>
      <c r="S107" s="34">
        <f>S106+Q107+O107+R107</f>
        <v>2581.2189999999973</v>
      </c>
      <c r="T107" s="34">
        <f>S107/E107</f>
        <v>386.41002994011939</v>
      </c>
      <c r="U107" s="34">
        <f>F107+T107</f>
        <v>486.41002994011939</v>
      </c>
      <c r="V107" s="31">
        <f>H107+S107</f>
        <v>733.47499999997717</v>
      </c>
      <c r="W107" s="32">
        <f>V107/U107</f>
        <v>1.5079355992931998</v>
      </c>
      <c r="X107" s="32">
        <f>W107-G107</f>
        <v>19.985375599293398</v>
      </c>
      <c r="Y107" s="32">
        <f>(X107-P107)*-1</f>
        <v>5.1720644007068017</v>
      </c>
      <c r="Z107" s="38">
        <f>F107/U107</f>
        <v>0.20558786588407876</v>
      </c>
      <c r="AA107" s="31">
        <f>SUM(L$2:L133)-SUM(AB$2:AB133)</f>
        <v>-1498.9659999999872</v>
      </c>
      <c r="AB107" s="128"/>
      <c r="AC107" s="69">
        <f>I107/E107*(1-0.0005)</f>
        <v>376.42007904191922</v>
      </c>
      <c r="AD107" s="69">
        <f>AC107-F107</f>
        <v>276.42007904191922</v>
      </c>
    </row>
    <row r="108" spans="1:30" x14ac:dyDescent="0.25">
      <c r="A108" s="46"/>
      <c r="B108" s="106"/>
      <c r="C108" s="101" t="s">
        <v>63</v>
      </c>
      <c r="D108" s="104">
        <v>500</v>
      </c>
      <c r="E108" s="31">
        <v>6.16</v>
      </c>
      <c r="F108" s="102">
        <f t="shared" ref="F108:F116" si="204">IF(C108="买",F107+D108,F107-D108)</f>
        <v>600</v>
      </c>
      <c r="G108" s="32">
        <f t="shared" ref="G108:G116" si="205">H108/F108</f>
        <v>2.0620933333332996</v>
      </c>
      <c r="H108" s="31">
        <f t="shared" ref="H108:H116" si="206">IF(C108="买",H107+D108*E108+M108+N108,H107+-1*D108*E108+M108+N108)+O107</f>
        <v>1237.2559999999798</v>
      </c>
      <c r="I108" s="31">
        <f t="shared" ref="I108:I116" si="207">-H108+K108</f>
        <v>2458.7440000000202</v>
      </c>
      <c r="J108" s="108">
        <f t="shared" ref="J108:J116" si="208">(E108-G108)/G108</f>
        <v>1.9872556689966026</v>
      </c>
      <c r="K108" s="31">
        <f t="shared" ref="K108:K116" si="209">F108*E108</f>
        <v>3696</v>
      </c>
      <c r="L108" s="31">
        <f t="shared" ref="L108:L116" si="210">I108-I107</f>
        <v>-57</v>
      </c>
      <c r="M108" s="31">
        <f t="shared" ref="M108:M116" si="211">IF(D108*E108*2.5/10000&gt;5,D108*E108*2.5/10000,5)</f>
        <v>5</v>
      </c>
      <c r="N108" s="31">
        <f t="shared" ref="N108:N116" si="212">IF(C108="卖",D108*E108/1000,0)</f>
        <v>0</v>
      </c>
      <c r="O108" s="125"/>
      <c r="P108" s="32">
        <f t="shared" ref="P108:P116" si="213">E108-G108</f>
        <v>4.0979066666667006</v>
      </c>
      <c r="Q108" s="31">
        <f t="shared" ref="Q108:Q116" si="214">(H108-H107)*-1</f>
        <v>-3085</v>
      </c>
      <c r="R108" s="34"/>
      <c r="S108" s="34">
        <f t="shared" ref="S108:S116" si="215">S107+Q108+O108+R108</f>
        <v>-503.78100000000268</v>
      </c>
      <c r="T108" s="34">
        <f t="shared" ref="T108:T116" si="216">S108/E108</f>
        <v>-81.782629870130307</v>
      </c>
      <c r="U108" s="34">
        <f t="shared" ref="U108:U116" si="217">F108+T108</f>
        <v>518.21737012986966</v>
      </c>
      <c r="V108" s="31">
        <f t="shared" ref="V108:V116" si="218">H108+S108</f>
        <v>733.47499999997717</v>
      </c>
      <c r="W108" s="32">
        <f t="shared" ref="W108:W116" si="219">V108/U108</f>
        <v>1.4153809622710294</v>
      </c>
      <c r="X108" s="32">
        <f t="shared" ref="X108:X116" si="220">W108-G108</f>
        <v>-0.6467123710622702</v>
      </c>
      <c r="Y108" s="32">
        <f t="shared" ref="Y108:Y116" si="221">(X108-P108)*-1</f>
        <v>4.7446190377289703</v>
      </c>
      <c r="Z108" s="38">
        <f t="shared" ref="Z108:Z116" si="222">F108/U108</f>
        <v>1.1578153002660543</v>
      </c>
      <c r="AA108" s="31">
        <f>SUM(L$2:L134)-SUM(AB$2:AB134)</f>
        <v>-1498.9659999999872</v>
      </c>
      <c r="AB108" s="128"/>
      <c r="AC108" s="69">
        <f t="shared" ref="AC108:AC116" si="223">I108/E108*(1-0.0005)</f>
        <v>398.9471798701332</v>
      </c>
      <c r="AD108" s="69">
        <f t="shared" ref="AD108:AD116" si="224">AC108-F108</f>
        <v>-201.0528201298668</v>
      </c>
    </row>
    <row r="109" spans="1:30" x14ac:dyDescent="0.25">
      <c r="A109" s="46"/>
      <c r="B109" s="106"/>
      <c r="C109" s="101"/>
      <c r="D109" s="104"/>
      <c r="E109" s="31"/>
      <c r="F109" s="102">
        <f t="shared" si="204"/>
        <v>600</v>
      </c>
      <c r="G109" s="32">
        <f t="shared" si="205"/>
        <v>2.0704266666666329</v>
      </c>
      <c r="H109" s="31">
        <f t="shared" si="206"/>
        <v>1242.2559999999798</v>
      </c>
      <c r="I109" s="31">
        <f t="shared" si="207"/>
        <v>-1242.2559999999798</v>
      </c>
      <c r="J109" s="108">
        <f t="shared" si="208"/>
        <v>-1</v>
      </c>
      <c r="K109" s="31">
        <f t="shared" si="209"/>
        <v>0</v>
      </c>
      <c r="L109" s="31">
        <f t="shared" si="210"/>
        <v>-3701</v>
      </c>
      <c r="M109" s="31">
        <f t="shared" si="211"/>
        <v>5</v>
      </c>
      <c r="N109" s="31">
        <f t="shared" si="212"/>
        <v>0</v>
      </c>
      <c r="O109" s="125"/>
      <c r="P109" s="32">
        <f t="shared" si="213"/>
        <v>-2.0704266666666329</v>
      </c>
      <c r="Q109" s="31">
        <f t="shared" si="214"/>
        <v>-5</v>
      </c>
      <c r="R109" s="34"/>
      <c r="S109" s="34">
        <f t="shared" si="215"/>
        <v>-508.78100000000268</v>
      </c>
      <c r="T109" s="34" t="e">
        <f t="shared" si="216"/>
        <v>#DIV/0!</v>
      </c>
      <c r="U109" s="34" t="e">
        <f t="shared" si="217"/>
        <v>#DIV/0!</v>
      </c>
      <c r="V109" s="31">
        <f t="shared" si="218"/>
        <v>733.47499999997717</v>
      </c>
      <c r="W109" s="32" t="e">
        <f t="shared" si="219"/>
        <v>#DIV/0!</v>
      </c>
      <c r="X109" s="32" t="e">
        <f t="shared" si="220"/>
        <v>#DIV/0!</v>
      </c>
      <c r="Y109" s="32" t="e">
        <f t="shared" si="221"/>
        <v>#DIV/0!</v>
      </c>
      <c r="Z109" s="38" t="e">
        <f t="shared" si="222"/>
        <v>#DIV/0!</v>
      </c>
      <c r="AA109" s="31">
        <f>SUM(L$2:L135)-SUM(AB$2:AB135)</f>
        <v>-1498.9659999999872</v>
      </c>
      <c r="AB109" s="128"/>
      <c r="AC109" s="69" t="e">
        <f t="shared" si="223"/>
        <v>#DIV/0!</v>
      </c>
      <c r="AD109" s="69" t="e">
        <f t="shared" si="224"/>
        <v>#DIV/0!</v>
      </c>
    </row>
    <row r="110" spans="1:30" x14ac:dyDescent="0.25">
      <c r="A110" s="46"/>
      <c r="B110" s="106"/>
      <c r="C110" s="101"/>
      <c r="D110" s="104"/>
      <c r="E110" s="31"/>
      <c r="F110" s="102">
        <f t="shared" si="204"/>
        <v>600</v>
      </c>
      <c r="G110" s="32">
        <f t="shared" si="205"/>
        <v>2.0787599999999666</v>
      </c>
      <c r="H110" s="31">
        <f t="shared" si="206"/>
        <v>1247.2559999999798</v>
      </c>
      <c r="I110" s="31">
        <f t="shared" si="207"/>
        <v>-1247.2559999999798</v>
      </c>
      <c r="J110" s="108">
        <f t="shared" si="208"/>
        <v>-1</v>
      </c>
      <c r="K110" s="31">
        <f t="shared" si="209"/>
        <v>0</v>
      </c>
      <c r="L110" s="31">
        <f t="shared" si="210"/>
        <v>-5</v>
      </c>
      <c r="M110" s="31">
        <f t="shared" si="211"/>
        <v>5</v>
      </c>
      <c r="N110" s="31">
        <f t="shared" si="212"/>
        <v>0</v>
      </c>
      <c r="O110" s="125"/>
      <c r="P110" s="32">
        <f t="shared" si="213"/>
        <v>-2.0787599999999666</v>
      </c>
      <c r="Q110" s="31">
        <f t="shared" si="214"/>
        <v>-5</v>
      </c>
      <c r="R110" s="34"/>
      <c r="S110" s="34">
        <f t="shared" si="215"/>
        <v>-513.78100000000268</v>
      </c>
      <c r="T110" s="34" t="e">
        <f t="shared" si="216"/>
        <v>#DIV/0!</v>
      </c>
      <c r="U110" s="34" t="e">
        <f t="shared" si="217"/>
        <v>#DIV/0!</v>
      </c>
      <c r="V110" s="31">
        <f t="shared" si="218"/>
        <v>733.47499999997717</v>
      </c>
      <c r="W110" s="32" t="e">
        <f t="shared" si="219"/>
        <v>#DIV/0!</v>
      </c>
      <c r="X110" s="32" t="e">
        <f t="shared" si="220"/>
        <v>#DIV/0!</v>
      </c>
      <c r="Y110" s="32" t="e">
        <f t="shared" si="221"/>
        <v>#DIV/0!</v>
      </c>
      <c r="Z110" s="38" t="e">
        <f t="shared" si="222"/>
        <v>#DIV/0!</v>
      </c>
      <c r="AA110" s="31">
        <f>SUM(L$2:L136)-SUM(AB$2:AB136)</f>
        <v>-1498.9659999999872</v>
      </c>
      <c r="AB110" s="128"/>
      <c r="AC110" s="69" t="e">
        <f t="shared" si="223"/>
        <v>#DIV/0!</v>
      </c>
      <c r="AD110" s="69" t="e">
        <f t="shared" si="224"/>
        <v>#DIV/0!</v>
      </c>
    </row>
    <row r="111" spans="1:30" x14ac:dyDescent="0.25">
      <c r="A111" s="46"/>
      <c r="B111" s="106"/>
      <c r="C111" s="101"/>
      <c r="D111" s="104"/>
      <c r="E111" s="31"/>
      <c r="F111" s="102">
        <f t="shared" si="204"/>
        <v>600</v>
      </c>
      <c r="G111" s="32">
        <f t="shared" si="205"/>
        <v>2.0870933333332999</v>
      </c>
      <c r="H111" s="31">
        <f t="shared" si="206"/>
        <v>1252.2559999999798</v>
      </c>
      <c r="I111" s="31">
        <f t="shared" si="207"/>
        <v>-1252.2559999999798</v>
      </c>
      <c r="J111" s="108">
        <f t="shared" si="208"/>
        <v>-1</v>
      </c>
      <c r="K111" s="31">
        <f t="shared" si="209"/>
        <v>0</v>
      </c>
      <c r="L111" s="31">
        <f t="shared" si="210"/>
        <v>-5</v>
      </c>
      <c r="M111" s="31">
        <f t="shared" si="211"/>
        <v>5</v>
      </c>
      <c r="N111" s="31">
        <f t="shared" si="212"/>
        <v>0</v>
      </c>
      <c r="O111" s="125"/>
      <c r="P111" s="32">
        <f t="shared" si="213"/>
        <v>-2.0870933333332999</v>
      </c>
      <c r="Q111" s="31">
        <f t="shared" si="214"/>
        <v>-5</v>
      </c>
      <c r="R111" s="34"/>
      <c r="S111" s="34">
        <f t="shared" si="215"/>
        <v>-518.78100000000268</v>
      </c>
      <c r="T111" s="34" t="e">
        <f t="shared" si="216"/>
        <v>#DIV/0!</v>
      </c>
      <c r="U111" s="34" t="e">
        <f t="shared" si="217"/>
        <v>#DIV/0!</v>
      </c>
      <c r="V111" s="31">
        <f t="shared" si="218"/>
        <v>733.47499999997717</v>
      </c>
      <c r="W111" s="32" t="e">
        <f t="shared" si="219"/>
        <v>#DIV/0!</v>
      </c>
      <c r="X111" s="32" t="e">
        <f t="shared" si="220"/>
        <v>#DIV/0!</v>
      </c>
      <c r="Y111" s="32" t="e">
        <f t="shared" si="221"/>
        <v>#DIV/0!</v>
      </c>
      <c r="Z111" s="38" t="e">
        <f t="shared" si="222"/>
        <v>#DIV/0!</v>
      </c>
      <c r="AA111" s="31">
        <f>SUM(L$2:L137)-SUM(AB$2:AB137)</f>
        <v>-1498.9659999999872</v>
      </c>
      <c r="AB111" s="128"/>
      <c r="AC111" s="69" t="e">
        <f t="shared" si="223"/>
        <v>#DIV/0!</v>
      </c>
      <c r="AD111" s="69" t="e">
        <f t="shared" si="224"/>
        <v>#DIV/0!</v>
      </c>
    </row>
    <row r="112" spans="1:30" x14ac:dyDescent="0.25">
      <c r="A112" s="46"/>
      <c r="B112" s="106"/>
      <c r="C112" s="101"/>
      <c r="D112" s="104"/>
      <c r="E112" s="31"/>
      <c r="F112" s="102">
        <f t="shared" si="204"/>
        <v>600</v>
      </c>
      <c r="G112" s="32">
        <f t="shared" si="205"/>
        <v>2.0954266666666332</v>
      </c>
      <c r="H112" s="31">
        <f t="shared" si="206"/>
        <v>1257.2559999999798</v>
      </c>
      <c r="I112" s="31">
        <f t="shared" si="207"/>
        <v>-1257.2559999999798</v>
      </c>
      <c r="J112" s="108">
        <f t="shared" si="208"/>
        <v>-1</v>
      </c>
      <c r="K112" s="31">
        <f t="shared" si="209"/>
        <v>0</v>
      </c>
      <c r="L112" s="31">
        <f t="shared" si="210"/>
        <v>-5</v>
      </c>
      <c r="M112" s="31">
        <f t="shared" si="211"/>
        <v>5</v>
      </c>
      <c r="N112" s="31">
        <f t="shared" si="212"/>
        <v>0</v>
      </c>
      <c r="O112" s="125"/>
      <c r="P112" s="32">
        <f t="shared" si="213"/>
        <v>-2.0954266666666332</v>
      </c>
      <c r="Q112" s="31">
        <f t="shared" si="214"/>
        <v>-5</v>
      </c>
      <c r="R112" s="34"/>
      <c r="S112" s="34">
        <f t="shared" si="215"/>
        <v>-523.78100000000268</v>
      </c>
      <c r="T112" s="34" t="e">
        <f t="shared" si="216"/>
        <v>#DIV/0!</v>
      </c>
      <c r="U112" s="34" t="e">
        <f t="shared" si="217"/>
        <v>#DIV/0!</v>
      </c>
      <c r="V112" s="31">
        <f t="shared" si="218"/>
        <v>733.47499999997717</v>
      </c>
      <c r="W112" s="32" t="e">
        <f t="shared" si="219"/>
        <v>#DIV/0!</v>
      </c>
      <c r="X112" s="32" t="e">
        <f t="shared" si="220"/>
        <v>#DIV/0!</v>
      </c>
      <c r="Y112" s="32" t="e">
        <f t="shared" si="221"/>
        <v>#DIV/0!</v>
      </c>
      <c r="Z112" s="38" t="e">
        <f t="shared" si="222"/>
        <v>#DIV/0!</v>
      </c>
      <c r="AA112" s="31">
        <f>SUM(L$2:L138)-SUM(AB$2:AB138)</f>
        <v>-1498.9659999999872</v>
      </c>
      <c r="AB112" s="128"/>
      <c r="AC112" s="69" t="e">
        <f t="shared" si="223"/>
        <v>#DIV/0!</v>
      </c>
      <c r="AD112" s="69" t="e">
        <f t="shared" si="224"/>
        <v>#DIV/0!</v>
      </c>
    </row>
    <row r="113" spans="1:30" x14ac:dyDescent="0.25">
      <c r="A113" s="46"/>
      <c r="B113" s="106"/>
      <c r="C113" s="101"/>
      <c r="D113" s="104"/>
      <c r="E113" s="31"/>
      <c r="F113" s="102">
        <f t="shared" si="204"/>
        <v>600</v>
      </c>
      <c r="G113" s="32">
        <f t="shared" si="205"/>
        <v>2.1037599999999665</v>
      </c>
      <c r="H113" s="31">
        <f t="shared" si="206"/>
        <v>1262.2559999999798</v>
      </c>
      <c r="I113" s="31">
        <f t="shared" si="207"/>
        <v>-1262.2559999999798</v>
      </c>
      <c r="J113" s="108">
        <f t="shared" si="208"/>
        <v>-1</v>
      </c>
      <c r="K113" s="31">
        <f t="shared" si="209"/>
        <v>0</v>
      </c>
      <c r="L113" s="31">
        <f t="shared" si="210"/>
        <v>-5</v>
      </c>
      <c r="M113" s="31">
        <f t="shared" si="211"/>
        <v>5</v>
      </c>
      <c r="N113" s="31">
        <f t="shared" si="212"/>
        <v>0</v>
      </c>
      <c r="O113" s="125"/>
      <c r="P113" s="32">
        <f t="shared" si="213"/>
        <v>-2.1037599999999665</v>
      </c>
      <c r="Q113" s="31">
        <f t="shared" si="214"/>
        <v>-5</v>
      </c>
      <c r="R113" s="34"/>
      <c r="S113" s="34">
        <f t="shared" si="215"/>
        <v>-528.78100000000268</v>
      </c>
      <c r="T113" s="34" t="e">
        <f t="shared" si="216"/>
        <v>#DIV/0!</v>
      </c>
      <c r="U113" s="34" t="e">
        <f t="shared" si="217"/>
        <v>#DIV/0!</v>
      </c>
      <c r="V113" s="31">
        <f t="shared" si="218"/>
        <v>733.47499999997717</v>
      </c>
      <c r="W113" s="32" t="e">
        <f t="shared" si="219"/>
        <v>#DIV/0!</v>
      </c>
      <c r="X113" s="32" t="e">
        <f t="shared" si="220"/>
        <v>#DIV/0!</v>
      </c>
      <c r="Y113" s="32" t="e">
        <f t="shared" si="221"/>
        <v>#DIV/0!</v>
      </c>
      <c r="Z113" s="38" t="e">
        <f t="shared" si="222"/>
        <v>#DIV/0!</v>
      </c>
      <c r="AA113" s="31">
        <f>SUM(L$2:L139)-SUM(AB$2:AB139)</f>
        <v>-1498.9659999999872</v>
      </c>
      <c r="AB113" s="128"/>
      <c r="AC113" s="69" t="e">
        <f t="shared" si="223"/>
        <v>#DIV/0!</v>
      </c>
      <c r="AD113" s="69" t="e">
        <f t="shared" si="224"/>
        <v>#DIV/0!</v>
      </c>
    </row>
    <row r="114" spans="1:30" x14ac:dyDescent="0.25">
      <c r="A114" s="46"/>
      <c r="B114" s="106"/>
      <c r="C114" s="101"/>
      <c r="D114" s="104"/>
      <c r="E114" s="31"/>
      <c r="F114" s="102">
        <f t="shared" si="204"/>
        <v>600</v>
      </c>
      <c r="G114" s="32">
        <f t="shared" si="205"/>
        <v>2.1120933333332998</v>
      </c>
      <c r="H114" s="31">
        <f t="shared" si="206"/>
        <v>1267.2559999999798</v>
      </c>
      <c r="I114" s="31">
        <f t="shared" si="207"/>
        <v>-1267.2559999999798</v>
      </c>
      <c r="J114" s="108">
        <f t="shared" si="208"/>
        <v>-1</v>
      </c>
      <c r="K114" s="31">
        <f t="shared" si="209"/>
        <v>0</v>
      </c>
      <c r="L114" s="31">
        <f t="shared" si="210"/>
        <v>-5</v>
      </c>
      <c r="M114" s="31">
        <f t="shared" si="211"/>
        <v>5</v>
      </c>
      <c r="N114" s="31">
        <f t="shared" si="212"/>
        <v>0</v>
      </c>
      <c r="O114" s="125"/>
      <c r="P114" s="32">
        <f t="shared" si="213"/>
        <v>-2.1120933333332998</v>
      </c>
      <c r="Q114" s="31">
        <f t="shared" si="214"/>
        <v>-5</v>
      </c>
      <c r="R114" s="34"/>
      <c r="S114" s="34">
        <f t="shared" si="215"/>
        <v>-533.78100000000268</v>
      </c>
      <c r="T114" s="34" t="e">
        <f t="shared" si="216"/>
        <v>#DIV/0!</v>
      </c>
      <c r="U114" s="34" t="e">
        <f t="shared" si="217"/>
        <v>#DIV/0!</v>
      </c>
      <c r="V114" s="31">
        <f t="shared" si="218"/>
        <v>733.47499999997717</v>
      </c>
      <c r="W114" s="32" t="e">
        <f t="shared" si="219"/>
        <v>#DIV/0!</v>
      </c>
      <c r="X114" s="32" t="e">
        <f t="shared" si="220"/>
        <v>#DIV/0!</v>
      </c>
      <c r="Y114" s="32" t="e">
        <f t="shared" si="221"/>
        <v>#DIV/0!</v>
      </c>
      <c r="Z114" s="38" t="e">
        <f t="shared" si="222"/>
        <v>#DIV/0!</v>
      </c>
      <c r="AA114" s="31">
        <f>SUM(L$2:L140)-SUM(AB$2:AB140)</f>
        <v>-1498.9659999999872</v>
      </c>
      <c r="AB114" s="128"/>
      <c r="AC114" s="69" t="e">
        <f t="shared" si="223"/>
        <v>#DIV/0!</v>
      </c>
      <c r="AD114" s="69" t="e">
        <f t="shared" si="224"/>
        <v>#DIV/0!</v>
      </c>
    </row>
    <row r="115" spans="1:30" x14ac:dyDescent="0.25">
      <c r="A115" s="46"/>
      <c r="B115" s="106"/>
      <c r="C115" s="101"/>
      <c r="D115" s="104"/>
      <c r="E115" s="31"/>
      <c r="F115" s="102">
        <f t="shared" si="204"/>
        <v>600</v>
      </c>
      <c r="G115" s="32">
        <f t="shared" si="205"/>
        <v>2.1204266666666332</v>
      </c>
      <c r="H115" s="31">
        <f t="shared" si="206"/>
        <v>1272.2559999999798</v>
      </c>
      <c r="I115" s="31">
        <f t="shared" si="207"/>
        <v>-1272.2559999999798</v>
      </c>
      <c r="J115" s="108">
        <f t="shared" si="208"/>
        <v>-1</v>
      </c>
      <c r="K115" s="31">
        <f t="shared" si="209"/>
        <v>0</v>
      </c>
      <c r="L115" s="31">
        <f t="shared" si="210"/>
        <v>-5</v>
      </c>
      <c r="M115" s="31">
        <f t="shared" si="211"/>
        <v>5</v>
      </c>
      <c r="N115" s="31">
        <f t="shared" si="212"/>
        <v>0</v>
      </c>
      <c r="O115" s="125"/>
      <c r="P115" s="32">
        <f t="shared" si="213"/>
        <v>-2.1204266666666332</v>
      </c>
      <c r="Q115" s="31">
        <f t="shared" si="214"/>
        <v>-5</v>
      </c>
      <c r="R115" s="34"/>
      <c r="S115" s="34">
        <f t="shared" si="215"/>
        <v>-538.78100000000268</v>
      </c>
      <c r="T115" s="34" t="e">
        <f t="shared" si="216"/>
        <v>#DIV/0!</v>
      </c>
      <c r="U115" s="34" t="e">
        <f t="shared" si="217"/>
        <v>#DIV/0!</v>
      </c>
      <c r="V115" s="31">
        <f t="shared" si="218"/>
        <v>733.47499999997717</v>
      </c>
      <c r="W115" s="32" t="e">
        <f t="shared" si="219"/>
        <v>#DIV/0!</v>
      </c>
      <c r="X115" s="32" t="e">
        <f t="shared" si="220"/>
        <v>#DIV/0!</v>
      </c>
      <c r="Y115" s="32" t="e">
        <f t="shared" si="221"/>
        <v>#DIV/0!</v>
      </c>
      <c r="Z115" s="38" t="e">
        <f t="shared" si="222"/>
        <v>#DIV/0!</v>
      </c>
      <c r="AA115" s="31">
        <f>SUM(L$2:L141)-SUM(AB$2:AB141)</f>
        <v>-1498.9659999999872</v>
      </c>
      <c r="AB115" s="128"/>
      <c r="AC115" s="69" t="e">
        <f t="shared" si="223"/>
        <v>#DIV/0!</v>
      </c>
      <c r="AD115" s="69" t="e">
        <f t="shared" si="224"/>
        <v>#DIV/0!</v>
      </c>
    </row>
    <row r="116" spans="1:30" x14ac:dyDescent="0.25">
      <c r="A116" s="46"/>
      <c r="B116" s="106"/>
      <c r="C116" s="101"/>
      <c r="D116" s="104"/>
      <c r="E116" s="31"/>
      <c r="F116" s="102">
        <f t="shared" si="204"/>
        <v>600</v>
      </c>
      <c r="G116" s="32">
        <f t="shared" si="205"/>
        <v>2.1287599999999665</v>
      </c>
      <c r="H116" s="31">
        <f t="shared" si="206"/>
        <v>1277.2559999999798</v>
      </c>
      <c r="I116" s="31">
        <f t="shared" si="207"/>
        <v>-1277.2559999999798</v>
      </c>
      <c r="J116" s="108">
        <f t="shared" si="208"/>
        <v>-1</v>
      </c>
      <c r="K116" s="31">
        <f t="shared" si="209"/>
        <v>0</v>
      </c>
      <c r="L116" s="31">
        <f t="shared" si="210"/>
        <v>-5</v>
      </c>
      <c r="M116" s="31">
        <f t="shared" si="211"/>
        <v>5</v>
      </c>
      <c r="N116" s="31">
        <f t="shared" si="212"/>
        <v>0</v>
      </c>
      <c r="O116" s="125"/>
      <c r="P116" s="32">
        <f t="shared" si="213"/>
        <v>-2.1287599999999665</v>
      </c>
      <c r="Q116" s="31">
        <f t="shared" si="214"/>
        <v>-5</v>
      </c>
      <c r="R116" s="34"/>
      <c r="S116" s="34">
        <f t="shared" si="215"/>
        <v>-543.78100000000268</v>
      </c>
      <c r="T116" s="34" t="e">
        <f t="shared" si="216"/>
        <v>#DIV/0!</v>
      </c>
      <c r="U116" s="34" t="e">
        <f t="shared" si="217"/>
        <v>#DIV/0!</v>
      </c>
      <c r="V116" s="31">
        <f t="shared" si="218"/>
        <v>733.47499999997717</v>
      </c>
      <c r="W116" s="32" t="e">
        <f t="shared" si="219"/>
        <v>#DIV/0!</v>
      </c>
      <c r="X116" s="32" t="e">
        <f t="shared" si="220"/>
        <v>#DIV/0!</v>
      </c>
      <c r="Y116" s="32" t="e">
        <f t="shared" si="221"/>
        <v>#DIV/0!</v>
      </c>
      <c r="Z116" s="38" t="e">
        <f t="shared" si="222"/>
        <v>#DIV/0!</v>
      </c>
      <c r="AA116" s="31">
        <f>SUM(L$2:L142)-SUM(AB$2:AB142)</f>
        <v>-1498.9659999999872</v>
      </c>
      <c r="AB116" s="128"/>
      <c r="AC116" s="69" t="e">
        <f t="shared" si="223"/>
        <v>#DIV/0!</v>
      </c>
      <c r="AD116" s="69" t="e">
        <f t="shared" si="224"/>
        <v>#DIV/0!</v>
      </c>
    </row>
  </sheetData>
  <phoneticPr fontId="16" type="noConversion"/>
  <conditionalFormatting sqref="I1">
    <cfRule type="top10" dxfId="357" priority="1" rank="10"/>
    <cfRule type="top10" dxfId="356" priority="2" rank="10"/>
  </conditionalFormatting>
  <conditionalFormatting sqref="Y1">
    <cfRule type="top10" dxfId="355" priority="3" bottom="1" rank="10"/>
  </conditionalFormatting>
  <dataValidations disablePrompts="1" count="1">
    <dataValidation type="list" allowBlank="1" showInputMessage="1" showErrorMessage="1" sqref="B5 C2:C14 C16:C116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L4643"/>
  <sheetViews>
    <sheetView workbookViewId="0">
      <pane xSplit="2" ySplit="1" topLeftCell="C4612" activePane="bottomRight" state="frozen"/>
      <selection pane="topRight"/>
      <selection pane="bottomLeft"/>
      <selection pane="bottomRight" activeCell="A4628" sqref="A4628:CV4643"/>
    </sheetView>
  </sheetViews>
  <sheetFormatPr defaultColWidth="9" defaultRowHeight="14.4" x14ac:dyDescent="0.25"/>
  <cols>
    <col min="1" max="1" width="11.6640625" customWidth="1"/>
    <col min="2" max="2" width="8.88671875" style="201" customWidth="1"/>
    <col min="3" max="5" width="8.88671875" customWidth="1"/>
    <col min="6" max="8" width="13.33203125" customWidth="1"/>
    <col min="9" max="9" width="15" style="309" bestFit="1" customWidth="1"/>
    <col min="10" max="10" width="11.33203125" customWidth="1"/>
    <col min="11" max="11" width="13" style="133" customWidth="1"/>
    <col min="12" max="12" width="14" style="181" customWidth="1"/>
    <col min="13" max="13" width="13.88671875" style="133" customWidth="1"/>
    <col min="14" max="14" width="13.88671875" style="73" customWidth="1"/>
    <col min="15" max="15" width="12.77734375" style="73" customWidth="1"/>
    <col min="16" max="16" width="6" style="182" customWidth="1"/>
    <col min="17" max="17" width="11.6640625" style="182" customWidth="1"/>
    <col min="18" max="18" width="8.88671875" style="46"/>
    <col min="19" max="19" width="4.88671875" style="46" customWidth="1"/>
    <col min="20" max="20" width="8.77734375" style="46" customWidth="1"/>
    <col min="21" max="21" width="9.88671875" style="46" customWidth="1"/>
    <col min="22" max="22" width="7" style="46" customWidth="1"/>
    <col min="23" max="23" width="7.33203125" style="46" customWidth="1"/>
    <col min="24" max="24" width="11.33203125" style="46" customWidth="1"/>
    <col min="25" max="25" width="12.109375" style="46" customWidth="1"/>
    <col min="26" max="26" width="11.33203125" style="46" customWidth="1"/>
    <col min="27" max="27" width="12.77734375" style="46" customWidth="1"/>
    <col min="28" max="60" width="8.88671875" style="46"/>
    <col min="64" max="64" width="9.6640625" customWidth="1"/>
  </cols>
  <sheetData>
    <row r="1" spans="1:64" s="180" customFormat="1" ht="39.6" customHeight="1" x14ac:dyDescent="0.25">
      <c r="A1" s="180" t="s">
        <v>3</v>
      </c>
      <c r="B1" s="311" t="s">
        <v>18</v>
      </c>
      <c r="C1" s="180" t="s">
        <v>46</v>
      </c>
      <c r="D1" s="180" t="s">
        <v>47</v>
      </c>
      <c r="E1" s="180" t="s">
        <v>99</v>
      </c>
      <c r="F1" s="180" t="s">
        <v>100</v>
      </c>
      <c r="G1" s="180" t="s">
        <v>7</v>
      </c>
      <c r="H1" s="180" t="s">
        <v>101</v>
      </c>
      <c r="I1" s="308" t="s">
        <v>102</v>
      </c>
      <c r="J1" s="180" t="s">
        <v>103</v>
      </c>
      <c r="K1" s="183" t="s">
        <v>104</v>
      </c>
      <c r="L1" s="184" t="s">
        <v>105</v>
      </c>
      <c r="M1" s="183" t="s">
        <v>49</v>
      </c>
      <c r="N1" s="185" t="s">
        <v>106</v>
      </c>
      <c r="O1" s="185" t="s">
        <v>50</v>
      </c>
      <c r="P1" s="186" t="s">
        <v>107</v>
      </c>
      <c r="Q1" s="186" t="s">
        <v>108</v>
      </c>
      <c r="R1" s="187" t="s">
        <v>109</v>
      </c>
      <c r="S1" s="187" t="s">
        <v>110</v>
      </c>
      <c r="T1" s="187" t="s">
        <v>111</v>
      </c>
      <c r="U1" s="187" t="s">
        <v>112</v>
      </c>
      <c r="V1" s="187" t="s">
        <v>113</v>
      </c>
      <c r="W1" s="187" t="s">
        <v>114</v>
      </c>
      <c r="X1" s="287" t="s">
        <v>115</v>
      </c>
      <c r="Y1" s="263" t="s">
        <v>51</v>
      </c>
      <c r="Z1" s="263" t="s">
        <v>52</v>
      </c>
      <c r="AA1" s="188" t="s">
        <v>53</v>
      </c>
      <c r="AB1" s="188" t="s">
        <v>54</v>
      </c>
      <c r="AC1" s="188" t="s">
        <v>55</v>
      </c>
      <c r="AD1" s="188" t="s">
        <v>56</v>
      </c>
      <c r="AE1" s="188" t="s">
        <v>57</v>
      </c>
      <c r="AF1" s="189" t="s">
        <v>28</v>
      </c>
      <c r="AG1" s="189" t="s">
        <v>29</v>
      </c>
      <c r="AH1" s="189" t="s">
        <v>30</v>
      </c>
      <c r="AI1" s="189" t="s">
        <v>31</v>
      </c>
      <c r="AJ1" s="189" t="s">
        <v>32</v>
      </c>
      <c r="AK1" s="189" t="s">
        <v>33</v>
      </c>
      <c r="AL1" s="189" t="s">
        <v>34</v>
      </c>
      <c r="AM1" s="189" t="s">
        <v>35</v>
      </c>
      <c r="AN1" s="189" t="s">
        <v>25</v>
      </c>
      <c r="AO1" s="189" t="s">
        <v>26</v>
      </c>
      <c r="AP1" s="189" t="s">
        <v>36</v>
      </c>
      <c r="AQ1" s="288" t="s">
        <v>27</v>
      </c>
      <c r="AR1" s="189" t="s">
        <v>37</v>
      </c>
      <c r="AS1" s="190" t="s">
        <v>38</v>
      </c>
      <c r="AT1" s="191" t="s">
        <v>39</v>
      </c>
      <c r="AU1" s="191" t="s">
        <v>40</v>
      </c>
      <c r="AV1" s="190" t="s">
        <v>41</v>
      </c>
      <c r="AW1" s="190" t="s">
        <v>42</v>
      </c>
      <c r="AX1" s="190" t="s">
        <v>43</v>
      </c>
      <c r="AY1" s="191" t="s">
        <v>44</v>
      </c>
      <c r="AZ1" s="190" t="s">
        <v>24</v>
      </c>
      <c r="BA1" s="190" t="s">
        <v>25</v>
      </c>
      <c r="BB1" s="190" t="s">
        <v>26</v>
      </c>
      <c r="BC1" s="191" t="s">
        <v>36</v>
      </c>
      <c r="BD1" s="288" t="s">
        <v>27</v>
      </c>
      <c r="BE1" s="190" t="s">
        <v>37</v>
      </c>
      <c r="BF1" s="180" t="s">
        <v>116</v>
      </c>
      <c r="BG1" s="180" t="s">
        <v>117</v>
      </c>
      <c r="BH1" s="180" t="s">
        <v>118</v>
      </c>
      <c r="BI1" s="180" t="s">
        <v>119</v>
      </c>
      <c r="BJ1" s="180" t="s">
        <v>120</v>
      </c>
      <c r="BK1" s="180" t="s">
        <v>121</v>
      </c>
      <c r="BL1" s="180" t="s">
        <v>122</v>
      </c>
    </row>
    <row r="2" spans="1:64" x14ac:dyDescent="0.25">
      <c r="A2" s="136">
        <v>42748</v>
      </c>
      <c r="C2" t="s">
        <v>123</v>
      </c>
      <c r="E2">
        <v>729</v>
      </c>
      <c r="F2">
        <v>-0.68200000000000005</v>
      </c>
      <c r="G2">
        <v>504.46800000000002</v>
      </c>
      <c r="H2">
        <v>0</v>
      </c>
      <c r="I2" s="309">
        <v>7.29</v>
      </c>
      <c r="J2">
        <v>0.01</v>
      </c>
      <c r="K2" s="133">
        <f t="shared" ref="K2:K65" si="0">I2/SUMIF(A:A,A2,I:I)</f>
        <v>2.8272381788382114E-5</v>
      </c>
    </row>
    <row r="3" spans="1:64" x14ac:dyDescent="0.25">
      <c r="A3" s="136">
        <v>42748</v>
      </c>
      <c r="B3" s="201" t="s">
        <v>124</v>
      </c>
      <c r="C3" t="s">
        <v>125</v>
      </c>
      <c r="D3">
        <v>2300</v>
      </c>
      <c r="E3">
        <v>2300</v>
      </c>
      <c r="F3">
        <v>2.718</v>
      </c>
      <c r="G3">
        <v>4052.38</v>
      </c>
      <c r="H3">
        <v>64.83</v>
      </c>
      <c r="I3" s="309">
        <v>10304</v>
      </c>
      <c r="J3">
        <v>4.4800000000000004</v>
      </c>
      <c r="K3" s="133">
        <f t="shared" si="0"/>
        <v>3.9961402187584268E-2</v>
      </c>
    </row>
    <row r="4" spans="1:64" x14ac:dyDescent="0.25">
      <c r="A4" s="136">
        <v>42748</v>
      </c>
      <c r="B4" s="201" t="s">
        <v>71</v>
      </c>
      <c r="C4" t="s">
        <v>126</v>
      </c>
      <c r="D4">
        <v>100</v>
      </c>
      <c r="E4">
        <v>100</v>
      </c>
      <c r="F4">
        <v>-0.47299999999999998</v>
      </c>
      <c r="G4">
        <v>724.3</v>
      </c>
      <c r="H4">
        <v>0</v>
      </c>
      <c r="I4" s="309">
        <v>677</v>
      </c>
      <c r="J4">
        <v>6.77</v>
      </c>
      <c r="K4" s="133">
        <f t="shared" si="0"/>
        <v>2.6255696118977628E-3</v>
      </c>
    </row>
    <row r="5" spans="1:64" x14ac:dyDescent="0.25">
      <c r="A5" s="136">
        <v>42748</v>
      </c>
      <c r="B5" s="201" t="s">
        <v>65</v>
      </c>
      <c r="C5" t="s">
        <v>127</v>
      </c>
      <c r="D5">
        <v>100</v>
      </c>
      <c r="E5" s="136">
        <v>1</v>
      </c>
      <c r="F5">
        <v>-21.887</v>
      </c>
      <c r="G5">
        <v>3198.7</v>
      </c>
      <c r="H5">
        <v>0</v>
      </c>
      <c r="I5" s="309">
        <v>1010</v>
      </c>
      <c r="J5">
        <v>10.1</v>
      </c>
      <c r="K5" s="133">
        <f t="shared" si="0"/>
        <v>3.9170240886510204E-3</v>
      </c>
    </row>
    <row r="6" spans="1:64" x14ac:dyDescent="0.25">
      <c r="A6" s="136">
        <v>42748</v>
      </c>
      <c r="B6" s="201" t="s">
        <v>77</v>
      </c>
      <c r="C6" t="s">
        <v>128</v>
      </c>
      <c r="D6">
        <v>3100</v>
      </c>
      <c r="E6">
        <v>2100</v>
      </c>
      <c r="F6">
        <v>6.702</v>
      </c>
      <c r="G6">
        <v>148.87</v>
      </c>
      <c r="H6">
        <v>0.72</v>
      </c>
      <c r="I6" s="309">
        <v>20925</v>
      </c>
      <c r="J6">
        <v>6.75</v>
      </c>
      <c r="K6" s="133">
        <f t="shared" si="0"/>
        <v>8.115220698517088E-2</v>
      </c>
    </row>
    <row r="7" spans="1:64" x14ac:dyDescent="0.25">
      <c r="A7" s="136">
        <v>42748</v>
      </c>
      <c r="B7" s="201" t="s">
        <v>67</v>
      </c>
      <c r="C7" t="s">
        <v>129</v>
      </c>
      <c r="D7">
        <v>20600</v>
      </c>
      <c r="E7">
        <v>20100</v>
      </c>
      <c r="F7">
        <v>9.1359999999999992</v>
      </c>
      <c r="G7">
        <v>-34103.57</v>
      </c>
      <c r="H7">
        <v>-18.13</v>
      </c>
      <c r="I7" s="309">
        <v>154088</v>
      </c>
      <c r="J7">
        <v>7.48</v>
      </c>
      <c r="K7" s="133">
        <f t="shared" si="0"/>
        <v>0.59759050274461223</v>
      </c>
    </row>
    <row r="8" spans="1:64" x14ac:dyDescent="0.25">
      <c r="A8" s="136">
        <v>42748</v>
      </c>
      <c r="B8" s="201" t="s">
        <v>72</v>
      </c>
      <c r="C8" t="s">
        <v>130</v>
      </c>
      <c r="D8">
        <v>100</v>
      </c>
      <c r="E8">
        <v>100</v>
      </c>
      <c r="F8">
        <v>10</v>
      </c>
      <c r="G8">
        <v>88</v>
      </c>
      <c r="H8">
        <v>8.8000000000000007</v>
      </c>
      <c r="I8" s="309">
        <v>1088</v>
      </c>
      <c r="J8">
        <v>10.88</v>
      </c>
      <c r="K8" s="133">
        <f t="shared" si="0"/>
        <v>4.2195269390616925E-3</v>
      </c>
    </row>
    <row r="9" spans="1:64" x14ac:dyDescent="0.25">
      <c r="A9" s="136">
        <v>42748</v>
      </c>
      <c r="B9" s="201" t="s">
        <v>70</v>
      </c>
      <c r="C9" t="s">
        <v>131</v>
      </c>
      <c r="D9">
        <v>3500</v>
      </c>
      <c r="E9">
        <v>2500</v>
      </c>
      <c r="F9">
        <v>14.52</v>
      </c>
      <c r="G9">
        <v>1959.77</v>
      </c>
      <c r="H9">
        <v>3.86</v>
      </c>
      <c r="I9" s="309">
        <v>52780</v>
      </c>
      <c r="J9">
        <v>15.08</v>
      </c>
      <c r="K9" s="133">
        <f t="shared" si="0"/>
        <v>0.20469359544455529</v>
      </c>
    </row>
    <row r="10" spans="1:64" x14ac:dyDescent="0.25">
      <c r="A10" s="136">
        <v>42748</v>
      </c>
      <c r="B10" s="201" t="s">
        <v>835</v>
      </c>
      <c r="C10" t="s">
        <v>839</v>
      </c>
      <c r="I10" s="309">
        <v>16969.52</v>
      </c>
      <c r="K10" s="133">
        <f t="shared" si="0"/>
        <v>6.5811899616678479E-2</v>
      </c>
    </row>
    <row r="11" spans="1:64" x14ac:dyDescent="0.25">
      <c r="A11" s="136">
        <v>42751</v>
      </c>
      <c r="B11" s="201" t="s">
        <v>132</v>
      </c>
      <c r="C11" t="s">
        <v>123</v>
      </c>
      <c r="D11">
        <v>729</v>
      </c>
      <c r="E11">
        <v>729</v>
      </c>
      <c r="F11">
        <v>-0.68200000000000005</v>
      </c>
      <c r="G11">
        <v>504.46800000000002</v>
      </c>
      <c r="H11">
        <v>0</v>
      </c>
      <c r="I11" s="309">
        <v>7.29</v>
      </c>
      <c r="J11">
        <v>0.01</v>
      </c>
      <c r="K11" s="133">
        <f t="shared" si="0"/>
        <v>2.5355744750917366E-5</v>
      </c>
    </row>
    <row r="12" spans="1:64" x14ac:dyDescent="0.25">
      <c r="A12" s="136">
        <v>42751</v>
      </c>
      <c r="B12" s="201" t="s">
        <v>124</v>
      </c>
      <c r="C12" t="s">
        <v>125</v>
      </c>
      <c r="D12">
        <v>2300</v>
      </c>
      <c r="E12">
        <v>2300</v>
      </c>
      <c r="F12">
        <v>2.718</v>
      </c>
      <c r="G12">
        <v>4167.38</v>
      </c>
      <c r="H12">
        <v>66.67</v>
      </c>
      <c r="I12" s="309">
        <v>10419</v>
      </c>
      <c r="J12">
        <v>4.53</v>
      </c>
      <c r="K12" s="133">
        <f t="shared" si="0"/>
        <v>3.6238889514376961E-2</v>
      </c>
      <c r="L12" s="181">
        <v>115</v>
      </c>
    </row>
    <row r="13" spans="1:64" x14ac:dyDescent="0.25">
      <c r="A13" s="136">
        <v>42751</v>
      </c>
      <c r="B13" s="201" t="s">
        <v>71</v>
      </c>
      <c r="C13" t="s">
        <v>126</v>
      </c>
      <c r="D13">
        <v>100</v>
      </c>
      <c r="E13">
        <v>100</v>
      </c>
      <c r="F13">
        <v>-0.47299999999999998</v>
      </c>
      <c r="G13">
        <v>729.3</v>
      </c>
      <c r="H13">
        <v>0</v>
      </c>
      <c r="I13" s="309">
        <v>682</v>
      </c>
      <c r="J13">
        <v>6.82</v>
      </c>
      <c r="K13" s="133">
        <f t="shared" si="0"/>
        <v>2.3721012236111996E-3</v>
      </c>
      <c r="L13" s="181">
        <v>5</v>
      </c>
    </row>
    <row r="14" spans="1:64" x14ac:dyDescent="0.25">
      <c r="A14" s="136">
        <v>42751</v>
      </c>
      <c r="B14" s="201" t="s">
        <v>65</v>
      </c>
      <c r="C14" t="s">
        <v>127</v>
      </c>
      <c r="D14">
        <v>600</v>
      </c>
      <c r="E14">
        <v>600</v>
      </c>
      <c r="F14">
        <v>4.5270000000000001</v>
      </c>
      <c r="G14">
        <v>3247.74</v>
      </c>
      <c r="H14">
        <v>119.57</v>
      </c>
      <c r="I14" s="309">
        <v>5964</v>
      </c>
      <c r="J14">
        <v>9.94</v>
      </c>
      <c r="K14" s="133">
        <f t="shared" si="0"/>
        <v>2.0743712166594125E-2</v>
      </c>
      <c r="L14" s="181">
        <v>49.04</v>
      </c>
    </row>
    <row r="15" spans="1:64" x14ac:dyDescent="0.25">
      <c r="A15" s="136">
        <v>42751</v>
      </c>
      <c r="B15" s="201" t="s">
        <v>77</v>
      </c>
      <c r="C15" t="s">
        <v>128</v>
      </c>
      <c r="D15">
        <v>2600</v>
      </c>
      <c r="E15">
        <v>2600</v>
      </c>
      <c r="F15">
        <v>6.6420000000000003</v>
      </c>
      <c r="G15">
        <v>542</v>
      </c>
      <c r="H15">
        <v>3.13</v>
      </c>
      <c r="I15" s="309">
        <v>17810</v>
      </c>
      <c r="J15">
        <v>6.85</v>
      </c>
      <c r="K15" s="133">
        <f t="shared" si="0"/>
        <v>6.1945927848263145E-2</v>
      </c>
      <c r="L15" s="181">
        <v>393.13</v>
      </c>
    </row>
    <row r="16" spans="1:64" x14ac:dyDescent="0.25">
      <c r="A16" s="136">
        <v>42751</v>
      </c>
      <c r="B16" s="201" t="s">
        <v>67</v>
      </c>
      <c r="C16" t="s">
        <v>129</v>
      </c>
      <c r="D16">
        <v>20100</v>
      </c>
      <c r="E16">
        <v>20100</v>
      </c>
      <c r="F16">
        <v>9.17</v>
      </c>
      <c r="G16">
        <v>-31145.83</v>
      </c>
      <c r="H16">
        <v>-16.899999999999999</v>
      </c>
      <c r="I16" s="309">
        <v>153162</v>
      </c>
      <c r="J16">
        <v>7.62</v>
      </c>
      <c r="K16" s="133">
        <f t="shared" si="0"/>
        <v>0.53272106687791576</v>
      </c>
      <c r="L16" s="181">
        <v>2957.74</v>
      </c>
    </row>
    <row r="17" spans="1:12" x14ac:dyDescent="0.25">
      <c r="A17" s="136">
        <v>42751</v>
      </c>
      <c r="B17" s="201" t="s">
        <v>72</v>
      </c>
      <c r="C17" t="s">
        <v>130</v>
      </c>
      <c r="D17">
        <v>1100</v>
      </c>
      <c r="E17">
        <v>600</v>
      </c>
      <c r="F17">
        <v>9.5269999999999992</v>
      </c>
      <c r="G17">
        <v>-327</v>
      </c>
      <c r="H17">
        <v>-3.12</v>
      </c>
      <c r="I17" s="309">
        <v>10153</v>
      </c>
      <c r="J17">
        <v>9.23</v>
      </c>
      <c r="K17" s="133">
        <f t="shared" si="0"/>
        <v>3.531370047408286E-2</v>
      </c>
      <c r="L17" s="181">
        <v>-415</v>
      </c>
    </row>
    <row r="18" spans="1:12" x14ac:dyDescent="0.25">
      <c r="A18" s="136">
        <v>42751</v>
      </c>
      <c r="B18" s="201" t="s">
        <v>70</v>
      </c>
      <c r="C18" t="s">
        <v>131</v>
      </c>
      <c r="D18">
        <v>4800</v>
      </c>
      <c r="E18">
        <v>4300</v>
      </c>
      <c r="F18">
        <v>14.308999999999999</v>
      </c>
      <c r="G18">
        <v>-1484.92</v>
      </c>
      <c r="H18">
        <v>-2.16</v>
      </c>
      <c r="I18" s="309">
        <v>67200</v>
      </c>
      <c r="J18">
        <v>14</v>
      </c>
      <c r="K18" s="133">
        <f t="shared" si="0"/>
        <v>0.23373196807429999</v>
      </c>
      <c r="L18" s="181">
        <v>-3444.69</v>
      </c>
    </row>
    <row r="19" spans="1:12" x14ac:dyDescent="0.25">
      <c r="A19" s="136">
        <v>42751</v>
      </c>
      <c r="B19" s="201" t="s">
        <v>835</v>
      </c>
      <c r="C19" t="s">
        <v>839</v>
      </c>
      <c r="H19">
        <v>0</v>
      </c>
      <c r="I19" s="309">
        <v>22111.52</v>
      </c>
      <c r="J19">
        <v>1</v>
      </c>
      <c r="K19" s="133">
        <f t="shared" si="0"/>
        <v>7.6907278076104854E-2</v>
      </c>
      <c r="L19" s="181">
        <v>0</v>
      </c>
    </row>
    <row r="20" spans="1:12" x14ac:dyDescent="0.25">
      <c r="A20" s="136">
        <v>42755</v>
      </c>
      <c r="B20" s="201" t="s">
        <v>132</v>
      </c>
      <c r="C20" t="s">
        <v>123</v>
      </c>
      <c r="D20">
        <v>729</v>
      </c>
      <c r="E20">
        <v>729</v>
      </c>
      <c r="F20">
        <v>-0.68200000000000005</v>
      </c>
      <c r="G20">
        <v>504.46800000000002</v>
      </c>
      <c r="H20">
        <v>0</v>
      </c>
      <c r="I20" s="309">
        <v>7.29</v>
      </c>
      <c r="J20">
        <v>0.01</v>
      </c>
      <c r="K20" s="133">
        <f t="shared" si="0"/>
        <v>2.5007672964678151E-5</v>
      </c>
      <c r="L20" s="181">
        <v>0</v>
      </c>
    </row>
    <row r="21" spans="1:12" x14ac:dyDescent="0.25">
      <c r="A21" s="136">
        <v>42755</v>
      </c>
      <c r="B21" s="201" t="s">
        <v>124</v>
      </c>
      <c r="C21" t="s">
        <v>125</v>
      </c>
      <c r="D21">
        <v>2300</v>
      </c>
      <c r="E21">
        <v>2300</v>
      </c>
      <c r="F21">
        <v>2.718</v>
      </c>
      <c r="G21">
        <v>4144.38</v>
      </c>
      <c r="H21">
        <v>66.3</v>
      </c>
      <c r="I21" s="309">
        <v>10396</v>
      </c>
      <c r="J21">
        <v>4.5199999999999996</v>
      </c>
      <c r="K21" s="133">
        <f t="shared" si="0"/>
        <v>3.5662519635225522E-2</v>
      </c>
      <c r="L21" s="181">
        <v>-23</v>
      </c>
    </row>
    <row r="22" spans="1:12" x14ac:dyDescent="0.25">
      <c r="A22" s="136">
        <v>42755</v>
      </c>
      <c r="B22" s="201" t="s">
        <v>71</v>
      </c>
      <c r="C22" t="s">
        <v>126</v>
      </c>
      <c r="D22">
        <v>100</v>
      </c>
      <c r="E22">
        <v>100</v>
      </c>
      <c r="F22">
        <v>-0.47299999999999998</v>
      </c>
      <c r="G22">
        <v>739.3</v>
      </c>
      <c r="H22">
        <v>0</v>
      </c>
      <c r="I22" s="309">
        <v>692</v>
      </c>
      <c r="J22">
        <v>6.92</v>
      </c>
      <c r="K22" s="133">
        <f t="shared" si="0"/>
        <v>2.3738422073466777E-3</v>
      </c>
      <c r="L22" s="181">
        <v>10</v>
      </c>
    </row>
    <row r="23" spans="1:12" x14ac:dyDescent="0.25">
      <c r="A23" s="136">
        <v>42755</v>
      </c>
      <c r="B23" s="201" t="s">
        <v>65</v>
      </c>
      <c r="C23" t="s">
        <v>127</v>
      </c>
      <c r="D23">
        <v>200</v>
      </c>
      <c r="E23">
        <v>200</v>
      </c>
      <c r="F23">
        <v>-6.4139999999999997</v>
      </c>
      <c r="G23">
        <v>3340.8</v>
      </c>
      <c r="H23">
        <v>0</v>
      </c>
      <c r="I23" s="309">
        <v>2058</v>
      </c>
      <c r="J23">
        <v>10.29</v>
      </c>
      <c r="K23" s="133">
        <f t="shared" si="0"/>
        <v>7.0597792813865074E-3</v>
      </c>
      <c r="L23" s="181">
        <v>93.0600000000004</v>
      </c>
    </row>
    <row r="24" spans="1:12" x14ac:dyDescent="0.25">
      <c r="A24" s="136">
        <v>42755</v>
      </c>
      <c r="B24" s="201" t="s">
        <v>77</v>
      </c>
      <c r="C24" t="s">
        <v>128</v>
      </c>
      <c r="D24">
        <v>2100</v>
      </c>
      <c r="E24">
        <v>2100</v>
      </c>
      <c r="F24">
        <v>6.5720000000000001</v>
      </c>
      <c r="G24">
        <v>772.52</v>
      </c>
      <c r="H24">
        <v>5.6</v>
      </c>
      <c r="I24" s="309">
        <v>14574</v>
      </c>
      <c r="J24">
        <v>6.94</v>
      </c>
      <c r="K24" s="133">
        <f t="shared" si="0"/>
        <v>4.9994763482471796E-2</v>
      </c>
      <c r="L24" s="181">
        <v>230.52</v>
      </c>
    </row>
    <row r="25" spans="1:12" x14ac:dyDescent="0.25">
      <c r="A25" s="136">
        <v>42755</v>
      </c>
      <c r="B25" s="201" t="s">
        <v>67</v>
      </c>
      <c r="C25" t="s">
        <v>129</v>
      </c>
      <c r="D25">
        <v>19600</v>
      </c>
      <c r="E25">
        <v>19600</v>
      </c>
      <c r="F25">
        <v>9.2059999999999995</v>
      </c>
      <c r="G25">
        <v>-27566.7</v>
      </c>
      <c r="H25">
        <v>-15.27</v>
      </c>
      <c r="I25" s="309">
        <v>152880</v>
      </c>
      <c r="J25">
        <v>7.8</v>
      </c>
      <c r="K25" s="133">
        <f t="shared" si="0"/>
        <v>0.52444074661728335</v>
      </c>
      <c r="L25" s="181">
        <v>3579.13</v>
      </c>
    </row>
    <row r="26" spans="1:12" x14ac:dyDescent="0.25">
      <c r="A26" s="136">
        <v>42755</v>
      </c>
      <c r="B26" s="201" t="s">
        <v>72</v>
      </c>
      <c r="C26" t="s">
        <v>130</v>
      </c>
      <c r="D26">
        <v>1100</v>
      </c>
      <c r="E26">
        <v>600</v>
      </c>
      <c r="F26">
        <v>9.5269999999999992</v>
      </c>
      <c r="G26">
        <v>-228</v>
      </c>
      <c r="H26">
        <v>-2.17</v>
      </c>
      <c r="I26" s="309">
        <v>10252</v>
      </c>
      <c r="J26">
        <v>9.32</v>
      </c>
      <c r="K26" s="133">
        <f t="shared" si="0"/>
        <v>3.5168540909997312E-2</v>
      </c>
      <c r="L26" s="181">
        <v>99</v>
      </c>
    </row>
    <row r="27" spans="1:12" x14ac:dyDescent="0.25">
      <c r="A27" s="136">
        <v>42755</v>
      </c>
      <c r="B27" s="201" t="s">
        <v>70</v>
      </c>
      <c r="C27" t="s">
        <v>131</v>
      </c>
      <c r="D27">
        <v>5400</v>
      </c>
      <c r="E27">
        <v>5000</v>
      </c>
      <c r="F27">
        <v>14.223000000000001</v>
      </c>
      <c r="G27">
        <v>-1476.71</v>
      </c>
      <c r="H27">
        <v>-1.92</v>
      </c>
      <c r="I27" s="309">
        <v>75330</v>
      </c>
      <c r="J27">
        <v>13.95</v>
      </c>
      <c r="K27" s="133">
        <f t="shared" si="0"/>
        <v>0.25841262063500758</v>
      </c>
      <c r="L27" s="181">
        <v>8.2100000000000399</v>
      </c>
    </row>
    <row r="28" spans="1:12" x14ac:dyDescent="0.25">
      <c r="A28" s="136">
        <v>42755</v>
      </c>
      <c r="B28" s="201" t="s">
        <v>835</v>
      </c>
      <c r="C28" t="s">
        <v>839</v>
      </c>
      <c r="I28" s="309">
        <v>25321.24</v>
      </c>
      <c r="K28" s="133">
        <f t="shared" si="0"/>
        <v>8.686217955831646E-2</v>
      </c>
      <c r="L28" s="181">
        <v>0</v>
      </c>
    </row>
    <row r="29" spans="1:12" x14ac:dyDescent="0.25">
      <c r="A29" s="136">
        <v>42759</v>
      </c>
      <c r="B29" s="201" t="s">
        <v>132</v>
      </c>
      <c r="C29" t="s">
        <v>123</v>
      </c>
      <c r="D29">
        <v>729</v>
      </c>
      <c r="E29">
        <v>729</v>
      </c>
      <c r="F29">
        <v>-0.68200000000000005</v>
      </c>
      <c r="G29">
        <v>504.46800000000002</v>
      </c>
      <c r="H29">
        <v>0</v>
      </c>
      <c r="I29" s="309">
        <v>7.29</v>
      </c>
      <c r="J29">
        <v>0.01</v>
      </c>
      <c r="K29" s="133">
        <f t="shared" si="0"/>
        <v>2.7399836683442584E-5</v>
      </c>
      <c r="L29" s="181">
        <v>0</v>
      </c>
    </row>
    <row r="30" spans="1:12" x14ac:dyDescent="0.25">
      <c r="A30" s="136">
        <v>42759</v>
      </c>
      <c r="B30" s="201" t="s">
        <v>124</v>
      </c>
      <c r="C30" t="s">
        <v>125</v>
      </c>
      <c r="D30">
        <v>2300</v>
      </c>
      <c r="E30">
        <v>2300</v>
      </c>
      <c r="F30">
        <v>2.718</v>
      </c>
      <c r="G30">
        <v>4213.38</v>
      </c>
      <c r="H30">
        <v>67.400000000000006</v>
      </c>
      <c r="I30" s="309">
        <v>10465</v>
      </c>
      <c r="J30">
        <v>4.55</v>
      </c>
      <c r="K30" s="133">
        <f t="shared" si="0"/>
        <v>3.9333236062033837E-2</v>
      </c>
      <c r="L30" s="181">
        <v>69</v>
      </c>
    </row>
    <row r="31" spans="1:12" x14ac:dyDescent="0.25">
      <c r="A31" s="136">
        <v>42759</v>
      </c>
      <c r="B31" s="201" t="s">
        <v>71</v>
      </c>
      <c r="C31" t="s">
        <v>126</v>
      </c>
      <c r="D31">
        <v>100</v>
      </c>
      <c r="E31">
        <v>100</v>
      </c>
      <c r="F31">
        <v>-0.47299999999999998</v>
      </c>
      <c r="G31">
        <v>740.3</v>
      </c>
      <c r="H31">
        <v>0</v>
      </c>
      <c r="I31" s="309">
        <v>693</v>
      </c>
      <c r="J31">
        <v>6.93</v>
      </c>
      <c r="K31" s="133">
        <f t="shared" si="0"/>
        <v>2.6046758328704678E-3</v>
      </c>
      <c r="L31" s="181">
        <v>1</v>
      </c>
    </row>
    <row r="32" spans="1:12" x14ac:dyDescent="0.25">
      <c r="A32" s="136">
        <v>42759</v>
      </c>
      <c r="B32" s="201" t="s">
        <v>65</v>
      </c>
      <c r="C32" t="s">
        <v>127</v>
      </c>
      <c r="D32">
        <v>200</v>
      </c>
      <c r="E32">
        <v>200</v>
      </c>
      <c r="F32">
        <v>-6.4139999999999997</v>
      </c>
      <c r="G32">
        <v>3340.8</v>
      </c>
      <c r="H32">
        <v>0</v>
      </c>
      <c r="I32" s="309">
        <v>2058</v>
      </c>
      <c r="J32">
        <v>10.29</v>
      </c>
      <c r="K32" s="133">
        <f t="shared" si="0"/>
        <v>7.7350979279183591E-3</v>
      </c>
      <c r="L32" s="181">
        <v>0</v>
      </c>
    </row>
    <row r="33" spans="1:12" x14ac:dyDescent="0.25">
      <c r="A33" s="136">
        <v>42759</v>
      </c>
      <c r="B33" s="201" t="s">
        <v>77</v>
      </c>
      <c r="C33" t="s">
        <v>128</v>
      </c>
      <c r="D33">
        <v>1600</v>
      </c>
      <c r="E33">
        <v>1600</v>
      </c>
      <c r="F33">
        <v>6.4279999999999999</v>
      </c>
      <c r="G33">
        <v>866.99</v>
      </c>
      <c r="H33">
        <v>8.43</v>
      </c>
      <c r="I33" s="309">
        <v>11152</v>
      </c>
      <c r="J33">
        <v>6.97</v>
      </c>
      <c r="K33" s="133">
        <f t="shared" si="0"/>
        <v>4.1915360588992007E-2</v>
      </c>
      <c r="L33" s="181">
        <v>94.47</v>
      </c>
    </row>
    <row r="34" spans="1:12" x14ac:dyDescent="0.25">
      <c r="A34" s="136">
        <v>42759</v>
      </c>
      <c r="B34" s="201" t="s">
        <v>67</v>
      </c>
      <c r="C34" t="s">
        <v>129</v>
      </c>
      <c r="D34">
        <v>18100</v>
      </c>
      <c r="E34">
        <v>17100</v>
      </c>
      <c r="F34">
        <v>9.3049999999999997</v>
      </c>
      <c r="G34">
        <v>-23611.74</v>
      </c>
      <c r="H34">
        <v>-14.02</v>
      </c>
      <c r="I34" s="309">
        <v>144800</v>
      </c>
      <c r="J34">
        <v>8</v>
      </c>
      <c r="K34" s="133">
        <f t="shared" si="0"/>
        <v>0.54423818268346869</v>
      </c>
      <c r="L34" s="181">
        <v>3954.96</v>
      </c>
    </row>
    <row r="35" spans="1:12" x14ac:dyDescent="0.25">
      <c r="A35" s="136">
        <v>42759</v>
      </c>
      <c r="B35" s="201" t="s">
        <v>72</v>
      </c>
      <c r="C35" t="s">
        <v>130</v>
      </c>
      <c r="D35">
        <v>600</v>
      </c>
      <c r="E35">
        <v>100</v>
      </c>
      <c r="F35">
        <v>9.3079999999999998</v>
      </c>
      <c r="G35">
        <v>55.36</v>
      </c>
      <c r="H35">
        <v>0.99</v>
      </c>
      <c r="I35" s="309">
        <v>5640</v>
      </c>
      <c r="J35">
        <v>9.4</v>
      </c>
      <c r="K35" s="133">
        <f t="shared" si="0"/>
        <v>2.1198227557560519E-2</v>
      </c>
      <c r="L35" s="181">
        <v>283.36</v>
      </c>
    </row>
    <row r="36" spans="1:12" x14ac:dyDescent="0.25">
      <c r="A36" s="136">
        <v>42759</v>
      </c>
      <c r="B36" s="201" t="s">
        <v>70</v>
      </c>
      <c r="C36" t="s">
        <v>131</v>
      </c>
      <c r="D36">
        <v>5000</v>
      </c>
      <c r="E36">
        <v>5000</v>
      </c>
      <c r="F36">
        <v>14.234999999999999</v>
      </c>
      <c r="G36">
        <v>-1277.3499999999999</v>
      </c>
      <c r="H36">
        <v>-1.79</v>
      </c>
      <c r="I36" s="309">
        <v>69900</v>
      </c>
      <c r="J36">
        <v>13.98</v>
      </c>
      <c r="K36" s="133">
        <f t="shared" si="0"/>
        <v>0.26272271387827661</v>
      </c>
      <c r="L36" s="181">
        <v>199.36</v>
      </c>
    </row>
    <row r="37" spans="1:12" x14ac:dyDescent="0.25">
      <c r="A37" s="136">
        <v>42759</v>
      </c>
      <c r="B37" s="201" t="s">
        <v>835</v>
      </c>
      <c r="C37" t="s">
        <v>839</v>
      </c>
      <c r="I37" s="309">
        <v>21344.69</v>
      </c>
      <c r="K37" s="133">
        <f t="shared" si="0"/>
        <v>8.0225105632196175E-2</v>
      </c>
      <c r="L37" s="181">
        <v>0</v>
      </c>
    </row>
    <row r="38" spans="1:12" x14ac:dyDescent="0.25">
      <c r="A38" s="136">
        <v>42773</v>
      </c>
      <c r="B38" s="201" t="s">
        <v>132</v>
      </c>
      <c r="C38" t="s">
        <v>123</v>
      </c>
      <c r="D38">
        <v>730</v>
      </c>
      <c r="E38">
        <v>730</v>
      </c>
      <c r="F38">
        <v>-0.68100000000000005</v>
      </c>
      <c r="G38">
        <v>504.43</v>
      </c>
      <c r="H38">
        <v>0</v>
      </c>
      <c r="I38" s="309">
        <v>7.3</v>
      </c>
      <c r="J38">
        <v>0.01</v>
      </c>
      <c r="K38" s="133">
        <f t="shared" si="0"/>
        <v>2.9301396897937377E-5</v>
      </c>
      <c r="L38" s="181">
        <v>-3.80000000000109E-2</v>
      </c>
    </row>
    <row r="39" spans="1:12" x14ac:dyDescent="0.25">
      <c r="A39" s="136">
        <v>42773</v>
      </c>
      <c r="B39" s="201" t="s">
        <v>124</v>
      </c>
      <c r="C39" t="s">
        <v>125</v>
      </c>
      <c r="D39">
        <v>2300</v>
      </c>
      <c r="E39">
        <v>2300</v>
      </c>
      <c r="F39">
        <v>2.718</v>
      </c>
      <c r="G39">
        <v>4213.38</v>
      </c>
      <c r="H39">
        <v>67.400000000000006</v>
      </c>
      <c r="I39" s="309">
        <v>10465</v>
      </c>
      <c r="J39">
        <v>4.55</v>
      </c>
      <c r="K39" s="133">
        <f t="shared" si="0"/>
        <v>4.2005358703686942E-2</v>
      </c>
      <c r="L39" s="181">
        <v>0</v>
      </c>
    </row>
    <row r="40" spans="1:12" x14ac:dyDescent="0.25">
      <c r="A40" s="136">
        <v>42773</v>
      </c>
      <c r="B40" s="201" t="s">
        <v>71</v>
      </c>
      <c r="C40" t="s">
        <v>126</v>
      </c>
      <c r="D40">
        <v>100</v>
      </c>
      <c r="E40">
        <v>100</v>
      </c>
      <c r="F40">
        <v>-0.47299999999999998</v>
      </c>
      <c r="G40">
        <v>727.3</v>
      </c>
      <c r="H40">
        <v>0</v>
      </c>
      <c r="I40" s="309">
        <v>680</v>
      </c>
      <c r="J40">
        <v>6.8</v>
      </c>
      <c r="K40" s="133">
        <f t="shared" si="0"/>
        <v>2.7294451904927969E-3</v>
      </c>
      <c r="L40" s="181">
        <v>-13</v>
      </c>
    </row>
    <row r="41" spans="1:12" x14ac:dyDescent="0.25">
      <c r="A41" s="136">
        <v>42773</v>
      </c>
      <c r="B41" s="201" t="s">
        <v>65</v>
      </c>
      <c r="C41" t="s">
        <v>127</v>
      </c>
      <c r="D41">
        <v>200</v>
      </c>
      <c r="E41">
        <v>200</v>
      </c>
      <c r="F41">
        <v>-6.4139999999999997</v>
      </c>
      <c r="G41">
        <v>3414.8</v>
      </c>
      <c r="H41">
        <v>0</v>
      </c>
      <c r="I41" s="309">
        <v>2132</v>
      </c>
      <c r="J41">
        <v>10.66</v>
      </c>
      <c r="K41" s="133">
        <f t="shared" si="0"/>
        <v>8.5576134501921218E-3</v>
      </c>
      <c r="L41" s="181">
        <v>74</v>
      </c>
    </row>
    <row r="42" spans="1:12" x14ac:dyDescent="0.25">
      <c r="A42" s="136">
        <v>42773</v>
      </c>
      <c r="B42" s="201" t="s">
        <v>77</v>
      </c>
      <c r="C42" t="s">
        <v>128</v>
      </c>
      <c r="D42">
        <v>2100</v>
      </c>
      <c r="E42">
        <v>2100</v>
      </c>
      <c r="F42">
        <v>6.5519999999999996</v>
      </c>
      <c r="G42">
        <v>771.99</v>
      </c>
      <c r="H42">
        <v>5.62</v>
      </c>
      <c r="I42" s="309">
        <v>14532</v>
      </c>
      <c r="J42">
        <v>6.92</v>
      </c>
      <c r="K42" s="133">
        <f t="shared" si="0"/>
        <v>5.8329849276825475E-2</v>
      </c>
      <c r="L42" s="181">
        <v>-95</v>
      </c>
    </row>
    <row r="43" spans="1:12" x14ac:dyDescent="0.25">
      <c r="A43" s="136">
        <v>42773</v>
      </c>
      <c r="B43" s="201" t="s">
        <v>67</v>
      </c>
      <c r="C43" t="s">
        <v>129</v>
      </c>
      <c r="D43">
        <v>17100</v>
      </c>
      <c r="E43">
        <v>17100</v>
      </c>
      <c r="F43">
        <v>9.3699999999999992</v>
      </c>
      <c r="G43">
        <v>-21718.92</v>
      </c>
      <c r="H43">
        <v>-13.55</v>
      </c>
      <c r="I43" s="309">
        <v>138510</v>
      </c>
      <c r="J43">
        <v>8.1</v>
      </c>
      <c r="K43" s="133">
        <f t="shared" si="0"/>
        <v>0.55596390196346657</v>
      </c>
      <c r="L43" s="181">
        <v>1892.82</v>
      </c>
    </row>
    <row r="44" spans="1:12" x14ac:dyDescent="0.25">
      <c r="A44" s="136">
        <v>42773</v>
      </c>
      <c r="B44" s="201" t="s">
        <v>72</v>
      </c>
      <c r="C44" t="s">
        <v>130</v>
      </c>
      <c r="D44">
        <v>600</v>
      </c>
      <c r="E44">
        <v>600</v>
      </c>
      <c r="F44">
        <v>9.3079999999999998</v>
      </c>
      <c r="G44">
        <v>157.36000000000001</v>
      </c>
      <c r="H44">
        <v>2.82</v>
      </c>
      <c r="I44" s="309">
        <v>5742</v>
      </c>
      <c r="J44">
        <v>9.57</v>
      </c>
      <c r="K44" s="133">
        <f t="shared" si="0"/>
        <v>2.3047756299720057E-2</v>
      </c>
      <c r="L44" s="181">
        <v>102</v>
      </c>
    </row>
    <row r="45" spans="1:12" x14ac:dyDescent="0.25">
      <c r="A45" s="136">
        <v>42773</v>
      </c>
      <c r="B45" s="201" t="s">
        <v>70</v>
      </c>
      <c r="C45" t="s">
        <v>131</v>
      </c>
      <c r="D45">
        <v>4600</v>
      </c>
      <c r="E45">
        <v>4600</v>
      </c>
      <c r="F45">
        <v>14.164</v>
      </c>
      <c r="G45">
        <v>857.75</v>
      </c>
      <c r="H45">
        <v>1.31</v>
      </c>
      <c r="I45" s="309">
        <v>66010</v>
      </c>
      <c r="J45">
        <v>14.35</v>
      </c>
      <c r="K45" s="133">
        <f t="shared" si="0"/>
        <v>0.26495687797710221</v>
      </c>
      <c r="L45" s="181">
        <v>2135.1</v>
      </c>
    </row>
    <row r="46" spans="1:12" x14ac:dyDescent="0.25">
      <c r="A46" s="136">
        <v>42773</v>
      </c>
      <c r="B46" s="201" t="s">
        <v>835</v>
      </c>
      <c r="C46" t="s">
        <v>839</v>
      </c>
      <c r="I46" s="309">
        <v>11056.58</v>
      </c>
      <c r="K46" s="133">
        <f t="shared" si="0"/>
        <v>4.4379895741615952E-2</v>
      </c>
      <c r="L46" s="181">
        <v>0</v>
      </c>
    </row>
    <row r="47" spans="1:12" x14ac:dyDescent="0.25">
      <c r="A47" s="136">
        <v>42775</v>
      </c>
      <c r="B47" s="201" t="s">
        <v>132</v>
      </c>
      <c r="C47" t="s">
        <v>123</v>
      </c>
      <c r="D47">
        <v>5000730</v>
      </c>
      <c r="E47">
        <v>2500730</v>
      </c>
      <c r="F47">
        <v>0.01</v>
      </c>
      <c r="G47">
        <v>504.68</v>
      </c>
      <c r="H47">
        <v>0</v>
      </c>
      <c r="I47" s="309">
        <v>50007.3</v>
      </c>
      <c r="J47">
        <v>0.01</v>
      </c>
      <c r="K47" s="133">
        <f t="shared" si="0"/>
        <v>0.1807362619200302</v>
      </c>
      <c r="L47" s="181">
        <v>0.25</v>
      </c>
    </row>
    <row r="48" spans="1:12" x14ac:dyDescent="0.25">
      <c r="A48" s="136">
        <v>42775</v>
      </c>
      <c r="B48" s="201" t="s">
        <v>124</v>
      </c>
      <c r="C48" t="s">
        <v>125</v>
      </c>
      <c r="D48">
        <v>2300</v>
      </c>
      <c r="E48">
        <v>2300</v>
      </c>
      <c r="F48">
        <v>2.718</v>
      </c>
      <c r="G48">
        <v>4259.38</v>
      </c>
      <c r="H48">
        <v>68.14</v>
      </c>
      <c r="I48" s="309">
        <v>10511</v>
      </c>
      <c r="J48">
        <v>4.57</v>
      </c>
      <c r="K48" s="133">
        <f t="shared" si="0"/>
        <v>3.7988830611559457E-2</v>
      </c>
      <c r="L48" s="181">
        <v>46</v>
      </c>
    </row>
    <row r="49" spans="1:12" x14ac:dyDescent="0.25">
      <c r="A49" s="136">
        <v>42775</v>
      </c>
      <c r="B49" s="201" t="s">
        <v>71</v>
      </c>
      <c r="C49" t="s">
        <v>126</v>
      </c>
      <c r="D49">
        <v>600</v>
      </c>
      <c r="E49">
        <v>600</v>
      </c>
      <c r="F49">
        <v>5.5960000000000001</v>
      </c>
      <c r="G49">
        <v>752.27</v>
      </c>
      <c r="H49">
        <v>22.41</v>
      </c>
      <c r="I49" s="309">
        <v>4110</v>
      </c>
      <c r="J49">
        <v>6.85</v>
      </c>
      <c r="K49" s="133">
        <f t="shared" si="0"/>
        <v>1.4854351994435295E-2</v>
      </c>
      <c r="L49" s="181">
        <v>24.97</v>
      </c>
    </row>
    <row r="50" spans="1:12" x14ac:dyDescent="0.25">
      <c r="A50" s="136">
        <v>42775</v>
      </c>
      <c r="B50" s="201" t="s">
        <v>65</v>
      </c>
      <c r="C50" t="s">
        <v>127</v>
      </c>
      <c r="D50">
        <v>200</v>
      </c>
      <c r="E50">
        <v>200</v>
      </c>
      <c r="F50">
        <v>-6.4139999999999997</v>
      </c>
      <c r="G50">
        <v>3450.8</v>
      </c>
      <c r="H50">
        <v>0</v>
      </c>
      <c r="I50" s="309">
        <v>2168</v>
      </c>
      <c r="J50">
        <v>10.84</v>
      </c>
      <c r="K50" s="133">
        <f t="shared" si="0"/>
        <v>7.835580322125479E-3</v>
      </c>
      <c r="L50" s="181">
        <v>36</v>
      </c>
    </row>
    <row r="51" spans="1:12" x14ac:dyDescent="0.25">
      <c r="A51" s="136">
        <v>42775</v>
      </c>
      <c r="B51" s="201" t="s">
        <v>77</v>
      </c>
      <c r="C51" t="s">
        <v>128</v>
      </c>
      <c r="D51">
        <v>1100</v>
      </c>
      <c r="E51">
        <v>1100</v>
      </c>
      <c r="F51">
        <v>6.0970000000000004</v>
      </c>
      <c r="G51">
        <v>1102.92</v>
      </c>
      <c r="H51">
        <v>16.45</v>
      </c>
      <c r="I51" s="309">
        <v>7810</v>
      </c>
      <c r="J51">
        <v>7.1</v>
      </c>
      <c r="K51" s="133">
        <f t="shared" si="0"/>
        <v>2.8226882986992614E-2</v>
      </c>
      <c r="L51" s="181">
        <v>330.93</v>
      </c>
    </row>
    <row r="52" spans="1:12" x14ac:dyDescent="0.25">
      <c r="A52" s="136">
        <v>42775</v>
      </c>
      <c r="B52" s="201" t="s">
        <v>67</v>
      </c>
      <c r="C52" t="s">
        <v>129</v>
      </c>
      <c r="D52">
        <v>14100</v>
      </c>
      <c r="E52">
        <v>14100</v>
      </c>
      <c r="F52">
        <v>9.5830000000000002</v>
      </c>
      <c r="G52">
        <v>-15414.18</v>
      </c>
      <c r="H52">
        <v>-11.4</v>
      </c>
      <c r="I52" s="309">
        <v>119709</v>
      </c>
      <c r="J52">
        <v>8.49</v>
      </c>
      <c r="K52" s="133">
        <f t="shared" si="0"/>
        <v>0.43265197637514713</v>
      </c>
      <c r="L52" s="181">
        <v>6304.74</v>
      </c>
    </row>
    <row r="53" spans="1:12" x14ac:dyDescent="0.25">
      <c r="A53" s="136">
        <v>42775</v>
      </c>
      <c r="B53" s="201" t="s">
        <v>72</v>
      </c>
      <c r="C53" t="s">
        <v>130</v>
      </c>
      <c r="D53">
        <v>100</v>
      </c>
      <c r="E53">
        <v>100</v>
      </c>
      <c r="F53">
        <v>7.7450000000000001</v>
      </c>
      <c r="G53">
        <v>195.54</v>
      </c>
      <c r="H53">
        <v>25.24</v>
      </c>
      <c r="I53" s="309">
        <v>970</v>
      </c>
      <c r="J53">
        <v>9.6999999999999993</v>
      </c>
      <c r="K53" s="133">
        <f t="shared" si="0"/>
        <v>3.5057716385893515E-3</v>
      </c>
      <c r="L53" s="181">
        <v>38.18</v>
      </c>
    </row>
    <row r="54" spans="1:12" x14ac:dyDescent="0.25">
      <c r="A54" s="136">
        <v>42775</v>
      </c>
      <c r="B54" s="201" t="s">
        <v>70</v>
      </c>
      <c r="C54" t="s">
        <v>131</v>
      </c>
      <c r="D54">
        <v>4600</v>
      </c>
      <c r="E54">
        <v>4600</v>
      </c>
      <c r="F54">
        <v>14.164</v>
      </c>
      <c r="G54">
        <v>627.75</v>
      </c>
      <c r="H54">
        <v>0.96</v>
      </c>
      <c r="I54" s="309">
        <v>65780</v>
      </c>
      <c r="J54">
        <v>14.3</v>
      </c>
      <c r="K54" s="133">
        <f t="shared" si="0"/>
        <v>0.23774191586227583</v>
      </c>
      <c r="L54" s="181">
        <v>-230</v>
      </c>
    </row>
    <row r="55" spans="1:12" x14ac:dyDescent="0.25">
      <c r="A55" s="136">
        <v>42775</v>
      </c>
      <c r="B55" s="201" t="s">
        <v>835</v>
      </c>
      <c r="C55" t="s">
        <v>839</v>
      </c>
      <c r="I55" s="309">
        <v>15621.29</v>
      </c>
      <c r="K55" s="133">
        <f t="shared" si="0"/>
        <v>5.64584282888448E-2</v>
      </c>
      <c r="L55" s="181">
        <v>0</v>
      </c>
    </row>
    <row r="56" spans="1:12" x14ac:dyDescent="0.25">
      <c r="A56" s="136">
        <v>42776</v>
      </c>
      <c r="B56" s="201" t="s">
        <v>132</v>
      </c>
      <c r="C56" t="s">
        <v>123</v>
      </c>
      <c r="D56">
        <v>5000869</v>
      </c>
      <c r="E56">
        <v>5000869</v>
      </c>
      <c r="F56">
        <v>0.01</v>
      </c>
      <c r="G56">
        <v>506.07</v>
      </c>
      <c r="H56">
        <v>0</v>
      </c>
      <c r="I56" s="309">
        <v>50008.69</v>
      </c>
      <c r="J56">
        <v>0.01</v>
      </c>
      <c r="K56" s="133">
        <f t="shared" si="0"/>
        <v>0.17744248473958207</v>
      </c>
      <c r="L56" s="181">
        <v>1.3899999999999899</v>
      </c>
    </row>
    <row r="57" spans="1:12" x14ac:dyDescent="0.25">
      <c r="A57" s="136">
        <v>42776</v>
      </c>
      <c r="B57" s="201" t="s">
        <v>124</v>
      </c>
      <c r="C57" t="s">
        <v>125</v>
      </c>
      <c r="D57">
        <v>2300</v>
      </c>
      <c r="E57">
        <v>2300</v>
      </c>
      <c r="F57">
        <v>2.718</v>
      </c>
      <c r="G57">
        <v>4282.38</v>
      </c>
      <c r="H57">
        <v>68.510000000000005</v>
      </c>
      <c r="I57" s="309">
        <v>10534</v>
      </c>
      <c r="J57">
        <v>4.58</v>
      </c>
      <c r="K57" s="133">
        <f t="shared" si="0"/>
        <v>3.7377086547293228E-2</v>
      </c>
      <c r="L57" s="181">
        <v>23</v>
      </c>
    </row>
    <row r="58" spans="1:12" x14ac:dyDescent="0.25">
      <c r="A58" s="136">
        <v>42776</v>
      </c>
      <c r="B58" s="201" t="s">
        <v>71</v>
      </c>
      <c r="C58" t="s">
        <v>126</v>
      </c>
      <c r="D58">
        <v>600</v>
      </c>
      <c r="E58">
        <v>600</v>
      </c>
      <c r="F58">
        <v>5.5960000000000001</v>
      </c>
      <c r="G58">
        <v>746.27</v>
      </c>
      <c r="H58">
        <v>22.23</v>
      </c>
      <c r="I58" s="309">
        <v>4104</v>
      </c>
      <c r="J58">
        <v>6.84</v>
      </c>
      <c r="K58" s="133">
        <f t="shared" si="0"/>
        <v>1.456194828081369E-2</v>
      </c>
      <c r="L58" s="181">
        <v>-6</v>
      </c>
    </row>
    <row r="59" spans="1:12" x14ac:dyDescent="0.25">
      <c r="A59" s="136">
        <v>42776</v>
      </c>
      <c r="B59" s="201" t="s">
        <v>65</v>
      </c>
      <c r="C59" t="s">
        <v>127</v>
      </c>
      <c r="D59">
        <v>200</v>
      </c>
      <c r="E59">
        <v>200</v>
      </c>
      <c r="F59">
        <v>-6.4139999999999997</v>
      </c>
      <c r="G59">
        <v>3438.8</v>
      </c>
      <c r="H59">
        <v>0</v>
      </c>
      <c r="I59" s="309">
        <v>2156</v>
      </c>
      <c r="J59">
        <v>10.78</v>
      </c>
      <c r="K59" s="133">
        <f t="shared" si="0"/>
        <v>7.6499903736438396E-3</v>
      </c>
      <c r="L59" s="181">
        <v>-12</v>
      </c>
    </row>
    <row r="60" spans="1:12" x14ac:dyDescent="0.25">
      <c r="A60" s="136">
        <v>42776</v>
      </c>
      <c r="B60" s="201" t="s">
        <v>77</v>
      </c>
      <c r="C60" t="s">
        <v>128</v>
      </c>
      <c r="D60">
        <v>1100</v>
      </c>
      <c r="E60">
        <v>1100</v>
      </c>
      <c r="F60">
        <v>6.0970000000000004</v>
      </c>
      <c r="G60">
        <v>1190.92</v>
      </c>
      <c r="H60">
        <v>17.760000000000002</v>
      </c>
      <c r="I60" s="309">
        <v>7898</v>
      </c>
      <c r="J60">
        <v>7.18</v>
      </c>
      <c r="K60" s="133">
        <f t="shared" si="0"/>
        <v>2.8023944327940187E-2</v>
      </c>
      <c r="L60" s="181">
        <v>88</v>
      </c>
    </row>
    <row r="61" spans="1:12" x14ac:dyDescent="0.25">
      <c r="A61" s="136">
        <v>42776</v>
      </c>
      <c r="B61" s="201" t="s">
        <v>67</v>
      </c>
      <c r="C61" t="s">
        <v>129</v>
      </c>
      <c r="D61">
        <v>12600</v>
      </c>
      <c r="E61">
        <v>12100</v>
      </c>
      <c r="F61">
        <v>9.6750000000000007</v>
      </c>
      <c r="G61">
        <v>-11020.89</v>
      </c>
      <c r="H61">
        <v>-9.0399999999999991</v>
      </c>
      <c r="I61" s="309">
        <v>110880</v>
      </c>
      <c r="J61">
        <v>8.8000000000000007</v>
      </c>
      <c r="K61" s="133">
        <f t="shared" si="0"/>
        <v>0.39342807635882604</v>
      </c>
      <c r="L61" s="181">
        <v>4393.29</v>
      </c>
    </row>
    <row r="62" spans="1:12" x14ac:dyDescent="0.25">
      <c r="A62" s="136">
        <v>42776</v>
      </c>
      <c r="B62" s="201" t="s">
        <v>72</v>
      </c>
      <c r="C62" t="s">
        <v>130</v>
      </c>
      <c r="D62">
        <v>100</v>
      </c>
      <c r="E62">
        <v>100</v>
      </c>
      <c r="F62">
        <v>7.7450000000000001</v>
      </c>
      <c r="G62">
        <v>188.54</v>
      </c>
      <c r="H62">
        <v>24.34</v>
      </c>
      <c r="I62" s="309">
        <v>963</v>
      </c>
      <c r="J62">
        <v>9.6300000000000008</v>
      </c>
      <c r="K62" s="133">
        <f t="shared" si="0"/>
        <v>3.4169483904540896E-3</v>
      </c>
      <c r="L62" s="181">
        <v>-7</v>
      </c>
    </row>
    <row r="63" spans="1:12" x14ac:dyDescent="0.25">
      <c r="A63" s="136">
        <v>42776</v>
      </c>
      <c r="B63" s="201" t="s">
        <v>70</v>
      </c>
      <c r="C63" t="s">
        <v>131</v>
      </c>
      <c r="D63">
        <v>4200</v>
      </c>
      <c r="E63">
        <v>4200</v>
      </c>
      <c r="F63">
        <v>14.122999999999999</v>
      </c>
      <c r="G63">
        <v>1290.9000000000001</v>
      </c>
      <c r="H63">
        <v>2.17</v>
      </c>
      <c r="I63" s="309">
        <v>60606</v>
      </c>
      <c r="J63">
        <v>14.43</v>
      </c>
      <c r="K63" s="133">
        <f t="shared" si="0"/>
        <v>0.21504420991885831</v>
      </c>
      <c r="L63" s="181">
        <v>663.15</v>
      </c>
    </row>
    <row r="64" spans="1:12" x14ac:dyDescent="0.25">
      <c r="A64" s="136">
        <v>42776</v>
      </c>
      <c r="B64" s="201" t="s">
        <v>835</v>
      </c>
      <c r="C64" t="s">
        <v>839</v>
      </c>
      <c r="I64" s="309">
        <v>34680.730000000003</v>
      </c>
      <c r="K64" s="133">
        <f t="shared" si="0"/>
        <v>0.12305531106258864</v>
      </c>
      <c r="L64" s="181">
        <v>0</v>
      </c>
    </row>
    <row r="65" spans="1:12" x14ac:dyDescent="0.25">
      <c r="A65" s="136">
        <v>42780</v>
      </c>
      <c r="B65" s="201" t="s">
        <v>132</v>
      </c>
      <c r="C65" t="s">
        <v>123</v>
      </c>
      <c r="D65">
        <v>6502616</v>
      </c>
      <c r="E65">
        <v>6502616</v>
      </c>
      <c r="F65">
        <v>0.01</v>
      </c>
      <c r="G65">
        <v>523.54</v>
      </c>
      <c r="H65">
        <v>0</v>
      </c>
      <c r="I65" s="309">
        <v>65026.16</v>
      </c>
      <c r="J65">
        <v>0.01</v>
      </c>
      <c r="K65" s="133">
        <f t="shared" si="0"/>
        <v>0.22920444301494072</v>
      </c>
      <c r="L65" s="181">
        <v>17.47</v>
      </c>
    </row>
    <row r="66" spans="1:12" x14ac:dyDescent="0.25">
      <c r="A66" s="136">
        <v>42780</v>
      </c>
      <c r="B66" s="201" t="s">
        <v>124</v>
      </c>
      <c r="C66" t="s">
        <v>125</v>
      </c>
      <c r="D66">
        <v>1800</v>
      </c>
      <c r="E66">
        <v>1800</v>
      </c>
      <c r="F66">
        <v>2.1989999999999998</v>
      </c>
      <c r="G66">
        <v>4357.03</v>
      </c>
      <c r="H66">
        <v>110.1</v>
      </c>
      <c r="I66" s="309">
        <v>8316</v>
      </c>
      <c r="J66">
        <v>4.62</v>
      </c>
      <c r="K66" s="133">
        <f t="shared" ref="K66:K129" si="1">I66/SUMIF(A:A,A66,I:I)</f>
        <v>2.9312266757136621E-2</v>
      </c>
      <c r="L66" s="181">
        <v>74.649999999999594</v>
      </c>
    </row>
    <row r="67" spans="1:12" x14ac:dyDescent="0.25">
      <c r="A67" s="136">
        <v>42780</v>
      </c>
      <c r="B67" s="201" t="s">
        <v>71</v>
      </c>
      <c r="C67" t="s">
        <v>126</v>
      </c>
      <c r="D67">
        <v>100</v>
      </c>
      <c r="E67">
        <v>100</v>
      </c>
      <c r="F67">
        <v>-1.1870000000000001</v>
      </c>
      <c r="G67">
        <v>810.7</v>
      </c>
      <c r="H67">
        <v>0</v>
      </c>
      <c r="I67" s="309">
        <v>692</v>
      </c>
      <c r="J67">
        <v>6.92</v>
      </c>
      <c r="K67" s="133">
        <f t="shared" si="1"/>
        <v>2.4391640928257022E-3</v>
      </c>
      <c r="L67" s="181">
        <v>64.430000000000106</v>
      </c>
    </row>
    <row r="68" spans="1:12" x14ac:dyDescent="0.25">
      <c r="A68" s="136">
        <v>42780</v>
      </c>
      <c r="B68" s="201" t="s">
        <v>65</v>
      </c>
      <c r="C68" t="s">
        <v>127</v>
      </c>
      <c r="D68">
        <v>200</v>
      </c>
      <c r="E68">
        <v>200</v>
      </c>
      <c r="F68">
        <v>-6.4139999999999997</v>
      </c>
      <c r="G68">
        <v>3446.8</v>
      </c>
      <c r="H68">
        <v>0</v>
      </c>
      <c r="I68" s="309">
        <v>2164</v>
      </c>
      <c r="J68">
        <v>10.82</v>
      </c>
      <c r="K68" s="133">
        <f t="shared" si="1"/>
        <v>7.6276749954838439E-3</v>
      </c>
      <c r="L68" s="181">
        <v>8</v>
      </c>
    </row>
    <row r="69" spans="1:12" x14ac:dyDescent="0.25">
      <c r="A69" s="136">
        <v>42780</v>
      </c>
      <c r="B69" s="201" t="s">
        <v>77</v>
      </c>
      <c r="C69" t="s">
        <v>128</v>
      </c>
      <c r="D69">
        <v>600</v>
      </c>
      <c r="E69">
        <v>600</v>
      </c>
      <c r="F69">
        <v>5.234</v>
      </c>
      <c r="G69">
        <v>1137.3399999999999</v>
      </c>
      <c r="H69">
        <v>36.229999999999997</v>
      </c>
      <c r="I69" s="309">
        <v>4278</v>
      </c>
      <c r="J69">
        <v>7.13</v>
      </c>
      <c r="K69" s="133">
        <f t="shared" si="1"/>
        <v>1.5079109810850224E-2</v>
      </c>
      <c r="L69" s="181">
        <v>-53.580000000000197</v>
      </c>
    </row>
    <row r="70" spans="1:12" x14ac:dyDescent="0.25">
      <c r="A70" s="136">
        <v>42780</v>
      </c>
      <c r="B70" s="201" t="s">
        <v>67</v>
      </c>
      <c r="C70" t="s">
        <v>129</v>
      </c>
      <c r="D70">
        <v>12100</v>
      </c>
      <c r="E70">
        <v>12100</v>
      </c>
      <c r="F70">
        <v>9.6920000000000002</v>
      </c>
      <c r="G70">
        <v>-10315.24</v>
      </c>
      <c r="H70">
        <v>-8.7899999999999991</v>
      </c>
      <c r="I70" s="309">
        <v>106964</v>
      </c>
      <c r="J70">
        <v>8.84</v>
      </c>
      <c r="K70" s="133">
        <f t="shared" si="1"/>
        <v>0.37702709252168848</v>
      </c>
      <c r="L70" s="181">
        <v>705.65</v>
      </c>
    </row>
    <row r="71" spans="1:12" x14ac:dyDescent="0.25">
      <c r="A71" s="136">
        <v>42780</v>
      </c>
      <c r="B71" s="201" t="s">
        <v>72</v>
      </c>
      <c r="C71" t="s">
        <v>130</v>
      </c>
      <c r="D71">
        <v>100</v>
      </c>
      <c r="E71">
        <v>100</v>
      </c>
      <c r="F71">
        <v>7.7450000000000001</v>
      </c>
      <c r="G71">
        <v>183.54</v>
      </c>
      <c r="H71">
        <v>23.69</v>
      </c>
      <c r="I71" s="309">
        <v>958</v>
      </c>
      <c r="J71">
        <v>9.58</v>
      </c>
      <c r="K71" s="133">
        <f t="shared" si="1"/>
        <v>3.3767618510506109E-3</v>
      </c>
      <c r="L71" s="181">
        <v>-5</v>
      </c>
    </row>
    <row r="72" spans="1:12" x14ac:dyDescent="0.25">
      <c r="A72" s="136">
        <v>42780</v>
      </c>
      <c r="B72" s="201" t="s">
        <v>70</v>
      </c>
      <c r="C72" t="s">
        <v>131</v>
      </c>
      <c r="D72">
        <v>3800</v>
      </c>
      <c r="E72">
        <v>3800</v>
      </c>
      <c r="F72">
        <v>14.061</v>
      </c>
      <c r="G72">
        <v>2354</v>
      </c>
      <c r="H72">
        <v>4.4000000000000004</v>
      </c>
      <c r="I72" s="309">
        <v>55784</v>
      </c>
      <c r="J72">
        <v>14.68</v>
      </c>
      <c r="K72" s="133">
        <f t="shared" si="1"/>
        <v>0.1966276441534523</v>
      </c>
      <c r="L72" s="181">
        <v>1063.0999999999999</v>
      </c>
    </row>
    <row r="73" spans="1:12" x14ac:dyDescent="0.25">
      <c r="A73" s="136">
        <v>42780</v>
      </c>
      <c r="B73" s="201" t="s">
        <v>133</v>
      </c>
      <c r="C73" t="s">
        <v>134</v>
      </c>
      <c r="D73">
        <v>35000</v>
      </c>
      <c r="E73">
        <v>35000</v>
      </c>
      <c r="F73">
        <v>1</v>
      </c>
      <c r="G73">
        <v>-1.4</v>
      </c>
      <c r="H73">
        <v>0</v>
      </c>
      <c r="I73" s="309">
        <v>35000</v>
      </c>
      <c r="J73">
        <v>1</v>
      </c>
      <c r="K73" s="133">
        <f t="shared" si="1"/>
        <v>0.12336812608222483</v>
      </c>
    </row>
    <row r="74" spans="1:12" x14ac:dyDescent="0.25">
      <c r="A74" s="136">
        <v>42780</v>
      </c>
      <c r="B74" s="201" t="s">
        <v>835</v>
      </c>
      <c r="C74" t="s">
        <v>839</v>
      </c>
      <c r="I74" s="310">
        <v>4521.59</v>
      </c>
      <c r="K74" s="133">
        <f t="shared" si="1"/>
        <v>1.5937716720346485E-2</v>
      </c>
      <c r="L74" s="181">
        <v>0</v>
      </c>
    </row>
    <row r="75" spans="1:12" x14ac:dyDescent="0.25">
      <c r="A75" s="136">
        <v>42782</v>
      </c>
      <c r="B75" s="201" t="s">
        <v>132</v>
      </c>
      <c r="C75" t="s">
        <v>123</v>
      </c>
      <c r="D75">
        <v>6503095</v>
      </c>
      <c r="E75">
        <v>5003095</v>
      </c>
      <c r="F75">
        <v>0.01</v>
      </c>
      <c r="G75">
        <v>528.33000000000004</v>
      </c>
      <c r="H75">
        <v>0</v>
      </c>
      <c r="I75" s="309">
        <v>65030.95</v>
      </c>
      <c r="J75">
        <v>0.01</v>
      </c>
      <c r="K75" s="133">
        <f t="shared" si="1"/>
        <v>0.23058049840117115</v>
      </c>
      <c r="L75" s="181">
        <v>4.79000000000008</v>
      </c>
    </row>
    <row r="76" spans="1:12" x14ac:dyDescent="0.25">
      <c r="A76" s="136">
        <v>42782</v>
      </c>
      <c r="B76" s="201" t="s">
        <v>124</v>
      </c>
      <c r="C76" t="s">
        <v>125</v>
      </c>
      <c r="D76">
        <v>1300</v>
      </c>
      <c r="E76">
        <v>1300</v>
      </c>
      <c r="F76">
        <v>1.2629999999999999</v>
      </c>
      <c r="G76">
        <v>4442.6499999999996</v>
      </c>
      <c r="H76">
        <v>270.55</v>
      </c>
      <c r="I76" s="309">
        <v>6084</v>
      </c>
      <c r="J76">
        <v>4.68</v>
      </c>
      <c r="K76" s="133">
        <f t="shared" si="1"/>
        <v>2.1572063029568617E-2</v>
      </c>
      <c r="L76" s="181">
        <v>85.619999999999905</v>
      </c>
    </row>
    <row r="77" spans="1:12" x14ac:dyDescent="0.25">
      <c r="A77" s="136">
        <v>42782</v>
      </c>
      <c r="B77" s="201" t="s">
        <v>71</v>
      </c>
      <c r="C77" t="s">
        <v>126</v>
      </c>
      <c r="D77">
        <v>100</v>
      </c>
      <c r="E77">
        <v>100</v>
      </c>
      <c r="F77">
        <v>-1.1870000000000001</v>
      </c>
      <c r="G77">
        <v>823.7</v>
      </c>
      <c r="H77">
        <v>0</v>
      </c>
      <c r="I77" s="309">
        <v>705</v>
      </c>
      <c r="J77">
        <v>7.05</v>
      </c>
      <c r="K77" s="133">
        <f t="shared" si="1"/>
        <v>2.4997213076669751E-3</v>
      </c>
      <c r="L77" s="181">
        <v>13</v>
      </c>
    </row>
    <row r="78" spans="1:12" x14ac:dyDescent="0.25">
      <c r="A78" s="136">
        <v>42782</v>
      </c>
      <c r="B78" s="201" t="s">
        <v>65</v>
      </c>
      <c r="C78" t="s">
        <v>127</v>
      </c>
      <c r="D78">
        <v>200</v>
      </c>
      <c r="E78">
        <v>200</v>
      </c>
      <c r="F78">
        <v>-6.4139999999999997</v>
      </c>
      <c r="G78">
        <v>3428.8</v>
      </c>
      <c r="H78">
        <v>0</v>
      </c>
      <c r="I78" s="309">
        <v>2146</v>
      </c>
      <c r="J78">
        <v>10.73</v>
      </c>
      <c r="K78" s="133">
        <f t="shared" si="1"/>
        <v>7.6090807464586213E-3</v>
      </c>
      <c r="L78" s="181">
        <v>-18</v>
      </c>
    </row>
    <row r="79" spans="1:12" x14ac:dyDescent="0.25">
      <c r="A79" s="136">
        <v>42782</v>
      </c>
      <c r="B79" s="201" t="s">
        <v>77</v>
      </c>
      <c r="C79" t="s">
        <v>128</v>
      </c>
      <c r="D79">
        <v>100</v>
      </c>
      <c r="E79">
        <v>100</v>
      </c>
      <c r="F79">
        <v>-5.3209999999999997</v>
      </c>
      <c r="G79">
        <v>1258.0999999999999</v>
      </c>
      <c r="H79">
        <v>0</v>
      </c>
      <c r="I79" s="309">
        <v>726</v>
      </c>
      <c r="J79">
        <v>7.26</v>
      </c>
      <c r="K79" s="133">
        <f t="shared" si="1"/>
        <v>2.5741810912996081E-3</v>
      </c>
      <c r="L79" s="181">
        <v>120.76</v>
      </c>
    </row>
    <row r="80" spans="1:12" x14ac:dyDescent="0.25">
      <c r="A80" s="136">
        <v>42782</v>
      </c>
      <c r="B80" s="201" t="s">
        <v>67</v>
      </c>
      <c r="C80" t="s">
        <v>129</v>
      </c>
      <c r="D80">
        <v>12100</v>
      </c>
      <c r="E80">
        <v>12100</v>
      </c>
      <c r="F80">
        <v>9.6850000000000005</v>
      </c>
      <c r="G80">
        <v>-12164.9</v>
      </c>
      <c r="H80">
        <v>-10.38</v>
      </c>
      <c r="I80" s="309">
        <v>105028</v>
      </c>
      <c r="J80">
        <v>8.68</v>
      </c>
      <c r="K80" s="133">
        <f t="shared" si="1"/>
        <v>0.37239819787467665</v>
      </c>
      <c r="L80" s="181">
        <v>-1849.66</v>
      </c>
    </row>
    <row r="81" spans="1:12" x14ac:dyDescent="0.25">
      <c r="A81" s="136">
        <v>42782</v>
      </c>
      <c r="B81" s="201" t="s">
        <v>72</v>
      </c>
      <c r="C81" t="s">
        <v>130</v>
      </c>
      <c r="D81">
        <v>100</v>
      </c>
      <c r="E81">
        <v>100</v>
      </c>
      <c r="F81">
        <v>7.7450000000000001</v>
      </c>
      <c r="G81">
        <v>254.54</v>
      </c>
      <c r="H81">
        <v>32.86</v>
      </c>
      <c r="I81" s="309">
        <v>1029</v>
      </c>
      <c r="J81">
        <v>10.29</v>
      </c>
      <c r="K81" s="133">
        <f t="shared" si="1"/>
        <v>3.6485293979990315E-3</v>
      </c>
      <c r="L81" s="181">
        <v>71</v>
      </c>
    </row>
    <row r="82" spans="1:12" x14ac:dyDescent="0.25">
      <c r="A82" s="136">
        <v>42782</v>
      </c>
      <c r="B82" s="201" t="s">
        <v>70</v>
      </c>
      <c r="C82" t="s">
        <v>131</v>
      </c>
      <c r="D82">
        <v>3900</v>
      </c>
      <c r="E82">
        <v>3900</v>
      </c>
      <c r="F82">
        <v>14.042</v>
      </c>
      <c r="G82">
        <v>2254.15</v>
      </c>
      <c r="H82">
        <v>4.12</v>
      </c>
      <c r="I82" s="309">
        <v>57018</v>
      </c>
      <c r="J82">
        <v>14.62</v>
      </c>
      <c r="K82" s="133">
        <f t="shared" si="1"/>
        <v>0.20216894967454693</v>
      </c>
      <c r="L82" s="181">
        <v>-99.849999999999895</v>
      </c>
    </row>
    <row r="83" spans="1:12" x14ac:dyDescent="0.25">
      <c r="A83" s="136">
        <v>42782</v>
      </c>
      <c r="B83" s="201" t="s">
        <v>133</v>
      </c>
      <c r="C83" t="s">
        <v>134</v>
      </c>
      <c r="D83">
        <v>35000</v>
      </c>
      <c r="E83">
        <v>35000</v>
      </c>
      <c r="F83">
        <v>1</v>
      </c>
      <c r="G83">
        <v>-1.4</v>
      </c>
      <c r="H83">
        <v>0</v>
      </c>
      <c r="I83" s="309">
        <v>35000</v>
      </c>
      <c r="J83">
        <v>1</v>
      </c>
      <c r="K83" s="133">
        <f t="shared" si="1"/>
        <v>0.12409963938772216</v>
      </c>
      <c r="L83" s="181">
        <v>0</v>
      </c>
    </row>
    <row r="84" spans="1:12" x14ac:dyDescent="0.25">
      <c r="A84" s="136">
        <v>42782</v>
      </c>
      <c r="B84" s="201" t="s">
        <v>835</v>
      </c>
      <c r="C84" t="s">
        <v>839</v>
      </c>
      <c r="I84" s="309">
        <v>9264.49</v>
      </c>
      <c r="K84" s="133">
        <f t="shared" si="1"/>
        <v>3.2849139088890228E-2</v>
      </c>
      <c r="L84" s="181">
        <v>0</v>
      </c>
    </row>
    <row r="85" spans="1:12" x14ac:dyDescent="0.25">
      <c r="A85" s="136">
        <v>42786</v>
      </c>
      <c r="B85" s="201" t="s">
        <v>132</v>
      </c>
      <c r="C85" t="s">
        <v>123</v>
      </c>
      <c r="D85">
        <v>5000000</v>
      </c>
      <c r="E85">
        <v>5000000</v>
      </c>
      <c r="F85">
        <v>0.01</v>
      </c>
      <c r="G85">
        <v>536.51</v>
      </c>
      <c r="H85">
        <v>0</v>
      </c>
      <c r="I85" s="309">
        <v>50000</v>
      </c>
      <c r="J85">
        <v>0.01</v>
      </c>
      <c r="K85" s="133">
        <f t="shared" si="1"/>
        <v>0.17371233473616468</v>
      </c>
      <c r="L85" s="181">
        <v>8.17999999999995</v>
      </c>
    </row>
    <row r="86" spans="1:12" x14ac:dyDescent="0.25">
      <c r="A86" s="136">
        <v>42786</v>
      </c>
      <c r="B86" s="201" t="s">
        <v>124</v>
      </c>
      <c r="C86" t="s">
        <v>125</v>
      </c>
      <c r="D86">
        <v>300</v>
      </c>
      <c r="E86">
        <v>300</v>
      </c>
      <c r="F86">
        <v>-10.130000000000001</v>
      </c>
      <c r="G86">
        <v>4440</v>
      </c>
      <c r="H86">
        <v>0</v>
      </c>
      <c r="I86" s="309">
        <v>1401</v>
      </c>
      <c r="J86">
        <v>4.67</v>
      </c>
      <c r="K86" s="133">
        <f t="shared" si="1"/>
        <v>4.8674196193073341E-3</v>
      </c>
      <c r="L86" s="181">
        <v>-2.6499999999996402</v>
      </c>
    </row>
    <row r="87" spans="1:12" x14ac:dyDescent="0.25">
      <c r="A87" s="136">
        <v>42786</v>
      </c>
      <c r="B87" s="201" t="s">
        <v>71</v>
      </c>
      <c r="C87" t="s">
        <v>126</v>
      </c>
      <c r="D87">
        <v>100</v>
      </c>
      <c r="E87">
        <v>100</v>
      </c>
      <c r="F87">
        <v>-1.1870000000000001</v>
      </c>
      <c r="G87">
        <v>823.7</v>
      </c>
      <c r="H87">
        <v>0</v>
      </c>
      <c r="I87" s="309">
        <v>705</v>
      </c>
      <c r="J87">
        <v>7.05</v>
      </c>
      <c r="K87" s="133">
        <f t="shared" si="1"/>
        <v>2.449343919779922E-3</v>
      </c>
      <c r="L87" s="181">
        <v>0</v>
      </c>
    </row>
    <row r="88" spans="1:12" x14ac:dyDescent="0.25">
      <c r="A88" s="136">
        <v>42786</v>
      </c>
      <c r="B88" s="201" t="s">
        <v>135</v>
      </c>
      <c r="C88" t="s">
        <v>134</v>
      </c>
      <c r="D88">
        <v>100000</v>
      </c>
      <c r="E88">
        <v>100000</v>
      </c>
      <c r="F88">
        <v>1</v>
      </c>
      <c r="G88">
        <v>-1</v>
      </c>
      <c r="H88">
        <v>0</v>
      </c>
      <c r="I88" s="309">
        <v>100000</v>
      </c>
      <c r="J88">
        <v>1</v>
      </c>
      <c r="K88" s="133">
        <f t="shared" si="1"/>
        <v>0.34742466947232936</v>
      </c>
    </row>
    <row r="89" spans="1:12" x14ac:dyDescent="0.25">
      <c r="A89" s="136">
        <v>42786</v>
      </c>
      <c r="B89" s="201" t="s">
        <v>65</v>
      </c>
      <c r="C89" t="s">
        <v>127</v>
      </c>
      <c r="D89">
        <v>200</v>
      </c>
      <c r="E89">
        <v>200</v>
      </c>
      <c r="F89">
        <v>-6.4139999999999997</v>
      </c>
      <c r="G89">
        <v>3470.8</v>
      </c>
      <c r="H89">
        <v>0</v>
      </c>
      <c r="I89" s="309">
        <v>2188</v>
      </c>
      <c r="J89">
        <v>10.94</v>
      </c>
      <c r="K89" s="133">
        <f t="shared" si="1"/>
        <v>7.6016517680545662E-3</v>
      </c>
      <c r="L89" s="181">
        <v>42</v>
      </c>
    </row>
    <row r="90" spans="1:12" x14ac:dyDescent="0.25">
      <c r="A90" s="136">
        <v>42786</v>
      </c>
      <c r="B90" s="201" t="s">
        <v>77</v>
      </c>
      <c r="C90" t="s">
        <v>128</v>
      </c>
      <c r="D90">
        <v>100</v>
      </c>
      <c r="E90">
        <v>100</v>
      </c>
      <c r="F90">
        <v>-5.3209999999999997</v>
      </c>
      <c r="G90">
        <v>1260.0999999999999</v>
      </c>
      <c r="H90">
        <v>0</v>
      </c>
      <c r="I90" s="309">
        <v>728</v>
      </c>
      <c r="J90">
        <v>7.28</v>
      </c>
      <c r="K90" s="133">
        <f t="shared" si="1"/>
        <v>2.5292515937585577E-3</v>
      </c>
      <c r="L90" s="181">
        <v>2</v>
      </c>
    </row>
    <row r="91" spans="1:12" x14ac:dyDescent="0.25">
      <c r="A91" s="136">
        <v>42786</v>
      </c>
      <c r="B91" s="201" t="s">
        <v>67</v>
      </c>
      <c r="C91" t="s">
        <v>129</v>
      </c>
      <c r="D91">
        <v>10600</v>
      </c>
      <c r="E91">
        <v>10100</v>
      </c>
      <c r="F91">
        <v>9.7669999999999995</v>
      </c>
      <c r="G91">
        <v>-8128.44</v>
      </c>
      <c r="H91">
        <v>-7.85</v>
      </c>
      <c r="I91" s="309">
        <v>95400</v>
      </c>
      <c r="J91">
        <v>9</v>
      </c>
      <c r="K91" s="133">
        <f t="shared" si="1"/>
        <v>0.33144313467660219</v>
      </c>
      <c r="L91" s="181">
        <v>4036.46</v>
      </c>
    </row>
    <row r="92" spans="1:12" x14ac:dyDescent="0.25">
      <c r="A92" s="136">
        <v>42786</v>
      </c>
      <c r="B92" s="201" t="s">
        <v>72</v>
      </c>
      <c r="C92" t="s">
        <v>130</v>
      </c>
      <c r="D92">
        <v>100</v>
      </c>
      <c r="E92">
        <v>100</v>
      </c>
      <c r="F92">
        <v>7.7450000000000001</v>
      </c>
      <c r="G92">
        <v>228.54</v>
      </c>
      <c r="H92">
        <v>29.5</v>
      </c>
      <c r="I92" s="309">
        <v>1003</v>
      </c>
      <c r="J92">
        <v>10.029999999999999</v>
      </c>
      <c r="K92" s="133">
        <f t="shared" si="1"/>
        <v>3.4846694348074632E-3</v>
      </c>
      <c r="L92" s="181">
        <v>-26</v>
      </c>
    </row>
    <row r="93" spans="1:12" x14ac:dyDescent="0.25">
      <c r="A93" s="136">
        <v>42786</v>
      </c>
      <c r="B93" s="201" t="s">
        <v>70</v>
      </c>
      <c r="C93" t="s">
        <v>131</v>
      </c>
      <c r="D93">
        <v>1900</v>
      </c>
      <c r="E93">
        <v>1900</v>
      </c>
      <c r="F93">
        <v>12.994999999999999</v>
      </c>
      <c r="G93">
        <v>3980.02</v>
      </c>
      <c r="H93">
        <v>16.12</v>
      </c>
      <c r="I93" s="309">
        <v>28671</v>
      </c>
      <c r="J93">
        <v>15.09</v>
      </c>
      <c r="K93" s="133">
        <f t="shared" si="1"/>
        <v>9.9610126984411546E-2</v>
      </c>
      <c r="L93" s="181">
        <v>1725.87</v>
      </c>
    </row>
    <row r="94" spans="1:12" x14ac:dyDescent="0.25">
      <c r="A94" s="136">
        <v>42786</v>
      </c>
      <c r="B94" s="201" t="s">
        <v>835</v>
      </c>
      <c r="C94" t="s">
        <v>839</v>
      </c>
      <c r="I94" s="309">
        <v>7736.18</v>
      </c>
      <c r="K94" s="133">
        <f t="shared" si="1"/>
        <v>2.6877397794784447E-2</v>
      </c>
      <c r="L94" s="181">
        <v>0</v>
      </c>
    </row>
    <row r="95" spans="1:12" x14ac:dyDescent="0.25">
      <c r="A95" s="136">
        <v>42788</v>
      </c>
      <c r="B95" s="201" t="s">
        <v>132</v>
      </c>
      <c r="C95" t="s">
        <v>123</v>
      </c>
      <c r="D95">
        <v>15001795</v>
      </c>
      <c r="E95">
        <v>13001795</v>
      </c>
      <c r="F95">
        <v>0.01</v>
      </c>
      <c r="G95">
        <v>554.46</v>
      </c>
      <c r="H95">
        <v>0</v>
      </c>
      <c r="I95" s="309">
        <v>150017.95000000001</v>
      </c>
      <c r="J95">
        <v>0.01</v>
      </c>
      <c r="K95" s="133">
        <f t="shared" si="1"/>
        <v>0.51326989483468666</v>
      </c>
      <c r="L95" s="181">
        <v>17.95</v>
      </c>
    </row>
    <row r="96" spans="1:12" x14ac:dyDescent="0.25">
      <c r="A96" s="136">
        <v>42788</v>
      </c>
      <c r="B96" s="201" t="s">
        <v>124</v>
      </c>
      <c r="C96" t="s">
        <v>125</v>
      </c>
      <c r="D96">
        <v>300</v>
      </c>
      <c r="E96">
        <v>300</v>
      </c>
      <c r="F96">
        <v>-10.130000000000001</v>
      </c>
      <c r="G96">
        <v>4449</v>
      </c>
      <c r="H96">
        <v>0</v>
      </c>
      <c r="I96" s="309">
        <v>1410</v>
      </c>
      <c r="J96">
        <v>4.7</v>
      </c>
      <c r="K96" s="133">
        <f t="shared" si="1"/>
        <v>4.8241597203328547E-3</v>
      </c>
      <c r="L96" s="181">
        <v>9</v>
      </c>
    </row>
    <row r="97" spans="1:12" x14ac:dyDescent="0.25">
      <c r="A97" s="136">
        <v>42788</v>
      </c>
      <c r="B97" s="201" t="s">
        <v>71</v>
      </c>
      <c r="C97" t="s">
        <v>126</v>
      </c>
      <c r="D97">
        <v>100</v>
      </c>
      <c r="E97">
        <v>100</v>
      </c>
      <c r="F97">
        <v>-1.1870000000000001</v>
      </c>
      <c r="G97">
        <v>826.7</v>
      </c>
      <c r="H97">
        <v>0</v>
      </c>
      <c r="I97" s="309">
        <v>708</v>
      </c>
      <c r="J97">
        <v>7.08</v>
      </c>
      <c r="K97" s="133">
        <f t="shared" si="1"/>
        <v>2.4223440297841568E-3</v>
      </c>
      <c r="L97" s="181">
        <v>3</v>
      </c>
    </row>
    <row r="98" spans="1:12" x14ac:dyDescent="0.25">
      <c r="A98" s="136">
        <v>42788</v>
      </c>
      <c r="B98" s="201" t="s">
        <v>65</v>
      </c>
      <c r="C98" t="s">
        <v>127</v>
      </c>
      <c r="D98">
        <v>200</v>
      </c>
      <c r="E98">
        <v>200</v>
      </c>
      <c r="F98">
        <v>-6.4139999999999997</v>
      </c>
      <c r="G98">
        <v>3520.8</v>
      </c>
      <c r="H98">
        <v>0</v>
      </c>
      <c r="I98" s="309">
        <v>2238</v>
      </c>
      <c r="J98">
        <v>11.19</v>
      </c>
      <c r="K98" s="133">
        <f t="shared" si="1"/>
        <v>7.6570705348261905E-3</v>
      </c>
      <c r="L98" s="181">
        <v>50</v>
      </c>
    </row>
    <row r="99" spans="1:12" x14ac:dyDescent="0.25">
      <c r="A99" s="136">
        <v>42788</v>
      </c>
      <c r="B99" s="201" t="s">
        <v>77</v>
      </c>
      <c r="C99" t="s">
        <v>128</v>
      </c>
      <c r="D99">
        <v>100</v>
      </c>
      <c r="E99">
        <v>100</v>
      </c>
      <c r="F99">
        <v>-5.3209999999999997</v>
      </c>
      <c r="G99">
        <v>1265.0999999999999</v>
      </c>
      <c r="H99">
        <v>0</v>
      </c>
      <c r="I99" s="309">
        <v>733</v>
      </c>
      <c r="J99">
        <v>7.33</v>
      </c>
      <c r="K99" s="133">
        <f t="shared" si="1"/>
        <v>2.5078787765985691E-3</v>
      </c>
      <c r="L99" s="181">
        <v>5</v>
      </c>
    </row>
    <row r="100" spans="1:12" x14ac:dyDescent="0.25">
      <c r="A100" s="136">
        <v>42788</v>
      </c>
      <c r="B100" s="201" t="s">
        <v>67</v>
      </c>
      <c r="C100" t="s">
        <v>129</v>
      </c>
      <c r="D100">
        <v>9600</v>
      </c>
      <c r="E100">
        <v>9600</v>
      </c>
      <c r="F100">
        <v>9.8160000000000007</v>
      </c>
      <c r="G100">
        <v>-4376.76</v>
      </c>
      <c r="H100">
        <v>-4.6399999999999997</v>
      </c>
      <c r="I100" s="309">
        <v>89856</v>
      </c>
      <c r="J100">
        <v>9.36</v>
      </c>
      <c r="K100" s="133">
        <f t="shared" si="1"/>
        <v>0.30743240839023334</v>
      </c>
      <c r="L100" s="181">
        <v>3751.68</v>
      </c>
    </row>
    <row r="101" spans="1:12" x14ac:dyDescent="0.25">
      <c r="A101" s="136">
        <v>42788</v>
      </c>
      <c r="B101" s="201" t="s">
        <v>72</v>
      </c>
      <c r="C101" t="s">
        <v>130</v>
      </c>
      <c r="D101">
        <v>100</v>
      </c>
      <c r="E101">
        <v>100</v>
      </c>
      <c r="F101">
        <v>7.7450000000000001</v>
      </c>
      <c r="G101">
        <v>222.54</v>
      </c>
      <c r="H101">
        <v>28.73</v>
      </c>
      <c r="I101" s="309">
        <v>997</v>
      </c>
      <c r="J101">
        <v>9.9700000000000006</v>
      </c>
      <c r="K101" s="133">
        <f t="shared" si="1"/>
        <v>3.4111257029587633E-3</v>
      </c>
      <c r="L101" s="181">
        <v>-6</v>
      </c>
    </row>
    <row r="102" spans="1:12" x14ac:dyDescent="0.25">
      <c r="A102" s="136">
        <v>42788</v>
      </c>
      <c r="B102" s="201" t="s">
        <v>70</v>
      </c>
      <c r="C102" t="s">
        <v>131</v>
      </c>
      <c r="D102">
        <v>800</v>
      </c>
      <c r="E102">
        <v>800</v>
      </c>
      <c r="F102">
        <v>9.6940000000000008</v>
      </c>
      <c r="G102">
        <v>4580.62</v>
      </c>
      <c r="H102">
        <v>59.07</v>
      </c>
      <c r="I102" s="309">
        <v>12336</v>
      </c>
      <c r="J102">
        <v>15.42</v>
      </c>
      <c r="K102" s="133">
        <f t="shared" si="1"/>
        <v>4.2206265468103611E-2</v>
      </c>
      <c r="L102" s="181">
        <v>600.6</v>
      </c>
    </row>
    <row r="103" spans="1:12" x14ac:dyDescent="0.25">
      <c r="A103" s="136">
        <v>42788</v>
      </c>
      <c r="B103" s="201" t="s">
        <v>835</v>
      </c>
      <c r="C103" t="s">
        <v>839</v>
      </c>
      <c r="I103" s="309">
        <v>33982.93</v>
      </c>
      <c r="K103" s="133">
        <f t="shared" si="1"/>
        <v>0.11626885254247588</v>
      </c>
      <c r="L103" s="181">
        <v>0</v>
      </c>
    </row>
    <row r="104" spans="1:12" x14ac:dyDescent="0.25">
      <c r="A104" s="136">
        <v>42797</v>
      </c>
      <c r="B104" s="201" t="s">
        <v>132</v>
      </c>
      <c r="C104" t="s">
        <v>123</v>
      </c>
      <c r="D104">
        <v>15012941</v>
      </c>
      <c r="E104">
        <v>15012941</v>
      </c>
      <c r="F104">
        <v>0.01</v>
      </c>
      <c r="G104">
        <v>665.92</v>
      </c>
      <c r="H104">
        <v>0</v>
      </c>
      <c r="I104" s="309">
        <v>150129.41</v>
      </c>
      <c r="J104">
        <v>0.01</v>
      </c>
      <c r="K104" s="133">
        <f t="shared" si="1"/>
        <v>0.52155083766681143</v>
      </c>
      <c r="L104" s="181">
        <v>111.46</v>
      </c>
    </row>
    <row r="105" spans="1:12" x14ac:dyDescent="0.25">
      <c r="A105" s="136">
        <v>42797</v>
      </c>
      <c r="B105" s="201" t="s">
        <v>67</v>
      </c>
      <c r="C105" t="s">
        <v>129</v>
      </c>
      <c r="D105">
        <v>9600</v>
      </c>
      <c r="E105">
        <v>8600</v>
      </c>
      <c r="F105">
        <v>9.73</v>
      </c>
      <c r="G105">
        <v>-7969.16</v>
      </c>
      <c r="H105">
        <v>-8.5299999999999994</v>
      </c>
      <c r="I105" s="309">
        <v>85440</v>
      </c>
      <c r="J105">
        <v>8.9</v>
      </c>
      <c r="K105" s="133">
        <f t="shared" si="1"/>
        <v>0.29681928124710782</v>
      </c>
      <c r="L105" s="181">
        <v>-3592.4</v>
      </c>
    </row>
    <row r="106" spans="1:12" x14ac:dyDescent="0.25">
      <c r="A106" s="136">
        <v>42797</v>
      </c>
      <c r="B106" s="201" t="s">
        <v>70</v>
      </c>
      <c r="C106" t="s">
        <v>131</v>
      </c>
      <c r="D106">
        <v>1600</v>
      </c>
      <c r="E106">
        <v>1100</v>
      </c>
      <c r="F106">
        <v>12.25</v>
      </c>
      <c r="G106">
        <v>4560.13</v>
      </c>
      <c r="H106">
        <v>23.35</v>
      </c>
      <c r="I106" s="309">
        <v>24160</v>
      </c>
      <c r="J106">
        <v>15.1</v>
      </c>
      <c r="K106" s="133">
        <f t="shared" si="1"/>
        <v>8.3932043948152221E-2</v>
      </c>
      <c r="L106" s="181">
        <v>-20.489999999999799</v>
      </c>
    </row>
    <row r="107" spans="1:12" x14ac:dyDescent="0.25">
      <c r="A107" s="136">
        <v>42797</v>
      </c>
      <c r="B107" s="201" t="s">
        <v>71</v>
      </c>
      <c r="C107" t="s">
        <v>126</v>
      </c>
      <c r="D107">
        <v>600</v>
      </c>
      <c r="E107">
        <v>600</v>
      </c>
      <c r="F107">
        <v>5.5270000000000001</v>
      </c>
      <c r="G107">
        <v>787.64</v>
      </c>
      <c r="H107">
        <v>23.76</v>
      </c>
      <c r="I107" s="309">
        <v>4104</v>
      </c>
      <c r="J107">
        <v>6.84</v>
      </c>
      <c r="K107" s="133">
        <f t="shared" si="1"/>
        <v>1.4257330644172877E-2</v>
      </c>
      <c r="L107" s="181">
        <v>-39.060000000000102</v>
      </c>
    </row>
    <row r="108" spans="1:12" x14ac:dyDescent="0.25">
      <c r="A108" s="136">
        <v>42797</v>
      </c>
      <c r="B108" s="201" t="s">
        <v>124</v>
      </c>
      <c r="C108" t="s">
        <v>125</v>
      </c>
      <c r="D108">
        <v>300</v>
      </c>
      <c r="E108">
        <v>300</v>
      </c>
      <c r="F108">
        <v>-10.130000000000001</v>
      </c>
      <c r="G108">
        <v>4434</v>
      </c>
      <c r="H108">
        <v>0</v>
      </c>
      <c r="I108" s="309">
        <v>1395</v>
      </c>
      <c r="J108">
        <v>4.6500000000000004</v>
      </c>
      <c r="K108" s="133">
        <f t="shared" si="1"/>
        <v>4.8462417759798154E-3</v>
      </c>
      <c r="L108" s="181">
        <v>-15</v>
      </c>
    </row>
    <row r="109" spans="1:12" x14ac:dyDescent="0.25">
      <c r="A109" s="136">
        <v>42797</v>
      </c>
      <c r="B109" s="201" t="s">
        <v>65</v>
      </c>
      <c r="C109" t="s">
        <v>127</v>
      </c>
      <c r="D109">
        <v>700</v>
      </c>
      <c r="E109">
        <v>200</v>
      </c>
      <c r="F109">
        <v>5.8529999999999998</v>
      </c>
      <c r="G109">
        <v>3441.73</v>
      </c>
      <c r="H109">
        <v>84.01</v>
      </c>
      <c r="I109" s="309">
        <v>7539</v>
      </c>
      <c r="J109">
        <v>10.77</v>
      </c>
      <c r="K109" s="133">
        <f t="shared" si="1"/>
        <v>2.6190549640940381E-2</v>
      </c>
      <c r="L109" s="181">
        <v>-79.070000000000206</v>
      </c>
    </row>
    <row r="110" spans="1:12" x14ac:dyDescent="0.25">
      <c r="A110" s="136">
        <v>42797</v>
      </c>
      <c r="B110" s="201" t="s">
        <v>77</v>
      </c>
      <c r="C110" t="s">
        <v>128</v>
      </c>
      <c r="D110">
        <v>100</v>
      </c>
      <c r="E110">
        <v>100</v>
      </c>
      <c r="F110">
        <v>-5.3209999999999997</v>
      </c>
      <c r="G110">
        <v>1263.0999999999999</v>
      </c>
      <c r="H110">
        <v>0</v>
      </c>
      <c r="I110" s="309">
        <v>731</v>
      </c>
      <c r="J110">
        <v>7.31</v>
      </c>
      <c r="K110" s="133">
        <f t="shared" si="1"/>
        <v>2.5395001707822547E-3</v>
      </c>
      <c r="L110" s="181">
        <v>-2</v>
      </c>
    </row>
    <row r="111" spans="1:12" x14ac:dyDescent="0.25">
      <c r="A111" s="136">
        <v>42797</v>
      </c>
      <c r="B111" s="201" t="s">
        <v>72</v>
      </c>
      <c r="C111" t="s">
        <v>130</v>
      </c>
      <c r="D111">
        <v>100</v>
      </c>
      <c r="E111">
        <v>100</v>
      </c>
      <c r="F111">
        <v>7.7450000000000001</v>
      </c>
      <c r="G111">
        <v>215.54</v>
      </c>
      <c r="H111">
        <v>27.83</v>
      </c>
      <c r="I111" s="309">
        <v>990</v>
      </c>
      <c r="J111">
        <v>9.9</v>
      </c>
      <c r="K111" s="133">
        <f t="shared" si="1"/>
        <v>3.4392683571469657E-3</v>
      </c>
      <c r="L111" s="181">
        <v>-7</v>
      </c>
    </row>
    <row r="112" spans="1:12" x14ac:dyDescent="0.25">
      <c r="A112" s="136">
        <v>42797</v>
      </c>
      <c r="B112" s="201" t="s">
        <v>835</v>
      </c>
      <c r="C112" t="s">
        <v>839</v>
      </c>
      <c r="I112" s="309">
        <v>13363.51</v>
      </c>
      <c r="K112" s="133">
        <f t="shared" si="1"/>
        <v>4.642494654890611E-2</v>
      </c>
      <c r="L112" s="181">
        <v>0</v>
      </c>
    </row>
    <row r="113" spans="1:12" x14ac:dyDescent="0.25">
      <c r="A113" s="136">
        <v>42800</v>
      </c>
      <c r="B113" s="201" t="s">
        <v>132</v>
      </c>
      <c r="C113" t="s">
        <v>123</v>
      </c>
      <c r="D113">
        <v>15014252</v>
      </c>
      <c r="E113">
        <v>15014252</v>
      </c>
      <c r="F113">
        <v>0.01</v>
      </c>
      <c r="G113">
        <v>679.03</v>
      </c>
      <c r="H113">
        <v>0</v>
      </c>
      <c r="I113" s="309">
        <v>150142.51999999999</v>
      </c>
      <c r="J113">
        <v>0.01</v>
      </c>
      <c r="K113" s="133">
        <f t="shared" si="1"/>
        <v>0.51629036571375075</v>
      </c>
      <c r="L113" s="181">
        <v>13.11</v>
      </c>
    </row>
    <row r="114" spans="1:12" x14ac:dyDescent="0.25">
      <c r="A114" s="136">
        <v>42800</v>
      </c>
      <c r="B114" s="201" t="s">
        <v>124</v>
      </c>
      <c r="C114" t="s">
        <v>125</v>
      </c>
      <c r="D114">
        <v>1300</v>
      </c>
      <c r="E114">
        <v>300</v>
      </c>
      <c r="F114">
        <v>1.2430000000000001</v>
      </c>
      <c r="G114">
        <v>4415.76</v>
      </c>
      <c r="H114">
        <v>273.29000000000002</v>
      </c>
      <c r="I114" s="309">
        <v>6032</v>
      </c>
      <c r="J114">
        <v>4.6399999999999997</v>
      </c>
      <c r="K114" s="133">
        <f t="shared" si="1"/>
        <v>2.0742048861210966E-2</v>
      </c>
      <c r="L114" s="181">
        <v>-18.239999999999799</v>
      </c>
    </row>
    <row r="115" spans="1:12" x14ac:dyDescent="0.25">
      <c r="A115" s="136">
        <v>42800</v>
      </c>
      <c r="B115" s="201" t="s">
        <v>71</v>
      </c>
      <c r="C115" t="s">
        <v>126</v>
      </c>
      <c r="D115">
        <v>600</v>
      </c>
      <c r="E115">
        <v>600</v>
      </c>
      <c r="F115">
        <v>5.5270000000000001</v>
      </c>
      <c r="G115">
        <v>775.64</v>
      </c>
      <c r="H115">
        <v>23.4</v>
      </c>
      <c r="I115" s="309">
        <v>4092</v>
      </c>
      <c r="J115">
        <v>6.82</v>
      </c>
      <c r="K115" s="133">
        <f t="shared" si="1"/>
        <v>1.4071031820304256E-2</v>
      </c>
      <c r="L115" s="181">
        <v>-12</v>
      </c>
    </row>
    <row r="116" spans="1:12" x14ac:dyDescent="0.25">
      <c r="A116" s="136">
        <v>42800</v>
      </c>
      <c r="B116" s="201" t="s">
        <v>65</v>
      </c>
      <c r="C116" t="s">
        <v>127</v>
      </c>
      <c r="D116">
        <v>700</v>
      </c>
      <c r="E116">
        <v>700</v>
      </c>
      <c r="F116">
        <v>5.8529999999999998</v>
      </c>
      <c r="G116">
        <v>3518.73</v>
      </c>
      <c r="H116">
        <v>85.89</v>
      </c>
      <c r="I116" s="309">
        <v>7616</v>
      </c>
      <c r="J116">
        <v>10.88</v>
      </c>
      <c r="K116" s="133">
        <f t="shared" si="1"/>
        <v>2.6188899888425519E-2</v>
      </c>
      <c r="L116" s="181">
        <v>77</v>
      </c>
    </row>
    <row r="117" spans="1:12" x14ac:dyDescent="0.25">
      <c r="A117" s="136">
        <v>42800</v>
      </c>
      <c r="B117" s="201" t="s">
        <v>77</v>
      </c>
      <c r="C117" t="s">
        <v>128</v>
      </c>
      <c r="D117">
        <v>100</v>
      </c>
      <c r="E117">
        <v>100</v>
      </c>
      <c r="F117">
        <v>-5.3209999999999997</v>
      </c>
      <c r="G117">
        <v>1263.0999999999999</v>
      </c>
      <c r="H117">
        <v>0</v>
      </c>
      <c r="I117" s="309">
        <v>731</v>
      </c>
      <c r="J117">
        <v>7.31</v>
      </c>
      <c r="K117" s="133">
        <f t="shared" si="1"/>
        <v>2.5136667303622706E-3</v>
      </c>
      <c r="L117" s="181">
        <v>0</v>
      </c>
    </row>
    <row r="118" spans="1:12" x14ac:dyDescent="0.25">
      <c r="A118" s="136">
        <v>42800</v>
      </c>
      <c r="B118" s="201" t="s">
        <v>67</v>
      </c>
      <c r="C118" t="s">
        <v>129</v>
      </c>
      <c r="D118">
        <v>8100</v>
      </c>
      <c r="E118">
        <v>8100</v>
      </c>
      <c r="F118">
        <v>9.8439999999999994</v>
      </c>
      <c r="G118">
        <v>-5136.87</v>
      </c>
      <c r="H118">
        <v>-6.44</v>
      </c>
      <c r="I118" s="309">
        <v>74601</v>
      </c>
      <c r="J118">
        <v>9.2100000000000009</v>
      </c>
      <c r="K118" s="133">
        <f t="shared" si="1"/>
        <v>0.25652811457148528</v>
      </c>
      <c r="L118" s="181">
        <v>2832.29</v>
      </c>
    </row>
    <row r="119" spans="1:12" x14ac:dyDescent="0.25">
      <c r="A119" s="136">
        <v>42800</v>
      </c>
      <c r="B119" s="201" t="s">
        <v>72</v>
      </c>
      <c r="C119" t="s">
        <v>130</v>
      </c>
      <c r="D119">
        <v>100</v>
      </c>
      <c r="E119">
        <v>100</v>
      </c>
      <c r="F119">
        <v>7.7450000000000001</v>
      </c>
      <c r="G119">
        <v>231.54</v>
      </c>
      <c r="H119">
        <v>29.89</v>
      </c>
      <c r="I119" s="309">
        <v>1006</v>
      </c>
      <c r="J119">
        <v>10.06</v>
      </c>
      <c r="K119" s="133">
        <f t="shared" si="1"/>
        <v>3.4593005892536856E-3</v>
      </c>
      <c r="L119" s="181">
        <v>16</v>
      </c>
    </row>
    <row r="120" spans="1:12" x14ac:dyDescent="0.25">
      <c r="A120" s="136">
        <v>42800</v>
      </c>
      <c r="B120" s="201" t="s">
        <v>70</v>
      </c>
      <c r="C120" t="s">
        <v>131</v>
      </c>
      <c r="D120">
        <v>2100</v>
      </c>
      <c r="E120">
        <v>1600</v>
      </c>
      <c r="F120">
        <v>12.904999999999999</v>
      </c>
      <c r="G120">
        <v>4610.13</v>
      </c>
      <c r="H120">
        <v>17.010000000000002</v>
      </c>
      <c r="I120" s="309">
        <v>31710</v>
      </c>
      <c r="J120">
        <v>15.1</v>
      </c>
      <c r="K120" s="133">
        <f t="shared" si="1"/>
        <v>0.10904018060162463</v>
      </c>
      <c r="L120" s="181">
        <v>50</v>
      </c>
    </row>
    <row r="121" spans="1:12" x14ac:dyDescent="0.25">
      <c r="A121" s="136">
        <v>42800</v>
      </c>
      <c r="B121" s="201" t="s">
        <v>835</v>
      </c>
      <c r="C121" t="s">
        <v>839</v>
      </c>
      <c r="I121" s="309">
        <v>14879.71</v>
      </c>
      <c r="K121" s="133">
        <f t="shared" si="1"/>
        <v>5.1166391223582464E-2</v>
      </c>
      <c r="L121" s="181">
        <v>0</v>
      </c>
    </row>
    <row r="122" spans="1:12" x14ac:dyDescent="0.25">
      <c r="A122" s="136">
        <v>42802</v>
      </c>
      <c r="B122" s="201" t="s">
        <v>132</v>
      </c>
      <c r="C122" t="s">
        <v>123</v>
      </c>
      <c r="D122">
        <v>13019337</v>
      </c>
      <c r="E122">
        <v>13019337</v>
      </c>
      <c r="F122">
        <v>0.01</v>
      </c>
      <c r="G122">
        <v>729.88</v>
      </c>
      <c r="H122">
        <v>0</v>
      </c>
      <c r="I122" s="309">
        <v>130193.37</v>
      </c>
      <c r="J122">
        <v>0.01</v>
      </c>
      <c r="K122" s="133">
        <f t="shared" si="1"/>
        <v>0.45338042090123315</v>
      </c>
      <c r="L122" s="181">
        <v>50.85</v>
      </c>
    </row>
    <row r="123" spans="1:12" x14ac:dyDescent="0.25">
      <c r="A123" s="136">
        <v>42802</v>
      </c>
      <c r="B123" s="201" t="s">
        <v>124</v>
      </c>
      <c r="C123" t="s">
        <v>125</v>
      </c>
      <c r="D123">
        <v>2300</v>
      </c>
      <c r="E123">
        <v>2300</v>
      </c>
      <c r="F123">
        <v>2.718</v>
      </c>
      <c r="G123">
        <v>4535.67</v>
      </c>
      <c r="H123">
        <v>72.55</v>
      </c>
      <c r="I123" s="309">
        <v>10787</v>
      </c>
      <c r="J123">
        <v>4.6900000000000004</v>
      </c>
      <c r="K123" s="133">
        <f t="shared" si="1"/>
        <v>3.7564236952016848E-2</v>
      </c>
      <c r="L123" s="181">
        <v>119.91</v>
      </c>
    </row>
    <row r="124" spans="1:12" x14ac:dyDescent="0.25">
      <c r="A124" s="136">
        <v>42802</v>
      </c>
      <c r="B124" s="201" t="s">
        <v>71</v>
      </c>
      <c r="C124" t="s">
        <v>126</v>
      </c>
      <c r="D124">
        <v>1600</v>
      </c>
      <c r="E124">
        <v>1600</v>
      </c>
      <c r="F124">
        <v>6.3230000000000004</v>
      </c>
      <c r="G124">
        <v>795.5</v>
      </c>
      <c r="H124">
        <v>7.86</v>
      </c>
      <c r="I124" s="309">
        <v>10912</v>
      </c>
      <c r="J124">
        <v>6.82</v>
      </c>
      <c r="K124" s="133">
        <f t="shared" si="1"/>
        <v>3.7999532179513108E-2</v>
      </c>
      <c r="L124" s="181">
        <v>19.86</v>
      </c>
    </row>
    <row r="125" spans="1:12" x14ac:dyDescent="0.25">
      <c r="A125" s="136">
        <v>42802</v>
      </c>
      <c r="B125" s="201" t="s">
        <v>65</v>
      </c>
      <c r="C125" t="s">
        <v>127</v>
      </c>
      <c r="D125">
        <v>300</v>
      </c>
      <c r="E125">
        <v>300</v>
      </c>
      <c r="F125">
        <v>-1.044</v>
      </c>
      <c r="G125">
        <v>3610.2</v>
      </c>
      <c r="H125">
        <v>0</v>
      </c>
      <c r="I125" s="309">
        <v>3297</v>
      </c>
      <c r="J125">
        <v>10.99</v>
      </c>
      <c r="K125" s="133">
        <f t="shared" si="1"/>
        <v>1.148134692044123E-2</v>
      </c>
      <c r="L125" s="181">
        <v>91.4699999999998</v>
      </c>
    </row>
    <row r="126" spans="1:12" x14ac:dyDescent="0.25">
      <c r="A126" s="136">
        <v>42802</v>
      </c>
      <c r="B126" s="201" t="s">
        <v>77</v>
      </c>
      <c r="C126" t="s">
        <v>128</v>
      </c>
      <c r="D126">
        <v>100</v>
      </c>
      <c r="E126">
        <v>100</v>
      </c>
      <c r="F126">
        <v>-5.3209999999999997</v>
      </c>
      <c r="G126">
        <v>1274.0999999999999</v>
      </c>
      <c r="H126">
        <v>0</v>
      </c>
      <c r="I126" s="309">
        <v>742</v>
      </c>
      <c r="J126">
        <v>7.42</v>
      </c>
      <c r="K126" s="133">
        <f t="shared" si="1"/>
        <v>2.5839124704177719E-3</v>
      </c>
      <c r="L126" s="181">
        <v>11</v>
      </c>
    </row>
    <row r="127" spans="1:12" x14ac:dyDescent="0.25">
      <c r="A127" s="136">
        <v>42802</v>
      </c>
      <c r="B127" s="201" t="s">
        <v>67</v>
      </c>
      <c r="C127" t="s">
        <v>129</v>
      </c>
      <c r="D127">
        <v>10100</v>
      </c>
      <c r="E127">
        <v>10100</v>
      </c>
      <c r="F127">
        <v>9.67</v>
      </c>
      <c r="G127">
        <v>-8378.8700000000008</v>
      </c>
      <c r="H127">
        <v>-8.58</v>
      </c>
      <c r="I127" s="309">
        <v>89284</v>
      </c>
      <c r="J127">
        <v>8.84</v>
      </c>
      <c r="K127" s="133">
        <f t="shared" si="1"/>
        <v>0.31091919273420532</v>
      </c>
      <c r="L127" s="181">
        <v>-3242</v>
      </c>
    </row>
    <row r="128" spans="1:12" x14ac:dyDescent="0.25">
      <c r="A128" s="136">
        <v>42802</v>
      </c>
      <c r="B128" s="201" t="s">
        <v>72</v>
      </c>
      <c r="C128" t="s">
        <v>130</v>
      </c>
      <c r="D128">
        <v>100</v>
      </c>
      <c r="E128">
        <v>100</v>
      </c>
      <c r="F128">
        <v>7.7450000000000001</v>
      </c>
      <c r="G128">
        <v>237.54</v>
      </c>
      <c r="H128">
        <v>30.67</v>
      </c>
      <c r="I128" s="309">
        <v>1012</v>
      </c>
      <c r="J128">
        <v>10.119999999999999</v>
      </c>
      <c r="K128" s="133">
        <f t="shared" si="1"/>
        <v>3.524150161809683E-3</v>
      </c>
      <c r="L128" s="181">
        <v>6</v>
      </c>
    </row>
    <row r="129" spans="1:12" x14ac:dyDescent="0.25">
      <c r="A129" s="136">
        <v>42802</v>
      </c>
      <c r="B129" s="201" t="s">
        <v>70</v>
      </c>
      <c r="C129" t="s">
        <v>131</v>
      </c>
      <c r="D129">
        <v>2600</v>
      </c>
      <c r="E129">
        <v>2600</v>
      </c>
      <c r="F129">
        <v>13.288</v>
      </c>
      <c r="G129">
        <v>3904.13</v>
      </c>
      <c r="H129">
        <v>11.3</v>
      </c>
      <c r="I129" s="309">
        <v>38454</v>
      </c>
      <c r="J129">
        <v>14.79</v>
      </c>
      <c r="K129" s="133">
        <f t="shared" si="1"/>
        <v>0.13391074142512802</v>
      </c>
      <c r="L129" s="181">
        <v>-706</v>
      </c>
    </row>
    <row r="130" spans="1:12" x14ac:dyDescent="0.25">
      <c r="A130" s="136">
        <v>42802</v>
      </c>
      <c r="B130" s="201" t="s">
        <v>835</v>
      </c>
      <c r="C130" t="s">
        <v>839</v>
      </c>
      <c r="I130" s="309">
        <v>2480.06</v>
      </c>
      <c r="K130" s="133">
        <f t="shared" ref="K130:K193" si="2">I130/SUMIF(A:A,A130,I:I)</f>
        <v>8.6364662552349033E-3</v>
      </c>
      <c r="L130" s="181">
        <v>0</v>
      </c>
    </row>
    <row r="131" spans="1:12" x14ac:dyDescent="0.25">
      <c r="A131" s="136">
        <v>42803</v>
      </c>
      <c r="B131" s="201" t="s">
        <v>132</v>
      </c>
      <c r="C131" t="s">
        <v>123</v>
      </c>
      <c r="D131">
        <v>11019337</v>
      </c>
      <c r="E131">
        <v>11019337</v>
      </c>
      <c r="F131">
        <v>0.01</v>
      </c>
      <c r="G131">
        <v>729.88</v>
      </c>
      <c r="H131">
        <v>0</v>
      </c>
      <c r="I131" s="309">
        <v>110193.37</v>
      </c>
      <c r="J131">
        <v>0.01</v>
      </c>
      <c r="K131" s="133">
        <f t="shared" si="2"/>
        <v>0.3844599140139604</v>
      </c>
      <c r="L131" s="181">
        <v>0</v>
      </c>
    </row>
    <row r="132" spans="1:12" x14ac:dyDescent="0.25">
      <c r="A132" s="136">
        <v>42803</v>
      </c>
      <c r="B132" s="201" t="s">
        <v>124</v>
      </c>
      <c r="C132" t="s">
        <v>125</v>
      </c>
      <c r="D132">
        <v>1800</v>
      </c>
      <c r="E132">
        <v>1800</v>
      </c>
      <c r="F132">
        <v>2.1720000000000002</v>
      </c>
      <c r="G132">
        <v>4551.2700000000004</v>
      </c>
      <c r="H132">
        <v>116.39</v>
      </c>
      <c r="I132" s="309">
        <v>8460</v>
      </c>
      <c r="J132">
        <v>4.7</v>
      </c>
      <c r="K132" s="133">
        <f t="shared" si="2"/>
        <v>2.9516575022236868E-2</v>
      </c>
      <c r="L132" s="181">
        <v>15.600000000000399</v>
      </c>
    </row>
    <row r="133" spans="1:12" x14ac:dyDescent="0.25">
      <c r="A133" s="136">
        <v>42803</v>
      </c>
      <c r="B133" s="201" t="s">
        <v>71</v>
      </c>
      <c r="C133" t="s">
        <v>126</v>
      </c>
      <c r="D133">
        <v>1600</v>
      </c>
      <c r="E133">
        <v>1600</v>
      </c>
      <c r="F133">
        <v>6.3230000000000004</v>
      </c>
      <c r="G133">
        <v>699.5</v>
      </c>
      <c r="H133">
        <v>6.91</v>
      </c>
      <c r="I133" s="309">
        <v>10816</v>
      </c>
      <c r="J133">
        <v>6.76</v>
      </c>
      <c r="K133" s="133">
        <f t="shared" si="2"/>
        <v>3.7736557380675405E-2</v>
      </c>
      <c r="L133" s="181">
        <v>-96</v>
      </c>
    </row>
    <row r="134" spans="1:12" x14ac:dyDescent="0.25">
      <c r="A134" s="136">
        <v>42803</v>
      </c>
      <c r="B134" s="201" t="s">
        <v>65</v>
      </c>
      <c r="C134" t="s">
        <v>127</v>
      </c>
      <c r="D134">
        <v>300</v>
      </c>
      <c r="E134">
        <v>300</v>
      </c>
      <c r="F134">
        <v>-1.044</v>
      </c>
      <c r="G134">
        <v>3571.2</v>
      </c>
      <c r="H134">
        <v>0</v>
      </c>
      <c r="I134" s="309">
        <v>3258</v>
      </c>
      <c r="J134">
        <v>10.86</v>
      </c>
      <c r="K134" s="133">
        <f t="shared" si="2"/>
        <v>1.1367021444733772E-2</v>
      </c>
      <c r="L134" s="181">
        <v>-39</v>
      </c>
    </row>
    <row r="135" spans="1:12" x14ac:dyDescent="0.25">
      <c r="A135" s="136">
        <v>42803</v>
      </c>
      <c r="B135" s="201" t="s">
        <v>77</v>
      </c>
      <c r="C135" t="s">
        <v>128</v>
      </c>
      <c r="D135">
        <v>100</v>
      </c>
      <c r="E135">
        <v>100</v>
      </c>
      <c r="F135">
        <v>-5.3209999999999997</v>
      </c>
      <c r="G135">
        <v>1259.0999999999999</v>
      </c>
      <c r="H135">
        <v>0</v>
      </c>
      <c r="I135" s="309">
        <v>727</v>
      </c>
      <c r="J135">
        <v>7.27</v>
      </c>
      <c r="K135" s="133">
        <f t="shared" si="2"/>
        <v>2.5364716360716552E-3</v>
      </c>
      <c r="L135" s="181">
        <v>-15</v>
      </c>
    </row>
    <row r="136" spans="1:12" x14ac:dyDescent="0.25">
      <c r="A136" s="136">
        <v>42803</v>
      </c>
      <c r="B136" s="201" t="s">
        <v>67</v>
      </c>
      <c r="C136" t="s">
        <v>129</v>
      </c>
      <c r="D136">
        <v>10100</v>
      </c>
      <c r="E136">
        <v>9600</v>
      </c>
      <c r="F136">
        <v>9.6669999999999998</v>
      </c>
      <c r="G136">
        <v>-8045.28</v>
      </c>
      <c r="H136">
        <v>-8.24</v>
      </c>
      <c r="I136" s="309">
        <v>89587</v>
      </c>
      <c r="J136">
        <v>8.8699999999999992</v>
      </c>
      <c r="K136" s="133">
        <f t="shared" si="2"/>
        <v>0.31256517807531137</v>
      </c>
      <c r="L136" s="181">
        <v>333.590000000001</v>
      </c>
    </row>
    <row r="137" spans="1:12" x14ac:dyDescent="0.25">
      <c r="A137" s="136">
        <v>42803</v>
      </c>
      <c r="B137" s="201" t="s">
        <v>72</v>
      </c>
      <c r="C137" t="s">
        <v>130</v>
      </c>
      <c r="D137">
        <v>100</v>
      </c>
      <c r="E137">
        <v>100</v>
      </c>
      <c r="F137">
        <v>7.7450000000000001</v>
      </c>
      <c r="G137">
        <v>216.54</v>
      </c>
      <c r="H137">
        <v>27.95</v>
      </c>
      <c r="I137" s="309">
        <v>991</v>
      </c>
      <c r="J137">
        <v>9.91</v>
      </c>
      <c r="K137" s="133">
        <f t="shared" si="2"/>
        <v>3.4575562466946496E-3</v>
      </c>
      <c r="L137" s="181">
        <v>-21</v>
      </c>
    </row>
    <row r="138" spans="1:12" x14ac:dyDescent="0.25">
      <c r="A138" s="136">
        <v>42803</v>
      </c>
      <c r="B138" s="201" t="s">
        <v>70</v>
      </c>
      <c r="C138" t="s">
        <v>131</v>
      </c>
      <c r="D138">
        <v>3100</v>
      </c>
      <c r="E138">
        <v>2600</v>
      </c>
      <c r="F138">
        <v>13.503</v>
      </c>
      <c r="G138">
        <v>3183.13</v>
      </c>
      <c r="H138">
        <v>7.61</v>
      </c>
      <c r="I138" s="309">
        <v>45043</v>
      </c>
      <c r="J138">
        <v>14.53</v>
      </c>
      <c r="K138" s="133">
        <f t="shared" si="2"/>
        <v>0.15715308377383158</v>
      </c>
      <c r="L138" s="181">
        <v>-721</v>
      </c>
    </row>
    <row r="139" spans="1:12" x14ac:dyDescent="0.25">
      <c r="A139" s="136">
        <v>42803</v>
      </c>
      <c r="B139" s="201" t="s">
        <v>835</v>
      </c>
      <c r="C139" t="s">
        <v>839</v>
      </c>
      <c r="I139" s="309">
        <v>17543.25</v>
      </c>
      <c r="K139" s="133">
        <f t="shared" si="2"/>
        <v>6.1207642406484269E-2</v>
      </c>
      <c r="L139" s="181">
        <v>0</v>
      </c>
    </row>
    <row r="140" spans="1:12" x14ac:dyDescent="0.25">
      <c r="A140" s="136">
        <v>42804</v>
      </c>
      <c r="B140" s="201" t="s">
        <v>132</v>
      </c>
      <c r="C140" t="s">
        <v>123</v>
      </c>
      <c r="D140">
        <v>11020328</v>
      </c>
      <c r="E140">
        <v>11020328</v>
      </c>
      <c r="F140">
        <v>0.01</v>
      </c>
      <c r="G140">
        <v>739.79</v>
      </c>
      <c r="H140">
        <v>0</v>
      </c>
      <c r="I140" s="309">
        <v>110203.28</v>
      </c>
      <c r="J140">
        <v>0.01</v>
      </c>
      <c r="K140" s="133">
        <f t="shared" si="2"/>
        <v>0.38337655004144827</v>
      </c>
      <c r="L140" s="181">
        <v>9.9099999999999699</v>
      </c>
    </row>
    <row r="141" spans="1:12" x14ac:dyDescent="0.25">
      <c r="A141" s="136">
        <v>42804</v>
      </c>
      <c r="B141" s="201" t="s">
        <v>124</v>
      </c>
      <c r="C141" t="s">
        <v>125</v>
      </c>
      <c r="D141">
        <v>1800</v>
      </c>
      <c r="E141">
        <v>1800</v>
      </c>
      <c r="F141">
        <v>2.1720000000000002</v>
      </c>
      <c r="G141">
        <v>4533.2700000000004</v>
      </c>
      <c r="H141">
        <v>115.93</v>
      </c>
      <c r="I141" s="309">
        <v>8442</v>
      </c>
      <c r="J141">
        <v>4.6900000000000004</v>
      </c>
      <c r="K141" s="133">
        <f t="shared" si="2"/>
        <v>2.9368135280999859E-2</v>
      </c>
      <c r="L141" s="181">
        <v>-18</v>
      </c>
    </row>
    <row r="142" spans="1:12" x14ac:dyDescent="0.25">
      <c r="A142" s="136">
        <v>42804</v>
      </c>
      <c r="B142" s="201" t="s">
        <v>71</v>
      </c>
      <c r="C142" t="s">
        <v>126</v>
      </c>
      <c r="D142">
        <v>2100</v>
      </c>
      <c r="E142">
        <v>1600</v>
      </c>
      <c r="F142">
        <v>6.4169999999999998</v>
      </c>
      <c r="G142">
        <v>593.42999999999995</v>
      </c>
      <c r="H142">
        <v>4.41</v>
      </c>
      <c r="I142" s="309">
        <v>14070</v>
      </c>
      <c r="J142">
        <v>6.7</v>
      </c>
      <c r="K142" s="133">
        <f t="shared" si="2"/>
        <v>4.8946892134999767E-2</v>
      </c>
      <c r="L142" s="181">
        <v>-106.07</v>
      </c>
    </row>
    <row r="143" spans="1:12" x14ac:dyDescent="0.25">
      <c r="A143" s="136">
        <v>42804</v>
      </c>
      <c r="B143" s="201" t="s">
        <v>65</v>
      </c>
      <c r="C143" t="s">
        <v>127</v>
      </c>
      <c r="D143">
        <v>300</v>
      </c>
      <c r="E143">
        <v>300</v>
      </c>
      <c r="F143">
        <v>-1.044</v>
      </c>
      <c r="G143">
        <v>3613.2</v>
      </c>
      <c r="H143">
        <v>0</v>
      </c>
      <c r="I143" s="309">
        <v>3300</v>
      </c>
      <c r="J143">
        <v>11</v>
      </c>
      <c r="K143" s="133">
        <f t="shared" si="2"/>
        <v>1.1480081310980756E-2</v>
      </c>
      <c r="L143" s="181">
        <v>42</v>
      </c>
    </row>
    <row r="144" spans="1:12" x14ac:dyDescent="0.25">
      <c r="A144" s="136">
        <v>42804</v>
      </c>
      <c r="B144" s="201" t="s">
        <v>77</v>
      </c>
      <c r="C144" t="s">
        <v>128</v>
      </c>
      <c r="D144">
        <v>100</v>
      </c>
      <c r="E144">
        <v>100</v>
      </c>
      <c r="F144">
        <v>-5.3209999999999997</v>
      </c>
      <c r="G144">
        <v>1259.0999999999999</v>
      </c>
      <c r="H144">
        <v>0</v>
      </c>
      <c r="I144" s="309">
        <v>727</v>
      </c>
      <c r="J144">
        <v>7.27</v>
      </c>
      <c r="K144" s="133">
        <f t="shared" si="2"/>
        <v>2.5290967009342453E-3</v>
      </c>
      <c r="L144" s="181">
        <v>0</v>
      </c>
    </row>
    <row r="145" spans="1:12" x14ac:dyDescent="0.25">
      <c r="A145" s="136">
        <v>42804</v>
      </c>
      <c r="B145" s="201" t="s">
        <v>67</v>
      </c>
      <c r="C145" t="s">
        <v>129</v>
      </c>
      <c r="D145">
        <v>9100</v>
      </c>
      <c r="E145">
        <v>9100</v>
      </c>
      <c r="F145">
        <v>9.7379999999999995</v>
      </c>
      <c r="G145">
        <v>-6529.33</v>
      </c>
      <c r="H145">
        <v>-7.47</v>
      </c>
      <c r="I145" s="309">
        <v>82082</v>
      </c>
      <c r="J145">
        <v>9.02</v>
      </c>
      <c r="K145" s="133">
        <f t="shared" si="2"/>
        <v>0.28554788914179469</v>
      </c>
      <c r="L145" s="181">
        <v>1515.95</v>
      </c>
    </row>
    <row r="146" spans="1:12" x14ac:dyDescent="0.25">
      <c r="A146" s="136">
        <v>42804</v>
      </c>
      <c r="B146" s="201" t="s">
        <v>72</v>
      </c>
      <c r="C146" t="s">
        <v>130</v>
      </c>
      <c r="D146">
        <v>100</v>
      </c>
      <c r="E146">
        <v>100</v>
      </c>
      <c r="F146">
        <v>7.7450000000000001</v>
      </c>
      <c r="G146">
        <v>216.54</v>
      </c>
      <c r="H146">
        <v>27.95</v>
      </c>
      <c r="I146" s="309">
        <v>991</v>
      </c>
      <c r="J146">
        <v>9.91</v>
      </c>
      <c r="K146" s="133">
        <f t="shared" si="2"/>
        <v>3.4475032058127056E-3</v>
      </c>
      <c r="L146" s="181">
        <v>0</v>
      </c>
    </row>
    <row r="147" spans="1:12" x14ac:dyDescent="0.25">
      <c r="A147" s="136">
        <v>42804</v>
      </c>
      <c r="B147" s="201" t="s">
        <v>70</v>
      </c>
      <c r="C147" t="s">
        <v>131</v>
      </c>
      <c r="D147">
        <v>3600</v>
      </c>
      <c r="E147">
        <v>3100</v>
      </c>
      <c r="F147">
        <v>13.635</v>
      </c>
      <c r="G147">
        <v>2575.13</v>
      </c>
      <c r="H147">
        <v>5.24</v>
      </c>
      <c r="I147" s="309">
        <v>51660</v>
      </c>
      <c r="J147">
        <v>14.35</v>
      </c>
      <c r="K147" s="133">
        <f t="shared" si="2"/>
        <v>0.17971545470462602</v>
      </c>
      <c r="L147" s="181">
        <v>-608</v>
      </c>
    </row>
    <row r="148" spans="1:12" x14ac:dyDescent="0.25">
      <c r="A148" s="136">
        <v>42804</v>
      </c>
      <c r="B148" s="201" t="s">
        <v>835</v>
      </c>
      <c r="C148" t="s">
        <v>839</v>
      </c>
      <c r="I148" s="309">
        <v>15979.13</v>
      </c>
      <c r="K148" s="133">
        <f t="shared" si="2"/>
        <v>5.5588397478403613E-2</v>
      </c>
      <c r="L148" s="181">
        <v>0</v>
      </c>
    </row>
    <row r="149" spans="1:12" x14ac:dyDescent="0.25">
      <c r="A149" s="136">
        <v>42809</v>
      </c>
      <c r="B149" s="201" t="s">
        <v>132</v>
      </c>
      <c r="C149" t="s">
        <v>123</v>
      </c>
      <c r="D149">
        <v>11024211</v>
      </c>
      <c r="E149">
        <v>11024211</v>
      </c>
      <c r="F149">
        <v>0.01</v>
      </c>
      <c r="G149">
        <v>778.62</v>
      </c>
      <c r="H149">
        <v>0</v>
      </c>
      <c r="I149" s="309">
        <v>110242.11</v>
      </c>
      <c r="J149">
        <v>0.01</v>
      </c>
      <c r="K149" s="133">
        <f t="shared" si="2"/>
        <v>0.38401202257880601</v>
      </c>
      <c r="L149" s="181">
        <v>38.83</v>
      </c>
    </row>
    <row r="150" spans="1:12" x14ac:dyDescent="0.25">
      <c r="A150" s="136">
        <v>42809</v>
      </c>
      <c r="B150" s="201" t="s">
        <v>124</v>
      </c>
      <c r="C150" t="s">
        <v>125</v>
      </c>
      <c r="D150">
        <v>1400</v>
      </c>
      <c r="E150">
        <v>1400</v>
      </c>
      <c r="F150">
        <v>1.4430000000000001</v>
      </c>
      <c r="G150">
        <v>4630.33</v>
      </c>
      <c r="H150">
        <v>229.18</v>
      </c>
      <c r="I150" s="309">
        <v>6650</v>
      </c>
      <c r="J150">
        <v>4.75</v>
      </c>
      <c r="K150" s="133">
        <f t="shared" si="2"/>
        <v>2.3164287676905492E-2</v>
      </c>
      <c r="L150" s="181">
        <v>97.059999999999505</v>
      </c>
    </row>
    <row r="151" spans="1:12" x14ac:dyDescent="0.25">
      <c r="A151" s="136">
        <v>42809</v>
      </c>
      <c r="B151" s="201" t="s">
        <v>71</v>
      </c>
      <c r="C151" t="s">
        <v>126</v>
      </c>
      <c r="D151">
        <v>1600</v>
      </c>
      <c r="E151">
        <v>1600</v>
      </c>
      <c r="F151">
        <v>6.3029999999999999</v>
      </c>
      <c r="G151">
        <v>730.96</v>
      </c>
      <c r="H151">
        <v>7.25</v>
      </c>
      <c r="I151" s="309">
        <v>10816</v>
      </c>
      <c r="J151">
        <v>6.76</v>
      </c>
      <c r="K151" s="133">
        <f t="shared" si="2"/>
        <v>3.7675930152392456E-2</v>
      </c>
      <c r="L151" s="181">
        <v>137.53</v>
      </c>
    </row>
    <row r="152" spans="1:12" x14ac:dyDescent="0.25">
      <c r="A152" s="136">
        <v>42809</v>
      </c>
      <c r="B152" s="201" t="s">
        <v>65</v>
      </c>
      <c r="C152" t="s">
        <v>127</v>
      </c>
      <c r="D152">
        <v>300</v>
      </c>
      <c r="E152">
        <v>300</v>
      </c>
      <c r="F152">
        <v>-1.044</v>
      </c>
      <c r="G152">
        <v>3673.2</v>
      </c>
      <c r="H152">
        <v>0</v>
      </c>
      <c r="I152" s="309">
        <v>3360</v>
      </c>
      <c r="J152">
        <v>11.2</v>
      </c>
      <c r="K152" s="133">
        <f t="shared" si="2"/>
        <v>1.1704061142015406E-2</v>
      </c>
      <c r="L152" s="181">
        <v>60</v>
      </c>
    </row>
    <row r="153" spans="1:12" x14ac:dyDescent="0.25">
      <c r="A153" s="136">
        <v>42809</v>
      </c>
      <c r="B153" s="201" t="s">
        <v>77</v>
      </c>
      <c r="C153" t="s">
        <v>128</v>
      </c>
      <c r="D153">
        <v>100</v>
      </c>
      <c r="E153">
        <v>100</v>
      </c>
      <c r="F153">
        <v>-5.3209999999999997</v>
      </c>
      <c r="G153">
        <v>1249.0999999999999</v>
      </c>
      <c r="H153">
        <v>0</v>
      </c>
      <c r="I153" s="309">
        <v>717</v>
      </c>
      <c r="J153">
        <v>7.17</v>
      </c>
      <c r="K153" s="133">
        <f t="shared" si="2"/>
        <v>2.4975630472693594E-3</v>
      </c>
      <c r="L153" s="181">
        <v>-10</v>
      </c>
    </row>
    <row r="154" spans="1:12" x14ac:dyDescent="0.25">
      <c r="A154" s="136">
        <v>42809</v>
      </c>
      <c r="B154" s="201" t="s">
        <v>67</v>
      </c>
      <c r="C154" t="s">
        <v>129</v>
      </c>
      <c r="D154">
        <v>9600</v>
      </c>
      <c r="E154">
        <v>9100</v>
      </c>
      <c r="F154">
        <v>9.6850000000000005</v>
      </c>
      <c r="G154">
        <v>-6964.46</v>
      </c>
      <c r="H154">
        <v>-7.48</v>
      </c>
      <c r="I154" s="309">
        <v>86016</v>
      </c>
      <c r="J154">
        <v>8.9600000000000009</v>
      </c>
      <c r="K154" s="133">
        <f t="shared" si="2"/>
        <v>0.29962396523559442</v>
      </c>
      <c r="L154" s="181">
        <v>-435.13</v>
      </c>
    </row>
    <row r="155" spans="1:12" x14ac:dyDescent="0.25">
      <c r="A155" s="136">
        <v>42809</v>
      </c>
      <c r="B155" s="201" t="s">
        <v>72</v>
      </c>
      <c r="C155" t="s">
        <v>130</v>
      </c>
      <c r="D155">
        <v>100</v>
      </c>
      <c r="E155">
        <v>100</v>
      </c>
      <c r="F155">
        <v>7.7450000000000001</v>
      </c>
      <c r="G155">
        <v>237.54</v>
      </c>
      <c r="H155">
        <v>30.67</v>
      </c>
      <c r="I155" s="309">
        <v>1012</v>
      </c>
      <c r="J155">
        <v>10.119999999999999</v>
      </c>
      <c r="K155" s="133">
        <f t="shared" si="2"/>
        <v>3.5251517487260692E-3</v>
      </c>
      <c r="L155" s="181">
        <v>21</v>
      </c>
    </row>
    <row r="156" spans="1:12" x14ac:dyDescent="0.25">
      <c r="A156" s="136">
        <v>42809</v>
      </c>
      <c r="B156" s="201" t="s">
        <v>70</v>
      </c>
      <c r="C156" t="s">
        <v>131</v>
      </c>
      <c r="D156">
        <v>4200</v>
      </c>
      <c r="E156">
        <v>3200</v>
      </c>
      <c r="F156">
        <v>13.694000000000001</v>
      </c>
      <c r="G156">
        <v>2291.27</v>
      </c>
      <c r="H156">
        <v>3.99</v>
      </c>
      <c r="I156" s="309">
        <v>59808</v>
      </c>
      <c r="J156">
        <v>14.24</v>
      </c>
      <c r="K156" s="133">
        <f t="shared" si="2"/>
        <v>0.20833228832787426</v>
      </c>
      <c r="L156" s="181">
        <v>-283.86</v>
      </c>
    </row>
    <row r="157" spans="1:12" x14ac:dyDescent="0.25">
      <c r="A157" s="136">
        <v>42809</v>
      </c>
      <c r="B157" s="201" t="s">
        <v>835</v>
      </c>
      <c r="C157" t="s">
        <v>839</v>
      </c>
      <c r="I157" s="309">
        <v>8458.73</v>
      </c>
      <c r="K157" s="133">
        <f t="shared" si="2"/>
        <v>2.9464730090416662E-2</v>
      </c>
      <c r="L157" s="181">
        <v>0</v>
      </c>
    </row>
    <row r="158" spans="1:12" x14ac:dyDescent="0.25">
      <c r="A158" s="136">
        <v>42814</v>
      </c>
      <c r="B158" s="201" t="str">
        <f>"519888"</f>
        <v>519888</v>
      </c>
      <c r="C158" t="str">
        <f>"添富快线"</f>
        <v>添富快线</v>
      </c>
      <c r="D158">
        <v>11029638</v>
      </c>
      <c r="E158">
        <v>11029638</v>
      </c>
      <c r="F158">
        <v>0.01</v>
      </c>
      <c r="G158">
        <v>832.89</v>
      </c>
      <c r="H158">
        <v>0</v>
      </c>
      <c r="I158" s="309">
        <v>110296.38</v>
      </c>
      <c r="K158" s="133">
        <f t="shared" si="2"/>
        <v>0.38479412559520326</v>
      </c>
      <c r="L158" s="181">
        <v>54.27</v>
      </c>
    </row>
    <row r="159" spans="1:12" x14ac:dyDescent="0.25">
      <c r="A159" s="136">
        <v>42814</v>
      </c>
      <c r="B159" s="201" t="str">
        <f>"601398"</f>
        <v>601398</v>
      </c>
      <c r="C159" t="str">
        <f>"工商银行"</f>
        <v>工商银行</v>
      </c>
      <c r="D159">
        <v>1400</v>
      </c>
      <c r="E159">
        <v>1400</v>
      </c>
      <c r="F159">
        <v>1.4430000000000001</v>
      </c>
      <c r="G159">
        <v>4574.33</v>
      </c>
      <c r="H159">
        <v>226.4</v>
      </c>
      <c r="I159" s="309">
        <v>6594</v>
      </c>
      <c r="K159" s="133">
        <f t="shared" si="2"/>
        <v>2.3004675803274505E-2</v>
      </c>
      <c r="L159" s="181">
        <v>-56</v>
      </c>
    </row>
    <row r="160" spans="1:12" x14ac:dyDescent="0.25">
      <c r="A160" s="136">
        <v>42814</v>
      </c>
      <c r="B160" s="201" t="str">
        <f>"601998"</f>
        <v>601998</v>
      </c>
      <c r="C160" t="str">
        <f>"中信银行"</f>
        <v>中信银行</v>
      </c>
      <c r="D160">
        <v>2100</v>
      </c>
      <c r="E160">
        <v>2100</v>
      </c>
      <c r="F160">
        <v>6.391</v>
      </c>
      <c r="G160">
        <v>544.89</v>
      </c>
      <c r="H160">
        <v>4.05</v>
      </c>
      <c r="I160" s="309">
        <v>13965</v>
      </c>
      <c r="K160" s="133">
        <f t="shared" si="2"/>
        <v>4.8720093659801102E-2</v>
      </c>
      <c r="L160" s="181">
        <v>-186.07</v>
      </c>
    </row>
    <row r="161" spans="1:12" x14ac:dyDescent="0.25">
      <c r="A161" s="136">
        <v>42814</v>
      </c>
      <c r="B161" s="201" t="str">
        <f>"000402"</f>
        <v>000402</v>
      </c>
      <c r="C161" t="str">
        <f>"金 融 街"</f>
        <v>金 融 街</v>
      </c>
      <c r="D161">
        <v>300</v>
      </c>
      <c r="E161">
        <v>300</v>
      </c>
      <c r="F161">
        <v>-1.044</v>
      </c>
      <c r="G161">
        <v>3613.2</v>
      </c>
      <c r="H161">
        <v>0</v>
      </c>
      <c r="I161" s="309">
        <v>3300</v>
      </c>
      <c r="K161" s="133">
        <f t="shared" si="2"/>
        <v>1.1512804087171044E-2</v>
      </c>
      <c r="L161" s="181">
        <v>-60</v>
      </c>
    </row>
    <row r="162" spans="1:12" x14ac:dyDescent="0.25">
      <c r="A162" s="136">
        <v>42814</v>
      </c>
      <c r="B162" s="201" t="str">
        <f>"000415"</f>
        <v>000415</v>
      </c>
      <c r="C162" t="str">
        <f>"渤海金控"</f>
        <v>渤海金控</v>
      </c>
      <c r="D162">
        <v>100</v>
      </c>
      <c r="E162">
        <v>100</v>
      </c>
      <c r="F162">
        <v>-5.3209999999999997</v>
      </c>
      <c r="G162">
        <v>1247.0999999999999</v>
      </c>
      <c r="H162">
        <v>0</v>
      </c>
      <c r="I162" s="309">
        <v>715</v>
      </c>
      <c r="K162" s="133">
        <f t="shared" si="2"/>
        <v>2.4944408855537264E-3</v>
      </c>
      <c r="L162" s="181">
        <v>-2</v>
      </c>
    </row>
    <row r="163" spans="1:12" x14ac:dyDescent="0.25">
      <c r="A163" s="136">
        <v>42814</v>
      </c>
      <c r="B163" s="201" t="str">
        <f>"000528"</f>
        <v>000528</v>
      </c>
      <c r="C163" t="str">
        <f>"柳    工"</f>
        <v>柳    工</v>
      </c>
      <c r="D163">
        <v>10100</v>
      </c>
      <c r="E163">
        <v>10100</v>
      </c>
      <c r="F163">
        <v>9.6300000000000008</v>
      </c>
      <c r="G163">
        <v>-8379.99</v>
      </c>
      <c r="H163">
        <v>-8.6199999999999992</v>
      </c>
      <c r="I163" s="309">
        <v>88880</v>
      </c>
      <c r="J163">
        <v>8.8000000000000007</v>
      </c>
      <c r="K163" s="133">
        <f t="shared" si="2"/>
        <v>0.31007819008114013</v>
      </c>
      <c r="L163" s="181">
        <v>-1415.53</v>
      </c>
    </row>
    <row r="164" spans="1:12" x14ac:dyDescent="0.25">
      <c r="A164" s="136">
        <v>42814</v>
      </c>
      <c r="B164" s="201" t="str">
        <f>"002006"</f>
        <v>002006</v>
      </c>
      <c r="C164" t="str">
        <f>"精功科技"</f>
        <v>精功科技</v>
      </c>
      <c r="D164">
        <v>100</v>
      </c>
      <c r="E164">
        <v>100</v>
      </c>
      <c r="F164">
        <v>7.7450000000000001</v>
      </c>
      <c r="G164">
        <v>238.54</v>
      </c>
      <c r="H164">
        <v>30.8</v>
      </c>
      <c r="I164" s="309">
        <v>1013</v>
      </c>
      <c r="K164" s="133">
        <f t="shared" si="2"/>
        <v>3.5340819819103843E-3</v>
      </c>
      <c r="L164" s="181">
        <v>1</v>
      </c>
    </row>
    <row r="165" spans="1:12" x14ac:dyDescent="0.25">
      <c r="A165" s="136">
        <v>42814</v>
      </c>
      <c r="B165" s="201" t="str">
        <f>"002140"</f>
        <v>002140</v>
      </c>
      <c r="C165" t="str">
        <f>"东华科技"</f>
        <v>东华科技</v>
      </c>
      <c r="D165">
        <v>3800</v>
      </c>
      <c r="E165">
        <v>3800</v>
      </c>
      <c r="F165">
        <v>13.62</v>
      </c>
      <c r="G165">
        <v>3496.5</v>
      </c>
      <c r="H165">
        <v>6.76</v>
      </c>
      <c r="I165" s="309">
        <v>55252</v>
      </c>
      <c r="K165" s="133">
        <f t="shared" si="2"/>
        <v>0.19275922770435594</v>
      </c>
      <c r="L165" s="181">
        <v>1205.23</v>
      </c>
    </row>
    <row r="166" spans="1:12" x14ac:dyDescent="0.25">
      <c r="A166" s="136">
        <v>42814</v>
      </c>
      <c r="B166" s="201" t="s">
        <v>835</v>
      </c>
      <c r="C166" t="s">
        <v>839</v>
      </c>
      <c r="I166" s="309">
        <v>6622</v>
      </c>
      <c r="K166" s="133">
        <f t="shared" si="2"/>
        <v>2.3102360201589896E-2</v>
      </c>
      <c r="L166" s="181">
        <v>0</v>
      </c>
    </row>
    <row r="167" spans="1:12" x14ac:dyDescent="0.25">
      <c r="A167" s="136">
        <v>42816</v>
      </c>
      <c r="B167" s="201" t="s">
        <v>132</v>
      </c>
      <c r="C167" t="s">
        <v>123</v>
      </c>
      <c r="D167">
        <v>10031827</v>
      </c>
      <c r="E167">
        <v>10031827</v>
      </c>
      <c r="F167">
        <v>0.01</v>
      </c>
      <c r="G167">
        <v>854.78</v>
      </c>
      <c r="H167">
        <v>0</v>
      </c>
      <c r="I167" s="309">
        <v>100318.27</v>
      </c>
      <c r="J167">
        <v>0.01</v>
      </c>
      <c r="K167" s="133">
        <f t="shared" si="2"/>
        <v>0.34773258293159565</v>
      </c>
      <c r="L167" s="181">
        <v>21.89</v>
      </c>
    </row>
    <row r="168" spans="1:12" x14ac:dyDescent="0.25">
      <c r="A168" s="136">
        <v>42816</v>
      </c>
      <c r="B168" s="201" t="s">
        <v>124</v>
      </c>
      <c r="C168" t="s">
        <v>125</v>
      </c>
      <c r="D168">
        <v>1900</v>
      </c>
      <c r="E168">
        <v>1900</v>
      </c>
      <c r="F168">
        <v>2.2919999999999998</v>
      </c>
      <c r="G168">
        <v>4499.28</v>
      </c>
      <c r="H168">
        <v>103.32</v>
      </c>
      <c r="I168" s="309">
        <v>8854</v>
      </c>
      <c r="J168">
        <v>4.66</v>
      </c>
      <c r="K168" s="133">
        <f t="shared" si="2"/>
        <v>3.0690564034610523E-2</v>
      </c>
      <c r="L168" s="181">
        <v>-75.050000000000196</v>
      </c>
    </row>
    <row r="169" spans="1:12" x14ac:dyDescent="0.25">
      <c r="A169" s="136">
        <v>42816</v>
      </c>
      <c r="B169" s="201" t="s">
        <v>71</v>
      </c>
      <c r="C169" t="s">
        <v>126</v>
      </c>
      <c r="D169">
        <v>2600</v>
      </c>
      <c r="E169">
        <v>2600</v>
      </c>
      <c r="F169">
        <v>6.423</v>
      </c>
      <c r="G169">
        <v>329.82</v>
      </c>
      <c r="H169">
        <v>1.98</v>
      </c>
      <c r="I169" s="309">
        <v>17030</v>
      </c>
      <c r="J169">
        <v>6.55</v>
      </c>
      <c r="K169" s="133">
        <f t="shared" si="2"/>
        <v>5.903098097011715E-2</v>
      </c>
      <c r="L169" s="181">
        <v>-215.07</v>
      </c>
    </row>
    <row r="170" spans="1:12" x14ac:dyDescent="0.25">
      <c r="A170" s="136">
        <v>42816</v>
      </c>
      <c r="B170" s="201" t="s">
        <v>65</v>
      </c>
      <c r="C170" t="s">
        <v>127</v>
      </c>
      <c r="D170">
        <v>1300</v>
      </c>
      <c r="E170">
        <v>1300</v>
      </c>
      <c r="F170">
        <v>8.1240000000000006</v>
      </c>
      <c r="G170">
        <v>3543.31</v>
      </c>
      <c r="H170">
        <v>33.56</v>
      </c>
      <c r="I170" s="309">
        <v>14105</v>
      </c>
      <c r="J170">
        <v>10.85</v>
      </c>
      <c r="K170" s="133">
        <f t="shared" si="2"/>
        <v>4.8892072024868019E-2</v>
      </c>
      <c r="L170" s="181">
        <v>-69.889999999999901</v>
      </c>
    </row>
    <row r="171" spans="1:12" x14ac:dyDescent="0.25">
      <c r="A171" s="136">
        <v>42816</v>
      </c>
      <c r="B171" s="201" t="s">
        <v>77</v>
      </c>
      <c r="C171" t="s">
        <v>128</v>
      </c>
      <c r="D171">
        <v>100</v>
      </c>
      <c r="E171">
        <v>100</v>
      </c>
      <c r="F171">
        <v>-5.3209999999999997</v>
      </c>
      <c r="G171">
        <v>1237.0999999999999</v>
      </c>
      <c r="H171">
        <v>0</v>
      </c>
      <c r="I171" s="309">
        <v>705</v>
      </c>
      <c r="J171">
        <v>7.05</v>
      </c>
      <c r="K171" s="133">
        <f t="shared" si="2"/>
        <v>2.4437370278292772E-3</v>
      </c>
      <c r="L171" s="181">
        <v>-10</v>
      </c>
    </row>
    <row r="172" spans="1:12" x14ac:dyDescent="0.25">
      <c r="A172" s="136">
        <v>42816</v>
      </c>
      <c r="B172" s="201" t="s">
        <v>67</v>
      </c>
      <c r="C172" t="s">
        <v>129</v>
      </c>
      <c r="D172">
        <v>9600</v>
      </c>
      <c r="E172">
        <v>9600</v>
      </c>
      <c r="F172">
        <v>9.657</v>
      </c>
      <c r="G172">
        <v>-6496.56</v>
      </c>
      <c r="H172">
        <v>-7.01</v>
      </c>
      <c r="I172" s="309">
        <v>86208</v>
      </c>
      <c r="J172">
        <v>8.98</v>
      </c>
      <c r="K172" s="133">
        <f t="shared" si="2"/>
        <v>0.29882224353915793</v>
      </c>
      <c r="L172" s="181">
        <v>1883.43</v>
      </c>
    </row>
    <row r="173" spans="1:12" x14ac:dyDescent="0.25">
      <c r="A173" s="136">
        <v>42816</v>
      </c>
      <c r="B173" s="201" t="s">
        <v>72</v>
      </c>
      <c r="C173" t="s">
        <v>130</v>
      </c>
      <c r="D173">
        <v>100</v>
      </c>
      <c r="E173">
        <v>100</v>
      </c>
      <c r="F173">
        <v>7.7450000000000001</v>
      </c>
      <c r="G173">
        <v>214.54</v>
      </c>
      <c r="H173">
        <v>27.7</v>
      </c>
      <c r="I173" s="309">
        <v>989</v>
      </c>
      <c r="J173">
        <v>9.89</v>
      </c>
      <c r="K173" s="133">
        <f t="shared" si="2"/>
        <v>3.4281644262739788E-3</v>
      </c>
      <c r="L173" s="181">
        <v>-24</v>
      </c>
    </row>
    <row r="174" spans="1:12" x14ac:dyDescent="0.25">
      <c r="A174" s="136">
        <v>42816</v>
      </c>
      <c r="B174" s="201" t="s">
        <v>70</v>
      </c>
      <c r="C174" t="s">
        <v>131</v>
      </c>
      <c r="D174">
        <v>3400</v>
      </c>
      <c r="E174">
        <v>3400</v>
      </c>
      <c r="F174">
        <v>13.500999999999999</v>
      </c>
      <c r="G174">
        <v>3839.64</v>
      </c>
      <c r="H174">
        <v>8.36</v>
      </c>
      <c r="I174" s="309">
        <v>49742</v>
      </c>
      <c r="J174">
        <v>14.63</v>
      </c>
      <c r="K174" s="133">
        <f t="shared" si="2"/>
        <v>0.1724203790613956</v>
      </c>
      <c r="L174" s="181">
        <v>343.14</v>
      </c>
    </row>
    <row r="175" spans="1:12" x14ac:dyDescent="0.25">
      <c r="A175" s="136">
        <v>42816</v>
      </c>
      <c r="B175" s="201" t="s">
        <v>835</v>
      </c>
      <c r="C175" t="s">
        <v>839</v>
      </c>
      <c r="I175" s="309">
        <v>10541.31</v>
      </c>
      <c r="K175" s="133">
        <f t="shared" si="2"/>
        <v>3.6539275984151826E-2</v>
      </c>
      <c r="L175" s="181">
        <v>0</v>
      </c>
    </row>
    <row r="176" spans="1:12" x14ac:dyDescent="0.25">
      <c r="A176" s="136">
        <v>42818</v>
      </c>
      <c r="B176" s="201" t="s">
        <v>132</v>
      </c>
      <c r="C176" t="s">
        <v>123</v>
      </c>
      <c r="D176">
        <v>7832764</v>
      </c>
      <c r="E176">
        <v>7832764</v>
      </c>
      <c r="F176">
        <v>0.01</v>
      </c>
      <c r="G176">
        <v>864.15</v>
      </c>
      <c r="H176">
        <v>0</v>
      </c>
      <c r="I176" s="309">
        <v>78327.64</v>
      </c>
      <c r="J176">
        <v>0.01</v>
      </c>
      <c r="K176" s="133">
        <f t="shared" si="2"/>
        <v>0.26646594312616045</v>
      </c>
      <c r="L176" s="181">
        <v>9.3699999999999992</v>
      </c>
    </row>
    <row r="177" spans="1:12" x14ac:dyDescent="0.25">
      <c r="A177" s="136">
        <v>42818</v>
      </c>
      <c r="B177" s="201" t="s">
        <v>124</v>
      </c>
      <c r="C177" t="s">
        <v>125</v>
      </c>
      <c r="D177">
        <v>1900</v>
      </c>
      <c r="E177">
        <v>1900</v>
      </c>
      <c r="F177">
        <v>2.2919999999999998</v>
      </c>
      <c r="G177">
        <v>4556.28</v>
      </c>
      <c r="H177">
        <v>104.63</v>
      </c>
      <c r="I177" s="309">
        <v>8911</v>
      </c>
      <c r="J177">
        <v>4.6900000000000004</v>
      </c>
      <c r="K177" s="133">
        <f t="shared" si="2"/>
        <v>3.0314688648824552E-2</v>
      </c>
      <c r="L177" s="181">
        <v>57</v>
      </c>
    </row>
    <row r="178" spans="1:12" x14ac:dyDescent="0.25">
      <c r="A178" s="136">
        <v>42818</v>
      </c>
      <c r="B178" s="201" t="s">
        <v>71</v>
      </c>
      <c r="C178" t="s">
        <v>126</v>
      </c>
      <c r="D178">
        <v>1800</v>
      </c>
      <c r="E178">
        <v>1800</v>
      </c>
      <c r="F178">
        <v>6.3179999999999996</v>
      </c>
      <c r="G178">
        <v>688.38</v>
      </c>
      <c r="H178">
        <v>6.05</v>
      </c>
      <c r="I178" s="309">
        <v>12060</v>
      </c>
      <c r="J178">
        <v>6.7</v>
      </c>
      <c r="K178" s="133">
        <f t="shared" si="2"/>
        <v>4.1027398171341503E-2</v>
      </c>
      <c r="L178" s="181">
        <v>358.56</v>
      </c>
    </row>
    <row r="179" spans="1:12" x14ac:dyDescent="0.25">
      <c r="A179" s="136">
        <v>42818</v>
      </c>
      <c r="B179" s="201" t="s">
        <v>65</v>
      </c>
      <c r="C179" t="s">
        <v>127</v>
      </c>
      <c r="D179">
        <v>900</v>
      </c>
      <c r="E179">
        <v>900</v>
      </c>
      <c r="F179">
        <v>6.8570000000000002</v>
      </c>
      <c r="G179">
        <v>3791.91</v>
      </c>
      <c r="H179">
        <v>61.44</v>
      </c>
      <c r="I179" s="309">
        <v>9963</v>
      </c>
      <c r="J179">
        <v>11.07</v>
      </c>
      <c r="K179" s="133">
        <f t="shared" si="2"/>
        <v>3.3893529683339585E-2</v>
      </c>
      <c r="L179" s="181">
        <v>248.6</v>
      </c>
    </row>
    <row r="180" spans="1:12" x14ac:dyDescent="0.25">
      <c r="A180" s="136">
        <v>42818</v>
      </c>
      <c r="B180" s="201" t="s">
        <v>77</v>
      </c>
      <c r="C180" t="s">
        <v>128</v>
      </c>
      <c r="D180">
        <v>600</v>
      </c>
      <c r="E180">
        <v>600</v>
      </c>
      <c r="F180">
        <v>4.9880000000000004</v>
      </c>
      <c r="G180">
        <v>1303.1300000000001</v>
      </c>
      <c r="H180">
        <v>43.55</v>
      </c>
      <c r="I180" s="309">
        <v>4296</v>
      </c>
      <c r="J180">
        <v>7.16</v>
      </c>
      <c r="K180" s="133">
        <f t="shared" si="2"/>
        <v>1.461473487098533E-2</v>
      </c>
      <c r="L180" s="181">
        <v>66.0300000000002</v>
      </c>
    </row>
    <row r="181" spans="1:12" x14ac:dyDescent="0.25">
      <c r="A181" s="136">
        <v>42818</v>
      </c>
      <c r="B181" s="201" t="s">
        <v>67</v>
      </c>
      <c r="C181" t="s">
        <v>129</v>
      </c>
      <c r="D181">
        <v>7600</v>
      </c>
      <c r="E181">
        <v>7600</v>
      </c>
      <c r="F181">
        <v>9.7520000000000007</v>
      </c>
      <c r="G181">
        <v>-2373.69</v>
      </c>
      <c r="H181">
        <v>-3.2</v>
      </c>
      <c r="I181" s="309">
        <v>71744</v>
      </c>
      <c r="J181">
        <v>9.44</v>
      </c>
      <c r="K181" s="133">
        <f t="shared" si="2"/>
        <v>0.24406879389757252</v>
      </c>
      <c r="L181" s="181">
        <v>4122.87</v>
      </c>
    </row>
    <row r="182" spans="1:12" x14ac:dyDescent="0.25">
      <c r="A182" s="136">
        <v>42818</v>
      </c>
      <c r="B182" s="201" t="s">
        <v>72</v>
      </c>
      <c r="C182" t="s">
        <v>130</v>
      </c>
      <c r="D182">
        <v>100</v>
      </c>
      <c r="E182">
        <v>100</v>
      </c>
      <c r="F182">
        <v>7.7450000000000001</v>
      </c>
      <c r="G182">
        <v>191.54</v>
      </c>
      <c r="H182">
        <v>24.73</v>
      </c>
      <c r="I182" s="309">
        <v>966</v>
      </c>
      <c r="J182">
        <v>9.66</v>
      </c>
      <c r="K182" s="133">
        <f t="shared" si="2"/>
        <v>3.2862741818835729E-3</v>
      </c>
      <c r="L182" s="181">
        <v>-23</v>
      </c>
    </row>
    <row r="183" spans="1:12" x14ac:dyDescent="0.25">
      <c r="A183" s="136">
        <v>42818</v>
      </c>
      <c r="B183" s="201" t="s">
        <v>70</v>
      </c>
      <c r="C183" t="s">
        <v>131</v>
      </c>
      <c r="D183">
        <v>3100</v>
      </c>
      <c r="E183">
        <v>3100</v>
      </c>
      <c r="F183">
        <v>13.353999999999999</v>
      </c>
      <c r="G183">
        <v>4452.8900000000003</v>
      </c>
      <c r="H183">
        <v>10.75</v>
      </c>
      <c r="I183" s="309">
        <v>45849</v>
      </c>
      <c r="J183">
        <v>14.79</v>
      </c>
      <c r="K183" s="133">
        <f t="shared" si="2"/>
        <v>0.15597555379418213</v>
      </c>
      <c r="L183" s="181">
        <v>613.25</v>
      </c>
    </row>
    <row r="184" spans="1:12" x14ac:dyDescent="0.25">
      <c r="A184" s="136">
        <v>42818</v>
      </c>
      <c r="B184" s="201" t="s">
        <v>133</v>
      </c>
      <c r="C184" t="s">
        <v>134</v>
      </c>
      <c r="D184">
        <v>91000</v>
      </c>
      <c r="E184">
        <v>30000</v>
      </c>
      <c r="F184">
        <v>1</v>
      </c>
      <c r="G184">
        <v>-0.91</v>
      </c>
      <c r="H184">
        <v>0</v>
      </c>
      <c r="I184" s="309">
        <v>61000</v>
      </c>
      <c r="J184">
        <v>1</v>
      </c>
      <c r="K184" s="133">
        <f t="shared" si="2"/>
        <v>0.20751834895952168</v>
      </c>
      <c r="L184" s="181">
        <v>0.49</v>
      </c>
    </row>
    <row r="185" spans="1:12" x14ac:dyDescent="0.25">
      <c r="A185" s="136">
        <v>42818</v>
      </c>
      <c r="B185" s="201" t="s">
        <v>835</v>
      </c>
      <c r="C185" t="s">
        <v>839</v>
      </c>
      <c r="I185" s="309">
        <v>833.27</v>
      </c>
      <c r="K185" s="133">
        <f t="shared" si="2"/>
        <v>2.8347346661885351E-3</v>
      </c>
      <c r="L185" s="181">
        <v>0</v>
      </c>
    </row>
    <row r="186" spans="1:12" x14ac:dyDescent="0.25">
      <c r="A186" s="136">
        <v>42824</v>
      </c>
      <c r="B186" s="201" t="s">
        <v>132</v>
      </c>
      <c r="C186" t="s">
        <v>123</v>
      </c>
      <c r="D186">
        <v>7836975</v>
      </c>
      <c r="E186">
        <v>7836975</v>
      </c>
      <c r="F186">
        <v>0.01</v>
      </c>
      <c r="G186">
        <v>906.26</v>
      </c>
      <c r="H186">
        <v>0</v>
      </c>
      <c r="I186" s="309">
        <v>78369.75</v>
      </c>
      <c r="J186">
        <v>0.01</v>
      </c>
      <c r="K186" s="133">
        <f t="shared" si="2"/>
        <v>0.26894388313721274</v>
      </c>
      <c r="L186" s="181">
        <v>42.11</v>
      </c>
    </row>
    <row r="187" spans="1:12" x14ac:dyDescent="0.25">
      <c r="A187" s="136">
        <v>42824</v>
      </c>
      <c r="B187" s="201" t="s">
        <v>124</v>
      </c>
      <c r="C187" t="s">
        <v>125</v>
      </c>
      <c r="D187">
        <v>1400</v>
      </c>
      <c r="E187">
        <v>1400</v>
      </c>
      <c r="F187">
        <v>1.4159999999999999</v>
      </c>
      <c r="G187">
        <v>4751.8500000000004</v>
      </c>
      <c r="H187">
        <v>239.69</v>
      </c>
      <c r="I187" s="309">
        <v>6734</v>
      </c>
      <c r="J187">
        <v>4.8099999999999996</v>
      </c>
      <c r="K187" s="133">
        <f t="shared" si="2"/>
        <v>2.3109275058884209E-2</v>
      </c>
      <c r="L187" s="181">
        <v>195.57000000000099</v>
      </c>
    </row>
    <row r="188" spans="1:12" x14ac:dyDescent="0.25">
      <c r="A188" s="136">
        <v>42824</v>
      </c>
      <c r="B188" s="201" t="s">
        <v>71</v>
      </c>
      <c r="C188" t="s">
        <v>126</v>
      </c>
      <c r="D188">
        <v>2300</v>
      </c>
      <c r="E188">
        <v>2300</v>
      </c>
      <c r="F188">
        <v>6.383</v>
      </c>
      <c r="G188">
        <v>567.30999999999995</v>
      </c>
      <c r="H188">
        <v>3.87</v>
      </c>
      <c r="I188" s="309">
        <v>15249</v>
      </c>
      <c r="J188">
        <v>6.63</v>
      </c>
      <c r="K188" s="133">
        <f t="shared" si="2"/>
        <v>5.233046263334204E-2</v>
      </c>
      <c r="L188" s="181">
        <v>-121.07</v>
      </c>
    </row>
    <row r="189" spans="1:12" x14ac:dyDescent="0.25">
      <c r="A189" s="136">
        <v>42824</v>
      </c>
      <c r="B189" s="201" t="s">
        <v>65</v>
      </c>
      <c r="C189" t="s">
        <v>127</v>
      </c>
      <c r="D189">
        <v>1600</v>
      </c>
      <c r="E189">
        <v>600</v>
      </c>
      <c r="F189">
        <v>8.5549999999999997</v>
      </c>
      <c r="G189">
        <v>3720.05</v>
      </c>
      <c r="H189">
        <v>27.18</v>
      </c>
      <c r="I189" s="309">
        <v>17408</v>
      </c>
      <c r="J189">
        <v>10.88</v>
      </c>
      <c r="K189" s="133">
        <f t="shared" si="2"/>
        <v>5.9739569382990243E-2</v>
      </c>
      <c r="L189" s="181">
        <v>-71.859999999999701</v>
      </c>
    </row>
    <row r="190" spans="1:12" x14ac:dyDescent="0.25">
      <c r="A190" s="136">
        <v>42824</v>
      </c>
      <c r="B190" s="201" t="s">
        <v>77</v>
      </c>
      <c r="C190" t="s">
        <v>128</v>
      </c>
      <c r="D190">
        <v>100</v>
      </c>
      <c r="E190">
        <v>100</v>
      </c>
      <c r="F190">
        <v>-6.085</v>
      </c>
      <c r="G190">
        <v>1328.5</v>
      </c>
      <c r="H190">
        <v>0</v>
      </c>
      <c r="I190" s="309">
        <v>720</v>
      </c>
      <c r="J190">
        <v>7.2</v>
      </c>
      <c r="K190" s="133">
        <f t="shared" si="2"/>
        <v>2.4708461601420598E-3</v>
      </c>
      <c r="L190" s="181">
        <v>25.369999999999902</v>
      </c>
    </row>
    <row r="191" spans="1:12" x14ac:dyDescent="0.25">
      <c r="A191" s="136">
        <v>42824</v>
      </c>
      <c r="B191" s="201" t="s">
        <v>67</v>
      </c>
      <c r="C191" t="s">
        <v>129</v>
      </c>
      <c r="D191">
        <v>8950</v>
      </c>
      <c r="E191">
        <v>7450</v>
      </c>
      <c r="F191">
        <v>9.6349999999999998</v>
      </c>
      <c r="G191">
        <v>-4338.3599999999997</v>
      </c>
      <c r="H191">
        <v>-5.03</v>
      </c>
      <c r="I191" s="309">
        <v>81892.5</v>
      </c>
      <c r="J191">
        <v>9.15</v>
      </c>
      <c r="K191" s="133">
        <f t="shared" si="2"/>
        <v>0.28103301273532449</v>
      </c>
      <c r="L191" s="181">
        <v>-1964.67</v>
      </c>
    </row>
    <row r="192" spans="1:12" x14ac:dyDescent="0.25">
      <c r="A192" s="136">
        <v>42824</v>
      </c>
      <c r="B192" s="201" t="s">
        <v>72</v>
      </c>
      <c r="C192" t="s">
        <v>130</v>
      </c>
      <c r="D192">
        <v>1600</v>
      </c>
      <c r="E192">
        <v>600</v>
      </c>
      <c r="F192">
        <v>9.25</v>
      </c>
      <c r="G192">
        <v>-223.46</v>
      </c>
      <c r="H192">
        <v>-1.51</v>
      </c>
      <c r="I192" s="309">
        <v>14576</v>
      </c>
      <c r="J192">
        <v>9.11</v>
      </c>
      <c r="K192" s="133">
        <f t="shared" si="2"/>
        <v>5.0020907819764808E-2</v>
      </c>
      <c r="L192" s="181">
        <v>-415</v>
      </c>
    </row>
    <row r="193" spans="1:12" x14ac:dyDescent="0.25">
      <c r="A193" s="136">
        <v>42824</v>
      </c>
      <c r="B193" s="201" t="s">
        <v>70</v>
      </c>
      <c r="C193" t="s">
        <v>131</v>
      </c>
      <c r="D193">
        <v>4300</v>
      </c>
      <c r="E193">
        <v>3300</v>
      </c>
      <c r="F193">
        <v>13.635</v>
      </c>
      <c r="G193">
        <v>4190.88</v>
      </c>
      <c r="H193">
        <v>7.15</v>
      </c>
      <c r="I193" s="309">
        <v>62823</v>
      </c>
      <c r="J193">
        <v>14.61</v>
      </c>
      <c r="K193" s="133">
        <f t="shared" si="2"/>
        <v>0.21559162266472864</v>
      </c>
      <c r="L193" s="181">
        <v>-262.01</v>
      </c>
    </row>
    <row r="194" spans="1:12" x14ac:dyDescent="0.25">
      <c r="A194" s="136">
        <v>42824</v>
      </c>
      <c r="B194" s="201" t="s">
        <v>133</v>
      </c>
      <c r="C194" t="s">
        <v>134</v>
      </c>
      <c r="D194">
        <v>62000</v>
      </c>
      <c r="E194">
        <v>49000</v>
      </c>
      <c r="F194">
        <v>1</v>
      </c>
      <c r="G194">
        <v>-0.62</v>
      </c>
      <c r="H194">
        <v>0</v>
      </c>
      <c r="I194" s="309">
        <v>13000</v>
      </c>
      <c r="J194">
        <v>1</v>
      </c>
      <c r="K194" s="133">
        <f t="shared" ref="K194:K257" si="3">I194/SUMIF(A:A,A194,I:I)</f>
        <v>4.4612500113676082E-2</v>
      </c>
      <c r="L194" s="181">
        <v>0.28999999999999998</v>
      </c>
    </row>
    <row r="195" spans="1:12" x14ac:dyDescent="0.25">
      <c r="A195" s="136">
        <v>42824</v>
      </c>
      <c r="B195" s="201" t="s">
        <v>835</v>
      </c>
      <c r="C195" t="s">
        <v>839</v>
      </c>
      <c r="I195" s="309">
        <v>625.9</v>
      </c>
      <c r="K195" s="133">
        <f t="shared" si="3"/>
        <v>2.1479202939346043E-3</v>
      </c>
      <c r="L195" s="181">
        <v>0</v>
      </c>
    </row>
    <row r="196" spans="1:12" x14ac:dyDescent="0.25">
      <c r="A196" s="136">
        <v>42830</v>
      </c>
      <c r="B196" s="201" t="s">
        <v>132</v>
      </c>
      <c r="C196" t="s">
        <v>123</v>
      </c>
      <c r="D196">
        <v>7838651</v>
      </c>
      <c r="E196">
        <v>7838651</v>
      </c>
      <c r="F196">
        <v>0.01</v>
      </c>
      <c r="G196">
        <v>923.02</v>
      </c>
      <c r="H196">
        <v>0</v>
      </c>
      <c r="I196" s="309">
        <v>78386.509999999995</v>
      </c>
      <c r="J196">
        <v>0.01</v>
      </c>
      <c r="K196" s="133">
        <f t="shared" si="3"/>
        <v>0.26511605034107943</v>
      </c>
      <c r="L196" s="181">
        <v>16.760000000000002</v>
      </c>
    </row>
    <row r="197" spans="1:12" x14ac:dyDescent="0.25">
      <c r="A197" s="136">
        <v>42830</v>
      </c>
      <c r="B197" s="201" t="s">
        <v>124</v>
      </c>
      <c r="C197" t="s">
        <v>125</v>
      </c>
      <c r="D197">
        <v>600</v>
      </c>
      <c r="E197">
        <v>600</v>
      </c>
      <c r="F197">
        <v>-3.133</v>
      </c>
      <c r="G197">
        <v>4789.8</v>
      </c>
      <c r="H197">
        <v>0</v>
      </c>
      <c r="I197" s="309">
        <v>2910</v>
      </c>
      <c r="J197">
        <v>4.8499999999999996</v>
      </c>
      <c r="K197" s="133">
        <f t="shared" si="3"/>
        <v>9.8420979131809954E-3</v>
      </c>
      <c r="L197" s="181">
        <v>37.949999999999797</v>
      </c>
    </row>
    <row r="198" spans="1:12" x14ac:dyDescent="0.25">
      <c r="A198" s="136">
        <v>42830</v>
      </c>
      <c r="B198" s="201" t="s">
        <v>71</v>
      </c>
      <c r="C198" t="s">
        <v>126</v>
      </c>
      <c r="D198">
        <v>1800</v>
      </c>
      <c r="E198">
        <v>1800</v>
      </c>
      <c r="F198">
        <v>6.3029999999999999</v>
      </c>
      <c r="G198">
        <v>822.89</v>
      </c>
      <c r="H198">
        <v>7.25</v>
      </c>
      <c r="I198" s="309">
        <v>12168</v>
      </c>
      <c r="J198">
        <v>6.76</v>
      </c>
      <c r="K198" s="133">
        <f t="shared" si="3"/>
        <v>4.1154174366868163E-2</v>
      </c>
      <c r="L198" s="181">
        <v>255.58</v>
      </c>
    </row>
    <row r="199" spans="1:12" x14ac:dyDescent="0.25">
      <c r="A199" s="136">
        <v>42830</v>
      </c>
      <c r="B199" s="201" t="s">
        <v>65</v>
      </c>
      <c r="C199" t="s">
        <v>127</v>
      </c>
      <c r="D199">
        <v>800</v>
      </c>
      <c r="E199">
        <v>400</v>
      </c>
      <c r="F199">
        <v>5.6189999999999998</v>
      </c>
      <c r="G199">
        <v>5072.84</v>
      </c>
      <c r="H199">
        <v>112.85</v>
      </c>
      <c r="I199" s="309">
        <v>9568</v>
      </c>
      <c r="J199">
        <v>11.96</v>
      </c>
      <c r="K199" s="133">
        <f t="shared" si="3"/>
        <v>3.2360547365400602E-2</v>
      </c>
      <c r="L199" s="181">
        <v>1352.79</v>
      </c>
    </row>
    <row r="200" spans="1:12" x14ac:dyDescent="0.25">
      <c r="A200" s="136">
        <v>42830</v>
      </c>
      <c r="B200" s="201" t="s">
        <v>77</v>
      </c>
      <c r="C200" t="s">
        <v>128</v>
      </c>
      <c r="D200">
        <v>100</v>
      </c>
      <c r="E200">
        <v>100</v>
      </c>
      <c r="F200">
        <v>-6.085</v>
      </c>
      <c r="G200">
        <v>1336.5</v>
      </c>
      <c r="H200">
        <v>0</v>
      </c>
      <c r="I200" s="309">
        <v>728</v>
      </c>
      <c r="J200">
        <v>7.28</v>
      </c>
      <c r="K200" s="133">
        <f t="shared" si="3"/>
        <v>2.4622155604109154E-3</v>
      </c>
      <c r="L200" s="181">
        <v>8</v>
      </c>
    </row>
    <row r="201" spans="1:12" x14ac:dyDescent="0.25">
      <c r="A201" s="136">
        <v>42830</v>
      </c>
      <c r="B201" s="201" t="s">
        <v>67</v>
      </c>
      <c r="C201" t="s">
        <v>129</v>
      </c>
      <c r="D201">
        <v>9950</v>
      </c>
      <c r="E201">
        <v>9450</v>
      </c>
      <c r="F201">
        <v>9.5410000000000004</v>
      </c>
      <c r="G201">
        <v>-3694.1</v>
      </c>
      <c r="H201">
        <v>-3.89</v>
      </c>
      <c r="I201" s="309">
        <v>91241.5</v>
      </c>
      <c r="J201">
        <v>9.17</v>
      </c>
      <c r="K201" s="133">
        <f t="shared" si="3"/>
        <v>0.30859373771323151</v>
      </c>
      <c r="L201" s="181">
        <v>644.26</v>
      </c>
    </row>
    <row r="202" spans="1:12" x14ac:dyDescent="0.25">
      <c r="A202" s="136">
        <v>42830</v>
      </c>
      <c r="B202" s="201" t="s">
        <v>72</v>
      </c>
      <c r="C202" t="s">
        <v>130</v>
      </c>
      <c r="D202">
        <v>600</v>
      </c>
      <c r="E202">
        <v>600</v>
      </c>
      <c r="F202">
        <v>9.1150000000000002</v>
      </c>
      <c r="G202">
        <v>201.18</v>
      </c>
      <c r="H202">
        <v>3.68</v>
      </c>
      <c r="I202" s="309">
        <v>5670</v>
      </c>
      <c r="J202">
        <v>9.4499999999999993</v>
      </c>
      <c r="K202" s="133">
        <f t="shared" si="3"/>
        <v>1.9176871191661938E-2</v>
      </c>
      <c r="L202" s="181">
        <v>424.64</v>
      </c>
    </row>
    <row r="203" spans="1:12" x14ac:dyDescent="0.25">
      <c r="A203" s="136">
        <v>42830</v>
      </c>
      <c r="B203" s="201" t="s">
        <v>70</v>
      </c>
      <c r="C203" t="s">
        <v>131</v>
      </c>
      <c r="D203">
        <v>3600</v>
      </c>
      <c r="E203">
        <v>3600</v>
      </c>
      <c r="F203">
        <v>13.382</v>
      </c>
      <c r="G203">
        <v>5718.13</v>
      </c>
      <c r="H203">
        <v>11.87</v>
      </c>
      <c r="I203" s="309">
        <v>53892</v>
      </c>
      <c r="J203">
        <v>14.97</v>
      </c>
      <c r="K203" s="133">
        <f t="shared" si="3"/>
        <v>0.18227159475503443</v>
      </c>
      <c r="L203" s="181">
        <v>1527.25</v>
      </c>
    </row>
    <row r="204" spans="1:12" x14ac:dyDescent="0.25">
      <c r="A204" s="136">
        <v>42830</v>
      </c>
      <c r="B204" s="201" t="s">
        <v>133</v>
      </c>
      <c r="C204" t="s">
        <v>134</v>
      </c>
      <c r="D204">
        <v>36000</v>
      </c>
      <c r="E204">
        <v>0</v>
      </c>
      <c r="F204">
        <v>1</v>
      </c>
      <c r="G204">
        <v>-0.36</v>
      </c>
      <c r="H204">
        <v>0</v>
      </c>
      <c r="I204" s="309">
        <v>36000</v>
      </c>
      <c r="J204">
        <v>1</v>
      </c>
      <c r="K204" s="133">
        <f t="shared" si="3"/>
        <v>0.12175791232801231</v>
      </c>
      <c r="L204" s="181">
        <v>0.26</v>
      </c>
    </row>
    <row r="205" spans="1:12" x14ac:dyDescent="0.25">
      <c r="A205" s="136">
        <v>42830</v>
      </c>
      <c r="B205" s="201" t="s">
        <v>835</v>
      </c>
      <c r="C205" t="s">
        <v>839</v>
      </c>
      <c r="I205" s="309">
        <v>5104.66</v>
      </c>
      <c r="K205" s="133">
        <f t="shared" si="3"/>
        <v>1.7264798465119757E-2</v>
      </c>
      <c r="L205" s="181">
        <v>0</v>
      </c>
    </row>
    <row r="206" spans="1:12" x14ac:dyDescent="0.25">
      <c r="A206" s="136">
        <v>42835</v>
      </c>
      <c r="B206" s="201" t="s">
        <v>132</v>
      </c>
      <c r="C206" t="s">
        <v>123</v>
      </c>
      <c r="D206">
        <v>10043387</v>
      </c>
      <c r="E206">
        <v>8043387</v>
      </c>
      <c r="F206">
        <v>0.01</v>
      </c>
      <c r="G206">
        <v>970.38</v>
      </c>
      <c r="H206">
        <v>0</v>
      </c>
      <c r="I206" s="309">
        <v>100433.87</v>
      </c>
      <c r="J206">
        <v>0.01</v>
      </c>
      <c r="K206" s="133">
        <f t="shared" si="3"/>
        <v>0.3401400836814642</v>
      </c>
      <c r="L206" s="181">
        <v>47.36</v>
      </c>
    </row>
    <row r="207" spans="1:12" x14ac:dyDescent="0.25">
      <c r="A207" s="136">
        <v>42835</v>
      </c>
      <c r="B207" s="201" t="s">
        <v>124</v>
      </c>
      <c r="C207" t="s">
        <v>125</v>
      </c>
      <c r="D207">
        <v>600</v>
      </c>
      <c r="E207">
        <v>600</v>
      </c>
      <c r="F207">
        <v>-3.133</v>
      </c>
      <c r="G207">
        <v>4777.8</v>
      </c>
      <c r="H207">
        <v>0</v>
      </c>
      <c r="I207" s="309">
        <v>2898</v>
      </c>
      <c r="J207">
        <v>4.83</v>
      </c>
      <c r="K207" s="133">
        <f t="shared" si="3"/>
        <v>9.8146766873454475E-3</v>
      </c>
      <c r="L207" s="181">
        <v>-12</v>
      </c>
    </row>
    <row r="208" spans="1:12" x14ac:dyDescent="0.25">
      <c r="A208" s="136">
        <v>42835</v>
      </c>
      <c r="B208" s="201" t="s">
        <v>71</v>
      </c>
      <c r="C208" t="s">
        <v>126</v>
      </c>
      <c r="D208">
        <v>1800</v>
      </c>
      <c r="E208">
        <v>1800</v>
      </c>
      <c r="F208">
        <v>6.3029999999999999</v>
      </c>
      <c r="G208">
        <v>642.89</v>
      </c>
      <c r="H208">
        <v>5.66</v>
      </c>
      <c r="I208" s="309">
        <v>11988</v>
      </c>
      <c r="J208">
        <v>6.66</v>
      </c>
      <c r="K208" s="133">
        <f t="shared" si="3"/>
        <v>4.0599842694236443E-2</v>
      </c>
      <c r="L208" s="181">
        <v>-180</v>
      </c>
    </row>
    <row r="209" spans="1:12" x14ac:dyDescent="0.25">
      <c r="A209" s="136">
        <v>42835</v>
      </c>
      <c r="B209" s="201" t="s">
        <v>65</v>
      </c>
      <c r="C209" t="s">
        <v>127</v>
      </c>
      <c r="D209">
        <v>100</v>
      </c>
      <c r="E209">
        <v>100</v>
      </c>
      <c r="F209">
        <v>-42.167000000000002</v>
      </c>
      <c r="G209">
        <v>5473.7</v>
      </c>
      <c r="H209">
        <v>0</v>
      </c>
      <c r="I209" s="309">
        <v>1257</v>
      </c>
      <c r="J209">
        <v>12.57</v>
      </c>
      <c r="K209" s="133">
        <f t="shared" si="3"/>
        <v>4.2570906128341019E-3</v>
      </c>
      <c r="L209" s="181">
        <v>400.86</v>
      </c>
    </row>
    <row r="210" spans="1:12" x14ac:dyDescent="0.25">
      <c r="A210" s="136">
        <v>42835</v>
      </c>
      <c r="B210" s="201" t="s">
        <v>77</v>
      </c>
      <c r="C210" t="s">
        <v>128</v>
      </c>
      <c r="D210">
        <v>600</v>
      </c>
      <c r="E210">
        <v>100</v>
      </c>
      <c r="F210">
        <v>4.9109999999999996</v>
      </c>
      <c r="G210">
        <v>1301.52</v>
      </c>
      <c r="H210">
        <v>44.17</v>
      </c>
      <c r="I210" s="309">
        <v>4248</v>
      </c>
      <c r="J210">
        <v>7.08</v>
      </c>
      <c r="K210" s="133">
        <f t="shared" si="3"/>
        <v>1.4386731044804507E-2</v>
      </c>
      <c r="L210" s="181">
        <v>-34.979999999999997</v>
      </c>
    </row>
    <row r="211" spans="1:12" x14ac:dyDescent="0.25">
      <c r="A211" s="136">
        <v>42835</v>
      </c>
      <c r="B211" s="201" t="s">
        <v>67</v>
      </c>
      <c r="C211" t="s">
        <v>129</v>
      </c>
      <c r="D211">
        <v>10950</v>
      </c>
      <c r="E211">
        <v>10450</v>
      </c>
      <c r="F211">
        <v>9.4960000000000004</v>
      </c>
      <c r="G211">
        <v>-4887.41</v>
      </c>
      <c r="H211">
        <v>-4.7</v>
      </c>
      <c r="I211" s="309">
        <v>99097.5</v>
      </c>
      <c r="J211">
        <v>9.0500000000000007</v>
      </c>
      <c r="K211" s="133">
        <f t="shared" si="3"/>
        <v>0.33561419013948085</v>
      </c>
      <c r="L211" s="181">
        <v>-1193.31</v>
      </c>
    </row>
    <row r="212" spans="1:12" x14ac:dyDescent="0.25">
      <c r="A212" s="136">
        <v>42835</v>
      </c>
      <c r="B212" s="201" t="s">
        <v>72</v>
      </c>
      <c r="C212" t="s">
        <v>130</v>
      </c>
      <c r="D212">
        <v>600</v>
      </c>
      <c r="E212">
        <v>100</v>
      </c>
      <c r="F212">
        <v>8.8889999999999993</v>
      </c>
      <c r="G212">
        <v>240.39</v>
      </c>
      <c r="H212">
        <v>4.51</v>
      </c>
      <c r="I212" s="309">
        <v>5574</v>
      </c>
      <c r="J212">
        <v>9.2899999999999991</v>
      </c>
      <c r="K212" s="133">
        <f t="shared" si="3"/>
        <v>1.8877504435908739E-2</v>
      </c>
      <c r="L212" s="181">
        <v>39.21</v>
      </c>
    </row>
    <row r="213" spans="1:12" x14ac:dyDescent="0.25">
      <c r="A213" s="136">
        <v>42835</v>
      </c>
      <c r="B213" s="201" t="s">
        <v>70</v>
      </c>
      <c r="C213" t="s">
        <v>131</v>
      </c>
      <c r="D213">
        <v>2900</v>
      </c>
      <c r="E213">
        <v>2400</v>
      </c>
      <c r="F213">
        <v>12.939</v>
      </c>
      <c r="G213">
        <v>6237.19</v>
      </c>
      <c r="H213">
        <v>16.63</v>
      </c>
      <c r="I213" s="309">
        <v>43761</v>
      </c>
      <c r="J213">
        <v>15.09</v>
      </c>
      <c r="K213" s="133">
        <f t="shared" si="3"/>
        <v>0.148205682027234</v>
      </c>
      <c r="L213" s="181">
        <v>519.05999999999904</v>
      </c>
    </row>
    <row r="214" spans="1:12" x14ac:dyDescent="0.25">
      <c r="A214" s="136">
        <v>42835</v>
      </c>
      <c r="B214" s="201" t="s">
        <v>835</v>
      </c>
      <c r="C214" t="s">
        <v>839</v>
      </c>
      <c r="I214" s="309">
        <v>26014.71</v>
      </c>
      <c r="K214" s="133">
        <f t="shared" si="3"/>
        <v>8.810419867669167E-2</v>
      </c>
      <c r="L214" s="181">
        <v>0</v>
      </c>
    </row>
    <row r="215" spans="1:12" x14ac:dyDescent="0.25">
      <c r="A215" s="136">
        <v>42836</v>
      </c>
      <c r="B215" s="201" t="s">
        <v>132</v>
      </c>
      <c r="C215" t="s">
        <v>123</v>
      </c>
      <c r="D215">
        <v>10045887</v>
      </c>
      <c r="E215">
        <v>10045887</v>
      </c>
      <c r="F215">
        <v>0.01</v>
      </c>
      <c r="G215">
        <v>995.38</v>
      </c>
      <c r="H215">
        <v>0</v>
      </c>
      <c r="I215" s="309">
        <v>100458.87</v>
      </c>
      <c r="J215">
        <v>0.01</v>
      </c>
      <c r="K215" s="133">
        <f t="shared" si="3"/>
        <v>0.33785542060244411</v>
      </c>
      <c r="L215" s="181">
        <v>25</v>
      </c>
    </row>
    <row r="216" spans="1:12" x14ac:dyDescent="0.25">
      <c r="A216" s="136">
        <v>42836</v>
      </c>
      <c r="B216" s="201" t="s">
        <v>124</v>
      </c>
      <c r="C216" t="s">
        <v>125</v>
      </c>
      <c r="D216">
        <v>1100</v>
      </c>
      <c r="E216">
        <v>1100</v>
      </c>
      <c r="F216">
        <v>0.47699999999999998</v>
      </c>
      <c r="G216">
        <v>4754.84</v>
      </c>
      <c r="H216">
        <v>906.29</v>
      </c>
      <c r="I216" s="309">
        <v>5280</v>
      </c>
      <c r="J216">
        <v>4.8</v>
      </c>
      <c r="K216" s="133">
        <f t="shared" si="3"/>
        <v>1.7757283361647457E-2</v>
      </c>
      <c r="L216" s="181">
        <v>-22.96</v>
      </c>
    </row>
    <row r="217" spans="1:12" x14ac:dyDescent="0.25">
      <c r="A217" s="136">
        <v>42836</v>
      </c>
      <c r="B217" s="201" t="s">
        <v>71</v>
      </c>
      <c r="C217" t="s">
        <v>126</v>
      </c>
      <c r="D217">
        <v>1800</v>
      </c>
      <c r="E217">
        <v>1800</v>
      </c>
      <c r="F217">
        <v>6.3029999999999999</v>
      </c>
      <c r="G217">
        <v>714.89</v>
      </c>
      <c r="H217">
        <v>6.3</v>
      </c>
      <c r="I217" s="309">
        <v>12060</v>
      </c>
      <c r="J217">
        <v>6.7</v>
      </c>
      <c r="K217" s="133">
        <f t="shared" si="3"/>
        <v>4.0559249496490216E-2</v>
      </c>
      <c r="L217" s="181">
        <v>72</v>
      </c>
    </row>
    <row r="218" spans="1:12" x14ac:dyDescent="0.25">
      <c r="A218" s="136">
        <v>42836</v>
      </c>
      <c r="B218" s="201" t="s">
        <v>65</v>
      </c>
      <c r="C218" t="s">
        <v>127</v>
      </c>
      <c r="D218">
        <v>100</v>
      </c>
      <c r="E218">
        <v>100</v>
      </c>
      <c r="F218">
        <v>-42.167000000000002</v>
      </c>
      <c r="G218">
        <v>5502.7</v>
      </c>
      <c r="H218">
        <v>0</v>
      </c>
      <c r="I218" s="309">
        <v>1286</v>
      </c>
      <c r="J218">
        <v>12.86</v>
      </c>
      <c r="K218" s="133">
        <f t="shared" si="3"/>
        <v>4.3249746975527713E-3</v>
      </c>
      <c r="L218" s="181">
        <v>29</v>
      </c>
    </row>
    <row r="219" spans="1:12" x14ac:dyDescent="0.25">
      <c r="A219" s="136">
        <v>42836</v>
      </c>
      <c r="B219" s="201" t="s">
        <v>77</v>
      </c>
      <c r="C219" t="s">
        <v>128</v>
      </c>
      <c r="D219">
        <v>1100</v>
      </c>
      <c r="E219">
        <v>1100</v>
      </c>
      <c r="F219">
        <v>5.851</v>
      </c>
      <c r="G219">
        <v>1384.52</v>
      </c>
      <c r="H219">
        <v>21.52</v>
      </c>
      <c r="I219" s="309">
        <v>7821</v>
      </c>
      <c r="J219">
        <v>7.11</v>
      </c>
      <c r="K219" s="133">
        <f t="shared" si="3"/>
        <v>2.6302975979440296E-2</v>
      </c>
      <c r="L219" s="181">
        <v>83</v>
      </c>
    </row>
    <row r="220" spans="1:12" x14ac:dyDescent="0.25">
      <c r="A220" s="136">
        <v>42836</v>
      </c>
      <c r="B220" s="201" t="s">
        <v>67</v>
      </c>
      <c r="C220" t="s">
        <v>129</v>
      </c>
      <c r="D220">
        <v>10450</v>
      </c>
      <c r="E220">
        <v>10450</v>
      </c>
      <c r="F220">
        <v>9.5069999999999997</v>
      </c>
      <c r="G220">
        <v>-3099.66</v>
      </c>
      <c r="H220">
        <v>-3.12</v>
      </c>
      <c r="I220" s="309">
        <v>96244.5</v>
      </c>
      <c r="J220">
        <v>9.2100000000000009</v>
      </c>
      <c r="K220" s="133">
        <f t="shared" si="3"/>
        <v>0.32368198077653004</v>
      </c>
      <c r="L220" s="181">
        <v>1787.75</v>
      </c>
    </row>
    <row r="221" spans="1:12" x14ac:dyDescent="0.25">
      <c r="A221" s="136">
        <v>42836</v>
      </c>
      <c r="B221" s="201" t="s">
        <v>72</v>
      </c>
      <c r="C221" t="s">
        <v>130</v>
      </c>
      <c r="D221">
        <v>1100</v>
      </c>
      <c r="E221">
        <v>1100</v>
      </c>
      <c r="F221">
        <v>9.0350000000000001</v>
      </c>
      <c r="G221">
        <v>357.39</v>
      </c>
      <c r="H221">
        <v>3.6</v>
      </c>
      <c r="I221" s="309">
        <v>10296</v>
      </c>
      <c r="J221">
        <v>9.36</v>
      </c>
      <c r="K221" s="133">
        <f t="shared" si="3"/>
        <v>3.4626702555212545E-2</v>
      </c>
      <c r="L221" s="181">
        <v>117</v>
      </c>
    </row>
    <row r="222" spans="1:12" x14ac:dyDescent="0.25">
      <c r="A222" s="136">
        <v>42836</v>
      </c>
      <c r="B222" s="201" t="s">
        <v>70</v>
      </c>
      <c r="C222" t="s">
        <v>131</v>
      </c>
      <c r="D222">
        <v>2900</v>
      </c>
      <c r="E222">
        <v>2900</v>
      </c>
      <c r="F222">
        <v>12.906000000000001</v>
      </c>
      <c r="G222">
        <v>6217.19</v>
      </c>
      <c r="H222">
        <v>16.61</v>
      </c>
      <c r="I222" s="309">
        <v>43645</v>
      </c>
      <c r="J222">
        <v>15.05</v>
      </c>
      <c r="K222" s="133">
        <f t="shared" si="3"/>
        <v>0.14678345309073926</v>
      </c>
      <c r="L222" s="181">
        <v>-20</v>
      </c>
    </row>
    <row r="223" spans="1:12" x14ac:dyDescent="0.25">
      <c r="A223" s="136">
        <v>42836</v>
      </c>
      <c r="B223" s="201" t="s">
        <v>835</v>
      </c>
      <c r="C223" t="s">
        <v>839</v>
      </c>
      <c r="I223" s="309">
        <v>20251.41</v>
      </c>
      <c r="K223" s="133">
        <f t="shared" si="3"/>
        <v>6.8107959439943355E-2</v>
      </c>
      <c r="L223" s="181">
        <v>0</v>
      </c>
    </row>
    <row r="224" spans="1:12" x14ac:dyDescent="0.25">
      <c r="A224" s="136">
        <v>42837</v>
      </c>
      <c r="B224" s="201" t="s">
        <v>132</v>
      </c>
      <c r="C224" t="s">
        <v>123</v>
      </c>
      <c r="D224">
        <v>8046560</v>
      </c>
      <c r="E224">
        <v>8046560</v>
      </c>
      <c r="F224">
        <v>0.01</v>
      </c>
      <c r="G224">
        <v>1002.11</v>
      </c>
      <c r="H224">
        <v>0</v>
      </c>
      <c r="I224" s="309">
        <v>80465.600000000006</v>
      </c>
      <c r="J224">
        <v>0.01</v>
      </c>
      <c r="K224" s="133">
        <f t="shared" si="3"/>
        <v>0.274155672242481</v>
      </c>
      <c r="L224" s="181">
        <v>6.73000000000002</v>
      </c>
    </row>
    <row r="225" spans="1:12" x14ac:dyDescent="0.25">
      <c r="A225" s="136">
        <v>42837</v>
      </c>
      <c r="B225" s="201" t="s">
        <v>124</v>
      </c>
      <c r="C225" t="s">
        <v>125</v>
      </c>
      <c r="D225">
        <v>3100</v>
      </c>
      <c r="E225">
        <v>3100</v>
      </c>
      <c r="F225">
        <v>3.2610000000000001</v>
      </c>
      <c r="G225">
        <v>4924.6499999999996</v>
      </c>
      <c r="H225">
        <v>48.73</v>
      </c>
      <c r="I225" s="309">
        <v>15035</v>
      </c>
      <c r="J225">
        <v>4.8499999999999996</v>
      </c>
      <c r="K225" s="133">
        <f t="shared" si="3"/>
        <v>5.122599635329509E-2</v>
      </c>
      <c r="L225" s="181">
        <v>169.80999999999901</v>
      </c>
    </row>
    <row r="226" spans="1:12" x14ac:dyDescent="0.25">
      <c r="A226" s="136">
        <v>42837</v>
      </c>
      <c r="B226" s="201" t="s">
        <v>71</v>
      </c>
      <c r="C226" t="s">
        <v>126</v>
      </c>
      <c r="D226">
        <v>1800</v>
      </c>
      <c r="E226">
        <v>1800</v>
      </c>
      <c r="F226">
        <v>6.3029999999999999</v>
      </c>
      <c r="G226">
        <v>660.89</v>
      </c>
      <c r="H226">
        <v>5.82</v>
      </c>
      <c r="I226" s="309">
        <v>12006</v>
      </c>
      <c r="J226">
        <v>6.67</v>
      </c>
      <c r="K226" s="133">
        <f t="shared" si="3"/>
        <v>4.090584051996414E-2</v>
      </c>
      <c r="L226" s="181">
        <v>-54</v>
      </c>
    </row>
    <row r="227" spans="1:12" x14ac:dyDescent="0.25">
      <c r="A227" s="136">
        <v>42837</v>
      </c>
      <c r="B227" s="201" t="s">
        <v>65</v>
      </c>
      <c r="C227" t="s">
        <v>127</v>
      </c>
      <c r="D227">
        <v>300</v>
      </c>
      <c r="E227">
        <v>300</v>
      </c>
      <c r="F227">
        <v>-5.8860000000000001</v>
      </c>
      <c r="G227">
        <v>5434.8</v>
      </c>
      <c r="H227">
        <v>0</v>
      </c>
      <c r="I227" s="309">
        <v>3669</v>
      </c>
      <c r="J227">
        <v>12.23</v>
      </c>
      <c r="K227" s="133">
        <f t="shared" si="3"/>
        <v>1.2500710383787143E-2</v>
      </c>
      <c r="L227" s="181">
        <v>-67.899999999999594</v>
      </c>
    </row>
    <row r="228" spans="1:12" x14ac:dyDescent="0.25">
      <c r="A228" s="136">
        <v>42837</v>
      </c>
      <c r="B228" s="201" t="s">
        <v>77</v>
      </c>
      <c r="C228" t="s">
        <v>128</v>
      </c>
      <c r="D228">
        <v>1100</v>
      </c>
      <c r="E228">
        <v>1100</v>
      </c>
      <c r="F228">
        <v>5.851</v>
      </c>
      <c r="G228">
        <v>1263.52</v>
      </c>
      <c r="H228">
        <v>19.64</v>
      </c>
      <c r="I228" s="309">
        <v>7700</v>
      </c>
      <c r="J228">
        <v>7</v>
      </c>
      <c r="K228" s="133">
        <f t="shared" si="3"/>
        <v>2.623479693517607E-2</v>
      </c>
      <c r="L228" s="181">
        <v>-121</v>
      </c>
    </row>
    <row r="229" spans="1:12" x14ac:dyDescent="0.25">
      <c r="A229" s="136">
        <v>42837</v>
      </c>
      <c r="B229" s="201" t="s">
        <v>67</v>
      </c>
      <c r="C229" t="s">
        <v>129</v>
      </c>
      <c r="D229">
        <v>12150</v>
      </c>
      <c r="E229">
        <v>12150</v>
      </c>
      <c r="F229">
        <v>9.44</v>
      </c>
      <c r="G229">
        <v>-5704.66</v>
      </c>
      <c r="H229">
        <v>-4.9800000000000004</v>
      </c>
      <c r="I229" s="309">
        <v>108985.5</v>
      </c>
      <c r="J229">
        <v>8.9700000000000006</v>
      </c>
      <c r="K229" s="133">
        <f t="shared" si="3"/>
        <v>0.37132629368553655</v>
      </c>
      <c r="L229" s="181">
        <v>-2605</v>
      </c>
    </row>
    <row r="230" spans="1:12" x14ac:dyDescent="0.25">
      <c r="A230" s="136">
        <v>42837</v>
      </c>
      <c r="B230" s="201" t="s">
        <v>72</v>
      </c>
      <c r="C230" t="s">
        <v>130</v>
      </c>
      <c r="D230">
        <v>1100</v>
      </c>
      <c r="E230">
        <v>1100</v>
      </c>
      <c r="F230">
        <v>9.0350000000000001</v>
      </c>
      <c r="G230">
        <v>258.39</v>
      </c>
      <c r="H230">
        <v>2.6</v>
      </c>
      <c r="I230" s="309">
        <v>10197</v>
      </c>
      <c r="J230">
        <v>9.27</v>
      </c>
      <c r="K230" s="133">
        <f t="shared" si="3"/>
        <v>3.4742366798440311E-2</v>
      </c>
      <c r="L230" s="181">
        <v>-99</v>
      </c>
    </row>
    <row r="231" spans="1:12" x14ac:dyDescent="0.25">
      <c r="A231" s="136">
        <v>42837</v>
      </c>
      <c r="B231" s="201" t="s">
        <v>70</v>
      </c>
      <c r="C231" t="s">
        <v>131</v>
      </c>
      <c r="D231">
        <v>3700</v>
      </c>
      <c r="E231">
        <v>3700</v>
      </c>
      <c r="F231">
        <v>13.308999999999999</v>
      </c>
      <c r="G231">
        <v>5148.1899999999996</v>
      </c>
      <c r="H231">
        <v>10.45</v>
      </c>
      <c r="I231" s="309">
        <v>54390</v>
      </c>
      <c r="J231">
        <v>14.7</v>
      </c>
      <c r="K231" s="133">
        <f t="shared" si="3"/>
        <v>0.18531306562392552</v>
      </c>
      <c r="L231" s="181">
        <v>-1069</v>
      </c>
    </row>
    <row r="232" spans="1:12" x14ac:dyDescent="0.25">
      <c r="A232" s="136">
        <v>42837</v>
      </c>
      <c r="B232" s="201" t="s">
        <v>835</v>
      </c>
      <c r="C232" t="s">
        <v>839</v>
      </c>
      <c r="I232" s="309">
        <v>1055.22</v>
      </c>
      <c r="K232" s="133">
        <f t="shared" si="3"/>
        <v>3.59525745739435E-3</v>
      </c>
      <c r="L232" s="181">
        <v>0</v>
      </c>
    </row>
    <row r="233" spans="1:12" x14ac:dyDescent="0.25">
      <c r="A233" s="136">
        <v>42838</v>
      </c>
      <c r="B233" s="201">
        <v>519888</v>
      </c>
      <c r="C233" t="s">
        <v>123</v>
      </c>
      <c r="D233">
        <v>7046560</v>
      </c>
      <c r="E233">
        <v>7046560</v>
      </c>
      <c r="F233">
        <v>0.01</v>
      </c>
      <c r="G233">
        <v>1002.11</v>
      </c>
      <c r="H233">
        <v>0</v>
      </c>
      <c r="I233" s="309">
        <v>70465.600000000006</v>
      </c>
      <c r="J233">
        <v>0.01</v>
      </c>
      <c r="K233" s="133">
        <f t="shared" si="3"/>
        <v>0.24026170146183845</v>
      </c>
    </row>
    <row r="234" spans="1:12" x14ac:dyDescent="0.25">
      <c r="A234" s="136">
        <v>42838</v>
      </c>
      <c r="B234" s="201">
        <v>601398</v>
      </c>
      <c r="C234" t="s">
        <v>125</v>
      </c>
      <c r="D234">
        <v>3100</v>
      </c>
      <c r="E234">
        <v>3100</v>
      </c>
      <c r="F234">
        <v>3.2610000000000001</v>
      </c>
      <c r="G234">
        <v>4831.6499999999996</v>
      </c>
      <c r="H234">
        <v>47.5</v>
      </c>
      <c r="I234" s="309">
        <v>14942</v>
      </c>
      <c r="J234">
        <v>4.82</v>
      </c>
      <c r="K234" s="133">
        <f t="shared" si="3"/>
        <v>5.0946707943206188E-2</v>
      </c>
    </row>
    <row r="235" spans="1:12" x14ac:dyDescent="0.25">
      <c r="A235" s="136">
        <v>42838</v>
      </c>
      <c r="B235" s="201">
        <v>601998</v>
      </c>
      <c r="C235" t="s">
        <v>126</v>
      </c>
      <c r="D235">
        <v>2300</v>
      </c>
      <c r="E235">
        <v>1800</v>
      </c>
      <c r="F235">
        <v>6.3739999999999997</v>
      </c>
      <c r="G235">
        <v>565.82000000000005</v>
      </c>
      <c r="H235">
        <v>3.86</v>
      </c>
      <c r="I235" s="309">
        <v>15226</v>
      </c>
      <c r="J235">
        <v>6.62</v>
      </c>
      <c r="K235" s="133">
        <f t="shared" si="3"/>
        <v>5.1915043176499621E-2</v>
      </c>
    </row>
    <row r="236" spans="1:12" x14ac:dyDescent="0.25">
      <c r="A236" s="136">
        <v>42838</v>
      </c>
      <c r="B236" s="312" t="s">
        <v>65</v>
      </c>
      <c r="C236" t="s">
        <v>127</v>
      </c>
      <c r="D236">
        <v>100</v>
      </c>
      <c r="E236">
        <v>100</v>
      </c>
      <c r="F236">
        <v>-43.121000000000002</v>
      </c>
      <c r="G236">
        <v>5605.1</v>
      </c>
      <c r="H236">
        <v>0</v>
      </c>
      <c r="I236" s="309">
        <v>1293</v>
      </c>
      <c r="J236">
        <v>12.93</v>
      </c>
      <c r="K236" s="133">
        <f t="shared" si="3"/>
        <v>4.4086530163676618E-3</v>
      </c>
      <c r="L236" s="181">
        <v>170.3</v>
      </c>
    </row>
    <row r="237" spans="1:12" x14ac:dyDescent="0.25">
      <c r="A237" s="136">
        <v>42838</v>
      </c>
      <c r="B237" s="312" t="s">
        <v>77</v>
      </c>
      <c r="C237" t="s">
        <v>128</v>
      </c>
      <c r="D237">
        <v>600</v>
      </c>
      <c r="E237">
        <v>600</v>
      </c>
      <c r="F237">
        <v>4.3259999999999996</v>
      </c>
      <c r="G237">
        <v>2024.67</v>
      </c>
      <c r="H237">
        <v>77.989999999999995</v>
      </c>
      <c r="I237" s="309">
        <v>4620</v>
      </c>
      <c r="J237">
        <v>7.7</v>
      </c>
      <c r="K237" s="133">
        <f t="shared" si="3"/>
        <v>1.5752495696534103E-2</v>
      </c>
      <c r="L237" s="181">
        <v>761.15</v>
      </c>
    </row>
    <row r="238" spans="1:12" x14ac:dyDescent="0.25">
      <c r="A238" s="136">
        <v>42838</v>
      </c>
      <c r="B238" s="312" t="s">
        <v>67</v>
      </c>
      <c r="C238" t="s">
        <v>129</v>
      </c>
      <c r="D238">
        <v>12150</v>
      </c>
      <c r="E238">
        <v>11650</v>
      </c>
      <c r="F238">
        <v>9.4359999999999999</v>
      </c>
      <c r="G238">
        <v>-5537.65</v>
      </c>
      <c r="H238">
        <v>-4.83</v>
      </c>
      <c r="I238" s="309">
        <v>109107</v>
      </c>
      <c r="J238">
        <v>8.98</v>
      </c>
      <c r="K238" s="133">
        <f t="shared" si="3"/>
        <v>0.37201462077094077</v>
      </c>
      <c r="L238" s="181">
        <v>167.01</v>
      </c>
    </row>
    <row r="239" spans="1:12" x14ac:dyDescent="0.25">
      <c r="A239" s="136">
        <v>42838</v>
      </c>
      <c r="B239" s="312" t="s">
        <v>72</v>
      </c>
      <c r="C239" t="s">
        <v>130</v>
      </c>
      <c r="D239">
        <v>1100</v>
      </c>
      <c r="E239">
        <v>1100</v>
      </c>
      <c r="F239">
        <v>9.0350000000000001</v>
      </c>
      <c r="G239">
        <v>291.39</v>
      </c>
      <c r="H239">
        <v>2.93</v>
      </c>
      <c r="I239" s="309">
        <v>10230</v>
      </c>
      <c r="J239">
        <v>9.3000000000000007</v>
      </c>
      <c r="K239" s="133">
        <f t="shared" si="3"/>
        <v>3.4880526185182656E-2</v>
      </c>
      <c r="L239" s="181">
        <v>33</v>
      </c>
    </row>
    <row r="240" spans="1:12" x14ac:dyDescent="0.25">
      <c r="A240" s="136">
        <v>42838</v>
      </c>
      <c r="B240" s="312" t="s">
        <v>70</v>
      </c>
      <c r="C240" t="s">
        <v>131</v>
      </c>
      <c r="D240">
        <v>4200</v>
      </c>
      <c r="E240">
        <v>3700</v>
      </c>
      <c r="F240">
        <v>13.45</v>
      </c>
      <c r="G240">
        <v>3988.19</v>
      </c>
      <c r="H240">
        <v>7.06</v>
      </c>
      <c r="I240" s="309">
        <v>60480</v>
      </c>
      <c r="J240">
        <v>14.4</v>
      </c>
      <c r="K240" s="133">
        <f t="shared" si="3"/>
        <v>0.20621448911826462</v>
      </c>
      <c r="L240" s="181">
        <v>-1160</v>
      </c>
    </row>
    <row r="241" spans="1:12" x14ac:dyDescent="0.25">
      <c r="A241" s="136">
        <v>42838</v>
      </c>
      <c r="B241" s="201" t="s">
        <v>835</v>
      </c>
      <c r="C241" t="s">
        <v>839</v>
      </c>
      <c r="I241" s="309">
        <v>6923.26</v>
      </c>
      <c r="K241" s="133">
        <f t="shared" si="3"/>
        <v>2.3605762631165952E-2</v>
      </c>
      <c r="L241" s="181">
        <v>0</v>
      </c>
    </row>
    <row r="242" spans="1:12" x14ac:dyDescent="0.25">
      <c r="A242" s="136">
        <v>42842</v>
      </c>
      <c r="B242" s="201" t="s">
        <v>132</v>
      </c>
      <c r="C242" t="s">
        <v>123</v>
      </c>
      <c r="D242">
        <v>4007671</v>
      </c>
      <c r="E242">
        <v>4007671</v>
      </c>
      <c r="F242">
        <v>0.01</v>
      </c>
      <c r="G242">
        <v>1013.22</v>
      </c>
      <c r="H242">
        <v>0</v>
      </c>
      <c r="I242" s="309">
        <v>40076.71</v>
      </c>
      <c r="J242">
        <v>0.01</v>
      </c>
      <c r="K242" s="133">
        <f t="shared" si="3"/>
        <v>0.13938072040846633</v>
      </c>
      <c r="L242" s="181">
        <v>11.11</v>
      </c>
    </row>
    <row r="243" spans="1:12" x14ac:dyDescent="0.25">
      <c r="A243" s="136">
        <v>42842</v>
      </c>
      <c r="B243" s="201" t="s">
        <v>124</v>
      </c>
      <c r="C243" t="s">
        <v>125</v>
      </c>
      <c r="D243">
        <v>3100</v>
      </c>
      <c r="E243">
        <v>3100</v>
      </c>
      <c r="F243">
        <v>3.2610000000000001</v>
      </c>
      <c r="G243">
        <v>4862.6499999999996</v>
      </c>
      <c r="H243">
        <v>48.12</v>
      </c>
      <c r="I243" s="309">
        <v>14973</v>
      </c>
      <c r="J243">
        <v>4.83</v>
      </c>
      <c r="K243" s="133">
        <f t="shared" si="3"/>
        <v>5.2073823591706168E-2</v>
      </c>
      <c r="L243" s="181">
        <v>-62</v>
      </c>
    </row>
    <row r="244" spans="1:12" x14ac:dyDescent="0.25">
      <c r="A244" s="136">
        <v>42842</v>
      </c>
      <c r="B244" s="201" t="s">
        <v>71</v>
      </c>
      <c r="C244" t="s">
        <v>126</v>
      </c>
      <c r="D244">
        <v>3300</v>
      </c>
      <c r="E244">
        <v>2300</v>
      </c>
      <c r="F244">
        <v>6.3929999999999998</v>
      </c>
      <c r="G244">
        <v>24.69</v>
      </c>
      <c r="H244">
        <v>0.11</v>
      </c>
      <c r="I244" s="309">
        <v>21120</v>
      </c>
      <c r="J244">
        <v>6.4</v>
      </c>
      <c r="K244" s="133">
        <f t="shared" si="3"/>
        <v>7.3452157500623408E-2</v>
      </c>
      <c r="L244" s="181">
        <v>-636.20000000000005</v>
      </c>
    </row>
    <row r="245" spans="1:12" x14ac:dyDescent="0.25">
      <c r="A245" s="136">
        <v>42842</v>
      </c>
      <c r="B245" s="201" t="s">
        <v>65</v>
      </c>
      <c r="C245" t="s">
        <v>127</v>
      </c>
      <c r="D245">
        <v>500</v>
      </c>
      <c r="E245">
        <v>100</v>
      </c>
      <c r="F245">
        <v>1.4259999999999999</v>
      </c>
      <c r="G245">
        <v>5577.11</v>
      </c>
      <c r="H245">
        <v>782.19</v>
      </c>
      <c r="I245" s="309">
        <v>6290</v>
      </c>
      <c r="J245">
        <v>12.58</v>
      </c>
      <c r="K245" s="133">
        <f t="shared" si="3"/>
        <v>2.187566622532771E-2</v>
      </c>
      <c r="L245" s="181">
        <v>-27.990000000000698</v>
      </c>
    </row>
    <row r="246" spans="1:12" x14ac:dyDescent="0.25">
      <c r="A246" s="136">
        <v>42842</v>
      </c>
      <c r="B246" s="201" t="s">
        <v>77</v>
      </c>
      <c r="C246" t="s">
        <v>128</v>
      </c>
      <c r="D246">
        <v>600</v>
      </c>
      <c r="E246">
        <v>100</v>
      </c>
      <c r="F246">
        <v>3.2490000000000001</v>
      </c>
      <c r="G246">
        <v>2382.4299999999998</v>
      </c>
      <c r="H246">
        <v>122.22</v>
      </c>
      <c r="I246" s="309">
        <v>4332</v>
      </c>
      <c r="J246">
        <v>7.22</v>
      </c>
      <c r="K246" s="133">
        <f t="shared" si="3"/>
        <v>1.5066039123707416E-2</v>
      </c>
      <c r="L246" s="181">
        <v>357.76</v>
      </c>
    </row>
    <row r="247" spans="1:12" x14ac:dyDescent="0.25">
      <c r="A247" s="136">
        <v>42842</v>
      </c>
      <c r="B247" s="201" t="s">
        <v>67</v>
      </c>
      <c r="C247" t="s">
        <v>129</v>
      </c>
      <c r="D247">
        <v>12650</v>
      </c>
      <c r="E247">
        <v>12150</v>
      </c>
      <c r="F247">
        <v>9.4109999999999996</v>
      </c>
      <c r="G247">
        <v>-7861.15</v>
      </c>
      <c r="H247">
        <v>-6.6</v>
      </c>
      <c r="I247" s="309">
        <v>111193.5</v>
      </c>
      <c r="J247">
        <v>8.7899999999999991</v>
      </c>
      <c r="K247" s="133">
        <f t="shared" si="3"/>
        <v>0.3867141323411728</v>
      </c>
      <c r="L247" s="181">
        <v>-2323.5</v>
      </c>
    </row>
    <row r="248" spans="1:12" x14ac:dyDescent="0.25">
      <c r="A248" s="136">
        <v>42842</v>
      </c>
      <c r="B248" s="201" t="s">
        <v>72</v>
      </c>
      <c r="C248" t="s">
        <v>130</v>
      </c>
      <c r="D248">
        <v>1100</v>
      </c>
      <c r="E248">
        <v>1100</v>
      </c>
      <c r="F248">
        <v>9.0350000000000001</v>
      </c>
      <c r="G248">
        <v>126.39</v>
      </c>
      <c r="H248">
        <v>1.27</v>
      </c>
      <c r="I248" s="309">
        <v>10065</v>
      </c>
      <c r="J248">
        <v>9.15</v>
      </c>
      <c r="K248" s="133">
        <f t="shared" si="3"/>
        <v>3.5004543808890842E-2</v>
      </c>
      <c r="L248" s="181">
        <v>-165</v>
      </c>
    </row>
    <row r="249" spans="1:12" x14ac:dyDescent="0.25">
      <c r="A249" s="136">
        <v>42842</v>
      </c>
      <c r="B249" s="201" t="s">
        <v>70</v>
      </c>
      <c r="C249" t="s">
        <v>131</v>
      </c>
      <c r="D249">
        <v>5700</v>
      </c>
      <c r="E249">
        <v>5200</v>
      </c>
      <c r="F249">
        <v>13.593</v>
      </c>
      <c r="G249">
        <v>893.19</v>
      </c>
      <c r="H249">
        <v>1.1599999999999999</v>
      </c>
      <c r="I249" s="309">
        <v>78375</v>
      </c>
      <c r="J249">
        <v>13.75</v>
      </c>
      <c r="K249" s="133">
        <f t="shared" si="3"/>
        <v>0.27257636572496968</v>
      </c>
      <c r="L249" s="181">
        <v>-3095</v>
      </c>
    </row>
    <row r="250" spans="1:12" x14ac:dyDescent="0.25">
      <c r="A250" s="136">
        <v>42842</v>
      </c>
      <c r="B250" s="201" t="s">
        <v>835</v>
      </c>
      <c r="C250" t="s">
        <v>839</v>
      </c>
      <c r="I250" s="309">
        <v>1108.8900000000001</v>
      </c>
      <c r="K250" s="133">
        <f t="shared" si="3"/>
        <v>3.8565512751357152E-3</v>
      </c>
      <c r="L250" s="181">
        <v>0</v>
      </c>
    </row>
    <row r="251" spans="1:12" x14ac:dyDescent="0.25">
      <c r="A251" s="136">
        <v>42845</v>
      </c>
      <c r="B251" s="201" t="s">
        <v>132</v>
      </c>
      <c r="C251" t="s">
        <v>123</v>
      </c>
      <c r="D251">
        <v>3009788</v>
      </c>
      <c r="E251">
        <v>3009788</v>
      </c>
      <c r="F251">
        <v>0.01</v>
      </c>
      <c r="G251">
        <v>1034.3900000000001</v>
      </c>
      <c r="H251">
        <v>0</v>
      </c>
      <c r="I251" s="309">
        <v>30097.88</v>
      </c>
      <c r="J251">
        <v>0.01</v>
      </c>
      <c r="K251" s="133">
        <f t="shared" si="3"/>
        <v>0.10719210309657774</v>
      </c>
      <c r="L251" s="181">
        <v>21.170000000000101</v>
      </c>
    </row>
    <row r="252" spans="1:12" x14ac:dyDescent="0.25">
      <c r="A252" s="136">
        <v>42845</v>
      </c>
      <c r="B252" s="201" t="s">
        <v>124</v>
      </c>
      <c r="C252" t="s">
        <v>125</v>
      </c>
      <c r="D252">
        <v>3100</v>
      </c>
      <c r="E252">
        <v>3100</v>
      </c>
      <c r="F252">
        <v>3.2610000000000001</v>
      </c>
      <c r="G252">
        <v>4552.6499999999996</v>
      </c>
      <c r="H252">
        <v>45.05</v>
      </c>
      <c r="I252" s="309">
        <v>14663</v>
      </c>
      <c r="J252">
        <v>4.7300000000000004</v>
      </c>
      <c r="K252" s="133">
        <f t="shared" si="3"/>
        <v>5.2221545427954374E-2</v>
      </c>
      <c r="L252" s="181">
        <v>-310</v>
      </c>
    </row>
    <row r="253" spans="1:12" x14ac:dyDescent="0.25">
      <c r="A253" s="136">
        <v>42845</v>
      </c>
      <c r="B253" s="201" t="s">
        <v>71</v>
      </c>
      <c r="C253" t="s">
        <v>126</v>
      </c>
      <c r="D253">
        <v>3800</v>
      </c>
      <c r="E253">
        <v>3800</v>
      </c>
      <c r="F253">
        <v>6.3659999999999997</v>
      </c>
      <c r="G253">
        <v>-896.37</v>
      </c>
      <c r="H253">
        <v>-3.71</v>
      </c>
      <c r="I253" s="309">
        <v>23294</v>
      </c>
      <c r="J253">
        <v>6.13</v>
      </c>
      <c r="K253" s="133">
        <f t="shared" si="3"/>
        <v>8.2960422778337942E-2</v>
      </c>
      <c r="L253" s="181">
        <v>-921.06</v>
      </c>
    </row>
    <row r="254" spans="1:12" x14ac:dyDescent="0.25">
      <c r="A254" s="136">
        <v>42845</v>
      </c>
      <c r="B254" s="201" t="s">
        <v>65</v>
      </c>
      <c r="C254" t="s">
        <v>127</v>
      </c>
      <c r="D254">
        <v>100</v>
      </c>
      <c r="E254">
        <v>100</v>
      </c>
      <c r="F254">
        <v>-43.128</v>
      </c>
      <c r="G254">
        <v>5599.8</v>
      </c>
      <c r="H254">
        <v>0</v>
      </c>
      <c r="I254" s="309">
        <v>1287</v>
      </c>
      <c r="J254">
        <v>12.87</v>
      </c>
      <c r="K254" s="133">
        <f t="shared" si="3"/>
        <v>4.5835865079299791E-3</v>
      </c>
      <c r="L254" s="181">
        <v>22.690000000000499</v>
      </c>
    </row>
    <row r="255" spans="1:12" x14ac:dyDescent="0.25">
      <c r="A255" s="136">
        <v>42845</v>
      </c>
      <c r="B255" s="201" t="s">
        <v>77</v>
      </c>
      <c r="C255" t="s">
        <v>128</v>
      </c>
      <c r="D255">
        <v>100</v>
      </c>
      <c r="E255">
        <v>100</v>
      </c>
      <c r="F255">
        <v>-16.818000000000001</v>
      </c>
      <c r="G255">
        <v>2410.8000000000002</v>
      </c>
      <c r="H255">
        <v>0</v>
      </c>
      <c r="I255" s="309">
        <v>729</v>
      </c>
      <c r="J255">
        <v>7.29</v>
      </c>
      <c r="K255" s="133">
        <f t="shared" si="3"/>
        <v>2.5962972527435544E-3</v>
      </c>
      <c r="L255" s="181">
        <v>28.370000000000299</v>
      </c>
    </row>
    <row r="256" spans="1:12" x14ac:dyDescent="0.25">
      <c r="A256" s="136">
        <v>42845</v>
      </c>
      <c r="B256" s="201" t="s">
        <v>67</v>
      </c>
      <c r="C256" t="s">
        <v>129</v>
      </c>
      <c r="D256">
        <v>13150</v>
      </c>
      <c r="E256">
        <v>13150</v>
      </c>
      <c r="F256">
        <v>9.3689999999999998</v>
      </c>
      <c r="G256">
        <v>-10907.54</v>
      </c>
      <c r="H256">
        <v>-8.85</v>
      </c>
      <c r="I256" s="309">
        <v>112301</v>
      </c>
      <c r="J256">
        <v>8.5399999999999991</v>
      </c>
      <c r="K256" s="133">
        <f t="shared" si="3"/>
        <v>0.39995442768224132</v>
      </c>
      <c r="L256" s="181">
        <v>-3046.39</v>
      </c>
    </row>
    <row r="257" spans="1:12" x14ac:dyDescent="0.25">
      <c r="A257" s="136">
        <v>42845</v>
      </c>
      <c r="B257" s="201" t="s">
        <v>72</v>
      </c>
      <c r="C257" t="s">
        <v>130</v>
      </c>
      <c r="D257">
        <v>1600</v>
      </c>
      <c r="E257">
        <v>1600</v>
      </c>
      <c r="F257">
        <v>8.9369999999999994</v>
      </c>
      <c r="G257">
        <v>-554.61</v>
      </c>
      <c r="H257">
        <v>-3.88</v>
      </c>
      <c r="I257" s="309">
        <v>13744</v>
      </c>
      <c r="J257">
        <v>8.59</v>
      </c>
      <c r="K257" s="133">
        <f t="shared" si="3"/>
        <v>4.8948572622369561E-2</v>
      </c>
      <c r="L257" s="181">
        <v>-681</v>
      </c>
    </row>
    <row r="258" spans="1:12" x14ac:dyDescent="0.25">
      <c r="A258" s="136">
        <v>42845</v>
      </c>
      <c r="B258" s="201" t="s">
        <v>70</v>
      </c>
      <c r="C258" t="s">
        <v>131</v>
      </c>
      <c r="D258">
        <v>5800</v>
      </c>
      <c r="E258">
        <v>5800</v>
      </c>
      <c r="F258">
        <v>13.577</v>
      </c>
      <c r="G258">
        <v>-970.17</v>
      </c>
      <c r="H258">
        <v>-1.23</v>
      </c>
      <c r="I258" s="309">
        <v>77778</v>
      </c>
      <c r="J258">
        <v>13.41</v>
      </c>
      <c r="K258" s="133">
        <f t="shared" ref="K258:K321" si="4">I258/SUMIF(A:A,A258,I:I)</f>
        <v>0.27700247973098513</v>
      </c>
      <c r="L258" s="181">
        <v>-1863.36</v>
      </c>
    </row>
    <row r="259" spans="1:12" x14ac:dyDescent="0.25">
      <c r="A259" s="136">
        <v>42845</v>
      </c>
      <c r="B259" s="201" t="s">
        <v>835</v>
      </c>
      <c r="C259" t="s">
        <v>839</v>
      </c>
      <c r="I259" s="309">
        <v>6890.61</v>
      </c>
      <c r="K259" s="133">
        <f t="shared" si="4"/>
        <v>2.4540564900860443E-2</v>
      </c>
      <c r="L259" s="181">
        <v>0</v>
      </c>
    </row>
    <row r="260" spans="1:12" x14ac:dyDescent="0.25">
      <c r="A260" s="136">
        <v>42849</v>
      </c>
      <c r="B260" s="201" t="str">
        <f>"519888"</f>
        <v>519888</v>
      </c>
      <c r="C260" t="str">
        <f>"添富快线"</f>
        <v>添富快线</v>
      </c>
      <c r="D260">
        <v>2010051</v>
      </c>
      <c r="E260">
        <v>2010051</v>
      </c>
      <c r="F260">
        <v>8.9999999999999993E-3</v>
      </c>
      <c r="G260">
        <v>1037.02</v>
      </c>
      <c r="H260">
        <v>11.11</v>
      </c>
      <c r="I260" s="309">
        <v>20100.509999999998</v>
      </c>
      <c r="J260">
        <v>0.01</v>
      </c>
      <c r="K260" s="133">
        <f t="shared" si="4"/>
        <v>6.8882745419739211E-2</v>
      </c>
      <c r="L260" s="181">
        <v>2.62999999999988</v>
      </c>
    </row>
    <row r="261" spans="1:12" x14ac:dyDescent="0.25">
      <c r="A261" s="136">
        <v>42849</v>
      </c>
      <c r="B261" s="201" t="str">
        <f>"601398"</f>
        <v>601398</v>
      </c>
      <c r="C261" t="str">
        <f>"工商银行"</f>
        <v>工商银行</v>
      </c>
      <c r="D261">
        <v>3100</v>
      </c>
      <c r="E261">
        <v>3100</v>
      </c>
      <c r="F261">
        <v>3.2610000000000001</v>
      </c>
      <c r="G261">
        <v>4831.6499999999996</v>
      </c>
      <c r="H261">
        <v>47.81</v>
      </c>
      <c r="I261" s="309">
        <v>14942</v>
      </c>
      <c r="J261">
        <v>4.82</v>
      </c>
      <c r="K261" s="133">
        <f t="shared" si="4"/>
        <v>5.1204968533720953E-2</v>
      </c>
      <c r="L261" s="181">
        <v>279</v>
      </c>
    </row>
    <row r="262" spans="1:12" x14ac:dyDescent="0.25">
      <c r="A262" s="136">
        <v>42849</v>
      </c>
      <c r="B262" s="201" t="str">
        <f>"601998"</f>
        <v>601998</v>
      </c>
      <c r="C262" t="str">
        <f>"中信银行"</f>
        <v>中信银行</v>
      </c>
      <c r="D262">
        <v>3800</v>
      </c>
      <c r="E262">
        <v>3800</v>
      </c>
      <c r="F262">
        <v>6.3659999999999997</v>
      </c>
      <c r="G262">
        <v>-744.37</v>
      </c>
      <c r="H262">
        <v>-3.08</v>
      </c>
      <c r="I262" s="309">
        <v>23446</v>
      </c>
      <c r="J262">
        <v>6.17</v>
      </c>
      <c r="K262" s="133">
        <f t="shared" si="4"/>
        <v>8.0347456313854995E-2</v>
      </c>
      <c r="L262" s="181">
        <v>152</v>
      </c>
    </row>
    <row r="263" spans="1:12" x14ac:dyDescent="0.25">
      <c r="A263" s="136">
        <v>42849</v>
      </c>
      <c r="B263" s="201" t="str">
        <f>"000402"</f>
        <v>000402</v>
      </c>
      <c r="C263" t="str">
        <f>"金 融 街"</f>
        <v>金 融 街</v>
      </c>
      <c r="D263">
        <v>600</v>
      </c>
      <c r="E263">
        <v>100</v>
      </c>
      <c r="F263">
        <v>2.72</v>
      </c>
      <c r="G263">
        <v>5753.78</v>
      </c>
      <c r="H263">
        <v>352.57</v>
      </c>
      <c r="I263" s="309">
        <v>7386</v>
      </c>
      <c r="J263">
        <v>12.31</v>
      </c>
      <c r="K263" s="133">
        <f t="shared" si="4"/>
        <v>2.5311196465671457E-2</v>
      </c>
      <c r="L263" s="181">
        <v>153.97999999999999</v>
      </c>
    </row>
    <row r="264" spans="1:12" x14ac:dyDescent="0.25">
      <c r="A264" s="136">
        <v>42849</v>
      </c>
      <c r="B264" s="201" t="str">
        <f>"000415"</f>
        <v>000415</v>
      </c>
      <c r="C264" t="str">
        <f>"渤海金控"</f>
        <v>渤海金控</v>
      </c>
      <c r="D264">
        <v>600</v>
      </c>
      <c r="E264">
        <v>100</v>
      </c>
      <c r="F264">
        <v>2.8719999999999999</v>
      </c>
      <c r="G264">
        <v>2308.79</v>
      </c>
      <c r="H264">
        <v>133.97999999999999</v>
      </c>
      <c r="I264" s="309">
        <v>4032</v>
      </c>
      <c r="J264">
        <v>6.72</v>
      </c>
      <c r="K264" s="133">
        <f t="shared" si="4"/>
        <v>1.3817322522283688E-2</v>
      </c>
      <c r="L264" s="181">
        <v>-102.01</v>
      </c>
    </row>
    <row r="265" spans="1:12" x14ac:dyDescent="0.25">
      <c r="A265" s="136">
        <v>42849</v>
      </c>
      <c r="B265" s="201" t="str">
        <f>"000528"</f>
        <v>000528</v>
      </c>
      <c r="C265" t="str">
        <f>"柳    工"</f>
        <v>柳    工</v>
      </c>
      <c r="D265">
        <v>14650</v>
      </c>
      <c r="E265">
        <v>13650</v>
      </c>
      <c r="F265">
        <v>9.2609999999999992</v>
      </c>
      <c r="G265">
        <v>-16857.04</v>
      </c>
      <c r="H265">
        <v>-12.43</v>
      </c>
      <c r="I265" s="309">
        <v>118811.5</v>
      </c>
      <c r="J265">
        <v>8.11</v>
      </c>
      <c r="K265" s="133">
        <f t="shared" si="4"/>
        <v>0.40715694812904474</v>
      </c>
      <c r="L265" s="181">
        <v>-5949.5</v>
      </c>
    </row>
    <row r="266" spans="1:12" x14ac:dyDescent="0.25">
      <c r="A266" s="136">
        <v>42849</v>
      </c>
      <c r="B266" s="201" t="str">
        <f>"002006"</f>
        <v>002006</v>
      </c>
      <c r="C266" t="str">
        <f>"精功科技"</f>
        <v>精功科技</v>
      </c>
      <c r="D266">
        <v>2600</v>
      </c>
      <c r="E266">
        <v>1600</v>
      </c>
      <c r="F266">
        <v>8.6669999999999998</v>
      </c>
      <c r="G266">
        <v>-1551.61</v>
      </c>
      <c r="H266">
        <v>-6.89</v>
      </c>
      <c r="I266" s="309">
        <v>20982</v>
      </c>
      <c r="J266">
        <v>8.07</v>
      </c>
      <c r="K266" s="133">
        <f t="shared" si="4"/>
        <v>7.1903536994681633E-2</v>
      </c>
      <c r="L266" s="181">
        <v>-997</v>
      </c>
    </row>
    <row r="267" spans="1:12" x14ac:dyDescent="0.25">
      <c r="A267" s="136">
        <v>42849</v>
      </c>
      <c r="B267" s="201" t="str">
        <f>"002140"</f>
        <v>002140</v>
      </c>
      <c r="C267" t="str">
        <f>"东华科技"</f>
        <v>东华科技</v>
      </c>
      <c r="D267">
        <v>6300</v>
      </c>
      <c r="E267">
        <v>5800</v>
      </c>
      <c r="F267">
        <v>13.542999999999999</v>
      </c>
      <c r="G267">
        <v>-3486.17</v>
      </c>
      <c r="H267">
        <v>-4.08</v>
      </c>
      <c r="I267" s="309">
        <v>81837</v>
      </c>
      <c r="J267">
        <v>12.99</v>
      </c>
      <c r="K267" s="133">
        <f t="shared" si="4"/>
        <v>0.28044846806947676</v>
      </c>
      <c r="L267" s="181">
        <v>-2516</v>
      </c>
    </row>
    <row r="268" spans="1:12" x14ac:dyDescent="0.25">
      <c r="A268" s="136">
        <v>42849</v>
      </c>
      <c r="B268" s="201" t="s">
        <v>835</v>
      </c>
      <c r="C268" t="s">
        <v>839</v>
      </c>
      <c r="I268" s="309">
        <v>270.61</v>
      </c>
      <c r="K268" s="133">
        <f t="shared" si="4"/>
        <v>9.2735755152658457E-4</v>
      </c>
      <c r="L268" s="181">
        <v>0</v>
      </c>
    </row>
    <row r="269" spans="1:12" x14ac:dyDescent="0.25">
      <c r="A269" s="136">
        <v>42851</v>
      </c>
      <c r="B269" s="201">
        <v>519888</v>
      </c>
      <c r="C269" t="s">
        <v>123</v>
      </c>
      <c r="D269">
        <v>2010933</v>
      </c>
      <c r="E269">
        <v>2010933</v>
      </c>
      <c r="F269">
        <v>8.9999999999999993E-3</v>
      </c>
      <c r="G269">
        <v>1045.8399999999999</v>
      </c>
      <c r="H269">
        <v>11.11</v>
      </c>
      <c r="I269" s="309">
        <v>20109.330000000002</v>
      </c>
      <c r="J269">
        <v>0.01</v>
      </c>
      <c r="K269" s="133">
        <f t="shared" si="4"/>
        <v>6.8569899982132351E-2</v>
      </c>
      <c r="L269" s="181">
        <v>43.729999999999897</v>
      </c>
    </row>
    <row r="270" spans="1:12" x14ac:dyDescent="0.25">
      <c r="A270" s="136">
        <v>42851</v>
      </c>
      <c r="B270" s="201">
        <v>601398</v>
      </c>
      <c r="C270" t="s">
        <v>125</v>
      </c>
      <c r="D270">
        <v>2700</v>
      </c>
      <c r="E270">
        <v>2700</v>
      </c>
      <c r="F270">
        <v>3.0289999999999999</v>
      </c>
      <c r="G270">
        <v>4971.67</v>
      </c>
      <c r="H270">
        <v>60.78</v>
      </c>
      <c r="I270" s="309">
        <v>13149</v>
      </c>
      <c r="J270">
        <v>4.87</v>
      </c>
      <c r="K270" s="133">
        <f t="shared" si="4"/>
        <v>4.4836183744811901E-2</v>
      </c>
      <c r="L270" s="181">
        <v>140.02000000000001</v>
      </c>
    </row>
    <row r="271" spans="1:12" x14ac:dyDescent="0.25">
      <c r="A271" s="136">
        <v>42851</v>
      </c>
      <c r="B271" s="201">
        <v>601998</v>
      </c>
      <c r="C271" t="s">
        <v>126</v>
      </c>
      <c r="D271">
        <v>4300</v>
      </c>
      <c r="E271">
        <v>3800</v>
      </c>
      <c r="F271">
        <v>6.3289999999999997</v>
      </c>
      <c r="G271">
        <v>-1329.43</v>
      </c>
      <c r="H271">
        <v>-4.88</v>
      </c>
      <c r="I271" s="309">
        <v>25886</v>
      </c>
      <c r="J271">
        <v>6.02</v>
      </c>
      <c r="K271" s="133">
        <f t="shared" si="4"/>
        <v>8.8267507218663083E-2</v>
      </c>
      <c r="L271" s="181">
        <v>-1895.25</v>
      </c>
    </row>
    <row r="272" spans="1:12" x14ac:dyDescent="0.25">
      <c r="A272" s="136">
        <v>42851</v>
      </c>
      <c r="B272" s="312" t="s">
        <v>65</v>
      </c>
      <c r="C272" t="s">
        <v>127</v>
      </c>
      <c r="D272">
        <v>100</v>
      </c>
      <c r="E272">
        <v>100</v>
      </c>
      <c r="F272">
        <v>-46.564999999999998</v>
      </c>
      <c r="G272">
        <v>5926.5</v>
      </c>
      <c r="H272">
        <v>0</v>
      </c>
      <c r="I272" s="309">
        <v>1270</v>
      </c>
      <c r="J272">
        <v>12.7</v>
      </c>
      <c r="K272" s="133">
        <f t="shared" si="4"/>
        <v>4.3305158837866845E-3</v>
      </c>
      <c r="L272" s="181">
        <v>172.72</v>
      </c>
    </row>
    <row r="273" spans="1:12" x14ac:dyDescent="0.25">
      <c r="A273" s="136">
        <v>42851</v>
      </c>
      <c r="B273" s="312" t="s">
        <v>77</v>
      </c>
      <c r="C273" t="s">
        <v>128</v>
      </c>
      <c r="D273">
        <v>100</v>
      </c>
      <c r="E273">
        <v>100</v>
      </c>
      <c r="F273">
        <v>-17.683</v>
      </c>
      <c r="G273">
        <v>2461.3000000000002</v>
      </c>
      <c r="H273">
        <v>0</v>
      </c>
      <c r="I273" s="309">
        <v>693</v>
      </c>
      <c r="J273">
        <v>6.93</v>
      </c>
      <c r="K273" s="133">
        <f t="shared" si="4"/>
        <v>2.3630295334363563E-3</v>
      </c>
      <c r="L273" s="181">
        <v>152.51</v>
      </c>
    </row>
    <row r="274" spans="1:12" x14ac:dyDescent="0.25">
      <c r="A274" s="136">
        <v>42851</v>
      </c>
      <c r="B274" s="312" t="s">
        <v>67</v>
      </c>
      <c r="C274" t="s">
        <v>129</v>
      </c>
      <c r="D274">
        <v>14650</v>
      </c>
      <c r="E274">
        <v>14650</v>
      </c>
      <c r="F274">
        <v>9.2609999999999992</v>
      </c>
      <c r="G274">
        <v>-15978</v>
      </c>
      <c r="H274">
        <v>-11.78</v>
      </c>
      <c r="I274" s="309">
        <v>119690.5</v>
      </c>
      <c r="J274">
        <v>8.17</v>
      </c>
      <c r="K274" s="133">
        <f t="shared" si="4"/>
        <v>0.40812725306170877</v>
      </c>
      <c r="L274" s="181">
        <v>879.04000000000099</v>
      </c>
    </row>
    <row r="275" spans="1:12" x14ac:dyDescent="0.25">
      <c r="A275" s="136">
        <v>42851</v>
      </c>
      <c r="B275" s="312" t="s">
        <v>72</v>
      </c>
      <c r="C275" t="s">
        <v>130</v>
      </c>
      <c r="D275">
        <v>2600</v>
      </c>
      <c r="E275">
        <v>2600</v>
      </c>
      <c r="F275">
        <v>8.6669999999999998</v>
      </c>
      <c r="G275">
        <v>-1499.61</v>
      </c>
      <c r="H275">
        <v>-6.66</v>
      </c>
      <c r="I275" s="309">
        <v>21034</v>
      </c>
      <c r="J275">
        <v>8.09</v>
      </c>
      <c r="K275" s="133">
        <f t="shared" si="4"/>
        <v>7.1722890629581981E-2</v>
      </c>
      <c r="L275" s="181">
        <v>52</v>
      </c>
    </row>
    <row r="276" spans="1:12" x14ac:dyDescent="0.25">
      <c r="A276" s="136">
        <v>42851</v>
      </c>
      <c r="B276" s="312" t="s">
        <v>70</v>
      </c>
      <c r="C276" t="s">
        <v>131</v>
      </c>
      <c r="D276">
        <v>6800</v>
      </c>
      <c r="E276">
        <v>6300</v>
      </c>
      <c r="F276">
        <v>13.509</v>
      </c>
      <c r="G276">
        <v>-2846.17</v>
      </c>
      <c r="H276">
        <v>-3.1</v>
      </c>
      <c r="I276" s="309">
        <v>89012</v>
      </c>
      <c r="J276">
        <v>13.09</v>
      </c>
      <c r="K276" s="133">
        <f t="shared" si="4"/>
        <v>0.30351801562804753</v>
      </c>
      <c r="L276" s="181">
        <v>640</v>
      </c>
    </row>
    <row r="277" spans="1:12" x14ac:dyDescent="0.25">
      <c r="A277" s="136">
        <v>42851</v>
      </c>
      <c r="B277" s="201" t="s">
        <v>835</v>
      </c>
      <c r="C277" t="s">
        <v>839</v>
      </c>
      <c r="I277" s="309">
        <v>2423.77</v>
      </c>
      <c r="K277" s="133">
        <f t="shared" si="4"/>
        <v>8.2647043178312226E-3</v>
      </c>
      <c r="L277" s="181">
        <v>0</v>
      </c>
    </row>
    <row r="278" spans="1:12" x14ac:dyDescent="0.25">
      <c r="A278" s="136">
        <v>42852</v>
      </c>
      <c r="B278" s="201" t="str">
        <f>"519888"</f>
        <v>519888</v>
      </c>
      <c r="C278" t="str">
        <f>"添富快线"</f>
        <v>添富快线</v>
      </c>
      <c r="D278">
        <v>11119</v>
      </c>
      <c r="E278">
        <v>11119</v>
      </c>
      <c r="F278">
        <v>-8.4000000000000005E-2</v>
      </c>
      <c r="G278">
        <v>1045.1859999999999</v>
      </c>
      <c r="H278">
        <v>0</v>
      </c>
      <c r="I278" s="309">
        <v>111.19</v>
      </c>
      <c r="J278">
        <v>0.01</v>
      </c>
      <c r="K278" s="133">
        <f t="shared" si="4"/>
        <v>3.7010141124837348E-4</v>
      </c>
      <c r="L278" s="181">
        <v>8.16599999999994</v>
      </c>
    </row>
    <row r="279" spans="1:12" x14ac:dyDescent="0.25">
      <c r="A279" s="136">
        <v>42852</v>
      </c>
      <c r="B279" s="201" t="str">
        <f>"601398"</f>
        <v>601398</v>
      </c>
      <c r="C279" t="str">
        <f>"工商银行"</f>
        <v>工商银行</v>
      </c>
      <c r="D279">
        <v>2700</v>
      </c>
      <c r="E279">
        <v>2700</v>
      </c>
      <c r="F279">
        <v>3.0289999999999999</v>
      </c>
      <c r="G279">
        <v>4998.67</v>
      </c>
      <c r="H279">
        <v>61.11</v>
      </c>
      <c r="I279" s="309">
        <v>13176</v>
      </c>
      <c r="J279">
        <v>4.88</v>
      </c>
      <c r="K279" s="133">
        <f t="shared" si="4"/>
        <v>4.385696730469079E-2</v>
      </c>
      <c r="L279" s="181">
        <v>167.02</v>
      </c>
    </row>
    <row r="280" spans="1:12" x14ac:dyDescent="0.25">
      <c r="A280" s="136">
        <v>42852</v>
      </c>
      <c r="B280" s="201" t="str">
        <f>"601998"</f>
        <v>601998</v>
      </c>
      <c r="C280" t="str">
        <f>"中信银行"</f>
        <v>中信银行</v>
      </c>
      <c r="D280">
        <v>4800</v>
      </c>
      <c r="E280">
        <v>4300</v>
      </c>
      <c r="F280">
        <v>6.29</v>
      </c>
      <c r="G280">
        <v>-1390.49</v>
      </c>
      <c r="H280">
        <v>-4.6100000000000003</v>
      </c>
      <c r="I280" s="309">
        <v>28800</v>
      </c>
      <c r="J280">
        <v>6</v>
      </c>
      <c r="K280" s="133">
        <f t="shared" si="4"/>
        <v>9.5862223616810474E-2</v>
      </c>
      <c r="L280" s="181">
        <v>-646.12</v>
      </c>
    </row>
    <row r="281" spans="1:12" x14ac:dyDescent="0.25">
      <c r="A281" s="136">
        <v>42852</v>
      </c>
      <c r="B281" s="201" t="str">
        <f>"000402"</f>
        <v>000402</v>
      </c>
      <c r="C281" t="str">
        <f>"金 融 街"</f>
        <v>金 融 街</v>
      </c>
      <c r="D281">
        <v>600</v>
      </c>
      <c r="E281">
        <v>100</v>
      </c>
      <c r="F281">
        <v>1.9890000000000001</v>
      </c>
      <c r="G281">
        <v>5766.48</v>
      </c>
      <c r="H281">
        <v>483.21</v>
      </c>
      <c r="I281" s="309">
        <v>6960</v>
      </c>
      <c r="J281">
        <v>11.6</v>
      </c>
      <c r="K281" s="133">
        <f t="shared" si="4"/>
        <v>2.3166704040729198E-2</v>
      </c>
      <c r="L281" s="181">
        <v>-160.02000000000001</v>
      </c>
    </row>
    <row r="282" spans="1:12" x14ac:dyDescent="0.25">
      <c r="A282" s="136">
        <v>42852</v>
      </c>
      <c r="B282" s="201" t="str">
        <f>"000415"</f>
        <v>000415</v>
      </c>
      <c r="C282" t="str">
        <f>"渤海金控"</f>
        <v>渤海金控</v>
      </c>
      <c r="D282">
        <v>100</v>
      </c>
      <c r="E282">
        <v>100</v>
      </c>
      <c r="F282">
        <v>-17.683</v>
      </c>
      <c r="G282">
        <v>2457.3000000000002</v>
      </c>
      <c r="H282">
        <v>0</v>
      </c>
      <c r="I282" s="309">
        <v>689</v>
      </c>
      <c r="J282">
        <v>6.89</v>
      </c>
      <c r="K282" s="133">
        <f t="shared" si="4"/>
        <v>2.293370558054945E-3</v>
      </c>
      <c r="L282" s="181">
        <v>-4</v>
      </c>
    </row>
    <row r="283" spans="1:12" x14ac:dyDescent="0.25">
      <c r="A283" s="136">
        <v>42852</v>
      </c>
      <c r="B283" s="201" t="str">
        <f>"000528"</f>
        <v>000528</v>
      </c>
      <c r="C283" t="str">
        <f>"柳    工"</f>
        <v>柳    工</v>
      </c>
      <c r="D283">
        <v>14150</v>
      </c>
      <c r="E283">
        <v>14150</v>
      </c>
      <c r="F283">
        <v>9.2949999999999999</v>
      </c>
      <c r="G283">
        <v>-13789.7</v>
      </c>
      <c r="H283">
        <v>-10.49</v>
      </c>
      <c r="I283" s="309">
        <v>117728</v>
      </c>
      <c r="J283">
        <v>8.32</v>
      </c>
      <c r="K283" s="133">
        <f t="shared" si="4"/>
        <v>0.39186346742916189</v>
      </c>
      <c r="L283" s="181">
        <v>2188.3000000000002</v>
      </c>
    </row>
    <row r="284" spans="1:12" x14ac:dyDescent="0.25">
      <c r="A284" s="136">
        <v>42852</v>
      </c>
      <c r="B284" s="201" t="str">
        <f>"002006"</f>
        <v>002006</v>
      </c>
      <c r="C284" t="str">
        <f>"精功科技"</f>
        <v>精功科技</v>
      </c>
      <c r="D284">
        <v>2600</v>
      </c>
      <c r="E284">
        <v>2100</v>
      </c>
      <c r="F284">
        <v>8.6110000000000007</v>
      </c>
      <c r="G284">
        <v>-1145.6600000000001</v>
      </c>
      <c r="H284">
        <v>-5.12</v>
      </c>
      <c r="I284" s="309">
        <v>21242</v>
      </c>
      <c r="J284">
        <v>8.17</v>
      </c>
      <c r="K284" s="133">
        <f t="shared" si="4"/>
        <v>7.070504701626E-2</v>
      </c>
      <c r="L284" s="181">
        <v>353.95</v>
      </c>
    </row>
    <row r="285" spans="1:12" x14ac:dyDescent="0.25">
      <c r="A285" s="136">
        <v>42852</v>
      </c>
      <c r="B285" s="201" t="str">
        <f>"002140"</f>
        <v>002140</v>
      </c>
      <c r="C285" t="str">
        <f>"东华科技"</f>
        <v>东华科技</v>
      </c>
      <c r="D285">
        <v>6400</v>
      </c>
      <c r="E285">
        <v>6400</v>
      </c>
      <c r="F285">
        <v>13.492000000000001</v>
      </c>
      <c r="G285">
        <v>1971.31</v>
      </c>
      <c r="H285">
        <v>2.2799999999999998</v>
      </c>
      <c r="I285" s="309">
        <v>88320</v>
      </c>
      <c r="J285">
        <v>13.8</v>
      </c>
      <c r="K285" s="133">
        <f t="shared" si="4"/>
        <v>0.2939774857582188</v>
      </c>
      <c r="L285" s="181">
        <v>4817.4799999999996</v>
      </c>
    </row>
    <row r="286" spans="1:12" x14ac:dyDescent="0.25">
      <c r="A286" s="136">
        <v>42852</v>
      </c>
      <c r="B286" s="201" t="s">
        <v>835</v>
      </c>
      <c r="C286" t="s">
        <v>839</v>
      </c>
      <c r="I286" s="309">
        <v>23404.98</v>
      </c>
      <c r="K286" s="133">
        <f t="shared" si="4"/>
        <v>7.7904632864825574E-2</v>
      </c>
      <c r="L286" s="181">
        <v>0</v>
      </c>
    </row>
    <row r="287" spans="1:12" x14ac:dyDescent="0.25">
      <c r="A287" s="136">
        <v>42853</v>
      </c>
      <c r="B287" s="201" t="str">
        <f>"519888"</f>
        <v>519888</v>
      </c>
      <c r="C287" t="str">
        <f>"添富快线"</f>
        <v>添富快线</v>
      </c>
      <c r="D287">
        <v>11307</v>
      </c>
      <c r="E287">
        <v>11307</v>
      </c>
      <c r="F287">
        <v>-8.3000000000000004E-2</v>
      </c>
      <c r="G287">
        <v>1051.5509999999999</v>
      </c>
      <c r="H287">
        <v>0</v>
      </c>
      <c r="I287" s="309">
        <v>113.07</v>
      </c>
      <c r="J287">
        <v>0.01</v>
      </c>
      <c r="K287" s="133">
        <f t="shared" si="4"/>
        <v>3.7615980527384228E-4</v>
      </c>
      <c r="L287" s="181">
        <v>6.36500000000001</v>
      </c>
    </row>
    <row r="288" spans="1:12" x14ac:dyDescent="0.25">
      <c r="A288" s="136">
        <v>42853</v>
      </c>
      <c r="B288" s="201" t="str">
        <f>"601398"</f>
        <v>601398</v>
      </c>
      <c r="C288" t="str">
        <f>"工商银行"</f>
        <v>工商银行</v>
      </c>
      <c r="D288">
        <v>2700</v>
      </c>
      <c r="E288">
        <v>2700</v>
      </c>
      <c r="F288">
        <v>3.0289999999999999</v>
      </c>
      <c r="G288">
        <v>4998.67</v>
      </c>
      <c r="H288">
        <v>61.11</v>
      </c>
      <c r="I288" s="309">
        <v>13176</v>
      </c>
      <c r="J288">
        <v>4.88</v>
      </c>
      <c r="K288" s="133">
        <f t="shared" si="4"/>
        <v>4.3833745416893478E-2</v>
      </c>
      <c r="L288" s="181">
        <v>0</v>
      </c>
    </row>
    <row r="289" spans="1:12" x14ac:dyDescent="0.25">
      <c r="A289" s="136">
        <v>42853</v>
      </c>
      <c r="B289" s="201" t="str">
        <f>"601998"</f>
        <v>601998</v>
      </c>
      <c r="C289" t="str">
        <f>"中信银行"</f>
        <v>中信银行</v>
      </c>
      <c r="D289">
        <v>4800</v>
      </c>
      <c r="E289">
        <v>4800</v>
      </c>
      <c r="F289">
        <v>6.29</v>
      </c>
      <c r="G289">
        <v>-1294.49</v>
      </c>
      <c r="H289">
        <v>-4.29</v>
      </c>
      <c r="I289" s="309">
        <v>28896</v>
      </c>
      <c r="J289">
        <v>6.02</v>
      </c>
      <c r="K289" s="133">
        <f t="shared" si="4"/>
        <v>9.6130836943423961E-2</v>
      </c>
      <c r="L289" s="181">
        <v>96</v>
      </c>
    </row>
    <row r="290" spans="1:12" x14ac:dyDescent="0.25">
      <c r="A290" s="136">
        <v>42853</v>
      </c>
      <c r="B290" s="201" t="str">
        <f>"000402"</f>
        <v>000402</v>
      </c>
      <c r="C290" t="str">
        <f>"金 融 街"</f>
        <v>金 融 街</v>
      </c>
      <c r="D290">
        <v>200</v>
      </c>
      <c r="E290">
        <v>200</v>
      </c>
      <c r="F290">
        <v>-17.564</v>
      </c>
      <c r="G290">
        <v>5864.8</v>
      </c>
      <c r="H290">
        <v>0</v>
      </c>
      <c r="I290" s="309">
        <v>2352</v>
      </c>
      <c r="J290">
        <v>11.76</v>
      </c>
      <c r="K290" s="133">
        <f t="shared" si="4"/>
        <v>7.82460300702288E-3</v>
      </c>
      <c r="L290" s="181">
        <v>98.320000000000604</v>
      </c>
    </row>
    <row r="291" spans="1:12" x14ac:dyDescent="0.25">
      <c r="A291" s="136">
        <v>42853</v>
      </c>
      <c r="B291" s="201" t="str">
        <f>"000415"</f>
        <v>000415</v>
      </c>
      <c r="C291" t="str">
        <f>"渤海金控"</f>
        <v>渤海金控</v>
      </c>
      <c r="D291">
        <v>100</v>
      </c>
      <c r="E291">
        <v>100</v>
      </c>
      <c r="F291">
        <v>-17.683</v>
      </c>
      <c r="G291">
        <v>2465.3000000000002</v>
      </c>
      <c r="H291">
        <v>0</v>
      </c>
      <c r="I291" s="309">
        <v>697</v>
      </c>
      <c r="J291">
        <v>6.97</v>
      </c>
      <c r="K291" s="133">
        <f t="shared" si="4"/>
        <v>2.3187705339689402E-3</v>
      </c>
      <c r="L291" s="181">
        <v>8</v>
      </c>
    </row>
    <row r="292" spans="1:12" x14ac:dyDescent="0.25">
      <c r="A292" s="136">
        <v>42853</v>
      </c>
      <c r="B292" s="201" t="str">
        <f>"000528"</f>
        <v>000528</v>
      </c>
      <c r="C292" t="str">
        <f>"柳    工"</f>
        <v>柳    工</v>
      </c>
      <c r="D292">
        <v>14150</v>
      </c>
      <c r="E292">
        <v>14150</v>
      </c>
      <c r="F292">
        <v>9.2949999999999999</v>
      </c>
      <c r="G292">
        <v>-13506.7</v>
      </c>
      <c r="H292">
        <v>-10.27</v>
      </c>
      <c r="I292" s="309">
        <v>118011</v>
      </c>
      <c r="J292">
        <v>8.34</v>
      </c>
      <c r="K292" s="133">
        <f t="shared" si="4"/>
        <v>0.39259745980517735</v>
      </c>
      <c r="L292" s="181">
        <v>283</v>
      </c>
    </row>
    <row r="293" spans="1:12" x14ac:dyDescent="0.25">
      <c r="A293" s="136">
        <v>42853</v>
      </c>
      <c r="B293" s="201" t="str">
        <f>"002006"</f>
        <v>002006</v>
      </c>
      <c r="C293" t="str">
        <f>"精功科技"</f>
        <v>精功科技</v>
      </c>
      <c r="D293">
        <v>2600</v>
      </c>
      <c r="E293">
        <v>2600</v>
      </c>
      <c r="F293">
        <v>8.6110000000000007</v>
      </c>
      <c r="G293">
        <v>-833.66</v>
      </c>
      <c r="H293">
        <v>-3.73</v>
      </c>
      <c r="I293" s="309">
        <v>21554</v>
      </c>
      <c r="J293">
        <v>8.2899999999999991</v>
      </c>
      <c r="K293" s="133">
        <f t="shared" si="4"/>
        <v>7.1705566842419716E-2</v>
      </c>
      <c r="L293" s="181">
        <v>312</v>
      </c>
    </row>
    <row r="294" spans="1:12" x14ac:dyDescent="0.25">
      <c r="A294" s="136">
        <v>42853</v>
      </c>
      <c r="B294" s="201" t="str">
        <f>"002140"</f>
        <v>002140</v>
      </c>
      <c r="C294" t="str">
        <f>"东华科技"</f>
        <v>东华科技</v>
      </c>
      <c r="D294">
        <v>6400</v>
      </c>
      <c r="E294">
        <v>6400</v>
      </c>
      <c r="F294">
        <v>13.492000000000001</v>
      </c>
      <c r="G294">
        <v>1331.31</v>
      </c>
      <c r="H294">
        <v>1.54</v>
      </c>
      <c r="I294" s="309">
        <v>87680</v>
      </c>
      <c r="J294">
        <v>13.7</v>
      </c>
      <c r="K294" s="133">
        <f t="shared" si="4"/>
        <v>0.29169268352711147</v>
      </c>
      <c r="L294" s="181">
        <v>-640</v>
      </c>
    </row>
    <row r="295" spans="1:12" x14ac:dyDescent="0.25">
      <c r="A295" s="136">
        <v>42853</v>
      </c>
      <c r="B295" s="201" t="s">
        <v>835</v>
      </c>
      <c r="C295" t="s">
        <v>839</v>
      </c>
      <c r="I295" s="309">
        <v>28111.26</v>
      </c>
      <c r="K295" s="133">
        <f t="shared" si="4"/>
        <v>9.3520174118708332E-2</v>
      </c>
      <c r="L295" s="181">
        <v>0</v>
      </c>
    </row>
    <row r="296" spans="1:12" x14ac:dyDescent="0.25">
      <c r="A296" s="136">
        <v>42857</v>
      </c>
      <c r="B296" s="201" t="s">
        <v>132</v>
      </c>
      <c r="C296" t="s">
        <v>123</v>
      </c>
      <c r="D296">
        <v>11308</v>
      </c>
      <c r="E296">
        <v>11308</v>
      </c>
      <c r="F296">
        <v>-8.3000000000000004E-2</v>
      </c>
      <c r="G296">
        <v>1051.644</v>
      </c>
      <c r="H296">
        <v>0</v>
      </c>
      <c r="I296" s="309">
        <v>113.08</v>
      </c>
      <c r="J296">
        <v>0.01</v>
      </c>
      <c r="K296" s="133">
        <f t="shared" si="4"/>
        <v>3.7570301865813349E-4</v>
      </c>
      <c r="L296" s="181">
        <v>9.3000000000074606E-2</v>
      </c>
    </row>
    <row r="297" spans="1:12" x14ac:dyDescent="0.25">
      <c r="A297" s="136">
        <v>42857</v>
      </c>
      <c r="B297" s="201" t="s">
        <v>124</v>
      </c>
      <c r="C297" t="s">
        <v>125</v>
      </c>
      <c r="D297">
        <v>2700</v>
      </c>
      <c r="E297">
        <v>2700</v>
      </c>
      <c r="F297">
        <v>3.0289999999999999</v>
      </c>
      <c r="G297">
        <v>4836.67</v>
      </c>
      <c r="H297">
        <v>59.13</v>
      </c>
      <c r="I297" s="309">
        <v>13014</v>
      </c>
      <c r="J297">
        <v>4.82</v>
      </c>
      <c r="K297" s="133">
        <f t="shared" si="4"/>
        <v>4.3238407187981512E-2</v>
      </c>
      <c r="L297" s="181">
        <v>-162</v>
      </c>
    </row>
    <row r="298" spans="1:12" x14ac:dyDescent="0.25">
      <c r="A298" s="136">
        <v>42857</v>
      </c>
      <c r="B298" s="201" t="s">
        <v>71</v>
      </c>
      <c r="C298" t="s">
        <v>126</v>
      </c>
      <c r="D298">
        <v>4800</v>
      </c>
      <c r="E298">
        <v>4800</v>
      </c>
      <c r="F298">
        <v>6.29</v>
      </c>
      <c r="G298">
        <v>-1534.49</v>
      </c>
      <c r="H298">
        <v>-5.09</v>
      </c>
      <c r="I298" s="309">
        <v>28656</v>
      </c>
      <c r="J298">
        <v>5.97</v>
      </c>
      <c r="K298" s="133">
        <f t="shared" si="4"/>
        <v>9.5208221636606596E-2</v>
      </c>
      <c r="L298" s="181">
        <v>-240</v>
      </c>
    </row>
    <row r="299" spans="1:12" x14ac:dyDescent="0.25">
      <c r="A299" s="136">
        <v>42857</v>
      </c>
      <c r="B299" s="201" t="s">
        <v>65</v>
      </c>
      <c r="C299" t="s">
        <v>127</v>
      </c>
      <c r="D299">
        <v>700</v>
      </c>
      <c r="E299">
        <v>200</v>
      </c>
      <c r="F299">
        <v>3.0750000000000002</v>
      </c>
      <c r="G299">
        <v>5771.76</v>
      </c>
      <c r="H299">
        <v>268.13</v>
      </c>
      <c r="I299" s="309">
        <v>7924</v>
      </c>
      <c r="J299">
        <v>11.32</v>
      </c>
      <c r="K299" s="133">
        <f t="shared" si="4"/>
        <v>2.6327119913751768E-2</v>
      </c>
      <c r="L299" s="181">
        <v>-93.04</v>
      </c>
    </row>
    <row r="300" spans="1:12" x14ac:dyDescent="0.25">
      <c r="A300" s="136">
        <v>42857</v>
      </c>
      <c r="B300" s="201" t="s">
        <v>77</v>
      </c>
      <c r="C300" t="s">
        <v>128</v>
      </c>
      <c r="D300">
        <v>100</v>
      </c>
      <c r="E300">
        <v>100</v>
      </c>
      <c r="F300">
        <v>-17.683</v>
      </c>
      <c r="G300">
        <v>2469.3000000000002</v>
      </c>
      <c r="H300">
        <v>0</v>
      </c>
      <c r="I300" s="309">
        <v>701</v>
      </c>
      <c r="J300">
        <v>7.01</v>
      </c>
      <c r="K300" s="133">
        <f t="shared" si="4"/>
        <v>2.3290397601640573E-3</v>
      </c>
      <c r="L300" s="181">
        <v>4</v>
      </c>
    </row>
    <row r="301" spans="1:12" x14ac:dyDescent="0.25">
      <c r="A301" s="136">
        <v>42857</v>
      </c>
      <c r="B301" s="201" t="s">
        <v>67</v>
      </c>
      <c r="C301" t="s">
        <v>129</v>
      </c>
      <c r="D301">
        <v>13650</v>
      </c>
      <c r="E301">
        <v>13650</v>
      </c>
      <c r="F301">
        <v>9.3239999999999998</v>
      </c>
      <c r="G301">
        <v>-12480.45</v>
      </c>
      <c r="H301">
        <v>-9.8000000000000007</v>
      </c>
      <c r="I301" s="309">
        <v>114796.5</v>
      </c>
      <c r="J301">
        <v>8.41</v>
      </c>
      <c r="K301" s="133">
        <f t="shared" si="4"/>
        <v>0.38140600973990468</v>
      </c>
      <c r="L301" s="181">
        <v>1026.25</v>
      </c>
    </row>
    <row r="302" spans="1:12" x14ac:dyDescent="0.25">
      <c r="A302" s="136">
        <v>42857</v>
      </c>
      <c r="B302" s="201" t="s">
        <v>72</v>
      </c>
      <c r="C302" t="s">
        <v>130</v>
      </c>
      <c r="D302">
        <v>2100</v>
      </c>
      <c r="E302">
        <v>2100</v>
      </c>
      <c r="F302">
        <v>8.6750000000000007</v>
      </c>
      <c r="G302">
        <v>-912.84</v>
      </c>
      <c r="H302">
        <v>-5.01</v>
      </c>
      <c r="I302" s="309">
        <v>17304</v>
      </c>
      <c r="J302">
        <v>8.24</v>
      </c>
      <c r="K302" s="133">
        <f t="shared" si="4"/>
        <v>5.7491731825790079E-2</v>
      </c>
      <c r="L302" s="181">
        <v>-79.180000000000106</v>
      </c>
    </row>
    <row r="303" spans="1:12" x14ac:dyDescent="0.25">
      <c r="A303" s="136">
        <v>42857</v>
      </c>
      <c r="B303" s="201" t="s">
        <v>70</v>
      </c>
      <c r="C303" t="s">
        <v>131</v>
      </c>
      <c r="D303">
        <v>6400</v>
      </c>
      <c r="E303">
        <v>6000</v>
      </c>
      <c r="F303">
        <v>13.492000000000001</v>
      </c>
      <c r="G303">
        <v>1267.31</v>
      </c>
      <c r="H303">
        <v>1.47</v>
      </c>
      <c r="I303" s="309">
        <v>87616</v>
      </c>
      <c r="J303">
        <v>13.69</v>
      </c>
      <c r="K303" s="133">
        <f t="shared" si="4"/>
        <v>0.29110006794084742</v>
      </c>
      <c r="L303" s="181">
        <v>-64</v>
      </c>
    </row>
    <row r="304" spans="1:12" x14ac:dyDescent="0.25">
      <c r="A304" s="136">
        <v>42857</v>
      </c>
      <c r="B304" s="201" t="s">
        <v>835</v>
      </c>
      <c r="C304" t="s">
        <v>839</v>
      </c>
      <c r="I304" s="309">
        <v>30857.83</v>
      </c>
      <c r="K304" s="133">
        <f t="shared" si="4"/>
        <v>0.10252369897629565</v>
      </c>
      <c r="L304" s="181">
        <v>0</v>
      </c>
    </row>
    <row r="305" spans="1:12" x14ac:dyDescent="0.25">
      <c r="A305" s="136">
        <v>42860</v>
      </c>
      <c r="B305" s="201" t="str">
        <f>"519888"</f>
        <v>519888</v>
      </c>
      <c r="C305" t="str">
        <f>"添富快线"</f>
        <v>添富快线</v>
      </c>
      <c r="D305">
        <v>11314</v>
      </c>
      <c r="E305">
        <v>11314</v>
      </c>
      <c r="F305">
        <v>-8.3000000000000004E-2</v>
      </c>
      <c r="G305">
        <v>1052.202</v>
      </c>
      <c r="H305">
        <v>0</v>
      </c>
      <c r="I305" s="309">
        <v>113.14</v>
      </c>
      <c r="J305">
        <v>0.01</v>
      </c>
      <c r="K305" s="133">
        <f t="shared" si="4"/>
        <v>3.8343837671834293E-4</v>
      </c>
      <c r="L305" s="181">
        <v>0.55799999999999295</v>
      </c>
    </row>
    <row r="306" spans="1:12" x14ac:dyDescent="0.25">
      <c r="A306" s="136">
        <v>42860</v>
      </c>
      <c r="B306" s="201" t="str">
        <f>"601398"</f>
        <v>601398</v>
      </c>
      <c r="C306" t="str">
        <f>"工商银行"</f>
        <v>工商银行</v>
      </c>
      <c r="D306">
        <v>2700</v>
      </c>
      <c r="E306">
        <v>2700</v>
      </c>
      <c r="F306">
        <v>3.0289999999999999</v>
      </c>
      <c r="G306">
        <v>4944.67</v>
      </c>
      <c r="H306">
        <v>60.45</v>
      </c>
      <c r="I306" s="309">
        <v>13122</v>
      </c>
      <c r="J306">
        <v>4.8600000000000003</v>
      </c>
      <c r="K306" s="133">
        <f t="shared" si="4"/>
        <v>4.4471260202387272E-2</v>
      </c>
      <c r="L306" s="181">
        <v>108</v>
      </c>
    </row>
    <row r="307" spans="1:12" x14ac:dyDescent="0.25">
      <c r="A307" s="136">
        <v>42860</v>
      </c>
      <c r="B307" s="201" t="str">
        <f>"601998"</f>
        <v>601998</v>
      </c>
      <c r="C307" t="str">
        <f>"中信银行"</f>
        <v>中信银行</v>
      </c>
      <c r="D307">
        <v>4800</v>
      </c>
      <c r="E307">
        <v>4800</v>
      </c>
      <c r="F307">
        <v>6.29</v>
      </c>
      <c r="G307">
        <v>-2158.4899999999998</v>
      </c>
      <c r="H307">
        <v>-7.15</v>
      </c>
      <c r="I307" s="309">
        <v>28032</v>
      </c>
      <c r="J307">
        <v>5.84</v>
      </c>
      <c r="K307" s="133">
        <f t="shared" si="4"/>
        <v>9.5002161712644417E-2</v>
      </c>
      <c r="L307" s="181">
        <v>-624</v>
      </c>
    </row>
    <row r="308" spans="1:12" x14ac:dyDescent="0.25">
      <c r="A308" s="136">
        <v>42860</v>
      </c>
      <c r="B308" s="201" t="str">
        <f>"000402"</f>
        <v>000402</v>
      </c>
      <c r="C308" t="str">
        <f>"金 融 街"</f>
        <v>金 融 街</v>
      </c>
      <c r="D308">
        <v>1200</v>
      </c>
      <c r="E308">
        <v>700</v>
      </c>
      <c r="F308">
        <v>6.4189999999999996</v>
      </c>
      <c r="G308">
        <v>5605.76</v>
      </c>
      <c r="H308">
        <v>72.77</v>
      </c>
      <c r="I308" s="309">
        <v>13308</v>
      </c>
      <c r="J308">
        <v>11.09</v>
      </c>
      <c r="K308" s="133">
        <f t="shared" si="4"/>
        <v>4.5101625573340173E-2</v>
      </c>
      <c r="L308" s="181">
        <v>-166</v>
      </c>
    </row>
    <row r="309" spans="1:12" x14ac:dyDescent="0.25">
      <c r="A309" s="136">
        <v>42860</v>
      </c>
      <c r="B309" s="201" t="str">
        <f>"000415"</f>
        <v>000415</v>
      </c>
      <c r="C309" t="str">
        <f>"渤海金控"</f>
        <v>渤海金控</v>
      </c>
      <c r="D309">
        <v>100</v>
      </c>
      <c r="E309">
        <v>100</v>
      </c>
      <c r="F309">
        <v>-17.683</v>
      </c>
      <c r="G309">
        <v>2443.3000000000002</v>
      </c>
      <c r="H309">
        <v>0</v>
      </c>
      <c r="I309" s="309">
        <v>675</v>
      </c>
      <c r="J309">
        <v>6.75</v>
      </c>
      <c r="K309" s="133">
        <f t="shared" si="4"/>
        <v>2.2876162655549007E-3</v>
      </c>
      <c r="L309" s="181">
        <v>-26</v>
      </c>
    </row>
    <row r="310" spans="1:12" x14ac:dyDescent="0.25">
      <c r="A310" s="136">
        <v>42860</v>
      </c>
      <c r="B310" s="201" t="str">
        <f>"000528"</f>
        <v>000528</v>
      </c>
      <c r="C310" t="str">
        <f>"柳    工"</f>
        <v>柳    工</v>
      </c>
      <c r="D310">
        <v>14150</v>
      </c>
      <c r="E310">
        <v>13650</v>
      </c>
      <c r="F310">
        <v>9.2880000000000003</v>
      </c>
      <c r="G310">
        <v>-14259.95</v>
      </c>
      <c r="H310">
        <v>-10.85</v>
      </c>
      <c r="I310" s="309">
        <v>117162</v>
      </c>
      <c r="J310">
        <v>8.2799999999999994</v>
      </c>
      <c r="K310" s="133">
        <f t="shared" si="4"/>
        <v>0.39706918059991597</v>
      </c>
      <c r="L310" s="181">
        <v>-1779.5</v>
      </c>
    </row>
    <row r="311" spans="1:12" x14ac:dyDescent="0.25">
      <c r="A311" s="136">
        <v>42860</v>
      </c>
      <c r="B311" s="201" t="str">
        <f>"002006"</f>
        <v>002006</v>
      </c>
      <c r="C311" t="str">
        <f>"精功科技"</f>
        <v>精功科技</v>
      </c>
      <c r="D311">
        <v>2100</v>
      </c>
      <c r="E311">
        <v>2100</v>
      </c>
      <c r="F311">
        <v>8.6750000000000007</v>
      </c>
      <c r="G311">
        <v>-1332.84</v>
      </c>
      <c r="H311">
        <v>-7.32</v>
      </c>
      <c r="I311" s="309">
        <v>16884</v>
      </c>
      <c r="J311">
        <v>8.0399999999999991</v>
      </c>
      <c r="K311" s="133">
        <f t="shared" si="4"/>
        <v>5.7220908189079919E-2</v>
      </c>
      <c r="L311" s="181">
        <v>-420</v>
      </c>
    </row>
    <row r="312" spans="1:12" x14ac:dyDescent="0.25">
      <c r="A312" s="136">
        <v>42860</v>
      </c>
      <c r="B312" s="201" t="str">
        <f>"002140"</f>
        <v>002140</v>
      </c>
      <c r="C312" t="str">
        <f>"东华科技"</f>
        <v>东华科技</v>
      </c>
      <c r="D312">
        <v>6400</v>
      </c>
      <c r="E312">
        <v>6400</v>
      </c>
      <c r="F312">
        <v>13.492000000000001</v>
      </c>
      <c r="G312">
        <v>-1740.69</v>
      </c>
      <c r="H312">
        <v>-2.02</v>
      </c>
      <c r="I312" s="309">
        <v>84608</v>
      </c>
      <c r="J312">
        <v>13.22</v>
      </c>
      <c r="K312" s="133">
        <f t="shared" si="4"/>
        <v>0.2867416844386208</v>
      </c>
      <c r="L312" s="181">
        <v>-3008</v>
      </c>
    </row>
    <row r="313" spans="1:12" x14ac:dyDescent="0.25">
      <c r="A313" s="136">
        <v>42860</v>
      </c>
      <c r="B313" s="201" t="s">
        <v>835</v>
      </c>
      <c r="C313" t="s">
        <v>839</v>
      </c>
      <c r="I313" s="309">
        <f>14552.83+5+13.21*500</f>
        <v>21162.83</v>
      </c>
      <c r="K313" s="133">
        <f t="shared" si="4"/>
        <v>7.1722124641738105E-2</v>
      </c>
      <c r="L313" s="181">
        <v>0</v>
      </c>
    </row>
    <row r="314" spans="1:12" x14ac:dyDescent="0.25">
      <c r="A314" s="136">
        <v>42864</v>
      </c>
      <c r="B314" s="201" t="s">
        <v>132</v>
      </c>
      <c r="C314" t="s">
        <v>123</v>
      </c>
      <c r="D314">
        <v>11319</v>
      </c>
      <c r="E314">
        <v>11319</v>
      </c>
      <c r="F314">
        <v>-8.3000000000000004E-2</v>
      </c>
      <c r="G314">
        <v>1052.6669999999999</v>
      </c>
      <c r="H314">
        <v>0</v>
      </c>
      <c r="I314" s="309">
        <v>113.19</v>
      </c>
      <c r="J314">
        <v>0.01</v>
      </c>
      <c r="K314" s="133">
        <f t="shared" si="4"/>
        <v>3.8406398121150449E-4</v>
      </c>
      <c r="L314" s="181">
        <v>0.46499999999991798</v>
      </c>
    </row>
    <row r="315" spans="1:12" x14ac:dyDescent="0.25">
      <c r="A315" s="136">
        <v>42864</v>
      </c>
      <c r="B315" s="201" t="s">
        <v>124</v>
      </c>
      <c r="C315" t="s">
        <v>125</v>
      </c>
      <c r="D315">
        <v>2200</v>
      </c>
      <c r="E315">
        <v>2200</v>
      </c>
      <c r="F315">
        <v>2.609</v>
      </c>
      <c r="G315">
        <v>4974.17</v>
      </c>
      <c r="H315">
        <v>86.66</v>
      </c>
      <c r="I315" s="309">
        <v>10714</v>
      </c>
      <c r="J315">
        <v>4.87</v>
      </c>
      <c r="K315" s="133">
        <f t="shared" si="4"/>
        <v>3.6353578007775063E-2</v>
      </c>
      <c r="L315" s="181">
        <v>29.5</v>
      </c>
    </row>
    <row r="316" spans="1:12" x14ac:dyDescent="0.25">
      <c r="A316" s="136">
        <v>42864</v>
      </c>
      <c r="B316" s="201" t="s">
        <v>71</v>
      </c>
      <c r="C316" t="s">
        <v>126</v>
      </c>
      <c r="D316">
        <v>4800</v>
      </c>
      <c r="E316">
        <v>4800</v>
      </c>
      <c r="F316">
        <v>6.29</v>
      </c>
      <c r="G316">
        <v>-1918.49</v>
      </c>
      <c r="H316">
        <v>-6.36</v>
      </c>
      <c r="I316" s="309">
        <v>28272</v>
      </c>
      <c r="J316">
        <v>5.89</v>
      </c>
      <c r="K316" s="133">
        <f t="shared" si="4"/>
        <v>9.5929471479915679E-2</v>
      </c>
      <c r="L316" s="181">
        <v>240</v>
      </c>
    </row>
    <row r="317" spans="1:12" x14ac:dyDescent="0.25">
      <c r="A317" s="136">
        <v>42864</v>
      </c>
      <c r="B317" s="201" t="s">
        <v>65</v>
      </c>
      <c r="C317" t="s">
        <v>127</v>
      </c>
      <c r="D317">
        <v>2200</v>
      </c>
      <c r="E317">
        <v>2200</v>
      </c>
      <c r="F317">
        <v>8.4009999999999998</v>
      </c>
      <c r="G317">
        <v>5167.76</v>
      </c>
      <c r="H317">
        <v>27.96</v>
      </c>
      <c r="I317" s="309">
        <v>23650</v>
      </c>
      <c r="J317">
        <v>10.75</v>
      </c>
      <c r="K317" s="133">
        <f t="shared" si="4"/>
        <v>8.0246604431947005E-2</v>
      </c>
      <c r="L317" s="181">
        <v>-438</v>
      </c>
    </row>
    <row r="318" spans="1:12" x14ac:dyDescent="0.25">
      <c r="A318" s="136">
        <v>42864</v>
      </c>
      <c r="B318" s="201" t="s">
        <v>77</v>
      </c>
      <c r="C318" t="s">
        <v>128</v>
      </c>
      <c r="D318">
        <v>100</v>
      </c>
      <c r="E318">
        <v>100</v>
      </c>
      <c r="F318">
        <v>-17.683</v>
      </c>
      <c r="G318">
        <v>2428.3000000000002</v>
      </c>
      <c r="H318">
        <v>0</v>
      </c>
      <c r="I318" s="309">
        <v>660</v>
      </c>
      <c r="J318">
        <v>6.6</v>
      </c>
      <c r="K318" s="133">
        <f t="shared" si="4"/>
        <v>2.2394401236822421E-3</v>
      </c>
      <c r="L318" s="181">
        <v>-15</v>
      </c>
    </row>
    <row r="319" spans="1:12" x14ac:dyDescent="0.25">
      <c r="A319" s="136">
        <v>42864</v>
      </c>
      <c r="B319" s="201" t="s">
        <v>67</v>
      </c>
      <c r="C319" t="s">
        <v>129</v>
      </c>
      <c r="D319">
        <v>14150</v>
      </c>
      <c r="E319">
        <v>14150</v>
      </c>
      <c r="F319">
        <v>9.2880000000000003</v>
      </c>
      <c r="G319">
        <v>-14259.95</v>
      </c>
      <c r="H319">
        <v>-10.85</v>
      </c>
      <c r="I319" s="309">
        <v>117162</v>
      </c>
      <c r="J319">
        <v>8.2799999999999994</v>
      </c>
      <c r="K319" s="133">
        <f t="shared" si="4"/>
        <v>0.39754133904675582</v>
      </c>
      <c r="L319" s="181">
        <v>0</v>
      </c>
    </row>
    <row r="320" spans="1:12" x14ac:dyDescent="0.25">
      <c r="A320" s="136">
        <v>42864</v>
      </c>
      <c r="B320" s="201" t="s">
        <v>72</v>
      </c>
      <c r="C320" t="s">
        <v>130</v>
      </c>
      <c r="D320">
        <v>2100</v>
      </c>
      <c r="E320">
        <v>2100</v>
      </c>
      <c r="F320">
        <v>8.6750000000000007</v>
      </c>
      <c r="G320">
        <v>-1563.84</v>
      </c>
      <c r="H320">
        <v>-8.59</v>
      </c>
      <c r="I320" s="309">
        <v>16653</v>
      </c>
      <c r="J320">
        <v>7.93</v>
      </c>
      <c r="K320" s="133">
        <f t="shared" si="4"/>
        <v>5.6505146029818751E-2</v>
      </c>
      <c r="L320" s="181">
        <v>-231</v>
      </c>
    </row>
    <row r="321" spans="1:12" x14ac:dyDescent="0.25">
      <c r="A321" s="136">
        <v>42864</v>
      </c>
      <c r="B321" s="201" t="s">
        <v>70</v>
      </c>
      <c r="C321" t="s">
        <v>131</v>
      </c>
      <c r="D321">
        <v>6400</v>
      </c>
      <c r="E321">
        <v>6400</v>
      </c>
      <c r="F321">
        <v>13.492000000000001</v>
      </c>
      <c r="G321">
        <v>-1676.69</v>
      </c>
      <c r="H321">
        <v>-1.94</v>
      </c>
      <c r="I321" s="309">
        <v>84672</v>
      </c>
      <c r="J321">
        <v>13.23</v>
      </c>
      <c r="K321" s="133">
        <f t="shared" si="4"/>
        <v>0.28729980932185273</v>
      </c>
      <c r="L321" s="181">
        <v>64</v>
      </c>
    </row>
    <row r="322" spans="1:12" x14ac:dyDescent="0.25">
      <c r="A322" s="136">
        <v>42864</v>
      </c>
      <c r="B322" s="201" t="s">
        <v>835</v>
      </c>
      <c r="C322" t="s">
        <v>839</v>
      </c>
      <c r="I322" s="309">
        <v>12820.33</v>
      </c>
      <c r="K322" s="133">
        <f t="shared" ref="K322:K385" si="5">I322/SUMIF(A:A,A322,I:I)</f>
        <v>4.3500547577041151E-2</v>
      </c>
      <c r="L322" s="181">
        <v>0</v>
      </c>
    </row>
    <row r="323" spans="1:12" x14ac:dyDescent="0.25">
      <c r="A323" s="136">
        <v>42867</v>
      </c>
      <c r="B323" s="201" t="s">
        <v>132</v>
      </c>
      <c r="C323" t="s">
        <v>123</v>
      </c>
      <c r="D323">
        <v>11321</v>
      </c>
      <c r="E323">
        <v>11321</v>
      </c>
      <c r="F323">
        <v>-8.3000000000000004E-2</v>
      </c>
      <c r="G323">
        <v>1052.8530000000001</v>
      </c>
      <c r="H323">
        <v>0</v>
      </c>
      <c r="I323" s="309">
        <v>113.21</v>
      </c>
      <c r="J323">
        <v>0.01</v>
      </c>
      <c r="K323" s="133">
        <f t="shared" si="5"/>
        <v>3.5140485272067319E-4</v>
      </c>
      <c r="L323" s="181">
        <v>0.18600000000014899</v>
      </c>
    </row>
    <row r="324" spans="1:12" x14ac:dyDescent="0.25">
      <c r="A324" s="136">
        <v>42867</v>
      </c>
      <c r="B324" s="201" t="s">
        <v>124</v>
      </c>
      <c r="C324" t="s">
        <v>125</v>
      </c>
      <c r="D324">
        <v>900</v>
      </c>
      <c r="E324">
        <v>900</v>
      </c>
      <c r="F324">
        <v>-0.76200000000000001</v>
      </c>
      <c r="G324">
        <v>5239.8</v>
      </c>
      <c r="H324">
        <v>0</v>
      </c>
      <c r="I324" s="309">
        <v>4554</v>
      </c>
      <c r="J324">
        <v>5.0599999999999996</v>
      </c>
      <c r="K324" s="133">
        <f t="shared" si="5"/>
        <v>1.4135656737831868E-2</v>
      </c>
      <c r="L324" s="181">
        <v>265.63</v>
      </c>
    </row>
    <row r="325" spans="1:12" x14ac:dyDescent="0.25">
      <c r="A325" s="136">
        <v>42867</v>
      </c>
      <c r="B325" s="201" t="s">
        <v>71</v>
      </c>
      <c r="C325" t="s">
        <v>126</v>
      </c>
      <c r="D325">
        <v>3800</v>
      </c>
      <c r="E325">
        <v>3800</v>
      </c>
      <c r="F325">
        <v>6.3470000000000004</v>
      </c>
      <c r="G325">
        <v>-784.71</v>
      </c>
      <c r="H325">
        <v>-3.26</v>
      </c>
      <c r="I325" s="309">
        <v>23332</v>
      </c>
      <c r="J325">
        <v>6.14</v>
      </c>
      <c r="K325" s="133">
        <f t="shared" si="5"/>
        <v>7.2422736716533404E-2</v>
      </c>
      <c r="L325" s="181">
        <v>1133.78</v>
      </c>
    </row>
    <row r="326" spans="1:12" x14ac:dyDescent="0.25">
      <c r="A326" s="136">
        <v>42867</v>
      </c>
      <c r="B326" s="201" t="s">
        <v>65</v>
      </c>
      <c r="C326" t="s">
        <v>127</v>
      </c>
      <c r="D326">
        <v>1500</v>
      </c>
      <c r="E326">
        <v>1500</v>
      </c>
      <c r="F326">
        <v>7.2080000000000002</v>
      </c>
      <c r="G326">
        <v>5507.94</v>
      </c>
      <c r="H326">
        <v>50.94</v>
      </c>
      <c r="I326" s="309">
        <v>16320</v>
      </c>
      <c r="J326">
        <v>10.88</v>
      </c>
      <c r="K326" s="133">
        <f t="shared" si="5"/>
        <v>5.0657425990649117E-2</v>
      </c>
      <c r="L326" s="181">
        <v>340.17999999999898</v>
      </c>
    </row>
    <row r="327" spans="1:12" x14ac:dyDescent="0.25">
      <c r="A327" s="136">
        <v>42867</v>
      </c>
      <c r="B327" s="201" t="s">
        <v>77</v>
      </c>
      <c r="C327" t="s">
        <v>128</v>
      </c>
      <c r="D327">
        <v>100</v>
      </c>
      <c r="E327">
        <v>100</v>
      </c>
      <c r="F327">
        <v>-17.683</v>
      </c>
      <c r="G327">
        <v>2404.3000000000002</v>
      </c>
      <c r="H327">
        <v>0</v>
      </c>
      <c r="I327" s="309">
        <v>636</v>
      </c>
      <c r="J327">
        <v>6.36</v>
      </c>
      <c r="K327" s="133">
        <f t="shared" si="5"/>
        <v>1.9741496893414729E-3</v>
      </c>
      <c r="L327" s="181">
        <v>-24</v>
      </c>
    </row>
    <row r="328" spans="1:12" x14ac:dyDescent="0.25">
      <c r="A328" s="136">
        <v>42867</v>
      </c>
      <c r="B328" s="201" t="s">
        <v>67</v>
      </c>
      <c r="C328" t="s">
        <v>129</v>
      </c>
      <c r="D328">
        <v>14150</v>
      </c>
      <c r="E328">
        <v>14150</v>
      </c>
      <c r="F328">
        <v>9.2810000000000006</v>
      </c>
      <c r="G328">
        <v>-17276.009999999998</v>
      </c>
      <c r="H328">
        <v>-13.15</v>
      </c>
      <c r="I328" s="309">
        <v>114049</v>
      </c>
      <c r="J328">
        <v>8.06</v>
      </c>
      <c r="K328" s="133">
        <f t="shared" si="5"/>
        <v>0.35400911622595227</v>
      </c>
      <c r="L328" s="181">
        <v>-3016.06</v>
      </c>
    </row>
    <row r="329" spans="1:12" x14ac:dyDescent="0.25">
      <c r="A329" s="136">
        <v>42867</v>
      </c>
      <c r="B329" s="201" t="s">
        <v>72</v>
      </c>
      <c r="C329" t="s">
        <v>130</v>
      </c>
      <c r="D329">
        <v>3100</v>
      </c>
      <c r="E329">
        <v>2600</v>
      </c>
      <c r="F329">
        <v>8.3260000000000005</v>
      </c>
      <c r="G329">
        <v>-2313.84</v>
      </c>
      <c r="H329">
        <v>-8.9600000000000009</v>
      </c>
      <c r="I329" s="309">
        <v>23498</v>
      </c>
      <c r="J329">
        <v>7.58</v>
      </c>
      <c r="K329" s="133">
        <f t="shared" si="5"/>
        <v>7.2938002201487315E-2</v>
      </c>
      <c r="L329" s="181">
        <v>-750</v>
      </c>
    </row>
    <row r="330" spans="1:12" x14ac:dyDescent="0.25">
      <c r="A330" s="136">
        <v>42867</v>
      </c>
      <c r="B330" s="201" t="s">
        <v>70</v>
      </c>
      <c r="C330" t="s">
        <v>131</v>
      </c>
      <c r="D330">
        <v>8000</v>
      </c>
      <c r="E330">
        <v>8000</v>
      </c>
      <c r="F330">
        <v>13.262</v>
      </c>
      <c r="G330">
        <v>-12178.53</v>
      </c>
      <c r="H330">
        <v>-11.48</v>
      </c>
      <c r="I330" s="309">
        <v>93920</v>
      </c>
      <c r="J330">
        <v>11.74</v>
      </c>
      <c r="K330" s="133">
        <f t="shared" si="5"/>
        <v>0.29152852016187286</v>
      </c>
      <c r="L330" s="181">
        <v>-10501.84</v>
      </c>
    </row>
    <row r="331" spans="1:12" x14ac:dyDescent="0.25">
      <c r="A331" s="136">
        <v>42867</v>
      </c>
      <c r="B331" s="201" t="s">
        <v>835</v>
      </c>
      <c r="C331" t="s">
        <v>839</v>
      </c>
      <c r="I331" s="309">
        <v>45741.81</v>
      </c>
      <c r="K331" s="133">
        <f t="shared" si="5"/>
        <v>0.14198298742361112</v>
      </c>
      <c r="L331" s="181">
        <v>0</v>
      </c>
    </row>
    <row r="332" spans="1:12" x14ac:dyDescent="0.25">
      <c r="A332" s="136">
        <v>42870</v>
      </c>
      <c r="B332" s="201" t="s">
        <v>132</v>
      </c>
      <c r="C332" t="s">
        <v>123</v>
      </c>
      <c r="D332">
        <v>11325</v>
      </c>
      <c r="E332">
        <v>11325</v>
      </c>
      <c r="F332">
        <v>-8.3000000000000004E-2</v>
      </c>
      <c r="G332">
        <v>1053.2249999999999</v>
      </c>
      <c r="H332">
        <v>0</v>
      </c>
      <c r="I332" s="309">
        <v>113.25</v>
      </c>
      <c r="J332">
        <v>0.01</v>
      </c>
      <c r="K332" s="133">
        <f t="shared" si="5"/>
        <v>4.0279090528367418E-4</v>
      </c>
      <c r="L332" s="181">
        <v>0.37199999999984401</v>
      </c>
    </row>
    <row r="333" spans="1:12" x14ac:dyDescent="0.25">
      <c r="A333" s="136">
        <v>42870</v>
      </c>
      <c r="B333" s="201" t="s">
        <v>124</v>
      </c>
      <c r="C333" t="s">
        <v>125</v>
      </c>
      <c r="D333">
        <v>100</v>
      </c>
      <c r="E333">
        <v>100</v>
      </c>
      <c r="F333">
        <v>-47.564</v>
      </c>
      <c r="G333">
        <v>5266.4</v>
      </c>
      <c r="H333">
        <v>0</v>
      </c>
      <c r="I333" s="309">
        <v>510</v>
      </c>
      <c r="J333">
        <v>5.0999999999999996</v>
      </c>
      <c r="K333" s="133">
        <f t="shared" si="5"/>
        <v>1.8138928184960161E-3</v>
      </c>
      <c r="L333" s="181">
        <v>26.5999999999995</v>
      </c>
    </row>
    <row r="334" spans="1:12" x14ac:dyDescent="0.25">
      <c r="A334" s="136">
        <v>42870</v>
      </c>
      <c r="B334" s="201" t="s">
        <v>71</v>
      </c>
      <c r="C334" t="s">
        <v>126</v>
      </c>
      <c r="D334">
        <v>3800</v>
      </c>
      <c r="E334">
        <v>3800</v>
      </c>
      <c r="F334">
        <v>6.3470000000000004</v>
      </c>
      <c r="G334">
        <v>-1050.71</v>
      </c>
      <c r="H334">
        <v>-4.3600000000000003</v>
      </c>
      <c r="I334" s="309">
        <v>23066</v>
      </c>
      <c r="J334">
        <v>6.07</v>
      </c>
      <c r="K334" s="133">
        <f t="shared" si="5"/>
        <v>8.2037748532213933E-2</v>
      </c>
      <c r="L334" s="181">
        <v>-266</v>
      </c>
    </row>
    <row r="335" spans="1:12" x14ac:dyDescent="0.25">
      <c r="A335" s="136">
        <v>42870</v>
      </c>
      <c r="B335" s="201" t="s">
        <v>65</v>
      </c>
      <c r="C335" t="s">
        <v>127</v>
      </c>
      <c r="D335">
        <v>700</v>
      </c>
      <c r="E335">
        <v>700</v>
      </c>
      <c r="F335">
        <v>2.1819999999999999</v>
      </c>
      <c r="G335">
        <v>6627.79</v>
      </c>
      <c r="H335">
        <v>433.91</v>
      </c>
      <c r="I335" s="309">
        <v>8155</v>
      </c>
      <c r="J335">
        <v>11.65</v>
      </c>
      <c r="K335" s="133">
        <f t="shared" si="5"/>
        <v>2.9004501833009826E-2</v>
      </c>
      <c r="L335" s="181">
        <v>1119.8499999999999</v>
      </c>
    </row>
    <row r="336" spans="1:12" x14ac:dyDescent="0.25">
      <c r="A336" s="136">
        <v>42870</v>
      </c>
      <c r="B336" s="201" t="s">
        <v>77</v>
      </c>
      <c r="C336" t="s">
        <v>128</v>
      </c>
      <c r="D336">
        <v>100</v>
      </c>
      <c r="E336">
        <v>100</v>
      </c>
      <c r="F336">
        <v>-17.683</v>
      </c>
      <c r="G336">
        <v>2404.3000000000002</v>
      </c>
      <c r="H336">
        <v>0</v>
      </c>
      <c r="I336" s="309">
        <v>636</v>
      </c>
      <c r="J336">
        <v>6.36</v>
      </c>
      <c r="K336" s="133">
        <f t="shared" si="5"/>
        <v>2.2620310442420907E-3</v>
      </c>
      <c r="L336" s="181">
        <v>0</v>
      </c>
    </row>
    <row r="337" spans="1:12" x14ac:dyDescent="0.25">
      <c r="A337" s="136">
        <v>42870</v>
      </c>
      <c r="B337" s="201" t="s">
        <v>67</v>
      </c>
      <c r="C337" t="s">
        <v>129</v>
      </c>
      <c r="D337">
        <v>14650</v>
      </c>
      <c r="E337">
        <v>14650</v>
      </c>
      <c r="F337">
        <v>9.2370000000000001</v>
      </c>
      <c r="G337">
        <v>-19150.509999999998</v>
      </c>
      <c r="H337">
        <v>-14.15</v>
      </c>
      <c r="I337" s="309">
        <v>116174.5</v>
      </c>
      <c r="J337">
        <v>7.93</v>
      </c>
      <c r="K337" s="133">
        <f t="shared" si="5"/>
        <v>0.41319233576934394</v>
      </c>
      <c r="L337" s="181">
        <v>-1874.5</v>
      </c>
    </row>
    <row r="338" spans="1:12" x14ac:dyDescent="0.25">
      <c r="A338" s="136">
        <v>42870</v>
      </c>
      <c r="B338" s="201" t="s">
        <v>72</v>
      </c>
      <c r="C338" t="s">
        <v>130</v>
      </c>
      <c r="D338">
        <v>3100</v>
      </c>
      <c r="E338">
        <v>3100</v>
      </c>
      <c r="F338">
        <v>8.3260000000000005</v>
      </c>
      <c r="G338">
        <v>-2220.84</v>
      </c>
      <c r="H338">
        <v>-8.6</v>
      </c>
      <c r="I338" s="309">
        <v>23591</v>
      </c>
      <c r="J338">
        <v>7.61</v>
      </c>
      <c r="K338" s="133">
        <f t="shared" si="5"/>
        <v>8.3904991139489252E-2</v>
      </c>
      <c r="L338" s="181">
        <v>93</v>
      </c>
    </row>
    <row r="339" spans="1:12" x14ac:dyDescent="0.25">
      <c r="A339" s="136">
        <v>42870</v>
      </c>
      <c r="B339" s="201" t="s">
        <v>70</v>
      </c>
      <c r="C339" t="s">
        <v>131</v>
      </c>
      <c r="D339">
        <v>8000</v>
      </c>
      <c r="E339">
        <v>8000</v>
      </c>
      <c r="F339">
        <v>13.262</v>
      </c>
      <c r="G339">
        <v>-12178.53</v>
      </c>
      <c r="H339">
        <v>-11.48</v>
      </c>
      <c r="I339" s="309">
        <v>93920</v>
      </c>
      <c r="J339">
        <v>11.74</v>
      </c>
      <c r="K339" s="133">
        <f t="shared" si="5"/>
        <v>0.33404081081008985</v>
      </c>
      <c r="L339" s="181">
        <v>0</v>
      </c>
    </row>
    <row r="340" spans="1:12" x14ac:dyDescent="0.25">
      <c r="A340" s="136">
        <v>42870</v>
      </c>
      <c r="B340" s="201" t="s">
        <v>835</v>
      </c>
      <c r="C340" t="s">
        <v>839</v>
      </c>
      <c r="I340" s="309">
        <v>14997.5</v>
      </c>
      <c r="K340" s="133">
        <f t="shared" si="5"/>
        <v>5.3340897147831377E-2</v>
      </c>
      <c r="L340" s="181">
        <v>0</v>
      </c>
    </row>
    <row r="341" spans="1:12" x14ac:dyDescent="0.25">
      <c r="A341" s="136">
        <v>42871</v>
      </c>
      <c r="B341" s="201" t="s">
        <v>132</v>
      </c>
      <c r="C341" t="s">
        <v>123</v>
      </c>
      <c r="D341">
        <v>11325</v>
      </c>
      <c r="E341">
        <v>11325</v>
      </c>
      <c r="F341">
        <v>-8.3000000000000004E-2</v>
      </c>
      <c r="G341">
        <v>1053.2249999999999</v>
      </c>
      <c r="H341">
        <v>0</v>
      </c>
      <c r="I341" s="309">
        <v>113.25</v>
      </c>
      <c r="J341">
        <v>0.01</v>
      </c>
      <c r="K341" s="133">
        <f t="shared" si="5"/>
        <v>2.9417887415913546E-4</v>
      </c>
      <c r="L341" s="181">
        <v>0</v>
      </c>
    </row>
    <row r="342" spans="1:12" x14ac:dyDescent="0.25">
      <c r="A342" s="136">
        <v>42871</v>
      </c>
      <c r="B342" s="201" t="s">
        <v>124</v>
      </c>
      <c r="C342" t="s">
        <v>125</v>
      </c>
      <c r="D342">
        <v>600</v>
      </c>
      <c r="E342">
        <v>100</v>
      </c>
      <c r="F342">
        <v>-3.7519999999999998</v>
      </c>
      <c r="G342">
        <v>5251.2</v>
      </c>
      <c r="H342">
        <v>0</v>
      </c>
      <c r="I342" s="309">
        <v>3000</v>
      </c>
      <c r="J342">
        <v>5</v>
      </c>
      <c r="K342" s="133">
        <f t="shared" si="5"/>
        <v>7.7928178585201452E-3</v>
      </c>
      <c r="L342" s="181">
        <v>-15.1999999999998</v>
      </c>
    </row>
    <row r="343" spans="1:12" x14ac:dyDescent="0.25">
      <c r="A343" s="136">
        <v>42871</v>
      </c>
      <c r="B343" s="201" t="s">
        <v>71</v>
      </c>
      <c r="C343" t="s">
        <v>126</v>
      </c>
      <c r="D343">
        <v>3800</v>
      </c>
      <c r="E343">
        <v>3800</v>
      </c>
      <c r="F343">
        <v>6.3470000000000004</v>
      </c>
      <c r="G343">
        <v>-1088.71</v>
      </c>
      <c r="H343">
        <v>-4.5199999999999996</v>
      </c>
      <c r="I343" s="309">
        <v>23028</v>
      </c>
      <c r="J343">
        <v>6.06</v>
      </c>
      <c r="K343" s="133">
        <f t="shared" si="5"/>
        <v>5.9817669882000636E-2</v>
      </c>
      <c r="L343" s="181">
        <v>-38</v>
      </c>
    </row>
    <row r="344" spans="1:12" x14ac:dyDescent="0.25">
      <c r="A344" s="136">
        <v>42871</v>
      </c>
      <c r="B344" s="201" t="s">
        <v>65</v>
      </c>
      <c r="C344" t="s">
        <v>127</v>
      </c>
      <c r="D344">
        <v>500</v>
      </c>
      <c r="E344">
        <v>0</v>
      </c>
      <c r="F344">
        <v>-1.847</v>
      </c>
      <c r="G344">
        <v>6803.5</v>
      </c>
      <c r="H344">
        <v>0</v>
      </c>
      <c r="I344" s="309">
        <v>5880</v>
      </c>
      <c r="J344">
        <v>11.76</v>
      </c>
      <c r="K344" s="133">
        <f t="shared" si="5"/>
        <v>1.5273923002699485E-2</v>
      </c>
      <c r="L344" s="181">
        <v>175.71</v>
      </c>
    </row>
    <row r="345" spans="1:12" x14ac:dyDescent="0.25">
      <c r="A345" s="136">
        <v>42871</v>
      </c>
      <c r="B345" s="201" t="s">
        <v>77</v>
      </c>
      <c r="C345" t="s">
        <v>128</v>
      </c>
      <c r="D345">
        <v>100</v>
      </c>
      <c r="E345">
        <v>100</v>
      </c>
      <c r="F345">
        <v>-17.683</v>
      </c>
      <c r="G345">
        <v>2419.3000000000002</v>
      </c>
      <c r="H345">
        <v>0</v>
      </c>
      <c r="I345" s="309">
        <v>651</v>
      </c>
      <c r="J345">
        <v>6.51</v>
      </c>
      <c r="K345" s="133">
        <f t="shared" si="5"/>
        <v>1.6910414752988716E-3</v>
      </c>
      <c r="L345" s="181">
        <v>15</v>
      </c>
    </row>
    <row r="346" spans="1:12" x14ac:dyDescent="0.25">
      <c r="A346" s="136">
        <v>42871</v>
      </c>
      <c r="B346" s="201" t="s">
        <v>67</v>
      </c>
      <c r="C346" t="s">
        <v>129</v>
      </c>
      <c r="D346">
        <v>14650</v>
      </c>
      <c r="E346">
        <v>13650</v>
      </c>
      <c r="F346">
        <v>9.2270000000000003</v>
      </c>
      <c r="G346">
        <v>-18563.88</v>
      </c>
      <c r="H346">
        <v>-13.73</v>
      </c>
      <c r="I346" s="309">
        <v>116614</v>
      </c>
      <c r="J346">
        <v>7.96</v>
      </c>
      <c r="K346" s="133">
        <f t="shared" si="5"/>
        <v>0.30291722058448939</v>
      </c>
      <c r="L346" s="181">
        <v>586.62999999999704</v>
      </c>
    </row>
    <row r="347" spans="1:12" x14ac:dyDescent="0.25">
      <c r="A347" s="136">
        <v>42871</v>
      </c>
      <c r="B347" s="201" t="s">
        <v>72</v>
      </c>
      <c r="C347" t="s">
        <v>130</v>
      </c>
      <c r="D347">
        <v>2600</v>
      </c>
      <c r="E347">
        <v>2600</v>
      </c>
      <c r="F347">
        <v>8.4369999999999994</v>
      </c>
      <c r="G347">
        <v>-1655.73</v>
      </c>
      <c r="H347">
        <v>-7.55</v>
      </c>
      <c r="I347" s="309">
        <v>20280</v>
      </c>
      <c r="J347">
        <v>7.8</v>
      </c>
      <c r="K347" s="133">
        <f t="shared" si="5"/>
        <v>5.267944872359618E-2</v>
      </c>
      <c r="L347" s="181">
        <v>565.11</v>
      </c>
    </row>
    <row r="348" spans="1:12" x14ac:dyDescent="0.25">
      <c r="A348" s="136">
        <v>42871</v>
      </c>
      <c r="B348" s="201" t="s">
        <v>70</v>
      </c>
      <c r="C348" t="s">
        <v>131</v>
      </c>
      <c r="D348">
        <v>7600</v>
      </c>
      <c r="E348">
        <v>7600</v>
      </c>
      <c r="F348">
        <v>13.331</v>
      </c>
      <c r="G348">
        <v>-9660.32</v>
      </c>
      <c r="H348">
        <v>-9.5299999999999994</v>
      </c>
      <c r="I348" s="309">
        <v>91656</v>
      </c>
      <c r="J348">
        <v>12.06</v>
      </c>
      <c r="K348" s="133">
        <f t="shared" si="5"/>
        <v>0.23808617121350747</v>
      </c>
      <c r="L348" s="181">
        <v>2518.21</v>
      </c>
    </row>
    <row r="349" spans="1:12" x14ac:dyDescent="0.25">
      <c r="A349" s="136">
        <v>42871</v>
      </c>
      <c r="B349" s="201" t="s">
        <v>133</v>
      </c>
      <c r="C349" t="s">
        <v>134</v>
      </c>
      <c r="D349">
        <v>110000</v>
      </c>
      <c r="E349">
        <v>0</v>
      </c>
      <c r="F349">
        <v>1</v>
      </c>
      <c r="G349">
        <v>-1.1000000000000001</v>
      </c>
      <c r="H349">
        <v>0</v>
      </c>
      <c r="I349" s="309">
        <v>110000</v>
      </c>
      <c r="J349">
        <v>1</v>
      </c>
      <c r="K349" s="133">
        <f t="shared" si="5"/>
        <v>0.28573665481240534</v>
      </c>
      <c r="L349" s="181">
        <v>-0.74</v>
      </c>
    </row>
    <row r="350" spans="1:12" x14ac:dyDescent="0.25">
      <c r="A350" s="136">
        <v>42871</v>
      </c>
      <c r="B350" s="201" t="s">
        <v>835</v>
      </c>
      <c r="C350" t="s">
        <v>839</v>
      </c>
      <c r="I350" s="309">
        <v>13747.61</v>
      </c>
      <c r="K350" s="133">
        <f t="shared" si="5"/>
        <v>3.5710873573323379E-2</v>
      </c>
      <c r="L350" s="181">
        <v>0</v>
      </c>
    </row>
    <row r="351" spans="1:12" x14ac:dyDescent="0.25">
      <c r="A351" s="136">
        <v>42872</v>
      </c>
      <c r="B351" s="201">
        <v>519888</v>
      </c>
      <c r="C351" t="s">
        <v>123</v>
      </c>
      <c r="D351">
        <v>1978326</v>
      </c>
      <c r="E351">
        <v>11326</v>
      </c>
      <c r="F351">
        <v>8.9999999999999993E-3</v>
      </c>
      <c r="G351">
        <v>1049.77</v>
      </c>
      <c r="H351">
        <v>11.11</v>
      </c>
      <c r="I351" s="309">
        <v>19783.259999999998</v>
      </c>
      <c r="J351">
        <v>0.01</v>
      </c>
      <c r="K351" s="133">
        <f t="shared" si="5"/>
        <v>5.103897243745957E-2</v>
      </c>
      <c r="L351" s="181">
        <v>3.9300000000000601</v>
      </c>
    </row>
    <row r="352" spans="1:12" x14ac:dyDescent="0.25">
      <c r="A352" s="136">
        <v>42872</v>
      </c>
      <c r="B352" s="201">
        <v>601398</v>
      </c>
      <c r="C352" t="s">
        <v>125</v>
      </c>
      <c r="D352">
        <v>1100</v>
      </c>
      <c r="E352">
        <v>600</v>
      </c>
      <c r="F352">
        <v>0.20799999999999999</v>
      </c>
      <c r="G352">
        <v>5227.33</v>
      </c>
      <c r="H352">
        <v>2284.62</v>
      </c>
      <c r="I352" s="309">
        <v>5456</v>
      </c>
      <c r="J352">
        <v>4.96</v>
      </c>
      <c r="K352" s="133">
        <f t="shared" si="5"/>
        <v>1.4075973000343696E-2</v>
      </c>
      <c r="L352" s="181">
        <v>255.66</v>
      </c>
    </row>
    <row r="353" spans="1:12" x14ac:dyDescent="0.25">
      <c r="A353" s="136">
        <v>42872</v>
      </c>
      <c r="B353" s="201">
        <v>601998</v>
      </c>
      <c r="C353" t="s">
        <v>126</v>
      </c>
      <c r="D353">
        <v>3800</v>
      </c>
      <c r="E353">
        <v>3800</v>
      </c>
      <c r="F353">
        <v>6.3470000000000004</v>
      </c>
      <c r="G353">
        <v>-1278.71</v>
      </c>
      <c r="H353">
        <v>-5.31</v>
      </c>
      <c r="I353" s="309">
        <v>22838</v>
      </c>
      <c r="J353">
        <v>6.01</v>
      </c>
      <c r="K353" s="133">
        <f t="shared" si="5"/>
        <v>5.8919917775265639E-2</v>
      </c>
      <c r="L353" s="181">
        <v>50.72</v>
      </c>
    </row>
    <row r="354" spans="1:12" x14ac:dyDescent="0.25">
      <c r="A354" s="136">
        <v>42872</v>
      </c>
      <c r="B354" s="312" t="s">
        <v>65</v>
      </c>
      <c r="C354" t="s">
        <v>127</v>
      </c>
      <c r="D354">
        <v>900</v>
      </c>
      <c r="E354">
        <v>500</v>
      </c>
      <c r="F354">
        <v>4.1079999999999997</v>
      </c>
      <c r="G354">
        <v>6679.6</v>
      </c>
      <c r="H354">
        <v>180.67</v>
      </c>
      <c r="I354" s="309">
        <v>10377</v>
      </c>
      <c r="J354">
        <v>11.53</v>
      </c>
      <c r="K354" s="133">
        <f t="shared" si="5"/>
        <v>2.677169571564636E-2</v>
      </c>
      <c r="L354" s="181">
        <v>-123.9</v>
      </c>
    </row>
    <row r="355" spans="1:12" x14ac:dyDescent="0.25">
      <c r="A355" s="136">
        <v>42872</v>
      </c>
      <c r="B355" s="312" t="s">
        <v>77</v>
      </c>
      <c r="C355" t="s">
        <v>128</v>
      </c>
      <c r="D355">
        <v>100</v>
      </c>
      <c r="E355">
        <v>100</v>
      </c>
      <c r="F355">
        <v>-17.683</v>
      </c>
      <c r="G355">
        <v>2428.3000000000002</v>
      </c>
      <c r="H355">
        <v>0</v>
      </c>
      <c r="I355" s="309">
        <v>660</v>
      </c>
      <c r="J355">
        <v>6.6</v>
      </c>
      <c r="K355" s="133">
        <f t="shared" si="5"/>
        <v>1.7027386693964149E-3</v>
      </c>
      <c r="L355" s="181">
        <v>9</v>
      </c>
    </row>
    <row r="356" spans="1:12" x14ac:dyDescent="0.25">
      <c r="A356" s="136">
        <v>42872</v>
      </c>
      <c r="B356" s="312" t="s">
        <v>67</v>
      </c>
      <c r="C356" t="s">
        <v>129</v>
      </c>
      <c r="D356">
        <v>14150</v>
      </c>
      <c r="E356">
        <v>14150</v>
      </c>
      <c r="F356">
        <v>9.2690000000000001</v>
      </c>
      <c r="G356">
        <v>-16819.900000000001</v>
      </c>
      <c r="H356">
        <v>-12.83</v>
      </c>
      <c r="I356" s="309">
        <v>114332</v>
      </c>
      <c r="J356">
        <v>8.08</v>
      </c>
      <c r="K356" s="133">
        <f t="shared" si="5"/>
        <v>0.29496593568095592</v>
      </c>
      <c r="L356" s="181">
        <v>1743.98</v>
      </c>
    </row>
    <row r="357" spans="1:12" x14ac:dyDescent="0.25">
      <c r="A357" s="136">
        <v>42872</v>
      </c>
      <c r="B357" s="312" t="s">
        <v>72</v>
      </c>
      <c r="C357" t="s">
        <v>130</v>
      </c>
      <c r="D357">
        <v>2100</v>
      </c>
      <c r="E357">
        <v>2100</v>
      </c>
      <c r="F357">
        <v>8.4760000000000009</v>
      </c>
      <c r="G357">
        <v>-684.88</v>
      </c>
      <c r="H357">
        <v>-3.85</v>
      </c>
      <c r="I357" s="309">
        <v>17115</v>
      </c>
      <c r="J357">
        <v>8.15</v>
      </c>
      <c r="K357" s="133">
        <f t="shared" si="5"/>
        <v>4.4155109585938851E-2</v>
      </c>
      <c r="L357" s="181">
        <v>970.85</v>
      </c>
    </row>
    <row r="358" spans="1:12" x14ac:dyDescent="0.25">
      <c r="A358" s="136">
        <v>42872</v>
      </c>
      <c r="B358" s="312" t="s">
        <v>70</v>
      </c>
      <c r="C358" t="s">
        <v>131</v>
      </c>
      <c r="D358">
        <v>7200</v>
      </c>
      <c r="E358">
        <v>7200</v>
      </c>
      <c r="F358">
        <v>13.398</v>
      </c>
      <c r="G358">
        <v>-9414.18</v>
      </c>
      <c r="H358">
        <v>-9.76</v>
      </c>
      <c r="I358" s="309">
        <v>87048</v>
      </c>
      <c r="J358">
        <v>12.09</v>
      </c>
      <c r="K358" s="133">
        <f t="shared" si="5"/>
        <v>0.22457575105093805</v>
      </c>
      <c r="L358" s="181">
        <v>246.13999999999899</v>
      </c>
    </row>
    <row r="359" spans="1:12" x14ac:dyDescent="0.25">
      <c r="A359" s="136">
        <v>42872</v>
      </c>
      <c r="B359" s="201" t="s">
        <v>133</v>
      </c>
      <c r="C359" t="s">
        <v>134</v>
      </c>
      <c r="D359">
        <v>220000</v>
      </c>
      <c r="E359">
        <v>110000</v>
      </c>
      <c r="F359">
        <v>1</v>
      </c>
      <c r="G359">
        <v>-3.5</v>
      </c>
      <c r="H359">
        <v>0</v>
      </c>
      <c r="I359" s="309">
        <v>110000</v>
      </c>
      <c r="J359">
        <v>1</v>
      </c>
      <c r="K359" s="133">
        <f t="shared" si="5"/>
        <v>0.28378977823273582</v>
      </c>
      <c r="L359" s="181">
        <v>-2.4</v>
      </c>
    </row>
    <row r="360" spans="1:12" x14ac:dyDescent="0.25">
      <c r="A360" s="136">
        <v>42872</v>
      </c>
      <c r="B360" s="201" t="s">
        <v>835</v>
      </c>
      <c r="C360" t="s">
        <v>839</v>
      </c>
      <c r="I360" s="309">
        <v>1.6</v>
      </c>
      <c r="K360" s="133">
        <f t="shared" si="5"/>
        <v>4.1278513197488847E-6</v>
      </c>
      <c r="L360" s="181">
        <v>0</v>
      </c>
    </row>
    <row r="361" spans="1:12" x14ac:dyDescent="0.25">
      <c r="A361" s="136">
        <v>42873</v>
      </c>
      <c r="B361" s="201" t="s">
        <v>132</v>
      </c>
      <c r="C361" t="s">
        <v>123</v>
      </c>
      <c r="D361">
        <v>2978627</v>
      </c>
      <c r="E361">
        <v>1978327</v>
      </c>
      <c r="F361">
        <v>0.01</v>
      </c>
      <c r="G361">
        <v>1049.78</v>
      </c>
      <c r="H361">
        <v>0</v>
      </c>
      <c r="I361" s="309">
        <v>29786.27</v>
      </c>
      <c r="J361">
        <v>0.01</v>
      </c>
      <c r="K361" s="133">
        <f t="shared" si="5"/>
        <v>7.7091109083732873E-2</v>
      </c>
      <c r="L361" s="181">
        <v>-3.4449999999999399</v>
      </c>
    </row>
    <row r="362" spans="1:12" x14ac:dyDescent="0.25">
      <c r="A362" s="136">
        <v>42873</v>
      </c>
      <c r="B362" s="201" t="s">
        <v>124</v>
      </c>
      <c r="C362" t="s">
        <v>125</v>
      </c>
      <c r="D362">
        <v>1100</v>
      </c>
      <c r="E362">
        <v>1100</v>
      </c>
      <c r="F362">
        <v>0.20799999999999999</v>
      </c>
      <c r="G362">
        <v>5271.33</v>
      </c>
      <c r="H362">
        <v>2303.85</v>
      </c>
      <c r="I362" s="309">
        <v>5500</v>
      </c>
      <c r="J362">
        <v>5</v>
      </c>
      <c r="K362" s="133">
        <f t="shared" si="5"/>
        <v>1.4234783340127207E-2</v>
      </c>
      <c r="L362" s="181">
        <v>20.130000000000098</v>
      </c>
    </row>
    <row r="363" spans="1:12" x14ac:dyDescent="0.25">
      <c r="A363" s="136">
        <v>42873</v>
      </c>
      <c r="B363" s="201" t="s">
        <v>71</v>
      </c>
      <c r="C363" t="s">
        <v>126</v>
      </c>
      <c r="D363">
        <v>4300</v>
      </c>
      <c r="E363">
        <v>3800</v>
      </c>
      <c r="F363">
        <v>6.2990000000000004</v>
      </c>
      <c r="G363">
        <v>-1587.77</v>
      </c>
      <c r="H363">
        <v>-5.86</v>
      </c>
      <c r="I363" s="309">
        <v>25499</v>
      </c>
      <c r="J363">
        <v>5.93</v>
      </c>
      <c r="K363" s="133">
        <f t="shared" si="5"/>
        <v>6.5995043707255216E-2</v>
      </c>
      <c r="L363" s="181">
        <v>-499.06</v>
      </c>
    </row>
    <row r="364" spans="1:12" x14ac:dyDescent="0.25">
      <c r="A364" s="136">
        <v>42873</v>
      </c>
      <c r="B364" s="201" t="s">
        <v>65</v>
      </c>
      <c r="C364" t="s">
        <v>127</v>
      </c>
      <c r="D364">
        <v>900</v>
      </c>
      <c r="E364">
        <v>900</v>
      </c>
      <c r="F364">
        <v>4.1079999999999997</v>
      </c>
      <c r="G364">
        <v>6724.6</v>
      </c>
      <c r="H364">
        <v>181.89</v>
      </c>
      <c r="I364" s="309">
        <v>10422</v>
      </c>
      <c r="J364">
        <v>11.58</v>
      </c>
      <c r="K364" s="133">
        <f t="shared" si="5"/>
        <v>2.6973620358328319E-2</v>
      </c>
      <c r="L364" s="181">
        <v>45</v>
      </c>
    </row>
    <row r="365" spans="1:12" x14ac:dyDescent="0.25">
      <c r="A365" s="136">
        <v>42873</v>
      </c>
      <c r="B365" s="201" t="s">
        <v>77</v>
      </c>
      <c r="C365" t="s">
        <v>128</v>
      </c>
      <c r="D365">
        <v>100</v>
      </c>
      <c r="E365">
        <v>100</v>
      </c>
      <c r="F365">
        <v>-17.683</v>
      </c>
      <c r="G365">
        <v>2419.3000000000002</v>
      </c>
      <c r="H365">
        <v>0</v>
      </c>
      <c r="I365" s="309">
        <v>651</v>
      </c>
      <c r="J365">
        <v>6.51</v>
      </c>
      <c r="K365" s="133">
        <f t="shared" si="5"/>
        <v>1.6848807189859657E-3</v>
      </c>
      <c r="L365" s="181">
        <v>-9</v>
      </c>
    </row>
    <row r="366" spans="1:12" x14ac:dyDescent="0.25">
      <c r="A366" s="136">
        <v>42873</v>
      </c>
      <c r="B366" s="201" t="s">
        <v>67</v>
      </c>
      <c r="C366" t="s">
        <v>129</v>
      </c>
      <c r="D366">
        <v>14150</v>
      </c>
      <c r="E366">
        <v>14150</v>
      </c>
      <c r="F366">
        <v>9.2690000000000001</v>
      </c>
      <c r="G366">
        <v>-17244.419999999998</v>
      </c>
      <c r="H366">
        <v>-13.15</v>
      </c>
      <c r="I366" s="309">
        <v>113907.5</v>
      </c>
      <c r="J366">
        <v>8.0500000000000007</v>
      </c>
      <c r="K366" s="133">
        <f t="shared" si="5"/>
        <v>0.29480883333009816</v>
      </c>
      <c r="L366" s="181">
        <v>-424.51999999999703</v>
      </c>
    </row>
    <row r="367" spans="1:12" x14ac:dyDescent="0.25">
      <c r="A367" s="136">
        <v>42873</v>
      </c>
      <c r="B367" s="201" t="s">
        <v>72</v>
      </c>
      <c r="C367" t="s">
        <v>130</v>
      </c>
      <c r="D367">
        <v>2100</v>
      </c>
      <c r="E367">
        <v>2100</v>
      </c>
      <c r="F367">
        <v>8.4760000000000009</v>
      </c>
      <c r="G367">
        <v>-978.88</v>
      </c>
      <c r="H367">
        <v>-5.5</v>
      </c>
      <c r="I367" s="309">
        <v>16821</v>
      </c>
      <c r="J367">
        <v>8.01</v>
      </c>
      <c r="K367" s="133">
        <f t="shared" si="5"/>
        <v>4.3535143738959954E-2</v>
      </c>
      <c r="L367" s="181">
        <v>-294</v>
      </c>
    </row>
    <row r="368" spans="1:12" x14ac:dyDescent="0.25">
      <c r="A368" s="136">
        <v>42873</v>
      </c>
      <c r="B368" s="201" t="s">
        <v>70</v>
      </c>
      <c r="C368" t="s">
        <v>131</v>
      </c>
      <c r="D368">
        <v>7200</v>
      </c>
      <c r="E368">
        <v>7200</v>
      </c>
      <c r="F368">
        <v>13.398</v>
      </c>
      <c r="G368">
        <v>-9702.18</v>
      </c>
      <c r="H368">
        <v>-10.06</v>
      </c>
      <c r="I368" s="309">
        <v>86760</v>
      </c>
      <c r="J368">
        <v>12.05</v>
      </c>
      <c r="K368" s="133">
        <f t="shared" si="5"/>
        <v>0.224547236834443</v>
      </c>
      <c r="L368" s="181">
        <v>-288</v>
      </c>
    </row>
    <row r="369" spans="1:12" x14ac:dyDescent="0.25">
      <c r="A369" s="136">
        <v>42873</v>
      </c>
      <c r="B369" s="201" t="s">
        <v>133</v>
      </c>
      <c r="C369" t="s">
        <v>134</v>
      </c>
      <c r="D369">
        <v>110000</v>
      </c>
      <c r="E369">
        <v>110000</v>
      </c>
      <c r="F369">
        <v>1</v>
      </c>
      <c r="G369">
        <v>7.99</v>
      </c>
      <c r="H369">
        <v>0</v>
      </c>
      <c r="I369" s="310">
        <v>90000</v>
      </c>
      <c r="J369">
        <v>1</v>
      </c>
      <c r="K369" s="133">
        <f t="shared" si="5"/>
        <v>0.23293281829299067</v>
      </c>
      <c r="L369" s="181">
        <v>11.49</v>
      </c>
    </row>
    <row r="370" spans="1:12" x14ac:dyDescent="0.25">
      <c r="A370" s="136">
        <v>42873</v>
      </c>
      <c r="B370" s="201" t="s">
        <v>835</v>
      </c>
      <c r="C370" t="s">
        <v>839</v>
      </c>
      <c r="I370" s="309">
        <v>7030.73</v>
      </c>
      <c r="K370" s="133">
        <f t="shared" si="5"/>
        <v>1.8196530595078645E-2</v>
      </c>
      <c r="L370" s="181">
        <v>0</v>
      </c>
    </row>
    <row r="371" spans="1:12" x14ac:dyDescent="0.25">
      <c r="A371" s="136">
        <v>42878</v>
      </c>
      <c r="B371" s="201" t="str">
        <f>"519888"</f>
        <v>519888</v>
      </c>
      <c r="C371" t="str">
        <f>"添富快线"</f>
        <v>添富快线</v>
      </c>
      <c r="D371">
        <v>9999763</v>
      </c>
      <c r="E371">
        <v>7979763</v>
      </c>
      <c r="F371">
        <v>0.01</v>
      </c>
      <c r="G371">
        <v>1061.1400000000001</v>
      </c>
      <c r="H371">
        <v>0</v>
      </c>
      <c r="I371" s="309">
        <v>99997.63</v>
      </c>
      <c r="J371">
        <v>0.01</v>
      </c>
      <c r="K371" s="133">
        <f t="shared" si="5"/>
        <v>0.26039286402483164</v>
      </c>
      <c r="L371" s="181">
        <v>11.360000000000101</v>
      </c>
    </row>
    <row r="372" spans="1:12" x14ac:dyDescent="0.25">
      <c r="A372" s="136">
        <v>42878</v>
      </c>
      <c r="B372" s="201" t="str">
        <f>"601398"</f>
        <v>601398</v>
      </c>
      <c r="C372" t="str">
        <f>"工商银行"</f>
        <v>工商银行</v>
      </c>
      <c r="D372">
        <v>700</v>
      </c>
      <c r="E372">
        <v>700</v>
      </c>
      <c r="F372">
        <v>-2.56</v>
      </c>
      <c r="G372">
        <v>5362</v>
      </c>
      <c r="H372">
        <v>0</v>
      </c>
      <c r="I372" s="309">
        <v>3570</v>
      </c>
      <c r="J372">
        <v>5.0999999999999996</v>
      </c>
      <c r="K372" s="133">
        <f t="shared" si="5"/>
        <v>9.2962455667064212E-3</v>
      </c>
      <c r="L372" s="181">
        <v>90.670000000000101</v>
      </c>
    </row>
    <row r="373" spans="1:12" x14ac:dyDescent="0.25">
      <c r="A373" s="136">
        <v>42878</v>
      </c>
      <c r="B373" s="201" t="str">
        <f>"601998"</f>
        <v>601998</v>
      </c>
      <c r="C373" t="str">
        <f>"中信银行"</f>
        <v>中信银行</v>
      </c>
      <c r="D373">
        <v>4300</v>
      </c>
      <c r="E373">
        <v>4300</v>
      </c>
      <c r="F373">
        <v>6.2990000000000004</v>
      </c>
      <c r="G373">
        <v>-1243.77</v>
      </c>
      <c r="H373">
        <v>-4.59</v>
      </c>
      <c r="I373" s="309">
        <v>25843</v>
      </c>
      <c r="J373">
        <v>6.01</v>
      </c>
      <c r="K373" s="133">
        <f t="shared" si="5"/>
        <v>6.7294922739606175E-2</v>
      </c>
      <c r="L373" s="181">
        <v>344</v>
      </c>
    </row>
    <row r="374" spans="1:12" x14ac:dyDescent="0.25">
      <c r="A374" s="136">
        <v>42878</v>
      </c>
      <c r="B374" s="201" t="str">
        <f>"000402"</f>
        <v>000402</v>
      </c>
      <c r="C374" t="str">
        <f>"金 融 街"</f>
        <v>金 融 街</v>
      </c>
      <c r="D374">
        <v>600</v>
      </c>
      <c r="E374">
        <v>600</v>
      </c>
      <c r="F374">
        <v>0.248</v>
      </c>
      <c r="G374">
        <v>6691.43</v>
      </c>
      <c r="H374">
        <v>4496.78</v>
      </c>
      <c r="I374" s="309">
        <v>6840</v>
      </c>
      <c r="J374">
        <v>11.4</v>
      </c>
      <c r="K374" s="133">
        <f t="shared" si="5"/>
        <v>1.7811294026966924E-2</v>
      </c>
      <c r="L374" s="181">
        <v>-33.170000000000101</v>
      </c>
    </row>
    <row r="375" spans="1:12" x14ac:dyDescent="0.25">
      <c r="A375" s="136">
        <v>42878</v>
      </c>
      <c r="B375" s="201" t="str">
        <f>"000415"</f>
        <v>000415</v>
      </c>
      <c r="C375" t="str">
        <f>"渤海金控"</f>
        <v>渤海金控</v>
      </c>
      <c r="D375">
        <v>600</v>
      </c>
      <c r="E375">
        <v>100</v>
      </c>
      <c r="F375">
        <v>2.3780000000000001</v>
      </c>
      <c r="G375">
        <v>2305.29</v>
      </c>
      <c r="H375">
        <v>161.57</v>
      </c>
      <c r="I375" s="309">
        <v>3732</v>
      </c>
      <c r="J375">
        <v>6.22</v>
      </c>
      <c r="K375" s="133">
        <f t="shared" si="5"/>
        <v>9.7180920041872159E-3</v>
      </c>
      <c r="L375" s="181">
        <v>-114.01</v>
      </c>
    </row>
    <row r="376" spans="1:12" x14ac:dyDescent="0.25">
      <c r="A376" s="136">
        <v>42878</v>
      </c>
      <c r="B376" s="201" t="str">
        <f>"000528"</f>
        <v>000528</v>
      </c>
      <c r="C376" t="str">
        <f>"柳    工"</f>
        <v>柳    工</v>
      </c>
      <c r="D376">
        <v>15150</v>
      </c>
      <c r="E376">
        <v>14650</v>
      </c>
      <c r="F376">
        <v>9.1709999999999994</v>
      </c>
      <c r="G376">
        <v>-23953.42</v>
      </c>
      <c r="H376">
        <v>-17.239999999999998</v>
      </c>
      <c r="I376" s="309">
        <v>114988.5</v>
      </c>
      <c r="J376">
        <v>7.59</v>
      </c>
      <c r="K376" s="133">
        <f t="shared" si="5"/>
        <v>0.29942894491518801</v>
      </c>
      <c r="L376" s="181">
        <v>-6709</v>
      </c>
    </row>
    <row r="377" spans="1:12" x14ac:dyDescent="0.25">
      <c r="A377" s="136">
        <v>42878</v>
      </c>
      <c r="B377" s="201" t="str">
        <f>"002006"</f>
        <v>002006</v>
      </c>
      <c r="C377" t="str">
        <f>"精功科技"</f>
        <v>精功科技</v>
      </c>
      <c r="D377">
        <v>2100</v>
      </c>
      <c r="E377">
        <v>2100</v>
      </c>
      <c r="F377">
        <v>8.4760000000000009</v>
      </c>
      <c r="G377">
        <v>-1146.8800000000001</v>
      </c>
      <c r="H377">
        <v>-6.44</v>
      </c>
      <c r="I377" s="309">
        <v>16653</v>
      </c>
      <c r="J377">
        <v>7.93</v>
      </c>
      <c r="K377" s="133">
        <f t="shared" si="5"/>
        <v>4.336425137881289E-2</v>
      </c>
      <c r="L377" s="181">
        <v>-168</v>
      </c>
    </row>
    <row r="378" spans="1:12" x14ac:dyDescent="0.25">
      <c r="A378" s="136">
        <v>42878</v>
      </c>
      <c r="B378" s="201" t="str">
        <f>"002140"</f>
        <v>002140</v>
      </c>
      <c r="C378" t="str">
        <f>"东华科技"</f>
        <v>东华科技</v>
      </c>
      <c r="D378">
        <v>6000</v>
      </c>
      <c r="E378">
        <v>6000</v>
      </c>
      <c r="F378">
        <v>13.516999999999999</v>
      </c>
      <c r="G378">
        <v>-5504.57</v>
      </c>
      <c r="H378">
        <v>-6.78</v>
      </c>
      <c r="I378" s="309">
        <v>75600</v>
      </c>
      <c r="J378">
        <v>12.6</v>
      </c>
      <c r="K378" s="133">
        <f t="shared" si="5"/>
        <v>0.19686167082437125</v>
      </c>
      <c r="L378" s="181">
        <v>4197.6099999999997</v>
      </c>
    </row>
    <row r="379" spans="1:12" x14ac:dyDescent="0.25">
      <c r="A379" s="136">
        <v>42878</v>
      </c>
      <c r="B379" s="201" t="str">
        <f>"SZRQ88"</f>
        <v>SZRQ88</v>
      </c>
      <c r="C379" t="str">
        <f>"国标准券"</f>
        <v>国标准券</v>
      </c>
      <c r="D379">
        <v>20000</v>
      </c>
      <c r="E379">
        <v>20000</v>
      </c>
      <c r="F379">
        <v>0.998</v>
      </c>
      <c r="G379">
        <v>38.950000000000003</v>
      </c>
      <c r="H379">
        <v>0</v>
      </c>
      <c r="I379" s="309">
        <v>20000</v>
      </c>
      <c r="J379">
        <v>1</v>
      </c>
      <c r="K379" s="133">
        <f t="shared" si="5"/>
        <v>5.2079807096394516E-2</v>
      </c>
      <c r="L379" s="181">
        <v>30.96</v>
      </c>
    </row>
    <row r="380" spans="1:12" x14ac:dyDescent="0.25">
      <c r="A380" s="136">
        <v>42878</v>
      </c>
      <c r="B380" s="201" t="s">
        <v>835</v>
      </c>
      <c r="C380" t="s">
        <v>839</v>
      </c>
      <c r="I380" s="309">
        <v>16801.87</v>
      </c>
      <c r="K380" s="133">
        <f t="shared" si="5"/>
        <v>4.3751907422934902E-2</v>
      </c>
      <c r="L380" s="181">
        <v>0</v>
      </c>
    </row>
    <row r="381" spans="1:12" x14ac:dyDescent="0.25">
      <c r="A381" s="136">
        <v>42880</v>
      </c>
      <c r="B381" s="201" t="str">
        <f>"519888"</f>
        <v>519888</v>
      </c>
      <c r="C381" t="str">
        <f>"添富快线"</f>
        <v>添富快线</v>
      </c>
      <c r="D381">
        <v>12001260</v>
      </c>
      <c r="E381">
        <v>10001260</v>
      </c>
      <c r="F381">
        <v>0.01</v>
      </c>
      <c r="G381">
        <v>1076.1099999999999</v>
      </c>
      <c r="H381">
        <v>0</v>
      </c>
      <c r="I381" s="309">
        <v>120012.6</v>
      </c>
      <c r="J381">
        <v>0.01</v>
      </c>
      <c r="K381" s="133">
        <f t="shared" si="5"/>
        <v>0.30886423730471574</v>
      </c>
      <c r="L381" s="181">
        <v>14.9699999999998</v>
      </c>
    </row>
    <row r="382" spans="1:12" x14ac:dyDescent="0.25">
      <c r="A382" s="136">
        <v>42880</v>
      </c>
      <c r="B382" s="201" t="str">
        <f>"601398"</f>
        <v>601398</v>
      </c>
      <c r="C382" t="str">
        <f>"工商银行"</f>
        <v>工商银行</v>
      </c>
      <c r="D382">
        <v>200</v>
      </c>
      <c r="E382">
        <v>200</v>
      </c>
      <c r="F382">
        <v>-21.873000000000001</v>
      </c>
      <c r="G382">
        <v>5414.6</v>
      </c>
      <c r="H382">
        <v>0</v>
      </c>
      <c r="I382" s="309">
        <v>1040</v>
      </c>
      <c r="J382">
        <v>5.2</v>
      </c>
      <c r="K382" s="133">
        <f t="shared" si="5"/>
        <v>2.6765423530271349E-3</v>
      </c>
      <c r="L382" s="181">
        <v>52.600000000000399</v>
      </c>
    </row>
    <row r="383" spans="1:12" x14ac:dyDescent="0.25">
      <c r="A383" s="136">
        <v>42880</v>
      </c>
      <c r="B383" s="201" t="str">
        <f>"601998"</f>
        <v>601998</v>
      </c>
      <c r="C383" t="str">
        <f>"中信银行"</f>
        <v>中信银行</v>
      </c>
      <c r="D383">
        <v>3800</v>
      </c>
      <c r="E383">
        <v>3300</v>
      </c>
      <c r="F383">
        <v>6.3170000000000002</v>
      </c>
      <c r="G383">
        <v>-520.91999999999996</v>
      </c>
      <c r="H383">
        <v>-2.0099999999999998</v>
      </c>
      <c r="I383" s="309">
        <v>23484</v>
      </c>
      <c r="J383">
        <v>6.18</v>
      </c>
      <c r="K383" s="133">
        <f t="shared" si="5"/>
        <v>6.0438385210085807E-2</v>
      </c>
      <c r="L383" s="181">
        <v>722.85</v>
      </c>
    </row>
    <row r="384" spans="1:12" x14ac:dyDescent="0.25">
      <c r="A384" s="136">
        <v>42880</v>
      </c>
      <c r="B384" s="201" t="str">
        <f>"000402"</f>
        <v>000402</v>
      </c>
      <c r="C384" t="str">
        <f>"金 融 街"</f>
        <v>金 融 街</v>
      </c>
      <c r="D384">
        <v>200</v>
      </c>
      <c r="E384">
        <v>200</v>
      </c>
      <c r="F384">
        <v>-22.369</v>
      </c>
      <c r="G384">
        <v>6851.8</v>
      </c>
      <c r="H384">
        <v>0</v>
      </c>
      <c r="I384" s="309">
        <v>2378</v>
      </c>
      <c r="J384">
        <v>11.89</v>
      </c>
      <c r="K384" s="133">
        <f t="shared" si="5"/>
        <v>6.120017034133199E-3</v>
      </c>
      <c r="L384" s="181">
        <v>160.37</v>
      </c>
    </row>
    <row r="385" spans="1:12" x14ac:dyDescent="0.25">
      <c r="A385" s="136">
        <v>42880</v>
      </c>
      <c r="B385" s="201" t="str">
        <f>"000415"</f>
        <v>000415</v>
      </c>
      <c r="C385" t="str">
        <f>"渤海金控"</f>
        <v>渤海金控</v>
      </c>
      <c r="D385">
        <v>600</v>
      </c>
      <c r="E385">
        <v>600</v>
      </c>
      <c r="F385">
        <v>2.3780000000000001</v>
      </c>
      <c r="G385">
        <v>2449.29</v>
      </c>
      <c r="H385">
        <v>171.66</v>
      </c>
      <c r="I385" s="309">
        <v>3876</v>
      </c>
      <c r="J385">
        <v>6.46</v>
      </c>
      <c r="K385" s="133">
        <f t="shared" si="5"/>
        <v>9.9752674618588215E-3</v>
      </c>
      <c r="L385" s="181">
        <v>144</v>
      </c>
    </row>
    <row r="386" spans="1:12" x14ac:dyDescent="0.25">
      <c r="A386" s="136">
        <v>42880</v>
      </c>
      <c r="B386" s="201" t="str">
        <f>"000528"</f>
        <v>000528</v>
      </c>
      <c r="C386" t="str">
        <f>"柳    工"</f>
        <v>柳    工</v>
      </c>
      <c r="D386">
        <v>14650</v>
      </c>
      <c r="E386">
        <v>14650</v>
      </c>
      <c r="F386">
        <v>9.2110000000000003</v>
      </c>
      <c r="G386">
        <v>-19639.22</v>
      </c>
      <c r="H386">
        <v>-14.56</v>
      </c>
      <c r="I386" s="309">
        <v>115295.5</v>
      </c>
      <c r="J386">
        <v>7.87</v>
      </c>
      <c r="K386" s="133">
        <f t="shared" ref="K386:K449" si="6">I386/SUMIF(A:A,A386,I:I)</f>
        <v>0.29672431621484618</v>
      </c>
      <c r="L386" s="181">
        <v>4314.2</v>
      </c>
    </row>
    <row r="387" spans="1:12" x14ac:dyDescent="0.25">
      <c r="A387" s="136">
        <v>42880</v>
      </c>
      <c r="B387" s="201" t="str">
        <f>"002006"</f>
        <v>002006</v>
      </c>
      <c r="C387" t="str">
        <f>"精功科技"</f>
        <v>精功科技</v>
      </c>
      <c r="D387">
        <v>2100</v>
      </c>
      <c r="E387">
        <v>2100</v>
      </c>
      <c r="F387">
        <v>8.4760000000000009</v>
      </c>
      <c r="G387">
        <v>-1146.8800000000001</v>
      </c>
      <c r="H387">
        <v>-6.44</v>
      </c>
      <c r="I387" s="309">
        <v>16653</v>
      </c>
      <c r="J387">
        <v>7.93</v>
      </c>
      <c r="K387" s="133">
        <f t="shared" si="6"/>
        <v>4.2858134427847E-2</v>
      </c>
      <c r="L387" s="181">
        <v>0</v>
      </c>
    </row>
    <row r="388" spans="1:12" x14ac:dyDescent="0.25">
      <c r="A388" s="136">
        <v>42880</v>
      </c>
      <c r="B388" s="201" t="str">
        <f>"002140"</f>
        <v>002140</v>
      </c>
      <c r="C388" t="str">
        <f>"东华科技"</f>
        <v>东华科技</v>
      </c>
      <c r="D388">
        <v>6200</v>
      </c>
      <c r="E388">
        <v>6200</v>
      </c>
      <c r="F388">
        <v>13.398999999999999</v>
      </c>
      <c r="G388">
        <v>-6378.31</v>
      </c>
      <c r="H388">
        <v>-7.68</v>
      </c>
      <c r="I388" s="309">
        <v>76694</v>
      </c>
      <c r="J388">
        <v>12.37</v>
      </c>
      <c r="K388" s="133">
        <f t="shared" si="6"/>
        <v>0.19737955694525297</v>
      </c>
      <c r="L388" s="181">
        <v>-873.74000000000103</v>
      </c>
    </row>
    <row r="389" spans="1:12" x14ac:dyDescent="0.25">
      <c r="A389" s="136">
        <v>42880</v>
      </c>
      <c r="B389" s="201" t="str">
        <f>"SZRQ88"</f>
        <v>SZRQ88</v>
      </c>
      <c r="C389" t="str">
        <f>"国标准券"</f>
        <v>国标准券</v>
      </c>
      <c r="D389">
        <v>20000</v>
      </c>
      <c r="E389">
        <v>20000</v>
      </c>
      <c r="F389">
        <v>0.998</v>
      </c>
      <c r="G389">
        <v>38.950000000000003</v>
      </c>
      <c r="H389">
        <v>0</v>
      </c>
      <c r="I389" s="309">
        <v>20000</v>
      </c>
      <c r="J389">
        <v>1</v>
      </c>
      <c r="K389" s="133">
        <f t="shared" si="6"/>
        <v>5.1471968327444904E-2</v>
      </c>
      <c r="L389" s="181">
        <v>0</v>
      </c>
    </row>
    <row r="390" spans="1:12" x14ac:dyDescent="0.25">
      <c r="A390" s="136">
        <v>42880</v>
      </c>
      <c r="B390" s="201" t="s">
        <v>835</v>
      </c>
      <c r="C390" t="s">
        <v>839</v>
      </c>
      <c r="I390" s="309">
        <v>9127.91</v>
      </c>
      <c r="K390" s="133">
        <f t="shared" si="6"/>
        <v>2.3491574720788382E-2</v>
      </c>
      <c r="L390" s="181">
        <v>0</v>
      </c>
    </row>
    <row r="391" spans="1:12" x14ac:dyDescent="0.25">
      <c r="A391" s="136">
        <v>42881</v>
      </c>
      <c r="B391" s="201" t="str">
        <f>"519888"</f>
        <v>519888</v>
      </c>
      <c r="C391" t="str">
        <f>"添富快线"</f>
        <v>添富快线</v>
      </c>
      <c r="D391">
        <v>12002135</v>
      </c>
      <c r="E391">
        <v>12002135</v>
      </c>
      <c r="F391">
        <v>0.01</v>
      </c>
      <c r="G391">
        <v>1084.8599999999999</v>
      </c>
      <c r="H391">
        <v>0</v>
      </c>
      <c r="I391" s="309">
        <v>120021.35</v>
      </c>
      <c r="J391">
        <v>0.01</v>
      </c>
      <c r="K391" s="133">
        <f t="shared" si="6"/>
        <v>0.30344958272991324</v>
      </c>
      <c r="L391" s="181">
        <v>8.75</v>
      </c>
    </row>
    <row r="392" spans="1:12" x14ac:dyDescent="0.25">
      <c r="A392" s="136">
        <v>42881</v>
      </c>
      <c r="B392" s="201" t="str">
        <f>"601398"</f>
        <v>601398</v>
      </c>
      <c r="C392" t="str">
        <f>"工商银行"</f>
        <v>工商银行</v>
      </c>
      <c r="D392">
        <v>200</v>
      </c>
      <c r="E392">
        <v>200</v>
      </c>
      <c r="F392">
        <v>-21.873000000000001</v>
      </c>
      <c r="G392">
        <v>5420.6</v>
      </c>
      <c r="H392">
        <v>0</v>
      </c>
      <c r="I392" s="309">
        <v>1046</v>
      </c>
      <c r="J392">
        <v>5.23</v>
      </c>
      <c r="K392" s="133">
        <f t="shared" si="6"/>
        <v>2.6445983446735872E-3</v>
      </c>
      <c r="L392" s="181">
        <v>6</v>
      </c>
    </row>
    <row r="393" spans="1:12" x14ac:dyDescent="0.25">
      <c r="A393" s="136">
        <v>42881</v>
      </c>
      <c r="B393" s="201" t="str">
        <f>"601998"</f>
        <v>601998</v>
      </c>
      <c r="C393" t="str">
        <f>"中信银行"</f>
        <v>中信银行</v>
      </c>
      <c r="D393">
        <v>3800</v>
      </c>
      <c r="E393">
        <v>3800</v>
      </c>
      <c r="F393">
        <v>6.3170000000000002</v>
      </c>
      <c r="G393">
        <v>-520.91999999999996</v>
      </c>
      <c r="H393">
        <v>-2.17</v>
      </c>
      <c r="I393" s="309">
        <v>23484</v>
      </c>
      <c r="J393">
        <v>6.18</v>
      </c>
      <c r="K393" s="133">
        <f t="shared" si="6"/>
        <v>5.937451962362765E-2</v>
      </c>
      <c r="L393" s="181">
        <v>0</v>
      </c>
    </row>
    <row r="394" spans="1:12" x14ac:dyDescent="0.25">
      <c r="A394" s="136">
        <v>42881</v>
      </c>
      <c r="B394" s="201" t="str">
        <f>"000402"</f>
        <v>000402</v>
      </c>
      <c r="C394" t="str">
        <f>"金 融 街"</f>
        <v>金 融 街</v>
      </c>
      <c r="D394">
        <v>700</v>
      </c>
      <c r="E394">
        <v>200</v>
      </c>
      <c r="F394">
        <v>1.9950000000000001</v>
      </c>
      <c r="G394">
        <v>6821.8</v>
      </c>
      <c r="H394">
        <v>488.47</v>
      </c>
      <c r="I394" s="309">
        <v>8218</v>
      </c>
      <c r="J394">
        <v>11.74</v>
      </c>
      <c r="K394" s="133">
        <f t="shared" si="6"/>
        <v>2.0777542252894396E-2</v>
      </c>
      <c r="L394" s="181">
        <v>-30</v>
      </c>
    </row>
    <row r="395" spans="1:12" x14ac:dyDescent="0.25">
      <c r="A395" s="136">
        <v>42881</v>
      </c>
      <c r="B395" s="201" t="str">
        <f>"000415"</f>
        <v>000415</v>
      </c>
      <c r="C395" t="str">
        <f>"渤海金控"</f>
        <v>渤海金控</v>
      </c>
      <c r="D395">
        <v>200</v>
      </c>
      <c r="E395">
        <v>200</v>
      </c>
      <c r="F395">
        <v>-5.8280000000000003</v>
      </c>
      <c r="G395">
        <v>2465.6</v>
      </c>
      <c r="H395">
        <v>0</v>
      </c>
      <c r="I395" s="309">
        <v>1300</v>
      </c>
      <c r="J395">
        <v>6.5</v>
      </c>
      <c r="K395" s="133">
        <f t="shared" si="6"/>
        <v>3.286785705617269E-3</v>
      </c>
      <c r="L395" s="181">
        <v>16.309999999999899</v>
      </c>
    </row>
    <row r="396" spans="1:12" x14ac:dyDescent="0.25">
      <c r="A396" s="136">
        <v>42881</v>
      </c>
      <c r="B396" s="201" t="str">
        <f>"000528"</f>
        <v>000528</v>
      </c>
      <c r="C396" t="str">
        <f>"柳    工"</f>
        <v>柳    工</v>
      </c>
      <c r="D396">
        <v>14650</v>
      </c>
      <c r="E396">
        <v>14650</v>
      </c>
      <c r="F396">
        <v>9.2110000000000003</v>
      </c>
      <c r="G396">
        <v>-20371.72</v>
      </c>
      <c r="H396">
        <v>-15.1</v>
      </c>
      <c r="I396" s="309">
        <v>114563</v>
      </c>
      <c r="J396">
        <v>7.82</v>
      </c>
      <c r="K396" s="133">
        <f t="shared" si="6"/>
        <v>0.28964925445587014</v>
      </c>
      <c r="L396" s="181">
        <v>-732.5</v>
      </c>
    </row>
    <row r="397" spans="1:12" x14ac:dyDescent="0.25">
      <c r="A397" s="136">
        <v>42881</v>
      </c>
      <c r="B397" s="201" t="str">
        <f>"002006"</f>
        <v>002006</v>
      </c>
      <c r="C397" t="str">
        <f>"精功科技"</f>
        <v>精功科技</v>
      </c>
      <c r="D397">
        <v>2100</v>
      </c>
      <c r="E397">
        <v>2100</v>
      </c>
      <c r="F397">
        <v>8.4760000000000009</v>
      </c>
      <c r="G397">
        <v>-1146.8800000000001</v>
      </c>
      <c r="H397">
        <v>-6.44</v>
      </c>
      <c r="I397" s="309">
        <v>16653</v>
      </c>
      <c r="J397">
        <v>7.93</v>
      </c>
      <c r="K397" s="133">
        <f t="shared" si="6"/>
        <v>4.2103724888957215E-2</v>
      </c>
      <c r="L397" s="181">
        <v>0</v>
      </c>
    </row>
    <row r="398" spans="1:12" x14ac:dyDescent="0.25">
      <c r="A398" s="136">
        <v>42881</v>
      </c>
      <c r="B398" s="201" t="str">
        <f>"002140"</f>
        <v>002140</v>
      </c>
      <c r="C398" t="str">
        <f>"东华科技"</f>
        <v>东华科技</v>
      </c>
      <c r="D398">
        <v>5800</v>
      </c>
      <c r="E398">
        <v>5800</v>
      </c>
      <c r="F398">
        <v>13.385999999999999</v>
      </c>
      <c r="G398">
        <v>1299.25</v>
      </c>
      <c r="H398">
        <v>1.67</v>
      </c>
      <c r="I398" s="309">
        <v>78938</v>
      </c>
      <c r="J398">
        <v>13.61</v>
      </c>
      <c r="K398" s="133">
        <f t="shared" si="6"/>
        <v>0.19957868463847384</v>
      </c>
      <c r="L398" s="181">
        <v>7677.56</v>
      </c>
    </row>
    <row r="399" spans="1:12" x14ac:dyDescent="0.25">
      <c r="A399" s="136">
        <v>42881</v>
      </c>
      <c r="B399" s="201" t="s">
        <v>835</v>
      </c>
      <c r="C399" t="s">
        <v>839</v>
      </c>
      <c r="I399" s="309">
        <v>31299.85</v>
      </c>
      <c r="K399" s="133">
        <f t="shared" si="6"/>
        <v>7.9135307359972817E-2</v>
      </c>
      <c r="L399" s="181">
        <v>0</v>
      </c>
    </row>
    <row r="400" spans="1:12" x14ac:dyDescent="0.25">
      <c r="A400" s="136">
        <v>42886</v>
      </c>
      <c r="B400" s="201" t="str">
        <f>"519888"</f>
        <v>519888</v>
      </c>
      <c r="C400" t="str">
        <f>"添富快线"</f>
        <v>添富快线</v>
      </c>
      <c r="D400">
        <v>16837126</v>
      </c>
      <c r="E400">
        <v>12003126</v>
      </c>
      <c r="F400">
        <v>0.01</v>
      </c>
      <c r="G400">
        <v>1094.77</v>
      </c>
      <c r="H400">
        <v>0</v>
      </c>
      <c r="I400" s="309">
        <v>168371.26</v>
      </c>
      <c r="J400">
        <v>0.01</v>
      </c>
      <c r="K400" s="133">
        <f t="shared" si="6"/>
        <v>0.41645745836161513</v>
      </c>
      <c r="L400" s="181">
        <v>9.9100000000000801</v>
      </c>
    </row>
    <row r="401" spans="1:12" x14ac:dyDescent="0.25">
      <c r="A401" s="136">
        <v>42886</v>
      </c>
      <c r="B401" s="201" t="str">
        <f>"601398"</f>
        <v>601398</v>
      </c>
      <c r="C401" t="str">
        <f>"工商银行"</f>
        <v>工商银行</v>
      </c>
      <c r="D401">
        <v>200</v>
      </c>
      <c r="E401">
        <v>200</v>
      </c>
      <c r="F401">
        <v>-21.873000000000001</v>
      </c>
      <c r="G401">
        <v>5424.6</v>
      </c>
      <c r="H401">
        <v>0</v>
      </c>
      <c r="I401" s="309">
        <v>1050</v>
      </c>
      <c r="J401">
        <v>5.25</v>
      </c>
      <c r="K401" s="133">
        <f t="shared" si="6"/>
        <v>2.5971197892068745E-3</v>
      </c>
      <c r="L401" s="181">
        <v>4</v>
      </c>
    </row>
    <row r="402" spans="1:12" x14ac:dyDescent="0.25">
      <c r="A402" s="136">
        <v>42886</v>
      </c>
      <c r="B402" s="201" t="str">
        <f>"601998"</f>
        <v>601998</v>
      </c>
      <c r="C402" t="str">
        <f>"中信银行"</f>
        <v>中信银行</v>
      </c>
      <c r="D402">
        <v>3800</v>
      </c>
      <c r="E402">
        <v>3800</v>
      </c>
      <c r="F402">
        <v>6.3170000000000002</v>
      </c>
      <c r="G402">
        <v>-482.92</v>
      </c>
      <c r="H402">
        <v>-2.0099999999999998</v>
      </c>
      <c r="I402" s="309">
        <v>23522</v>
      </c>
      <c r="J402">
        <v>6.19</v>
      </c>
      <c r="K402" s="133">
        <f t="shared" si="6"/>
        <v>5.8180430173070577E-2</v>
      </c>
      <c r="L402" s="181">
        <v>37.999999999999901</v>
      </c>
    </row>
    <row r="403" spans="1:12" x14ac:dyDescent="0.25">
      <c r="A403" s="136">
        <v>42886</v>
      </c>
      <c r="B403" s="201" t="str">
        <f>"000402"</f>
        <v>000402</v>
      </c>
      <c r="C403" t="str">
        <f>"金 融 街"</f>
        <v>金 融 街</v>
      </c>
      <c r="D403">
        <v>700</v>
      </c>
      <c r="E403">
        <v>300</v>
      </c>
      <c r="F403">
        <v>1.8160000000000001</v>
      </c>
      <c r="G403">
        <v>6883.96</v>
      </c>
      <c r="H403">
        <v>541.52</v>
      </c>
      <c r="I403" s="309">
        <v>8155</v>
      </c>
      <c r="J403">
        <v>11.65</v>
      </c>
      <c r="K403" s="133">
        <f t="shared" si="6"/>
        <v>2.0170963696173393E-2</v>
      </c>
      <c r="L403" s="181">
        <v>62.159999999999897</v>
      </c>
    </row>
    <row r="404" spans="1:12" x14ac:dyDescent="0.25">
      <c r="A404" s="136">
        <v>42886</v>
      </c>
      <c r="B404" s="201" t="str">
        <f>"000415"</f>
        <v>000415</v>
      </c>
      <c r="C404" t="str">
        <f>"渤海金控"</f>
        <v>渤海金控</v>
      </c>
      <c r="D404">
        <v>200</v>
      </c>
      <c r="E404">
        <v>200</v>
      </c>
      <c r="F404">
        <v>-5.8280000000000003</v>
      </c>
      <c r="G404">
        <v>2457.6</v>
      </c>
      <c r="H404">
        <v>0</v>
      </c>
      <c r="I404" s="309">
        <v>1292</v>
      </c>
      <c r="J404">
        <v>6.46</v>
      </c>
      <c r="K404" s="133">
        <f t="shared" si="6"/>
        <v>3.1956940644336019E-3</v>
      </c>
      <c r="L404" s="181">
        <v>-8</v>
      </c>
    </row>
    <row r="405" spans="1:12" x14ac:dyDescent="0.25">
      <c r="A405" s="136">
        <v>42886</v>
      </c>
      <c r="B405" s="201" t="str">
        <f>"000528"</f>
        <v>000528</v>
      </c>
      <c r="C405" t="str">
        <f>"柳    工"</f>
        <v>柳    工</v>
      </c>
      <c r="D405">
        <v>14650</v>
      </c>
      <c r="E405">
        <v>14650</v>
      </c>
      <c r="F405">
        <v>9.2110000000000003</v>
      </c>
      <c r="G405">
        <v>-19346.22</v>
      </c>
      <c r="H405">
        <v>-14.34</v>
      </c>
      <c r="I405" s="309">
        <v>115588.5</v>
      </c>
      <c r="J405">
        <v>7.89</v>
      </c>
      <c r="K405" s="133">
        <f t="shared" si="6"/>
        <v>0.28590207690927505</v>
      </c>
      <c r="L405" s="181">
        <v>1025.5</v>
      </c>
    </row>
    <row r="406" spans="1:12" x14ac:dyDescent="0.25">
      <c r="A406" s="136">
        <v>42886</v>
      </c>
      <c r="B406" s="201" t="str">
        <f>"002006"</f>
        <v>002006</v>
      </c>
      <c r="C406" t="str">
        <f>"精功科技"</f>
        <v>精功科技</v>
      </c>
      <c r="D406">
        <v>2100</v>
      </c>
      <c r="E406">
        <v>2100</v>
      </c>
      <c r="F406">
        <v>8.4760000000000009</v>
      </c>
      <c r="G406">
        <v>-1146.8800000000001</v>
      </c>
      <c r="H406">
        <v>-6.44</v>
      </c>
      <c r="I406" s="309">
        <v>16653</v>
      </c>
      <c r="J406">
        <v>7.93</v>
      </c>
      <c r="K406" s="133">
        <f t="shared" si="6"/>
        <v>4.1190319856821034E-2</v>
      </c>
      <c r="L406" s="181">
        <v>0</v>
      </c>
    </row>
    <row r="407" spans="1:12" x14ac:dyDescent="0.25">
      <c r="A407" s="136">
        <v>42886</v>
      </c>
      <c r="B407" s="201" t="str">
        <f>"002140"</f>
        <v>002140</v>
      </c>
      <c r="C407" t="str">
        <f>"东华科技"</f>
        <v>东华科技</v>
      </c>
      <c r="D407">
        <v>4600</v>
      </c>
      <c r="E407">
        <v>4600</v>
      </c>
      <c r="F407">
        <v>13.026999999999999</v>
      </c>
      <c r="G407">
        <v>8938.5</v>
      </c>
      <c r="H407">
        <v>14.92</v>
      </c>
      <c r="I407" s="309">
        <v>68862</v>
      </c>
      <c r="J407">
        <v>14.97</v>
      </c>
      <c r="K407" s="133">
        <f t="shared" si="6"/>
        <v>0.1703265361184417</v>
      </c>
      <c r="L407" s="181">
        <v>7639.25</v>
      </c>
    </row>
    <row r="408" spans="1:12" x14ac:dyDescent="0.25">
      <c r="A408" s="136">
        <v>42886</v>
      </c>
      <c r="B408" s="201" t="s">
        <v>835</v>
      </c>
      <c r="C408" t="s">
        <v>839</v>
      </c>
      <c r="I408" s="309">
        <v>800.26</v>
      </c>
      <c r="K408" s="133">
        <f t="shared" si="6"/>
        <v>1.9794010309625654E-3</v>
      </c>
      <c r="L408" s="181">
        <v>0</v>
      </c>
    </row>
    <row r="409" spans="1:12" x14ac:dyDescent="0.25">
      <c r="A409" s="136">
        <v>42888</v>
      </c>
      <c r="B409" s="201" t="s">
        <v>70</v>
      </c>
      <c r="C409" t="s">
        <v>131</v>
      </c>
      <c r="D409">
        <v>3400</v>
      </c>
      <c r="E409">
        <v>3400</v>
      </c>
      <c r="F409">
        <v>12.086</v>
      </c>
      <c r="G409">
        <v>14292.63</v>
      </c>
      <c r="H409">
        <v>34.79</v>
      </c>
      <c r="I409" s="309">
        <v>55386</v>
      </c>
      <c r="J409">
        <v>16.29</v>
      </c>
      <c r="K409" s="133">
        <f t="shared" si="6"/>
        <v>0.13504471573240948</v>
      </c>
      <c r="L409" s="181">
        <v>5354.13</v>
      </c>
    </row>
    <row r="410" spans="1:12" x14ac:dyDescent="0.25">
      <c r="A410" s="136">
        <v>42888</v>
      </c>
      <c r="B410" s="201" t="s">
        <v>65</v>
      </c>
      <c r="C410" t="s">
        <v>127</v>
      </c>
      <c r="D410">
        <v>800</v>
      </c>
      <c r="E410">
        <v>300</v>
      </c>
      <c r="F410">
        <v>2.8730000000000002</v>
      </c>
      <c r="G410">
        <v>7141.25</v>
      </c>
      <c r="H410">
        <v>310.72000000000003</v>
      </c>
      <c r="I410" s="309">
        <v>9440</v>
      </c>
      <c r="J410">
        <v>11.8</v>
      </c>
      <c r="K410" s="133">
        <f t="shared" si="6"/>
        <v>2.3017046122015408E-2</v>
      </c>
      <c r="L410" s="181">
        <v>257.29000000000002</v>
      </c>
    </row>
    <row r="411" spans="1:12" x14ac:dyDescent="0.25">
      <c r="A411" s="136">
        <v>42888</v>
      </c>
      <c r="B411" s="201" t="s">
        <v>124</v>
      </c>
      <c r="C411" t="s">
        <v>125</v>
      </c>
      <c r="D411">
        <v>200</v>
      </c>
      <c r="E411">
        <v>200</v>
      </c>
      <c r="F411">
        <v>-21.873000000000001</v>
      </c>
      <c r="G411">
        <v>5434.6</v>
      </c>
      <c r="H411">
        <v>0</v>
      </c>
      <c r="I411" s="309">
        <v>1060</v>
      </c>
      <c r="J411">
        <v>5.3</v>
      </c>
      <c r="K411" s="133">
        <f t="shared" si="6"/>
        <v>2.5845411959042725E-3</v>
      </c>
      <c r="L411" s="181">
        <v>10</v>
      </c>
    </row>
    <row r="412" spans="1:12" x14ac:dyDescent="0.25">
      <c r="A412" s="136">
        <v>42888</v>
      </c>
      <c r="B412" s="201" t="s">
        <v>77</v>
      </c>
      <c r="C412" t="s">
        <v>128</v>
      </c>
      <c r="D412">
        <v>1200</v>
      </c>
      <c r="E412">
        <v>700</v>
      </c>
      <c r="F412">
        <v>4.2910000000000004</v>
      </c>
      <c r="G412">
        <v>2446.69</v>
      </c>
      <c r="H412">
        <v>47.52</v>
      </c>
      <c r="I412" s="309">
        <v>7596</v>
      </c>
      <c r="J412">
        <v>6.33</v>
      </c>
      <c r="K412" s="133">
        <f t="shared" si="6"/>
        <v>1.8520919739706466E-2</v>
      </c>
      <c r="L412" s="181">
        <v>-10.909999999999901</v>
      </c>
    </row>
    <row r="413" spans="1:12" x14ac:dyDescent="0.25">
      <c r="A413" s="136">
        <v>42888</v>
      </c>
      <c r="B413" s="201" t="s">
        <v>132</v>
      </c>
      <c r="C413" t="s">
        <v>123</v>
      </c>
      <c r="D413">
        <v>14969645</v>
      </c>
      <c r="E413">
        <v>12844745</v>
      </c>
      <c r="F413">
        <v>0.01</v>
      </c>
      <c r="G413">
        <v>1170.96</v>
      </c>
      <c r="H413">
        <v>0</v>
      </c>
      <c r="I413" s="309">
        <v>149696.45000000001</v>
      </c>
      <c r="J413">
        <v>0.01</v>
      </c>
      <c r="K413" s="133">
        <f t="shared" si="6"/>
        <v>0.3649968319864379</v>
      </c>
      <c r="L413" s="181">
        <v>76.190000000000097</v>
      </c>
    </row>
    <row r="414" spans="1:12" x14ac:dyDescent="0.25">
      <c r="A414" s="136">
        <v>42888</v>
      </c>
      <c r="B414" s="201" t="s">
        <v>61</v>
      </c>
      <c r="C414" t="s">
        <v>136</v>
      </c>
      <c r="D414">
        <v>500</v>
      </c>
      <c r="E414">
        <v>500</v>
      </c>
      <c r="F414">
        <v>5.05</v>
      </c>
      <c r="G414">
        <v>14.95</v>
      </c>
      <c r="H414">
        <v>0.6</v>
      </c>
      <c r="I414" s="309">
        <v>2540</v>
      </c>
      <c r="J414">
        <v>5.08</v>
      </c>
      <c r="K414" s="133">
        <f t="shared" si="6"/>
        <v>6.1931458845253329E-3</v>
      </c>
    </row>
    <row r="415" spans="1:12" x14ac:dyDescent="0.25">
      <c r="A415" s="136">
        <v>42888</v>
      </c>
      <c r="B415" s="201" t="s">
        <v>133</v>
      </c>
      <c r="C415" t="s">
        <v>134</v>
      </c>
      <c r="D415">
        <v>20000</v>
      </c>
      <c r="E415">
        <v>0</v>
      </c>
      <c r="F415">
        <v>1</v>
      </c>
      <c r="G415">
        <v>-0.2</v>
      </c>
      <c r="H415">
        <v>0</v>
      </c>
      <c r="I415" s="309">
        <v>20000</v>
      </c>
      <c r="J415">
        <v>1</v>
      </c>
      <c r="K415" s="133">
        <f t="shared" si="6"/>
        <v>4.8764928224608921E-2</v>
      </c>
      <c r="L415" s="181">
        <v>-39.15</v>
      </c>
    </row>
    <row r="416" spans="1:12" x14ac:dyDescent="0.25">
      <c r="A416" s="136">
        <v>42888</v>
      </c>
      <c r="B416" s="201" t="s">
        <v>71</v>
      </c>
      <c r="C416" t="s">
        <v>126</v>
      </c>
      <c r="D416">
        <v>4300</v>
      </c>
      <c r="E416">
        <v>3800</v>
      </c>
      <c r="F416">
        <v>6.2930000000000001</v>
      </c>
      <c r="G416">
        <v>-786.98</v>
      </c>
      <c r="H416">
        <v>-2.91</v>
      </c>
      <c r="I416" s="309">
        <v>26273</v>
      </c>
      <c r="J416">
        <v>6.11</v>
      </c>
      <c r="K416" s="133">
        <f t="shared" si="6"/>
        <v>6.4060047962257505E-2</v>
      </c>
      <c r="L416" s="181">
        <v>-304.06</v>
      </c>
    </row>
    <row r="417" spans="1:12" x14ac:dyDescent="0.25">
      <c r="A417" s="136">
        <v>42888</v>
      </c>
      <c r="B417" s="201" t="s">
        <v>72</v>
      </c>
      <c r="C417" t="s">
        <v>130</v>
      </c>
      <c r="D417">
        <v>2100</v>
      </c>
      <c r="E417">
        <v>2100</v>
      </c>
      <c r="F417">
        <v>8.4760000000000009</v>
      </c>
      <c r="G417">
        <v>-1146.8800000000001</v>
      </c>
      <c r="H417">
        <v>-6.44</v>
      </c>
      <c r="I417" s="309">
        <v>16653</v>
      </c>
      <c r="J417">
        <v>7.93</v>
      </c>
      <c r="K417" s="133">
        <f t="shared" si="6"/>
        <v>4.0604117486220614E-2</v>
      </c>
      <c r="L417" s="181">
        <v>0</v>
      </c>
    </row>
    <row r="418" spans="1:12" x14ac:dyDescent="0.25">
      <c r="A418" s="136">
        <v>42888</v>
      </c>
      <c r="B418" s="201" t="s">
        <v>67</v>
      </c>
      <c r="C418" t="s">
        <v>129</v>
      </c>
      <c r="D418">
        <v>14650</v>
      </c>
      <c r="E418">
        <v>14650</v>
      </c>
      <c r="F418">
        <v>9.2110000000000003</v>
      </c>
      <c r="G418">
        <v>-18906.72</v>
      </c>
      <c r="H418">
        <v>-14.01</v>
      </c>
      <c r="I418" s="309">
        <v>116028</v>
      </c>
      <c r="J418">
        <v>7.92</v>
      </c>
      <c r="K418" s="133">
        <f t="shared" si="6"/>
        <v>0.28290485460224618</v>
      </c>
      <c r="L418" s="181">
        <v>439.5</v>
      </c>
    </row>
    <row r="419" spans="1:12" x14ac:dyDescent="0.25">
      <c r="A419" s="136">
        <v>42888</v>
      </c>
      <c r="B419" s="201" t="s">
        <v>835</v>
      </c>
      <c r="C419" t="s">
        <v>839</v>
      </c>
      <c r="I419" s="309">
        <v>5458.37</v>
      </c>
      <c r="K419" s="133">
        <f t="shared" si="6"/>
        <v>1.3308851063667929E-2</v>
      </c>
      <c r="L419" s="181">
        <v>0</v>
      </c>
    </row>
    <row r="420" spans="1:12" x14ac:dyDescent="0.25">
      <c r="A420" s="136">
        <v>42891</v>
      </c>
      <c r="B420" s="201" t="s">
        <v>132</v>
      </c>
      <c r="C420" t="s">
        <v>123</v>
      </c>
      <c r="D420">
        <v>14970992</v>
      </c>
      <c r="E420">
        <v>14970992</v>
      </c>
      <c r="F420">
        <v>0.01</v>
      </c>
      <c r="G420">
        <v>1184.43</v>
      </c>
      <c r="H420">
        <v>0</v>
      </c>
      <c r="I420" s="309">
        <v>149709.92000000001</v>
      </c>
      <c r="J420">
        <v>0.01</v>
      </c>
      <c r="K420" s="133">
        <f t="shared" si="6"/>
        <v>0.36761196185555473</v>
      </c>
      <c r="L420" s="181">
        <v>13.47</v>
      </c>
    </row>
    <row r="421" spans="1:12" x14ac:dyDescent="0.25">
      <c r="A421" s="136">
        <v>42891</v>
      </c>
      <c r="B421" s="201" t="s">
        <v>61</v>
      </c>
      <c r="C421" t="s">
        <v>136</v>
      </c>
      <c r="D421">
        <v>500</v>
      </c>
      <c r="E421">
        <v>500</v>
      </c>
      <c r="F421">
        <v>5.05</v>
      </c>
      <c r="G421">
        <v>14.95</v>
      </c>
      <c r="H421">
        <v>0.6</v>
      </c>
      <c r="I421" s="309">
        <v>2540</v>
      </c>
      <c r="J421">
        <v>5.08</v>
      </c>
      <c r="K421" s="133">
        <f t="shared" si="6"/>
        <v>6.2369573313051591E-3</v>
      </c>
      <c r="L421" s="181">
        <v>0</v>
      </c>
    </row>
    <row r="422" spans="1:12" x14ac:dyDescent="0.25">
      <c r="A422" s="136">
        <v>42891</v>
      </c>
      <c r="B422" s="201" t="s">
        <v>124</v>
      </c>
      <c r="C422" t="s">
        <v>125</v>
      </c>
      <c r="D422">
        <v>700</v>
      </c>
      <c r="E422">
        <v>200</v>
      </c>
      <c r="F422">
        <v>-2.5920000000000001</v>
      </c>
      <c r="G422">
        <v>5412.4</v>
      </c>
      <c r="H422">
        <v>0</v>
      </c>
      <c r="I422" s="309">
        <v>3598</v>
      </c>
      <c r="J422">
        <v>5.14</v>
      </c>
      <c r="K422" s="133">
        <f t="shared" si="6"/>
        <v>8.8348710543448665E-3</v>
      </c>
      <c r="L422" s="181">
        <v>-22.200000000000699</v>
      </c>
    </row>
    <row r="423" spans="1:12" x14ac:dyDescent="0.25">
      <c r="A423" s="136">
        <v>42891</v>
      </c>
      <c r="B423" s="201" t="s">
        <v>71</v>
      </c>
      <c r="C423" t="s">
        <v>126</v>
      </c>
      <c r="D423">
        <v>4300</v>
      </c>
      <c r="E423">
        <v>4300</v>
      </c>
      <c r="F423">
        <v>6.2930000000000001</v>
      </c>
      <c r="G423">
        <v>-1001.98</v>
      </c>
      <c r="H423">
        <v>-3.7</v>
      </c>
      <c r="I423" s="309">
        <v>26058</v>
      </c>
      <c r="J423">
        <v>6.06</v>
      </c>
      <c r="K423" s="133">
        <f t="shared" si="6"/>
        <v>6.3985289031161352E-2</v>
      </c>
      <c r="L423" s="181">
        <v>-215</v>
      </c>
    </row>
    <row r="424" spans="1:12" x14ac:dyDescent="0.25">
      <c r="A424" s="136">
        <v>42891</v>
      </c>
      <c r="B424" s="201" t="s">
        <v>65</v>
      </c>
      <c r="C424" t="s">
        <v>127</v>
      </c>
      <c r="D424">
        <v>800</v>
      </c>
      <c r="E424">
        <v>800</v>
      </c>
      <c r="F424">
        <v>2.8730000000000002</v>
      </c>
      <c r="G424">
        <v>7133.25</v>
      </c>
      <c r="H424">
        <v>310.37</v>
      </c>
      <c r="I424" s="309">
        <v>9432</v>
      </c>
      <c r="J424">
        <v>11.79</v>
      </c>
      <c r="K424" s="133">
        <f t="shared" si="6"/>
        <v>2.3160228956248134E-2</v>
      </c>
      <c r="L424" s="181">
        <v>-8</v>
      </c>
    </row>
    <row r="425" spans="1:12" x14ac:dyDescent="0.25">
      <c r="A425" s="136">
        <v>42891</v>
      </c>
      <c r="B425" s="201" t="s">
        <v>77</v>
      </c>
      <c r="C425" t="s">
        <v>128</v>
      </c>
      <c r="D425">
        <v>1200</v>
      </c>
      <c r="E425">
        <v>1200</v>
      </c>
      <c r="F425">
        <v>4.2910000000000004</v>
      </c>
      <c r="G425">
        <v>2530.69</v>
      </c>
      <c r="H425">
        <v>49.15</v>
      </c>
      <c r="I425" s="309">
        <v>7680</v>
      </c>
      <c r="J425">
        <v>6.4</v>
      </c>
      <c r="K425" s="133">
        <f t="shared" si="6"/>
        <v>1.885820169465497E-2</v>
      </c>
      <c r="L425" s="181">
        <v>84</v>
      </c>
    </row>
    <row r="426" spans="1:12" x14ac:dyDescent="0.25">
      <c r="A426" s="136">
        <v>42891</v>
      </c>
      <c r="B426" s="201" t="s">
        <v>67</v>
      </c>
      <c r="C426" t="s">
        <v>129</v>
      </c>
      <c r="D426">
        <v>14650</v>
      </c>
      <c r="E426">
        <v>14650</v>
      </c>
      <c r="F426">
        <v>9.2110000000000003</v>
      </c>
      <c r="G426">
        <v>-20078.72</v>
      </c>
      <c r="H426">
        <v>-14.88</v>
      </c>
      <c r="I426" s="309">
        <v>114856</v>
      </c>
      <c r="J426">
        <v>7.84</v>
      </c>
      <c r="K426" s="133">
        <f t="shared" si="6"/>
        <v>0.28202833513558478</v>
      </c>
      <c r="L426" s="181">
        <v>-1172</v>
      </c>
    </row>
    <row r="427" spans="1:12" x14ac:dyDescent="0.25">
      <c r="A427" s="136">
        <v>42891</v>
      </c>
      <c r="B427" s="201" t="s">
        <v>72</v>
      </c>
      <c r="C427" t="s">
        <v>130</v>
      </c>
      <c r="D427">
        <v>2100</v>
      </c>
      <c r="E427">
        <v>2100</v>
      </c>
      <c r="F427">
        <v>8.4760000000000009</v>
      </c>
      <c r="G427">
        <v>-1146.8800000000001</v>
      </c>
      <c r="H427">
        <v>-6.44</v>
      </c>
      <c r="I427" s="309">
        <v>16653</v>
      </c>
      <c r="J427">
        <v>7.93</v>
      </c>
      <c r="K427" s="133">
        <f t="shared" si="6"/>
        <v>4.0891358440245988E-2</v>
      </c>
      <c r="L427" s="181">
        <v>0</v>
      </c>
    </row>
    <row r="428" spans="1:12" x14ac:dyDescent="0.25">
      <c r="A428" s="136">
        <v>42891</v>
      </c>
      <c r="B428" s="201" t="s">
        <v>70</v>
      </c>
      <c r="C428" t="s">
        <v>131</v>
      </c>
      <c r="D428">
        <v>3400</v>
      </c>
      <c r="E428">
        <v>3400</v>
      </c>
      <c r="F428">
        <v>12.086</v>
      </c>
      <c r="G428">
        <v>12728.63</v>
      </c>
      <c r="H428">
        <v>30.98</v>
      </c>
      <c r="I428" s="309">
        <v>53822</v>
      </c>
      <c r="J428">
        <v>15.83</v>
      </c>
      <c r="K428" s="133">
        <f t="shared" si="6"/>
        <v>0.13215965255334894</v>
      </c>
      <c r="L428" s="181">
        <v>-1564</v>
      </c>
    </row>
    <row r="429" spans="1:12" x14ac:dyDescent="0.25">
      <c r="A429" s="136">
        <v>42891</v>
      </c>
      <c r="B429" s="201" t="s">
        <v>835</v>
      </c>
      <c r="C429" t="s">
        <v>839</v>
      </c>
      <c r="I429" s="309">
        <v>22900.94</v>
      </c>
      <c r="K429" s="133">
        <f t="shared" si="6"/>
        <v>5.6233143947551009E-2</v>
      </c>
      <c r="L429" s="181">
        <v>0</v>
      </c>
    </row>
    <row r="430" spans="1:12" x14ac:dyDescent="0.25">
      <c r="A430" s="136">
        <v>42893</v>
      </c>
      <c r="B430" s="201" t="s">
        <v>132</v>
      </c>
      <c r="C430" t="s">
        <v>123</v>
      </c>
      <c r="D430">
        <v>15999274</v>
      </c>
      <c r="E430">
        <v>14976274</v>
      </c>
      <c r="F430">
        <v>0.01</v>
      </c>
      <c r="G430">
        <v>1237.25</v>
      </c>
      <c r="H430">
        <v>0</v>
      </c>
      <c r="I430" s="309">
        <v>159992.74</v>
      </c>
      <c r="J430">
        <v>0.01</v>
      </c>
      <c r="K430" s="133">
        <f t="shared" si="6"/>
        <v>0.3902862896913859</v>
      </c>
      <c r="L430" s="181">
        <v>52.819999999999901</v>
      </c>
    </row>
    <row r="431" spans="1:12" x14ac:dyDescent="0.25">
      <c r="A431" s="136">
        <v>42893</v>
      </c>
      <c r="B431" s="201" t="s">
        <v>61</v>
      </c>
      <c r="C431" t="s">
        <v>136</v>
      </c>
      <c r="D431">
        <v>100</v>
      </c>
      <c r="E431">
        <v>100</v>
      </c>
      <c r="F431">
        <v>4.9210000000000003</v>
      </c>
      <c r="G431">
        <v>21.87</v>
      </c>
      <c r="H431">
        <v>4.45</v>
      </c>
      <c r="I431" s="309">
        <v>514</v>
      </c>
      <c r="J431">
        <v>5.14</v>
      </c>
      <c r="K431" s="133">
        <f t="shared" si="6"/>
        <v>1.2538515991498886E-3</v>
      </c>
      <c r="L431" s="181">
        <v>6.92</v>
      </c>
    </row>
    <row r="432" spans="1:12" x14ac:dyDescent="0.25">
      <c r="A432" s="136">
        <v>42893</v>
      </c>
      <c r="B432" s="201" t="s">
        <v>124</v>
      </c>
      <c r="C432" t="s">
        <v>125</v>
      </c>
      <c r="D432">
        <v>700</v>
      </c>
      <c r="E432">
        <v>700</v>
      </c>
      <c r="F432">
        <v>-2.5920000000000001</v>
      </c>
      <c r="G432">
        <v>5426.4</v>
      </c>
      <c r="H432">
        <v>0</v>
      </c>
      <c r="I432" s="309">
        <v>3612</v>
      </c>
      <c r="J432">
        <v>5.16</v>
      </c>
      <c r="K432" s="133">
        <f t="shared" si="6"/>
        <v>8.8111127940260648E-3</v>
      </c>
      <c r="L432" s="181">
        <v>14</v>
      </c>
    </row>
    <row r="433" spans="1:12" x14ac:dyDescent="0.25">
      <c r="A433" s="136">
        <v>42893</v>
      </c>
      <c r="B433" s="201" t="s">
        <v>71</v>
      </c>
      <c r="C433" t="s">
        <v>126</v>
      </c>
      <c r="D433">
        <v>4300</v>
      </c>
      <c r="E433">
        <v>4300</v>
      </c>
      <c r="F433">
        <v>6.2930000000000001</v>
      </c>
      <c r="G433">
        <v>-786.98</v>
      </c>
      <c r="H433">
        <v>-2.91</v>
      </c>
      <c r="I433" s="309">
        <v>26273</v>
      </c>
      <c r="J433">
        <v>6.11</v>
      </c>
      <c r="K433" s="133">
        <f t="shared" si="6"/>
        <v>6.4090356156546735E-2</v>
      </c>
      <c r="L433" s="181">
        <v>215</v>
      </c>
    </row>
    <row r="434" spans="1:12" x14ac:dyDescent="0.25">
      <c r="A434" s="136">
        <v>42893</v>
      </c>
      <c r="B434" s="201" t="s">
        <v>65</v>
      </c>
      <c r="C434" t="s">
        <v>127</v>
      </c>
      <c r="D434">
        <v>400</v>
      </c>
      <c r="E434">
        <v>400</v>
      </c>
      <c r="F434">
        <v>-6.2290000000000001</v>
      </c>
      <c r="G434">
        <v>7303.6</v>
      </c>
      <c r="H434">
        <v>0</v>
      </c>
      <c r="I434" s="309">
        <v>4812</v>
      </c>
      <c r="J434">
        <v>12.03</v>
      </c>
      <c r="K434" s="133">
        <f t="shared" si="6"/>
        <v>1.173839279204137E-2</v>
      </c>
      <c r="L434" s="181">
        <v>170.35</v>
      </c>
    </row>
    <row r="435" spans="1:12" x14ac:dyDescent="0.25">
      <c r="A435" s="136">
        <v>42893</v>
      </c>
      <c r="B435" s="201" t="s">
        <v>77</v>
      </c>
      <c r="C435" t="s">
        <v>128</v>
      </c>
      <c r="D435">
        <v>400</v>
      </c>
      <c r="E435">
        <v>400</v>
      </c>
      <c r="F435">
        <v>-3.9E-2</v>
      </c>
      <c r="G435">
        <v>2623.6</v>
      </c>
      <c r="H435">
        <v>0</v>
      </c>
      <c r="I435" s="309">
        <v>2608</v>
      </c>
      <c r="J435">
        <v>6.52</v>
      </c>
      <c r="K435" s="133">
        <f t="shared" si="6"/>
        <v>6.3619551956865944E-3</v>
      </c>
      <c r="L435" s="181">
        <v>92.909999999999897</v>
      </c>
    </row>
    <row r="436" spans="1:12" x14ac:dyDescent="0.25">
      <c r="A436" s="136">
        <v>42893</v>
      </c>
      <c r="B436" s="201" t="s">
        <v>67</v>
      </c>
      <c r="C436" t="s">
        <v>129</v>
      </c>
      <c r="D436">
        <v>14150</v>
      </c>
      <c r="E436">
        <v>14150</v>
      </c>
      <c r="F436">
        <v>9.2539999999999996</v>
      </c>
      <c r="G436">
        <v>-17314.23</v>
      </c>
      <c r="H436">
        <v>-13.23</v>
      </c>
      <c r="I436" s="309">
        <v>113624.5</v>
      </c>
      <c r="J436">
        <v>8.0299999999999994</v>
      </c>
      <c r="K436" s="133">
        <f t="shared" si="6"/>
        <v>0.27717560511207495</v>
      </c>
      <c r="L436" s="181">
        <v>2764.49</v>
      </c>
    </row>
    <row r="437" spans="1:12" x14ac:dyDescent="0.25">
      <c r="A437" s="136">
        <v>42893</v>
      </c>
      <c r="B437" s="201" t="s">
        <v>72</v>
      </c>
      <c r="C437" t="s">
        <v>130</v>
      </c>
      <c r="D437">
        <v>2100</v>
      </c>
      <c r="E437">
        <v>2100</v>
      </c>
      <c r="F437">
        <v>8.4760000000000009</v>
      </c>
      <c r="G437">
        <v>-1146.8800000000001</v>
      </c>
      <c r="H437">
        <v>-6.44</v>
      </c>
      <c r="I437" s="309">
        <v>16653</v>
      </c>
      <c r="J437">
        <v>7.93</v>
      </c>
      <c r="K437" s="133">
        <f t="shared" si="6"/>
        <v>4.0623328172457382E-2</v>
      </c>
      <c r="L437" s="181">
        <v>0</v>
      </c>
    </row>
    <row r="438" spans="1:12" x14ac:dyDescent="0.25">
      <c r="A438" s="136">
        <v>42893</v>
      </c>
      <c r="B438" s="201" t="s">
        <v>70</v>
      </c>
      <c r="C438" t="s">
        <v>131</v>
      </c>
      <c r="D438">
        <v>3500</v>
      </c>
      <c r="E438">
        <v>3500</v>
      </c>
      <c r="F438">
        <v>12.153</v>
      </c>
      <c r="G438">
        <v>12099.39</v>
      </c>
      <c r="H438">
        <v>28.45</v>
      </c>
      <c r="I438" s="309">
        <v>54635</v>
      </c>
      <c r="J438">
        <v>15.61</v>
      </c>
      <c r="K438" s="133">
        <f t="shared" si="6"/>
        <v>0.13327661890963846</v>
      </c>
      <c r="L438" s="181">
        <v>-629.24</v>
      </c>
    </row>
    <row r="439" spans="1:12" x14ac:dyDescent="0.25">
      <c r="A439" s="136">
        <v>42893</v>
      </c>
      <c r="B439" s="201" t="s">
        <v>835</v>
      </c>
      <c r="C439" t="s">
        <v>839</v>
      </c>
      <c r="I439" s="309">
        <v>27212.63</v>
      </c>
      <c r="K439" s="133">
        <f t="shared" si="6"/>
        <v>6.6382489576992679E-2</v>
      </c>
      <c r="L439" s="181">
        <v>0</v>
      </c>
    </row>
    <row r="440" spans="1:12" x14ac:dyDescent="0.25">
      <c r="A440" s="136">
        <v>42894</v>
      </c>
      <c r="B440" s="201" t="s">
        <v>70</v>
      </c>
      <c r="C440" t="s">
        <v>131</v>
      </c>
      <c r="D440">
        <v>4000</v>
      </c>
      <c r="E440">
        <v>3500</v>
      </c>
      <c r="F440">
        <v>12.534000000000001</v>
      </c>
      <c r="G440">
        <v>10464.39</v>
      </c>
      <c r="H440">
        <v>20.87</v>
      </c>
      <c r="I440" s="309">
        <v>60600</v>
      </c>
      <c r="J440">
        <v>15.15</v>
      </c>
      <c r="K440" s="133">
        <f t="shared" si="6"/>
        <v>0.14848427327349481</v>
      </c>
      <c r="L440" s="181">
        <v>-1635</v>
      </c>
    </row>
    <row r="441" spans="1:12" x14ac:dyDescent="0.25">
      <c r="A441" s="136">
        <v>42894</v>
      </c>
      <c r="B441" s="201" t="s">
        <v>65</v>
      </c>
      <c r="C441" t="s">
        <v>127</v>
      </c>
      <c r="D441">
        <v>400</v>
      </c>
      <c r="E441">
        <v>400</v>
      </c>
      <c r="F441">
        <v>-6.2290000000000001</v>
      </c>
      <c r="G441">
        <v>7263.6</v>
      </c>
      <c r="H441">
        <v>0</v>
      </c>
      <c r="I441" s="309">
        <v>4772</v>
      </c>
      <c r="J441">
        <v>11.93</v>
      </c>
      <c r="K441" s="133">
        <f t="shared" si="6"/>
        <v>1.1692523961404576E-2</v>
      </c>
      <c r="L441" s="181">
        <v>-40</v>
      </c>
    </row>
    <row r="442" spans="1:12" x14ac:dyDescent="0.25">
      <c r="A442" s="136">
        <v>42894</v>
      </c>
      <c r="B442" s="201" t="s">
        <v>124</v>
      </c>
      <c r="C442" t="s">
        <v>125</v>
      </c>
      <c r="D442">
        <v>700</v>
      </c>
      <c r="E442">
        <v>700</v>
      </c>
      <c r="F442">
        <v>-2.5920000000000001</v>
      </c>
      <c r="G442">
        <v>5426.4</v>
      </c>
      <c r="H442">
        <v>0</v>
      </c>
      <c r="I442" s="309">
        <v>3612</v>
      </c>
      <c r="J442">
        <v>5.16</v>
      </c>
      <c r="K442" s="133">
        <f t="shared" si="6"/>
        <v>8.8502507436281075E-3</v>
      </c>
      <c r="L442" s="181">
        <v>0</v>
      </c>
    </row>
    <row r="443" spans="1:12" x14ac:dyDescent="0.25">
      <c r="A443" s="136">
        <v>42894</v>
      </c>
      <c r="B443" s="201" t="s">
        <v>77</v>
      </c>
      <c r="C443" t="s">
        <v>128</v>
      </c>
      <c r="D443">
        <v>400</v>
      </c>
      <c r="E443">
        <v>400</v>
      </c>
      <c r="F443">
        <v>-3.9E-2</v>
      </c>
      <c r="G443">
        <v>2615.6</v>
      </c>
      <c r="H443">
        <v>0</v>
      </c>
      <c r="I443" s="309">
        <v>2600</v>
      </c>
      <c r="J443">
        <v>6.5</v>
      </c>
      <c r="K443" s="133">
        <f t="shared" si="6"/>
        <v>6.3706123846713949E-3</v>
      </c>
      <c r="L443" s="181">
        <v>-8</v>
      </c>
    </row>
    <row r="444" spans="1:12" x14ac:dyDescent="0.25">
      <c r="A444" s="136">
        <v>42894</v>
      </c>
      <c r="B444" s="201" t="s">
        <v>132</v>
      </c>
      <c r="C444" t="s">
        <v>123</v>
      </c>
      <c r="D444">
        <v>16000540</v>
      </c>
      <c r="E444">
        <v>16000540</v>
      </c>
      <c r="F444">
        <v>0.01</v>
      </c>
      <c r="G444">
        <v>1249.9100000000001</v>
      </c>
      <c r="H444">
        <v>0</v>
      </c>
      <c r="I444" s="309">
        <v>160005.4</v>
      </c>
      <c r="J444">
        <v>0.01</v>
      </c>
      <c r="K444" s="133">
        <f t="shared" si="6"/>
        <v>0.39205091648242318</v>
      </c>
      <c r="L444" s="181">
        <v>12.6600000000001</v>
      </c>
    </row>
    <row r="445" spans="1:12" x14ac:dyDescent="0.25">
      <c r="A445" s="136">
        <v>42894</v>
      </c>
      <c r="B445" s="201" t="s">
        <v>61</v>
      </c>
      <c r="C445" t="s">
        <v>136</v>
      </c>
      <c r="D445">
        <v>100</v>
      </c>
      <c r="E445">
        <v>100</v>
      </c>
      <c r="F445">
        <v>4.9210000000000003</v>
      </c>
      <c r="G445">
        <v>20.87</v>
      </c>
      <c r="H445">
        <v>4.25</v>
      </c>
      <c r="I445" s="309">
        <v>513</v>
      </c>
      <c r="J445">
        <v>5.13</v>
      </c>
      <c r="K445" s="133">
        <f t="shared" si="6"/>
        <v>1.2569708282063176E-3</v>
      </c>
      <c r="L445" s="181">
        <v>-1</v>
      </c>
    </row>
    <row r="446" spans="1:12" x14ac:dyDescent="0.25">
      <c r="A446" s="136">
        <v>42894</v>
      </c>
      <c r="B446" s="201" t="s">
        <v>71</v>
      </c>
      <c r="C446" t="s">
        <v>126</v>
      </c>
      <c r="D446">
        <v>4300</v>
      </c>
      <c r="E446">
        <v>4300</v>
      </c>
      <c r="F446">
        <v>6.2930000000000001</v>
      </c>
      <c r="G446">
        <v>-786.98</v>
      </c>
      <c r="H446">
        <v>-2.91</v>
      </c>
      <c r="I446" s="309">
        <v>26273</v>
      </c>
      <c r="J446">
        <v>6.11</v>
      </c>
      <c r="K446" s="133">
        <f t="shared" si="6"/>
        <v>6.4375038147104449E-2</v>
      </c>
      <c r="L446" s="181">
        <v>0</v>
      </c>
    </row>
    <row r="447" spans="1:12" x14ac:dyDescent="0.25">
      <c r="A447" s="136">
        <v>42894</v>
      </c>
      <c r="B447" s="201" t="s">
        <v>72</v>
      </c>
      <c r="C447" t="s">
        <v>130</v>
      </c>
      <c r="D447">
        <v>2100</v>
      </c>
      <c r="E447">
        <v>2100</v>
      </c>
      <c r="F447">
        <v>8.4760000000000009</v>
      </c>
      <c r="G447">
        <v>-1146.8800000000001</v>
      </c>
      <c r="H447">
        <v>-6.44</v>
      </c>
      <c r="I447" s="309">
        <v>16653</v>
      </c>
      <c r="J447">
        <v>7.93</v>
      </c>
      <c r="K447" s="133">
        <f t="shared" si="6"/>
        <v>4.0803772323820285E-2</v>
      </c>
      <c r="L447" s="181">
        <v>0</v>
      </c>
    </row>
    <row r="448" spans="1:12" x14ac:dyDescent="0.25">
      <c r="A448" s="136">
        <v>42894</v>
      </c>
      <c r="B448" s="201" t="s">
        <v>67</v>
      </c>
      <c r="C448" t="s">
        <v>129</v>
      </c>
      <c r="D448">
        <v>14150</v>
      </c>
      <c r="E448">
        <v>14150</v>
      </c>
      <c r="F448">
        <v>9.2539999999999996</v>
      </c>
      <c r="G448">
        <v>-17455.73</v>
      </c>
      <c r="H448">
        <v>-13.33</v>
      </c>
      <c r="I448" s="309">
        <v>113483</v>
      </c>
      <c r="J448">
        <v>8.02</v>
      </c>
      <c r="K448" s="133">
        <f t="shared" si="6"/>
        <v>0.27806007894217843</v>
      </c>
      <c r="L448" s="181">
        <v>-141.5</v>
      </c>
    </row>
    <row r="449" spans="1:12" x14ac:dyDescent="0.25">
      <c r="A449" s="136">
        <v>42894</v>
      </c>
      <c r="B449" s="201" t="s">
        <v>835</v>
      </c>
      <c r="C449" t="s">
        <v>839</v>
      </c>
      <c r="I449" s="309">
        <v>19612.63</v>
      </c>
      <c r="K449" s="133">
        <f t="shared" si="6"/>
        <v>4.805556291306836E-2</v>
      </c>
      <c r="L449" s="181">
        <v>0</v>
      </c>
    </row>
    <row r="450" spans="1:12" x14ac:dyDescent="0.25">
      <c r="A450" s="136">
        <v>42898</v>
      </c>
      <c r="B450" s="201" t="str">
        <f>"519888"</f>
        <v>519888</v>
      </c>
      <c r="C450" t="str">
        <f>"添富快线"</f>
        <v>添富快线</v>
      </c>
      <c r="D450">
        <v>16003395</v>
      </c>
      <c r="E450">
        <v>16003395</v>
      </c>
      <c r="F450">
        <v>0.01</v>
      </c>
      <c r="G450">
        <v>1278.46</v>
      </c>
      <c r="H450">
        <v>0</v>
      </c>
      <c r="I450" s="309">
        <v>160033.95000000001</v>
      </c>
      <c r="J450">
        <v>0.01</v>
      </c>
      <c r="K450" s="133">
        <f t="shared" ref="K450:K513" si="7">I450/SUMIF(A:A,A450,I:I)</f>
        <v>0.39411858955572854</v>
      </c>
      <c r="L450" s="181">
        <v>28.55</v>
      </c>
    </row>
    <row r="451" spans="1:12" x14ac:dyDescent="0.25">
      <c r="A451" s="136">
        <v>42898</v>
      </c>
      <c r="B451" s="201" t="str">
        <f>"600269"</f>
        <v>600269</v>
      </c>
      <c r="C451" t="str">
        <f>"赣粤高速"</f>
        <v>赣粤高速</v>
      </c>
      <c r="D451">
        <v>100</v>
      </c>
      <c r="E451">
        <v>100</v>
      </c>
      <c r="F451">
        <v>4.9210000000000003</v>
      </c>
      <c r="G451">
        <v>21.87</v>
      </c>
      <c r="H451">
        <v>4.45</v>
      </c>
      <c r="I451" s="309">
        <v>514</v>
      </c>
      <c r="J451">
        <v>5.14</v>
      </c>
      <c r="K451" s="133">
        <f t="shared" si="7"/>
        <v>1.2658373740799653E-3</v>
      </c>
      <c r="L451" s="181">
        <v>1</v>
      </c>
    </row>
    <row r="452" spans="1:12" x14ac:dyDescent="0.25">
      <c r="A452" s="136">
        <v>42898</v>
      </c>
      <c r="B452" s="201" t="str">
        <f>"601398"</f>
        <v>601398</v>
      </c>
      <c r="C452" t="str">
        <f>"工商银行"</f>
        <v>工商银行</v>
      </c>
      <c r="D452">
        <v>700</v>
      </c>
      <c r="E452">
        <v>700</v>
      </c>
      <c r="F452">
        <v>-2.5920000000000001</v>
      </c>
      <c r="G452">
        <v>5419.4</v>
      </c>
      <c r="H452">
        <v>0</v>
      </c>
      <c r="I452" s="309">
        <v>3605</v>
      </c>
      <c r="J452">
        <v>5.15</v>
      </c>
      <c r="K452" s="133">
        <f t="shared" si="7"/>
        <v>8.87810064894606E-3</v>
      </c>
      <c r="L452" s="181">
        <v>-7</v>
      </c>
    </row>
    <row r="453" spans="1:12" x14ac:dyDescent="0.25">
      <c r="A453" s="136">
        <v>42898</v>
      </c>
      <c r="B453" s="201" t="str">
        <f>"601998"</f>
        <v>601998</v>
      </c>
      <c r="C453" t="str">
        <f>"中信银行"</f>
        <v>中信银行</v>
      </c>
      <c r="D453">
        <v>4300</v>
      </c>
      <c r="E453">
        <v>4300</v>
      </c>
      <c r="F453">
        <v>6.2930000000000001</v>
      </c>
      <c r="G453">
        <v>-700.98</v>
      </c>
      <c r="H453">
        <v>-2.59</v>
      </c>
      <c r="I453" s="309">
        <v>26359</v>
      </c>
      <c r="J453">
        <v>6.13</v>
      </c>
      <c r="K453" s="133">
        <f t="shared" si="7"/>
        <v>6.4914800278937368E-2</v>
      </c>
      <c r="L453" s="181">
        <v>86</v>
      </c>
    </row>
    <row r="454" spans="1:12" x14ac:dyDescent="0.25">
      <c r="A454" s="136">
        <v>42898</v>
      </c>
      <c r="B454" s="201" t="str">
        <f>"000402"</f>
        <v>000402</v>
      </c>
      <c r="C454" t="str">
        <f>"金 融 街"</f>
        <v>金 融 街</v>
      </c>
      <c r="D454">
        <v>600</v>
      </c>
      <c r="E454">
        <v>100</v>
      </c>
      <c r="F454">
        <v>-0.17599999999999999</v>
      </c>
      <c r="G454">
        <v>7359.6</v>
      </c>
      <c r="H454">
        <v>0</v>
      </c>
      <c r="I454" s="309">
        <v>7254</v>
      </c>
      <c r="J454">
        <v>12.09</v>
      </c>
      <c r="K454" s="133">
        <f t="shared" si="7"/>
        <v>1.7864560917463166E-2</v>
      </c>
      <c r="L454" s="181">
        <v>96</v>
      </c>
    </row>
    <row r="455" spans="1:12" x14ac:dyDescent="0.25">
      <c r="A455" s="136">
        <v>42898</v>
      </c>
      <c r="B455" s="201" t="str">
        <f>"000415"</f>
        <v>000415</v>
      </c>
      <c r="C455" t="str">
        <f>"渤海金控"</f>
        <v>渤海金控</v>
      </c>
      <c r="D455">
        <v>400</v>
      </c>
      <c r="E455">
        <v>400</v>
      </c>
      <c r="F455">
        <v>-3.9E-2</v>
      </c>
      <c r="G455">
        <v>2579.6</v>
      </c>
      <c r="H455">
        <v>0</v>
      </c>
      <c r="I455" s="309">
        <v>2564</v>
      </c>
      <c r="J455">
        <v>6.41</v>
      </c>
      <c r="K455" s="133">
        <f t="shared" si="7"/>
        <v>6.314410558640138E-3</v>
      </c>
      <c r="L455" s="181">
        <v>-36</v>
      </c>
    </row>
    <row r="456" spans="1:12" x14ac:dyDescent="0.25">
      <c r="A456" s="136">
        <v>42898</v>
      </c>
      <c r="B456" s="201" t="str">
        <f>"000528"</f>
        <v>000528</v>
      </c>
      <c r="C456" t="str">
        <f>"柳    工"</f>
        <v>柳    工</v>
      </c>
      <c r="D456">
        <v>13650</v>
      </c>
      <c r="E456">
        <v>13150</v>
      </c>
      <c r="F456">
        <v>9.2949999999999999</v>
      </c>
      <c r="G456">
        <v>-15898.31</v>
      </c>
      <c r="H456">
        <v>-12.53</v>
      </c>
      <c r="I456" s="309">
        <v>110974.5</v>
      </c>
      <c r="J456">
        <v>8.1300000000000008</v>
      </c>
      <c r="K456" s="133">
        <f t="shared" si="7"/>
        <v>0.27329896822925509</v>
      </c>
      <c r="L456" s="181">
        <v>1557.42</v>
      </c>
    </row>
    <row r="457" spans="1:12" x14ac:dyDescent="0.25">
      <c r="A457" s="136">
        <v>42898</v>
      </c>
      <c r="B457" s="201" t="str">
        <f>"002006"</f>
        <v>002006</v>
      </c>
      <c r="C457" t="str">
        <f>"精功科技"</f>
        <v>精功科技</v>
      </c>
      <c r="D457">
        <v>2100</v>
      </c>
      <c r="E457">
        <v>2100</v>
      </c>
      <c r="F457">
        <v>8.4760000000000009</v>
      </c>
      <c r="G457">
        <v>-1146.8800000000001</v>
      </c>
      <c r="H457">
        <v>-6.44</v>
      </c>
      <c r="I457" s="309">
        <v>16653</v>
      </c>
      <c r="J457">
        <v>7.93</v>
      </c>
      <c r="K457" s="133">
        <f t="shared" si="7"/>
        <v>4.1011653289014904E-2</v>
      </c>
      <c r="L457" s="181">
        <v>0</v>
      </c>
    </row>
    <row r="458" spans="1:12" x14ac:dyDescent="0.25">
      <c r="A458" s="136">
        <v>42898</v>
      </c>
      <c r="B458" s="201" t="str">
        <f>"002140"</f>
        <v>002140</v>
      </c>
      <c r="C458" t="str">
        <f>"东华科技"</f>
        <v>东华科技</v>
      </c>
      <c r="D458">
        <v>5000</v>
      </c>
      <c r="E458">
        <v>4000</v>
      </c>
      <c r="F458">
        <v>12.926</v>
      </c>
      <c r="G458">
        <v>6669.39</v>
      </c>
      <c r="H458">
        <v>10.32</v>
      </c>
      <c r="I458" s="309">
        <v>71300</v>
      </c>
      <c r="J458">
        <v>14.26</v>
      </c>
      <c r="K458" s="133">
        <f t="shared" si="7"/>
        <v>0.17559183807762943</v>
      </c>
      <c r="L458" s="181">
        <v>-3795</v>
      </c>
    </row>
    <row r="459" spans="1:12" x14ac:dyDescent="0.25">
      <c r="A459" s="136">
        <v>42898</v>
      </c>
      <c r="B459" s="201" t="s">
        <v>835</v>
      </c>
      <c r="C459" t="s">
        <v>839</v>
      </c>
      <c r="I459" s="309">
        <v>6797.87</v>
      </c>
      <c r="K459" s="133">
        <f t="shared" si="7"/>
        <v>1.6741241070305394E-2</v>
      </c>
      <c r="L459" s="181">
        <v>0</v>
      </c>
    </row>
    <row r="460" spans="1:12" x14ac:dyDescent="0.25">
      <c r="A460" s="136">
        <v>42899</v>
      </c>
      <c r="B460" s="201" t="s">
        <v>132</v>
      </c>
      <c r="C460" t="s">
        <v>123</v>
      </c>
      <c r="D460">
        <v>16007330</v>
      </c>
      <c r="E460">
        <v>16007330</v>
      </c>
      <c r="F460">
        <v>0.01</v>
      </c>
      <c r="G460">
        <v>1317.81</v>
      </c>
      <c r="H460">
        <v>0</v>
      </c>
      <c r="I460" s="309">
        <v>160073.29999999999</v>
      </c>
      <c r="J460">
        <v>0.01</v>
      </c>
      <c r="K460" s="133">
        <f t="shared" si="7"/>
        <v>0.39237303530429046</v>
      </c>
      <c r="L460" s="181">
        <v>39.349999999999902</v>
      </c>
    </row>
    <row r="461" spans="1:12" x14ac:dyDescent="0.25">
      <c r="A461" s="136">
        <v>42899</v>
      </c>
      <c r="B461" s="201" t="s">
        <v>61</v>
      </c>
      <c r="C461" t="s">
        <v>136</v>
      </c>
      <c r="D461">
        <v>100</v>
      </c>
      <c r="E461">
        <v>100</v>
      </c>
      <c r="F461">
        <v>4.9210000000000003</v>
      </c>
      <c r="G461">
        <v>23.87</v>
      </c>
      <c r="H461">
        <v>4.8600000000000003</v>
      </c>
      <c r="I461" s="309">
        <v>516</v>
      </c>
      <c r="J461">
        <v>5.16</v>
      </c>
      <c r="K461" s="133">
        <f t="shared" si="7"/>
        <v>1.2648235915484586E-3</v>
      </c>
      <c r="L461" s="181">
        <v>2</v>
      </c>
    </row>
    <row r="462" spans="1:12" x14ac:dyDescent="0.25">
      <c r="A462" s="136">
        <v>42899</v>
      </c>
      <c r="B462" s="201" t="s">
        <v>124</v>
      </c>
      <c r="C462" t="s">
        <v>125</v>
      </c>
      <c r="D462">
        <v>700</v>
      </c>
      <c r="E462">
        <v>700</v>
      </c>
      <c r="F462">
        <v>-2.5920000000000001</v>
      </c>
      <c r="G462">
        <v>5419.4</v>
      </c>
      <c r="H462">
        <v>0</v>
      </c>
      <c r="I462" s="309">
        <v>3605</v>
      </c>
      <c r="J462">
        <v>5.15</v>
      </c>
      <c r="K462" s="133">
        <f t="shared" si="7"/>
        <v>8.8366066812639414E-3</v>
      </c>
      <c r="L462" s="181">
        <v>0</v>
      </c>
    </row>
    <row r="463" spans="1:12" x14ac:dyDescent="0.25">
      <c r="A463" s="136">
        <v>42899</v>
      </c>
      <c r="B463" s="201" t="s">
        <v>71</v>
      </c>
      <c r="C463" t="s">
        <v>126</v>
      </c>
      <c r="D463">
        <v>4300</v>
      </c>
      <c r="E463">
        <v>4300</v>
      </c>
      <c r="F463">
        <v>6.2930000000000001</v>
      </c>
      <c r="G463">
        <v>-743.98</v>
      </c>
      <c r="H463">
        <v>-2.75</v>
      </c>
      <c r="I463" s="309">
        <v>26316</v>
      </c>
      <c r="J463">
        <v>6.12</v>
      </c>
      <c r="K463" s="133">
        <f t="shared" si="7"/>
        <v>6.4506003168971385E-2</v>
      </c>
      <c r="L463" s="181">
        <v>-43</v>
      </c>
    </row>
    <row r="464" spans="1:12" x14ac:dyDescent="0.25">
      <c r="A464" s="136">
        <v>42899</v>
      </c>
      <c r="B464" s="201" t="s">
        <v>65</v>
      </c>
      <c r="C464" t="s">
        <v>127</v>
      </c>
      <c r="D464">
        <v>1100</v>
      </c>
      <c r="E464">
        <v>600</v>
      </c>
      <c r="F464">
        <v>5.34</v>
      </c>
      <c r="G464">
        <v>7281.77</v>
      </c>
      <c r="H464">
        <v>123.97</v>
      </c>
      <c r="I464" s="309">
        <v>13156</v>
      </c>
      <c r="J464">
        <v>11.96</v>
      </c>
      <c r="K464" s="133">
        <f t="shared" si="7"/>
        <v>3.2248099167464191E-2</v>
      </c>
      <c r="L464" s="181">
        <v>-77.829999999999899</v>
      </c>
    </row>
    <row r="465" spans="1:12" x14ac:dyDescent="0.25">
      <c r="A465" s="136">
        <v>42899</v>
      </c>
      <c r="B465" s="201" t="s">
        <v>77</v>
      </c>
      <c r="C465" t="s">
        <v>128</v>
      </c>
      <c r="D465">
        <v>400</v>
      </c>
      <c r="E465">
        <v>400</v>
      </c>
      <c r="F465">
        <v>-3.9E-2</v>
      </c>
      <c r="G465">
        <v>2603.6</v>
      </c>
      <c r="H465">
        <v>0</v>
      </c>
      <c r="I465" s="309">
        <v>2588</v>
      </c>
      <c r="J465">
        <v>6.47</v>
      </c>
      <c r="K465" s="133">
        <f t="shared" si="7"/>
        <v>6.3437276258283158E-3</v>
      </c>
      <c r="L465" s="181">
        <v>24</v>
      </c>
    </row>
    <row r="466" spans="1:12" x14ac:dyDescent="0.25">
      <c r="A466" s="136">
        <v>42899</v>
      </c>
      <c r="B466" s="201" t="s">
        <v>67</v>
      </c>
      <c r="C466" t="s">
        <v>129</v>
      </c>
      <c r="D466">
        <v>13150</v>
      </c>
      <c r="E466">
        <v>13150</v>
      </c>
      <c r="F466">
        <v>9.3339999999999996</v>
      </c>
      <c r="G466">
        <v>-14385.95</v>
      </c>
      <c r="H466">
        <v>-11.72</v>
      </c>
      <c r="I466" s="309">
        <v>108356</v>
      </c>
      <c r="J466">
        <v>8.24</v>
      </c>
      <c r="K466" s="133">
        <f t="shared" si="7"/>
        <v>0.26560314939113333</v>
      </c>
      <c r="L466" s="181">
        <v>1512.36</v>
      </c>
    </row>
    <row r="467" spans="1:12" x14ac:dyDescent="0.25">
      <c r="A467" s="136">
        <v>42899</v>
      </c>
      <c r="B467" s="201" t="s">
        <v>72</v>
      </c>
      <c r="C467" t="s">
        <v>130</v>
      </c>
      <c r="D467">
        <v>2100</v>
      </c>
      <c r="E467">
        <v>2100</v>
      </c>
      <c r="F467">
        <v>8.4760000000000009</v>
      </c>
      <c r="G467">
        <v>-1146.8800000000001</v>
      </c>
      <c r="H467">
        <v>-6.44</v>
      </c>
      <c r="I467" s="309">
        <v>16653</v>
      </c>
      <c r="J467">
        <v>7.93</v>
      </c>
      <c r="K467" s="133">
        <f t="shared" si="7"/>
        <v>4.0819975329566827E-2</v>
      </c>
      <c r="L467" s="181">
        <v>0</v>
      </c>
    </row>
    <row r="468" spans="1:12" x14ac:dyDescent="0.25">
      <c r="A468" s="136">
        <v>42899</v>
      </c>
      <c r="B468" s="201" t="s">
        <v>70</v>
      </c>
      <c r="C468" t="s">
        <v>131</v>
      </c>
      <c r="D468">
        <v>5000</v>
      </c>
      <c r="E468">
        <v>5000</v>
      </c>
      <c r="F468">
        <v>12.926</v>
      </c>
      <c r="G468">
        <v>7119.39</v>
      </c>
      <c r="H468">
        <v>11.02</v>
      </c>
      <c r="I468" s="309">
        <v>71750</v>
      </c>
      <c r="J468">
        <v>14.35</v>
      </c>
      <c r="K468" s="133">
        <f t="shared" si="7"/>
        <v>0.17587421064651532</v>
      </c>
      <c r="L468" s="181">
        <v>450</v>
      </c>
    </row>
    <row r="469" spans="1:12" x14ac:dyDescent="0.25">
      <c r="A469" s="136">
        <v>42899</v>
      </c>
      <c r="B469" s="201" t="s">
        <v>835</v>
      </c>
      <c r="C469" t="s">
        <v>839</v>
      </c>
      <c r="I469" s="309">
        <v>4948.7299999999996</v>
      </c>
      <c r="K469" s="133">
        <f t="shared" si="7"/>
        <v>1.2130369093417836E-2</v>
      </c>
      <c r="L469" s="181">
        <v>0</v>
      </c>
    </row>
    <row r="470" spans="1:12" x14ac:dyDescent="0.25">
      <c r="A470" s="136">
        <v>42900</v>
      </c>
      <c r="B470" s="201" t="str">
        <f>"519888"</f>
        <v>519888</v>
      </c>
      <c r="C470" t="str">
        <f>"添富快线"</f>
        <v>添富快线</v>
      </c>
      <c r="D470">
        <v>14008833</v>
      </c>
      <c r="E470">
        <v>14008833</v>
      </c>
      <c r="F470">
        <v>0.01</v>
      </c>
      <c r="G470">
        <v>1332.84</v>
      </c>
      <c r="H470">
        <v>0</v>
      </c>
      <c r="I470" s="309">
        <v>140088.32999999999</v>
      </c>
      <c r="J470">
        <v>0.01</v>
      </c>
      <c r="K470" s="133">
        <f t="shared" si="7"/>
        <v>0.34247849081578791</v>
      </c>
      <c r="L470" s="181">
        <v>15.03</v>
      </c>
    </row>
    <row r="471" spans="1:12" x14ac:dyDescent="0.25">
      <c r="A471" s="136">
        <v>42900</v>
      </c>
      <c r="B471" s="201" t="str">
        <f>"600269"</f>
        <v>600269</v>
      </c>
      <c r="C471" t="str">
        <f>"赣粤高速"</f>
        <v>赣粤高速</v>
      </c>
      <c r="D471">
        <v>100</v>
      </c>
      <c r="E471">
        <v>100</v>
      </c>
      <c r="F471">
        <v>4.9210000000000003</v>
      </c>
      <c r="G471">
        <v>21.87</v>
      </c>
      <c r="H471">
        <v>4.45</v>
      </c>
      <c r="I471" s="309">
        <v>514</v>
      </c>
      <c r="J471">
        <v>5.14</v>
      </c>
      <c r="K471" s="133">
        <f t="shared" si="7"/>
        <v>1.2565924961723436E-3</v>
      </c>
      <c r="L471" s="181">
        <v>-2</v>
      </c>
    </row>
    <row r="472" spans="1:12" x14ac:dyDescent="0.25">
      <c r="A472" s="136">
        <v>42900</v>
      </c>
      <c r="B472" s="201" t="str">
        <f>"601398"</f>
        <v>601398</v>
      </c>
      <c r="C472" t="str">
        <f>"工商银行"</f>
        <v>工商银行</v>
      </c>
      <c r="D472">
        <v>700</v>
      </c>
      <c r="E472">
        <v>700</v>
      </c>
      <c r="F472">
        <v>-2.5920000000000001</v>
      </c>
      <c r="G472">
        <v>5419.4</v>
      </c>
      <c r="H472">
        <v>0</v>
      </c>
      <c r="I472" s="309">
        <v>3605</v>
      </c>
      <c r="J472">
        <v>5.15</v>
      </c>
      <c r="K472" s="133">
        <f t="shared" si="7"/>
        <v>8.8132606005861848E-3</v>
      </c>
      <c r="L472" s="181">
        <v>0</v>
      </c>
    </row>
    <row r="473" spans="1:12" x14ac:dyDescent="0.25">
      <c r="A473" s="136">
        <v>42900</v>
      </c>
      <c r="B473" s="201" t="str">
        <f>"601998"</f>
        <v>601998</v>
      </c>
      <c r="C473" t="str">
        <f>"中信银行"</f>
        <v>中信银行</v>
      </c>
      <c r="D473">
        <v>4300</v>
      </c>
      <c r="E473">
        <v>4300</v>
      </c>
      <c r="F473">
        <v>6.2930000000000001</v>
      </c>
      <c r="G473">
        <v>-829.98</v>
      </c>
      <c r="H473">
        <v>-3.07</v>
      </c>
      <c r="I473" s="309">
        <v>26230</v>
      </c>
      <c r="J473">
        <v>6.1</v>
      </c>
      <c r="K473" s="133">
        <f t="shared" si="7"/>
        <v>6.412533302451473E-2</v>
      </c>
      <c r="L473" s="181">
        <v>-86</v>
      </c>
    </row>
    <row r="474" spans="1:12" x14ac:dyDescent="0.25">
      <c r="A474" s="136">
        <v>42900</v>
      </c>
      <c r="B474" s="201" t="str">
        <f>"000402"</f>
        <v>000402</v>
      </c>
      <c r="C474" t="str">
        <f>"金 融 街"</f>
        <v>金 融 街</v>
      </c>
      <c r="D474">
        <v>2100</v>
      </c>
      <c r="E474">
        <v>700</v>
      </c>
      <c r="F474">
        <v>8.3420000000000005</v>
      </c>
      <c r="G474">
        <v>6756.77</v>
      </c>
      <c r="H474">
        <v>38.58</v>
      </c>
      <c r="I474" s="309">
        <v>24276</v>
      </c>
      <c r="J474">
        <v>11.56</v>
      </c>
      <c r="K474" s="133">
        <f t="shared" si="7"/>
        <v>5.9348325753073569E-2</v>
      </c>
      <c r="L474" s="181">
        <v>-525</v>
      </c>
    </row>
    <row r="475" spans="1:12" x14ac:dyDescent="0.25">
      <c r="A475" s="136">
        <v>42900</v>
      </c>
      <c r="B475" s="201" t="str">
        <f>"000415"</f>
        <v>000415</v>
      </c>
      <c r="C475" t="str">
        <f>"渤海金控"</f>
        <v>渤海金控</v>
      </c>
      <c r="D475">
        <v>400</v>
      </c>
      <c r="E475">
        <v>400</v>
      </c>
      <c r="F475">
        <v>-3.9E-2</v>
      </c>
      <c r="G475">
        <v>2595.6</v>
      </c>
      <c r="H475">
        <v>0</v>
      </c>
      <c r="I475" s="309">
        <v>2580</v>
      </c>
      <c r="J475">
        <v>6.45</v>
      </c>
      <c r="K475" s="133">
        <f t="shared" si="7"/>
        <v>6.3074098056899739E-3</v>
      </c>
      <c r="L475" s="181">
        <v>-8</v>
      </c>
    </row>
    <row r="476" spans="1:12" x14ac:dyDescent="0.25">
      <c r="A476" s="136">
        <v>42900</v>
      </c>
      <c r="B476" s="201" t="str">
        <f>"000528"</f>
        <v>000528</v>
      </c>
      <c r="C476" t="str">
        <f>"柳    工"</f>
        <v>柳    工</v>
      </c>
      <c r="D476">
        <v>12150</v>
      </c>
      <c r="E476">
        <v>11650</v>
      </c>
      <c r="F476">
        <v>9.4169999999999998</v>
      </c>
      <c r="G476">
        <v>-13089.3</v>
      </c>
      <c r="H476">
        <v>-11.44</v>
      </c>
      <c r="I476" s="309">
        <v>101331</v>
      </c>
      <c r="J476">
        <v>8.34</v>
      </c>
      <c r="K476" s="133">
        <f t="shared" si="7"/>
        <v>0.24772718721719794</v>
      </c>
      <c r="L476" s="181">
        <v>1296.6500000000001</v>
      </c>
    </row>
    <row r="477" spans="1:12" x14ac:dyDescent="0.25">
      <c r="A477" s="136">
        <v>42900</v>
      </c>
      <c r="B477" s="201" t="str">
        <f>"002006"</f>
        <v>002006</v>
      </c>
      <c r="C477" t="str">
        <f>"精功科技"</f>
        <v>精功科技</v>
      </c>
      <c r="D477">
        <v>2100</v>
      </c>
      <c r="E477">
        <v>2100</v>
      </c>
      <c r="F477">
        <v>8.4760000000000009</v>
      </c>
      <c r="G477">
        <v>-1146.8800000000001</v>
      </c>
      <c r="H477">
        <v>-6.44</v>
      </c>
      <c r="I477" s="309">
        <v>16653</v>
      </c>
      <c r="J477">
        <v>7.93</v>
      </c>
      <c r="K477" s="133">
        <f t="shared" si="7"/>
        <v>4.0712130036494237E-2</v>
      </c>
      <c r="L477" s="181">
        <v>0</v>
      </c>
    </row>
    <row r="478" spans="1:12" x14ac:dyDescent="0.25">
      <c r="A478" s="136">
        <v>42900</v>
      </c>
      <c r="B478" s="201" t="str">
        <f>"002140"</f>
        <v>002140</v>
      </c>
      <c r="C478" t="str">
        <f>"东华科技"</f>
        <v>东华科技</v>
      </c>
      <c r="D478">
        <v>5500</v>
      </c>
      <c r="E478">
        <v>5000</v>
      </c>
      <c r="F478">
        <v>13.035</v>
      </c>
      <c r="G478">
        <v>7509.39</v>
      </c>
      <c r="H478">
        <v>10.47</v>
      </c>
      <c r="I478" s="309">
        <v>79200</v>
      </c>
      <c r="J478">
        <v>14.4</v>
      </c>
      <c r="K478" s="133">
        <f t="shared" si="7"/>
        <v>0.19362281263978523</v>
      </c>
      <c r="L478" s="181">
        <v>390</v>
      </c>
    </row>
    <row r="479" spans="1:12" x14ac:dyDescent="0.25">
      <c r="A479" s="136">
        <v>42900</v>
      </c>
      <c r="B479" s="201" t="s">
        <v>835</v>
      </c>
      <c r="C479" t="s">
        <v>839</v>
      </c>
      <c r="I479" s="309">
        <v>14565.38</v>
      </c>
      <c r="K479" s="133">
        <f t="shared" si="7"/>
        <v>3.5608457610697919E-2</v>
      </c>
      <c r="L479" s="181">
        <v>0</v>
      </c>
    </row>
    <row r="480" spans="1:12" x14ac:dyDescent="0.25">
      <c r="A480" s="136">
        <v>42905</v>
      </c>
      <c r="B480" s="201" t="str">
        <f>"519888"</f>
        <v>519888</v>
      </c>
      <c r="C480" t="str">
        <f>"添富快线"</f>
        <v>添富快线</v>
      </c>
      <c r="D480">
        <v>14012937</v>
      </c>
      <c r="E480">
        <v>14012937</v>
      </c>
      <c r="F480">
        <v>0.01</v>
      </c>
      <c r="G480">
        <v>1373.88</v>
      </c>
      <c r="H480">
        <v>0</v>
      </c>
      <c r="I480" s="309">
        <v>140129.37</v>
      </c>
      <c r="J480">
        <v>0.01</v>
      </c>
      <c r="K480" s="133">
        <f t="shared" si="7"/>
        <v>0.34337463828861287</v>
      </c>
      <c r="L480" s="181">
        <v>41.040000000000198</v>
      </c>
    </row>
    <row r="481" spans="1:12" x14ac:dyDescent="0.25">
      <c r="A481" s="136">
        <v>42905</v>
      </c>
      <c r="B481" s="201" t="str">
        <f>"600269"</f>
        <v>600269</v>
      </c>
      <c r="C481" t="str">
        <f>"赣粤高速"</f>
        <v>赣粤高速</v>
      </c>
      <c r="D481">
        <v>100</v>
      </c>
      <c r="E481">
        <v>100</v>
      </c>
      <c r="F481">
        <v>4.9210000000000003</v>
      </c>
      <c r="G481">
        <v>22.87</v>
      </c>
      <c r="H481">
        <v>4.6500000000000004</v>
      </c>
      <c r="I481" s="309">
        <v>515</v>
      </c>
      <c r="J481">
        <v>5.15</v>
      </c>
      <c r="K481" s="133">
        <f t="shared" si="7"/>
        <v>1.2619619906850052E-3</v>
      </c>
      <c r="L481" s="181">
        <v>1</v>
      </c>
    </row>
    <row r="482" spans="1:12" x14ac:dyDescent="0.25">
      <c r="A482" s="136">
        <v>42905</v>
      </c>
      <c r="B482" s="201" t="str">
        <f>"601398"</f>
        <v>601398</v>
      </c>
      <c r="C482" t="str">
        <f>"工商银行"</f>
        <v>工商银行</v>
      </c>
      <c r="D482">
        <v>1200</v>
      </c>
      <c r="E482">
        <v>700</v>
      </c>
      <c r="F482">
        <v>0.58799999999999997</v>
      </c>
      <c r="G482">
        <v>5294.52</v>
      </c>
      <c r="H482">
        <v>750.34</v>
      </c>
      <c r="I482" s="309">
        <v>6000</v>
      </c>
      <c r="J482">
        <v>5</v>
      </c>
      <c r="K482" s="133">
        <f t="shared" si="7"/>
        <v>1.470246979438841E-2</v>
      </c>
      <c r="L482" s="181">
        <v>-124.879999999999</v>
      </c>
    </row>
    <row r="483" spans="1:12" x14ac:dyDescent="0.25">
      <c r="A483" s="136">
        <v>42905</v>
      </c>
      <c r="B483" s="201" t="str">
        <f>"601998"</f>
        <v>601998</v>
      </c>
      <c r="C483" t="str">
        <f>"中信银行"</f>
        <v>中信银行</v>
      </c>
      <c r="D483">
        <v>4300</v>
      </c>
      <c r="E483">
        <v>4300</v>
      </c>
      <c r="F483">
        <v>6.2930000000000001</v>
      </c>
      <c r="G483">
        <v>-614.98</v>
      </c>
      <c r="H483">
        <v>-2.27</v>
      </c>
      <c r="I483" s="309">
        <v>26445</v>
      </c>
      <c r="J483">
        <v>6.15</v>
      </c>
      <c r="K483" s="133">
        <f t="shared" si="7"/>
        <v>6.4801135618766922E-2</v>
      </c>
      <c r="L483" s="181">
        <v>215</v>
      </c>
    </row>
    <row r="484" spans="1:12" x14ac:dyDescent="0.25">
      <c r="A484" s="136">
        <v>42905</v>
      </c>
      <c r="B484" s="201" t="str">
        <f>"000402"</f>
        <v>000402</v>
      </c>
      <c r="C484" t="str">
        <f>"金 融 街"</f>
        <v>金 融 街</v>
      </c>
      <c r="D484">
        <v>2600</v>
      </c>
      <c r="E484">
        <v>2100</v>
      </c>
      <c r="F484">
        <v>8.5649999999999995</v>
      </c>
      <c r="G484">
        <v>7344.77</v>
      </c>
      <c r="H484">
        <v>32.979999999999997</v>
      </c>
      <c r="I484" s="309">
        <v>29614</v>
      </c>
      <c r="J484">
        <v>11.39</v>
      </c>
      <c r="K484" s="133">
        <f t="shared" si="7"/>
        <v>7.2566490081836396E-2</v>
      </c>
      <c r="L484" s="181">
        <v>588</v>
      </c>
    </row>
    <row r="485" spans="1:12" x14ac:dyDescent="0.25">
      <c r="A485" s="136">
        <v>42905</v>
      </c>
      <c r="B485" s="201" t="str">
        <f>"000415"</f>
        <v>000415</v>
      </c>
      <c r="C485" t="str">
        <f>"渤海金控"</f>
        <v>渤海金控</v>
      </c>
      <c r="D485">
        <v>400</v>
      </c>
      <c r="E485">
        <v>400</v>
      </c>
      <c r="F485">
        <v>-3.9E-2</v>
      </c>
      <c r="G485">
        <v>2635.6</v>
      </c>
      <c r="H485">
        <v>0</v>
      </c>
      <c r="I485" s="309">
        <v>2620</v>
      </c>
      <c r="J485">
        <v>6.55</v>
      </c>
      <c r="K485" s="133">
        <f t="shared" si="7"/>
        <v>6.4200784768829386E-3</v>
      </c>
      <c r="L485" s="181">
        <v>40</v>
      </c>
    </row>
    <row r="486" spans="1:12" x14ac:dyDescent="0.25">
      <c r="A486" s="136">
        <v>42905</v>
      </c>
      <c r="B486" s="201" t="str">
        <f>"000528"</f>
        <v>000528</v>
      </c>
      <c r="C486" t="str">
        <f>"柳    工"</f>
        <v>柳    工</v>
      </c>
      <c r="D486">
        <v>12150</v>
      </c>
      <c r="E486">
        <v>12150</v>
      </c>
      <c r="F486">
        <v>9.4169999999999998</v>
      </c>
      <c r="G486">
        <v>-13332.3</v>
      </c>
      <c r="H486">
        <v>-11.65</v>
      </c>
      <c r="I486" s="309">
        <v>101088</v>
      </c>
      <c r="J486">
        <v>8.32</v>
      </c>
      <c r="K486" s="133">
        <f t="shared" si="7"/>
        <v>0.24770721109585592</v>
      </c>
      <c r="L486" s="181">
        <v>-243</v>
      </c>
    </row>
    <row r="487" spans="1:12" x14ac:dyDescent="0.25">
      <c r="A487" s="136">
        <v>42905</v>
      </c>
      <c r="B487" s="201" t="str">
        <f>"002006"</f>
        <v>002006</v>
      </c>
      <c r="C487" t="str">
        <f>"精功科技"</f>
        <v>精功科技</v>
      </c>
      <c r="D487">
        <v>2100</v>
      </c>
      <c r="E487">
        <v>2100</v>
      </c>
      <c r="F487">
        <v>8.4760000000000009</v>
      </c>
      <c r="G487">
        <v>-1146.8800000000001</v>
      </c>
      <c r="H487">
        <v>-6.44</v>
      </c>
      <c r="I487" s="309">
        <v>16653</v>
      </c>
      <c r="J487">
        <v>7.93</v>
      </c>
      <c r="K487" s="133">
        <f t="shared" si="7"/>
        <v>4.0806704914325032E-2</v>
      </c>
      <c r="L487" s="181">
        <v>0</v>
      </c>
    </row>
    <row r="488" spans="1:12" x14ac:dyDescent="0.25">
      <c r="A488" s="136">
        <v>42905</v>
      </c>
      <c r="B488" s="201" t="str">
        <f>"002140"</f>
        <v>002140</v>
      </c>
      <c r="C488" t="str">
        <f>"东华科技"</f>
        <v>东华科技</v>
      </c>
      <c r="D488">
        <v>6000</v>
      </c>
      <c r="E488">
        <v>5500</v>
      </c>
      <c r="F488">
        <v>13.103</v>
      </c>
      <c r="G488">
        <v>6044.39</v>
      </c>
      <c r="H488">
        <v>7.69</v>
      </c>
      <c r="I488" s="309">
        <v>84660</v>
      </c>
      <c r="J488">
        <v>14.11</v>
      </c>
      <c r="K488" s="133">
        <f t="shared" si="7"/>
        <v>0.20745184879882048</v>
      </c>
      <c r="L488" s="181">
        <v>-1465</v>
      </c>
    </row>
    <row r="489" spans="1:12" x14ac:dyDescent="0.25">
      <c r="A489" s="136">
        <v>42905</v>
      </c>
      <c r="B489" s="201" t="s">
        <v>835</v>
      </c>
      <c r="C489" t="s">
        <v>839</v>
      </c>
      <c r="I489" s="309">
        <v>370.33</v>
      </c>
      <c r="K489" s="133">
        <f t="shared" si="7"/>
        <v>9.0746093982597661E-4</v>
      </c>
      <c r="L489" s="181">
        <v>0</v>
      </c>
    </row>
    <row r="490" spans="1:12" x14ac:dyDescent="0.25">
      <c r="A490" s="136">
        <v>42907</v>
      </c>
      <c r="B490" s="201" t="str">
        <f>"519888"</f>
        <v>519888</v>
      </c>
      <c r="C490" t="str">
        <f>"添富快线"</f>
        <v>添富快线</v>
      </c>
      <c r="D490">
        <v>10018015</v>
      </c>
      <c r="E490">
        <v>10018015</v>
      </c>
      <c r="F490">
        <v>0.01</v>
      </c>
      <c r="G490">
        <v>1424.66</v>
      </c>
      <c r="H490">
        <v>0</v>
      </c>
      <c r="I490" s="309">
        <v>100180.15</v>
      </c>
      <c r="J490">
        <v>0.01</v>
      </c>
      <c r="K490" s="133">
        <f t="shared" si="7"/>
        <v>0.24409484101038637</v>
      </c>
      <c r="L490" s="181">
        <v>50.78</v>
      </c>
    </row>
    <row r="491" spans="1:12" x14ac:dyDescent="0.25">
      <c r="A491" s="136">
        <v>42907</v>
      </c>
      <c r="B491" s="201" t="str">
        <f>"600269"</f>
        <v>600269</v>
      </c>
      <c r="C491" t="str">
        <f>"赣粤高速"</f>
        <v>赣粤高速</v>
      </c>
      <c r="D491">
        <v>100</v>
      </c>
      <c r="E491">
        <v>100</v>
      </c>
      <c r="F491">
        <v>4.9210000000000003</v>
      </c>
      <c r="G491">
        <v>23.87</v>
      </c>
      <c r="H491">
        <v>4.8600000000000003</v>
      </c>
      <c r="I491" s="309">
        <v>516</v>
      </c>
      <c r="J491">
        <v>5.16</v>
      </c>
      <c r="K491" s="133">
        <f t="shared" si="7"/>
        <v>1.25726441776499E-3</v>
      </c>
      <c r="L491" s="181">
        <v>1</v>
      </c>
    </row>
    <row r="492" spans="1:12" x14ac:dyDescent="0.25">
      <c r="A492" s="136">
        <v>42907</v>
      </c>
      <c r="B492" s="201" t="str">
        <f>"601398"</f>
        <v>601398</v>
      </c>
      <c r="C492" t="str">
        <f>"工商银行"</f>
        <v>工商银行</v>
      </c>
      <c r="D492">
        <v>1200</v>
      </c>
      <c r="E492">
        <v>1200</v>
      </c>
      <c r="F492">
        <v>0.58799999999999997</v>
      </c>
      <c r="G492">
        <v>5354.52</v>
      </c>
      <c r="H492">
        <v>758.84</v>
      </c>
      <c r="I492" s="309">
        <v>6060</v>
      </c>
      <c r="J492">
        <v>5.05</v>
      </c>
      <c r="K492" s="133">
        <f t="shared" si="7"/>
        <v>1.4765547231891163E-2</v>
      </c>
      <c r="L492" s="181">
        <v>60</v>
      </c>
    </row>
    <row r="493" spans="1:12" x14ac:dyDescent="0.25">
      <c r="A493" s="136">
        <v>42907</v>
      </c>
      <c r="B493" s="201" t="str">
        <f>"601998"</f>
        <v>601998</v>
      </c>
      <c r="C493" t="str">
        <f>"中信银行"</f>
        <v>中信银行</v>
      </c>
      <c r="D493">
        <v>4300</v>
      </c>
      <c r="E493">
        <v>4300</v>
      </c>
      <c r="F493">
        <v>6.2930000000000001</v>
      </c>
      <c r="G493">
        <v>-700.98</v>
      </c>
      <c r="H493">
        <v>-2.59</v>
      </c>
      <c r="I493" s="309">
        <v>26359</v>
      </c>
      <c r="J493">
        <v>6.13</v>
      </c>
      <c r="K493" s="133">
        <f t="shared" si="7"/>
        <v>6.4225257340828248E-2</v>
      </c>
      <c r="L493" s="181">
        <v>-86</v>
      </c>
    </row>
    <row r="494" spans="1:12" x14ac:dyDescent="0.25">
      <c r="A494" s="136">
        <v>42907</v>
      </c>
      <c r="B494" s="201" t="str">
        <f>"000402"</f>
        <v>000402</v>
      </c>
      <c r="C494" t="str">
        <f>"金 融 街"</f>
        <v>金 融 街</v>
      </c>
      <c r="D494">
        <v>1800</v>
      </c>
      <c r="E494">
        <v>1800</v>
      </c>
      <c r="F494">
        <v>7.298</v>
      </c>
      <c r="G494">
        <v>7581.62</v>
      </c>
      <c r="H494">
        <v>57.72</v>
      </c>
      <c r="I494" s="309">
        <v>20718</v>
      </c>
      <c r="J494">
        <v>11.51</v>
      </c>
      <c r="K494" s="133">
        <f t="shared" si="7"/>
        <v>5.0480628308633847E-2</v>
      </c>
      <c r="L494" s="181">
        <v>236.849999999999</v>
      </c>
    </row>
    <row r="495" spans="1:12" x14ac:dyDescent="0.25">
      <c r="A495" s="136">
        <v>42907</v>
      </c>
      <c r="B495" s="201" t="str">
        <f>"000415"</f>
        <v>000415</v>
      </c>
      <c r="C495" t="str">
        <f>"渤海金控"</f>
        <v>渤海金控</v>
      </c>
      <c r="D495">
        <v>400</v>
      </c>
      <c r="E495">
        <v>400</v>
      </c>
      <c r="F495">
        <v>-3.9E-2</v>
      </c>
      <c r="G495">
        <v>2655.6</v>
      </c>
      <c r="H495">
        <v>0</v>
      </c>
      <c r="I495" s="309">
        <v>2640</v>
      </c>
      <c r="J495">
        <v>6.6</v>
      </c>
      <c r="K495" s="133">
        <f t="shared" si="7"/>
        <v>6.4325156257743678E-3</v>
      </c>
      <c r="L495" s="181">
        <v>20</v>
      </c>
    </row>
    <row r="496" spans="1:12" x14ac:dyDescent="0.25">
      <c r="A496" s="136">
        <v>42907</v>
      </c>
      <c r="B496" s="201" t="str">
        <f>"000528"</f>
        <v>000528</v>
      </c>
      <c r="C496" t="str">
        <f>"柳    工"</f>
        <v>柳    工</v>
      </c>
      <c r="D496">
        <v>12650</v>
      </c>
      <c r="E496">
        <v>12150</v>
      </c>
      <c r="F496">
        <v>9.27</v>
      </c>
      <c r="G496">
        <v>-14425.8</v>
      </c>
      <c r="H496">
        <v>-12.3</v>
      </c>
      <c r="I496" s="309">
        <v>102844.5</v>
      </c>
      <c r="J496">
        <v>8.1300000000000008</v>
      </c>
      <c r="K496" s="133">
        <f t="shared" si="7"/>
        <v>0.2505866868465727</v>
      </c>
      <c r="L496" s="181">
        <v>-1093.5</v>
      </c>
    </row>
    <row r="497" spans="1:12" x14ac:dyDescent="0.25">
      <c r="A497" s="136">
        <v>42907</v>
      </c>
      <c r="B497" s="201" t="str">
        <f>"002006"</f>
        <v>002006</v>
      </c>
      <c r="C497" t="str">
        <f>"精功科技"</f>
        <v>精功科技</v>
      </c>
      <c r="D497">
        <v>2100</v>
      </c>
      <c r="E497">
        <v>2100</v>
      </c>
      <c r="F497">
        <v>8.4559999999999995</v>
      </c>
      <c r="G497">
        <v>-1146.8800000000001</v>
      </c>
      <c r="H497">
        <v>-6.46</v>
      </c>
      <c r="I497" s="309">
        <v>16611</v>
      </c>
      <c r="J497">
        <v>7.91</v>
      </c>
      <c r="K497" s="133">
        <f t="shared" si="7"/>
        <v>4.0473680704446222E-2</v>
      </c>
      <c r="L497" s="181">
        <v>0</v>
      </c>
    </row>
    <row r="498" spans="1:12" x14ac:dyDescent="0.25">
      <c r="A498" s="136">
        <v>42907</v>
      </c>
      <c r="B498" s="201" t="str">
        <f>"002140"</f>
        <v>002140</v>
      </c>
      <c r="C498" t="str">
        <f>"东华科技"</f>
        <v>东华科技</v>
      </c>
      <c r="D498">
        <v>4800</v>
      </c>
      <c r="E498">
        <v>4800</v>
      </c>
      <c r="F498">
        <v>12.773999999999999</v>
      </c>
      <c r="G498">
        <v>9196.0499999999993</v>
      </c>
      <c r="H498">
        <v>15</v>
      </c>
      <c r="I498" s="309">
        <v>70512</v>
      </c>
      <c r="J498">
        <v>14.69</v>
      </c>
      <c r="K498" s="133">
        <f t="shared" si="7"/>
        <v>0.17180664462295539</v>
      </c>
      <c r="L498" s="181">
        <v>3151.66</v>
      </c>
    </row>
    <row r="499" spans="1:12" x14ac:dyDescent="0.25">
      <c r="A499" s="136">
        <v>42907</v>
      </c>
      <c r="B499" s="201" t="str">
        <f>"SZRQ88"</f>
        <v>SZRQ88</v>
      </c>
      <c r="C499" t="str">
        <f>"国标准券"</f>
        <v>国标准券</v>
      </c>
      <c r="D499">
        <v>50000</v>
      </c>
      <c r="E499">
        <v>50000</v>
      </c>
      <c r="F499">
        <v>1</v>
      </c>
      <c r="G499">
        <v>-2.5</v>
      </c>
      <c r="H499">
        <v>0</v>
      </c>
      <c r="I499" s="309">
        <v>50000</v>
      </c>
      <c r="J499">
        <v>1</v>
      </c>
      <c r="K499" s="133">
        <f t="shared" si="7"/>
        <v>0.12182794745784788</v>
      </c>
      <c r="L499" s="181">
        <v>-2.2999999999999998</v>
      </c>
    </row>
    <row r="500" spans="1:12" x14ac:dyDescent="0.25">
      <c r="A500" s="136">
        <v>42907</v>
      </c>
      <c r="B500" s="201" t="s">
        <v>835</v>
      </c>
      <c r="C500" t="s">
        <v>839</v>
      </c>
      <c r="I500" s="309">
        <v>13974.21</v>
      </c>
      <c r="K500" s="133">
        <f t="shared" si="7"/>
        <v>3.4048986432898644E-2</v>
      </c>
      <c r="L500" s="181">
        <v>0</v>
      </c>
    </row>
    <row r="501" spans="1:12" x14ac:dyDescent="0.25">
      <c r="A501" s="136">
        <v>42912</v>
      </c>
      <c r="B501" s="201" t="str">
        <f>"519888"</f>
        <v>519888</v>
      </c>
      <c r="C501" t="str">
        <f>"添富快线"</f>
        <v>添富快线</v>
      </c>
      <c r="D501">
        <v>3020481</v>
      </c>
      <c r="E501">
        <v>3020481</v>
      </c>
      <c r="F501">
        <v>0.01</v>
      </c>
      <c r="G501">
        <v>1449.32</v>
      </c>
      <c r="H501">
        <v>0</v>
      </c>
      <c r="I501" s="309">
        <v>30204.81</v>
      </c>
      <c r="J501">
        <v>0.01</v>
      </c>
      <c r="K501" s="133">
        <f t="shared" si="7"/>
        <v>7.3586820837852798E-2</v>
      </c>
      <c r="L501" s="181">
        <v>24.659999999999901</v>
      </c>
    </row>
    <row r="502" spans="1:12" x14ac:dyDescent="0.25">
      <c r="A502" s="136">
        <v>42912</v>
      </c>
      <c r="B502" s="201" t="str">
        <f>"600269"</f>
        <v>600269</v>
      </c>
      <c r="C502" t="str">
        <f>"赣粤高速"</f>
        <v>赣粤高速</v>
      </c>
      <c r="D502">
        <v>100</v>
      </c>
      <c r="E502">
        <v>100</v>
      </c>
      <c r="F502">
        <v>4.9210000000000003</v>
      </c>
      <c r="G502">
        <v>24.87</v>
      </c>
      <c r="H502">
        <v>5.0599999999999996</v>
      </c>
      <c r="I502" s="309">
        <v>517</v>
      </c>
      <c r="J502">
        <v>5.17</v>
      </c>
      <c r="K502" s="133">
        <f t="shared" si="7"/>
        <v>1.2595472831370201E-3</v>
      </c>
      <c r="L502" s="181">
        <v>1</v>
      </c>
    </row>
    <row r="503" spans="1:12" x14ac:dyDescent="0.25">
      <c r="A503" s="136">
        <v>42912</v>
      </c>
      <c r="B503" s="201" t="str">
        <f>"601398"</f>
        <v>601398</v>
      </c>
      <c r="C503" t="str">
        <f>"工商银行"</f>
        <v>工商银行</v>
      </c>
      <c r="D503">
        <v>800</v>
      </c>
      <c r="E503">
        <v>800</v>
      </c>
      <c r="F503">
        <v>-1.6890000000000001</v>
      </c>
      <c r="G503">
        <v>5439.2</v>
      </c>
      <c r="H503">
        <v>0</v>
      </c>
      <c r="I503" s="309">
        <v>4088</v>
      </c>
      <c r="J503">
        <v>5.1100000000000003</v>
      </c>
      <c r="K503" s="133">
        <f t="shared" si="7"/>
        <v>9.9594377049596495E-3</v>
      </c>
      <c r="L503" s="181">
        <v>84.679999999999396</v>
      </c>
    </row>
    <row r="504" spans="1:12" x14ac:dyDescent="0.25">
      <c r="A504" s="136">
        <v>42912</v>
      </c>
      <c r="B504" s="201" t="str">
        <f>"601998"</f>
        <v>601998</v>
      </c>
      <c r="C504" t="str">
        <f>"中信银行"</f>
        <v>中信银行</v>
      </c>
      <c r="D504">
        <v>3800</v>
      </c>
      <c r="E504">
        <v>3800</v>
      </c>
      <c r="F504">
        <v>6.3019999999999996</v>
      </c>
      <c r="G504">
        <v>-198.16</v>
      </c>
      <c r="H504">
        <v>-0.82</v>
      </c>
      <c r="I504" s="309">
        <v>23750</v>
      </c>
      <c r="J504">
        <v>6.25</v>
      </c>
      <c r="K504" s="133">
        <f t="shared" si="7"/>
        <v>5.7861214650878588E-2</v>
      </c>
      <c r="L504" s="181">
        <v>502.82</v>
      </c>
    </row>
    <row r="505" spans="1:12" x14ac:dyDescent="0.25">
      <c r="A505" s="136">
        <v>42912</v>
      </c>
      <c r="B505" s="201" t="str">
        <f>"000402"</f>
        <v>000402</v>
      </c>
      <c r="C505" t="str">
        <f>"金 融 街"</f>
        <v>金 融 街</v>
      </c>
      <c r="D505">
        <v>200</v>
      </c>
      <c r="E505">
        <v>200</v>
      </c>
      <c r="F505">
        <v>-29.062999999999999</v>
      </c>
      <c r="G505">
        <v>8216.6</v>
      </c>
      <c r="H505">
        <v>0</v>
      </c>
      <c r="I505" s="309">
        <v>2404</v>
      </c>
      <c r="J505">
        <v>12.02</v>
      </c>
      <c r="K505" s="133">
        <f t="shared" si="7"/>
        <v>5.8567730535036685E-3</v>
      </c>
      <c r="L505" s="181">
        <v>634.98</v>
      </c>
    </row>
    <row r="506" spans="1:12" x14ac:dyDescent="0.25">
      <c r="A506" s="136">
        <v>42912</v>
      </c>
      <c r="B506" s="201" t="str">
        <f>"000415"</f>
        <v>000415</v>
      </c>
      <c r="C506" t="str">
        <f>"渤海金控"</f>
        <v>渤海金控</v>
      </c>
      <c r="D506">
        <v>400</v>
      </c>
      <c r="E506">
        <v>400</v>
      </c>
      <c r="F506">
        <v>-3.9E-2</v>
      </c>
      <c r="G506">
        <v>2659.6</v>
      </c>
      <c r="H506">
        <v>0</v>
      </c>
      <c r="I506" s="309">
        <v>2644</v>
      </c>
      <c r="J506">
        <v>6.61</v>
      </c>
      <c r="K506" s="133">
        <f t="shared" si="7"/>
        <v>6.4414758541862308E-3</v>
      </c>
      <c r="L506" s="181">
        <v>4</v>
      </c>
    </row>
    <row r="507" spans="1:12" x14ac:dyDescent="0.25">
      <c r="A507" s="136">
        <v>42912</v>
      </c>
      <c r="B507" s="201" t="str">
        <f>"000528"</f>
        <v>000528</v>
      </c>
      <c r="C507" t="str">
        <f>"柳    工"</f>
        <v>柳    工</v>
      </c>
      <c r="D507">
        <v>12150</v>
      </c>
      <c r="E507">
        <v>12150</v>
      </c>
      <c r="F507">
        <v>9.2780000000000005</v>
      </c>
      <c r="G507">
        <v>-7995.88</v>
      </c>
      <c r="H507">
        <v>-7.09</v>
      </c>
      <c r="I507" s="309">
        <v>104733</v>
      </c>
      <c r="J507">
        <v>8.6199999999999992</v>
      </c>
      <c r="K507" s="133">
        <f t="shared" si="7"/>
        <v>0.25515699343286175</v>
      </c>
      <c r="L507" s="181">
        <v>6429.92</v>
      </c>
    </row>
    <row r="508" spans="1:12" x14ac:dyDescent="0.25">
      <c r="A508" s="136">
        <v>42912</v>
      </c>
      <c r="B508" s="201" t="str">
        <f>"002006"</f>
        <v>002006</v>
      </c>
      <c r="C508" t="str">
        <f>"精功科技"</f>
        <v>精功科技</v>
      </c>
      <c r="D508">
        <v>2100</v>
      </c>
      <c r="E508">
        <v>2100</v>
      </c>
      <c r="F508">
        <v>8.4559999999999995</v>
      </c>
      <c r="G508">
        <v>-1146.8800000000001</v>
      </c>
      <c r="H508">
        <v>-6.46</v>
      </c>
      <c r="I508" s="309">
        <v>16611</v>
      </c>
      <c r="J508">
        <v>7.91</v>
      </c>
      <c r="K508" s="133">
        <f t="shared" si="7"/>
        <v>4.0468742592241862E-2</v>
      </c>
      <c r="L508" s="181">
        <v>0</v>
      </c>
    </row>
    <row r="509" spans="1:12" x14ac:dyDescent="0.25">
      <c r="A509" s="136">
        <v>42912</v>
      </c>
      <c r="B509" s="201" t="str">
        <f>"002140"</f>
        <v>002140</v>
      </c>
      <c r="C509" t="str">
        <f>"东华科技"</f>
        <v>东华科技</v>
      </c>
      <c r="D509">
        <v>6400</v>
      </c>
      <c r="E509">
        <v>6400</v>
      </c>
      <c r="F509">
        <v>13.103999999999999</v>
      </c>
      <c r="G509">
        <v>1702.71</v>
      </c>
      <c r="H509">
        <v>2.0299999999999998</v>
      </c>
      <c r="I509" s="309">
        <v>85568</v>
      </c>
      <c r="J509">
        <v>13.37</v>
      </c>
      <c r="K509" s="133">
        <f t="shared" si="7"/>
        <v>0.20846603853668963</v>
      </c>
      <c r="L509" s="181">
        <v>-7493.34</v>
      </c>
    </row>
    <row r="510" spans="1:12" x14ac:dyDescent="0.25">
      <c r="A510" s="136">
        <v>42912</v>
      </c>
      <c r="B510" s="201" t="str">
        <f>"SZRQ88"</f>
        <v>SZRQ88</v>
      </c>
      <c r="C510" t="str">
        <f>"国标准券"</f>
        <v>国标准券</v>
      </c>
      <c r="D510">
        <v>139000</v>
      </c>
      <c r="E510">
        <v>100000</v>
      </c>
      <c r="F510">
        <v>1</v>
      </c>
      <c r="G510">
        <v>-5.39</v>
      </c>
      <c r="H510">
        <v>0</v>
      </c>
      <c r="I510" s="309">
        <v>139000</v>
      </c>
      <c r="J510">
        <v>1</v>
      </c>
      <c r="K510" s="133">
        <f t="shared" si="7"/>
        <v>0.33864037206198416</v>
      </c>
      <c r="L510" s="181">
        <v>-2.89</v>
      </c>
    </row>
    <row r="511" spans="1:12" x14ac:dyDescent="0.25">
      <c r="A511" s="136">
        <v>42912</v>
      </c>
      <c r="B511" s="201" t="s">
        <v>835</v>
      </c>
      <c r="C511" t="s">
        <v>839</v>
      </c>
      <c r="I511" s="309">
        <v>945.13</v>
      </c>
      <c r="K511" s="133">
        <f t="shared" si="7"/>
        <v>2.3025839917046264E-3</v>
      </c>
      <c r="L511" s="181">
        <v>0</v>
      </c>
    </row>
    <row r="512" spans="1:12" x14ac:dyDescent="0.25">
      <c r="A512" s="136">
        <v>42914</v>
      </c>
      <c r="B512" s="201" t="str">
        <f>"519888"</f>
        <v>519888</v>
      </c>
      <c r="C512" t="str">
        <f>"添富快线"</f>
        <v>添富快线</v>
      </c>
      <c r="D512">
        <v>3022001</v>
      </c>
      <c r="E512">
        <v>3022001</v>
      </c>
      <c r="F512">
        <v>0.01</v>
      </c>
      <c r="G512">
        <v>1464.52</v>
      </c>
      <c r="H512">
        <v>0</v>
      </c>
      <c r="I512" s="309">
        <v>30220.01</v>
      </c>
      <c r="J512">
        <v>0.01</v>
      </c>
      <c r="K512" s="133">
        <f t="shared" si="7"/>
        <v>7.4305891732368262E-2</v>
      </c>
      <c r="L512" s="181">
        <v>15.2</v>
      </c>
    </row>
    <row r="513" spans="1:12" x14ac:dyDescent="0.25">
      <c r="A513" s="136">
        <v>42914</v>
      </c>
      <c r="B513" s="201" t="str">
        <f>"600269"</f>
        <v>600269</v>
      </c>
      <c r="C513" t="str">
        <f>"赣粤高速"</f>
        <v>赣粤高速</v>
      </c>
      <c r="D513">
        <v>100</v>
      </c>
      <c r="E513">
        <v>100</v>
      </c>
      <c r="F513">
        <v>4.9210000000000003</v>
      </c>
      <c r="G513">
        <v>25.87</v>
      </c>
      <c r="H513">
        <v>5.26</v>
      </c>
      <c r="I513" s="309">
        <v>518</v>
      </c>
      <c r="J513">
        <v>5.18</v>
      </c>
      <c r="K513" s="133">
        <f t="shared" si="7"/>
        <v>1.2736743607089066E-3</v>
      </c>
      <c r="L513" s="181">
        <v>1</v>
      </c>
    </row>
    <row r="514" spans="1:12" x14ac:dyDescent="0.25">
      <c r="A514" s="136">
        <v>42914</v>
      </c>
      <c r="B514" s="201" t="str">
        <f>"601398"</f>
        <v>601398</v>
      </c>
      <c r="C514" t="str">
        <f>"工商银行"</f>
        <v>工商银行</v>
      </c>
      <c r="D514">
        <v>800</v>
      </c>
      <c r="E514">
        <v>800</v>
      </c>
      <c r="F514">
        <v>-1.6890000000000001</v>
      </c>
      <c r="G514">
        <v>5407.2</v>
      </c>
      <c r="H514">
        <v>0</v>
      </c>
      <c r="I514" s="309">
        <v>4056</v>
      </c>
      <c r="J514">
        <v>5.07</v>
      </c>
      <c r="K514" s="133">
        <f t="shared" ref="K514:K577" si="8">I514/SUMIF(A:A,A514,I:I)</f>
        <v>9.9730177741994691E-3</v>
      </c>
      <c r="L514" s="181">
        <v>-32</v>
      </c>
    </row>
    <row r="515" spans="1:12" x14ac:dyDescent="0.25">
      <c r="A515" s="136">
        <v>42914</v>
      </c>
      <c r="B515" s="201" t="str">
        <f>"601998"</f>
        <v>601998</v>
      </c>
      <c r="C515" t="str">
        <f>"中信银行"</f>
        <v>中信银行</v>
      </c>
      <c r="D515">
        <v>3300</v>
      </c>
      <c r="E515">
        <v>3300</v>
      </c>
      <c r="F515">
        <v>6.2939999999999996</v>
      </c>
      <c r="G515">
        <v>51.59</v>
      </c>
      <c r="H515">
        <v>0.26</v>
      </c>
      <c r="I515" s="309">
        <v>20823</v>
      </c>
      <c r="J515">
        <v>6.31</v>
      </c>
      <c r="K515" s="133">
        <f t="shared" si="8"/>
        <v>5.1200234002010736E-2</v>
      </c>
      <c r="L515" s="181">
        <v>249.75</v>
      </c>
    </row>
    <row r="516" spans="1:12" x14ac:dyDescent="0.25">
      <c r="A516" s="136">
        <v>42914</v>
      </c>
      <c r="B516" s="201" t="str">
        <f>"000402"</f>
        <v>000402</v>
      </c>
      <c r="C516" t="str">
        <f>"金 融 街"</f>
        <v>金 融 街</v>
      </c>
      <c r="D516">
        <v>1200</v>
      </c>
      <c r="E516">
        <v>1200</v>
      </c>
      <c r="F516">
        <v>4.9770000000000003</v>
      </c>
      <c r="G516">
        <v>8067.63</v>
      </c>
      <c r="H516">
        <v>135.08000000000001</v>
      </c>
      <c r="I516" s="309">
        <v>14040</v>
      </c>
      <c r="J516">
        <v>11.7</v>
      </c>
      <c r="K516" s="133">
        <f t="shared" si="8"/>
        <v>3.4521984602998164E-2</v>
      </c>
      <c r="L516" s="181">
        <v>-148.97</v>
      </c>
    </row>
    <row r="517" spans="1:12" x14ac:dyDescent="0.25">
      <c r="A517" s="136">
        <v>42914</v>
      </c>
      <c r="B517" s="201" t="str">
        <f>"000415"</f>
        <v>000415</v>
      </c>
      <c r="C517" t="str">
        <f>"渤海金控"</f>
        <v>渤海金控</v>
      </c>
      <c r="D517">
        <v>400</v>
      </c>
      <c r="E517">
        <v>400</v>
      </c>
      <c r="F517">
        <v>-3.9E-2</v>
      </c>
      <c r="G517">
        <v>2659.6</v>
      </c>
      <c r="H517">
        <v>0</v>
      </c>
      <c r="I517" s="309">
        <v>2644</v>
      </c>
      <c r="J517">
        <v>6.61</v>
      </c>
      <c r="K517" s="133">
        <f t="shared" si="8"/>
        <v>6.5011486674022177E-3</v>
      </c>
      <c r="L517" s="181">
        <v>0</v>
      </c>
    </row>
    <row r="518" spans="1:12" x14ac:dyDescent="0.25">
      <c r="A518" s="136">
        <v>42914</v>
      </c>
      <c r="B518" s="201" t="str">
        <f>"000528"</f>
        <v>000528</v>
      </c>
      <c r="C518" t="str">
        <f>"柳    工"</f>
        <v>柳    工</v>
      </c>
      <c r="D518">
        <v>12150</v>
      </c>
      <c r="E518">
        <v>12150</v>
      </c>
      <c r="F518">
        <v>9.2780000000000005</v>
      </c>
      <c r="G518">
        <v>-9453.8799999999992</v>
      </c>
      <c r="H518">
        <v>-8.3800000000000008</v>
      </c>
      <c r="I518" s="309">
        <v>103275</v>
      </c>
      <c r="J518">
        <v>8.5</v>
      </c>
      <c r="K518" s="133">
        <f t="shared" si="8"/>
        <v>0.25393575212782304</v>
      </c>
      <c r="L518" s="181">
        <v>-1458</v>
      </c>
    </row>
    <row r="519" spans="1:12" x14ac:dyDescent="0.25">
      <c r="A519" s="136">
        <v>42914</v>
      </c>
      <c r="B519" s="201" t="str">
        <f>"002006"</f>
        <v>002006</v>
      </c>
      <c r="C519" t="str">
        <f>"精功科技"</f>
        <v>精功科技</v>
      </c>
      <c r="D519">
        <v>2100</v>
      </c>
      <c r="E519">
        <v>2100</v>
      </c>
      <c r="F519">
        <v>8.4559999999999995</v>
      </c>
      <c r="G519">
        <v>-1146.8800000000001</v>
      </c>
      <c r="H519">
        <v>-6.46</v>
      </c>
      <c r="I519" s="309">
        <v>16611</v>
      </c>
      <c r="J519">
        <v>7.91</v>
      </c>
      <c r="K519" s="133">
        <f t="shared" si="8"/>
        <v>4.0843638621111289E-2</v>
      </c>
      <c r="L519" s="181">
        <v>0</v>
      </c>
    </row>
    <row r="520" spans="1:12" x14ac:dyDescent="0.25">
      <c r="A520" s="136">
        <v>42914</v>
      </c>
      <c r="B520" s="201" t="str">
        <f>"002140"</f>
        <v>002140</v>
      </c>
      <c r="C520" t="str">
        <f>"东华科技"</f>
        <v>东华科技</v>
      </c>
      <c r="D520">
        <v>6400</v>
      </c>
      <c r="E520">
        <v>6400</v>
      </c>
      <c r="F520">
        <v>13.103999999999999</v>
      </c>
      <c r="G520">
        <v>-729.29</v>
      </c>
      <c r="H520">
        <v>-0.87</v>
      </c>
      <c r="I520" s="309">
        <v>83136</v>
      </c>
      <c r="J520">
        <v>12.99</v>
      </c>
      <c r="K520" s="133">
        <f t="shared" si="8"/>
        <v>0.20441735840134295</v>
      </c>
      <c r="L520" s="181">
        <v>-2432</v>
      </c>
    </row>
    <row r="521" spans="1:12" x14ac:dyDescent="0.25">
      <c r="A521" s="136">
        <v>42914</v>
      </c>
      <c r="B521" s="201" t="str">
        <f>"SZRQ88"</f>
        <v>SZRQ88</v>
      </c>
      <c r="C521" t="str">
        <f>"国标准券"</f>
        <v>国标准券</v>
      </c>
      <c r="D521">
        <v>100000</v>
      </c>
      <c r="E521">
        <v>100000</v>
      </c>
      <c r="F521">
        <v>1</v>
      </c>
      <c r="G521">
        <v>42.08</v>
      </c>
      <c r="H521">
        <v>0</v>
      </c>
      <c r="I521" s="309">
        <v>100000</v>
      </c>
      <c r="J521">
        <v>1</v>
      </c>
      <c r="K521" s="133">
        <f t="shared" si="8"/>
        <v>0.24588308121793562</v>
      </c>
      <c r="L521" s="181">
        <v>47.47</v>
      </c>
    </row>
    <row r="522" spans="1:12" x14ac:dyDescent="0.25">
      <c r="A522" s="136">
        <v>42914</v>
      </c>
      <c r="B522" s="201" t="s">
        <v>835</v>
      </c>
      <c r="C522" t="s">
        <v>839</v>
      </c>
      <c r="I522" s="309">
        <v>31374.35</v>
      </c>
      <c r="K522" s="133">
        <f t="shared" si="8"/>
        <v>7.7144218492099376E-2</v>
      </c>
      <c r="L522" s="181">
        <v>0</v>
      </c>
    </row>
    <row r="523" spans="1:12" x14ac:dyDescent="0.25">
      <c r="A523" s="136">
        <v>42919</v>
      </c>
      <c r="B523" s="201" t="s">
        <v>132</v>
      </c>
      <c r="C523" t="s">
        <v>123</v>
      </c>
      <c r="D523">
        <v>4823521</v>
      </c>
      <c r="E523">
        <v>4823521</v>
      </c>
      <c r="F523">
        <v>0.01</v>
      </c>
      <c r="G523">
        <v>1479.72</v>
      </c>
      <c r="H523">
        <v>0</v>
      </c>
      <c r="I523" s="309">
        <v>48235.21</v>
      </c>
      <c r="J523">
        <v>0.01</v>
      </c>
      <c r="K523" s="133">
        <f t="shared" si="8"/>
        <v>0.11725061236348179</v>
      </c>
      <c r="L523" s="181">
        <v>15.2</v>
      </c>
    </row>
    <row r="524" spans="1:12" x14ac:dyDescent="0.25">
      <c r="A524" s="136">
        <v>42919</v>
      </c>
      <c r="B524" s="201" t="s">
        <v>61</v>
      </c>
      <c r="C524" t="s">
        <v>136</v>
      </c>
      <c r="D524">
        <v>100</v>
      </c>
      <c r="E524">
        <v>100</v>
      </c>
      <c r="F524">
        <v>4.9210000000000003</v>
      </c>
      <c r="G524">
        <v>33.869999999999997</v>
      </c>
      <c r="H524">
        <v>6.89</v>
      </c>
      <c r="I524" s="309">
        <v>526</v>
      </c>
      <c r="J524">
        <v>5.26</v>
      </c>
      <c r="K524" s="133">
        <f t="shared" si="8"/>
        <v>1.2786058587324783E-3</v>
      </c>
      <c r="L524" s="181">
        <v>8</v>
      </c>
    </row>
    <row r="525" spans="1:12" x14ac:dyDescent="0.25">
      <c r="A525" s="136">
        <v>42919</v>
      </c>
      <c r="B525" s="201" t="s">
        <v>124</v>
      </c>
      <c r="C525" t="s">
        <v>125</v>
      </c>
      <c r="D525">
        <v>400</v>
      </c>
      <c r="E525">
        <v>400</v>
      </c>
      <c r="F525">
        <v>-8.6110000000000007</v>
      </c>
      <c r="G525">
        <v>5540.4</v>
      </c>
      <c r="H525">
        <v>0</v>
      </c>
      <c r="I525" s="309">
        <v>2096</v>
      </c>
      <c r="J525">
        <v>5.24</v>
      </c>
      <c r="K525" s="133">
        <f t="shared" si="8"/>
        <v>5.0949769579910166E-3</v>
      </c>
      <c r="L525" s="181">
        <v>133.19999999999999</v>
      </c>
    </row>
    <row r="526" spans="1:12" x14ac:dyDescent="0.25">
      <c r="A526" s="136">
        <v>42919</v>
      </c>
      <c r="B526" s="201" t="s">
        <v>71</v>
      </c>
      <c r="C526" t="s">
        <v>126</v>
      </c>
      <c r="D526">
        <v>3300</v>
      </c>
      <c r="E526">
        <v>3300</v>
      </c>
      <c r="F526">
        <v>6.2939999999999996</v>
      </c>
      <c r="G526">
        <v>-113.41</v>
      </c>
      <c r="H526">
        <v>-0.54</v>
      </c>
      <c r="I526" s="309">
        <v>20658</v>
      </c>
      <c r="J526">
        <v>6.26</v>
      </c>
      <c r="K526" s="133">
        <f t="shared" si="8"/>
        <v>5.0215665075466799E-2</v>
      </c>
      <c r="L526" s="181">
        <v>-165</v>
      </c>
    </row>
    <row r="527" spans="1:12" x14ac:dyDescent="0.25">
      <c r="A527" s="136">
        <v>42919</v>
      </c>
      <c r="B527" s="201" t="s">
        <v>65</v>
      </c>
      <c r="C527" t="s">
        <v>127</v>
      </c>
      <c r="D527">
        <v>800</v>
      </c>
      <c r="E527">
        <v>800</v>
      </c>
      <c r="F527">
        <v>1.5529999999999999</v>
      </c>
      <c r="G527">
        <v>8245.89</v>
      </c>
      <c r="H527">
        <v>663.68</v>
      </c>
      <c r="I527" s="309">
        <v>9488</v>
      </c>
      <c r="J527">
        <v>11.86</v>
      </c>
      <c r="K527" s="133">
        <f t="shared" si="8"/>
        <v>2.3063521649531852E-2</v>
      </c>
      <c r="L527" s="181">
        <v>178.259999999999</v>
      </c>
    </row>
    <row r="528" spans="1:12" x14ac:dyDescent="0.25">
      <c r="A528" s="136">
        <v>42919</v>
      </c>
      <c r="B528" s="201" t="s">
        <v>77</v>
      </c>
      <c r="C528" t="s">
        <v>128</v>
      </c>
      <c r="D528">
        <v>100</v>
      </c>
      <c r="E528">
        <v>100</v>
      </c>
      <c r="F528">
        <v>-20.274999999999999</v>
      </c>
      <c r="G528">
        <v>2704.5</v>
      </c>
      <c r="H528">
        <v>0</v>
      </c>
      <c r="I528" s="309">
        <v>677</v>
      </c>
      <c r="J528">
        <v>6.77</v>
      </c>
      <c r="K528" s="133">
        <f t="shared" si="8"/>
        <v>1.6456581109541594E-3</v>
      </c>
      <c r="L528" s="181">
        <v>44.900000000000098</v>
      </c>
    </row>
    <row r="529" spans="1:12" x14ac:dyDescent="0.25">
      <c r="A529" s="136">
        <v>42919</v>
      </c>
      <c r="B529" s="201" t="s">
        <v>67</v>
      </c>
      <c r="C529" t="s">
        <v>129</v>
      </c>
      <c r="D529">
        <v>11650</v>
      </c>
      <c r="E529">
        <v>11650</v>
      </c>
      <c r="F529">
        <v>9.3019999999999996</v>
      </c>
      <c r="G529">
        <v>-6552.25</v>
      </c>
      <c r="H529">
        <v>-6.04</v>
      </c>
      <c r="I529" s="309">
        <v>101821</v>
      </c>
      <c r="J529">
        <v>8.74</v>
      </c>
      <c r="K529" s="133">
        <f t="shared" si="8"/>
        <v>0.24750746604942903</v>
      </c>
      <c r="L529" s="181">
        <v>2901.63</v>
      </c>
    </row>
    <row r="530" spans="1:12" x14ac:dyDescent="0.25">
      <c r="A530" s="136">
        <v>42919</v>
      </c>
      <c r="B530" s="201" t="s">
        <v>72</v>
      </c>
      <c r="C530" t="s">
        <v>130</v>
      </c>
      <c r="D530">
        <v>2100</v>
      </c>
      <c r="E530">
        <v>2100</v>
      </c>
      <c r="F530">
        <v>8.4559999999999995</v>
      </c>
      <c r="G530">
        <v>-1146.8800000000001</v>
      </c>
      <c r="H530">
        <v>-6.46</v>
      </c>
      <c r="I530" s="309">
        <v>16611</v>
      </c>
      <c r="J530">
        <v>7.91</v>
      </c>
      <c r="K530" s="133">
        <f t="shared" si="8"/>
        <v>4.0378178554002275E-2</v>
      </c>
      <c r="L530" s="181">
        <v>0</v>
      </c>
    </row>
    <row r="531" spans="1:12" x14ac:dyDescent="0.25">
      <c r="A531" s="136">
        <v>42919</v>
      </c>
      <c r="B531" s="201" t="s">
        <v>70</v>
      </c>
      <c r="C531" t="s">
        <v>131</v>
      </c>
      <c r="D531">
        <v>6400</v>
      </c>
      <c r="E531">
        <v>6400</v>
      </c>
      <c r="F531">
        <v>13.103999999999999</v>
      </c>
      <c r="G531">
        <v>742.71</v>
      </c>
      <c r="H531">
        <v>0.89</v>
      </c>
      <c r="I531" s="309">
        <v>84608</v>
      </c>
      <c r="J531">
        <v>13.22</v>
      </c>
      <c r="K531" s="133">
        <f t="shared" si="8"/>
        <v>0.20566594010577477</v>
      </c>
      <c r="L531" s="181">
        <v>1472</v>
      </c>
    </row>
    <row r="532" spans="1:12" x14ac:dyDescent="0.25">
      <c r="A532" s="136">
        <v>42919</v>
      </c>
      <c r="B532" s="201" t="s">
        <v>133</v>
      </c>
      <c r="C532" t="s">
        <v>134</v>
      </c>
      <c r="D532">
        <v>114000</v>
      </c>
      <c r="E532">
        <v>114000</v>
      </c>
      <c r="F532">
        <v>0.999</v>
      </c>
      <c r="G532">
        <v>142.36000000000001</v>
      </c>
      <c r="H532">
        <v>0</v>
      </c>
      <c r="I532" s="309">
        <v>114000</v>
      </c>
      <c r="J532">
        <v>1</v>
      </c>
      <c r="K532" s="133">
        <f t="shared" si="8"/>
        <v>0.27711229637928236</v>
      </c>
      <c r="L532" s="181">
        <v>100.28</v>
      </c>
    </row>
    <row r="533" spans="1:12" x14ac:dyDescent="0.25">
      <c r="A533" s="136">
        <v>42919</v>
      </c>
      <c r="B533" s="201" t="s">
        <v>835</v>
      </c>
      <c r="C533" t="s">
        <v>839</v>
      </c>
      <c r="I533" s="309">
        <v>12665.36</v>
      </c>
      <c r="K533" s="133">
        <f t="shared" si="8"/>
        <v>3.0787078895353578E-2</v>
      </c>
      <c r="L533" s="181">
        <v>0</v>
      </c>
    </row>
    <row r="534" spans="1:12" x14ac:dyDescent="0.25">
      <c r="A534" s="136">
        <v>42920</v>
      </c>
      <c r="B534" s="201" t="str">
        <f>"519888"</f>
        <v>519888</v>
      </c>
      <c r="C534" t="str">
        <f>"添富快线"</f>
        <v>添富快线</v>
      </c>
      <c r="D534">
        <v>12824050</v>
      </c>
      <c r="E534">
        <v>12824050</v>
      </c>
      <c r="F534">
        <v>0.01</v>
      </c>
      <c r="G534">
        <v>1485.01</v>
      </c>
      <c r="H534">
        <v>0</v>
      </c>
      <c r="I534" s="309">
        <v>128240.5</v>
      </c>
      <c r="J534">
        <v>0.01</v>
      </c>
      <c r="K534" s="133">
        <f t="shared" si="8"/>
        <v>0.31400195721573515</v>
      </c>
      <c r="L534" s="181">
        <v>5.2899999999999601</v>
      </c>
    </row>
    <row r="535" spans="1:12" x14ac:dyDescent="0.25">
      <c r="A535" s="136">
        <v>42920</v>
      </c>
      <c r="B535" s="201" t="str">
        <f>"600269"</f>
        <v>600269</v>
      </c>
      <c r="C535" t="str">
        <f>"赣粤高速"</f>
        <v>赣粤高速</v>
      </c>
      <c r="D535">
        <v>100</v>
      </c>
      <c r="E535">
        <v>100</v>
      </c>
      <c r="F535">
        <v>4.9210000000000003</v>
      </c>
      <c r="G535">
        <v>29.87</v>
      </c>
      <c r="H535">
        <v>6.08</v>
      </c>
      <c r="I535" s="309">
        <v>522</v>
      </c>
      <c r="J535">
        <v>5.22</v>
      </c>
      <c r="K535" s="133">
        <f t="shared" si="8"/>
        <v>1.2781377307996594E-3</v>
      </c>
      <c r="L535" s="181">
        <v>-4</v>
      </c>
    </row>
    <row r="536" spans="1:12" x14ac:dyDescent="0.25">
      <c r="A536" s="136">
        <v>42920</v>
      </c>
      <c r="B536" s="201" t="str">
        <f>"601398"</f>
        <v>601398</v>
      </c>
      <c r="C536" t="str">
        <f>"工商银行"</f>
        <v>工商银行</v>
      </c>
      <c r="D536">
        <v>400</v>
      </c>
      <c r="E536">
        <v>400</v>
      </c>
      <c r="F536">
        <v>-8.6110000000000007</v>
      </c>
      <c r="G536">
        <v>5544.4</v>
      </c>
      <c r="H536">
        <v>0</v>
      </c>
      <c r="I536" s="309">
        <v>2100</v>
      </c>
      <c r="J536">
        <v>5.25</v>
      </c>
      <c r="K536" s="133">
        <f t="shared" si="8"/>
        <v>5.1419333997687455E-3</v>
      </c>
      <c r="L536" s="181">
        <v>4</v>
      </c>
    </row>
    <row r="537" spans="1:12" x14ac:dyDescent="0.25">
      <c r="A537" s="136">
        <v>42920</v>
      </c>
      <c r="B537" s="201" t="str">
        <f>"601998"</f>
        <v>601998</v>
      </c>
      <c r="C537" t="str">
        <f>"中信银行"</f>
        <v>中信银行</v>
      </c>
      <c r="D537">
        <v>3800</v>
      </c>
      <c r="E537">
        <v>3800</v>
      </c>
      <c r="F537">
        <v>6.282</v>
      </c>
      <c r="G537">
        <v>-311.47000000000003</v>
      </c>
      <c r="H537">
        <v>-1.3</v>
      </c>
      <c r="I537" s="309">
        <v>23560</v>
      </c>
      <c r="J537">
        <v>6.2</v>
      </c>
      <c r="K537" s="133">
        <f t="shared" si="8"/>
        <v>5.7687595665976969E-2</v>
      </c>
      <c r="L537" s="181">
        <v>-198.06</v>
      </c>
    </row>
    <row r="538" spans="1:12" x14ac:dyDescent="0.25">
      <c r="A538" s="136">
        <v>42920</v>
      </c>
      <c r="B538" s="201" t="str">
        <f>"000402"</f>
        <v>000402</v>
      </c>
      <c r="C538" t="str">
        <f>"金 融 街"</f>
        <v>金 融 街</v>
      </c>
      <c r="D538">
        <v>1800</v>
      </c>
      <c r="E538">
        <v>1800</v>
      </c>
      <c r="F538">
        <v>7.1429999999999998</v>
      </c>
      <c r="G538">
        <v>7842.89</v>
      </c>
      <c r="H538">
        <v>61</v>
      </c>
      <c r="I538" s="309">
        <v>20700</v>
      </c>
      <c r="J538">
        <v>11.5</v>
      </c>
      <c r="K538" s="133">
        <f t="shared" si="8"/>
        <v>5.0684772083434776E-2</v>
      </c>
      <c r="L538" s="181">
        <v>-402.99999999999898</v>
      </c>
    </row>
    <row r="539" spans="1:12" x14ac:dyDescent="0.25">
      <c r="A539" s="136">
        <v>42920</v>
      </c>
      <c r="B539" s="201" t="str">
        <f>"000415"</f>
        <v>000415</v>
      </c>
      <c r="C539" t="str">
        <f>"渤海金控"</f>
        <v>渤海金控</v>
      </c>
      <c r="D539">
        <v>100</v>
      </c>
      <c r="E539">
        <v>100</v>
      </c>
      <c r="F539">
        <v>-20.274999999999999</v>
      </c>
      <c r="G539">
        <v>2708.5</v>
      </c>
      <c r="H539">
        <v>0</v>
      </c>
      <c r="I539" s="309">
        <v>681</v>
      </c>
      <c r="J539">
        <v>6.81</v>
      </c>
      <c r="K539" s="133">
        <f t="shared" si="8"/>
        <v>1.6674555453535789E-3</v>
      </c>
      <c r="L539" s="181">
        <v>4</v>
      </c>
    </row>
    <row r="540" spans="1:12" x14ac:dyDescent="0.25">
      <c r="A540" s="136">
        <v>42920</v>
      </c>
      <c r="B540" s="201" t="str">
        <f>"000528"</f>
        <v>000528</v>
      </c>
      <c r="C540" t="str">
        <f>"柳    工"</f>
        <v>柳    工</v>
      </c>
      <c r="D540">
        <v>12150</v>
      </c>
      <c r="E540">
        <v>12150</v>
      </c>
      <c r="F540">
        <v>9.2729999999999997</v>
      </c>
      <c r="G540">
        <v>-8537.75</v>
      </c>
      <c r="H540">
        <v>-7.58</v>
      </c>
      <c r="I540" s="309">
        <v>104125.5</v>
      </c>
      <c r="J540">
        <v>8.57</v>
      </c>
      <c r="K540" s="133">
        <f t="shared" si="8"/>
        <v>0.25495542200839072</v>
      </c>
      <c r="L540" s="181">
        <v>-1985.5</v>
      </c>
    </row>
    <row r="541" spans="1:12" x14ac:dyDescent="0.25">
      <c r="A541" s="136">
        <v>42920</v>
      </c>
      <c r="B541" s="201" t="str">
        <f>"002006"</f>
        <v>002006</v>
      </c>
      <c r="C541" t="str">
        <f>"精功科技"</f>
        <v>精功科技</v>
      </c>
      <c r="D541">
        <v>2100</v>
      </c>
      <c r="E541">
        <v>2100</v>
      </c>
      <c r="F541">
        <v>8.4559999999999995</v>
      </c>
      <c r="G541">
        <v>-1146.8800000000001</v>
      </c>
      <c r="H541">
        <v>-6.46</v>
      </c>
      <c r="I541" s="309">
        <v>16611</v>
      </c>
      <c r="J541">
        <v>7.91</v>
      </c>
      <c r="K541" s="133">
        <f t="shared" si="8"/>
        <v>4.0672693192170775E-2</v>
      </c>
      <c r="L541" s="181">
        <v>0</v>
      </c>
    </row>
    <row r="542" spans="1:12" x14ac:dyDescent="0.25">
      <c r="A542" s="136">
        <v>42920</v>
      </c>
      <c r="B542" s="201" t="str">
        <f>"002140"</f>
        <v>002140</v>
      </c>
      <c r="C542" t="str">
        <f>"东华科技"</f>
        <v>东华科技</v>
      </c>
      <c r="D542">
        <v>6400</v>
      </c>
      <c r="E542">
        <v>6400</v>
      </c>
      <c r="F542">
        <v>13.103999999999999</v>
      </c>
      <c r="G542">
        <v>294.70999999999998</v>
      </c>
      <c r="H542">
        <v>0.35</v>
      </c>
      <c r="I542" s="309">
        <v>84160</v>
      </c>
      <c r="J542">
        <v>13.15</v>
      </c>
      <c r="K542" s="133">
        <f t="shared" si="8"/>
        <v>0.20606910234501791</v>
      </c>
      <c r="L542" s="181">
        <v>-448</v>
      </c>
    </row>
    <row r="543" spans="1:12" x14ac:dyDescent="0.25">
      <c r="A543" s="136">
        <v>42920</v>
      </c>
      <c r="B543" s="201" t="str">
        <f>"SZRQ88"</f>
        <v>SZRQ88</v>
      </c>
      <c r="C543" t="str">
        <f>"国标准券"</f>
        <v>国标准券</v>
      </c>
      <c r="D543">
        <v>24000</v>
      </c>
      <c r="E543">
        <v>24000</v>
      </c>
      <c r="F543">
        <v>0.99199999999999999</v>
      </c>
      <c r="G543">
        <v>193.75</v>
      </c>
      <c r="H543">
        <v>0</v>
      </c>
      <c r="I543" s="309">
        <v>24000</v>
      </c>
      <c r="J543">
        <v>1</v>
      </c>
      <c r="K543" s="133">
        <f t="shared" si="8"/>
        <v>5.8764953140214231E-2</v>
      </c>
      <c r="L543" s="181">
        <v>51.39</v>
      </c>
    </row>
    <row r="544" spans="1:12" x14ac:dyDescent="0.25">
      <c r="A544" s="136">
        <v>42920</v>
      </c>
      <c r="B544" s="201" t="s">
        <v>835</v>
      </c>
      <c r="C544" t="s">
        <v>839</v>
      </c>
      <c r="I544" s="309">
        <v>3706.69</v>
      </c>
      <c r="K544" s="133">
        <f t="shared" si="8"/>
        <v>9.0759776731375291E-3</v>
      </c>
      <c r="L544" s="181">
        <v>0</v>
      </c>
    </row>
    <row r="545" spans="1:12" x14ac:dyDescent="0.25">
      <c r="A545" s="136">
        <v>42921</v>
      </c>
      <c r="B545" s="201" t="str">
        <f>"519888"</f>
        <v>519888</v>
      </c>
      <c r="C545" t="str">
        <f>"添富快线"</f>
        <v>添富快线</v>
      </c>
      <c r="D545">
        <v>11324050</v>
      </c>
      <c r="E545">
        <v>11324050</v>
      </c>
      <c r="F545">
        <v>0.01</v>
      </c>
      <c r="G545">
        <v>1485.01</v>
      </c>
      <c r="H545">
        <v>0</v>
      </c>
      <c r="I545" s="309">
        <v>113240.5</v>
      </c>
      <c r="J545">
        <v>0.01</v>
      </c>
      <c r="K545" s="133">
        <f t="shared" si="8"/>
        <v>0.27575087601166448</v>
      </c>
      <c r="L545" s="181">
        <v>0</v>
      </c>
    </row>
    <row r="546" spans="1:12" x14ac:dyDescent="0.25">
      <c r="A546" s="136">
        <v>42921</v>
      </c>
      <c r="B546" s="201" t="str">
        <f>"600269"</f>
        <v>600269</v>
      </c>
      <c r="C546" t="str">
        <f>"赣粤高速"</f>
        <v>赣粤高速</v>
      </c>
      <c r="D546">
        <v>100</v>
      </c>
      <c r="E546">
        <v>100</v>
      </c>
      <c r="F546">
        <v>4.9210000000000003</v>
      </c>
      <c r="G546">
        <v>36.869999999999997</v>
      </c>
      <c r="H546">
        <v>7.5</v>
      </c>
      <c r="I546" s="309">
        <v>529</v>
      </c>
      <c r="J546">
        <v>5.29</v>
      </c>
      <c r="K546" s="133">
        <f t="shared" si="8"/>
        <v>1.2881629223658541E-3</v>
      </c>
      <c r="L546" s="181">
        <v>7</v>
      </c>
    </row>
    <row r="547" spans="1:12" x14ac:dyDescent="0.25">
      <c r="A547" s="136">
        <v>42921</v>
      </c>
      <c r="B547" s="201" t="str">
        <f>"601398"</f>
        <v>601398</v>
      </c>
      <c r="C547" t="str">
        <f>"工商银行"</f>
        <v>工商银行</v>
      </c>
      <c r="D547">
        <v>400</v>
      </c>
      <c r="E547">
        <v>400</v>
      </c>
      <c r="F547">
        <v>-8.6110000000000007</v>
      </c>
      <c r="G547">
        <v>5536.4</v>
      </c>
      <c r="H547">
        <v>0</v>
      </c>
      <c r="I547" s="309">
        <v>2092</v>
      </c>
      <c r="J547">
        <v>5.23</v>
      </c>
      <c r="K547" s="133">
        <f t="shared" si="8"/>
        <v>5.0942095152918089E-3</v>
      </c>
      <c r="L547" s="181">
        <v>-8</v>
      </c>
    </row>
    <row r="548" spans="1:12" x14ac:dyDescent="0.25">
      <c r="A548" s="136">
        <v>42921</v>
      </c>
      <c r="B548" s="201" t="str">
        <f>"601998"</f>
        <v>601998</v>
      </c>
      <c r="C548" t="str">
        <f>"中信银行"</f>
        <v>中信银行</v>
      </c>
      <c r="D548">
        <v>3800</v>
      </c>
      <c r="E548">
        <v>3800</v>
      </c>
      <c r="F548">
        <v>6.282</v>
      </c>
      <c r="G548">
        <v>-121.47</v>
      </c>
      <c r="H548">
        <v>-0.51</v>
      </c>
      <c r="I548" s="309">
        <v>23750</v>
      </c>
      <c r="J548">
        <v>6.25</v>
      </c>
      <c r="K548" s="133">
        <f t="shared" si="8"/>
        <v>5.7833401523986833E-2</v>
      </c>
      <c r="L548" s="181">
        <v>190</v>
      </c>
    </row>
    <row r="549" spans="1:12" x14ac:dyDescent="0.25">
      <c r="A549" s="136">
        <v>42921</v>
      </c>
      <c r="B549" s="201" t="str">
        <f>"000402"</f>
        <v>000402</v>
      </c>
      <c r="C549" t="str">
        <f>"金 融 街"</f>
        <v>金 融 街</v>
      </c>
      <c r="D549">
        <v>1800</v>
      </c>
      <c r="E549">
        <v>1800</v>
      </c>
      <c r="F549">
        <v>7.1429999999999998</v>
      </c>
      <c r="G549">
        <v>7932.89</v>
      </c>
      <c r="H549">
        <v>61.7</v>
      </c>
      <c r="I549" s="309">
        <v>20790</v>
      </c>
      <c r="J549">
        <v>11.55</v>
      </c>
      <c r="K549" s="133">
        <f t="shared" si="8"/>
        <v>5.0625533376155211E-2</v>
      </c>
      <c r="L549" s="181">
        <v>90</v>
      </c>
    </row>
    <row r="550" spans="1:12" x14ac:dyDescent="0.25">
      <c r="A550" s="136">
        <v>42921</v>
      </c>
      <c r="B550" s="201" t="str">
        <f>"000415"</f>
        <v>000415</v>
      </c>
      <c r="C550" t="str">
        <f>"渤海金控"</f>
        <v>渤海金控</v>
      </c>
      <c r="D550">
        <v>100</v>
      </c>
      <c r="E550">
        <v>100</v>
      </c>
      <c r="F550">
        <v>-20.274999999999999</v>
      </c>
      <c r="G550">
        <v>2713.5</v>
      </c>
      <c r="H550">
        <v>0</v>
      </c>
      <c r="I550" s="309">
        <v>686</v>
      </c>
      <c r="J550">
        <v>6.86</v>
      </c>
      <c r="K550" s="133">
        <f t="shared" si="8"/>
        <v>1.670472145071788E-3</v>
      </c>
      <c r="L550" s="181">
        <v>5</v>
      </c>
    </row>
    <row r="551" spans="1:12" x14ac:dyDescent="0.25">
      <c r="A551" s="136">
        <v>42921</v>
      </c>
      <c r="B551" s="201" t="str">
        <f>"000528"</f>
        <v>000528</v>
      </c>
      <c r="C551" t="str">
        <f>"柳    工"</f>
        <v>柳    工</v>
      </c>
      <c r="D551">
        <v>11650</v>
      </c>
      <c r="E551">
        <v>11650</v>
      </c>
      <c r="F551">
        <v>9.298</v>
      </c>
      <c r="G551">
        <v>-7079.1</v>
      </c>
      <c r="H551">
        <v>-6.54</v>
      </c>
      <c r="I551" s="309">
        <v>101238.5</v>
      </c>
      <c r="J551">
        <v>8.69</v>
      </c>
      <c r="K551" s="133">
        <f t="shared" si="8"/>
        <v>0.24652491874467961</v>
      </c>
      <c r="L551" s="181">
        <v>1458.65</v>
      </c>
    </row>
    <row r="552" spans="1:12" x14ac:dyDescent="0.25">
      <c r="A552" s="136">
        <v>42921</v>
      </c>
      <c r="B552" s="201" t="str">
        <f>"002006"</f>
        <v>002006</v>
      </c>
      <c r="C552" t="str">
        <f>"精功科技"</f>
        <v>精功科技</v>
      </c>
      <c r="D552">
        <v>2100</v>
      </c>
      <c r="E552">
        <v>2100</v>
      </c>
      <c r="F552">
        <v>8.4559999999999995</v>
      </c>
      <c r="G552">
        <v>-1146.8800000000001</v>
      </c>
      <c r="H552">
        <v>-6.46</v>
      </c>
      <c r="I552" s="309">
        <v>16611</v>
      </c>
      <c r="J552">
        <v>7.91</v>
      </c>
      <c r="K552" s="133">
        <f t="shared" si="8"/>
        <v>4.044928979852401E-2</v>
      </c>
      <c r="L552" s="181">
        <v>0</v>
      </c>
    </row>
    <row r="553" spans="1:12" x14ac:dyDescent="0.25">
      <c r="A553" s="136">
        <v>42921</v>
      </c>
      <c r="B553" s="201" t="str">
        <f>"002140"</f>
        <v>002140</v>
      </c>
      <c r="C553" t="str">
        <f>"东华科技"</f>
        <v>东华科技</v>
      </c>
      <c r="D553">
        <v>6900</v>
      </c>
      <c r="E553">
        <v>6400</v>
      </c>
      <c r="F553">
        <v>13.103</v>
      </c>
      <c r="G553">
        <v>807.71</v>
      </c>
      <c r="H553">
        <v>0.89</v>
      </c>
      <c r="I553" s="309">
        <v>91218</v>
      </c>
      <c r="J553">
        <v>13.22</v>
      </c>
      <c r="K553" s="133">
        <f t="shared" si="8"/>
        <v>0.22212409348273815</v>
      </c>
      <c r="L553" s="181">
        <v>513</v>
      </c>
    </row>
    <row r="554" spans="1:12" x14ac:dyDescent="0.25">
      <c r="A554" s="136">
        <v>42921</v>
      </c>
      <c r="B554" s="201" t="str">
        <f>"SZRQ88"</f>
        <v>SZRQ88</v>
      </c>
      <c r="C554" t="str">
        <f>"国标准券"</f>
        <v>国标准券</v>
      </c>
      <c r="D554">
        <v>24000</v>
      </c>
      <c r="E554">
        <v>24000</v>
      </c>
      <c r="F554">
        <v>0.99199999999999999</v>
      </c>
      <c r="G554">
        <v>193.75</v>
      </c>
      <c r="H554">
        <v>0</v>
      </c>
      <c r="I554" s="309">
        <v>24000</v>
      </c>
      <c r="J554">
        <v>1</v>
      </c>
      <c r="K554" s="133">
        <f t="shared" si="8"/>
        <v>5.8442174171607748E-2</v>
      </c>
      <c r="L554" s="181">
        <v>0</v>
      </c>
    </row>
    <row r="555" spans="1:12" x14ac:dyDescent="0.25">
      <c r="A555" s="136">
        <v>42921</v>
      </c>
      <c r="B555" s="201" t="s">
        <v>835</v>
      </c>
      <c r="C555" t="s">
        <v>839</v>
      </c>
      <c r="I555" s="309">
        <v>16507.34</v>
      </c>
      <c r="K555" s="133">
        <f t="shared" si="8"/>
        <v>4.0196868307914475E-2</v>
      </c>
      <c r="L555" s="181">
        <v>0</v>
      </c>
    </row>
    <row r="556" spans="1:12" x14ac:dyDescent="0.25">
      <c r="A556" s="136">
        <v>42922</v>
      </c>
      <c r="B556" s="201" t="str">
        <f>"519888"</f>
        <v>519888</v>
      </c>
      <c r="C556" t="str">
        <f>"添富快线"</f>
        <v>添富快线</v>
      </c>
      <c r="D556">
        <v>11326074</v>
      </c>
      <c r="E556">
        <v>11326074</v>
      </c>
      <c r="F556">
        <v>0.01</v>
      </c>
      <c r="G556">
        <v>1505.25</v>
      </c>
      <c r="H556">
        <v>0</v>
      </c>
      <c r="I556" s="309">
        <v>113260.74</v>
      </c>
      <c r="J556">
        <v>0.01</v>
      </c>
      <c r="K556" s="133">
        <f t="shared" si="8"/>
        <v>0.27697389194537991</v>
      </c>
      <c r="L556" s="181">
        <v>20.239999999999998</v>
      </c>
    </row>
    <row r="557" spans="1:12" x14ac:dyDescent="0.25">
      <c r="A557" s="136">
        <v>42922</v>
      </c>
      <c r="B557" s="201" t="str">
        <f>"600269"</f>
        <v>600269</v>
      </c>
      <c r="C557" t="str">
        <f>"赣粤高速"</f>
        <v>赣粤高速</v>
      </c>
      <c r="D557">
        <v>100</v>
      </c>
      <c r="E557">
        <v>100</v>
      </c>
      <c r="F557">
        <v>4.9210000000000003</v>
      </c>
      <c r="G557">
        <v>39.869999999999997</v>
      </c>
      <c r="H557">
        <v>8.11</v>
      </c>
      <c r="I557" s="309">
        <v>532</v>
      </c>
      <c r="J557">
        <v>5.32</v>
      </c>
      <c r="K557" s="133">
        <f t="shared" si="8"/>
        <v>1.3009813507747002E-3</v>
      </c>
      <c r="L557" s="181">
        <v>3</v>
      </c>
    </row>
    <row r="558" spans="1:12" x14ac:dyDescent="0.25">
      <c r="A558" s="136">
        <v>42922</v>
      </c>
      <c r="B558" s="201" t="str">
        <f>"601398"</f>
        <v>601398</v>
      </c>
      <c r="C558" t="str">
        <f>"工商银行"</f>
        <v>工商银行</v>
      </c>
      <c r="D558">
        <v>400</v>
      </c>
      <c r="E558">
        <v>400</v>
      </c>
      <c r="F558">
        <v>-8.6110000000000007</v>
      </c>
      <c r="G558">
        <v>5536.4</v>
      </c>
      <c r="H558">
        <v>0</v>
      </c>
      <c r="I558" s="309">
        <v>2092</v>
      </c>
      <c r="J558">
        <v>5.23</v>
      </c>
      <c r="K558" s="133">
        <f t="shared" si="8"/>
        <v>5.1158890710914897E-3</v>
      </c>
      <c r="L558" s="181">
        <v>0</v>
      </c>
    </row>
    <row r="559" spans="1:12" x14ac:dyDescent="0.25">
      <c r="A559" s="136">
        <v>42922</v>
      </c>
      <c r="B559" s="201" t="str">
        <f>"601998"</f>
        <v>601998</v>
      </c>
      <c r="C559" t="str">
        <f>"中信银行"</f>
        <v>中信银行</v>
      </c>
      <c r="D559">
        <v>3800</v>
      </c>
      <c r="E559">
        <v>3800</v>
      </c>
      <c r="F559">
        <v>6.282</v>
      </c>
      <c r="G559">
        <v>-235.47</v>
      </c>
      <c r="H559">
        <v>-0.99</v>
      </c>
      <c r="I559" s="309">
        <v>23636</v>
      </c>
      <c r="J559">
        <v>6.22</v>
      </c>
      <c r="K559" s="133">
        <f t="shared" si="8"/>
        <v>5.7800742870133107E-2</v>
      </c>
      <c r="L559" s="181">
        <v>-114</v>
      </c>
    </row>
    <row r="560" spans="1:12" x14ac:dyDescent="0.25">
      <c r="A560" s="136">
        <v>42922</v>
      </c>
      <c r="B560" s="201" t="str">
        <f>"000402"</f>
        <v>000402</v>
      </c>
      <c r="C560" t="str">
        <f>"金 融 街"</f>
        <v>金 融 街</v>
      </c>
      <c r="D560">
        <v>2300</v>
      </c>
      <c r="E560">
        <v>2300</v>
      </c>
      <c r="F560">
        <v>8.0640000000000001</v>
      </c>
      <c r="G560">
        <v>7764.89</v>
      </c>
      <c r="H560">
        <v>41.87</v>
      </c>
      <c r="I560" s="309">
        <v>26312</v>
      </c>
      <c r="J560">
        <v>11.44</v>
      </c>
      <c r="K560" s="133">
        <f t="shared" si="8"/>
        <v>6.4344776882676522E-2</v>
      </c>
      <c r="L560" s="181">
        <v>-168</v>
      </c>
    </row>
    <row r="561" spans="1:12" x14ac:dyDescent="0.25">
      <c r="A561" s="136">
        <v>42922</v>
      </c>
      <c r="B561" s="201" t="str">
        <f>"000415"</f>
        <v>000415</v>
      </c>
      <c r="C561" t="str">
        <f>"渤海金控"</f>
        <v>渤海金控</v>
      </c>
      <c r="D561">
        <v>100</v>
      </c>
      <c r="E561">
        <v>100</v>
      </c>
      <c r="F561">
        <v>-20.274999999999999</v>
      </c>
      <c r="G561">
        <v>2716.5</v>
      </c>
      <c r="H561">
        <v>0</v>
      </c>
      <c r="I561" s="309">
        <v>689</v>
      </c>
      <c r="J561">
        <v>6.89</v>
      </c>
      <c r="K561" s="133">
        <f t="shared" si="8"/>
        <v>1.6849175764732489E-3</v>
      </c>
      <c r="L561" s="181">
        <v>3</v>
      </c>
    </row>
    <row r="562" spans="1:12" x14ac:dyDescent="0.25">
      <c r="A562" s="136">
        <v>42922</v>
      </c>
      <c r="B562" s="201" t="str">
        <f>"000528"</f>
        <v>000528</v>
      </c>
      <c r="C562" t="str">
        <f>"柳    工"</f>
        <v>柳    工</v>
      </c>
      <c r="D562">
        <v>11650</v>
      </c>
      <c r="E562">
        <v>11650</v>
      </c>
      <c r="F562">
        <v>9.298</v>
      </c>
      <c r="G562">
        <v>-7661.6</v>
      </c>
      <c r="H562">
        <v>-7.08</v>
      </c>
      <c r="I562" s="309">
        <v>100656</v>
      </c>
      <c r="J562">
        <v>8.64</v>
      </c>
      <c r="K562" s="133">
        <f t="shared" si="8"/>
        <v>0.24614958429244024</v>
      </c>
      <c r="L562" s="181">
        <v>-582.5</v>
      </c>
    </row>
    <row r="563" spans="1:12" x14ac:dyDescent="0.25">
      <c r="A563" s="136">
        <v>42922</v>
      </c>
      <c r="B563" s="201" t="str">
        <f>"002006"</f>
        <v>002006</v>
      </c>
      <c r="C563" t="str">
        <f>"精功科技"</f>
        <v>精功科技</v>
      </c>
      <c r="D563">
        <v>2100</v>
      </c>
      <c r="E563">
        <v>2100</v>
      </c>
      <c r="F563">
        <v>8.4559999999999995</v>
      </c>
      <c r="G563">
        <v>-1146.8800000000001</v>
      </c>
      <c r="H563">
        <v>-6.46</v>
      </c>
      <c r="I563" s="309">
        <v>16611</v>
      </c>
      <c r="J563">
        <v>7.91</v>
      </c>
      <c r="K563" s="133">
        <f t="shared" si="8"/>
        <v>4.0621430860373203E-2</v>
      </c>
      <c r="L563" s="181">
        <v>0</v>
      </c>
    </row>
    <row r="564" spans="1:12" x14ac:dyDescent="0.25">
      <c r="A564" s="136">
        <v>42922</v>
      </c>
      <c r="B564" s="201" t="str">
        <f>"002140"</f>
        <v>002140</v>
      </c>
      <c r="C564" t="str">
        <f>"东华科技"</f>
        <v>东华科技</v>
      </c>
      <c r="D564">
        <v>6900</v>
      </c>
      <c r="E564">
        <v>6900</v>
      </c>
      <c r="F564">
        <v>13.103</v>
      </c>
      <c r="G564">
        <v>-89.29</v>
      </c>
      <c r="H564">
        <v>-0.1</v>
      </c>
      <c r="I564" s="309">
        <v>90321</v>
      </c>
      <c r="J564">
        <v>13.09</v>
      </c>
      <c r="K564" s="133">
        <f t="shared" si="8"/>
        <v>0.22087582064534153</v>
      </c>
      <c r="L564" s="181">
        <v>-897</v>
      </c>
    </row>
    <row r="565" spans="1:12" x14ac:dyDescent="0.25">
      <c r="A565" s="136">
        <v>42922</v>
      </c>
      <c r="B565" s="201" t="str">
        <f>"SZRQ88"</f>
        <v>SZRQ88</v>
      </c>
      <c r="C565" t="str">
        <f>"国标准券"</f>
        <v>国标准券</v>
      </c>
      <c r="D565">
        <v>24000</v>
      </c>
      <c r="E565">
        <v>24000</v>
      </c>
      <c r="F565">
        <v>0.99199999999999999</v>
      </c>
      <c r="G565">
        <v>193.75</v>
      </c>
      <c r="H565">
        <v>0</v>
      </c>
      <c r="I565" s="309">
        <v>24000</v>
      </c>
      <c r="J565">
        <v>1</v>
      </c>
      <c r="K565" s="133">
        <f t="shared" si="8"/>
        <v>5.8690888004873688E-2</v>
      </c>
      <c r="L565" s="181">
        <v>0</v>
      </c>
    </row>
    <row r="566" spans="1:12" x14ac:dyDescent="0.25">
      <c r="A566" s="136">
        <v>42922</v>
      </c>
      <c r="B566" s="201" t="s">
        <v>835</v>
      </c>
      <c r="C566" t="s">
        <v>839</v>
      </c>
      <c r="I566" s="309">
        <v>10812.34</v>
      </c>
      <c r="K566" s="133">
        <f t="shared" si="8"/>
        <v>2.6441076500442334E-2</v>
      </c>
      <c r="L566" s="181">
        <v>0</v>
      </c>
    </row>
    <row r="567" spans="1:12" x14ac:dyDescent="0.25">
      <c r="A567" s="136">
        <v>42923</v>
      </c>
      <c r="B567" s="201" t="str">
        <f>"519888"</f>
        <v>519888</v>
      </c>
      <c r="C567" t="str">
        <f>"添富快线"</f>
        <v>添富快线</v>
      </c>
      <c r="D567">
        <v>10727115</v>
      </c>
      <c r="E567">
        <v>10727115</v>
      </c>
      <c r="F567">
        <v>0.01</v>
      </c>
      <c r="G567">
        <v>1515.66</v>
      </c>
      <c r="H567">
        <v>0</v>
      </c>
      <c r="I567" s="309">
        <v>107271.15</v>
      </c>
      <c r="J567">
        <v>0.01</v>
      </c>
      <c r="K567" s="133">
        <f t="shared" si="8"/>
        <v>0.26189480901586221</v>
      </c>
      <c r="L567" s="181">
        <v>10.4100000000001</v>
      </c>
    </row>
    <row r="568" spans="1:12" x14ac:dyDescent="0.25">
      <c r="A568" s="136">
        <v>42923</v>
      </c>
      <c r="B568" s="201" t="str">
        <f>"600269"</f>
        <v>600269</v>
      </c>
      <c r="C568" t="str">
        <f>"赣粤高速"</f>
        <v>赣粤高速</v>
      </c>
      <c r="D568">
        <v>100</v>
      </c>
      <c r="E568">
        <v>100</v>
      </c>
      <c r="F568">
        <v>4.9210000000000003</v>
      </c>
      <c r="G568">
        <v>40.869999999999997</v>
      </c>
      <c r="H568">
        <v>8.31</v>
      </c>
      <c r="I568" s="309">
        <v>533</v>
      </c>
      <c r="J568">
        <v>5.33</v>
      </c>
      <c r="K568" s="133">
        <f t="shared" si="8"/>
        <v>1.3012812224484829E-3</v>
      </c>
      <c r="L568" s="181">
        <v>1</v>
      </c>
    </row>
    <row r="569" spans="1:12" x14ac:dyDescent="0.25">
      <c r="A569" s="136">
        <v>42923</v>
      </c>
      <c r="B569" s="201" t="str">
        <f>"601398"</f>
        <v>601398</v>
      </c>
      <c r="C569" t="str">
        <f>"工商银行"</f>
        <v>工商银行</v>
      </c>
      <c r="D569">
        <v>400</v>
      </c>
      <c r="E569">
        <v>400</v>
      </c>
      <c r="F569">
        <v>-8.6110000000000007</v>
      </c>
      <c r="G569">
        <v>5528.4</v>
      </c>
      <c r="H569">
        <v>0</v>
      </c>
      <c r="I569" s="309">
        <v>2084</v>
      </c>
      <c r="J569">
        <v>5.21</v>
      </c>
      <c r="K569" s="133">
        <f t="shared" si="8"/>
        <v>5.0879363369280266E-3</v>
      </c>
      <c r="L569" s="181">
        <v>-8</v>
      </c>
    </row>
    <row r="570" spans="1:12" x14ac:dyDescent="0.25">
      <c r="A570" s="136">
        <v>42923</v>
      </c>
      <c r="B570" s="201" t="str">
        <f>"601998"</f>
        <v>601998</v>
      </c>
      <c r="C570" t="str">
        <f>"中信银行"</f>
        <v>中信银行</v>
      </c>
      <c r="D570">
        <v>3800</v>
      </c>
      <c r="E570">
        <v>3800</v>
      </c>
      <c r="F570">
        <v>6.282</v>
      </c>
      <c r="G570">
        <v>-273.47000000000003</v>
      </c>
      <c r="H570">
        <v>-1.1499999999999999</v>
      </c>
      <c r="I570" s="309">
        <v>23598</v>
      </c>
      <c r="J570">
        <v>6.21</v>
      </c>
      <c r="K570" s="133">
        <f t="shared" si="8"/>
        <v>5.7612822302700373E-2</v>
      </c>
      <c r="L570" s="181">
        <v>-38</v>
      </c>
    </row>
    <row r="571" spans="1:12" x14ac:dyDescent="0.25">
      <c r="A571" s="136">
        <v>42923</v>
      </c>
      <c r="B571" s="201" t="str">
        <f>"000402"</f>
        <v>000402</v>
      </c>
      <c r="C571" t="str">
        <f>"金 融 街"</f>
        <v>金 融 街</v>
      </c>
      <c r="D571">
        <v>1500</v>
      </c>
      <c r="E571">
        <v>1500</v>
      </c>
      <c r="F571">
        <v>6.21</v>
      </c>
      <c r="G571">
        <v>8085.64</v>
      </c>
      <c r="H571">
        <v>86.8</v>
      </c>
      <c r="I571" s="309">
        <v>17400</v>
      </c>
      <c r="J571">
        <v>11.6</v>
      </c>
      <c r="K571" s="133">
        <f t="shared" si="8"/>
        <v>4.2480850413890436E-2</v>
      </c>
      <c r="L571" s="181">
        <v>320.75</v>
      </c>
    </row>
    <row r="572" spans="1:12" x14ac:dyDescent="0.25">
      <c r="A572" s="136">
        <v>42923</v>
      </c>
      <c r="B572" s="201" t="str">
        <f>"000415"</f>
        <v>000415</v>
      </c>
      <c r="C572" t="str">
        <f>"渤海金控"</f>
        <v>渤海金控</v>
      </c>
      <c r="D572">
        <v>100</v>
      </c>
      <c r="E572">
        <v>100</v>
      </c>
      <c r="F572">
        <v>-20.274999999999999</v>
      </c>
      <c r="G572">
        <v>2729.5</v>
      </c>
      <c r="H572">
        <v>0</v>
      </c>
      <c r="I572" s="309">
        <v>702</v>
      </c>
      <c r="J572">
        <v>7.02</v>
      </c>
      <c r="K572" s="133">
        <f t="shared" si="8"/>
        <v>1.7138825856638556E-3</v>
      </c>
      <c r="L572" s="181">
        <v>13</v>
      </c>
    </row>
    <row r="573" spans="1:12" x14ac:dyDescent="0.25">
      <c r="A573" s="136">
        <v>42923</v>
      </c>
      <c r="B573" s="201" t="str">
        <f>"000528"</f>
        <v>000528</v>
      </c>
      <c r="C573" t="str">
        <f>"柳    工"</f>
        <v>柳    工</v>
      </c>
      <c r="D573">
        <v>10650</v>
      </c>
      <c r="E573">
        <v>10650</v>
      </c>
      <c r="F573">
        <v>9.35</v>
      </c>
      <c r="G573">
        <v>-5323.86</v>
      </c>
      <c r="H573">
        <v>-5.35</v>
      </c>
      <c r="I573" s="309">
        <v>94252.5</v>
      </c>
      <c r="J573">
        <v>8.85</v>
      </c>
      <c r="K573" s="133">
        <f t="shared" si="8"/>
        <v>0.23011070997903496</v>
      </c>
      <c r="L573" s="181">
        <v>2337.7399999999998</v>
      </c>
    </row>
    <row r="574" spans="1:12" x14ac:dyDescent="0.25">
      <c r="A574" s="136">
        <v>42923</v>
      </c>
      <c r="B574" s="201" t="str">
        <f>"002006"</f>
        <v>002006</v>
      </c>
      <c r="C574" t="str">
        <f>"精功科技"</f>
        <v>精功科技</v>
      </c>
      <c r="D574">
        <v>2100</v>
      </c>
      <c r="E574">
        <v>2100</v>
      </c>
      <c r="F574">
        <v>8.4559999999999995</v>
      </c>
      <c r="G574">
        <v>-1146.8800000000001</v>
      </c>
      <c r="H574">
        <v>-6.46</v>
      </c>
      <c r="I574" s="309">
        <v>16611</v>
      </c>
      <c r="J574">
        <v>7.91</v>
      </c>
      <c r="K574" s="133">
        <f t="shared" si="8"/>
        <v>4.0554563576157131E-2</v>
      </c>
      <c r="L574" s="181">
        <v>0</v>
      </c>
    </row>
    <row r="575" spans="1:12" x14ac:dyDescent="0.25">
      <c r="A575" s="136">
        <v>42923</v>
      </c>
      <c r="B575" s="201" t="str">
        <f>"002140"</f>
        <v>002140</v>
      </c>
      <c r="C575" t="str">
        <f>"东华科技"</f>
        <v>东华科技</v>
      </c>
      <c r="D575">
        <v>7900</v>
      </c>
      <c r="E575">
        <v>7900</v>
      </c>
      <c r="F575">
        <v>13.071999999999999</v>
      </c>
      <c r="G575">
        <v>-2071.29</v>
      </c>
      <c r="H575">
        <v>-2</v>
      </c>
      <c r="I575" s="309">
        <v>101199</v>
      </c>
      <c r="J575">
        <v>12.81</v>
      </c>
      <c r="K575" s="133">
        <f t="shared" si="8"/>
        <v>0.24707009086409759</v>
      </c>
      <c r="L575" s="181">
        <v>-1982</v>
      </c>
    </row>
    <row r="576" spans="1:12" x14ac:dyDescent="0.25">
      <c r="A576" s="136">
        <v>42923</v>
      </c>
      <c r="B576" s="201" t="str">
        <f>"SZRQ88"</f>
        <v>SZRQ88</v>
      </c>
      <c r="C576" t="str">
        <f>"国标准券"</f>
        <v>国标准券</v>
      </c>
      <c r="D576">
        <v>24000</v>
      </c>
      <c r="E576">
        <v>24000</v>
      </c>
      <c r="F576">
        <v>0.99199999999999999</v>
      </c>
      <c r="G576">
        <v>193.75</v>
      </c>
      <c r="H576">
        <v>0</v>
      </c>
      <c r="I576" s="309">
        <v>0</v>
      </c>
      <c r="J576">
        <v>1</v>
      </c>
      <c r="K576" s="133">
        <f t="shared" si="8"/>
        <v>0</v>
      </c>
      <c r="L576" s="181">
        <v>0</v>
      </c>
    </row>
    <row r="577" spans="1:12" x14ac:dyDescent="0.25">
      <c r="A577" s="136">
        <v>42923</v>
      </c>
      <c r="B577" s="201" t="s">
        <v>835</v>
      </c>
      <c r="C577" t="s">
        <v>839</v>
      </c>
      <c r="I577" s="309">
        <v>45945.67</v>
      </c>
      <c r="K577" s="133">
        <f t="shared" si="8"/>
        <v>0.11217305370321685</v>
      </c>
      <c r="L577" s="181">
        <v>0</v>
      </c>
    </row>
    <row r="578" spans="1:12" x14ac:dyDescent="0.25">
      <c r="A578" s="136">
        <v>42926</v>
      </c>
      <c r="B578" s="201" t="str">
        <f>"519888"</f>
        <v>519888</v>
      </c>
      <c r="C578" t="str">
        <f>"添富快线"</f>
        <v>添富快线</v>
      </c>
      <c r="D578">
        <v>15662515</v>
      </c>
      <c r="E578">
        <v>10727115</v>
      </c>
      <c r="F578">
        <v>0.01</v>
      </c>
      <c r="G578">
        <v>1515.66</v>
      </c>
      <c r="H578">
        <v>0</v>
      </c>
      <c r="I578" s="309">
        <v>156625.15</v>
      </c>
      <c r="J578">
        <v>0.01</v>
      </c>
      <c r="K578" s="133">
        <f t="shared" ref="K578:K641" si="9">I578/SUMIF(A:A,A578,I:I)</f>
        <v>0.38220879256301099</v>
      </c>
      <c r="L578" s="181">
        <v>0</v>
      </c>
    </row>
    <row r="579" spans="1:12" x14ac:dyDescent="0.25">
      <c r="A579" s="136">
        <v>42926</v>
      </c>
      <c r="B579" s="201" t="str">
        <f>"600269"</f>
        <v>600269</v>
      </c>
      <c r="C579" t="str">
        <f>"赣粤高速"</f>
        <v>赣粤高速</v>
      </c>
      <c r="D579">
        <v>100</v>
      </c>
      <c r="E579">
        <v>100</v>
      </c>
      <c r="F579">
        <v>4.9210000000000003</v>
      </c>
      <c r="G579">
        <v>42.87</v>
      </c>
      <c r="H579">
        <v>8.7200000000000006</v>
      </c>
      <c r="I579" s="309">
        <v>535</v>
      </c>
      <c r="J579">
        <v>5.35</v>
      </c>
      <c r="K579" s="133">
        <f t="shared" si="9"/>
        <v>1.3055483364019819E-3</v>
      </c>
      <c r="L579" s="181">
        <v>2</v>
      </c>
    </row>
    <row r="580" spans="1:12" x14ac:dyDescent="0.25">
      <c r="A580" s="136">
        <v>42926</v>
      </c>
      <c r="B580" s="201" t="str">
        <f>"601398"</f>
        <v>601398</v>
      </c>
      <c r="C580" t="str">
        <f>"工商银行"</f>
        <v>工商银行</v>
      </c>
      <c r="D580">
        <v>400</v>
      </c>
      <c r="E580">
        <v>400</v>
      </c>
      <c r="F580">
        <v>-8.6110000000000007</v>
      </c>
      <c r="G580">
        <v>5536.4</v>
      </c>
      <c r="H580">
        <v>0</v>
      </c>
      <c r="I580" s="309">
        <v>2092</v>
      </c>
      <c r="J580">
        <v>5.23</v>
      </c>
      <c r="K580" s="133">
        <f t="shared" si="9"/>
        <v>5.1050600369213954E-3</v>
      </c>
      <c r="L580" s="181">
        <v>8</v>
      </c>
    </row>
    <row r="581" spans="1:12" x14ac:dyDescent="0.25">
      <c r="A581" s="136">
        <v>42926</v>
      </c>
      <c r="B581" s="201" t="str">
        <f>"601998"</f>
        <v>601998</v>
      </c>
      <c r="C581" t="str">
        <f>"中信银行"</f>
        <v>中信银行</v>
      </c>
      <c r="D581">
        <v>3800</v>
      </c>
      <c r="E581">
        <v>3800</v>
      </c>
      <c r="F581">
        <v>6.282</v>
      </c>
      <c r="G581">
        <v>-311.47000000000003</v>
      </c>
      <c r="H581">
        <v>-1.3</v>
      </c>
      <c r="I581" s="309">
        <v>23560</v>
      </c>
      <c r="J581">
        <v>6.2</v>
      </c>
      <c r="K581" s="133">
        <f t="shared" si="9"/>
        <v>5.7492932346973266E-2</v>
      </c>
      <c r="L581" s="181">
        <v>-38</v>
      </c>
    </row>
    <row r="582" spans="1:12" x14ac:dyDescent="0.25">
      <c r="A582" s="136">
        <v>42926</v>
      </c>
      <c r="B582" s="201" t="str">
        <f>"000402"</f>
        <v>000402</v>
      </c>
      <c r="C582" t="str">
        <f>"金 融 街"</f>
        <v>金 融 街</v>
      </c>
      <c r="D582">
        <v>1100</v>
      </c>
      <c r="E582">
        <v>1100</v>
      </c>
      <c r="F582">
        <v>4.1959999999999997</v>
      </c>
      <c r="G582">
        <v>8231.93</v>
      </c>
      <c r="H582">
        <v>178.36</v>
      </c>
      <c r="I582" s="309">
        <v>12848</v>
      </c>
      <c r="J582">
        <v>11.68</v>
      </c>
      <c r="K582" s="133">
        <f t="shared" si="9"/>
        <v>3.1352682291761989E-2</v>
      </c>
      <c r="L582" s="181">
        <v>146.29</v>
      </c>
    </row>
    <row r="583" spans="1:12" x14ac:dyDescent="0.25">
      <c r="A583" s="136">
        <v>42926</v>
      </c>
      <c r="B583" s="201" t="str">
        <f>"000415"</f>
        <v>000415</v>
      </c>
      <c r="C583" t="str">
        <f>"渤海金控"</f>
        <v>渤海金控</v>
      </c>
      <c r="D583">
        <v>100</v>
      </c>
      <c r="E583">
        <v>100</v>
      </c>
      <c r="F583">
        <v>-20.274999999999999</v>
      </c>
      <c r="G583">
        <v>2723.5</v>
      </c>
      <c r="H583">
        <v>0</v>
      </c>
      <c r="I583" s="309">
        <v>696</v>
      </c>
      <c r="J583">
        <v>6.96</v>
      </c>
      <c r="K583" s="133">
        <f t="shared" si="9"/>
        <v>1.698432975954728E-3</v>
      </c>
      <c r="L583" s="181">
        <v>-6</v>
      </c>
    </row>
    <row r="584" spans="1:12" x14ac:dyDescent="0.25">
      <c r="A584" s="136">
        <v>42926</v>
      </c>
      <c r="B584" s="201" t="str">
        <f>"000528"</f>
        <v>000528</v>
      </c>
      <c r="C584" t="str">
        <f>"柳    工"</f>
        <v>柳    工</v>
      </c>
      <c r="D584">
        <v>10150</v>
      </c>
      <c r="E584">
        <v>10150</v>
      </c>
      <c r="F584">
        <v>9.3719999999999999</v>
      </c>
      <c r="G584">
        <v>-5404.81</v>
      </c>
      <c r="H584">
        <v>-5.68</v>
      </c>
      <c r="I584" s="309">
        <v>89726</v>
      </c>
      <c r="J584">
        <v>8.84</v>
      </c>
      <c r="K584" s="133">
        <f t="shared" si="9"/>
        <v>0.21895631781683034</v>
      </c>
      <c r="L584" s="181">
        <v>-80.950000000000699</v>
      </c>
    </row>
    <row r="585" spans="1:12" x14ac:dyDescent="0.25">
      <c r="A585" s="136">
        <v>42926</v>
      </c>
      <c r="B585" s="201" t="str">
        <f>"002006"</f>
        <v>002006</v>
      </c>
      <c r="C585" t="str">
        <f>"精功科技"</f>
        <v>精功科技</v>
      </c>
      <c r="D585">
        <v>2100</v>
      </c>
      <c r="E585">
        <v>2100</v>
      </c>
      <c r="F585">
        <v>8.4559999999999995</v>
      </c>
      <c r="G585">
        <v>-1146.8800000000001</v>
      </c>
      <c r="H585">
        <v>-6.46</v>
      </c>
      <c r="I585" s="309">
        <v>16611</v>
      </c>
      <c r="J585">
        <v>7.91</v>
      </c>
      <c r="K585" s="133">
        <f t="shared" si="9"/>
        <v>4.0535445637333314E-2</v>
      </c>
      <c r="L585" s="181">
        <v>0</v>
      </c>
    </row>
    <row r="586" spans="1:12" x14ac:dyDescent="0.25">
      <c r="A586" s="136">
        <v>42926</v>
      </c>
      <c r="B586" s="201" t="str">
        <f>"002140"</f>
        <v>002140</v>
      </c>
      <c r="C586" t="str">
        <f>"东华科技"</f>
        <v>东华科技</v>
      </c>
      <c r="D586">
        <v>7500</v>
      </c>
      <c r="E586">
        <v>7500</v>
      </c>
      <c r="F586">
        <v>13.083</v>
      </c>
      <c r="G586">
        <v>-1899.45</v>
      </c>
      <c r="H586">
        <v>-1.93</v>
      </c>
      <c r="I586" s="309">
        <v>96225</v>
      </c>
      <c r="J586">
        <v>12.83</v>
      </c>
      <c r="K586" s="133">
        <f t="shared" si="9"/>
        <v>0.23481567975753406</v>
      </c>
      <c r="L586" s="181">
        <v>171.84</v>
      </c>
    </row>
    <row r="587" spans="1:12" x14ac:dyDescent="0.25">
      <c r="A587" s="136">
        <v>42926</v>
      </c>
      <c r="B587" s="201" t="str">
        <f>"SZRQ88"</f>
        <v>SZRQ88</v>
      </c>
      <c r="C587" t="str">
        <f>"国标准券"</f>
        <v>国标准券</v>
      </c>
      <c r="D587">
        <v>24000</v>
      </c>
      <c r="E587">
        <v>24000</v>
      </c>
      <c r="F587">
        <v>0.99199999999999999</v>
      </c>
      <c r="G587">
        <v>193.75</v>
      </c>
      <c r="H587">
        <v>0</v>
      </c>
      <c r="I587" s="309">
        <v>0</v>
      </c>
      <c r="J587">
        <v>1</v>
      </c>
      <c r="K587" s="133">
        <f t="shared" si="9"/>
        <v>0</v>
      </c>
      <c r="L587" s="181">
        <v>0</v>
      </c>
    </row>
    <row r="588" spans="1:12" x14ac:dyDescent="0.25">
      <c r="A588" s="136">
        <v>42926</v>
      </c>
      <c r="B588" s="201" t="s">
        <v>835</v>
      </c>
      <c r="C588" t="s">
        <v>839</v>
      </c>
      <c r="I588" s="309">
        <f>5146.35+11.44*500+5</f>
        <v>10871.35</v>
      </c>
      <c r="K588" s="133">
        <f t="shared" si="9"/>
        <v>2.6529108237277919E-2</v>
      </c>
      <c r="L588" s="181">
        <v>0</v>
      </c>
    </row>
    <row r="589" spans="1:12" x14ac:dyDescent="0.25">
      <c r="A589" s="136">
        <v>42927</v>
      </c>
      <c r="B589" s="201" t="str">
        <f>"519888"</f>
        <v>519888</v>
      </c>
      <c r="C589" t="str">
        <f>"添富快线"</f>
        <v>添富快线</v>
      </c>
      <c r="D589">
        <v>15465086</v>
      </c>
      <c r="E589">
        <v>15465086</v>
      </c>
      <c r="F589">
        <v>0.01</v>
      </c>
      <c r="G589">
        <v>1541.37</v>
      </c>
      <c r="H589">
        <v>0</v>
      </c>
      <c r="I589" s="309">
        <v>154650.85999999999</v>
      </c>
      <c r="J589">
        <v>0.01</v>
      </c>
      <c r="K589" s="133">
        <f t="shared" si="9"/>
        <v>0.37961307713508274</v>
      </c>
      <c r="L589" s="181">
        <v>25.709999999999798</v>
      </c>
    </row>
    <row r="590" spans="1:12" x14ac:dyDescent="0.25">
      <c r="A590" s="136">
        <v>42927</v>
      </c>
      <c r="B590" s="201" t="str">
        <f>"600269"</f>
        <v>600269</v>
      </c>
      <c r="C590" t="str">
        <f>"赣粤高速"</f>
        <v>赣粤高速</v>
      </c>
      <c r="D590">
        <v>100</v>
      </c>
      <c r="E590">
        <v>100</v>
      </c>
      <c r="F590">
        <v>4.9210000000000003</v>
      </c>
      <c r="G590">
        <v>35.869999999999997</v>
      </c>
      <c r="H590">
        <v>7.3</v>
      </c>
      <c r="I590" s="309">
        <v>528</v>
      </c>
      <c r="J590">
        <v>5.28</v>
      </c>
      <c r="K590" s="133">
        <f t="shared" si="9"/>
        <v>1.2960529590803679E-3</v>
      </c>
      <c r="L590" s="181">
        <v>-7</v>
      </c>
    </row>
    <row r="591" spans="1:12" x14ac:dyDescent="0.25">
      <c r="A591" s="136">
        <v>42927</v>
      </c>
      <c r="B591" s="201" t="str">
        <f>"601398"</f>
        <v>601398</v>
      </c>
      <c r="C591" t="s">
        <v>125</v>
      </c>
      <c r="D591">
        <v>1400</v>
      </c>
      <c r="E591">
        <v>400</v>
      </c>
      <c r="F591">
        <v>1.034</v>
      </c>
      <c r="G591">
        <v>5636.9</v>
      </c>
      <c r="H591">
        <v>389.36</v>
      </c>
      <c r="I591" s="309">
        <v>7084</v>
      </c>
      <c r="J591">
        <v>5.0599999999999996</v>
      </c>
      <c r="K591" s="133">
        <f t="shared" si="9"/>
        <v>1.7388710534328271E-2</v>
      </c>
      <c r="L591" s="181">
        <v>100.5</v>
      </c>
    </row>
    <row r="592" spans="1:12" x14ac:dyDescent="0.25">
      <c r="A592" s="136">
        <v>42927</v>
      </c>
      <c r="B592" s="201" t="str">
        <f>"601998"</f>
        <v>601998</v>
      </c>
      <c r="C592" t="str">
        <f>"中信银行"</f>
        <v>中信银行</v>
      </c>
      <c r="D592">
        <v>3400</v>
      </c>
      <c r="E592">
        <v>3400</v>
      </c>
      <c r="F592">
        <v>6.2809999999999997</v>
      </c>
      <c r="G592">
        <v>132.96</v>
      </c>
      <c r="H592">
        <v>0.62</v>
      </c>
      <c r="I592" s="309">
        <v>21488</v>
      </c>
      <c r="J592">
        <v>6.32</v>
      </c>
      <c r="K592" s="133">
        <f t="shared" si="9"/>
        <v>5.2745428001361637E-2</v>
      </c>
      <c r="L592" s="181">
        <v>444.43</v>
      </c>
    </row>
    <row r="593" spans="1:12" x14ac:dyDescent="0.25">
      <c r="A593" s="136">
        <v>42927</v>
      </c>
      <c r="B593" s="201" t="str">
        <f>"000402"</f>
        <v>000402</v>
      </c>
      <c r="C593" t="str">
        <f>"金 融 街"</f>
        <v>金 融 街</v>
      </c>
      <c r="D593">
        <v>1100</v>
      </c>
      <c r="E593">
        <v>1100</v>
      </c>
      <c r="F593">
        <v>4.1959999999999997</v>
      </c>
      <c r="G593">
        <v>8143.93</v>
      </c>
      <c r="H593">
        <v>176.45</v>
      </c>
      <c r="I593" s="309">
        <v>12760</v>
      </c>
      <c r="J593">
        <v>11.6</v>
      </c>
      <c r="K593" s="133">
        <f t="shared" si="9"/>
        <v>3.1321279844442225E-2</v>
      </c>
      <c r="L593" s="181">
        <v>-88</v>
      </c>
    </row>
    <row r="594" spans="1:12" x14ac:dyDescent="0.25">
      <c r="A594" s="136">
        <v>42927</v>
      </c>
      <c r="B594" s="201" t="str">
        <f>"000415"</f>
        <v>000415</v>
      </c>
      <c r="C594" t="str">
        <f>"渤海金控"</f>
        <v>渤海金控</v>
      </c>
      <c r="D594">
        <v>100</v>
      </c>
      <c r="E594">
        <v>100</v>
      </c>
      <c r="F594">
        <v>-20.274999999999999</v>
      </c>
      <c r="G594">
        <v>2715.5</v>
      </c>
      <c r="H594">
        <v>0</v>
      </c>
      <c r="I594" s="309">
        <v>688</v>
      </c>
      <c r="J594">
        <v>6.88</v>
      </c>
      <c r="K594" s="133">
        <f t="shared" si="9"/>
        <v>1.6887962800138127E-3</v>
      </c>
      <c r="L594" s="181">
        <v>-8</v>
      </c>
    </row>
    <row r="595" spans="1:12" x14ac:dyDescent="0.25">
      <c r="A595" s="136">
        <v>42927</v>
      </c>
      <c r="B595" s="201" t="str">
        <f>"000528"</f>
        <v>000528</v>
      </c>
      <c r="C595" t="str">
        <f>"柳    工"</f>
        <v>柳    工</v>
      </c>
      <c r="D595">
        <v>11150</v>
      </c>
      <c r="E595">
        <v>10150</v>
      </c>
      <c r="F595">
        <v>9.3109999999999999</v>
      </c>
      <c r="G595">
        <v>-7591.31</v>
      </c>
      <c r="H595">
        <v>-7.31</v>
      </c>
      <c r="I595" s="309">
        <v>96224.5</v>
      </c>
      <c r="J595">
        <v>8.6300000000000008</v>
      </c>
      <c r="K595" s="133">
        <f t="shared" si="9"/>
        <v>0.23619706053225165</v>
      </c>
      <c r="L595" s="181">
        <v>-2186.5</v>
      </c>
    </row>
    <row r="596" spans="1:12" x14ac:dyDescent="0.25">
      <c r="A596" s="136">
        <v>42927</v>
      </c>
      <c r="B596" s="201" t="str">
        <f>"002006"</f>
        <v>002006</v>
      </c>
      <c r="C596" t="str">
        <f>"精功科技"</f>
        <v>精功科技</v>
      </c>
      <c r="D596">
        <v>2100</v>
      </c>
      <c r="E596">
        <v>2100</v>
      </c>
      <c r="F596">
        <v>8.4559999999999995</v>
      </c>
      <c r="G596">
        <v>-1146.8800000000001</v>
      </c>
      <c r="H596">
        <v>-6.46</v>
      </c>
      <c r="I596" s="309">
        <v>16611</v>
      </c>
      <c r="J596">
        <v>7.91</v>
      </c>
      <c r="K596" s="133">
        <f t="shared" si="9"/>
        <v>4.0774120650159076E-2</v>
      </c>
      <c r="L596" s="181">
        <v>0</v>
      </c>
    </row>
    <row r="597" spans="1:12" x14ac:dyDescent="0.25">
      <c r="A597" s="136">
        <v>42927</v>
      </c>
      <c r="B597" s="201" t="str">
        <f>"002140"</f>
        <v>002140</v>
      </c>
      <c r="C597" t="str">
        <f>"东华科技"</f>
        <v>东华科技</v>
      </c>
      <c r="D597">
        <v>7500</v>
      </c>
      <c r="E597">
        <v>7100</v>
      </c>
      <c r="F597">
        <v>13.083</v>
      </c>
      <c r="G597">
        <v>-2574.4499999999998</v>
      </c>
      <c r="H597">
        <v>-2.62</v>
      </c>
      <c r="I597" s="309">
        <v>95550</v>
      </c>
      <c r="J597">
        <v>12.74</v>
      </c>
      <c r="K597" s="133">
        <f t="shared" si="9"/>
        <v>0.23454140196994158</v>
      </c>
      <c r="L597" s="181">
        <v>-675</v>
      </c>
    </row>
    <row r="598" spans="1:12" x14ac:dyDescent="0.25">
      <c r="A598" s="136">
        <v>42927</v>
      </c>
      <c r="B598" s="201" t="s">
        <v>835</v>
      </c>
      <c r="C598" t="s">
        <v>839</v>
      </c>
      <c r="I598" s="309">
        <v>1806.4</v>
      </c>
      <c r="K598" s="133">
        <f t="shared" si="9"/>
        <v>4.4340720933385919E-3</v>
      </c>
      <c r="L598" s="181">
        <v>0</v>
      </c>
    </row>
    <row r="599" spans="1:12" x14ac:dyDescent="0.25">
      <c r="A599" s="136">
        <v>42928</v>
      </c>
      <c r="B599" s="201" t="str">
        <f>"519888"</f>
        <v>519888</v>
      </c>
      <c r="C599" t="str">
        <f>"添富快线"</f>
        <v>添富快线</v>
      </c>
      <c r="D599">
        <v>15467865</v>
      </c>
      <c r="E599">
        <v>15467865</v>
      </c>
      <c r="F599">
        <v>0.01</v>
      </c>
      <c r="G599">
        <v>1569.16</v>
      </c>
      <c r="H599">
        <v>0</v>
      </c>
      <c r="I599" s="309">
        <v>154678.65</v>
      </c>
      <c r="J599">
        <v>0.01</v>
      </c>
      <c r="K599" s="133">
        <f t="shared" si="9"/>
        <v>0.37599035601113628</v>
      </c>
      <c r="L599" s="181">
        <v>27.790000000000202</v>
      </c>
    </row>
    <row r="600" spans="1:12" x14ac:dyDescent="0.25">
      <c r="A600" s="136">
        <v>42928</v>
      </c>
      <c r="B600" s="201" t="str">
        <f>"600269"</f>
        <v>600269</v>
      </c>
      <c r="C600" t="str">
        <f>"赣粤高速"</f>
        <v>赣粤高速</v>
      </c>
      <c r="D600">
        <v>100</v>
      </c>
      <c r="E600">
        <v>100</v>
      </c>
      <c r="F600">
        <v>4.9210000000000003</v>
      </c>
      <c r="G600">
        <v>34.869999999999997</v>
      </c>
      <c r="H600">
        <v>7.3</v>
      </c>
      <c r="I600" s="309">
        <v>527</v>
      </c>
      <c r="J600">
        <v>5.27</v>
      </c>
      <c r="K600" s="133">
        <f t="shared" si="9"/>
        <v>1.2810230605055631E-3</v>
      </c>
      <c r="L600" s="181">
        <v>-1</v>
      </c>
    </row>
    <row r="601" spans="1:12" x14ac:dyDescent="0.25">
      <c r="A601" s="136">
        <v>42928</v>
      </c>
      <c r="B601" s="201" t="str">
        <f>"601398"</f>
        <v>601398</v>
      </c>
      <c r="C601" t="str">
        <f>"工商银行"</f>
        <v>工商银行</v>
      </c>
      <c r="D601">
        <v>1000</v>
      </c>
      <c r="E601">
        <v>1000</v>
      </c>
      <c r="F601">
        <v>-0.60199999999999998</v>
      </c>
      <c r="G601">
        <v>5682</v>
      </c>
      <c r="H601">
        <v>0</v>
      </c>
      <c r="I601" s="309">
        <v>5080</v>
      </c>
      <c r="J601">
        <v>5.08</v>
      </c>
      <c r="K601" s="133">
        <f t="shared" si="9"/>
        <v>1.2348381683810741E-2</v>
      </c>
      <c r="L601" s="181">
        <v>45.100000000000399</v>
      </c>
    </row>
    <row r="602" spans="1:12" x14ac:dyDescent="0.25">
      <c r="A602" s="136">
        <v>42928</v>
      </c>
      <c r="B602" s="201" t="str">
        <f>"601998"</f>
        <v>601998</v>
      </c>
      <c r="C602" t="str">
        <f>"中信银行"</f>
        <v>中信银行</v>
      </c>
      <c r="D602">
        <v>2600</v>
      </c>
      <c r="E602">
        <v>2600</v>
      </c>
      <c r="F602">
        <v>6.2290000000000001</v>
      </c>
      <c r="G602">
        <v>523.67999999999995</v>
      </c>
      <c r="H602">
        <v>3.23</v>
      </c>
      <c r="I602" s="309">
        <v>16718</v>
      </c>
      <c r="J602">
        <v>6.43</v>
      </c>
      <c r="K602" s="133">
        <f t="shared" si="9"/>
        <v>4.0637843501958267E-2</v>
      </c>
      <c r="L602" s="181">
        <v>390.72</v>
      </c>
    </row>
    <row r="603" spans="1:12" x14ac:dyDescent="0.25">
      <c r="A603" s="136">
        <v>42928</v>
      </c>
      <c r="B603" s="201" t="str">
        <f>"000402"</f>
        <v>000402</v>
      </c>
      <c r="C603" t="str">
        <f>"金 融 街"</f>
        <v>金 融 街</v>
      </c>
      <c r="D603">
        <v>1100</v>
      </c>
      <c r="E603">
        <v>1100</v>
      </c>
      <c r="F603">
        <v>4.1959999999999997</v>
      </c>
      <c r="G603">
        <v>8187.93</v>
      </c>
      <c r="H603">
        <v>177.41</v>
      </c>
      <c r="I603" s="309">
        <v>12804</v>
      </c>
      <c r="J603">
        <v>11.64</v>
      </c>
      <c r="K603" s="133">
        <f t="shared" si="9"/>
        <v>3.1123755724313532E-2</v>
      </c>
      <c r="L603" s="181">
        <v>44</v>
      </c>
    </row>
    <row r="604" spans="1:12" x14ac:dyDescent="0.25">
      <c r="A604" s="136">
        <v>42928</v>
      </c>
      <c r="B604" s="201" t="str">
        <f>"000415"</f>
        <v>000415</v>
      </c>
      <c r="C604" t="str">
        <f>"渤海金控"</f>
        <v>渤海金控</v>
      </c>
      <c r="D604">
        <v>100</v>
      </c>
      <c r="E604">
        <v>100</v>
      </c>
      <c r="F604">
        <v>-20.274999999999999</v>
      </c>
      <c r="G604">
        <v>2719.5</v>
      </c>
      <c r="H604">
        <v>0</v>
      </c>
      <c r="I604" s="309">
        <v>692</v>
      </c>
      <c r="J604">
        <v>6.92</v>
      </c>
      <c r="K604" s="133">
        <f t="shared" si="9"/>
        <v>1.6821023868498098E-3</v>
      </c>
      <c r="L604" s="181">
        <v>4</v>
      </c>
    </row>
    <row r="605" spans="1:12" x14ac:dyDescent="0.25">
      <c r="A605" s="136">
        <v>42928</v>
      </c>
      <c r="B605" s="201" t="str">
        <f>"000528"</f>
        <v>000528</v>
      </c>
      <c r="C605" t="str">
        <f>"柳    工"</f>
        <v>柳    工</v>
      </c>
      <c r="D605">
        <v>10650</v>
      </c>
      <c r="E605">
        <v>10650</v>
      </c>
      <c r="F605">
        <v>9.3390000000000004</v>
      </c>
      <c r="G605">
        <v>-5735.18</v>
      </c>
      <c r="H605">
        <v>-5.77</v>
      </c>
      <c r="I605" s="309">
        <v>93720</v>
      </c>
      <c r="J605">
        <v>8.8000000000000007</v>
      </c>
      <c r="K605" s="133">
        <f t="shared" si="9"/>
        <v>0.22781305736353202</v>
      </c>
      <c r="L605" s="181">
        <v>1856.13</v>
      </c>
    </row>
    <row r="606" spans="1:12" x14ac:dyDescent="0.25">
      <c r="A606" s="136">
        <v>42928</v>
      </c>
      <c r="B606" s="201" t="str">
        <f>"002006"</f>
        <v>002006</v>
      </c>
      <c r="C606" t="str">
        <f>"精功科技"</f>
        <v>精功科技</v>
      </c>
      <c r="D606">
        <v>2100</v>
      </c>
      <c r="E606">
        <v>2100</v>
      </c>
      <c r="F606">
        <v>8.4559999999999995</v>
      </c>
      <c r="G606">
        <v>-1146.8800000000001</v>
      </c>
      <c r="H606">
        <v>-6.46</v>
      </c>
      <c r="I606" s="309">
        <v>16611</v>
      </c>
      <c r="J606">
        <v>7.91</v>
      </c>
      <c r="K606" s="133">
        <f t="shared" si="9"/>
        <v>4.0377749635783507E-2</v>
      </c>
      <c r="L606" s="181">
        <v>0</v>
      </c>
    </row>
    <row r="607" spans="1:12" x14ac:dyDescent="0.25">
      <c r="A607" s="136">
        <v>42928</v>
      </c>
      <c r="B607" s="201" t="str">
        <f>"002140"</f>
        <v>002140</v>
      </c>
      <c r="C607" t="str">
        <f>"东华科技"</f>
        <v>东华科技</v>
      </c>
      <c r="D607">
        <v>7300</v>
      </c>
      <c r="E607">
        <v>7300</v>
      </c>
      <c r="F607">
        <v>13.058999999999999</v>
      </c>
      <c r="G607">
        <v>-941.81</v>
      </c>
      <c r="H607">
        <v>-0.99</v>
      </c>
      <c r="I607" s="309">
        <v>94389</v>
      </c>
      <c r="J607">
        <v>12.93</v>
      </c>
      <c r="K607" s="133">
        <f t="shared" si="9"/>
        <v>0.22943925172307325</v>
      </c>
      <c r="L607" s="181">
        <v>1632.64</v>
      </c>
    </row>
    <row r="608" spans="1:12" x14ac:dyDescent="0.25">
      <c r="A608" s="136">
        <v>42928</v>
      </c>
      <c r="B608" s="201" t="s">
        <v>835</v>
      </c>
      <c r="C608" t="s">
        <v>839</v>
      </c>
      <c r="I608" s="309">
        <v>16170.29</v>
      </c>
      <c r="K608" s="133">
        <f t="shared" si="9"/>
        <v>3.9306478909037011E-2</v>
      </c>
      <c r="L608" s="181">
        <v>0</v>
      </c>
    </row>
    <row r="609" spans="1:12" x14ac:dyDescent="0.25">
      <c r="A609" s="136">
        <v>42929</v>
      </c>
      <c r="B609" s="201" t="s">
        <v>65</v>
      </c>
      <c r="C609" t="s">
        <v>127</v>
      </c>
      <c r="D609">
        <v>1100</v>
      </c>
      <c r="E609">
        <v>1100</v>
      </c>
      <c r="F609">
        <v>4.1959999999999997</v>
      </c>
      <c r="G609">
        <v>8319.93</v>
      </c>
      <c r="H609">
        <v>180.27</v>
      </c>
      <c r="I609" s="309">
        <v>12936</v>
      </c>
      <c r="J609">
        <v>11.76</v>
      </c>
      <c r="K609" s="133">
        <f t="shared" si="9"/>
        <v>3.1340799676397038E-2</v>
      </c>
      <c r="L609" s="181">
        <v>132</v>
      </c>
    </row>
    <row r="610" spans="1:12" x14ac:dyDescent="0.25">
      <c r="A610" s="136">
        <v>42929</v>
      </c>
      <c r="B610" s="201" t="s">
        <v>77</v>
      </c>
      <c r="C610" t="s">
        <v>128</v>
      </c>
      <c r="D610">
        <v>100</v>
      </c>
      <c r="E610">
        <v>100</v>
      </c>
      <c r="F610">
        <v>-20.274999999999999</v>
      </c>
      <c r="G610">
        <v>2721.5</v>
      </c>
      <c r="H610">
        <v>0</v>
      </c>
      <c r="I610" s="309">
        <v>694</v>
      </c>
      <c r="J610">
        <v>6.94</v>
      </c>
      <c r="K610" s="133">
        <f t="shared" si="9"/>
        <v>1.6813941694047265E-3</v>
      </c>
      <c r="L610" s="181">
        <v>2</v>
      </c>
    </row>
    <row r="611" spans="1:12" x14ac:dyDescent="0.25">
      <c r="A611" s="136">
        <v>42929</v>
      </c>
      <c r="B611" s="201" t="s">
        <v>67</v>
      </c>
      <c r="C611" t="s">
        <v>129</v>
      </c>
      <c r="D611">
        <v>10150</v>
      </c>
      <c r="E611">
        <v>10150</v>
      </c>
      <c r="F611">
        <v>9.3580000000000005</v>
      </c>
      <c r="G611">
        <v>-3832.67</v>
      </c>
      <c r="H611">
        <v>-4.04</v>
      </c>
      <c r="I611" s="309">
        <v>91147</v>
      </c>
      <c r="J611">
        <v>8.98</v>
      </c>
      <c r="K611" s="133">
        <f t="shared" si="9"/>
        <v>0.22082713884543603</v>
      </c>
      <c r="L611" s="181">
        <v>1902.51</v>
      </c>
    </row>
    <row r="612" spans="1:12" x14ac:dyDescent="0.25">
      <c r="A612" s="136">
        <v>42929</v>
      </c>
      <c r="B612" s="201" t="s">
        <v>72</v>
      </c>
      <c r="C612" t="s">
        <v>130</v>
      </c>
      <c r="D612">
        <v>2100</v>
      </c>
      <c r="E612">
        <v>2100</v>
      </c>
      <c r="F612">
        <v>8.4559999999999995</v>
      </c>
      <c r="G612">
        <v>-1146.8800000000001</v>
      </c>
      <c r="H612">
        <v>-6.46</v>
      </c>
      <c r="I612" s="309">
        <v>16611</v>
      </c>
      <c r="J612">
        <v>7.91</v>
      </c>
      <c r="K612" s="133">
        <f t="shared" si="9"/>
        <v>4.0244435948100739E-2</v>
      </c>
      <c r="L612" s="181">
        <v>0</v>
      </c>
    </row>
    <row r="613" spans="1:12" x14ac:dyDescent="0.25">
      <c r="A613" s="136">
        <v>42929</v>
      </c>
      <c r="B613" s="201" t="s">
        <v>70</v>
      </c>
      <c r="C613" t="s">
        <v>131</v>
      </c>
      <c r="D613">
        <v>7300</v>
      </c>
      <c r="E613">
        <v>6900</v>
      </c>
      <c r="F613">
        <v>13.058999999999999</v>
      </c>
      <c r="G613">
        <v>-1963.81</v>
      </c>
      <c r="H613">
        <v>-2.06</v>
      </c>
      <c r="I613" s="309">
        <v>93367</v>
      </c>
      <c r="J613">
        <v>12.79</v>
      </c>
      <c r="K613" s="133">
        <f t="shared" si="9"/>
        <v>0.22620566198099581</v>
      </c>
      <c r="L613" s="181">
        <v>-1022</v>
      </c>
    </row>
    <row r="614" spans="1:12" x14ac:dyDescent="0.25">
      <c r="A614" s="136">
        <v>42929</v>
      </c>
      <c r="B614" s="201" t="s">
        <v>132</v>
      </c>
      <c r="C614" t="s">
        <v>123</v>
      </c>
      <c r="D614">
        <v>15467865</v>
      </c>
      <c r="E614">
        <v>15467865</v>
      </c>
      <c r="F614">
        <v>0.01</v>
      </c>
      <c r="G614">
        <v>1569.16</v>
      </c>
      <c r="H614">
        <v>0</v>
      </c>
      <c r="I614" s="309">
        <v>154678.65</v>
      </c>
      <c r="J614">
        <v>0.01</v>
      </c>
      <c r="K614" s="133">
        <f t="shared" si="9"/>
        <v>0.37474896288385362</v>
      </c>
      <c r="L614" s="181">
        <v>0</v>
      </c>
    </row>
    <row r="615" spans="1:12" x14ac:dyDescent="0.25">
      <c r="A615" s="136">
        <v>42929</v>
      </c>
      <c r="B615" s="201" t="s">
        <v>61</v>
      </c>
      <c r="C615" t="s">
        <v>136</v>
      </c>
      <c r="D615">
        <v>100</v>
      </c>
      <c r="E615">
        <v>100</v>
      </c>
      <c r="F615">
        <v>4.9210000000000003</v>
      </c>
      <c r="G615">
        <v>40.869999999999997</v>
      </c>
      <c r="H615">
        <v>8.31</v>
      </c>
      <c r="I615" s="309">
        <v>533</v>
      </c>
      <c r="J615">
        <v>5.33</v>
      </c>
      <c r="K615" s="133">
        <f t="shared" si="9"/>
        <v>1.2913301041681834E-3</v>
      </c>
      <c r="L615" s="181">
        <v>6</v>
      </c>
    </row>
    <row r="616" spans="1:12" x14ac:dyDescent="0.25">
      <c r="A616" s="136">
        <v>42929</v>
      </c>
      <c r="B616" s="201" t="s">
        <v>124</v>
      </c>
      <c r="C616" t="s">
        <v>125</v>
      </c>
      <c r="D616">
        <v>1000</v>
      </c>
      <c r="E616">
        <v>1000</v>
      </c>
      <c r="F616">
        <v>-0.60199999999999998</v>
      </c>
      <c r="G616">
        <v>5762</v>
      </c>
      <c r="H616">
        <v>0</v>
      </c>
      <c r="I616" s="309">
        <v>5160</v>
      </c>
      <c r="J616">
        <v>5.16</v>
      </c>
      <c r="K616" s="133">
        <f t="shared" si="9"/>
        <v>1.2501432152922751E-2</v>
      </c>
      <c r="L616" s="181">
        <v>80</v>
      </c>
    </row>
    <row r="617" spans="1:12" x14ac:dyDescent="0.25">
      <c r="A617" s="136">
        <v>42929</v>
      </c>
      <c r="B617" s="201" t="s">
        <v>71</v>
      </c>
      <c r="C617" t="s">
        <v>126</v>
      </c>
      <c r="D617">
        <v>2600</v>
      </c>
      <c r="E617">
        <v>2600</v>
      </c>
      <c r="F617">
        <v>6.2290000000000001</v>
      </c>
      <c r="G617">
        <v>809.68</v>
      </c>
      <c r="H617">
        <v>4.99</v>
      </c>
      <c r="I617" s="309">
        <v>17004</v>
      </c>
      <c r="J617">
        <v>6.54</v>
      </c>
      <c r="K617" s="133">
        <f t="shared" si="9"/>
        <v>4.1196579908584968E-2</v>
      </c>
      <c r="L617" s="181">
        <v>286</v>
      </c>
    </row>
    <row r="618" spans="1:12" x14ac:dyDescent="0.25">
      <c r="A618" s="136">
        <v>42929</v>
      </c>
      <c r="B618" s="201" t="s">
        <v>835</v>
      </c>
      <c r="C618" t="s">
        <v>839</v>
      </c>
      <c r="I618" s="309">
        <v>20622.060000000001</v>
      </c>
      <c r="K618" s="133">
        <f t="shared" si="9"/>
        <v>4.9962264330136077E-2</v>
      </c>
      <c r="L618" s="181">
        <v>0</v>
      </c>
    </row>
    <row r="619" spans="1:12" x14ac:dyDescent="0.25">
      <c r="A619" s="136">
        <v>42930</v>
      </c>
      <c r="B619" s="201" t="str">
        <f>"519888"</f>
        <v>519888</v>
      </c>
      <c r="C619" t="str">
        <f>"添富快线"</f>
        <v>添富快线</v>
      </c>
      <c r="D619">
        <v>15470480</v>
      </c>
      <c r="E619">
        <v>15470480</v>
      </c>
      <c r="F619">
        <v>0.01</v>
      </c>
      <c r="G619">
        <v>1595.31</v>
      </c>
      <c r="H619">
        <v>0</v>
      </c>
      <c r="I619" s="309">
        <v>154704.79999999999</v>
      </c>
      <c r="J619">
        <v>0.01</v>
      </c>
      <c r="K619" s="133">
        <f t="shared" si="9"/>
        <v>0.37489081068385788</v>
      </c>
      <c r="L619" s="181">
        <v>26.149999999999899</v>
      </c>
    </row>
    <row r="620" spans="1:12" x14ac:dyDescent="0.25">
      <c r="A620" s="136">
        <v>42930</v>
      </c>
      <c r="B620" s="201" t="str">
        <f>"600269"</f>
        <v>600269</v>
      </c>
      <c r="C620" t="str">
        <f>"赣粤高速"</f>
        <v>赣粤高速</v>
      </c>
      <c r="D620">
        <v>100</v>
      </c>
      <c r="E620">
        <v>100</v>
      </c>
      <c r="F620">
        <v>4.9210000000000003</v>
      </c>
      <c r="G620">
        <v>40.869999999999997</v>
      </c>
      <c r="H620">
        <v>8.31</v>
      </c>
      <c r="I620" s="309">
        <v>533</v>
      </c>
      <c r="J620">
        <v>5.33</v>
      </c>
      <c r="K620" s="133">
        <f t="shared" si="9"/>
        <v>1.2916005327210033E-3</v>
      </c>
      <c r="L620" s="181">
        <v>0</v>
      </c>
    </row>
    <row r="621" spans="1:12" x14ac:dyDescent="0.25">
      <c r="A621" s="136">
        <v>42930</v>
      </c>
      <c r="B621" s="201" t="str">
        <f>"601398"</f>
        <v>601398</v>
      </c>
      <c r="C621" t="str">
        <f>"工商银行"</f>
        <v>工商银行</v>
      </c>
      <c r="D621">
        <v>1000</v>
      </c>
      <c r="E621">
        <v>1000</v>
      </c>
      <c r="F621">
        <v>-0.60199999999999998</v>
      </c>
      <c r="G621">
        <v>5772</v>
      </c>
      <c r="H621">
        <v>0</v>
      </c>
      <c r="I621" s="309">
        <v>5170</v>
      </c>
      <c r="J621">
        <v>5.17</v>
      </c>
      <c r="K621" s="133">
        <f t="shared" si="9"/>
        <v>1.252828284083975E-2</v>
      </c>
      <c r="L621" s="181">
        <v>10</v>
      </c>
    </row>
    <row r="622" spans="1:12" x14ac:dyDescent="0.25">
      <c r="A622" s="136">
        <v>42930</v>
      </c>
      <c r="B622" s="201" t="str">
        <f>"601998"</f>
        <v>601998</v>
      </c>
      <c r="C622" t="str">
        <f>"中信银行"</f>
        <v>中信银行</v>
      </c>
      <c r="D622">
        <v>1600</v>
      </c>
      <c r="E622">
        <v>1600</v>
      </c>
      <c r="F622">
        <v>5.976</v>
      </c>
      <c r="G622">
        <v>1126.8900000000001</v>
      </c>
      <c r="H622">
        <v>11.78</v>
      </c>
      <c r="I622" s="309">
        <v>10688</v>
      </c>
      <c r="J622">
        <v>6.68</v>
      </c>
      <c r="K622" s="133">
        <f t="shared" si="9"/>
        <v>2.5899862089534865E-2</v>
      </c>
      <c r="L622" s="181">
        <v>317.20999999999998</v>
      </c>
    </row>
    <row r="623" spans="1:12" x14ac:dyDescent="0.25">
      <c r="A623" s="136">
        <v>42930</v>
      </c>
      <c r="B623" s="201" t="str">
        <f>"000402"</f>
        <v>000402</v>
      </c>
      <c r="C623" t="str">
        <f>"金 融 街"</f>
        <v>金 融 街</v>
      </c>
      <c r="D623">
        <v>700</v>
      </c>
      <c r="E623">
        <v>700</v>
      </c>
      <c r="F623">
        <v>-0.18</v>
      </c>
      <c r="G623">
        <v>8519</v>
      </c>
      <c r="H623">
        <v>0</v>
      </c>
      <c r="I623" s="309">
        <v>8393</v>
      </c>
      <c r="J623">
        <v>11.99</v>
      </c>
      <c r="K623" s="133">
        <f t="shared" si="9"/>
        <v>2.0338467675661127E-2</v>
      </c>
      <c r="L623" s="181">
        <v>199.07</v>
      </c>
    </row>
    <row r="624" spans="1:12" x14ac:dyDescent="0.25">
      <c r="A624" s="136">
        <v>42930</v>
      </c>
      <c r="B624" s="201" t="str">
        <f>"000415"</f>
        <v>000415</v>
      </c>
      <c r="C624" t="str">
        <f>"渤海金控"</f>
        <v>渤海金控</v>
      </c>
      <c r="D624">
        <v>100</v>
      </c>
      <c r="E624">
        <v>100</v>
      </c>
      <c r="F624">
        <v>-20.324999999999999</v>
      </c>
      <c r="G624">
        <v>2719.5</v>
      </c>
      <c r="H624">
        <v>0</v>
      </c>
      <c r="I624" s="309">
        <v>687</v>
      </c>
      <c r="J624">
        <v>6.87</v>
      </c>
      <c r="K624" s="133">
        <f t="shared" si="9"/>
        <v>1.6647834258524002E-3</v>
      </c>
      <c r="L624" s="181">
        <v>-2</v>
      </c>
    </row>
    <row r="625" spans="1:12" x14ac:dyDescent="0.25">
      <c r="A625" s="136">
        <v>42930</v>
      </c>
      <c r="B625" s="201" t="str">
        <f>"000528"</f>
        <v>000528</v>
      </c>
      <c r="C625" t="str">
        <f>"柳    工"</f>
        <v>柳    工</v>
      </c>
      <c r="D625">
        <v>10150</v>
      </c>
      <c r="E625">
        <v>10150</v>
      </c>
      <c r="F625">
        <v>9.3510000000000009</v>
      </c>
      <c r="G625">
        <v>-4066.7</v>
      </c>
      <c r="H625">
        <v>-4.29</v>
      </c>
      <c r="I625" s="309">
        <v>90842.5</v>
      </c>
      <c r="J625">
        <v>8.9499999999999993</v>
      </c>
      <c r="K625" s="133">
        <f t="shared" si="9"/>
        <v>0.22013549980057737</v>
      </c>
      <c r="L625" s="181">
        <v>-234.03</v>
      </c>
    </row>
    <row r="626" spans="1:12" x14ac:dyDescent="0.25">
      <c r="A626" s="136">
        <v>42930</v>
      </c>
      <c r="B626" s="201" t="str">
        <f>"002006"</f>
        <v>002006</v>
      </c>
      <c r="C626" t="str">
        <f>"精功科技"</f>
        <v>精功科技</v>
      </c>
      <c r="D626">
        <v>2100</v>
      </c>
      <c r="E626">
        <v>2100</v>
      </c>
      <c r="F626">
        <v>8.4559999999999995</v>
      </c>
      <c r="G626">
        <v>-1146.8800000000001</v>
      </c>
      <c r="H626">
        <v>-6.46</v>
      </c>
      <c r="I626" s="309">
        <v>16611</v>
      </c>
      <c r="J626">
        <v>7.91</v>
      </c>
      <c r="K626" s="133">
        <f t="shared" si="9"/>
        <v>4.0252863881854756E-2</v>
      </c>
      <c r="L626" s="181">
        <v>0</v>
      </c>
    </row>
    <row r="627" spans="1:12" x14ac:dyDescent="0.25">
      <c r="A627" s="136">
        <v>42930</v>
      </c>
      <c r="B627" s="201" t="str">
        <f>"002140"</f>
        <v>002140</v>
      </c>
      <c r="C627" t="str">
        <f>"东华科技"</f>
        <v>东华科技</v>
      </c>
      <c r="D627">
        <v>7800</v>
      </c>
      <c r="E627">
        <v>7800</v>
      </c>
      <c r="F627">
        <v>13.032999999999999</v>
      </c>
      <c r="G627">
        <v>-2361.81</v>
      </c>
      <c r="H627">
        <v>-2.3199999999999998</v>
      </c>
      <c r="I627" s="309">
        <v>99294</v>
      </c>
      <c r="J627">
        <v>12.73</v>
      </c>
      <c r="K627" s="133">
        <f t="shared" si="9"/>
        <v>0.24061572851031762</v>
      </c>
      <c r="L627" s="181">
        <v>-398</v>
      </c>
    </row>
    <row r="628" spans="1:12" x14ac:dyDescent="0.25">
      <c r="A628" s="136">
        <v>42930</v>
      </c>
      <c r="B628" s="201" t="s">
        <v>835</v>
      </c>
      <c r="C628" t="s">
        <v>839</v>
      </c>
      <c r="I628" s="309">
        <v>25742.99</v>
      </c>
      <c r="K628" s="133">
        <f t="shared" si="9"/>
        <v>6.2382100558783231E-2</v>
      </c>
      <c r="L628" s="181">
        <v>0</v>
      </c>
    </row>
    <row r="629" spans="1:12" x14ac:dyDescent="0.25">
      <c r="A629" s="136">
        <v>42933</v>
      </c>
      <c r="B629" s="201" t="str">
        <f>"519888"</f>
        <v>519888</v>
      </c>
      <c r="C629" t="str">
        <f>"添富快线"</f>
        <v>添富快线</v>
      </c>
      <c r="D629">
        <v>15470480</v>
      </c>
      <c r="E629">
        <v>15470480</v>
      </c>
      <c r="F629">
        <v>0.01</v>
      </c>
      <c r="G629">
        <v>1595.31</v>
      </c>
      <c r="H629">
        <v>0</v>
      </c>
      <c r="I629" s="309">
        <v>154704.79999999999</v>
      </c>
      <c r="J629">
        <v>0.01</v>
      </c>
      <c r="K629" s="133">
        <f t="shared" si="9"/>
        <v>0.38451208521020525</v>
      </c>
      <c r="L629" s="181">
        <v>0</v>
      </c>
    </row>
    <row r="630" spans="1:12" x14ac:dyDescent="0.25">
      <c r="A630" s="136">
        <v>42933</v>
      </c>
      <c r="B630" s="201" t="str">
        <f>"600269"</f>
        <v>600269</v>
      </c>
      <c r="C630" t="str">
        <f>"赣粤高速"</f>
        <v>赣粤高速</v>
      </c>
      <c r="D630">
        <v>100</v>
      </c>
      <c r="E630">
        <v>100</v>
      </c>
      <c r="F630">
        <v>4.9210000000000003</v>
      </c>
      <c r="G630">
        <v>31.87</v>
      </c>
      <c r="H630">
        <v>6.48</v>
      </c>
      <c r="I630" s="309">
        <v>524</v>
      </c>
      <c r="J630">
        <v>5.24</v>
      </c>
      <c r="K630" s="133">
        <f t="shared" si="9"/>
        <v>1.3023793227498279E-3</v>
      </c>
      <c r="L630" s="181">
        <v>-9</v>
      </c>
    </row>
    <row r="631" spans="1:12" x14ac:dyDescent="0.25">
      <c r="A631" s="136">
        <v>42933</v>
      </c>
      <c r="B631" s="201" t="str">
        <f>"601398"</f>
        <v>601398</v>
      </c>
      <c r="C631" t="str">
        <f>"工商银行"</f>
        <v>工商银行</v>
      </c>
      <c r="D631">
        <v>100</v>
      </c>
      <c r="E631">
        <v>100</v>
      </c>
      <c r="F631">
        <v>-53.579000000000001</v>
      </c>
      <c r="G631">
        <v>5891.9</v>
      </c>
      <c r="H631">
        <v>0</v>
      </c>
      <c r="I631" s="309">
        <v>534</v>
      </c>
      <c r="J631">
        <v>5.34</v>
      </c>
      <c r="K631" s="133">
        <f t="shared" si="9"/>
        <v>1.327233889977878E-3</v>
      </c>
      <c r="L631" s="181">
        <v>119.9</v>
      </c>
    </row>
    <row r="632" spans="1:12" x14ac:dyDescent="0.25">
      <c r="A632" s="136">
        <v>42933</v>
      </c>
      <c r="B632" s="201" t="str">
        <f>"601998"</f>
        <v>601998</v>
      </c>
      <c r="C632" t="str">
        <f>"中信银行"</f>
        <v>中信银行</v>
      </c>
      <c r="D632">
        <v>600</v>
      </c>
      <c r="E632">
        <v>600</v>
      </c>
      <c r="F632">
        <v>4.2969999999999997</v>
      </c>
      <c r="G632">
        <v>1675.75</v>
      </c>
      <c r="H632">
        <v>65</v>
      </c>
      <c r="I632" s="309">
        <v>4254</v>
      </c>
      <c r="J632">
        <v>7.09</v>
      </c>
      <c r="K632" s="133">
        <f t="shared" si="9"/>
        <v>1.0573132898812534E-2</v>
      </c>
      <c r="L632" s="181">
        <v>548.86</v>
      </c>
    </row>
    <row r="633" spans="1:12" x14ac:dyDescent="0.25">
      <c r="A633" s="136">
        <v>42933</v>
      </c>
      <c r="B633" s="201" t="str">
        <f>"000402"</f>
        <v>000402</v>
      </c>
      <c r="C633" t="str">
        <f>"金 融 街"</f>
        <v>金 融 街</v>
      </c>
      <c r="D633">
        <v>600</v>
      </c>
      <c r="E633">
        <v>100</v>
      </c>
      <c r="F633">
        <v>-2.355</v>
      </c>
      <c r="G633">
        <v>8577</v>
      </c>
      <c r="H633">
        <v>0</v>
      </c>
      <c r="I633" s="309">
        <v>7164</v>
      </c>
      <c r="J633">
        <v>11.94</v>
      </c>
      <c r="K633" s="133">
        <f t="shared" si="9"/>
        <v>1.7805811962175129E-2</v>
      </c>
      <c r="L633" s="181">
        <v>58</v>
      </c>
    </row>
    <row r="634" spans="1:12" x14ac:dyDescent="0.25">
      <c r="A634" s="136">
        <v>42933</v>
      </c>
      <c r="B634" s="201" t="str">
        <f>"000415"</f>
        <v>000415</v>
      </c>
      <c r="C634" t="str">
        <f>"渤海金控"</f>
        <v>渤海金控</v>
      </c>
      <c r="D634">
        <v>500</v>
      </c>
      <c r="E634">
        <v>100</v>
      </c>
      <c r="F634">
        <v>1.2649999999999999</v>
      </c>
      <c r="G634">
        <v>2652.49</v>
      </c>
      <c r="H634">
        <v>419.37</v>
      </c>
      <c r="I634" s="309">
        <v>3285</v>
      </c>
      <c r="J634">
        <v>6.57</v>
      </c>
      <c r="K634" s="133">
        <f t="shared" si="9"/>
        <v>8.1647253344144747E-3</v>
      </c>
      <c r="L634" s="181">
        <v>-67.010000000000204</v>
      </c>
    </row>
    <row r="635" spans="1:12" x14ac:dyDescent="0.25">
      <c r="A635" s="136">
        <v>42933</v>
      </c>
      <c r="B635" s="201" t="str">
        <f>"000528"</f>
        <v>000528</v>
      </c>
      <c r="C635" t="str">
        <f>"柳    工"</f>
        <v>柳    工</v>
      </c>
      <c r="D635">
        <v>10150</v>
      </c>
      <c r="E635">
        <v>9150</v>
      </c>
      <c r="F635">
        <v>9.3309999999999995</v>
      </c>
      <c r="G635">
        <v>-6002.17</v>
      </c>
      <c r="H635">
        <v>-6.33</v>
      </c>
      <c r="I635" s="309">
        <v>88711</v>
      </c>
      <c r="J635">
        <v>8.74</v>
      </c>
      <c r="K635" s="133">
        <f t="shared" si="9"/>
        <v>0.22048735133675568</v>
      </c>
      <c r="L635" s="181">
        <v>-1935.47</v>
      </c>
    </row>
    <row r="636" spans="1:12" x14ac:dyDescent="0.25">
      <c r="A636" s="136">
        <v>42933</v>
      </c>
      <c r="B636" s="201" t="str">
        <f>"002006"</f>
        <v>002006</v>
      </c>
      <c r="C636" t="str">
        <f>"精功科技"</f>
        <v>精功科技</v>
      </c>
      <c r="D636">
        <v>2100</v>
      </c>
      <c r="E636">
        <v>2100</v>
      </c>
      <c r="F636">
        <v>8.4559999999999995</v>
      </c>
      <c r="G636">
        <v>-1146.8800000000001</v>
      </c>
      <c r="H636">
        <v>-6.46</v>
      </c>
      <c r="I636" s="309">
        <v>16611</v>
      </c>
      <c r="J636">
        <v>7.91</v>
      </c>
      <c r="K636" s="133">
        <f t="shared" si="9"/>
        <v>4.1285921622514106E-2</v>
      </c>
      <c r="L636" s="181">
        <v>0</v>
      </c>
    </row>
    <row r="637" spans="1:12" x14ac:dyDescent="0.25">
      <c r="A637" s="136">
        <v>42933</v>
      </c>
      <c r="B637" s="201" t="str">
        <f>"002140"</f>
        <v>002140</v>
      </c>
      <c r="C637" t="str">
        <f>"东华科技"</f>
        <v>东华科技</v>
      </c>
      <c r="D637">
        <v>9300</v>
      </c>
      <c r="E637">
        <v>7800</v>
      </c>
      <c r="F637">
        <v>12.836</v>
      </c>
      <c r="G637">
        <v>-11402.81</v>
      </c>
      <c r="H637">
        <v>-9.5500000000000007</v>
      </c>
      <c r="I637" s="309">
        <v>107973</v>
      </c>
      <c r="J637">
        <v>11.61</v>
      </c>
      <c r="K637" s="133">
        <f t="shared" si="9"/>
        <v>0.26836221873142591</v>
      </c>
      <c r="L637" s="181">
        <v>-9041</v>
      </c>
    </row>
    <row r="638" spans="1:12" x14ac:dyDescent="0.25">
      <c r="A638" s="136">
        <v>42933</v>
      </c>
      <c r="B638" s="201" t="s">
        <v>835</v>
      </c>
      <c r="C638" t="s">
        <v>839</v>
      </c>
      <c r="I638" s="309">
        <v>18579.740000000002</v>
      </c>
      <c r="K638" s="133">
        <f t="shared" si="9"/>
        <v>4.6179139690969255E-2</v>
      </c>
      <c r="L638" s="181">
        <v>0</v>
      </c>
    </row>
    <row r="639" spans="1:12" x14ac:dyDescent="0.25">
      <c r="A639" s="136">
        <v>42934</v>
      </c>
      <c r="B639" s="201" t="s">
        <v>132</v>
      </c>
      <c r="C639" t="s">
        <v>123</v>
      </c>
      <c r="D639">
        <v>16674037</v>
      </c>
      <c r="E639">
        <v>15474037</v>
      </c>
      <c r="F639">
        <v>0.01</v>
      </c>
      <c r="G639">
        <v>1630.88</v>
      </c>
      <c r="H639">
        <v>0</v>
      </c>
      <c r="I639" s="309">
        <v>166740.37</v>
      </c>
      <c r="J639">
        <v>0.01</v>
      </c>
      <c r="K639" s="133">
        <f t="shared" si="9"/>
        <v>0.40771991518349116</v>
      </c>
      <c r="L639" s="181">
        <v>35.570000000000199</v>
      </c>
    </row>
    <row r="640" spans="1:12" x14ac:dyDescent="0.25">
      <c r="A640" s="136">
        <v>42934</v>
      </c>
      <c r="B640" s="201" t="s">
        <v>61</v>
      </c>
      <c r="C640" t="s">
        <v>136</v>
      </c>
      <c r="D640">
        <v>100</v>
      </c>
      <c r="E640">
        <v>100</v>
      </c>
      <c r="F640">
        <v>4.9210000000000003</v>
      </c>
      <c r="G640">
        <v>34.869999999999997</v>
      </c>
      <c r="H640">
        <v>7.09</v>
      </c>
      <c r="I640" s="309">
        <v>527</v>
      </c>
      <c r="J640">
        <v>5.27</v>
      </c>
      <c r="K640" s="133">
        <f t="shared" si="9"/>
        <v>1.2886405092042187E-3</v>
      </c>
      <c r="L640" s="181">
        <v>3</v>
      </c>
    </row>
    <row r="641" spans="1:12" x14ac:dyDescent="0.25">
      <c r="A641" s="136">
        <v>42934</v>
      </c>
      <c r="B641" s="201" t="s">
        <v>124</v>
      </c>
      <c r="C641" t="s">
        <v>125</v>
      </c>
      <c r="D641">
        <v>100</v>
      </c>
      <c r="E641">
        <v>100</v>
      </c>
      <c r="F641">
        <v>-53.579000000000001</v>
      </c>
      <c r="G641">
        <v>5885.9</v>
      </c>
      <c r="H641">
        <v>0</v>
      </c>
      <c r="I641" s="309">
        <v>528</v>
      </c>
      <c r="J641">
        <v>5.28</v>
      </c>
      <c r="K641" s="133">
        <f t="shared" si="9"/>
        <v>1.2910857473621014E-3</v>
      </c>
      <c r="L641" s="181">
        <v>-6</v>
      </c>
    </row>
    <row r="642" spans="1:12" x14ac:dyDescent="0.25">
      <c r="A642" s="136">
        <v>42934</v>
      </c>
      <c r="B642" s="201" t="s">
        <v>71</v>
      </c>
      <c r="C642" t="s">
        <v>126</v>
      </c>
      <c r="D642">
        <v>600</v>
      </c>
      <c r="E642">
        <v>600</v>
      </c>
      <c r="F642">
        <v>4.2969999999999997</v>
      </c>
      <c r="G642">
        <v>1639.75</v>
      </c>
      <c r="H642">
        <v>63.6</v>
      </c>
      <c r="I642" s="309">
        <v>4218</v>
      </c>
      <c r="J642">
        <v>7.03</v>
      </c>
      <c r="K642" s="133">
        <f t="shared" ref="K642:K705" si="10">I642/SUMIF(A:A,A642,I:I)</f>
        <v>1.0314014549949516E-2</v>
      </c>
      <c r="L642" s="181">
        <v>-36</v>
      </c>
    </row>
    <row r="643" spans="1:12" x14ac:dyDescent="0.25">
      <c r="A643" s="136">
        <v>42934</v>
      </c>
      <c r="B643" s="201" t="s">
        <v>65</v>
      </c>
      <c r="C643" t="s">
        <v>127</v>
      </c>
      <c r="D643">
        <v>200</v>
      </c>
      <c r="E643">
        <v>200</v>
      </c>
      <c r="F643">
        <v>-31.094999999999999</v>
      </c>
      <c r="G643">
        <v>8653</v>
      </c>
      <c r="H643">
        <v>0</v>
      </c>
      <c r="I643" s="309">
        <v>2434</v>
      </c>
      <c r="J643">
        <v>12.17</v>
      </c>
      <c r="K643" s="133">
        <f t="shared" si="10"/>
        <v>5.9517096762866572E-3</v>
      </c>
      <c r="L643" s="181">
        <v>76</v>
      </c>
    </row>
    <row r="644" spans="1:12" x14ac:dyDescent="0.25">
      <c r="A644" s="136">
        <v>42934</v>
      </c>
      <c r="B644" s="201" t="s">
        <v>77</v>
      </c>
      <c r="C644" t="s">
        <v>128</v>
      </c>
      <c r="D644">
        <v>100</v>
      </c>
      <c r="E644">
        <v>100</v>
      </c>
      <c r="F644">
        <v>-20.638000000000002</v>
      </c>
      <c r="G644">
        <v>2739.8</v>
      </c>
      <c r="H644">
        <v>0</v>
      </c>
      <c r="I644" s="309">
        <v>676</v>
      </c>
      <c r="J644">
        <v>6.76</v>
      </c>
      <c r="K644" s="133">
        <f t="shared" si="10"/>
        <v>1.6529809947287513E-3</v>
      </c>
      <c r="L644" s="181">
        <v>87.3100000000004</v>
      </c>
    </row>
    <row r="645" spans="1:12" x14ac:dyDescent="0.25">
      <c r="A645" s="136">
        <v>42934</v>
      </c>
      <c r="B645" s="201" t="s">
        <v>67</v>
      </c>
      <c r="C645" t="s">
        <v>129</v>
      </c>
      <c r="D645">
        <v>7650</v>
      </c>
      <c r="E645">
        <v>7650</v>
      </c>
      <c r="F645">
        <v>9.44</v>
      </c>
      <c r="G645">
        <v>-1835.72</v>
      </c>
      <c r="H645">
        <v>-2.54</v>
      </c>
      <c r="I645" s="309">
        <v>70380</v>
      </c>
      <c r="J645">
        <v>9.1999999999999993</v>
      </c>
      <c r="K645" s="133">
        <f t="shared" si="10"/>
        <v>0.17209586155178921</v>
      </c>
      <c r="L645" s="181">
        <v>4166.45</v>
      </c>
    </row>
    <row r="646" spans="1:12" x14ac:dyDescent="0.25">
      <c r="A646" s="136">
        <v>42934</v>
      </c>
      <c r="B646" s="201" t="s">
        <v>72</v>
      </c>
      <c r="C646" t="s">
        <v>130</v>
      </c>
      <c r="D646">
        <v>2100</v>
      </c>
      <c r="E646">
        <v>2100</v>
      </c>
      <c r="F646">
        <v>8.4559999999999995</v>
      </c>
      <c r="G646">
        <v>-1146.8800000000001</v>
      </c>
      <c r="H646">
        <v>-6.46</v>
      </c>
      <c r="I646" s="309">
        <v>16611</v>
      </c>
      <c r="J646">
        <v>7.91</v>
      </c>
      <c r="K646" s="133">
        <f t="shared" si="10"/>
        <v>4.0617851040590659E-2</v>
      </c>
      <c r="L646" s="181">
        <v>0</v>
      </c>
    </row>
    <row r="647" spans="1:12" x14ac:dyDescent="0.25">
      <c r="A647" s="136">
        <v>42934</v>
      </c>
      <c r="B647" s="201" t="s">
        <v>70</v>
      </c>
      <c r="C647" t="s">
        <v>131</v>
      </c>
      <c r="D647">
        <v>8900</v>
      </c>
      <c r="E647">
        <v>8900</v>
      </c>
      <c r="F647">
        <v>12.884</v>
      </c>
      <c r="G647">
        <v>-9111.5300000000007</v>
      </c>
      <c r="H647">
        <v>-7.95</v>
      </c>
      <c r="I647" s="309">
        <v>105554</v>
      </c>
      <c r="J647">
        <v>11.86</v>
      </c>
      <c r="K647" s="133">
        <f t="shared" si="10"/>
        <v>0.25810466851715769</v>
      </c>
      <c r="L647" s="181">
        <v>2291.2800000000002</v>
      </c>
    </row>
    <row r="648" spans="1:12" x14ac:dyDescent="0.25">
      <c r="A648" s="136">
        <v>42934</v>
      </c>
      <c r="B648" s="201" t="s">
        <v>133</v>
      </c>
      <c r="C648" t="s">
        <v>134</v>
      </c>
      <c r="D648">
        <v>20000</v>
      </c>
      <c r="E648">
        <v>0</v>
      </c>
      <c r="F648">
        <v>1</v>
      </c>
      <c r="G648">
        <v>-0.2</v>
      </c>
      <c r="H648">
        <v>0</v>
      </c>
      <c r="I648" s="309">
        <v>20000</v>
      </c>
      <c r="J648">
        <v>1</v>
      </c>
      <c r="K648" s="133">
        <f t="shared" si="10"/>
        <v>4.8904763157655365E-2</v>
      </c>
      <c r="L648" s="181">
        <v>-193.95</v>
      </c>
    </row>
    <row r="649" spans="1:12" x14ac:dyDescent="0.25">
      <c r="A649" s="136">
        <v>42934</v>
      </c>
      <c r="B649" s="201" t="s">
        <v>835</v>
      </c>
      <c r="C649" t="s">
        <v>839</v>
      </c>
      <c r="I649" s="309">
        <v>21289.75</v>
      </c>
      <c r="K649" s="133">
        <f t="shared" si="10"/>
        <v>5.2058509071784664E-2</v>
      </c>
      <c r="L649" s="181">
        <v>0</v>
      </c>
    </row>
    <row r="650" spans="1:12" x14ac:dyDescent="0.25">
      <c r="A650" s="136">
        <v>42935</v>
      </c>
      <c r="B650" s="201" t="str">
        <f>"519888"</f>
        <v>519888</v>
      </c>
      <c r="C650" t="str">
        <f>"添富快线"</f>
        <v>添富快线</v>
      </c>
      <c r="D650">
        <v>16675450</v>
      </c>
      <c r="E650">
        <v>16675450</v>
      </c>
      <c r="F650">
        <v>0.01</v>
      </c>
      <c r="G650">
        <v>1645.01</v>
      </c>
      <c r="H650">
        <v>0</v>
      </c>
      <c r="I650" s="309">
        <v>166754.5</v>
      </c>
      <c r="J650">
        <v>0.01</v>
      </c>
      <c r="K650" s="133">
        <f t="shared" si="10"/>
        <v>0.40532015563485058</v>
      </c>
      <c r="L650" s="181">
        <v>14.1299999999999</v>
      </c>
    </row>
    <row r="651" spans="1:12" x14ac:dyDescent="0.25">
      <c r="A651" s="136">
        <v>42935</v>
      </c>
      <c r="B651" s="201" t="str">
        <f>"600269"</f>
        <v>600269</v>
      </c>
      <c r="C651" t="str">
        <f>"赣粤高速"</f>
        <v>赣粤高速</v>
      </c>
      <c r="D651">
        <v>100</v>
      </c>
      <c r="E651">
        <v>100</v>
      </c>
      <c r="F651">
        <v>4.9210000000000003</v>
      </c>
      <c r="G651">
        <v>56.87</v>
      </c>
      <c r="H651">
        <v>11.56</v>
      </c>
      <c r="I651" s="309">
        <v>549</v>
      </c>
      <c r="J651">
        <v>5.49</v>
      </c>
      <c r="K651" s="133">
        <f t="shared" si="10"/>
        <v>1.3344213526083732E-3</v>
      </c>
      <c r="L651" s="181">
        <v>22</v>
      </c>
    </row>
    <row r="652" spans="1:12" x14ac:dyDescent="0.25">
      <c r="A652" s="136">
        <v>42935</v>
      </c>
      <c r="B652" s="201" t="str">
        <f>"601398"</f>
        <v>601398</v>
      </c>
      <c r="C652" t="str">
        <f>"工商银行"</f>
        <v>工商银行</v>
      </c>
      <c r="D652">
        <v>100</v>
      </c>
      <c r="E652">
        <v>100</v>
      </c>
      <c r="F652">
        <v>-53.579000000000001</v>
      </c>
      <c r="G652">
        <v>5884.9</v>
      </c>
      <c r="H652">
        <v>0</v>
      </c>
      <c r="I652" s="309">
        <v>527</v>
      </c>
      <c r="J652">
        <v>5.27</v>
      </c>
      <c r="K652" s="133">
        <f t="shared" si="10"/>
        <v>1.2809472729045767E-3</v>
      </c>
      <c r="L652" s="181">
        <v>-1</v>
      </c>
    </row>
    <row r="653" spans="1:12" x14ac:dyDescent="0.25">
      <c r="A653" s="136">
        <v>42935</v>
      </c>
      <c r="B653" s="201" t="str">
        <f>"601998"</f>
        <v>601998</v>
      </c>
      <c r="C653" t="str">
        <f>"中信银行"</f>
        <v>中信银行</v>
      </c>
      <c r="D653">
        <v>600</v>
      </c>
      <c r="E653">
        <v>600</v>
      </c>
      <c r="F653">
        <v>4.2969999999999997</v>
      </c>
      <c r="G653">
        <v>1615.75</v>
      </c>
      <c r="H653">
        <v>62.67</v>
      </c>
      <c r="I653" s="309">
        <v>4194</v>
      </c>
      <c r="J653">
        <v>6.99</v>
      </c>
      <c r="K653" s="133">
        <f t="shared" si="10"/>
        <v>1.0194104103532818E-2</v>
      </c>
      <c r="L653" s="181">
        <v>-24</v>
      </c>
    </row>
    <row r="654" spans="1:12" x14ac:dyDescent="0.25">
      <c r="A654" s="136">
        <v>42935</v>
      </c>
      <c r="B654" s="201" t="str">
        <f>"000402"</f>
        <v>000402</v>
      </c>
      <c r="C654" t="str">
        <f>"金 融 街"</f>
        <v>金 融 街</v>
      </c>
      <c r="D654">
        <v>200</v>
      </c>
      <c r="E654">
        <v>200</v>
      </c>
      <c r="F654">
        <v>-31.094999999999999</v>
      </c>
      <c r="G654">
        <v>8699</v>
      </c>
      <c r="H654">
        <v>0</v>
      </c>
      <c r="I654" s="309">
        <v>2480</v>
      </c>
      <c r="J654">
        <v>12.4</v>
      </c>
      <c r="K654" s="133">
        <f t="shared" si="10"/>
        <v>6.0279871666097731E-3</v>
      </c>
      <c r="L654" s="181">
        <v>46</v>
      </c>
    </row>
    <row r="655" spans="1:12" x14ac:dyDescent="0.25">
      <c r="A655" s="136">
        <v>42935</v>
      </c>
      <c r="B655" s="201" t="str">
        <f>"000415"</f>
        <v>000415</v>
      </c>
      <c r="C655" t="str">
        <f>"渤海金控"</f>
        <v>渤海金控</v>
      </c>
      <c r="D655">
        <v>100</v>
      </c>
      <c r="E655">
        <v>100</v>
      </c>
      <c r="F655">
        <v>-20.638000000000002</v>
      </c>
      <c r="G655">
        <v>2747.8</v>
      </c>
      <c r="H655">
        <v>0</v>
      </c>
      <c r="I655" s="309">
        <v>684</v>
      </c>
      <c r="J655">
        <v>6.84</v>
      </c>
      <c r="K655" s="133">
        <f t="shared" si="10"/>
        <v>1.6625577507907599E-3</v>
      </c>
      <c r="L655" s="181">
        <v>8</v>
      </c>
    </row>
    <row r="656" spans="1:12" x14ac:dyDescent="0.25">
      <c r="A656" s="136">
        <v>42935</v>
      </c>
      <c r="B656" s="201" t="str">
        <f>"000528"</f>
        <v>000528</v>
      </c>
      <c r="C656" t="str">
        <f>"柳    工"</f>
        <v>柳    工</v>
      </c>
      <c r="D656">
        <v>6650</v>
      </c>
      <c r="E656">
        <v>6150</v>
      </c>
      <c r="F656">
        <v>9.4570000000000007</v>
      </c>
      <c r="G656">
        <v>-845.14</v>
      </c>
      <c r="H656">
        <v>-1.34</v>
      </c>
      <c r="I656" s="309">
        <v>62044.5</v>
      </c>
      <c r="J656">
        <v>9.33</v>
      </c>
      <c r="K656" s="133">
        <f t="shared" si="10"/>
        <v>0.1508078426446452</v>
      </c>
      <c r="L656" s="181">
        <v>990.58</v>
      </c>
    </row>
    <row r="657" spans="1:12" x14ac:dyDescent="0.25">
      <c r="A657" s="136">
        <v>42935</v>
      </c>
      <c r="B657" s="201" t="str">
        <f>"002006"</f>
        <v>002006</v>
      </c>
      <c r="C657" t="str">
        <f>"精功科技"</f>
        <v>精功科技</v>
      </c>
      <c r="D657">
        <v>2100</v>
      </c>
      <c r="E657">
        <v>2100</v>
      </c>
      <c r="F657">
        <v>8.4559999999999995</v>
      </c>
      <c r="G657">
        <v>-1146.8800000000001</v>
      </c>
      <c r="H657">
        <v>-6.46</v>
      </c>
      <c r="I657" s="309">
        <v>16611</v>
      </c>
      <c r="J657">
        <v>7.91</v>
      </c>
      <c r="K657" s="133">
        <f t="shared" si="10"/>
        <v>4.0375360816352797E-2</v>
      </c>
      <c r="L657" s="181">
        <v>0</v>
      </c>
    </row>
    <row r="658" spans="1:12" x14ac:dyDescent="0.25">
      <c r="A658" s="136">
        <v>42935</v>
      </c>
      <c r="B658" s="201" t="str">
        <f>"002140"</f>
        <v>002140</v>
      </c>
      <c r="C658" t="str">
        <f>"东华科技"</f>
        <v>东华科技</v>
      </c>
      <c r="D658">
        <v>8900</v>
      </c>
      <c r="E658">
        <v>8900</v>
      </c>
      <c r="F658">
        <v>12.884</v>
      </c>
      <c r="G658">
        <v>-7687.53</v>
      </c>
      <c r="H658">
        <v>-6.7</v>
      </c>
      <c r="I658" s="309">
        <v>106978</v>
      </c>
      <c r="J658">
        <v>12.02</v>
      </c>
      <c r="K658" s="133">
        <f t="shared" si="10"/>
        <v>0.26002500447966947</v>
      </c>
      <c r="L658" s="181">
        <v>1424</v>
      </c>
    </row>
    <row r="659" spans="1:12" x14ac:dyDescent="0.25">
      <c r="A659" s="136">
        <v>42935</v>
      </c>
      <c r="B659" s="201" t="str">
        <f>"SZRQ88"</f>
        <v>SZRQ88</v>
      </c>
      <c r="C659" t="str">
        <f>"国标准券"</f>
        <v>国标准券</v>
      </c>
      <c r="D659">
        <v>61000</v>
      </c>
      <c r="E659">
        <v>20000</v>
      </c>
      <c r="F659">
        <v>1</v>
      </c>
      <c r="G659">
        <v>-0.61</v>
      </c>
      <c r="H659">
        <v>0</v>
      </c>
      <c r="I659" s="309">
        <v>41000</v>
      </c>
      <c r="J659">
        <v>1</v>
      </c>
      <c r="K659" s="133">
        <f t="shared" si="10"/>
        <v>9.9656239447984157E-2</v>
      </c>
      <c r="L659" s="181">
        <v>-0.41</v>
      </c>
    </row>
    <row r="660" spans="1:12" x14ac:dyDescent="0.25">
      <c r="A660" s="136">
        <v>42935</v>
      </c>
      <c r="B660" s="201" t="s">
        <v>835</v>
      </c>
      <c r="C660" t="s">
        <v>839</v>
      </c>
      <c r="I660" s="309">
        <v>9592.2800000000007</v>
      </c>
      <c r="K660" s="133">
        <f t="shared" si="10"/>
        <v>2.3315379330051452E-2</v>
      </c>
      <c r="L660" s="181">
        <v>0</v>
      </c>
    </row>
    <row r="661" spans="1:12" x14ac:dyDescent="0.25">
      <c r="A661" s="136">
        <v>42936</v>
      </c>
      <c r="B661" s="201" t="str">
        <f>"000402"</f>
        <v>000402</v>
      </c>
      <c r="C661" t="str">
        <f>"金 融 街"</f>
        <v>金 融 街</v>
      </c>
      <c r="D661">
        <v>200</v>
      </c>
      <c r="E661">
        <v>200</v>
      </c>
      <c r="F661">
        <v>-31.094999999999999</v>
      </c>
      <c r="G661">
        <v>8693</v>
      </c>
      <c r="H661">
        <v>0</v>
      </c>
      <c r="I661" s="309">
        <v>2474</v>
      </c>
      <c r="J661">
        <v>12.37</v>
      </c>
      <c r="K661" s="133">
        <f t="shared" si="10"/>
        <v>5.9556781035426179E-3</v>
      </c>
      <c r="L661" s="181">
        <v>-6</v>
      </c>
    </row>
    <row r="662" spans="1:12" x14ac:dyDescent="0.25">
      <c r="A662" s="136">
        <v>42936</v>
      </c>
      <c r="B662" s="201" t="str">
        <f>"000415"</f>
        <v>000415</v>
      </c>
      <c r="C662" t="str">
        <f>"渤海金控"</f>
        <v>渤海金控</v>
      </c>
      <c r="D662">
        <v>100</v>
      </c>
      <c r="E662">
        <v>100</v>
      </c>
      <c r="F662">
        <v>-20.638000000000002</v>
      </c>
      <c r="G662">
        <v>2771.8</v>
      </c>
      <c r="H662">
        <v>0</v>
      </c>
      <c r="I662" s="309">
        <v>708</v>
      </c>
      <c r="J662">
        <v>7.08</v>
      </c>
      <c r="K662" s="133">
        <f t="shared" si="10"/>
        <v>1.7043735235683806E-3</v>
      </c>
      <c r="L662" s="181">
        <v>24</v>
      </c>
    </row>
    <row r="663" spans="1:12" x14ac:dyDescent="0.25">
      <c r="A663" s="136">
        <v>42936</v>
      </c>
      <c r="B663" s="201" t="str">
        <f>"000528"</f>
        <v>000528</v>
      </c>
      <c r="C663" t="str">
        <f>"柳    工"</f>
        <v>柳    工</v>
      </c>
      <c r="D663">
        <v>7150</v>
      </c>
      <c r="E663">
        <v>7150</v>
      </c>
      <c r="F663">
        <v>9.4420000000000002</v>
      </c>
      <c r="G663">
        <v>-1372.14</v>
      </c>
      <c r="H663">
        <v>-2.0299999999999998</v>
      </c>
      <c r="I663" s="309">
        <v>66137.5</v>
      </c>
      <c r="J663">
        <v>9.25</v>
      </c>
      <c r="K663" s="133">
        <f t="shared" si="10"/>
        <v>0.15921328236582452</v>
      </c>
      <c r="L663" s="181">
        <v>-527</v>
      </c>
    </row>
    <row r="664" spans="1:12" x14ac:dyDescent="0.25">
      <c r="A664" s="136">
        <v>42936</v>
      </c>
      <c r="B664" s="201" t="str">
        <f>"002006"</f>
        <v>002006</v>
      </c>
      <c r="C664" t="str">
        <f>"精功科技"</f>
        <v>精功科技</v>
      </c>
      <c r="D664">
        <v>2100</v>
      </c>
      <c r="E664">
        <v>2100</v>
      </c>
      <c r="F664">
        <v>8.4559999999999995</v>
      </c>
      <c r="G664">
        <v>-1146.8800000000001</v>
      </c>
      <c r="H664">
        <v>-6.46</v>
      </c>
      <c r="I664" s="309">
        <v>16611</v>
      </c>
      <c r="J664">
        <v>7.91</v>
      </c>
      <c r="K664" s="133">
        <f t="shared" si="10"/>
        <v>3.9987780508466624E-2</v>
      </c>
      <c r="L664" s="181">
        <v>0</v>
      </c>
    </row>
    <row r="665" spans="1:12" x14ac:dyDescent="0.25">
      <c r="A665" s="136">
        <v>42936</v>
      </c>
      <c r="B665" s="201" t="str">
        <f>"002140"</f>
        <v>002140</v>
      </c>
      <c r="C665" t="str">
        <f>"东华科技"</f>
        <v>东华科技</v>
      </c>
      <c r="D665">
        <v>8100</v>
      </c>
      <c r="E665">
        <v>8100</v>
      </c>
      <c r="F665">
        <v>12.884</v>
      </c>
      <c r="G665">
        <v>-3268.46</v>
      </c>
      <c r="H665">
        <v>-2.75</v>
      </c>
      <c r="I665" s="309">
        <v>101088</v>
      </c>
      <c r="J665">
        <v>12.48</v>
      </c>
      <c r="K665" s="133">
        <f t="shared" si="10"/>
        <v>0.24334987394135657</v>
      </c>
      <c r="L665" s="181">
        <v>4419.07</v>
      </c>
    </row>
    <row r="666" spans="1:12" x14ac:dyDescent="0.25">
      <c r="A666" s="136">
        <v>42936</v>
      </c>
      <c r="B666" s="201" t="str">
        <f>"519888"</f>
        <v>519888</v>
      </c>
      <c r="C666" t="str">
        <f>"添富快线"</f>
        <v>添富快线</v>
      </c>
      <c r="D666">
        <v>21765280</v>
      </c>
      <c r="E666">
        <v>21765280</v>
      </c>
      <c r="F666">
        <v>0.01</v>
      </c>
      <c r="G666">
        <v>1678.31</v>
      </c>
      <c r="H666">
        <v>0</v>
      </c>
      <c r="I666" s="309">
        <v>217652.8</v>
      </c>
      <c r="J666">
        <v>0.01</v>
      </c>
      <c r="K666" s="133">
        <f t="shared" si="10"/>
        <v>0.52395716052333896</v>
      </c>
      <c r="L666" s="181">
        <v>33.299999999999997</v>
      </c>
    </row>
    <row r="667" spans="1:12" x14ac:dyDescent="0.25">
      <c r="A667" s="136">
        <v>42936</v>
      </c>
      <c r="B667" s="201" t="str">
        <f>"600269"</f>
        <v>600269</v>
      </c>
      <c r="C667" t="str">
        <f>"赣粤高速"</f>
        <v>赣粤高速</v>
      </c>
      <c r="D667">
        <v>100</v>
      </c>
      <c r="E667">
        <v>100</v>
      </c>
      <c r="F667">
        <v>4.9210000000000003</v>
      </c>
      <c r="G667">
        <v>55.87</v>
      </c>
      <c r="H667">
        <v>11.36</v>
      </c>
      <c r="I667" s="309">
        <v>548</v>
      </c>
      <c r="J667">
        <v>5.48</v>
      </c>
      <c r="K667" s="133">
        <f t="shared" si="10"/>
        <v>1.3192043656998201E-3</v>
      </c>
      <c r="L667" s="181">
        <v>-1</v>
      </c>
    </row>
    <row r="668" spans="1:12" x14ac:dyDescent="0.25">
      <c r="A668" s="136">
        <v>42936</v>
      </c>
      <c r="B668" s="201" t="str">
        <f>"601398"</f>
        <v>601398</v>
      </c>
      <c r="C668" t="str">
        <f>"工商银行"</f>
        <v>工商银行</v>
      </c>
      <c r="D668">
        <v>100</v>
      </c>
      <c r="E668">
        <v>100</v>
      </c>
      <c r="F668">
        <v>-53.579000000000001</v>
      </c>
      <c r="G668">
        <v>5886.9</v>
      </c>
      <c r="H668">
        <v>0</v>
      </c>
      <c r="I668" s="309">
        <v>529</v>
      </c>
      <c r="J668">
        <v>5.29</v>
      </c>
      <c r="K668" s="133">
        <f t="shared" si="10"/>
        <v>1.2734655282029283E-3</v>
      </c>
      <c r="L668" s="181">
        <v>2</v>
      </c>
    </row>
    <row r="669" spans="1:12" x14ac:dyDescent="0.25">
      <c r="A669" s="136">
        <v>42936</v>
      </c>
      <c r="B669" s="201" t="str">
        <f>"601998"</f>
        <v>601998</v>
      </c>
      <c r="C669" t="str">
        <f>"中信银行"</f>
        <v>中信银行</v>
      </c>
      <c r="D669">
        <v>600</v>
      </c>
      <c r="E669">
        <v>600</v>
      </c>
      <c r="F669">
        <v>4.2969999999999997</v>
      </c>
      <c r="G669">
        <v>1663.75</v>
      </c>
      <c r="H669">
        <v>64.53</v>
      </c>
      <c r="I669" s="309">
        <v>4242</v>
      </c>
      <c r="J669">
        <v>7.07</v>
      </c>
      <c r="K669" s="133">
        <f t="shared" si="10"/>
        <v>1.0211797297990212E-2</v>
      </c>
      <c r="L669" s="181">
        <v>48</v>
      </c>
    </row>
    <row r="670" spans="1:12" x14ac:dyDescent="0.25">
      <c r="A670" s="136">
        <v>42936</v>
      </c>
      <c r="B670" s="201" t="s">
        <v>835</v>
      </c>
      <c r="C670" t="s">
        <v>839</v>
      </c>
      <c r="I670" s="309">
        <v>5411.6</v>
      </c>
      <c r="K670" s="133">
        <f t="shared" si="10"/>
        <v>1.3027383842009391E-2</v>
      </c>
      <c r="L670" s="181">
        <v>0</v>
      </c>
    </row>
    <row r="671" spans="1:12" x14ac:dyDescent="0.25">
      <c r="A671" s="136">
        <v>42937</v>
      </c>
      <c r="B671" s="201" t="str">
        <f>"519888"</f>
        <v>519888</v>
      </c>
      <c r="C671" t="str">
        <f>"添富快线"</f>
        <v>添富快线</v>
      </c>
      <c r="D671">
        <v>21767334</v>
      </c>
      <c r="E671">
        <v>21767334</v>
      </c>
      <c r="F671">
        <v>0.01</v>
      </c>
      <c r="G671">
        <v>1698.85</v>
      </c>
      <c r="H671">
        <v>0</v>
      </c>
      <c r="I671" s="309">
        <v>217673.34</v>
      </c>
      <c r="J671">
        <v>0.01</v>
      </c>
      <c r="K671" s="133">
        <f t="shared" si="10"/>
        <v>0.5241862474730864</v>
      </c>
      <c r="L671" s="181">
        <v>20.54</v>
      </c>
    </row>
    <row r="672" spans="1:12" x14ac:dyDescent="0.25">
      <c r="A672" s="136">
        <v>42937</v>
      </c>
      <c r="B672" s="201" t="str">
        <f>"600269"</f>
        <v>600269</v>
      </c>
      <c r="C672" t="str">
        <f>"赣粤高速"</f>
        <v>赣粤高速</v>
      </c>
      <c r="D672">
        <v>100</v>
      </c>
      <c r="E672">
        <v>100</v>
      </c>
      <c r="F672">
        <v>4.9210000000000003</v>
      </c>
      <c r="G672">
        <v>67.87</v>
      </c>
      <c r="H672">
        <v>13.8</v>
      </c>
      <c r="I672" s="309">
        <v>560</v>
      </c>
      <c r="J672">
        <v>5.6</v>
      </c>
      <c r="K672" s="133">
        <f t="shared" si="10"/>
        <v>1.3485542078094102E-3</v>
      </c>
      <c r="L672" s="181">
        <v>12</v>
      </c>
    </row>
    <row r="673" spans="1:12" x14ac:dyDescent="0.25">
      <c r="A673" s="136">
        <v>42937</v>
      </c>
      <c r="B673" s="201" t="str">
        <f>"601398"</f>
        <v>601398</v>
      </c>
      <c r="C673" t="str">
        <f>"工商银行"</f>
        <v>工商银行</v>
      </c>
      <c r="D673">
        <v>100</v>
      </c>
      <c r="E673">
        <v>100</v>
      </c>
      <c r="F673">
        <v>-53.579000000000001</v>
      </c>
      <c r="G673">
        <v>5890.9</v>
      </c>
      <c r="H673">
        <v>0</v>
      </c>
      <c r="I673" s="309">
        <v>533</v>
      </c>
      <c r="J673">
        <v>5.33</v>
      </c>
      <c r="K673" s="133">
        <f t="shared" si="10"/>
        <v>1.283534629932885E-3</v>
      </c>
      <c r="L673" s="181">
        <v>4</v>
      </c>
    </row>
    <row r="674" spans="1:12" x14ac:dyDescent="0.25">
      <c r="A674" s="136">
        <v>42937</v>
      </c>
      <c r="B674" s="201" t="str">
        <f>"601998"</f>
        <v>601998</v>
      </c>
      <c r="C674" t="str">
        <f>"中信银行"</f>
        <v>中信银行</v>
      </c>
      <c r="D674">
        <v>600</v>
      </c>
      <c r="E674">
        <v>600</v>
      </c>
      <c r="F674">
        <v>4.0819999999999999</v>
      </c>
      <c r="G674">
        <v>1756.75</v>
      </c>
      <c r="H674">
        <v>71.73</v>
      </c>
      <c r="I674" s="309">
        <v>4206</v>
      </c>
      <c r="J674">
        <v>7.01</v>
      </c>
      <c r="K674" s="133">
        <f t="shared" si="10"/>
        <v>1.0128605353654247E-2</v>
      </c>
      <c r="L674" s="181">
        <v>93</v>
      </c>
    </row>
    <row r="675" spans="1:12" x14ac:dyDescent="0.25">
      <c r="A675" s="136">
        <v>42937</v>
      </c>
      <c r="B675" s="201" t="str">
        <f>"000402"</f>
        <v>000402</v>
      </c>
      <c r="C675" t="str">
        <f>"金 融 街"</f>
        <v>金 融 街</v>
      </c>
      <c r="D675">
        <v>200</v>
      </c>
      <c r="E675">
        <v>200</v>
      </c>
      <c r="F675">
        <v>-31.094999999999999</v>
      </c>
      <c r="G675">
        <v>8649</v>
      </c>
      <c r="H675">
        <v>0</v>
      </c>
      <c r="I675" s="309">
        <v>2430</v>
      </c>
      <c r="J675">
        <v>12.15</v>
      </c>
      <c r="K675" s="133">
        <f t="shared" si="10"/>
        <v>5.8517620088872615E-3</v>
      </c>
      <c r="L675" s="181">
        <v>-44</v>
      </c>
    </row>
    <row r="676" spans="1:12" x14ac:dyDescent="0.25">
      <c r="A676" s="136">
        <v>42937</v>
      </c>
      <c r="B676" s="201" t="str">
        <f>"000415"</f>
        <v>000415</v>
      </c>
      <c r="C676" t="str">
        <f>"渤海金控"</f>
        <v>渤海金控</v>
      </c>
      <c r="D676">
        <v>100</v>
      </c>
      <c r="E676">
        <v>100</v>
      </c>
      <c r="F676">
        <v>-20.638000000000002</v>
      </c>
      <c r="G676">
        <v>2757.8</v>
      </c>
      <c r="H676">
        <v>0</v>
      </c>
      <c r="I676" s="309">
        <v>694</v>
      </c>
      <c r="J676">
        <v>6.94</v>
      </c>
      <c r="K676" s="133">
        <f t="shared" si="10"/>
        <v>1.6712439646780902E-3</v>
      </c>
      <c r="L676" s="181">
        <v>-14</v>
      </c>
    </row>
    <row r="677" spans="1:12" x14ac:dyDescent="0.25">
      <c r="A677" s="136">
        <v>42937</v>
      </c>
      <c r="B677" s="201" t="str">
        <f>"000528"</f>
        <v>000528</v>
      </c>
      <c r="C677" t="str">
        <f>"柳    工"</f>
        <v>柳    工</v>
      </c>
      <c r="D677">
        <v>5250</v>
      </c>
      <c r="E677">
        <v>5250</v>
      </c>
      <c r="F677">
        <v>9.4480000000000004</v>
      </c>
      <c r="G677">
        <v>-144.59</v>
      </c>
      <c r="H677">
        <v>-0.3</v>
      </c>
      <c r="I677" s="309">
        <v>49455</v>
      </c>
      <c r="J677">
        <v>9.42</v>
      </c>
      <c r="K677" s="133">
        <f t="shared" si="10"/>
        <v>0.11909419347716853</v>
      </c>
      <c r="L677" s="181">
        <v>1227.55</v>
      </c>
    </row>
    <row r="678" spans="1:12" x14ac:dyDescent="0.25">
      <c r="A678" s="136">
        <v>42937</v>
      </c>
      <c r="B678" s="201" t="str">
        <f>"002006"</f>
        <v>002006</v>
      </c>
      <c r="C678" t="str">
        <f>"精功科技"</f>
        <v>精功科技</v>
      </c>
      <c r="D678">
        <v>2100</v>
      </c>
      <c r="E678">
        <v>2100</v>
      </c>
      <c r="F678">
        <v>8.4559999999999995</v>
      </c>
      <c r="G678">
        <v>-1146.8800000000001</v>
      </c>
      <c r="H678">
        <v>-6.46</v>
      </c>
      <c r="I678" s="309">
        <v>16611</v>
      </c>
      <c r="J678">
        <v>7.91</v>
      </c>
      <c r="K678" s="133">
        <f t="shared" si="10"/>
        <v>4.0001489189146623E-2</v>
      </c>
      <c r="L678" s="181">
        <v>0</v>
      </c>
    </row>
    <row r="679" spans="1:12" x14ac:dyDescent="0.25">
      <c r="A679" s="136">
        <v>42937</v>
      </c>
      <c r="B679" s="201" t="str">
        <f>"002140"</f>
        <v>002140</v>
      </c>
      <c r="C679" t="str">
        <f>"东华科技"</f>
        <v>东华科技</v>
      </c>
      <c r="D679">
        <v>8600</v>
      </c>
      <c r="E679">
        <v>8600</v>
      </c>
      <c r="F679">
        <v>12.848000000000001</v>
      </c>
      <c r="G679">
        <v>-4711.46</v>
      </c>
      <c r="H679">
        <v>-4.26</v>
      </c>
      <c r="I679" s="309">
        <v>105780</v>
      </c>
      <c r="J679">
        <v>12.3</v>
      </c>
      <c r="K679" s="133">
        <f t="shared" si="10"/>
        <v>0.25473225732514176</v>
      </c>
      <c r="L679" s="181">
        <v>-1443</v>
      </c>
    </row>
    <row r="680" spans="1:12" x14ac:dyDescent="0.25">
      <c r="A680" s="136">
        <v>42937</v>
      </c>
      <c r="B680" s="201" t="s">
        <v>835</v>
      </c>
      <c r="C680" t="str">
        <f>"备用金"</f>
        <v>备用金</v>
      </c>
      <c r="I680" s="309">
        <v>17317.2</v>
      </c>
      <c r="K680" s="133">
        <f t="shared" si="10"/>
        <v>4.170211237049485E-2</v>
      </c>
      <c r="L680" s="181">
        <v>0</v>
      </c>
    </row>
    <row r="681" spans="1:12" x14ac:dyDescent="0.25">
      <c r="A681" s="136">
        <v>42940</v>
      </c>
      <c r="B681" s="201" t="str">
        <f>"519888"</f>
        <v>519888</v>
      </c>
      <c r="C681" t="str">
        <f>"添富快线"</f>
        <v>添富快线</v>
      </c>
      <c r="D681">
        <v>21273077</v>
      </c>
      <c r="E681">
        <v>21273077</v>
      </c>
      <c r="F681">
        <v>0.01</v>
      </c>
      <c r="G681">
        <v>1756.28</v>
      </c>
      <c r="H681">
        <v>0</v>
      </c>
      <c r="I681" s="309">
        <v>212730.77</v>
      </c>
      <c r="J681">
        <v>0.01</v>
      </c>
      <c r="K681" s="133">
        <f t="shared" si="10"/>
        <v>0.51135966492349572</v>
      </c>
      <c r="L681" s="181">
        <v>57.430000000000099</v>
      </c>
    </row>
    <row r="682" spans="1:12" x14ac:dyDescent="0.25">
      <c r="A682" s="136">
        <v>42940</v>
      </c>
      <c r="B682" s="201" t="str">
        <f>"600269"</f>
        <v>600269</v>
      </c>
      <c r="C682" t="str">
        <f>"赣粤高速"</f>
        <v>赣粤高速</v>
      </c>
      <c r="D682">
        <v>100</v>
      </c>
      <c r="E682">
        <v>100</v>
      </c>
      <c r="F682">
        <v>4.9210000000000003</v>
      </c>
      <c r="G682">
        <v>108.87</v>
      </c>
      <c r="H682">
        <v>22.13</v>
      </c>
      <c r="I682" s="309">
        <v>601</v>
      </c>
      <c r="J682">
        <v>6.01</v>
      </c>
      <c r="K682" s="133">
        <f t="shared" si="10"/>
        <v>1.4446765675648187E-3</v>
      </c>
      <c r="L682" s="181">
        <v>41</v>
      </c>
    </row>
    <row r="683" spans="1:12" x14ac:dyDescent="0.25">
      <c r="A683" s="136">
        <v>42940</v>
      </c>
      <c r="B683" s="201" t="str">
        <f>"601398"</f>
        <v>601398</v>
      </c>
      <c r="C683" t="str">
        <f>"工商银行"</f>
        <v>工商银行</v>
      </c>
      <c r="D683">
        <v>100</v>
      </c>
      <c r="E683">
        <v>100</v>
      </c>
      <c r="F683">
        <v>-53.579000000000001</v>
      </c>
      <c r="G683">
        <v>5896.9</v>
      </c>
      <c r="H683">
        <v>0</v>
      </c>
      <c r="I683" s="309">
        <v>539</v>
      </c>
      <c r="J683">
        <v>5.39</v>
      </c>
      <c r="K683" s="133">
        <f t="shared" si="10"/>
        <v>1.2956417136729406E-3</v>
      </c>
      <c r="L683" s="181">
        <v>6</v>
      </c>
    </row>
    <row r="684" spans="1:12" x14ac:dyDescent="0.25">
      <c r="A684" s="136">
        <v>42940</v>
      </c>
      <c r="B684" s="201" t="str">
        <f>"601998"</f>
        <v>601998</v>
      </c>
      <c r="C684" t="str">
        <f>"中信银行"</f>
        <v>中信银行</v>
      </c>
      <c r="D684">
        <v>1100</v>
      </c>
      <c r="E684">
        <v>1100</v>
      </c>
      <c r="F684">
        <v>5.2949999999999999</v>
      </c>
      <c r="G684">
        <v>1622.68</v>
      </c>
      <c r="H684">
        <v>27.86</v>
      </c>
      <c r="I684" s="309">
        <v>7447</v>
      </c>
      <c r="J684">
        <v>6.77</v>
      </c>
      <c r="K684" s="133">
        <f t="shared" si="10"/>
        <v>1.7901008982787365E-2</v>
      </c>
      <c r="L684" s="181">
        <v>-134.07</v>
      </c>
    </row>
    <row r="685" spans="1:12" x14ac:dyDescent="0.25">
      <c r="A685" s="136">
        <v>42940</v>
      </c>
      <c r="B685" s="201" t="str">
        <f>"000402"</f>
        <v>000402</v>
      </c>
      <c r="C685" t="str">
        <f>"金 融 街"</f>
        <v>金 融 街</v>
      </c>
      <c r="D685">
        <v>200</v>
      </c>
      <c r="E685">
        <v>200</v>
      </c>
      <c r="F685">
        <v>-31.094999999999999</v>
      </c>
      <c r="G685">
        <v>8691</v>
      </c>
      <c r="H685">
        <v>0</v>
      </c>
      <c r="I685" s="309">
        <v>2472</v>
      </c>
      <c r="J685">
        <v>12.36</v>
      </c>
      <c r="K685" s="133">
        <f t="shared" si="10"/>
        <v>5.9421638519471416E-3</v>
      </c>
      <c r="L685" s="181">
        <v>42</v>
      </c>
    </row>
    <row r="686" spans="1:12" x14ac:dyDescent="0.25">
      <c r="A686" s="136">
        <v>42940</v>
      </c>
      <c r="B686" s="201" t="str">
        <f>"000415"</f>
        <v>000415</v>
      </c>
      <c r="C686" t="str">
        <f>"渤海金控"</f>
        <v>渤海金控</v>
      </c>
      <c r="D686">
        <v>100</v>
      </c>
      <c r="E686">
        <v>100</v>
      </c>
      <c r="F686">
        <v>-20.638000000000002</v>
      </c>
      <c r="G686">
        <v>2782.8</v>
      </c>
      <c r="H686">
        <v>0</v>
      </c>
      <c r="I686" s="309">
        <v>719</v>
      </c>
      <c r="J686">
        <v>7.19</v>
      </c>
      <c r="K686" s="133">
        <f t="shared" si="10"/>
        <v>1.728323547552587E-3</v>
      </c>
      <c r="L686" s="181">
        <v>25</v>
      </c>
    </row>
    <row r="687" spans="1:12" x14ac:dyDescent="0.25">
      <c r="A687" s="136">
        <v>42940</v>
      </c>
      <c r="B687" s="201" t="str">
        <f>"000528"</f>
        <v>000528</v>
      </c>
      <c r="C687" t="str">
        <f>"柳    工"</f>
        <v>柳    工</v>
      </c>
      <c r="D687">
        <v>5350</v>
      </c>
      <c r="E687">
        <v>5350</v>
      </c>
      <c r="F687">
        <v>9.4320000000000004</v>
      </c>
      <c r="G687">
        <v>-704.43</v>
      </c>
      <c r="H687">
        <v>-1.4</v>
      </c>
      <c r="I687" s="309">
        <v>49755</v>
      </c>
      <c r="J687">
        <v>9.3000000000000007</v>
      </c>
      <c r="K687" s="133">
        <f t="shared" si="10"/>
        <v>0.11960047024823221</v>
      </c>
      <c r="L687" s="181">
        <v>-559.84</v>
      </c>
    </row>
    <row r="688" spans="1:12" x14ac:dyDescent="0.25">
      <c r="A688" s="136">
        <v>42940</v>
      </c>
      <c r="B688" s="201" t="str">
        <f>"002006"</f>
        <v>002006</v>
      </c>
      <c r="C688" t="str">
        <f>"精功科技"</f>
        <v>精功科技</v>
      </c>
      <c r="D688">
        <v>2100</v>
      </c>
      <c r="E688">
        <v>2100</v>
      </c>
      <c r="F688">
        <v>8.4559999999999995</v>
      </c>
      <c r="G688">
        <v>-1146.8800000000001</v>
      </c>
      <c r="H688">
        <v>-6.46</v>
      </c>
      <c r="I688" s="309">
        <v>16611</v>
      </c>
      <c r="J688">
        <v>7.91</v>
      </c>
      <c r="K688" s="133">
        <f t="shared" si="10"/>
        <v>3.992932190319335E-2</v>
      </c>
      <c r="L688" s="181">
        <v>0</v>
      </c>
    </row>
    <row r="689" spans="1:12" x14ac:dyDescent="0.25">
      <c r="A689" s="136">
        <v>42940</v>
      </c>
      <c r="B689" s="201" t="str">
        <f>"002140"</f>
        <v>002140</v>
      </c>
      <c r="C689" t="str">
        <f>"东华科技"</f>
        <v>东华科技</v>
      </c>
      <c r="D689">
        <v>8600</v>
      </c>
      <c r="E689">
        <v>8600</v>
      </c>
      <c r="F689">
        <v>12.848000000000001</v>
      </c>
      <c r="G689">
        <v>-3421.46</v>
      </c>
      <c r="H689">
        <v>-3.1</v>
      </c>
      <c r="I689" s="309">
        <v>107070</v>
      </c>
      <c r="J689">
        <v>12.45</v>
      </c>
      <c r="K689" s="133">
        <f t="shared" si="10"/>
        <v>0.25737357751940954</v>
      </c>
      <c r="L689" s="181">
        <v>1290</v>
      </c>
    </row>
    <row r="690" spans="1:12" x14ac:dyDescent="0.25">
      <c r="A690" s="136">
        <v>42940</v>
      </c>
      <c r="B690" s="201" t="s">
        <v>835</v>
      </c>
      <c r="C690" t="s">
        <v>839</v>
      </c>
      <c r="I690" s="309">
        <v>18065.3</v>
      </c>
      <c r="K690" s="133">
        <f t="shared" si="10"/>
        <v>4.3425150742144293E-2</v>
      </c>
      <c r="L690" s="181">
        <v>0</v>
      </c>
    </row>
    <row r="691" spans="1:12" x14ac:dyDescent="0.25">
      <c r="A691" s="136">
        <v>42941</v>
      </c>
      <c r="B691" s="201" t="str">
        <f>"519888"</f>
        <v>519888</v>
      </c>
      <c r="C691" t="str">
        <f>"添富快线"</f>
        <v>添富快线</v>
      </c>
      <c r="D691">
        <v>21275234</v>
      </c>
      <c r="E691">
        <v>21275234</v>
      </c>
      <c r="F691">
        <v>0.01</v>
      </c>
      <c r="G691">
        <v>1777.85</v>
      </c>
      <c r="H691">
        <v>0</v>
      </c>
      <c r="I691" s="309">
        <v>212752.34</v>
      </c>
      <c r="J691">
        <v>0.01</v>
      </c>
      <c r="K691" s="133">
        <f t="shared" si="10"/>
        <v>0.51330291605687228</v>
      </c>
      <c r="L691" s="181">
        <v>21.569999999999901</v>
      </c>
    </row>
    <row r="692" spans="1:12" x14ac:dyDescent="0.25">
      <c r="A692" s="136">
        <v>42941</v>
      </c>
      <c r="B692" s="201" t="str">
        <f>"600269"</f>
        <v>600269</v>
      </c>
      <c r="C692" t="str">
        <f>"赣粤高速"</f>
        <v>赣粤高速</v>
      </c>
      <c r="D692">
        <v>100</v>
      </c>
      <c r="E692">
        <v>100</v>
      </c>
      <c r="F692">
        <v>4.9210000000000003</v>
      </c>
      <c r="G692">
        <v>88.87</v>
      </c>
      <c r="H692">
        <v>18.07</v>
      </c>
      <c r="I692" s="309">
        <v>581</v>
      </c>
      <c r="J692">
        <v>5.81</v>
      </c>
      <c r="K692" s="133">
        <f t="shared" si="10"/>
        <v>1.4017659887033103E-3</v>
      </c>
      <c r="L692" s="181">
        <v>-20</v>
      </c>
    </row>
    <row r="693" spans="1:12" x14ac:dyDescent="0.25">
      <c r="A693" s="136">
        <v>42941</v>
      </c>
      <c r="B693" s="201" t="str">
        <f>"601398"</f>
        <v>601398</v>
      </c>
      <c r="C693" t="str">
        <f>"工商银行"</f>
        <v>工商银行</v>
      </c>
      <c r="D693">
        <v>100</v>
      </c>
      <c r="E693">
        <v>100</v>
      </c>
      <c r="F693">
        <v>-53.579000000000001</v>
      </c>
      <c r="G693">
        <v>5905.9</v>
      </c>
      <c r="H693">
        <v>0</v>
      </c>
      <c r="I693" s="309">
        <v>548</v>
      </c>
      <c r="J693">
        <v>5.48</v>
      </c>
      <c r="K693" s="133">
        <f t="shared" si="10"/>
        <v>1.3221476106874597E-3</v>
      </c>
      <c r="L693" s="181">
        <v>9</v>
      </c>
    </row>
    <row r="694" spans="1:12" x14ac:dyDescent="0.25">
      <c r="A694" s="136">
        <v>42941</v>
      </c>
      <c r="B694" s="201" t="str">
        <f>"601998"</f>
        <v>601998</v>
      </c>
      <c r="C694" t="str">
        <f>"中信银行"</f>
        <v>中信银行</v>
      </c>
      <c r="D694">
        <v>1100</v>
      </c>
      <c r="E694">
        <v>1100</v>
      </c>
      <c r="F694">
        <v>5.2949999999999999</v>
      </c>
      <c r="G694">
        <v>1589.68</v>
      </c>
      <c r="H694">
        <v>27.29</v>
      </c>
      <c r="I694" s="309">
        <v>7414</v>
      </c>
      <c r="J694">
        <v>6.74</v>
      </c>
      <c r="K694" s="133">
        <f t="shared" si="10"/>
        <v>1.7887595594227784E-2</v>
      </c>
      <c r="L694" s="181">
        <v>-33</v>
      </c>
    </row>
    <row r="695" spans="1:12" x14ac:dyDescent="0.25">
      <c r="A695" s="136">
        <v>42941</v>
      </c>
      <c r="B695" s="201" t="str">
        <f>"000402"</f>
        <v>000402</v>
      </c>
      <c r="C695" t="str">
        <f>"金 融 街"</f>
        <v>金 融 街</v>
      </c>
      <c r="D695">
        <v>600</v>
      </c>
      <c r="E695">
        <v>600</v>
      </c>
      <c r="F695">
        <v>-2.343</v>
      </c>
      <c r="G695">
        <v>8605.7999999999993</v>
      </c>
      <c r="H695">
        <v>0</v>
      </c>
      <c r="I695" s="309">
        <v>7200</v>
      </c>
      <c r="J695">
        <v>12</v>
      </c>
      <c r="K695" s="133">
        <f t="shared" si="10"/>
        <v>1.73712824761856E-2</v>
      </c>
      <c r="L695" s="181">
        <v>-85.200000000000699</v>
      </c>
    </row>
    <row r="696" spans="1:12" x14ac:dyDescent="0.25">
      <c r="A696" s="136">
        <v>42941</v>
      </c>
      <c r="B696" s="201" t="str">
        <f>"000415"</f>
        <v>000415</v>
      </c>
      <c r="C696" t="str">
        <f>"渤海金控"</f>
        <v>渤海金控</v>
      </c>
      <c r="D696">
        <v>100</v>
      </c>
      <c r="E696">
        <v>100</v>
      </c>
      <c r="F696">
        <v>-20.638000000000002</v>
      </c>
      <c r="G696">
        <v>2771.8</v>
      </c>
      <c r="H696">
        <v>0</v>
      </c>
      <c r="I696" s="309">
        <v>708</v>
      </c>
      <c r="J696">
        <v>7.08</v>
      </c>
      <c r="K696" s="133">
        <f t="shared" si="10"/>
        <v>1.7081761101582508E-3</v>
      </c>
      <c r="L696" s="181">
        <v>-11</v>
      </c>
    </row>
    <row r="697" spans="1:12" x14ac:dyDescent="0.25">
      <c r="A697" s="136">
        <v>42941</v>
      </c>
      <c r="B697" s="201" t="str">
        <f>"000528"</f>
        <v>000528</v>
      </c>
      <c r="C697" t="str">
        <f>"柳    工"</f>
        <v>柳    工</v>
      </c>
      <c r="D697">
        <v>4950</v>
      </c>
      <c r="E697">
        <v>4950</v>
      </c>
      <c r="F697">
        <v>9.4190000000000005</v>
      </c>
      <c r="G697">
        <v>203.1</v>
      </c>
      <c r="H697">
        <v>0.44</v>
      </c>
      <c r="I697" s="309">
        <v>46827</v>
      </c>
      <c r="J697">
        <v>9.4600000000000009</v>
      </c>
      <c r="K697" s="133">
        <f t="shared" si="10"/>
        <v>0.1129784784044921</v>
      </c>
      <c r="L697" s="181">
        <v>907.53</v>
      </c>
    </row>
    <row r="698" spans="1:12" x14ac:dyDescent="0.25">
      <c r="A698" s="136">
        <v>42941</v>
      </c>
      <c r="B698" s="201" t="str">
        <f>"002006"</f>
        <v>002006</v>
      </c>
      <c r="C698" t="str">
        <f>"精功科技"</f>
        <v>精功科技</v>
      </c>
      <c r="D698">
        <v>2100</v>
      </c>
      <c r="E698">
        <v>2100</v>
      </c>
      <c r="F698">
        <v>8.4559999999999995</v>
      </c>
      <c r="G698">
        <v>-1146.8800000000001</v>
      </c>
      <c r="H698">
        <v>-6.46</v>
      </c>
      <c r="I698" s="309">
        <v>16611</v>
      </c>
      <c r="J698">
        <v>7.91</v>
      </c>
      <c r="K698" s="133">
        <f t="shared" si="10"/>
        <v>4.0076996279433195E-2</v>
      </c>
      <c r="L698" s="181">
        <v>0</v>
      </c>
    </row>
    <row r="699" spans="1:12" x14ac:dyDescent="0.25">
      <c r="A699" s="136">
        <v>42941</v>
      </c>
      <c r="B699" s="201" t="str">
        <f>"002140"</f>
        <v>002140</v>
      </c>
      <c r="C699" t="str">
        <f>"东华科技"</f>
        <v>东华科技</v>
      </c>
      <c r="D699">
        <v>8600</v>
      </c>
      <c r="E699">
        <v>8600</v>
      </c>
      <c r="F699">
        <v>12.848000000000001</v>
      </c>
      <c r="G699">
        <v>-5743.46</v>
      </c>
      <c r="H699">
        <v>-5.2</v>
      </c>
      <c r="I699" s="309">
        <v>104748</v>
      </c>
      <c r="J699">
        <v>12.18</v>
      </c>
      <c r="K699" s="133">
        <f t="shared" si="10"/>
        <v>0.25272320789104019</v>
      </c>
      <c r="L699" s="181">
        <v>-2322</v>
      </c>
    </row>
    <row r="700" spans="1:12" x14ac:dyDescent="0.25">
      <c r="A700" s="136">
        <v>42941</v>
      </c>
      <c r="B700" s="201" t="s">
        <v>835</v>
      </c>
      <c r="C700" t="s">
        <v>839</v>
      </c>
      <c r="I700" s="309">
        <v>17087.830000000002</v>
      </c>
      <c r="K700" s="133">
        <f t="shared" si="10"/>
        <v>4.1227433588199809E-2</v>
      </c>
      <c r="L700" s="181">
        <v>0</v>
      </c>
    </row>
    <row r="701" spans="1:12" x14ac:dyDescent="0.25">
      <c r="A701" s="136">
        <v>42942</v>
      </c>
      <c r="B701" s="201" t="s">
        <v>132</v>
      </c>
      <c r="C701" t="s">
        <v>123</v>
      </c>
      <c r="D701">
        <v>21277213</v>
      </c>
      <c r="E701">
        <v>21277213</v>
      </c>
      <c r="F701">
        <v>0.01</v>
      </c>
      <c r="G701">
        <v>1797.64</v>
      </c>
      <c r="H701">
        <v>0</v>
      </c>
      <c r="I701" s="309">
        <v>212772.13</v>
      </c>
      <c r="J701">
        <v>0.01</v>
      </c>
      <c r="K701" s="133">
        <f t="shared" si="10"/>
        <v>0.51223384515680015</v>
      </c>
      <c r="L701" s="181">
        <v>19.790000000000202</v>
      </c>
    </row>
    <row r="702" spans="1:12" x14ac:dyDescent="0.25">
      <c r="A702" s="136">
        <v>42942</v>
      </c>
      <c r="B702" s="201" t="s">
        <v>61</v>
      </c>
      <c r="C702" t="s">
        <v>136</v>
      </c>
      <c r="D702">
        <v>100</v>
      </c>
      <c r="E702">
        <v>100</v>
      </c>
      <c r="F702">
        <v>4.9210000000000003</v>
      </c>
      <c r="G702">
        <v>86.87</v>
      </c>
      <c r="H702">
        <v>17.66</v>
      </c>
      <c r="I702" s="309">
        <v>579</v>
      </c>
      <c r="J702">
        <v>5.79</v>
      </c>
      <c r="K702" s="133">
        <f t="shared" si="10"/>
        <v>1.3939015243480772E-3</v>
      </c>
      <c r="L702" s="181">
        <v>-2</v>
      </c>
    </row>
    <row r="703" spans="1:12" x14ac:dyDescent="0.25">
      <c r="A703" s="136">
        <v>42942</v>
      </c>
      <c r="B703" s="201" t="s">
        <v>124</v>
      </c>
      <c r="C703" t="s">
        <v>125</v>
      </c>
      <c r="D703">
        <v>100</v>
      </c>
      <c r="E703">
        <v>100</v>
      </c>
      <c r="F703">
        <v>-53.579000000000001</v>
      </c>
      <c r="G703">
        <v>5917.9</v>
      </c>
      <c r="H703">
        <v>0</v>
      </c>
      <c r="I703" s="309">
        <v>560</v>
      </c>
      <c r="J703">
        <v>5.6</v>
      </c>
      <c r="K703" s="133">
        <f t="shared" si="10"/>
        <v>1.3481603689722336E-3</v>
      </c>
      <c r="L703" s="181">
        <v>12</v>
      </c>
    </row>
    <row r="704" spans="1:12" x14ac:dyDescent="0.25">
      <c r="A704" s="136">
        <v>42942</v>
      </c>
      <c r="B704" s="201" t="s">
        <v>71</v>
      </c>
      <c r="C704" t="s">
        <v>126</v>
      </c>
      <c r="D704">
        <v>1600</v>
      </c>
      <c r="E704">
        <v>1600</v>
      </c>
      <c r="F704">
        <v>5.718</v>
      </c>
      <c r="G704">
        <v>1538.61</v>
      </c>
      <c r="H704">
        <v>16.829999999999998</v>
      </c>
      <c r="I704" s="309">
        <v>10688</v>
      </c>
      <c r="J704">
        <v>6.68</v>
      </c>
      <c r="K704" s="133">
        <f t="shared" si="10"/>
        <v>2.5730603613527202E-2</v>
      </c>
      <c r="L704" s="181">
        <v>-51.070000000000199</v>
      </c>
    </row>
    <row r="705" spans="1:12" x14ac:dyDescent="0.25">
      <c r="A705" s="136">
        <v>42942</v>
      </c>
      <c r="B705" s="201" t="s">
        <v>65</v>
      </c>
      <c r="C705" t="s">
        <v>127</v>
      </c>
      <c r="D705">
        <v>1600</v>
      </c>
      <c r="E705">
        <v>1600</v>
      </c>
      <c r="F705">
        <v>6.5149999999999997</v>
      </c>
      <c r="G705">
        <v>8456.09</v>
      </c>
      <c r="H705">
        <v>81.12</v>
      </c>
      <c r="I705" s="309">
        <v>18880</v>
      </c>
      <c r="J705">
        <v>11.8</v>
      </c>
      <c r="K705" s="133">
        <f t="shared" si="10"/>
        <v>4.5452263868206735E-2</v>
      </c>
      <c r="L705" s="181">
        <v>-149.70999999999901</v>
      </c>
    </row>
    <row r="706" spans="1:12" x14ac:dyDescent="0.25">
      <c r="A706" s="136">
        <v>42942</v>
      </c>
      <c r="B706" s="201" t="s">
        <v>77</v>
      </c>
      <c r="C706" t="s">
        <v>128</v>
      </c>
      <c r="D706">
        <v>100</v>
      </c>
      <c r="E706">
        <v>100</v>
      </c>
      <c r="F706">
        <v>-20.638000000000002</v>
      </c>
      <c r="G706">
        <v>2765.8</v>
      </c>
      <c r="H706">
        <v>0</v>
      </c>
      <c r="I706" s="309">
        <v>702</v>
      </c>
      <c r="J706">
        <v>7.02</v>
      </c>
      <c r="K706" s="133">
        <f t="shared" ref="K706:K769" si="11">I706/SUMIF(A:A,A706,I:I)</f>
        <v>1.6900153196759071E-3</v>
      </c>
      <c r="L706" s="181">
        <v>-6</v>
      </c>
    </row>
    <row r="707" spans="1:12" x14ac:dyDescent="0.25">
      <c r="A707" s="136">
        <v>42942</v>
      </c>
      <c r="B707" s="201" t="s">
        <v>67</v>
      </c>
      <c r="C707" t="s">
        <v>129</v>
      </c>
      <c r="D707">
        <v>4650</v>
      </c>
      <c r="E707">
        <v>4650</v>
      </c>
      <c r="F707">
        <v>9.3979999999999997</v>
      </c>
      <c r="G707">
        <v>55</v>
      </c>
      <c r="H707">
        <v>0.13</v>
      </c>
      <c r="I707" s="309">
        <v>43756.5</v>
      </c>
      <c r="J707">
        <v>9.41</v>
      </c>
      <c r="K707" s="133">
        <f t="shared" si="11"/>
        <v>0.10534067711595275</v>
      </c>
      <c r="L707" s="181">
        <v>-148.1</v>
      </c>
    </row>
    <row r="708" spans="1:12" x14ac:dyDescent="0.25">
      <c r="A708" s="136">
        <v>42942</v>
      </c>
      <c r="B708" s="201" t="s">
        <v>72</v>
      </c>
      <c r="C708" t="s">
        <v>130</v>
      </c>
      <c r="D708">
        <v>2100</v>
      </c>
      <c r="E708">
        <v>2100</v>
      </c>
      <c r="F708">
        <v>8.4559999999999995</v>
      </c>
      <c r="G708">
        <v>-1146.8800000000001</v>
      </c>
      <c r="H708">
        <v>-6.46</v>
      </c>
      <c r="I708" s="309">
        <v>16611</v>
      </c>
      <c r="J708">
        <v>7.91</v>
      </c>
      <c r="K708" s="133">
        <f t="shared" si="11"/>
        <v>3.9989806944638877E-2</v>
      </c>
      <c r="L708" s="181">
        <v>0</v>
      </c>
    </row>
    <row r="709" spans="1:12" x14ac:dyDescent="0.25">
      <c r="A709" s="136">
        <v>42942</v>
      </c>
      <c r="B709" s="201" t="s">
        <v>70</v>
      </c>
      <c r="C709" t="s">
        <v>131</v>
      </c>
      <c r="D709">
        <v>8600</v>
      </c>
      <c r="E709">
        <v>8600</v>
      </c>
      <c r="F709">
        <v>12.843999999999999</v>
      </c>
      <c r="G709">
        <v>-4510.3999999999996</v>
      </c>
      <c r="H709">
        <v>-4.08</v>
      </c>
      <c r="I709" s="309">
        <v>105952</v>
      </c>
      <c r="J709">
        <v>12.32</v>
      </c>
      <c r="K709" s="133">
        <f t="shared" si="11"/>
        <v>0.25507194180954662</v>
      </c>
      <c r="L709" s="181">
        <v>1233.06</v>
      </c>
    </row>
    <row r="710" spans="1:12" x14ac:dyDescent="0.25">
      <c r="A710" s="136">
        <v>42942</v>
      </c>
      <c r="B710" s="201" t="s">
        <v>835</v>
      </c>
      <c r="C710" t="s">
        <v>839</v>
      </c>
      <c r="I710" s="309">
        <v>4880.22</v>
      </c>
      <c r="K710" s="133">
        <f t="shared" si="11"/>
        <v>1.1748784278331561E-2</v>
      </c>
      <c r="L710" s="181">
        <v>0</v>
      </c>
    </row>
    <row r="711" spans="1:12" x14ac:dyDescent="0.25">
      <c r="A711" s="136">
        <v>42943</v>
      </c>
      <c r="B711" s="201" t="str">
        <f>"519888"</f>
        <v>519888</v>
      </c>
      <c r="C711" t="str">
        <f>"添富快线"</f>
        <v>添富快线</v>
      </c>
      <c r="D711">
        <v>21979342</v>
      </c>
      <c r="E711">
        <v>21979342</v>
      </c>
      <c r="F711">
        <v>0.01</v>
      </c>
      <c r="G711">
        <v>1818.93</v>
      </c>
      <c r="H711">
        <v>0</v>
      </c>
      <c r="I711" s="309">
        <v>219793.42</v>
      </c>
      <c r="J711">
        <v>0.01</v>
      </c>
      <c r="K711" s="133">
        <f t="shared" si="11"/>
        <v>0.52842739602537137</v>
      </c>
      <c r="L711" s="181">
        <v>21.29</v>
      </c>
    </row>
    <row r="712" spans="1:12" x14ac:dyDescent="0.25">
      <c r="A712" s="136">
        <v>42943</v>
      </c>
      <c r="B712" s="201" t="str">
        <f>"600269"</f>
        <v>600269</v>
      </c>
      <c r="C712" t="str">
        <f>"赣粤高速"</f>
        <v>赣粤高速</v>
      </c>
      <c r="D712">
        <v>100</v>
      </c>
      <c r="E712">
        <v>100</v>
      </c>
      <c r="F712">
        <v>4.9210000000000003</v>
      </c>
      <c r="G712">
        <v>84.87</v>
      </c>
      <c r="H712">
        <v>17.25</v>
      </c>
      <c r="I712" s="309">
        <v>577</v>
      </c>
      <c r="J712">
        <v>5.77</v>
      </c>
      <c r="K712" s="133">
        <f t="shared" si="11"/>
        <v>1.3872235461218048E-3</v>
      </c>
      <c r="L712" s="181">
        <v>-2</v>
      </c>
    </row>
    <row r="713" spans="1:12" x14ac:dyDescent="0.25">
      <c r="A713" s="136">
        <v>42943</v>
      </c>
      <c r="B713" s="201" t="str">
        <f>"601398"</f>
        <v>601398</v>
      </c>
      <c r="C713" t="str">
        <f>"工商银行"</f>
        <v>工商银行</v>
      </c>
      <c r="D713">
        <v>100</v>
      </c>
      <c r="E713">
        <v>100</v>
      </c>
      <c r="F713">
        <v>-53.579000000000001</v>
      </c>
      <c r="G713">
        <v>5910.9</v>
      </c>
      <c r="H713">
        <v>0</v>
      </c>
      <c r="I713" s="309">
        <v>553</v>
      </c>
      <c r="J713">
        <v>5.53</v>
      </c>
      <c r="K713" s="133">
        <f t="shared" si="11"/>
        <v>1.3295227400439481E-3</v>
      </c>
      <c r="L713" s="181">
        <v>-7</v>
      </c>
    </row>
    <row r="714" spans="1:12" x14ac:dyDescent="0.25">
      <c r="A714" s="136">
        <v>42943</v>
      </c>
      <c r="B714" s="201" t="str">
        <f>"601998"</f>
        <v>601998</v>
      </c>
      <c r="C714" t="str">
        <f>"中信银行"</f>
        <v>中信银行</v>
      </c>
      <c r="D714">
        <v>1600</v>
      </c>
      <c r="E714">
        <v>1600</v>
      </c>
      <c r="F714">
        <v>5.718</v>
      </c>
      <c r="G714">
        <v>1490.61</v>
      </c>
      <c r="H714">
        <v>16.3</v>
      </c>
      <c r="I714" s="309">
        <v>10640</v>
      </c>
      <c r="J714">
        <v>6.65</v>
      </c>
      <c r="K714" s="133">
        <f t="shared" si="11"/>
        <v>2.5580690694516472E-2</v>
      </c>
      <c r="L714" s="181">
        <v>-48</v>
      </c>
    </row>
    <row r="715" spans="1:12" x14ac:dyDescent="0.25">
      <c r="A715" s="136">
        <v>42943</v>
      </c>
      <c r="B715" s="201" t="str">
        <f>"000402"</f>
        <v>000402</v>
      </c>
      <c r="C715" t="str">
        <f>"金 融 街"</f>
        <v>金 融 街</v>
      </c>
      <c r="D715">
        <v>1300</v>
      </c>
      <c r="E715">
        <v>1300</v>
      </c>
      <c r="F715">
        <v>5.2370000000000001</v>
      </c>
      <c r="G715">
        <v>8557.61</v>
      </c>
      <c r="H715">
        <v>125.7</v>
      </c>
      <c r="I715" s="309">
        <v>15366</v>
      </c>
      <c r="J715">
        <v>11.82</v>
      </c>
      <c r="K715" s="133">
        <f t="shared" si="11"/>
        <v>3.6942941091347756E-2</v>
      </c>
      <c r="L715" s="181">
        <v>101.52</v>
      </c>
    </row>
    <row r="716" spans="1:12" x14ac:dyDescent="0.25">
      <c r="A716" s="136">
        <v>42943</v>
      </c>
      <c r="B716" s="201" t="str">
        <f>"000415"</f>
        <v>000415</v>
      </c>
      <c r="C716" t="str">
        <f>"渤海金控"</f>
        <v>渤海金控</v>
      </c>
      <c r="D716">
        <v>100</v>
      </c>
      <c r="E716">
        <v>100</v>
      </c>
      <c r="F716">
        <v>-20.638000000000002</v>
      </c>
      <c r="G716">
        <v>2770.8</v>
      </c>
      <c r="H716">
        <v>0</v>
      </c>
      <c r="I716" s="309">
        <v>707</v>
      </c>
      <c r="J716">
        <v>7.07</v>
      </c>
      <c r="K716" s="133">
        <f t="shared" si="11"/>
        <v>1.6997695790435287E-3</v>
      </c>
      <c r="L716" s="181">
        <v>5</v>
      </c>
    </row>
    <row r="717" spans="1:12" x14ac:dyDescent="0.25">
      <c r="A717" s="136">
        <v>42943</v>
      </c>
      <c r="B717" s="201" t="str">
        <f>"000528"</f>
        <v>000528</v>
      </c>
      <c r="C717" t="str">
        <f>"柳    工"</f>
        <v>柳    工</v>
      </c>
      <c r="D717">
        <v>5150</v>
      </c>
      <c r="E717">
        <v>5150</v>
      </c>
      <c r="F717">
        <v>9.3879999999999999</v>
      </c>
      <c r="G717">
        <v>-915</v>
      </c>
      <c r="H717">
        <v>-1.9</v>
      </c>
      <c r="I717" s="309">
        <v>47431.5</v>
      </c>
      <c r="J717">
        <v>9.2100000000000009</v>
      </c>
      <c r="K717" s="133">
        <f t="shared" si="11"/>
        <v>0.11403482431174418</v>
      </c>
      <c r="L717" s="181">
        <v>-970</v>
      </c>
    </row>
    <row r="718" spans="1:12" x14ac:dyDescent="0.25">
      <c r="A718" s="136">
        <v>42943</v>
      </c>
      <c r="B718" s="201" t="str">
        <f>"002006"</f>
        <v>002006</v>
      </c>
      <c r="C718" t="str">
        <f>"精功科技"</f>
        <v>精功科技</v>
      </c>
      <c r="D718">
        <v>2100</v>
      </c>
      <c r="E718">
        <v>2100</v>
      </c>
      <c r="F718">
        <v>8.4559999999999995</v>
      </c>
      <c r="G718">
        <v>-1146.8800000000001</v>
      </c>
      <c r="H718">
        <v>-6.46</v>
      </c>
      <c r="I718" s="309">
        <v>16611</v>
      </c>
      <c r="J718">
        <v>7.91</v>
      </c>
      <c r="K718" s="133">
        <f t="shared" si="11"/>
        <v>3.9936170406636572E-2</v>
      </c>
      <c r="L718" s="181">
        <v>0</v>
      </c>
    </row>
    <row r="719" spans="1:12" x14ac:dyDescent="0.25">
      <c r="A719" s="136">
        <v>42943</v>
      </c>
      <c r="B719" s="201" t="str">
        <f>"002140"</f>
        <v>002140</v>
      </c>
      <c r="C719" t="str">
        <f>"东华科技"</f>
        <v>东华科技</v>
      </c>
      <c r="D719">
        <v>7800</v>
      </c>
      <c r="E719">
        <v>7800</v>
      </c>
      <c r="F719">
        <v>12.891</v>
      </c>
      <c r="G719">
        <v>-3050.33</v>
      </c>
      <c r="H719">
        <v>-3.03</v>
      </c>
      <c r="I719" s="309">
        <v>97500</v>
      </c>
      <c r="J719">
        <v>12.5</v>
      </c>
      <c r="K719" s="133">
        <f t="shared" si="11"/>
        <v>0.23440952469129286</v>
      </c>
      <c r="L719" s="181">
        <v>1460.07</v>
      </c>
    </row>
    <row r="720" spans="1:12" x14ac:dyDescent="0.25">
      <c r="A720" s="136">
        <v>42943</v>
      </c>
      <c r="B720" s="201" t="s">
        <v>835</v>
      </c>
      <c r="C720" t="s">
        <v>839</v>
      </c>
      <c r="I720" s="309">
        <v>6759.81</v>
      </c>
      <c r="K720" s="133">
        <f t="shared" si="11"/>
        <v>1.6251936913881521E-2</v>
      </c>
      <c r="L720" s="181">
        <v>0</v>
      </c>
    </row>
    <row r="721" spans="1:12" x14ac:dyDescent="0.25">
      <c r="A721" s="136">
        <v>42944</v>
      </c>
      <c r="B721" s="201" t="str">
        <f>"519888"</f>
        <v>519888</v>
      </c>
      <c r="C721" t="str">
        <f>"添富快线"</f>
        <v>添富快线</v>
      </c>
      <c r="D721">
        <v>21981290</v>
      </c>
      <c r="E721">
        <v>21981290</v>
      </c>
      <c r="F721">
        <v>0.01</v>
      </c>
      <c r="G721">
        <v>1838.41</v>
      </c>
      <c r="H721">
        <v>0</v>
      </c>
      <c r="I721" s="309">
        <v>219812.9</v>
      </c>
      <c r="J721">
        <v>0.01</v>
      </c>
      <c r="K721" s="133">
        <f t="shared" si="11"/>
        <v>0.52946239549030494</v>
      </c>
      <c r="L721" s="181">
        <v>19.48</v>
      </c>
    </row>
    <row r="722" spans="1:12" x14ac:dyDescent="0.25">
      <c r="A722" s="136">
        <v>42944</v>
      </c>
      <c r="B722" s="201" t="str">
        <f>"600269"</f>
        <v>600269</v>
      </c>
      <c r="C722" t="str">
        <f>"赣粤高速"</f>
        <v>赣粤高速</v>
      </c>
      <c r="D722">
        <v>100</v>
      </c>
      <c r="E722">
        <v>100</v>
      </c>
      <c r="F722">
        <v>4.9210000000000003</v>
      </c>
      <c r="G722">
        <v>77.87</v>
      </c>
      <c r="H722">
        <v>15.83</v>
      </c>
      <c r="I722" s="309">
        <v>570</v>
      </c>
      <c r="J722">
        <v>5.7</v>
      </c>
      <c r="K722" s="133">
        <f t="shared" si="11"/>
        <v>1.372956570926792E-3</v>
      </c>
      <c r="L722" s="181">
        <v>-7</v>
      </c>
    </row>
    <row r="723" spans="1:12" x14ac:dyDescent="0.25">
      <c r="A723" s="136">
        <v>42944</v>
      </c>
      <c r="B723" s="201" t="str">
        <f>"601398"</f>
        <v>601398</v>
      </c>
      <c r="C723" t="str">
        <f>"工商银行"</f>
        <v>工商银行</v>
      </c>
      <c r="D723">
        <v>100</v>
      </c>
      <c r="E723">
        <v>100</v>
      </c>
      <c r="F723">
        <v>-53.579000000000001</v>
      </c>
      <c r="G723">
        <v>5912.9</v>
      </c>
      <c r="H723">
        <v>0</v>
      </c>
      <c r="I723" s="309">
        <v>555</v>
      </c>
      <c r="J723">
        <v>5.55</v>
      </c>
      <c r="K723" s="133">
        <f t="shared" si="11"/>
        <v>1.336826134849771E-3</v>
      </c>
      <c r="L723" s="181">
        <v>2</v>
      </c>
    </row>
    <row r="724" spans="1:12" x14ac:dyDescent="0.25">
      <c r="A724" s="136">
        <v>42944</v>
      </c>
      <c r="B724" s="201" t="str">
        <f>"601998"</f>
        <v>601998</v>
      </c>
      <c r="C724" t="str">
        <f>"中信银行"</f>
        <v>中信银行</v>
      </c>
      <c r="D724">
        <v>1600</v>
      </c>
      <c r="E724">
        <v>1600</v>
      </c>
      <c r="F724">
        <v>5.718</v>
      </c>
      <c r="G724">
        <v>1522.61</v>
      </c>
      <c r="H724">
        <v>16.649999999999999</v>
      </c>
      <c r="I724" s="309">
        <v>10672</v>
      </c>
      <c r="J724">
        <v>6.67</v>
      </c>
      <c r="K724" s="133">
        <f t="shared" si="11"/>
        <v>2.5705600920931094E-2</v>
      </c>
      <c r="L724" s="181">
        <v>32</v>
      </c>
    </row>
    <row r="725" spans="1:12" x14ac:dyDescent="0.25">
      <c r="A725" s="136">
        <v>42944</v>
      </c>
      <c r="B725" s="201" t="str">
        <f>"000402"</f>
        <v>000402</v>
      </c>
      <c r="C725" t="str">
        <f>"金 融 街"</f>
        <v>金 融 街</v>
      </c>
      <c r="D725">
        <v>1400</v>
      </c>
      <c r="E725">
        <v>1400</v>
      </c>
      <c r="F725">
        <v>5.694</v>
      </c>
      <c r="G725">
        <v>8548.84</v>
      </c>
      <c r="H725">
        <v>107.24</v>
      </c>
      <c r="I725" s="309">
        <v>16520</v>
      </c>
      <c r="J725">
        <v>11.8</v>
      </c>
      <c r="K725" s="133">
        <f t="shared" si="11"/>
        <v>3.9791653599492285E-2</v>
      </c>
      <c r="L725" s="181">
        <v>-8.7700000000004401</v>
      </c>
    </row>
    <row r="726" spans="1:12" x14ac:dyDescent="0.25">
      <c r="A726" s="136">
        <v>42944</v>
      </c>
      <c r="B726" s="201" t="str">
        <f>"000415"</f>
        <v>000415</v>
      </c>
      <c r="C726" t="str">
        <f>"渤海金控"</f>
        <v>渤海金控</v>
      </c>
      <c r="D726">
        <v>100</v>
      </c>
      <c r="E726">
        <v>100</v>
      </c>
      <c r="F726">
        <v>-20.638000000000002</v>
      </c>
      <c r="G726">
        <v>2765.8</v>
      </c>
      <c r="H726">
        <v>0</v>
      </c>
      <c r="I726" s="309">
        <v>702</v>
      </c>
      <c r="J726">
        <v>7.02</v>
      </c>
      <c r="K726" s="133">
        <f t="shared" si="11"/>
        <v>1.6909044084045754E-3</v>
      </c>
      <c r="L726" s="181">
        <v>-5</v>
      </c>
    </row>
    <row r="727" spans="1:12" x14ac:dyDescent="0.25">
      <c r="A727" s="136">
        <v>42944</v>
      </c>
      <c r="B727" s="201" t="str">
        <f>"000528"</f>
        <v>000528</v>
      </c>
      <c r="C727" t="str">
        <f>"柳    工"</f>
        <v>柳    工</v>
      </c>
      <c r="D727">
        <v>5150</v>
      </c>
      <c r="E727">
        <v>5150</v>
      </c>
      <c r="F727">
        <v>9.3879999999999999</v>
      </c>
      <c r="G727">
        <v>-1018</v>
      </c>
      <c r="H727">
        <v>-2.11</v>
      </c>
      <c r="I727" s="309">
        <v>47328.5</v>
      </c>
      <c r="J727">
        <v>9.19</v>
      </c>
      <c r="K727" s="133">
        <f t="shared" si="11"/>
        <v>0.11399995625808539</v>
      </c>
      <c r="L727" s="181">
        <v>-103</v>
      </c>
    </row>
    <row r="728" spans="1:12" x14ac:dyDescent="0.25">
      <c r="A728" s="136">
        <v>42944</v>
      </c>
      <c r="B728" s="201" t="str">
        <f>"002006"</f>
        <v>002006</v>
      </c>
      <c r="C728" t="str">
        <f>"精功科技"</f>
        <v>精功科技</v>
      </c>
      <c r="D728">
        <v>2100</v>
      </c>
      <c r="E728">
        <v>2100</v>
      </c>
      <c r="F728">
        <v>8.4559999999999995</v>
      </c>
      <c r="G728">
        <v>-1146.8800000000001</v>
      </c>
      <c r="H728">
        <v>-6.46</v>
      </c>
      <c r="I728" s="309">
        <v>16611</v>
      </c>
      <c r="J728">
        <v>7.91</v>
      </c>
      <c r="K728" s="133">
        <f t="shared" si="11"/>
        <v>4.0010844911692878E-2</v>
      </c>
      <c r="L728" s="181">
        <v>0</v>
      </c>
    </row>
    <row r="729" spans="1:12" x14ac:dyDescent="0.25">
      <c r="A729" s="136">
        <v>42944</v>
      </c>
      <c r="B729" s="201" t="str">
        <f>"002140"</f>
        <v>002140</v>
      </c>
      <c r="C729" t="str">
        <f>"东华科技"</f>
        <v>东华科技</v>
      </c>
      <c r="D729">
        <v>7800</v>
      </c>
      <c r="E729">
        <v>7800</v>
      </c>
      <c r="F729">
        <v>12.891</v>
      </c>
      <c r="G729">
        <v>-3752.33</v>
      </c>
      <c r="H729">
        <v>-3.73</v>
      </c>
      <c r="I729" s="309">
        <v>96798</v>
      </c>
      <c r="J729">
        <v>12.41</v>
      </c>
      <c r="K729" s="133">
        <f t="shared" si="11"/>
        <v>0.23315693009223087</v>
      </c>
      <c r="L729" s="181">
        <v>-702</v>
      </c>
    </row>
    <row r="730" spans="1:12" x14ac:dyDescent="0.25">
      <c r="A730" s="136">
        <v>42944</v>
      </c>
      <c r="B730" s="201" t="s">
        <v>835</v>
      </c>
      <c r="C730" t="s">
        <v>839</v>
      </c>
      <c r="I730" s="309">
        <v>5593.04</v>
      </c>
      <c r="K730" s="133">
        <f t="shared" si="11"/>
        <v>1.3471931613081375E-2</v>
      </c>
      <c r="L730" s="181">
        <v>0</v>
      </c>
    </row>
    <row r="731" spans="1:12" x14ac:dyDescent="0.25">
      <c r="A731" s="136">
        <v>42947</v>
      </c>
      <c r="B731" s="201" t="str">
        <f>"519888"</f>
        <v>519888</v>
      </c>
      <c r="C731" t="str">
        <f>"添富快线"</f>
        <v>添富快线</v>
      </c>
      <c r="D731">
        <v>20987147</v>
      </c>
      <c r="E731">
        <v>20987147</v>
      </c>
      <c r="F731">
        <v>0.01</v>
      </c>
      <c r="G731">
        <v>1896.98</v>
      </c>
      <c r="H731">
        <v>0</v>
      </c>
      <c r="I731" s="309">
        <v>209871.47</v>
      </c>
      <c r="J731">
        <v>0.01</v>
      </c>
      <c r="K731" s="133">
        <f t="shared" si="11"/>
        <v>0.50358685847863893</v>
      </c>
      <c r="L731" s="181">
        <v>58.569999999999901</v>
      </c>
    </row>
    <row r="732" spans="1:12" x14ac:dyDescent="0.25">
      <c r="A732" s="136">
        <v>42947</v>
      </c>
      <c r="B732" s="201" t="str">
        <f>"600269"</f>
        <v>600269</v>
      </c>
      <c r="C732" t="str">
        <f>"赣粤高速"</f>
        <v>赣粤高速</v>
      </c>
      <c r="D732">
        <v>100</v>
      </c>
      <c r="E732">
        <v>100</v>
      </c>
      <c r="F732">
        <v>4.9210000000000003</v>
      </c>
      <c r="G732">
        <v>88.87</v>
      </c>
      <c r="H732">
        <v>18.07</v>
      </c>
      <c r="I732" s="309">
        <v>581</v>
      </c>
      <c r="J732">
        <v>5.81</v>
      </c>
      <c r="K732" s="133">
        <f t="shared" si="11"/>
        <v>1.3941102369754653E-3</v>
      </c>
      <c r="L732" s="181">
        <v>11</v>
      </c>
    </row>
    <row r="733" spans="1:12" x14ac:dyDescent="0.25">
      <c r="A733" s="136">
        <v>42947</v>
      </c>
      <c r="B733" s="201" t="str">
        <f>"601398"</f>
        <v>601398</v>
      </c>
      <c r="C733" t="str">
        <f>"工商银行"</f>
        <v>工商银行</v>
      </c>
      <c r="D733">
        <v>100</v>
      </c>
      <c r="E733">
        <v>100</v>
      </c>
      <c r="F733">
        <v>-53.579000000000001</v>
      </c>
      <c r="G733">
        <v>5908.9</v>
      </c>
      <c r="H733">
        <v>0</v>
      </c>
      <c r="I733" s="309">
        <v>551</v>
      </c>
      <c r="J733">
        <v>5.51</v>
      </c>
      <c r="K733" s="133">
        <f t="shared" si="11"/>
        <v>1.3221251989216547E-3</v>
      </c>
      <c r="L733" s="181">
        <v>-4</v>
      </c>
    </row>
    <row r="734" spans="1:12" x14ac:dyDescent="0.25">
      <c r="A734" s="136">
        <v>42947</v>
      </c>
      <c r="B734" s="201" t="str">
        <f>"601998"</f>
        <v>601998</v>
      </c>
      <c r="C734" t="str">
        <f>"中信银行"</f>
        <v>中信银行</v>
      </c>
      <c r="D734">
        <v>2100</v>
      </c>
      <c r="E734">
        <v>2100</v>
      </c>
      <c r="F734">
        <v>5.9349999999999996</v>
      </c>
      <c r="G734">
        <v>1500.54</v>
      </c>
      <c r="H734">
        <v>12.05</v>
      </c>
      <c r="I734" s="309">
        <v>13965</v>
      </c>
      <c r="J734">
        <v>6.65</v>
      </c>
      <c r="K734" s="133">
        <f t="shared" si="11"/>
        <v>3.3509035214048834E-2</v>
      </c>
      <c r="L734" s="181">
        <v>-22.069999999999901</v>
      </c>
    </row>
    <row r="735" spans="1:12" x14ac:dyDescent="0.25">
      <c r="A735" s="136">
        <v>42947</v>
      </c>
      <c r="B735" s="201" t="str">
        <f>"000402"</f>
        <v>000402</v>
      </c>
      <c r="C735" t="str">
        <f>"金 融 街"</f>
        <v>金 融 街</v>
      </c>
      <c r="D735">
        <v>1900</v>
      </c>
      <c r="E735">
        <v>1900</v>
      </c>
      <c r="F735">
        <v>7.29</v>
      </c>
      <c r="G735">
        <v>8511.84</v>
      </c>
      <c r="H735">
        <v>61.46</v>
      </c>
      <c r="I735" s="309">
        <v>22363</v>
      </c>
      <c r="J735">
        <v>11.77</v>
      </c>
      <c r="K735" s="133">
        <f t="shared" si="11"/>
        <v>5.3660046866578881E-2</v>
      </c>
      <c r="L735" s="181">
        <v>-37</v>
      </c>
    </row>
    <row r="736" spans="1:12" x14ac:dyDescent="0.25">
      <c r="A736" s="136">
        <v>42947</v>
      </c>
      <c r="B736" s="201" t="str">
        <f>"000415"</f>
        <v>000415</v>
      </c>
      <c r="C736" t="str">
        <f>"渤海金控"</f>
        <v>渤海金控</v>
      </c>
      <c r="D736">
        <v>100</v>
      </c>
      <c r="E736">
        <v>100</v>
      </c>
      <c r="F736">
        <v>-20.638000000000002</v>
      </c>
      <c r="G736">
        <v>2762.8</v>
      </c>
      <c r="H736">
        <v>0</v>
      </c>
      <c r="I736" s="309">
        <v>699</v>
      </c>
      <c r="J736">
        <v>6.99</v>
      </c>
      <c r="K736" s="133">
        <f t="shared" si="11"/>
        <v>1.6772513866537869E-3</v>
      </c>
      <c r="L736" s="181">
        <v>-3</v>
      </c>
    </row>
    <row r="737" spans="1:12" x14ac:dyDescent="0.25">
      <c r="A737" s="136">
        <v>42947</v>
      </c>
      <c r="B737" s="201" t="str">
        <f>"000528"</f>
        <v>000528</v>
      </c>
      <c r="C737" t="str">
        <f>"柳    工"</f>
        <v>柳    工</v>
      </c>
      <c r="D737">
        <v>4650</v>
      </c>
      <c r="E737">
        <v>4650</v>
      </c>
      <c r="F737">
        <v>9.3960000000000008</v>
      </c>
      <c r="G737">
        <v>-678.67</v>
      </c>
      <c r="H737">
        <v>-1.55</v>
      </c>
      <c r="I737" s="309">
        <v>43012.5</v>
      </c>
      <c r="J737">
        <v>9.25</v>
      </c>
      <c r="K737" s="133">
        <f t="shared" si="11"/>
        <v>0.10320854830965094</v>
      </c>
      <c r="L737" s="181">
        <v>339.33</v>
      </c>
    </row>
    <row r="738" spans="1:12" x14ac:dyDescent="0.25">
      <c r="A738" s="136">
        <v>42947</v>
      </c>
      <c r="B738" s="201" t="str">
        <f>"002006"</f>
        <v>002006</v>
      </c>
      <c r="C738" t="str">
        <f>"精功科技"</f>
        <v>精功科技</v>
      </c>
      <c r="D738">
        <v>2100</v>
      </c>
      <c r="E738">
        <v>2100</v>
      </c>
      <c r="F738">
        <v>8.4559999999999995</v>
      </c>
      <c r="G738">
        <v>-1146.8800000000001</v>
      </c>
      <c r="H738">
        <v>-6.46</v>
      </c>
      <c r="I738" s="309">
        <v>16611</v>
      </c>
      <c r="J738">
        <v>7.91</v>
      </c>
      <c r="K738" s="133">
        <f t="shared" si="11"/>
        <v>3.9858115570394925E-2</v>
      </c>
      <c r="L738" s="181">
        <v>0</v>
      </c>
    </row>
    <row r="739" spans="1:12" x14ac:dyDescent="0.25">
      <c r="A739" s="136">
        <v>42947</v>
      </c>
      <c r="B739" s="201" t="str">
        <f>"002140"</f>
        <v>002140</v>
      </c>
      <c r="C739" t="str">
        <f>"东华科技"</f>
        <v>东华科技</v>
      </c>
      <c r="D739">
        <v>7800</v>
      </c>
      <c r="E739">
        <v>7800</v>
      </c>
      <c r="F739">
        <v>12.891</v>
      </c>
      <c r="G739">
        <v>-2504.33</v>
      </c>
      <c r="H739">
        <v>-2.4900000000000002</v>
      </c>
      <c r="I739" s="309">
        <v>98046</v>
      </c>
      <c r="J739">
        <v>12.57</v>
      </c>
      <c r="K739" s="133">
        <f t="shared" si="11"/>
        <v>0.23526150136746379</v>
      </c>
      <c r="L739" s="181">
        <v>1248</v>
      </c>
    </row>
    <row r="740" spans="1:12" x14ac:dyDescent="0.25">
      <c r="A740" s="136">
        <v>42947</v>
      </c>
      <c r="B740" s="201" t="s">
        <v>835</v>
      </c>
      <c r="C740" t="s">
        <v>839</v>
      </c>
      <c r="I740" s="309">
        <v>11053.3</v>
      </c>
      <c r="K740" s="133">
        <f t="shared" si="11"/>
        <v>2.652240737067282E-2</v>
      </c>
      <c r="L740" s="181">
        <v>0</v>
      </c>
    </row>
    <row r="741" spans="1:12" x14ac:dyDescent="0.25">
      <c r="A741" s="136">
        <v>42948</v>
      </c>
      <c r="B741" s="201" t="str">
        <f>"519888"</f>
        <v>519888</v>
      </c>
      <c r="C741" t="str">
        <f>"添富快线"</f>
        <v>添富快线</v>
      </c>
      <c r="D741">
        <v>20989359</v>
      </c>
      <c r="E741">
        <v>20989359</v>
      </c>
      <c r="F741">
        <v>0.01</v>
      </c>
      <c r="G741">
        <v>1919.1</v>
      </c>
      <c r="H741">
        <v>0</v>
      </c>
      <c r="I741" s="309">
        <v>209893.59</v>
      </c>
      <c r="J741">
        <v>0.01</v>
      </c>
      <c r="K741" s="133">
        <f t="shared" si="11"/>
        <v>0.50329998871077319</v>
      </c>
      <c r="L741" s="181">
        <v>22.119999999999902</v>
      </c>
    </row>
    <row r="742" spans="1:12" x14ac:dyDescent="0.25">
      <c r="A742" s="136">
        <v>42948</v>
      </c>
      <c r="B742" s="201" t="str">
        <f>"600269"</f>
        <v>600269</v>
      </c>
      <c r="C742" t="str">
        <f>"赣粤高速"</f>
        <v>赣粤高速</v>
      </c>
      <c r="D742">
        <v>100</v>
      </c>
      <c r="E742">
        <v>100</v>
      </c>
      <c r="F742">
        <v>4.9210000000000003</v>
      </c>
      <c r="G742">
        <v>84.87</v>
      </c>
      <c r="H742">
        <v>17.25</v>
      </c>
      <c r="I742" s="309">
        <v>577</v>
      </c>
      <c r="J742">
        <v>5.77</v>
      </c>
      <c r="K742" s="133">
        <f t="shared" si="11"/>
        <v>1.3835777142413741E-3</v>
      </c>
      <c r="L742" s="181">
        <v>-4</v>
      </c>
    </row>
    <row r="743" spans="1:12" x14ac:dyDescent="0.25">
      <c r="A743" s="136">
        <v>42948</v>
      </c>
      <c r="B743" s="201" t="str">
        <f>"601398"</f>
        <v>601398</v>
      </c>
      <c r="C743" t="str">
        <f>"工商银行"</f>
        <v>工商银行</v>
      </c>
      <c r="D743">
        <v>100</v>
      </c>
      <c r="E743">
        <v>100</v>
      </c>
      <c r="F743">
        <v>-53.579000000000001</v>
      </c>
      <c r="G743">
        <v>5913.9</v>
      </c>
      <c r="H743">
        <v>0</v>
      </c>
      <c r="I743" s="309">
        <v>556</v>
      </c>
      <c r="J743">
        <v>5.56</v>
      </c>
      <c r="K743" s="133">
        <f t="shared" si="11"/>
        <v>1.3332221995116188E-3</v>
      </c>
      <c r="L743" s="181">
        <v>5</v>
      </c>
    </row>
    <row r="744" spans="1:12" x14ac:dyDescent="0.25">
      <c r="A744" s="136">
        <v>42948</v>
      </c>
      <c r="B744" s="201" t="str">
        <f>"601998"</f>
        <v>601998</v>
      </c>
      <c r="C744" t="str">
        <f>"中信银行"</f>
        <v>中信银行</v>
      </c>
      <c r="D744">
        <v>2100</v>
      </c>
      <c r="E744">
        <v>2100</v>
      </c>
      <c r="F744">
        <v>5.9349999999999996</v>
      </c>
      <c r="G744">
        <v>1689.54</v>
      </c>
      <c r="H744">
        <v>13.56</v>
      </c>
      <c r="I744" s="309">
        <v>14154</v>
      </c>
      <c r="J744">
        <v>6.74</v>
      </c>
      <c r="K744" s="133">
        <f t="shared" si="11"/>
        <v>3.3939616927855132E-2</v>
      </c>
      <c r="L744" s="181">
        <v>189</v>
      </c>
    </row>
    <row r="745" spans="1:12" x14ac:dyDescent="0.25">
      <c r="A745" s="136">
        <v>42948</v>
      </c>
      <c r="B745" s="201" t="str">
        <f>"000402"</f>
        <v>000402</v>
      </c>
      <c r="C745" t="str">
        <f>"金 融 街"</f>
        <v>金 融 街</v>
      </c>
      <c r="D745">
        <v>1200</v>
      </c>
      <c r="E745">
        <v>1200</v>
      </c>
      <c r="F745">
        <v>4.5380000000000003</v>
      </c>
      <c r="G745">
        <v>8894.5400000000009</v>
      </c>
      <c r="H745">
        <v>163.33000000000001</v>
      </c>
      <c r="I745" s="309">
        <v>14340</v>
      </c>
      <c r="J745">
        <v>11.95</v>
      </c>
      <c r="K745" s="133">
        <f t="shared" si="11"/>
        <v>3.4385622915461538E-2</v>
      </c>
      <c r="L745" s="181">
        <v>382.70000000000101</v>
      </c>
    </row>
    <row r="746" spans="1:12" x14ac:dyDescent="0.25">
      <c r="A746" s="136">
        <v>42948</v>
      </c>
      <c r="B746" s="201" t="str">
        <f>"000415"</f>
        <v>000415</v>
      </c>
      <c r="C746" t="str">
        <f>"渤海金控"</f>
        <v>渤海金控</v>
      </c>
      <c r="D746">
        <v>100</v>
      </c>
      <c r="E746">
        <v>100</v>
      </c>
      <c r="F746">
        <v>-20.638000000000002</v>
      </c>
      <c r="G746">
        <v>2760.8</v>
      </c>
      <c r="H746">
        <v>0</v>
      </c>
      <c r="I746" s="309">
        <v>697</v>
      </c>
      <c r="J746">
        <v>6.97</v>
      </c>
      <c r="K746" s="133">
        <f t="shared" si="11"/>
        <v>1.6713235126971193E-3</v>
      </c>
      <c r="L746" s="181">
        <v>-2</v>
      </c>
    </row>
    <row r="747" spans="1:12" x14ac:dyDescent="0.25">
      <c r="A747" s="136">
        <v>42948</v>
      </c>
      <c r="B747" s="201" t="str">
        <f>"000528"</f>
        <v>000528</v>
      </c>
      <c r="C747" t="str">
        <f>"柳    工"</f>
        <v>柳    工</v>
      </c>
      <c r="D747">
        <v>5250</v>
      </c>
      <c r="E747">
        <v>5250</v>
      </c>
      <c r="F747">
        <v>9.3770000000000007</v>
      </c>
      <c r="G747">
        <v>-191.94</v>
      </c>
      <c r="H747">
        <v>-0.39</v>
      </c>
      <c r="I747" s="309">
        <v>49035</v>
      </c>
      <c r="J747">
        <v>9.34</v>
      </c>
      <c r="K747" s="133">
        <f t="shared" si="11"/>
        <v>0.11758012689397883</v>
      </c>
      <c r="L747" s="181">
        <v>486.73</v>
      </c>
    </row>
    <row r="748" spans="1:12" x14ac:dyDescent="0.25">
      <c r="A748" s="136">
        <v>42948</v>
      </c>
      <c r="B748" s="201" t="str">
        <f>"002006"</f>
        <v>002006</v>
      </c>
      <c r="C748" t="str">
        <f>"精功科技"</f>
        <v>精功科技</v>
      </c>
      <c r="D748">
        <v>2100</v>
      </c>
      <c r="E748">
        <v>2100</v>
      </c>
      <c r="F748">
        <v>8.4559999999999995</v>
      </c>
      <c r="G748">
        <v>-1146.8800000000001</v>
      </c>
      <c r="H748">
        <v>-6.46</v>
      </c>
      <c r="I748" s="309">
        <v>16611</v>
      </c>
      <c r="J748">
        <v>7.91</v>
      </c>
      <c r="K748" s="133">
        <f t="shared" si="11"/>
        <v>3.9831212151236514E-2</v>
      </c>
      <c r="L748" s="181">
        <v>0</v>
      </c>
    </row>
    <row r="749" spans="1:12" x14ac:dyDescent="0.25">
      <c r="A749" s="136">
        <v>42948</v>
      </c>
      <c r="B749" s="201" t="str">
        <f>"002140"</f>
        <v>002140</v>
      </c>
      <c r="C749" t="str">
        <f>"东华科技"</f>
        <v>东华科技</v>
      </c>
      <c r="D749">
        <v>7900</v>
      </c>
      <c r="E749">
        <v>7900</v>
      </c>
      <c r="F749">
        <v>12.877000000000001</v>
      </c>
      <c r="G749">
        <v>-3297.39</v>
      </c>
      <c r="H749">
        <v>-3.24</v>
      </c>
      <c r="I749" s="309">
        <v>98434</v>
      </c>
      <c r="J749">
        <v>12.46</v>
      </c>
      <c r="K749" s="133">
        <f t="shared" si="11"/>
        <v>0.23603308270994008</v>
      </c>
      <c r="L749" s="181">
        <v>-793.06</v>
      </c>
    </row>
    <row r="750" spans="1:12" x14ac:dyDescent="0.25">
      <c r="A750" s="136">
        <v>42948</v>
      </c>
      <c r="B750" s="201" t="s">
        <v>835</v>
      </c>
      <c r="C750" t="s">
        <v>839</v>
      </c>
      <c r="I750" s="309">
        <v>12737.17</v>
      </c>
      <c r="K750" s="133">
        <f t="shared" si="11"/>
        <v>3.0542226264304688E-2</v>
      </c>
      <c r="L750" s="181">
        <v>0</v>
      </c>
    </row>
    <row r="751" spans="1:12" x14ac:dyDescent="0.25">
      <c r="A751" s="136">
        <v>42949</v>
      </c>
      <c r="B751" s="201" t="str">
        <f>"519888"</f>
        <v>519888</v>
      </c>
      <c r="C751" t="str">
        <f>"添富快线"</f>
        <v>添富快线</v>
      </c>
      <c r="D751">
        <v>20001987</v>
      </c>
      <c r="E751">
        <v>20001987</v>
      </c>
      <c r="F751">
        <v>0.01</v>
      </c>
      <c r="G751">
        <v>1938.38</v>
      </c>
      <c r="H751">
        <v>0</v>
      </c>
      <c r="I751" s="309">
        <v>200019.87</v>
      </c>
      <c r="J751">
        <v>0.01</v>
      </c>
      <c r="K751" s="133">
        <f t="shared" si="11"/>
        <v>0.48306651752020507</v>
      </c>
      <c r="L751" s="181">
        <v>19.2800000000002</v>
      </c>
    </row>
    <row r="752" spans="1:12" x14ac:dyDescent="0.25">
      <c r="A752" s="136">
        <v>42949</v>
      </c>
      <c r="B752" s="201" t="str">
        <f>"600269"</f>
        <v>600269</v>
      </c>
      <c r="C752" t="str">
        <f>"赣粤高速"</f>
        <v>赣粤高速</v>
      </c>
      <c r="D752">
        <v>100</v>
      </c>
      <c r="E752">
        <v>100</v>
      </c>
      <c r="F752">
        <v>4.9210000000000003</v>
      </c>
      <c r="G752">
        <v>77.87</v>
      </c>
      <c r="H752">
        <v>15.83</v>
      </c>
      <c r="I752" s="309">
        <v>570</v>
      </c>
      <c r="J752">
        <v>5.7</v>
      </c>
      <c r="K752" s="133">
        <f t="shared" si="11"/>
        <v>1.3766028094434665E-3</v>
      </c>
      <c r="L752" s="181">
        <v>-7</v>
      </c>
    </row>
    <row r="753" spans="1:12" x14ac:dyDescent="0.25">
      <c r="A753" s="136">
        <v>42949</v>
      </c>
      <c r="B753" s="201" t="str">
        <f>"601398"</f>
        <v>601398</v>
      </c>
      <c r="C753" t="str">
        <f>"工商银行"</f>
        <v>工商银行</v>
      </c>
      <c r="D753">
        <v>100</v>
      </c>
      <c r="E753">
        <v>100</v>
      </c>
      <c r="F753">
        <v>-53.579000000000001</v>
      </c>
      <c r="G753">
        <v>5927.9</v>
      </c>
      <c r="H753">
        <v>0</v>
      </c>
      <c r="I753" s="309">
        <v>570</v>
      </c>
      <c r="J753">
        <v>5.7</v>
      </c>
      <c r="K753" s="133">
        <f t="shared" si="11"/>
        <v>1.3766028094434665E-3</v>
      </c>
      <c r="L753" s="181">
        <v>14</v>
      </c>
    </row>
    <row r="754" spans="1:12" x14ac:dyDescent="0.25">
      <c r="A754" s="136">
        <v>42949</v>
      </c>
      <c r="B754" s="201" t="str">
        <f>"601998"</f>
        <v>601998</v>
      </c>
      <c r="C754" t="str">
        <f>"中信银行"</f>
        <v>中信银行</v>
      </c>
      <c r="D754">
        <v>1700</v>
      </c>
      <c r="E754">
        <v>1700</v>
      </c>
      <c r="F754">
        <v>5.7510000000000003</v>
      </c>
      <c r="G754">
        <v>1681.79</v>
      </c>
      <c r="H754">
        <v>17.2</v>
      </c>
      <c r="I754" s="309">
        <v>11458</v>
      </c>
      <c r="J754">
        <v>6.74</v>
      </c>
      <c r="K754" s="133">
        <f t="shared" si="11"/>
        <v>2.7672131562461819E-2</v>
      </c>
      <c r="L754" s="181">
        <v>-7.75</v>
      </c>
    </row>
    <row r="755" spans="1:12" x14ac:dyDescent="0.25">
      <c r="A755" s="136">
        <v>42949</v>
      </c>
      <c r="B755" s="201" t="str">
        <f>"000402"</f>
        <v>000402</v>
      </c>
      <c r="C755" t="str">
        <f>"金 融 街"</f>
        <v>金 融 街</v>
      </c>
      <c r="D755">
        <v>2200</v>
      </c>
      <c r="E755">
        <v>2200</v>
      </c>
      <c r="F755">
        <v>7.83</v>
      </c>
      <c r="G755">
        <v>8536.5400000000009</v>
      </c>
      <c r="H755">
        <v>49.55</v>
      </c>
      <c r="I755" s="309">
        <v>25762</v>
      </c>
      <c r="J755">
        <v>11.71</v>
      </c>
      <c r="K755" s="133">
        <f t="shared" si="11"/>
        <v>6.2217616801548387E-2</v>
      </c>
      <c r="L755" s="181">
        <v>-358</v>
      </c>
    </row>
    <row r="756" spans="1:12" x14ac:dyDescent="0.25">
      <c r="A756" s="136">
        <v>42949</v>
      </c>
      <c r="B756" s="201" t="str">
        <f>"000415"</f>
        <v>000415</v>
      </c>
      <c r="C756" t="str">
        <f>"渤海金控"</f>
        <v>渤海金控</v>
      </c>
      <c r="D756">
        <v>100</v>
      </c>
      <c r="E756">
        <v>100</v>
      </c>
      <c r="F756">
        <v>-20.638000000000002</v>
      </c>
      <c r="G756">
        <v>2772.8</v>
      </c>
      <c r="H756">
        <v>0</v>
      </c>
      <c r="I756" s="309">
        <v>709</v>
      </c>
      <c r="J756">
        <v>7.09</v>
      </c>
      <c r="K756" s="133">
        <f t="shared" si="11"/>
        <v>1.7123006875358205E-3</v>
      </c>
      <c r="L756" s="181">
        <v>12</v>
      </c>
    </row>
    <row r="757" spans="1:12" x14ac:dyDescent="0.25">
      <c r="A757" s="136">
        <v>42949</v>
      </c>
      <c r="B757" s="201" t="str">
        <f>"000528"</f>
        <v>000528</v>
      </c>
      <c r="C757" t="str">
        <f>"柳    工"</f>
        <v>柳    工</v>
      </c>
      <c r="D757">
        <v>5750</v>
      </c>
      <c r="E757">
        <v>5750</v>
      </c>
      <c r="F757">
        <v>9.3550000000000004</v>
      </c>
      <c r="G757">
        <v>-1409.44</v>
      </c>
      <c r="H757">
        <v>-2.62</v>
      </c>
      <c r="I757" s="309">
        <v>52382.5</v>
      </c>
      <c r="J757">
        <v>9.11</v>
      </c>
      <c r="K757" s="133">
        <f t="shared" si="11"/>
        <v>0.12650859064153047</v>
      </c>
      <c r="L757" s="181">
        <v>-1217.5</v>
      </c>
    </row>
    <row r="758" spans="1:12" x14ac:dyDescent="0.25">
      <c r="A758" s="136">
        <v>42949</v>
      </c>
      <c r="B758" s="201" t="str">
        <f>"002006"</f>
        <v>002006</v>
      </c>
      <c r="C758" t="str">
        <f>"精功科技"</f>
        <v>精功科技</v>
      </c>
      <c r="D758">
        <v>2100</v>
      </c>
      <c r="E758">
        <v>2100</v>
      </c>
      <c r="F758">
        <v>8.4559999999999995</v>
      </c>
      <c r="G758">
        <v>-1146.8800000000001</v>
      </c>
      <c r="H758">
        <v>-6.46</v>
      </c>
      <c r="I758" s="309">
        <v>16611</v>
      </c>
      <c r="J758">
        <v>7.91</v>
      </c>
      <c r="K758" s="133">
        <f t="shared" si="11"/>
        <v>4.0117103978360387E-2</v>
      </c>
      <c r="L758" s="181">
        <v>0</v>
      </c>
    </row>
    <row r="759" spans="1:12" x14ac:dyDescent="0.25">
      <c r="A759" s="136">
        <v>42949</v>
      </c>
      <c r="B759" s="201" t="str">
        <f>"002140"</f>
        <v>002140</v>
      </c>
      <c r="C759" t="str">
        <f>"东华科技"</f>
        <v>东华科技</v>
      </c>
      <c r="D759">
        <v>8400</v>
      </c>
      <c r="E759">
        <v>8400</v>
      </c>
      <c r="F759">
        <v>12.842000000000001</v>
      </c>
      <c r="G759">
        <v>-4724.3900000000003</v>
      </c>
      <c r="H759">
        <v>-4.38</v>
      </c>
      <c r="I759" s="309">
        <v>103152</v>
      </c>
      <c r="J759">
        <v>12.28</v>
      </c>
      <c r="K759" s="133">
        <f t="shared" si="11"/>
        <v>0.24912163684160077</v>
      </c>
      <c r="L759" s="181">
        <v>-1427</v>
      </c>
    </row>
    <row r="760" spans="1:12" x14ac:dyDescent="0.25">
      <c r="A760" s="136">
        <v>42949</v>
      </c>
      <c r="B760" s="201" t="s">
        <v>835</v>
      </c>
      <c r="C760" t="s">
        <v>839</v>
      </c>
      <c r="I760" s="309">
        <v>2828.42</v>
      </c>
      <c r="K760" s="133">
        <f t="shared" si="11"/>
        <v>6.8308963478703319E-3</v>
      </c>
      <c r="L760" s="181">
        <v>0</v>
      </c>
    </row>
    <row r="761" spans="1:12" x14ac:dyDescent="0.25">
      <c r="A761" s="136">
        <v>42950</v>
      </c>
      <c r="B761" s="201" t="s">
        <v>132</v>
      </c>
      <c r="C761" t="s">
        <v>123</v>
      </c>
      <c r="D761">
        <v>18003934</v>
      </c>
      <c r="E761">
        <v>18003934</v>
      </c>
      <c r="F761">
        <v>0.01</v>
      </c>
      <c r="G761">
        <v>1957.85</v>
      </c>
      <c r="H761">
        <v>0</v>
      </c>
      <c r="I761" s="309">
        <v>180039.34</v>
      </c>
      <c r="J761">
        <v>0.01</v>
      </c>
      <c r="K761" s="133">
        <f t="shared" si="11"/>
        <v>0.43543124055018362</v>
      </c>
      <c r="L761" s="181">
        <v>19.4699999999998</v>
      </c>
    </row>
    <row r="762" spans="1:12" x14ac:dyDescent="0.25">
      <c r="A762" s="136">
        <v>42950</v>
      </c>
      <c r="B762" s="201" t="s">
        <v>61</v>
      </c>
      <c r="C762" t="s">
        <v>136</v>
      </c>
      <c r="D762">
        <v>100</v>
      </c>
      <c r="E762">
        <v>100</v>
      </c>
      <c r="F762">
        <v>4.9210000000000003</v>
      </c>
      <c r="G762">
        <v>69.87</v>
      </c>
      <c r="H762">
        <v>14.21</v>
      </c>
      <c r="I762" s="309">
        <v>562</v>
      </c>
      <c r="J762">
        <v>5.62</v>
      </c>
      <c r="K762" s="133">
        <f t="shared" si="11"/>
        <v>1.3592160312807368E-3</v>
      </c>
      <c r="L762" s="181">
        <v>-8</v>
      </c>
    </row>
    <row r="763" spans="1:12" x14ac:dyDescent="0.25">
      <c r="A763" s="136">
        <v>42950</v>
      </c>
      <c r="B763" s="201" t="s">
        <v>124</v>
      </c>
      <c r="C763" t="s">
        <v>125</v>
      </c>
      <c r="D763">
        <v>100</v>
      </c>
      <c r="E763">
        <v>100</v>
      </c>
      <c r="F763">
        <v>-53.579000000000001</v>
      </c>
      <c r="G763">
        <v>5923.9</v>
      </c>
      <c r="H763">
        <v>0</v>
      </c>
      <c r="I763" s="309">
        <v>566</v>
      </c>
      <c r="J763">
        <v>5.66</v>
      </c>
      <c r="K763" s="133">
        <f t="shared" si="11"/>
        <v>1.368890166734692E-3</v>
      </c>
      <c r="L763" s="181">
        <v>-4</v>
      </c>
    </row>
    <row r="764" spans="1:12" x14ac:dyDescent="0.25">
      <c r="A764" s="136">
        <v>42950</v>
      </c>
      <c r="B764" s="201" t="s">
        <v>71</v>
      </c>
      <c r="C764" t="s">
        <v>126</v>
      </c>
      <c r="D764">
        <v>2200</v>
      </c>
      <c r="E764">
        <v>2200</v>
      </c>
      <c r="F764">
        <v>5.9509999999999996</v>
      </c>
      <c r="G764">
        <v>1340.72</v>
      </c>
      <c r="H764">
        <v>10.23</v>
      </c>
      <c r="I764" s="309">
        <v>14432</v>
      </c>
      <c r="J764">
        <v>6.56</v>
      </c>
      <c r="K764" s="133">
        <f t="shared" si="11"/>
        <v>3.4904280717871161E-2</v>
      </c>
      <c r="L764" s="181">
        <v>-341.07</v>
      </c>
    </row>
    <row r="765" spans="1:12" x14ac:dyDescent="0.25">
      <c r="A765" s="136">
        <v>42950</v>
      </c>
      <c r="B765" s="201" t="s">
        <v>65</v>
      </c>
      <c r="C765" t="s">
        <v>127</v>
      </c>
      <c r="D765">
        <v>3200</v>
      </c>
      <c r="E765">
        <v>3200</v>
      </c>
      <c r="F765">
        <v>9.0030000000000001</v>
      </c>
      <c r="G765">
        <v>7957.54</v>
      </c>
      <c r="H765">
        <v>27.63</v>
      </c>
      <c r="I765" s="309">
        <v>36768</v>
      </c>
      <c r="J765">
        <v>11.49</v>
      </c>
      <c r="K765" s="133">
        <f t="shared" si="11"/>
        <v>8.8924653092758238E-2</v>
      </c>
      <c r="L765" s="181">
        <v>-579.00000000000102</v>
      </c>
    </row>
    <row r="766" spans="1:12" x14ac:dyDescent="0.25">
      <c r="A766" s="136">
        <v>42950</v>
      </c>
      <c r="B766" s="201" t="s">
        <v>77</v>
      </c>
      <c r="C766" t="s">
        <v>128</v>
      </c>
      <c r="D766">
        <v>100</v>
      </c>
      <c r="E766">
        <v>100</v>
      </c>
      <c r="F766">
        <v>-20.638000000000002</v>
      </c>
      <c r="G766">
        <v>2770.8</v>
      </c>
      <c r="H766">
        <v>0</v>
      </c>
      <c r="I766" s="309">
        <v>707</v>
      </c>
      <c r="J766">
        <v>7.07</v>
      </c>
      <c r="K766" s="133">
        <f t="shared" si="11"/>
        <v>1.7099034414866207E-3</v>
      </c>
      <c r="L766" s="181">
        <v>-2</v>
      </c>
    </row>
    <row r="767" spans="1:12" x14ac:dyDescent="0.25">
      <c r="A767" s="136">
        <v>42950</v>
      </c>
      <c r="B767" s="201" t="s">
        <v>67</v>
      </c>
      <c r="C767" t="s">
        <v>129</v>
      </c>
      <c r="D767">
        <v>5750</v>
      </c>
      <c r="E767">
        <v>5750</v>
      </c>
      <c r="F767">
        <v>9.3550000000000004</v>
      </c>
      <c r="G767">
        <v>-1236.94</v>
      </c>
      <c r="H767">
        <v>-2.2999999999999998</v>
      </c>
      <c r="I767" s="309">
        <v>52555</v>
      </c>
      <c r="J767">
        <v>9.14</v>
      </c>
      <c r="K767" s="133">
        <f t="shared" si="11"/>
        <v>0.1271060471956568</v>
      </c>
      <c r="L767" s="181">
        <v>172.5</v>
      </c>
    </row>
    <row r="768" spans="1:12" x14ac:dyDescent="0.25">
      <c r="A768" s="136">
        <v>42950</v>
      </c>
      <c r="B768" s="201" t="s">
        <v>72</v>
      </c>
      <c r="C768" t="s">
        <v>130</v>
      </c>
      <c r="D768">
        <v>2100</v>
      </c>
      <c r="E768">
        <v>2100</v>
      </c>
      <c r="F768">
        <v>8.4559999999999995</v>
      </c>
      <c r="G768">
        <v>-1146.8800000000001</v>
      </c>
      <c r="H768">
        <v>-6.46</v>
      </c>
      <c r="I768" s="309">
        <v>16611</v>
      </c>
      <c r="J768">
        <v>7.91</v>
      </c>
      <c r="K768" s="133">
        <f t="shared" si="11"/>
        <v>4.0174266006413377E-2</v>
      </c>
      <c r="L768" s="181">
        <v>0</v>
      </c>
    </row>
    <row r="769" spans="1:12" x14ac:dyDescent="0.25">
      <c r="A769" s="136">
        <v>42950</v>
      </c>
      <c r="B769" s="201" t="s">
        <v>70</v>
      </c>
      <c r="C769" t="s">
        <v>131</v>
      </c>
      <c r="D769">
        <v>8400</v>
      </c>
      <c r="E769">
        <v>8400</v>
      </c>
      <c r="F769">
        <v>12.842000000000001</v>
      </c>
      <c r="G769">
        <v>-4556.3900000000003</v>
      </c>
      <c r="H769">
        <v>-4.22</v>
      </c>
      <c r="I769" s="309">
        <v>103320</v>
      </c>
      <c r="J769">
        <v>12.3</v>
      </c>
      <c r="K769" s="133">
        <f t="shared" si="11"/>
        <v>0.24988291877566854</v>
      </c>
      <c r="L769" s="181">
        <v>168</v>
      </c>
    </row>
    <row r="770" spans="1:12" x14ac:dyDescent="0.25">
      <c r="A770" s="136">
        <v>42950</v>
      </c>
      <c r="B770" s="201" t="s">
        <v>835</v>
      </c>
      <c r="C770" t="s">
        <v>839</v>
      </c>
      <c r="I770" s="309">
        <v>7913.3</v>
      </c>
      <c r="K770" s="133">
        <f t="shared" ref="K770:K833" si="12">I770/SUMIF(A:A,A770,I:I)</f>
        <v>1.9138584021946358E-2</v>
      </c>
      <c r="L770" s="181">
        <v>0</v>
      </c>
    </row>
    <row r="771" spans="1:12" x14ac:dyDescent="0.25">
      <c r="A771" s="136">
        <v>42954</v>
      </c>
      <c r="B771" s="201" t="s">
        <v>132</v>
      </c>
      <c r="C771" t="s">
        <v>123</v>
      </c>
      <c r="D771">
        <v>16510052</v>
      </c>
      <c r="E771">
        <v>16510052</v>
      </c>
      <c r="F771">
        <v>0.01</v>
      </c>
      <c r="G771">
        <v>2019.03</v>
      </c>
      <c r="H771">
        <v>0</v>
      </c>
      <c r="I771" s="309">
        <v>165100.51999999999</v>
      </c>
      <c r="J771">
        <v>0.01</v>
      </c>
      <c r="K771" s="133">
        <f t="shared" si="12"/>
        <v>0.39833709383918975</v>
      </c>
      <c r="L771" s="181">
        <v>61.180000000000099</v>
      </c>
    </row>
    <row r="772" spans="1:12" x14ac:dyDescent="0.25">
      <c r="A772" s="136">
        <v>42954</v>
      </c>
      <c r="B772" s="201" t="s">
        <v>61</v>
      </c>
      <c r="C772" t="s">
        <v>136</v>
      </c>
      <c r="D772">
        <v>100</v>
      </c>
      <c r="E772">
        <v>100</v>
      </c>
      <c r="F772">
        <v>4.9210000000000003</v>
      </c>
      <c r="G772">
        <v>76.87</v>
      </c>
      <c r="H772">
        <v>15.63</v>
      </c>
      <c r="I772" s="309">
        <v>569</v>
      </c>
      <c r="J772">
        <v>5.69</v>
      </c>
      <c r="K772" s="133">
        <f t="shared" si="12"/>
        <v>1.3728230922258693E-3</v>
      </c>
      <c r="L772" s="181">
        <v>7</v>
      </c>
    </row>
    <row r="773" spans="1:12" x14ac:dyDescent="0.25">
      <c r="A773" s="136">
        <v>42954</v>
      </c>
      <c r="B773" s="201" t="s">
        <v>124</v>
      </c>
      <c r="C773" t="s">
        <v>125</v>
      </c>
      <c r="D773">
        <v>100</v>
      </c>
      <c r="E773">
        <v>100</v>
      </c>
      <c r="F773">
        <v>-53.579000000000001</v>
      </c>
      <c r="G773">
        <v>5923.9</v>
      </c>
      <c r="H773">
        <v>0</v>
      </c>
      <c r="I773" s="309">
        <v>566</v>
      </c>
      <c r="J773">
        <v>5.66</v>
      </c>
      <c r="K773" s="133">
        <f t="shared" si="12"/>
        <v>1.3655850091385624E-3</v>
      </c>
      <c r="L773" s="181">
        <v>0</v>
      </c>
    </row>
    <row r="774" spans="1:12" x14ac:dyDescent="0.25">
      <c r="A774" s="136">
        <v>42954</v>
      </c>
      <c r="B774" s="201" t="s">
        <v>71</v>
      </c>
      <c r="C774" t="s">
        <v>126</v>
      </c>
      <c r="D774">
        <v>2700</v>
      </c>
      <c r="E774">
        <v>2700</v>
      </c>
      <c r="F774">
        <v>6.0430000000000001</v>
      </c>
      <c r="G774">
        <v>1233.6600000000001</v>
      </c>
      <c r="H774">
        <v>7.56</v>
      </c>
      <c r="I774" s="309">
        <v>17550</v>
      </c>
      <c r="J774">
        <v>6.5</v>
      </c>
      <c r="K774" s="133">
        <f t="shared" si="12"/>
        <v>4.234278606074518E-2</v>
      </c>
      <c r="L774" s="181">
        <v>-107.06</v>
      </c>
    </row>
    <row r="775" spans="1:12" x14ac:dyDescent="0.25">
      <c r="A775" s="136">
        <v>42954</v>
      </c>
      <c r="B775" s="201" t="s">
        <v>65</v>
      </c>
      <c r="C775" t="s">
        <v>127</v>
      </c>
      <c r="D775">
        <v>3800</v>
      </c>
      <c r="E775">
        <v>3800</v>
      </c>
      <c r="F775">
        <v>9.3740000000000006</v>
      </c>
      <c r="G775">
        <v>8191.93</v>
      </c>
      <c r="H775">
        <v>23</v>
      </c>
      <c r="I775" s="309">
        <v>43814</v>
      </c>
      <c r="J775">
        <v>11.53</v>
      </c>
      <c r="K775" s="133">
        <f t="shared" si="12"/>
        <v>0.10570979079575438</v>
      </c>
      <c r="L775" s="181">
        <v>234.39</v>
      </c>
    </row>
    <row r="776" spans="1:12" x14ac:dyDescent="0.25">
      <c r="A776" s="136">
        <v>42954</v>
      </c>
      <c r="B776" s="201" t="s">
        <v>77</v>
      </c>
      <c r="C776" t="s">
        <v>128</v>
      </c>
      <c r="D776">
        <v>100</v>
      </c>
      <c r="E776">
        <v>100</v>
      </c>
      <c r="F776">
        <v>-20.638000000000002</v>
      </c>
      <c r="G776">
        <v>2769.8</v>
      </c>
      <c r="H776">
        <v>0</v>
      </c>
      <c r="I776" s="309">
        <v>706</v>
      </c>
      <c r="J776">
        <v>7.06</v>
      </c>
      <c r="K776" s="133">
        <f t="shared" si="12"/>
        <v>1.7033622198795496E-3</v>
      </c>
      <c r="L776" s="181">
        <v>-1</v>
      </c>
    </row>
    <row r="777" spans="1:12" x14ac:dyDescent="0.25">
      <c r="A777" s="136">
        <v>42954</v>
      </c>
      <c r="B777" s="201" t="s">
        <v>67</v>
      </c>
      <c r="C777" t="s">
        <v>129</v>
      </c>
      <c r="D777">
        <v>5750</v>
      </c>
      <c r="E777">
        <v>5750</v>
      </c>
      <c r="F777">
        <v>9.3320000000000007</v>
      </c>
      <c r="G777">
        <v>-1273.73</v>
      </c>
      <c r="H777">
        <v>-2.38</v>
      </c>
      <c r="I777" s="309">
        <v>52382.5</v>
      </c>
      <c r="J777">
        <v>9.11</v>
      </c>
      <c r="K777" s="133">
        <f t="shared" si="12"/>
        <v>0.12638296244028399</v>
      </c>
      <c r="L777" s="181">
        <v>-36.79</v>
      </c>
    </row>
    <row r="778" spans="1:12" x14ac:dyDescent="0.25">
      <c r="A778" s="136">
        <v>42954</v>
      </c>
      <c r="B778" s="201" t="s">
        <v>72</v>
      </c>
      <c r="C778" t="s">
        <v>130</v>
      </c>
      <c r="D778">
        <v>2100</v>
      </c>
      <c r="E778">
        <v>2100</v>
      </c>
      <c r="F778">
        <v>8.4559999999999995</v>
      </c>
      <c r="G778">
        <v>-1146.8800000000001</v>
      </c>
      <c r="H778">
        <v>-6.46</v>
      </c>
      <c r="I778" s="309">
        <v>16611</v>
      </c>
      <c r="J778">
        <v>7.91</v>
      </c>
      <c r="K778" s="133">
        <f t="shared" si="12"/>
        <v>4.007726605441813E-2</v>
      </c>
      <c r="L778" s="181">
        <v>0</v>
      </c>
    </row>
    <row r="779" spans="1:12" x14ac:dyDescent="0.25">
      <c r="A779" s="136">
        <v>42954</v>
      </c>
      <c r="B779" s="201" t="s">
        <v>70</v>
      </c>
      <c r="C779" t="s">
        <v>131</v>
      </c>
      <c r="D779">
        <v>8000</v>
      </c>
      <c r="E779">
        <v>8000</v>
      </c>
      <c r="F779">
        <v>12.863</v>
      </c>
      <c r="G779">
        <v>-3706.37</v>
      </c>
      <c r="H779">
        <v>-3.6</v>
      </c>
      <c r="I779" s="309">
        <v>99200</v>
      </c>
      <c r="J779">
        <v>12.4</v>
      </c>
      <c r="K779" s="133">
        <f t="shared" si="12"/>
        <v>0.23933928075361377</v>
      </c>
      <c r="L779" s="181">
        <v>850.02</v>
      </c>
    </row>
    <row r="780" spans="1:12" x14ac:dyDescent="0.25">
      <c r="A780" s="136">
        <v>42954</v>
      </c>
      <c r="B780" s="201" t="s">
        <v>835</v>
      </c>
      <c r="C780" t="s">
        <v>839</v>
      </c>
      <c r="I780" s="309">
        <v>17975.36</v>
      </c>
      <c r="K780" s="133">
        <f t="shared" si="12"/>
        <v>4.3369049734750795E-2</v>
      </c>
      <c r="L780" s="181">
        <v>0</v>
      </c>
    </row>
    <row r="781" spans="1:12" x14ac:dyDescent="0.25">
      <c r="A781" s="136">
        <v>42955</v>
      </c>
      <c r="B781" s="201" t="s">
        <v>132</v>
      </c>
      <c r="C781" t="s">
        <v>123</v>
      </c>
      <c r="D781">
        <v>16511430</v>
      </c>
      <c r="E781">
        <v>16511430</v>
      </c>
      <c r="F781">
        <v>0.01</v>
      </c>
      <c r="G781">
        <v>2032.81</v>
      </c>
      <c r="H781">
        <v>0</v>
      </c>
      <c r="I781" s="309">
        <v>165114.29999999999</v>
      </c>
      <c r="J781">
        <v>0.01</v>
      </c>
      <c r="K781" s="133">
        <f t="shared" si="12"/>
        <v>0.39678699101245957</v>
      </c>
      <c r="L781" s="181">
        <v>13.78</v>
      </c>
    </row>
    <row r="782" spans="1:12" x14ac:dyDescent="0.25">
      <c r="A782" s="136">
        <v>42955</v>
      </c>
      <c r="B782" s="201" t="s">
        <v>61</v>
      </c>
      <c r="C782" t="s">
        <v>136</v>
      </c>
      <c r="D782">
        <v>100</v>
      </c>
      <c r="E782">
        <v>100</v>
      </c>
      <c r="F782">
        <v>4.9210000000000003</v>
      </c>
      <c r="G782">
        <v>85.87</v>
      </c>
      <c r="H782">
        <v>17.46</v>
      </c>
      <c r="I782" s="309">
        <v>578</v>
      </c>
      <c r="J782">
        <v>5.78</v>
      </c>
      <c r="K782" s="133">
        <f t="shared" si="12"/>
        <v>1.3889946588829776E-3</v>
      </c>
      <c r="L782" s="181">
        <v>9</v>
      </c>
    </row>
    <row r="783" spans="1:12" x14ac:dyDescent="0.25">
      <c r="A783" s="136">
        <v>42955</v>
      </c>
      <c r="B783" s="201" t="s">
        <v>124</v>
      </c>
      <c r="C783" t="s">
        <v>125</v>
      </c>
      <c r="D783">
        <v>100</v>
      </c>
      <c r="E783">
        <v>100</v>
      </c>
      <c r="F783">
        <v>-53.579000000000001</v>
      </c>
      <c r="G783">
        <v>5925.9</v>
      </c>
      <c r="H783">
        <v>0</v>
      </c>
      <c r="I783" s="309">
        <v>568</v>
      </c>
      <c r="J783">
        <v>5.68</v>
      </c>
      <c r="K783" s="133">
        <f t="shared" si="12"/>
        <v>1.3649636094213344E-3</v>
      </c>
      <c r="L783" s="181">
        <v>2</v>
      </c>
    </row>
    <row r="784" spans="1:12" x14ac:dyDescent="0.25">
      <c r="A784" s="136">
        <v>42955</v>
      </c>
      <c r="B784" s="201" t="s">
        <v>71</v>
      </c>
      <c r="C784" t="s">
        <v>126</v>
      </c>
      <c r="D784">
        <v>2700</v>
      </c>
      <c r="E784">
        <v>2700</v>
      </c>
      <c r="F784">
        <v>6.0430000000000001</v>
      </c>
      <c r="G784">
        <v>1341.66</v>
      </c>
      <c r="H784">
        <v>8.23</v>
      </c>
      <c r="I784" s="309">
        <v>17658</v>
      </c>
      <c r="J784">
        <v>6.54</v>
      </c>
      <c r="K784" s="133">
        <f t="shared" si="12"/>
        <v>4.2434027139369584E-2</v>
      </c>
      <c r="L784" s="181">
        <v>108</v>
      </c>
    </row>
    <row r="785" spans="1:12" x14ac:dyDescent="0.25">
      <c r="A785" s="136">
        <v>42955</v>
      </c>
      <c r="B785" s="201" t="s">
        <v>65</v>
      </c>
      <c r="C785" t="s">
        <v>127</v>
      </c>
      <c r="D785">
        <v>4300</v>
      </c>
      <c r="E785">
        <v>4300</v>
      </c>
      <c r="F785">
        <v>9.6140000000000008</v>
      </c>
      <c r="G785">
        <v>7849.93</v>
      </c>
      <c r="H785">
        <v>18.989999999999998</v>
      </c>
      <c r="I785" s="309">
        <v>49192</v>
      </c>
      <c r="J785">
        <v>11.44</v>
      </c>
      <c r="K785" s="133">
        <f t="shared" si="12"/>
        <v>0.11821353851171529</v>
      </c>
      <c r="L785" s="181">
        <v>-342</v>
      </c>
    </row>
    <row r="786" spans="1:12" x14ac:dyDescent="0.25">
      <c r="A786" s="136">
        <v>42955</v>
      </c>
      <c r="B786" s="201" t="s">
        <v>77</v>
      </c>
      <c r="C786" t="s">
        <v>128</v>
      </c>
      <c r="D786">
        <v>100</v>
      </c>
      <c r="E786">
        <v>100</v>
      </c>
      <c r="F786">
        <v>-20.638000000000002</v>
      </c>
      <c r="G786">
        <v>2768.8</v>
      </c>
      <c r="H786">
        <v>0</v>
      </c>
      <c r="I786" s="309">
        <v>705</v>
      </c>
      <c r="J786">
        <v>7.05</v>
      </c>
      <c r="K786" s="133">
        <f t="shared" si="12"/>
        <v>1.6941889870458464E-3</v>
      </c>
      <c r="L786" s="181">
        <v>-1</v>
      </c>
    </row>
    <row r="787" spans="1:12" x14ac:dyDescent="0.25">
      <c r="A787" s="136">
        <v>42955</v>
      </c>
      <c r="B787" s="201" t="s">
        <v>67</v>
      </c>
      <c r="C787" t="s">
        <v>129</v>
      </c>
      <c r="D787">
        <v>4850</v>
      </c>
      <c r="E787">
        <v>4850</v>
      </c>
      <c r="F787">
        <v>9.3469999999999995</v>
      </c>
      <c r="G787">
        <v>-129.58000000000001</v>
      </c>
      <c r="H787">
        <v>-0.28999999999999998</v>
      </c>
      <c r="I787" s="309">
        <v>45202</v>
      </c>
      <c r="J787">
        <v>9.32</v>
      </c>
      <c r="K787" s="133">
        <f t="shared" si="12"/>
        <v>0.10862514977651966</v>
      </c>
      <c r="L787" s="181">
        <v>1144.1500000000001</v>
      </c>
    </row>
    <row r="788" spans="1:12" x14ac:dyDescent="0.25">
      <c r="A788" s="136">
        <v>42955</v>
      </c>
      <c r="B788" s="201" t="s">
        <v>72</v>
      </c>
      <c r="C788" t="s">
        <v>130</v>
      </c>
      <c r="D788">
        <v>2100</v>
      </c>
      <c r="E788">
        <v>2100</v>
      </c>
      <c r="F788">
        <v>8.4559999999999995</v>
      </c>
      <c r="G788">
        <v>-1146.8800000000001</v>
      </c>
      <c r="H788">
        <v>-6.46</v>
      </c>
      <c r="I788" s="309">
        <v>16611</v>
      </c>
      <c r="J788">
        <v>7.91</v>
      </c>
      <c r="K788" s="133">
        <f t="shared" si="12"/>
        <v>3.9917976260735538E-2</v>
      </c>
      <c r="L788" s="181">
        <v>0</v>
      </c>
    </row>
    <row r="789" spans="1:12" x14ac:dyDescent="0.25">
      <c r="A789" s="136">
        <v>42955</v>
      </c>
      <c r="B789" s="201" t="s">
        <v>70</v>
      </c>
      <c r="C789" t="s">
        <v>131</v>
      </c>
      <c r="D789">
        <v>8000</v>
      </c>
      <c r="E789">
        <v>8000</v>
      </c>
      <c r="F789">
        <v>12.863</v>
      </c>
      <c r="G789">
        <v>-2986.37</v>
      </c>
      <c r="H789">
        <v>-2.9</v>
      </c>
      <c r="I789" s="309">
        <v>99920</v>
      </c>
      <c r="J789">
        <v>12.49</v>
      </c>
      <c r="K789" s="133">
        <f t="shared" si="12"/>
        <v>0.24011824622073899</v>
      </c>
      <c r="L789" s="181">
        <v>720</v>
      </c>
    </row>
    <row r="790" spans="1:12" x14ac:dyDescent="0.25">
      <c r="A790" s="136">
        <v>42955</v>
      </c>
      <c r="B790" s="201" t="s">
        <v>835</v>
      </c>
      <c r="C790" t="s">
        <v>839</v>
      </c>
      <c r="I790" s="309">
        <v>20580.009999999998</v>
      </c>
      <c r="K790" s="133">
        <f t="shared" si="12"/>
        <v>4.9455923823111189E-2</v>
      </c>
      <c r="L790" s="181">
        <v>0</v>
      </c>
    </row>
    <row r="791" spans="1:12" x14ac:dyDescent="0.25">
      <c r="A791" s="136">
        <v>42957</v>
      </c>
      <c r="B791" s="201" t="str">
        <f>"519888"</f>
        <v>519888</v>
      </c>
      <c r="C791" t="str">
        <f>"添富快线"</f>
        <v>添富快线</v>
      </c>
      <c r="D791">
        <v>13502897</v>
      </c>
      <c r="E791">
        <v>13502897</v>
      </c>
      <c r="F791">
        <v>0.01</v>
      </c>
      <c r="G791">
        <v>2047.48</v>
      </c>
      <c r="H791">
        <v>0</v>
      </c>
      <c r="I791" s="309">
        <v>135028.97</v>
      </c>
      <c r="J791">
        <v>0.01</v>
      </c>
      <c r="K791" s="133">
        <f t="shared" si="12"/>
        <v>0.32798049600269052</v>
      </c>
      <c r="L791" s="181">
        <v>14.670000000000099</v>
      </c>
    </row>
    <row r="792" spans="1:12" x14ac:dyDescent="0.25">
      <c r="A792" s="136">
        <v>42957</v>
      </c>
      <c r="B792" s="201" t="str">
        <f>"600269"</f>
        <v>600269</v>
      </c>
      <c r="C792" t="str">
        <f>"赣粤高速"</f>
        <v>赣粤高速</v>
      </c>
      <c r="D792">
        <v>600</v>
      </c>
      <c r="E792">
        <v>100</v>
      </c>
      <c r="F792">
        <v>5.4039999999999999</v>
      </c>
      <c r="G792">
        <v>45.82</v>
      </c>
      <c r="H792">
        <v>1.41</v>
      </c>
      <c r="I792" s="309">
        <v>3288</v>
      </c>
      <c r="J792">
        <v>5.48</v>
      </c>
      <c r="K792" s="133">
        <f t="shared" si="12"/>
        <v>7.9864333620914569E-3</v>
      </c>
      <c r="L792" s="181">
        <v>-40.049999999999997</v>
      </c>
    </row>
    <row r="793" spans="1:12" x14ac:dyDescent="0.25">
      <c r="A793" s="136">
        <v>42957</v>
      </c>
      <c r="B793" s="201" t="str">
        <f>"601398"</f>
        <v>601398</v>
      </c>
      <c r="C793" t="str">
        <f>"工商银行"</f>
        <v>工商银行</v>
      </c>
      <c r="D793">
        <v>100</v>
      </c>
      <c r="E793">
        <v>100</v>
      </c>
      <c r="F793">
        <v>-53.579000000000001</v>
      </c>
      <c r="G793">
        <v>5909.9</v>
      </c>
      <c r="H793">
        <v>0</v>
      </c>
      <c r="I793" s="309">
        <v>552</v>
      </c>
      <c r="J793">
        <v>5.52</v>
      </c>
      <c r="K793" s="133">
        <f t="shared" si="12"/>
        <v>1.3407880826868869E-3</v>
      </c>
      <c r="L793" s="181">
        <v>-16</v>
      </c>
    </row>
    <row r="794" spans="1:12" x14ac:dyDescent="0.25">
      <c r="A794" s="136">
        <v>42957</v>
      </c>
      <c r="B794" s="201" t="str">
        <f>"601998"</f>
        <v>601998</v>
      </c>
      <c r="C794" t="str">
        <f>"中信银行"</f>
        <v>中信银行</v>
      </c>
      <c r="D794">
        <v>2700</v>
      </c>
      <c r="E794">
        <v>2700</v>
      </c>
      <c r="F794">
        <v>6.0430000000000001</v>
      </c>
      <c r="G794">
        <v>1098.6600000000001</v>
      </c>
      <c r="H794">
        <v>6.74</v>
      </c>
      <c r="I794" s="309">
        <v>17415</v>
      </c>
      <c r="J794">
        <v>6.45</v>
      </c>
      <c r="K794" s="133">
        <f t="shared" si="12"/>
        <v>4.2300406630420534E-2</v>
      </c>
      <c r="L794" s="181">
        <v>-243</v>
      </c>
    </row>
    <row r="795" spans="1:12" x14ac:dyDescent="0.25">
      <c r="A795" s="136">
        <v>42957</v>
      </c>
      <c r="B795" s="201" t="str">
        <f>"000402"</f>
        <v>000402</v>
      </c>
      <c r="C795" t="str">
        <f>"金 融 街"</f>
        <v>金 融 街</v>
      </c>
      <c r="D795">
        <v>6100</v>
      </c>
      <c r="E795">
        <v>4100</v>
      </c>
      <c r="F795">
        <v>10.111000000000001</v>
      </c>
      <c r="G795">
        <v>7313.2</v>
      </c>
      <c r="H795">
        <v>11.86</v>
      </c>
      <c r="I795" s="309">
        <v>68991</v>
      </c>
      <c r="J795">
        <v>11.31</v>
      </c>
      <c r="K795" s="133">
        <f t="shared" si="12"/>
        <v>0.16757664966059965</v>
      </c>
      <c r="L795" s="181">
        <v>-536.73</v>
      </c>
    </row>
    <row r="796" spans="1:12" x14ac:dyDescent="0.25">
      <c r="A796" s="136">
        <v>42957</v>
      </c>
      <c r="B796" s="201" t="str">
        <f>"000415"</f>
        <v>000415</v>
      </c>
      <c r="C796" t="str">
        <f>"渤海金控"</f>
        <v>渤海金控</v>
      </c>
      <c r="D796">
        <v>100</v>
      </c>
      <c r="E796">
        <v>100</v>
      </c>
      <c r="F796">
        <v>-20.638000000000002</v>
      </c>
      <c r="G796">
        <v>2740.8</v>
      </c>
      <c r="H796">
        <v>0</v>
      </c>
      <c r="I796" s="309">
        <v>677</v>
      </c>
      <c r="J796">
        <v>6.77</v>
      </c>
      <c r="K796" s="133">
        <f t="shared" si="12"/>
        <v>1.6444085724257652E-3</v>
      </c>
      <c r="L796" s="181">
        <v>-28</v>
      </c>
    </row>
    <row r="797" spans="1:12" x14ac:dyDescent="0.25">
      <c r="A797" s="136">
        <v>42957</v>
      </c>
      <c r="B797" s="201" t="str">
        <f>"000528"</f>
        <v>000528</v>
      </c>
      <c r="C797" t="str">
        <f>"柳    工"</f>
        <v>柳    工</v>
      </c>
      <c r="D797">
        <v>5550</v>
      </c>
      <c r="E797">
        <v>4550</v>
      </c>
      <c r="F797">
        <v>9.3059999999999992</v>
      </c>
      <c r="G797">
        <v>-1030.1099999999999</v>
      </c>
      <c r="H797">
        <v>-2</v>
      </c>
      <c r="I797" s="309">
        <v>50616</v>
      </c>
      <c r="J797">
        <v>9.1199999999999992</v>
      </c>
      <c r="K797" s="133">
        <f t="shared" si="12"/>
        <v>0.12294443766898454</v>
      </c>
      <c r="L797" s="181">
        <v>-900.53</v>
      </c>
    </row>
    <row r="798" spans="1:12" x14ac:dyDescent="0.25">
      <c r="A798" s="136">
        <v>42957</v>
      </c>
      <c r="B798" s="201" t="str">
        <f>"002006"</f>
        <v>002006</v>
      </c>
      <c r="C798" t="str">
        <f>"精功科技"</f>
        <v>精功科技</v>
      </c>
      <c r="D798">
        <v>2100</v>
      </c>
      <c r="E798">
        <v>2100</v>
      </c>
      <c r="F798">
        <v>8.4559999999999995</v>
      </c>
      <c r="G798">
        <v>-1146.8800000000001</v>
      </c>
      <c r="H798">
        <v>-6.46</v>
      </c>
      <c r="I798" s="309">
        <v>16611</v>
      </c>
      <c r="J798">
        <v>7.91</v>
      </c>
      <c r="K798" s="133">
        <f t="shared" si="12"/>
        <v>4.0347519640420069E-2</v>
      </c>
      <c r="L798" s="181">
        <v>0</v>
      </c>
    </row>
    <row r="799" spans="1:12" x14ac:dyDescent="0.25">
      <c r="A799" s="136">
        <v>42957</v>
      </c>
      <c r="B799" s="201" t="str">
        <f>"002140"</f>
        <v>002140</v>
      </c>
      <c r="C799" t="str">
        <f>"东华科技"</f>
        <v>东华科技</v>
      </c>
      <c r="D799">
        <v>8500</v>
      </c>
      <c r="E799">
        <v>8000</v>
      </c>
      <c r="F799">
        <v>12.826000000000001</v>
      </c>
      <c r="G799">
        <v>-5661.37</v>
      </c>
      <c r="H799">
        <v>-5.19</v>
      </c>
      <c r="I799" s="309">
        <v>103360</v>
      </c>
      <c r="J799">
        <v>12.16</v>
      </c>
      <c r="K799" s="133">
        <f t="shared" si="12"/>
        <v>0.25105771055528375</v>
      </c>
      <c r="L799" s="181">
        <v>-2675</v>
      </c>
    </row>
    <row r="800" spans="1:12" x14ac:dyDescent="0.25">
      <c r="A800" s="136">
        <v>42957</v>
      </c>
      <c r="B800" s="201" t="s">
        <v>835</v>
      </c>
      <c r="C800" t="s">
        <v>839</v>
      </c>
      <c r="I800" s="309">
        <v>15159.2</v>
      </c>
      <c r="K800" s="133">
        <f t="shared" si="12"/>
        <v>3.682114982439684E-2</v>
      </c>
      <c r="L800" s="181">
        <v>0</v>
      </c>
    </row>
    <row r="801" spans="1:12" x14ac:dyDescent="0.25">
      <c r="A801" s="136">
        <v>42958</v>
      </c>
      <c r="B801" s="201" t="str">
        <f>"519888"</f>
        <v>519888</v>
      </c>
      <c r="C801" t="str">
        <f>"添富快线"</f>
        <v>添富快线</v>
      </c>
      <c r="D801">
        <v>10504307</v>
      </c>
      <c r="E801">
        <v>10504307</v>
      </c>
      <c r="F801">
        <v>0.01</v>
      </c>
      <c r="G801">
        <v>2061.58</v>
      </c>
      <c r="H801">
        <v>0</v>
      </c>
      <c r="I801" s="309">
        <v>105043.07</v>
      </c>
      <c r="J801">
        <v>0.01</v>
      </c>
      <c r="K801" s="133">
        <f t="shared" si="12"/>
        <v>0.25974871184081727</v>
      </c>
      <c r="L801" s="181">
        <v>14.0999999999999</v>
      </c>
    </row>
    <row r="802" spans="1:12" x14ac:dyDescent="0.25">
      <c r="A802" s="136">
        <v>42958</v>
      </c>
      <c r="B802" s="201" t="str">
        <f>"600269"</f>
        <v>600269</v>
      </c>
      <c r="C802" t="str">
        <f>"赣粤高速"</f>
        <v>赣粤高速</v>
      </c>
      <c r="D802">
        <v>1100</v>
      </c>
      <c r="E802">
        <v>600</v>
      </c>
      <c r="F802">
        <v>5.4020000000000001</v>
      </c>
      <c r="G802">
        <v>-35.229999999999997</v>
      </c>
      <c r="H802">
        <v>-0.59</v>
      </c>
      <c r="I802" s="309">
        <v>5907</v>
      </c>
      <c r="J802">
        <v>5.37</v>
      </c>
      <c r="K802" s="133">
        <f t="shared" si="12"/>
        <v>1.4606728847925974E-2</v>
      </c>
      <c r="L802" s="181">
        <v>-81.05</v>
      </c>
    </row>
    <row r="803" spans="1:12" x14ac:dyDescent="0.25">
      <c r="A803" s="136">
        <v>42958</v>
      </c>
      <c r="B803" s="201" t="str">
        <f>"601398"</f>
        <v>601398</v>
      </c>
      <c r="C803" t="str">
        <f>"工商银行"</f>
        <v>工商银行</v>
      </c>
      <c r="D803">
        <v>100</v>
      </c>
      <c r="E803">
        <v>100</v>
      </c>
      <c r="F803">
        <v>-53.579000000000001</v>
      </c>
      <c r="G803">
        <v>5912.9</v>
      </c>
      <c r="H803">
        <v>0</v>
      </c>
      <c r="I803" s="309">
        <v>555</v>
      </c>
      <c r="J803">
        <v>5.55</v>
      </c>
      <c r="K803" s="133">
        <f t="shared" si="12"/>
        <v>1.3723945337055894E-3</v>
      </c>
      <c r="L803" s="181">
        <v>3</v>
      </c>
    </row>
    <row r="804" spans="1:12" x14ac:dyDescent="0.25">
      <c r="A804" s="136">
        <v>42958</v>
      </c>
      <c r="B804" s="201" t="str">
        <f>"601998"</f>
        <v>601998</v>
      </c>
      <c r="C804" t="str">
        <f>"中信银行"</f>
        <v>中信银行</v>
      </c>
      <c r="D804">
        <v>3200</v>
      </c>
      <c r="E804">
        <v>2700</v>
      </c>
      <c r="F804">
        <v>6.093</v>
      </c>
      <c r="G804">
        <v>695.6</v>
      </c>
      <c r="H804">
        <v>3.56</v>
      </c>
      <c r="I804" s="309">
        <v>20192</v>
      </c>
      <c r="J804">
        <v>6.31</v>
      </c>
      <c r="K804" s="133">
        <f t="shared" si="12"/>
        <v>4.9930433197447312E-2</v>
      </c>
      <c r="L804" s="181">
        <v>-403.06</v>
      </c>
    </row>
    <row r="805" spans="1:12" x14ac:dyDescent="0.25">
      <c r="A805" s="136">
        <v>42958</v>
      </c>
      <c r="B805" s="201" t="str">
        <f>"000402"</f>
        <v>000402</v>
      </c>
      <c r="C805" t="str">
        <f>"金 融 街"</f>
        <v>金 融 街</v>
      </c>
      <c r="D805">
        <v>7600</v>
      </c>
      <c r="E805">
        <v>6100</v>
      </c>
      <c r="F805">
        <v>10.314</v>
      </c>
      <c r="G805">
        <v>5060.2</v>
      </c>
      <c r="H805">
        <v>6.46</v>
      </c>
      <c r="I805" s="309">
        <v>83448</v>
      </c>
      <c r="J805">
        <v>10.98</v>
      </c>
      <c r="K805" s="133">
        <f t="shared" si="12"/>
        <v>0.2063487910786739</v>
      </c>
      <c r="L805" s="181">
        <v>-2253</v>
      </c>
    </row>
    <row r="806" spans="1:12" x14ac:dyDescent="0.25">
      <c r="A806" s="136">
        <v>42958</v>
      </c>
      <c r="B806" s="201" t="str">
        <f>"000415"</f>
        <v>000415</v>
      </c>
      <c r="C806" t="str">
        <f>"渤海金控"</f>
        <v>渤海金控</v>
      </c>
      <c r="D806">
        <v>100</v>
      </c>
      <c r="E806">
        <v>100</v>
      </c>
      <c r="F806">
        <v>-20.638000000000002</v>
      </c>
      <c r="G806">
        <v>2734.8</v>
      </c>
      <c r="H806">
        <v>0</v>
      </c>
      <c r="I806" s="309">
        <v>671</v>
      </c>
      <c r="J806">
        <v>6.71</v>
      </c>
      <c r="K806" s="133">
        <f t="shared" si="12"/>
        <v>1.6592373551647754E-3</v>
      </c>
      <c r="L806" s="181">
        <v>-6</v>
      </c>
    </row>
    <row r="807" spans="1:12" x14ac:dyDescent="0.25">
      <c r="A807" s="136">
        <v>42958</v>
      </c>
      <c r="B807" s="201" t="str">
        <f>"000528"</f>
        <v>000528</v>
      </c>
      <c r="C807" t="str">
        <f>"柳    工"</f>
        <v>柳    工</v>
      </c>
      <c r="D807">
        <v>7050</v>
      </c>
      <c r="E807">
        <v>5550</v>
      </c>
      <c r="F807">
        <v>9.2050000000000001</v>
      </c>
      <c r="G807">
        <v>-3490.61</v>
      </c>
      <c r="H807">
        <v>-5.38</v>
      </c>
      <c r="I807" s="309">
        <v>61405.5</v>
      </c>
      <c r="J807">
        <v>8.7100000000000009</v>
      </c>
      <c r="K807" s="133">
        <f t="shared" si="12"/>
        <v>0.15184247304406948</v>
      </c>
      <c r="L807" s="181">
        <v>-2460.5</v>
      </c>
    </row>
    <row r="808" spans="1:12" x14ac:dyDescent="0.25">
      <c r="A808" s="136">
        <v>42958</v>
      </c>
      <c r="B808" s="201" t="str">
        <f>"002006"</f>
        <v>002006</v>
      </c>
      <c r="C808" t="str">
        <f>"精功科技"</f>
        <v>精功科技</v>
      </c>
      <c r="D808">
        <v>2100</v>
      </c>
      <c r="E808">
        <v>2100</v>
      </c>
      <c r="F808">
        <v>8.4559999999999995</v>
      </c>
      <c r="G808">
        <v>-1146.8800000000001</v>
      </c>
      <c r="H808">
        <v>-6.46</v>
      </c>
      <c r="I808" s="309">
        <v>16611</v>
      </c>
      <c r="J808">
        <v>7.91</v>
      </c>
      <c r="K808" s="133">
        <f t="shared" si="12"/>
        <v>4.1075397476366744E-2</v>
      </c>
      <c r="L808" s="181">
        <v>0</v>
      </c>
    </row>
    <row r="809" spans="1:12" x14ac:dyDescent="0.25">
      <c r="A809" s="136">
        <v>42958</v>
      </c>
      <c r="B809" s="201" t="str">
        <f>"002140"</f>
        <v>002140</v>
      </c>
      <c r="C809" t="str">
        <f>"东华科技"</f>
        <v>东华科技</v>
      </c>
      <c r="D809">
        <v>8900</v>
      </c>
      <c r="E809">
        <v>8500</v>
      </c>
      <c r="F809">
        <v>12.792999999999999</v>
      </c>
      <c r="G809">
        <v>-7770.37</v>
      </c>
      <c r="H809">
        <v>-6.82</v>
      </c>
      <c r="I809" s="309">
        <v>106088</v>
      </c>
      <c r="J809">
        <v>11.92</v>
      </c>
      <c r="K809" s="133">
        <f t="shared" si="12"/>
        <v>0.26233259692208749</v>
      </c>
      <c r="L809" s="181">
        <v>-2109</v>
      </c>
    </row>
    <row r="810" spans="1:12" x14ac:dyDescent="0.25">
      <c r="A810" s="136">
        <v>42958</v>
      </c>
      <c r="B810" s="201" t="s">
        <v>835</v>
      </c>
      <c r="C810" t="s">
        <v>839</v>
      </c>
      <c r="I810" s="309">
        <v>4482.09</v>
      </c>
      <c r="K810" s="133">
        <f t="shared" si="12"/>
        <v>1.1083235703741414E-2</v>
      </c>
      <c r="L810" s="181">
        <v>0</v>
      </c>
    </row>
    <row r="811" spans="1:12" x14ac:dyDescent="0.25">
      <c r="A811" s="136">
        <v>42961</v>
      </c>
      <c r="B811" s="201" t="s">
        <v>132</v>
      </c>
      <c r="C811" t="s">
        <v>123</v>
      </c>
      <c r="D811">
        <v>10508052</v>
      </c>
      <c r="E811">
        <v>10508052</v>
      </c>
      <c r="F811">
        <v>0.01</v>
      </c>
      <c r="G811">
        <v>2099.0300000000002</v>
      </c>
      <c r="H811">
        <v>0</v>
      </c>
      <c r="I811" s="309">
        <v>105080.52</v>
      </c>
      <c r="J811">
        <v>0.01</v>
      </c>
      <c r="K811" s="133">
        <f t="shared" si="12"/>
        <v>0.25672278471602067</v>
      </c>
      <c r="L811" s="181">
        <v>37.450000000000301</v>
      </c>
    </row>
    <row r="812" spans="1:12" x14ac:dyDescent="0.25">
      <c r="A812" s="136">
        <v>42961</v>
      </c>
      <c r="B812" s="201" t="s">
        <v>61</v>
      </c>
      <c r="C812" t="s">
        <v>136</v>
      </c>
      <c r="D812">
        <v>1100</v>
      </c>
      <c r="E812">
        <v>1100</v>
      </c>
      <c r="F812">
        <v>5.4020000000000001</v>
      </c>
      <c r="G812">
        <v>30.77</v>
      </c>
      <c r="H812">
        <v>0.52</v>
      </c>
      <c r="I812" s="309">
        <v>5973</v>
      </c>
      <c r="J812">
        <v>5.43</v>
      </c>
      <c r="K812" s="133">
        <f t="shared" si="12"/>
        <v>1.4592668489923643E-2</v>
      </c>
      <c r="L812" s="181">
        <v>66</v>
      </c>
    </row>
    <row r="813" spans="1:12" x14ac:dyDescent="0.25">
      <c r="A813" s="136">
        <v>42961</v>
      </c>
      <c r="B813" s="201" t="s">
        <v>124</v>
      </c>
      <c r="C813" t="s">
        <v>125</v>
      </c>
      <c r="D813">
        <v>100</v>
      </c>
      <c r="E813">
        <v>100</v>
      </c>
      <c r="F813">
        <v>-53.579000000000001</v>
      </c>
      <c r="G813">
        <v>5906.9</v>
      </c>
      <c r="H813">
        <v>0</v>
      </c>
      <c r="I813" s="309">
        <v>549</v>
      </c>
      <c r="J813">
        <v>5.49</v>
      </c>
      <c r="K813" s="133">
        <f t="shared" si="12"/>
        <v>1.341264858692128E-3</v>
      </c>
      <c r="L813" s="181">
        <v>-6</v>
      </c>
    </row>
    <row r="814" spans="1:12" x14ac:dyDescent="0.25">
      <c r="A814" s="136">
        <v>42961</v>
      </c>
      <c r="B814" s="201" t="s">
        <v>71</v>
      </c>
      <c r="C814" t="s">
        <v>126</v>
      </c>
      <c r="D814">
        <v>3200</v>
      </c>
      <c r="E814">
        <v>3200</v>
      </c>
      <c r="F814">
        <v>6.093</v>
      </c>
      <c r="G814">
        <v>727.6</v>
      </c>
      <c r="H814">
        <v>3.73</v>
      </c>
      <c r="I814" s="309">
        <v>20224</v>
      </c>
      <c r="J814">
        <v>6.32</v>
      </c>
      <c r="K814" s="133">
        <f t="shared" si="12"/>
        <v>4.9409363391966478E-2</v>
      </c>
      <c r="L814" s="181">
        <v>32</v>
      </c>
    </row>
    <row r="815" spans="1:12" x14ac:dyDescent="0.25">
      <c r="A815" s="136">
        <v>42961</v>
      </c>
      <c r="B815" s="201" t="s">
        <v>65</v>
      </c>
      <c r="C815" t="s">
        <v>127</v>
      </c>
      <c r="D815">
        <v>7200</v>
      </c>
      <c r="E815">
        <v>7200</v>
      </c>
      <c r="F815">
        <v>10.266</v>
      </c>
      <c r="G815">
        <v>6438.72</v>
      </c>
      <c r="H815">
        <v>8.7100000000000009</v>
      </c>
      <c r="I815" s="309">
        <v>80352</v>
      </c>
      <c r="J815">
        <v>11.16</v>
      </c>
      <c r="K815" s="133">
        <f t="shared" si="12"/>
        <v>0.19630840423611998</v>
      </c>
      <c r="L815" s="181">
        <v>1378.52</v>
      </c>
    </row>
    <row r="816" spans="1:12" x14ac:dyDescent="0.25">
      <c r="A816" s="136">
        <v>42961</v>
      </c>
      <c r="B816" s="201" t="s">
        <v>77</v>
      </c>
      <c r="C816" t="s">
        <v>128</v>
      </c>
      <c r="D816">
        <v>100</v>
      </c>
      <c r="E816">
        <v>100</v>
      </c>
      <c r="F816">
        <v>-20.638000000000002</v>
      </c>
      <c r="G816">
        <v>2745.8</v>
      </c>
      <c r="H816">
        <v>0</v>
      </c>
      <c r="I816" s="309">
        <v>682</v>
      </c>
      <c r="J816">
        <v>6.82</v>
      </c>
      <c r="K816" s="133">
        <f t="shared" si="12"/>
        <v>1.6661978754608949E-3</v>
      </c>
      <c r="L816" s="181">
        <v>11</v>
      </c>
    </row>
    <row r="817" spans="1:12" x14ac:dyDescent="0.25">
      <c r="A817" s="136">
        <v>42961</v>
      </c>
      <c r="B817" s="201" t="s">
        <v>67</v>
      </c>
      <c r="C817" t="s">
        <v>129</v>
      </c>
      <c r="D817">
        <v>7050</v>
      </c>
      <c r="E817">
        <v>7050</v>
      </c>
      <c r="F817">
        <v>9.2050000000000001</v>
      </c>
      <c r="G817">
        <v>-2856.11</v>
      </c>
      <c r="H817">
        <v>-4.4000000000000004</v>
      </c>
      <c r="I817" s="309">
        <v>62040</v>
      </c>
      <c r="J817">
        <v>8.8000000000000007</v>
      </c>
      <c r="K817" s="133">
        <f t="shared" si="12"/>
        <v>0.15157025834837817</v>
      </c>
      <c r="L817" s="181">
        <v>634.5</v>
      </c>
    </row>
    <row r="818" spans="1:12" x14ac:dyDescent="0.25">
      <c r="A818" s="136">
        <v>42961</v>
      </c>
      <c r="B818" s="201" t="s">
        <v>72</v>
      </c>
      <c r="C818" t="s">
        <v>130</v>
      </c>
      <c r="D818">
        <v>2100</v>
      </c>
      <c r="E818">
        <v>2100</v>
      </c>
      <c r="F818">
        <v>8.4559999999999995</v>
      </c>
      <c r="G818">
        <v>-1146.8800000000001</v>
      </c>
      <c r="H818">
        <v>-6.46</v>
      </c>
      <c r="I818" s="309">
        <v>16611</v>
      </c>
      <c r="J818">
        <v>7.91</v>
      </c>
      <c r="K818" s="133">
        <f t="shared" si="12"/>
        <v>4.058242362064652E-2</v>
      </c>
      <c r="L818" s="181">
        <v>0</v>
      </c>
    </row>
    <row r="819" spans="1:12" x14ac:dyDescent="0.25">
      <c r="A819" s="136">
        <v>42961</v>
      </c>
      <c r="B819" s="201" t="s">
        <v>70</v>
      </c>
      <c r="C819" t="s">
        <v>131</v>
      </c>
      <c r="D819">
        <v>8900</v>
      </c>
      <c r="E819">
        <v>8900</v>
      </c>
      <c r="F819">
        <v>12.792999999999999</v>
      </c>
      <c r="G819">
        <v>-5011.37</v>
      </c>
      <c r="H819">
        <v>-4.4000000000000004</v>
      </c>
      <c r="I819" s="309">
        <v>108847</v>
      </c>
      <c r="J819">
        <v>12.23</v>
      </c>
      <c r="K819" s="133">
        <f t="shared" si="12"/>
        <v>0.26592469230248095</v>
      </c>
      <c r="L819" s="181">
        <v>2759</v>
      </c>
    </row>
    <row r="820" spans="1:12" x14ac:dyDescent="0.25">
      <c r="A820" s="136">
        <v>42961</v>
      </c>
      <c r="B820" s="201" t="s">
        <v>835</v>
      </c>
      <c r="C820" t="s">
        <v>839</v>
      </c>
      <c r="I820" s="309">
        <v>8956.61</v>
      </c>
      <c r="K820" s="133">
        <f t="shared" si="12"/>
        <v>2.1881942160310568E-2</v>
      </c>
      <c r="L820" s="181">
        <v>0</v>
      </c>
    </row>
    <row r="821" spans="1:12" x14ac:dyDescent="0.25">
      <c r="A821" s="136">
        <v>42963</v>
      </c>
      <c r="B821" s="201" t="str">
        <f>"519888"</f>
        <v>519888</v>
      </c>
      <c r="C821" t="str">
        <f>"添富快线"</f>
        <v>添富快线</v>
      </c>
      <c r="D821">
        <v>10509074</v>
      </c>
      <c r="E821">
        <v>10509074</v>
      </c>
      <c r="F821">
        <v>0.01</v>
      </c>
      <c r="G821">
        <v>2109.25</v>
      </c>
      <c r="H821">
        <v>0</v>
      </c>
      <c r="I821" s="309">
        <v>105090.74</v>
      </c>
      <c r="J821">
        <v>0.01</v>
      </c>
      <c r="K821" s="133">
        <f t="shared" si="12"/>
        <v>0.25378271595147528</v>
      </c>
      <c r="L821" s="181">
        <v>10.2199999999998</v>
      </c>
    </row>
    <row r="822" spans="1:12" x14ac:dyDescent="0.25">
      <c r="A822" s="136">
        <v>42963</v>
      </c>
      <c r="B822" s="201" t="str">
        <f>"600269"</f>
        <v>600269</v>
      </c>
      <c r="C822" t="str">
        <f>"赣粤高速"</f>
        <v>赣粤高速</v>
      </c>
      <c r="D822">
        <v>1100</v>
      </c>
      <c r="E822">
        <v>1100</v>
      </c>
      <c r="F822">
        <v>5.4020000000000001</v>
      </c>
      <c r="G822">
        <v>-2.23</v>
      </c>
      <c r="H822">
        <v>-0.04</v>
      </c>
      <c r="I822" s="309">
        <v>5940</v>
      </c>
      <c r="J822">
        <v>5.4</v>
      </c>
      <c r="K822" s="133">
        <f t="shared" si="12"/>
        <v>1.4344454447192618E-2</v>
      </c>
      <c r="L822" s="181">
        <v>-33</v>
      </c>
    </row>
    <row r="823" spans="1:12" x14ac:dyDescent="0.25">
      <c r="A823" s="136">
        <v>42963</v>
      </c>
      <c r="B823" s="201" t="str">
        <f>"601398"</f>
        <v>601398</v>
      </c>
      <c r="C823" t="str">
        <f>"工商银行"</f>
        <v>工商银行</v>
      </c>
      <c r="D823">
        <v>100</v>
      </c>
      <c r="E823">
        <v>100</v>
      </c>
      <c r="F823">
        <v>-53.579000000000001</v>
      </c>
      <c r="G823">
        <v>5920.9</v>
      </c>
      <c r="H823">
        <v>0</v>
      </c>
      <c r="I823" s="309">
        <v>563</v>
      </c>
      <c r="J823">
        <v>5.63</v>
      </c>
      <c r="K823" s="133">
        <f t="shared" si="12"/>
        <v>1.3595838137658996E-3</v>
      </c>
      <c r="L823" s="181">
        <v>14</v>
      </c>
    </row>
    <row r="824" spans="1:12" x14ac:dyDescent="0.25">
      <c r="A824" s="136">
        <v>42963</v>
      </c>
      <c r="B824" s="201" t="str">
        <f>"601998"</f>
        <v>601998</v>
      </c>
      <c r="C824" t="str">
        <f>"中信银行"</f>
        <v>中信银行</v>
      </c>
      <c r="D824">
        <v>3200</v>
      </c>
      <c r="E824">
        <v>3200</v>
      </c>
      <c r="F824">
        <v>6.093</v>
      </c>
      <c r="G824">
        <v>727.6</v>
      </c>
      <c r="H824">
        <v>3.73</v>
      </c>
      <c r="I824" s="309">
        <v>20224</v>
      </c>
      <c r="J824">
        <v>6.32</v>
      </c>
      <c r="K824" s="133">
        <f t="shared" si="12"/>
        <v>4.883876207744503E-2</v>
      </c>
      <c r="L824" s="181">
        <v>0</v>
      </c>
    </row>
    <row r="825" spans="1:12" x14ac:dyDescent="0.25">
      <c r="A825" s="136">
        <v>42963</v>
      </c>
      <c r="B825" s="201" t="str">
        <f>"000402"</f>
        <v>000402</v>
      </c>
      <c r="C825" t="str">
        <f>"金 融 街"</f>
        <v>金 融 街</v>
      </c>
      <c r="D825">
        <v>7200</v>
      </c>
      <c r="E825">
        <v>7200</v>
      </c>
      <c r="F825">
        <v>10.266</v>
      </c>
      <c r="G825">
        <v>6726.72</v>
      </c>
      <c r="H825">
        <v>9.1</v>
      </c>
      <c r="I825" s="309">
        <v>80640</v>
      </c>
      <c r="J825">
        <v>11.2</v>
      </c>
      <c r="K825" s="133">
        <f t="shared" si="12"/>
        <v>0.19473683613158463</v>
      </c>
      <c r="L825" s="181">
        <v>288</v>
      </c>
    </row>
    <row r="826" spans="1:12" x14ac:dyDescent="0.25">
      <c r="A826" s="136">
        <v>42963</v>
      </c>
      <c r="B826" s="201" t="str">
        <f>"000415"</f>
        <v>000415</v>
      </c>
      <c r="C826" t="str">
        <f>"渤海金控"</f>
        <v>渤海金控</v>
      </c>
      <c r="D826">
        <v>100</v>
      </c>
      <c r="E826">
        <v>100</v>
      </c>
      <c r="F826">
        <v>-20.638000000000002</v>
      </c>
      <c r="G826">
        <v>2745.8</v>
      </c>
      <c r="H826">
        <v>0</v>
      </c>
      <c r="I826" s="309">
        <v>682</v>
      </c>
      <c r="J826">
        <v>6.82</v>
      </c>
      <c r="K826" s="133">
        <f t="shared" si="12"/>
        <v>1.6469558809739672E-3</v>
      </c>
      <c r="L826" s="181">
        <v>0</v>
      </c>
    </row>
    <row r="827" spans="1:12" x14ac:dyDescent="0.25">
      <c r="A827" s="136">
        <v>42963</v>
      </c>
      <c r="B827" s="201" t="str">
        <f>"000528"</f>
        <v>000528</v>
      </c>
      <c r="C827" t="str">
        <f>"柳    工"</f>
        <v>柳    工</v>
      </c>
      <c r="D827">
        <v>7550</v>
      </c>
      <c r="E827">
        <v>7550</v>
      </c>
      <c r="F827">
        <v>9.1739999999999995</v>
      </c>
      <c r="G827">
        <v>-2826.11</v>
      </c>
      <c r="H827">
        <v>-4.08</v>
      </c>
      <c r="I827" s="309">
        <v>66440</v>
      </c>
      <c r="J827">
        <v>8.8000000000000007</v>
      </c>
      <c r="K827" s="133">
        <f t="shared" si="12"/>
        <v>0.1604453793723026</v>
      </c>
      <c r="L827" s="181">
        <v>30</v>
      </c>
    </row>
    <row r="828" spans="1:12" x14ac:dyDescent="0.25">
      <c r="A828" s="136">
        <v>42963</v>
      </c>
      <c r="B828" s="201" t="str">
        <f>"002006"</f>
        <v>002006</v>
      </c>
      <c r="C828" t="str">
        <f>"精功科技"</f>
        <v>精功科技</v>
      </c>
      <c r="D828">
        <v>2100</v>
      </c>
      <c r="E828">
        <v>2100</v>
      </c>
      <c r="F828">
        <v>8.4559999999999995</v>
      </c>
      <c r="G828">
        <v>-1146.8800000000001</v>
      </c>
      <c r="H828">
        <v>-6.46</v>
      </c>
      <c r="I828" s="309">
        <v>16611</v>
      </c>
      <c r="J828">
        <v>7.91</v>
      </c>
      <c r="K828" s="133">
        <f t="shared" si="12"/>
        <v>4.011375973439673E-2</v>
      </c>
      <c r="L828" s="181">
        <v>0</v>
      </c>
    </row>
    <row r="829" spans="1:12" x14ac:dyDescent="0.25">
      <c r="A829" s="136">
        <v>42963</v>
      </c>
      <c r="B829" s="201" t="str">
        <f>"002140"</f>
        <v>002140</v>
      </c>
      <c r="C829" t="str">
        <f>"东华科技"</f>
        <v>东华科技</v>
      </c>
      <c r="D829">
        <v>7900</v>
      </c>
      <c r="E829">
        <v>7400</v>
      </c>
      <c r="F829">
        <v>12.798</v>
      </c>
      <c r="G829">
        <v>-534.91</v>
      </c>
      <c r="H829">
        <v>-0.53</v>
      </c>
      <c r="I829" s="309">
        <v>100567</v>
      </c>
      <c r="J829">
        <v>12.73</v>
      </c>
      <c r="K829" s="133">
        <f t="shared" si="12"/>
        <v>0.24285837548667003</v>
      </c>
      <c r="L829" s="181">
        <v>4476.46</v>
      </c>
    </row>
    <row r="830" spans="1:12" x14ac:dyDescent="0.25">
      <c r="A830" s="136">
        <v>42963</v>
      </c>
      <c r="B830" s="201" t="s">
        <v>835</v>
      </c>
      <c r="C830" t="s">
        <v>839</v>
      </c>
      <c r="I830" s="309">
        <v>17339.57</v>
      </c>
      <c r="K830" s="133">
        <f t="shared" si="12"/>
        <v>4.1873177104193214E-2</v>
      </c>
      <c r="L830" s="181">
        <v>0</v>
      </c>
    </row>
    <row r="831" spans="1:12" x14ac:dyDescent="0.25">
      <c r="A831" s="136">
        <v>42964</v>
      </c>
      <c r="B831" s="201" t="str">
        <f>"519888"</f>
        <v>519888</v>
      </c>
      <c r="C831" t="str">
        <f>"添富快线"</f>
        <v>添富快线</v>
      </c>
      <c r="D831">
        <v>10510022</v>
      </c>
      <c r="E831">
        <v>10510022</v>
      </c>
      <c r="F831">
        <v>0.01</v>
      </c>
      <c r="G831">
        <v>2118.73</v>
      </c>
      <c r="H831">
        <v>0</v>
      </c>
      <c r="I831" s="309">
        <v>105100.22</v>
      </c>
      <c r="J831">
        <v>0.01</v>
      </c>
      <c r="K831" s="133">
        <f t="shared" si="12"/>
        <v>0.25190491608791576</v>
      </c>
      <c r="L831" s="181">
        <v>9.48000000000002</v>
      </c>
    </row>
    <row r="832" spans="1:12" x14ac:dyDescent="0.25">
      <c r="A832" s="136">
        <v>42964</v>
      </c>
      <c r="B832" s="201" t="str">
        <f>"600269"</f>
        <v>600269</v>
      </c>
      <c r="C832" t="str">
        <f>"赣粤高速"</f>
        <v>赣粤高速</v>
      </c>
      <c r="D832">
        <v>1100</v>
      </c>
      <c r="E832">
        <v>1100</v>
      </c>
      <c r="F832">
        <v>5.4020000000000001</v>
      </c>
      <c r="G832">
        <v>63.77</v>
      </c>
      <c r="H832">
        <v>1.26</v>
      </c>
      <c r="I832" s="309">
        <v>6006</v>
      </c>
      <c r="J832">
        <v>5.46</v>
      </c>
      <c r="K832" s="133">
        <f t="shared" si="12"/>
        <v>1.4395221304237251E-2</v>
      </c>
      <c r="L832" s="181">
        <v>66</v>
      </c>
    </row>
    <row r="833" spans="1:12" x14ac:dyDescent="0.25">
      <c r="A833" s="136">
        <v>42964</v>
      </c>
      <c r="B833" s="201" t="str">
        <f>"601398"</f>
        <v>601398</v>
      </c>
      <c r="C833" t="str">
        <f>"工商银行"</f>
        <v>工商银行</v>
      </c>
      <c r="D833">
        <v>100</v>
      </c>
      <c r="E833">
        <v>100</v>
      </c>
      <c r="F833">
        <v>-53.579000000000001</v>
      </c>
      <c r="G833">
        <v>5919.9</v>
      </c>
      <c r="H833">
        <v>0</v>
      </c>
      <c r="I833" s="309">
        <v>562</v>
      </c>
      <c r="J833">
        <v>5.62</v>
      </c>
      <c r="K833" s="133">
        <f t="shared" si="12"/>
        <v>1.3470053901067825E-3</v>
      </c>
      <c r="L833" s="181">
        <v>-1</v>
      </c>
    </row>
    <row r="834" spans="1:12" x14ac:dyDescent="0.25">
      <c r="A834" s="136">
        <v>42964</v>
      </c>
      <c r="B834" s="201" t="str">
        <f>"601998"</f>
        <v>601998</v>
      </c>
      <c r="C834" t="str">
        <f>"中信银行"</f>
        <v>中信银行</v>
      </c>
      <c r="D834">
        <v>3200</v>
      </c>
      <c r="E834">
        <v>3200</v>
      </c>
      <c r="F834">
        <v>6.093</v>
      </c>
      <c r="G834">
        <v>855.6</v>
      </c>
      <c r="H834">
        <v>4.38</v>
      </c>
      <c r="I834" s="309">
        <v>20352</v>
      </c>
      <c r="J834">
        <v>6.36</v>
      </c>
      <c r="K834" s="133">
        <f t="shared" ref="K834:K897" si="13">I834/SUMIF(A:A,A834,I:I)</f>
        <v>4.8779810853119637E-2</v>
      </c>
      <c r="L834" s="181">
        <v>128</v>
      </c>
    </row>
    <row r="835" spans="1:12" x14ac:dyDescent="0.25">
      <c r="A835" s="136">
        <v>42964</v>
      </c>
      <c r="B835" s="201" t="str">
        <f>"000402"</f>
        <v>000402</v>
      </c>
      <c r="C835" t="str">
        <f>"金 融 街"</f>
        <v>金 融 街</v>
      </c>
      <c r="D835">
        <v>6800</v>
      </c>
      <c r="E835">
        <v>6800</v>
      </c>
      <c r="F835">
        <v>10.205</v>
      </c>
      <c r="G835">
        <v>7649.19</v>
      </c>
      <c r="H835">
        <v>11.03</v>
      </c>
      <c r="I835" s="309">
        <v>77044</v>
      </c>
      <c r="J835">
        <v>11.33</v>
      </c>
      <c r="K835" s="133">
        <f t="shared" si="13"/>
        <v>0.18465957878182729</v>
      </c>
      <c r="L835" s="181">
        <v>922.469999999999</v>
      </c>
    </row>
    <row r="836" spans="1:12" x14ac:dyDescent="0.25">
      <c r="A836" s="136">
        <v>42964</v>
      </c>
      <c r="B836" s="201" t="str">
        <f>"000415"</f>
        <v>000415</v>
      </c>
      <c r="C836" t="str">
        <f>"渤海金控"</f>
        <v>渤海金控</v>
      </c>
      <c r="D836">
        <v>100</v>
      </c>
      <c r="E836">
        <v>100</v>
      </c>
      <c r="F836">
        <v>-20.638000000000002</v>
      </c>
      <c r="G836">
        <v>2748.8</v>
      </c>
      <c r="H836">
        <v>0</v>
      </c>
      <c r="I836" s="309">
        <v>685</v>
      </c>
      <c r="J836">
        <v>6.85</v>
      </c>
      <c r="K836" s="133">
        <f t="shared" si="13"/>
        <v>1.6418126196141387E-3</v>
      </c>
      <c r="L836" s="181">
        <v>3</v>
      </c>
    </row>
    <row r="837" spans="1:12" x14ac:dyDescent="0.25">
      <c r="A837" s="136">
        <v>42964</v>
      </c>
      <c r="B837" s="201" t="str">
        <f>"000528"</f>
        <v>000528</v>
      </c>
      <c r="C837" t="str">
        <f>"柳    工"</f>
        <v>柳    工</v>
      </c>
      <c r="D837">
        <v>7050</v>
      </c>
      <c r="E837">
        <v>7050</v>
      </c>
      <c r="F837">
        <v>9.1989999999999998</v>
      </c>
      <c r="G837">
        <v>-2528.54</v>
      </c>
      <c r="H837">
        <v>-3.9</v>
      </c>
      <c r="I837" s="309">
        <v>62322</v>
      </c>
      <c r="J837">
        <v>8.84</v>
      </c>
      <c r="K837" s="133">
        <f t="shared" si="13"/>
        <v>0.14937378989721511</v>
      </c>
      <c r="L837" s="181">
        <v>297.57</v>
      </c>
    </row>
    <row r="838" spans="1:12" x14ac:dyDescent="0.25">
      <c r="A838" s="136">
        <v>42964</v>
      </c>
      <c r="B838" s="201" t="str">
        <f>"002006"</f>
        <v>002006</v>
      </c>
      <c r="C838" t="str">
        <f>"精功科技"</f>
        <v>精功科技</v>
      </c>
      <c r="D838">
        <v>2100</v>
      </c>
      <c r="E838">
        <v>2100</v>
      </c>
      <c r="F838">
        <v>8.4559999999999995</v>
      </c>
      <c r="G838">
        <v>-1146.8800000000001</v>
      </c>
      <c r="H838">
        <v>-6.46</v>
      </c>
      <c r="I838" s="309">
        <v>16611</v>
      </c>
      <c r="J838">
        <v>7.91</v>
      </c>
      <c r="K838" s="133">
        <f t="shared" si="13"/>
        <v>3.9813356823956869E-2</v>
      </c>
      <c r="L838" s="181">
        <v>0</v>
      </c>
    </row>
    <row r="839" spans="1:12" x14ac:dyDescent="0.25">
      <c r="A839" s="136">
        <v>42964</v>
      </c>
      <c r="B839" s="201" t="str">
        <f>"002140"</f>
        <v>002140</v>
      </c>
      <c r="C839" t="str">
        <f>"东华科技"</f>
        <v>东华科技</v>
      </c>
      <c r="D839">
        <v>7500</v>
      </c>
      <c r="E839">
        <v>7500</v>
      </c>
      <c r="F839">
        <v>12.785</v>
      </c>
      <c r="G839">
        <v>1165.8599999999999</v>
      </c>
      <c r="H839">
        <v>1.21</v>
      </c>
      <c r="I839" s="309">
        <v>97050</v>
      </c>
      <c r="J839">
        <v>12.94</v>
      </c>
      <c r="K839" s="133">
        <f t="shared" si="13"/>
        <v>0.232610094501536</v>
      </c>
      <c r="L839" s="181">
        <v>1700.77</v>
      </c>
    </row>
    <row r="840" spans="1:12" x14ac:dyDescent="0.25">
      <c r="A840" s="136">
        <v>42964</v>
      </c>
      <c r="B840" s="201" t="str">
        <f>"SZRQ88"</f>
        <v>SZRQ88</v>
      </c>
      <c r="C840" t="str">
        <f>"国标准券"</f>
        <v>国标准券</v>
      </c>
      <c r="D840">
        <v>31000</v>
      </c>
      <c r="E840">
        <v>0</v>
      </c>
      <c r="F840">
        <v>1</v>
      </c>
      <c r="G840">
        <v>-0.31</v>
      </c>
      <c r="H840">
        <v>0</v>
      </c>
      <c r="I840" s="309">
        <v>31000</v>
      </c>
      <c r="J840">
        <v>1</v>
      </c>
      <c r="K840" s="133">
        <f t="shared" si="13"/>
        <v>7.4301009062829632E-2</v>
      </c>
      <c r="L840" s="181">
        <v>0.3</v>
      </c>
    </row>
    <row r="841" spans="1:12" x14ac:dyDescent="0.25">
      <c r="A841" s="136">
        <v>42964</v>
      </c>
      <c r="B841" s="201" t="s">
        <v>835</v>
      </c>
      <c r="C841" t="s">
        <v>839</v>
      </c>
      <c r="I841" s="309">
        <v>489.57</v>
      </c>
      <c r="K841" s="133">
        <f t="shared" si="13"/>
        <v>1.1734046776415968E-3</v>
      </c>
      <c r="L841" s="181">
        <v>0</v>
      </c>
    </row>
    <row r="842" spans="1:12" x14ac:dyDescent="0.25">
      <c r="A842" s="136">
        <v>42965</v>
      </c>
      <c r="B842" s="201" t="str">
        <f>"519888"</f>
        <v>519888</v>
      </c>
      <c r="C842" t="str">
        <f>"添富快线"</f>
        <v>添富快线</v>
      </c>
      <c r="D842">
        <v>10512153</v>
      </c>
      <c r="E842">
        <v>10512153</v>
      </c>
      <c r="F842">
        <v>0.01</v>
      </c>
      <c r="G842">
        <v>2140.04</v>
      </c>
      <c r="H842">
        <v>0</v>
      </c>
      <c r="I842" s="309">
        <v>105121.53</v>
      </c>
      <c r="J842">
        <v>0.01</v>
      </c>
      <c r="K842" s="133">
        <f t="shared" si="13"/>
        <v>0.25153324292912227</v>
      </c>
      <c r="L842" s="181">
        <v>21.309999999999899</v>
      </c>
    </row>
    <row r="843" spans="1:12" x14ac:dyDescent="0.25">
      <c r="A843" s="136">
        <v>42965</v>
      </c>
      <c r="B843" s="201" t="str">
        <f>"600269"</f>
        <v>600269</v>
      </c>
      <c r="C843" t="str">
        <f>"赣粤高速"</f>
        <v>赣粤高速</v>
      </c>
      <c r="D843">
        <v>700</v>
      </c>
      <c r="E843">
        <v>700</v>
      </c>
      <c r="F843">
        <v>5.351</v>
      </c>
      <c r="G843">
        <v>97.53</v>
      </c>
      <c r="H843">
        <v>2.6</v>
      </c>
      <c r="I843" s="309">
        <v>3843</v>
      </c>
      <c r="J843">
        <v>5.49</v>
      </c>
      <c r="K843" s="133">
        <f t="shared" si="13"/>
        <v>9.1954735873480617E-3</v>
      </c>
      <c r="L843" s="181">
        <v>33.76</v>
      </c>
    </row>
    <row r="844" spans="1:12" x14ac:dyDescent="0.25">
      <c r="A844" s="136">
        <v>42965</v>
      </c>
      <c r="B844" s="201" t="str">
        <f>"601398"</f>
        <v>601398</v>
      </c>
      <c r="C844" t="str">
        <f>"工商银行"</f>
        <v>工商银行</v>
      </c>
      <c r="D844">
        <v>100</v>
      </c>
      <c r="E844">
        <v>100</v>
      </c>
      <c r="F844">
        <v>-53.579000000000001</v>
      </c>
      <c r="G844">
        <v>5919.9</v>
      </c>
      <c r="H844">
        <v>0</v>
      </c>
      <c r="I844" s="309">
        <v>562</v>
      </c>
      <c r="J844">
        <v>5.62</v>
      </c>
      <c r="K844" s="133">
        <f t="shared" si="13"/>
        <v>1.3447452917225112E-3</v>
      </c>
      <c r="L844" s="181">
        <v>0</v>
      </c>
    </row>
    <row r="845" spans="1:12" x14ac:dyDescent="0.25">
      <c r="A845" s="136">
        <v>42965</v>
      </c>
      <c r="B845" s="201" t="str">
        <f>"601998"</f>
        <v>601998</v>
      </c>
      <c r="C845" t="str">
        <f>"中信银行"</f>
        <v>中信银行</v>
      </c>
      <c r="D845">
        <v>3700</v>
      </c>
      <c r="E845">
        <v>3700</v>
      </c>
      <c r="F845">
        <v>6.1230000000000002</v>
      </c>
      <c r="G845">
        <v>690.54</v>
      </c>
      <c r="H845">
        <v>3.06</v>
      </c>
      <c r="I845" s="309">
        <v>23347</v>
      </c>
      <c r="J845">
        <v>6.31</v>
      </c>
      <c r="K845" s="133">
        <f t="shared" si="13"/>
        <v>5.5864356451682334E-2</v>
      </c>
      <c r="L845" s="181">
        <v>-165.06</v>
      </c>
    </row>
    <row r="846" spans="1:12" x14ac:dyDescent="0.25">
      <c r="A846" s="136">
        <v>42965</v>
      </c>
      <c r="B846" s="201" t="str">
        <f>"000402"</f>
        <v>000402</v>
      </c>
      <c r="C846" t="str">
        <f>"金 融 街"</f>
        <v>金 融 街</v>
      </c>
      <c r="D846">
        <v>6000</v>
      </c>
      <c r="E846">
        <v>6000</v>
      </c>
      <c r="F846">
        <v>10.02</v>
      </c>
      <c r="G846">
        <v>10017.9</v>
      </c>
      <c r="H846">
        <v>16.670000000000002</v>
      </c>
      <c r="I846" s="309">
        <v>70140</v>
      </c>
      <c r="J846">
        <v>11.69</v>
      </c>
      <c r="K846" s="133">
        <f t="shared" si="13"/>
        <v>0.16782995509148921</v>
      </c>
      <c r="L846" s="181">
        <v>2368.71</v>
      </c>
    </row>
    <row r="847" spans="1:12" x14ac:dyDescent="0.25">
      <c r="A847" s="136">
        <v>42965</v>
      </c>
      <c r="B847" s="201" t="str">
        <f>"000415"</f>
        <v>000415</v>
      </c>
      <c r="C847" t="str">
        <f>"渤海金控"</f>
        <v>渤海金控</v>
      </c>
      <c r="D847">
        <v>100</v>
      </c>
      <c r="E847">
        <v>100</v>
      </c>
      <c r="F847">
        <v>-20.638000000000002</v>
      </c>
      <c r="G847">
        <v>2751.8</v>
      </c>
      <c r="H847">
        <v>0</v>
      </c>
      <c r="I847" s="309">
        <v>688</v>
      </c>
      <c r="J847">
        <v>6.88</v>
      </c>
      <c r="K847" s="133">
        <f t="shared" si="13"/>
        <v>1.6462362290126115E-3</v>
      </c>
      <c r="L847" s="181">
        <v>3</v>
      </c>
    </row>
    <row r="848" spans="1:12" x14ac:dyDescent="0.25">
      <c r="A848" s="136">
        <v>42965</v>
      </c>
      <c r="B848" s="201" t="str">
        <f>"000528"</f>
        <v>000528</v>
      </c>
      <c r="C848" t="str">
        <f>"柳    工"</f>
        <v>柳    工</v>
      </c>
      <c r="D848">
        <v>7050</v>
      </c>
      <c r="E848">
        <v>7050</v>
      </c>
      <c r="F848">
        <v>9.1989999999999998</v>
      </c>
      <c r="G848">
        <v>-2528.54</v>
      </c>
      <c r="H848">
        <v>-3.9</v>
      </c>
      <c r="I848" s="309">
        <v>62322</v>
      </c>
      <c r="J848">
        <v>8.84</v>
      </c>
      <c r="K848" s="133">
        <f t="shared" si="13"/>
        <v>0.14912316026820346</v>
      </c>
      <c r="L848" s="181">
        <v>0</v>
      </c>
    </row>
    <row r="849" spans="1:12" x14ac:dyDescent="0.25">
      <c r="A849" s="136">
        <v>42965</v>
      </c>
      <c r="B849" s="201" t="str">
        <f>"002006"</f>
        <v>002006</v>
      </c>
      <c r="C849" t="str">
        <f>"精功科技"</f>
        <v>精功科技</v>
      </c>
      <c r="D849">
        <v>2100</v>
      </c>
      <c r="E849">
        <v>2100</v>
      </c>
      <c r="F849">
        <v>8.4559999999999995</v>
      </c>
      <c r="G849">
        <v>-1146.8800000000001</v>
      </c>
      <c r="H849">
        <v>-6.46</v>
      </c>
      <c r="I849" s="309">
        <v>16611</v>
      </c>
      <c r="J849">
        <v>7.91</v>
      </c>
      <c r="K849" s="133">
        <f t="shared" si="13"/>
        <v>3.9746555232744903E-2</v>
      </c>
      <c r="L849" s="181">
        <v>0</v>
      </c>
    </row>
    <row r="850" spans="1:12" x14ac:dyDescent="0.25">
      <c r="A850" s="136">
        <v>42965</v>
      </c>
      <c r="B850" s="201" t="str">
        <f>"002140"</f>
        <v>002140</v>
      </c>
      <c r="C850" t="str">
        <f>"东华科技"</f>
        <v>东华科技</v>
      </c>
      <c r="D850">
        <v>7500</v>
      </c>
      <c r="E850">
        <v>7500</v>
      </c>
      <c r="F850">
        <v>12.785</v>
      </c>
      <c r="G850">
        <v>-409.14</v>
      </c>
      <c r="H850">
        <v>-0.43</v>
      </c>
      <c r="I850" s="309">
        <v>95475</v>
      </c>
      <c r="J850">
        <v>12.73</v>
      </c>
      <c r="K850" s="133">
        <f t="shared" si="13"/>
        <v>0.2284511685537487</v>
      </c>
      <c r="L850" s="181">
        <v>-1575</v>
      </c>
    </row>
    <row r="851" spans="1:12" x14ac:dyDescent="0.25">
      <c r="A851" s="136">
        <v>42965</v>
      </c>
      <c r="B851" s="201" t="str">
        <f>"SZRQ88"</f>
        <v>SZRQ88</v>
      </c>
      <c r="C851" t="str">
        <f>"国标准券"</f>
        <v>国标准券</v>
      </c>
      <c r="D851">
        <v>29000</v>
      </c>
      <c r="E851">
        <v>29000</v>
      </c>
      <c r="F851">
        <v>1</v>
      </c>
      <c r="G851">
        <v>12.92</v>
      </c>
      <c r="H851">
        <v>0</v>
      </c>
      <c r="J851">
        <v>1</v>
      </c>
      <c r="K851" s="133">
        <f t="shared" si="13"/>
        <v>0</v>
      </c>
      <c r="L851" s="181">
        <v>13.23</v>
      </c>
    </row>
    <row r="852" spans="1:12" x14ac:dyDescent="0.25">
      <c r="A852" s="136">
        <v>42965</v>
      </c>
      <c r="B852" s="201" t="s">
        <v>835</v>
      </c>
      <c r="C852" t="s">
        <v>839</v>
      </c>
      <c r="I852" s="309">
        <v>39813.480000000003</v>
      </c>
      <c r="K852" s="133">
        <f t="shared" si="13"/>
        <v>9.5265106364925925E-2</v>
      </c>
      <c r="L852" s="181">
        <v>0</v>
      </c>
    </row>
    <row r="853" spans="1:12" x14ac:dyDescent="0.25">
      <c r="A853" s="136">
        <v>42968</v>
      </c>
      <c r="B853" s="201" t="s">
        <v>132</v>
      </c>
      <c r="C853" t="s">
        <v>123</v>
      </c>
      <c r="D853">
        <v>12514800</v>
      </c>
      <c r="E853">
        <v>12514800</v>
      </c>
      <c r="F853">
        <v>0.01</v>
      </c>
      <c r="G853">
        <v>2166.5100000000002</v>
      </c>
      <c r="H853">
        <v>0</v>
      </c>
      <c r="I853" s="309">
        <v>125148</v>
      </c>
      <c r="J853">
        <v>0.01</v>
      </c>
      <c r="K853" s="133">
        <f t="shared" si="13"/>
        <v>0.29734967747558133</v>
      </c>
      <c r="L853" s="181">
        <v>26.470000000000301</v>
      </c>
    </row>
    <row r="854" spans="1:12" x14ac:dyDescent="0.25">
      <c r="A854" s="136">
        <v>42968</v>
      </c>
      <c r="B854" s="201" t="s">
        <v>61</v>
      </c>
      <c r="C854" t="s">
        <v>136</v>
      </c>
      <c r="D854">
        <v>700</v>
      </c>
      <c r="E854">
        <v>700</v>
      </c>
      <c r="F854">
        <v>5.351</v>
      </c>
      <c r="G854">
        <v>90.53</v>
      </c>
      <c r="H854">
        <v>0</v>
      </c>
      <c r="I854" s="309">
        <v>3836</v>
      </c>
      <c r="J854">
        <v>5.48</v>
      </c>
      <c r="K854" s="133">
        <f t="shared" si="13"/>
        <v>9.1142756000601698E-3</v>
      </c>
      <c r="L854" s="181">
        <v>-7</v>
      </c>
    </row>
    <row r="855" spans="1:12" x14ac:dyDescent="0.25">
      <c r="A855" s="136">
        <v>42968</v>
      </c>
      <c r="B855" s="201" t="s">
        <v>124</v>
      </c>
      <c r="C855" t="s">
        <v>125</v>
      </c>
      <c r="D855">
        <v>100</v>
      </c>
      <c r="E855">
        <v>100</v>
      </c>
      <c r="F855">
        <v>-53.579000000000001</v>
      </c>
      <c r="G855">
        <v>5920.9</v>
      </c>
      <c r="H855">
        <v>0</v>
      </c>
      <c r="I855" s="309">
        <v>563</v>
      </c>
      <c r="J855">
        <v>5.63</v>
      </c>
      <c r="K855" s="133">
        <f t="shared" si="13"/>
        <v>1.3376791352538778E-3</v>
      </c>
      <c r="L855" s="181">
        <v>1</v>
      </c>
    </row>
    <row r="856" spans="1:12" x14ac:dyDescent="0.25">
      <c r="A856" s="136">
        <v>42968</v>
      </c>
      <c r="B856" s="201" t="s">
        <v>71</v>
      </c>
      <c r="C856" t="s">
        <v>126</v>
      </c>
      <c r="D856">
        <v>3700</v>
      </c>
      <c r="E856">
        <v>3700</v>
      </c>
      <c r="F856">
        <v>6.1230000000000002</v>
      </c>
      <c r="G856">
        <v>838.54</v>
      </c>
      <c r="H856">
        <v>0</v>
      </c>
      <c r="I856" s="309">
        <v>23495</v>
      </c>
      <c r="J856">
        <v>6.35</v>
      </c>
      <c r="K856" s="133">
        <f t="shared" si="13"/>
        <v>5.5823750058241313E-2</v>
      </c>
      <c r="L856" s="181">
        <v>148</v>
      </c>
    </row>
    <row r="857" spans="1:12" x14ac:dyDescent="0.25">
      <c r="A857" s="136">
        <v>42968</v>
      </c>
      <c r="B857" s="201" t="s">
        <v>65</v>
      </c>
      <c r="C857" t="s">
        <v>127</v>
      </c>
      <c r="D857">
        <v>4400</v>
      </c>
      <c r="E857">
        <v>4400</v>
      </c>
      <c r="F857">
        <v>9.2919999999999998</v>
      </c>
      <c r="G857">
        <v>12222.63</v>
      </c>
      <c r="H857">
        <v>29.9</v>
      </c>
      <c r="I857" s="309">
        <v>53108</v>
      </c>
      <c r="J857">
        <v>12.07</v>
      </c>
      <c r="K857" s="133">
        <f t="shared" si="13"/>
        <v>0.12618377178519172</v>
      </c>
      <c r="L857" s="181">
        <v>2204.73</v>
      </c>
    </row>
    <row r="858" spans="1:12" x14ac:dyDescent="0.25">
      <c r="A858" s="136">
        <v>42968</v>
      </c>
      <c r="B858" s="201" t="s">
        <v>77</v>
      </c>
      <c r="C858" t="s">
        <v>128</v>
      </c>
      <c r="D858">
        <v>100</v>
      </c>
      <c r="E858">
        <v>100</v>
      </c>
      <c r="F858">
        <v>-20.638000000000002</v>
      </c>
      <c r="G858">
        <v>2751.8</v>
      </c>
      <c r="H858">
        <v>0</v>
      </c>
      <c r="I858" s="309">
        <v>688</v>
      </c>
      <c r="J858">
        <v>6.88</v>
      </c>
      <c r="K858" s="133">
        <f t="shared" si="13"/>
        <v>1.6346771670598009E-3</v>
      </c>
      <c r="L858" s="181">
        <v>0</v>
      </c>
    </row>
    <row r="859" spans="1:12" x14ac:dyDescent="0.25">
      <c r="A859" s="136">
        <v>42968</v>
      </c>
      <c r="B859" s="201" t="s">
        <v>67</v>
      </c>
      <c r="C859" t="s">
        <v>129</v>
      </c>
      <c r="D859">
        <v>7050</v>
      </c>
      <c r="E859">
        <v>7050</v>
      </c>
      <c r="F859">
        <v>9.1989999999999998</v>
      </c>
      <c r="G859">
        <v>-2246.54</v>
      </c>
      <c r="H859">
        <v>-3.47</v>
      </c>
      <c r="I859" s="309">
        <v>62604</v>
      </c>
      <c r="J859">
        <v>8.8800000000000008</v>
      </c>
      <c r="K859" s="133">
        <f t="shared" si="13"/>
        <v>0.14874611826542408</v>
      </c>
      <c r="L859" s="181">
        <v>282</v>
      </c>
    </row>
    <row r="860" spans="1:12" x14ac:dyDescent="0.25">
      <c r="A860" s="136">
        <v>42968</v>
      </c>
      <c r="B860" s="201" t="s">
        <v>72</v>
      </c>
      <c r="C860" t="s">
        <v>130</v>
      </c>
      <c r="D860">
        <v>2100</v>
      </c>
      <c r="E860">
        <v>2100</v>
      </c>
      <c r="F860">
        <v>8.4559999999999995</v>
      </c>
      <c r="G860">
        <v>-1146.8800000000001</v>
      </c>
      <c r="H860">
        <v>-6.46</v>
      </c>
      <c r="I860" s="309">
        <v>16611</v>
      </c>
      <c r="J860">
        <v>7.91</v>
      </c>
      <c r="K860" s="133">
        <f t="shared" si="13"/>
        <v>3.9467474450625512E-2</v>
      </c>
      <c r="L860" s="181">
        <v>0</v>
      </c>
    </row>
    <row r="861" spans="1:12" x14ac:dyDescent="0.25">
      <c r="A861" s="136">
        <v>42968</v>
      </c>
      <c r="B861" s="201" t="s">
        <v>70</v>
      </c>
      <c r="C861" t="s">
        <v>131</v>
      </c>
      <c r="D861">
        <v>7500</v>
      </c>
      <c r="E861">
        <v>7500</v>
      </c>
      <c r="F861">
        <v>12.785</v>
      </c>
      <c r="G861">
        <v>-109.14</v>
      </c>
      <c r="H861">
        <v>-0.12</v>
      </c>
      <c r="I861" s="309">
        <v>95775</v>
      </c>
      <c r="J861">
        <v>12.77</v>
      </c>
      <c r="K861" s="133">
        <f t="shared" si="13"/>
        <v>0.22755989196969831</v>
      </c>
      <c r="L861" s="181">
        <v>300</v>
      </c>
    </row>
    <row r="862" spans="1:12" x14ac:dyDescent="0.25">
      <c r="A862" s="136">
        <v>42968</v>
      </c>
      <c r="B862" s="201" t="s">
        <v>835</v>
      </c>
      <c r="C862" t="s">
        <v>839</v>
      </c>
      <c r="I862" s="309">
        <v>39050.21</v>
      </c>
      <c r="K862" s="133">
        <f t="shared" si="13"/>
        <v>9.2782684092863818E-2</v>
      </c>
      <c r="L862" s="181">
        <v>0</v>
      </c>
    </row>
    <row r="863" spans="1:12" x14ac:dyDescent="0.25">
      <c r="A863" s="136">
        <v>42970</v>
      </c>
      <c r="B863" s="201" t="str">
        <f>"519888"</f>
        <v>519888</v>
      </c>
      <c r="C863" t="str">
        <f>"添富快线"</f>
        <v>添富快线</v>
      </c>
      <c r="D863">
        <v>12516215</v>
      </c>
      <c r="E863">
        <v>12516215</v>
      </c>
      <c r="F863">
        <v>0.01</v>
      </c>
      <c r="G863">
        <v>2180.66</v>
      </c>
      <c r="H863">
        <v>0</v>
      </c>
      <c r="I863" s="309">
        <v>125162.15</v>
      </c>
      <c r="J863">
        <v>0.01</v>
      </c>
      <c r="K863" s="133">
        <f t="shared" si="13"/>
        <v>0.29936745480085925</v>
      </c>
      <c r="L863" s="181">
        <v>14.149999999999601</v>
      </c>
    </row>
    <row r="864" spans="1:12" x14ac:dyDescent="0.25">
      <c r="A864" s="136">
        <v>42970</v>
      </c>
      <c r="B864" s="201" t="str">
        <f>"600269"</f>
        <v>600269</v>
      </c>
      <c r="C864" t="str">
        <f>"赣粤高速"</f>
        <v>赣粤高速</v>
      </c>
      <c r="D864">
        <v>700</v>
      </c>
      <c r="E864">
        <v>700</v>
      </c>
      <c r="F864">
        <v>5.351</v>
      </c>
      <c r="G864">
        <v>41.53</v>
      </c>
      <c r="H864">
        <v>1.1000000000000001</v>
      </c>
      <c r="I864" s="309">
        <v>3787</v>
      </c>
      <c r="J864">
        <v>5.41</v>
      </c>
      <c r="K864" s="133">
        <f t="shared" si="13"/>
        <v>9.0578865202527586E-3</v>
      </c>
      <c r="L864" s="181">
        <v>-49</v>
      </c>
    </row>
    <row r="865" spans="1:12" x14ac:dyDescent="0.25">
      <c r="A865" s="136">
        <v>42970</v>
      </c>
      <c r="B865" s="201" t="str">
        <f>"601398"</f>
        <v>601398</v>
      </c>
      <c r="C865" t="str">
        <f>"工商银行"</f>
        <v>工商银行</v>
      </c>
      <c r="D865">
        <v>100</v>
      </c>
      <c r="E865">
        <v>100</v>
      </c>
      <c r="F865">
        <v>-53.579000000000001</v>
      </c>
      <c r="G865">
        <v>5942.9</v>
      </c>
      <c r="H865">
        <v>0</v>
      </c>
      <c r="I865" s="309">
        <v>585</v>
      </c>
      <c r="J865">
        <v>5.85</v>
      </c>
      <c r="K865" s="133">
        <f t="shared" si="13"/>
        <v>1.3992246142983534E-3</v>
      </c>
      <c r="L865" s="181">
        <v>22</v>
      </c>
    </row>
    <row r="866" spans="1:12" x14ac:dyDescent="0.25">
      <c r="A866" s="136">
        <v>42970</v>
      </c>
      <c r="B866" s="201" t="str">
        <f>"601998"</f>
        <v>601998</v>
      </c>
      <c r="C866" t="str">
        <f>"中信银行"</f>
        <v>中信银行</v>
      </c>
      <c r="D866">
        <v>3300</v>
      </c>
      <c r="E866">
        <v>3300</v>
      </c>
      <c r="F866">
        <v>6.0869999999999997</v>
      </c>
      <c r="G866">
        <v>1196.9100000000001</v>
      </c>
      <c r="H866">
        <v>5.96</v>
      </c>
      <c r="I866" s="309">
        <v>21285</v>
      </c>
      <c r="J866">
        <v>6.45</v>
      </c>
      <c r="K866" s="133">
        <f t="shared" si="13"/>
        <v>5.0910249427932396E-2</v>
      </c>
      <c r="L866" s="181">
        <v>358.37</v>
      </c>
    </row>
    <row r="867" spans="1:12" x14ac:dyDescent="0.25">
      <c r="A867" s="136">
        <v>42970</v>
      </c>
      <c r="B867" s="201" t="str">
        <f>"000402"</f>
        <v>000402</v>
      </c>
      <c r="C867" t="str">
        <f>"金 融 街"</f>
        <v>金 融 街</v>
      </c>
      <c r="D867">
        <v>5500</v>
      </c>
      <c r="E867">
        <v>5000</v>
      </c>
      <c r="F867">
        <v>9.8179999999999996</v>
      </c>
      <c r="G867">
        <v>11617.82</v>
      </c>
      <c r="H867">
        <v>21.51</v>
      </c>
      <c r="I867" s="309">
        <v>65615</v>
      </c>
      <c r="J867">
        <v>11.93</v>
      </c>
      <c r="K867" s="133">
        <f t="shared" si="13"/>
        <v>0.15694038131142984</v>
      </c>
      <c r="L867" s="181">
        <v>-604.80999999999904</v>
      </c>
    </row>
    <row r="868" spans="1:12" x14ac:dyDescent="0.25">
      <c r="A868" s="136">
        <v>42970</v>
      </c>
      <c r="B868" s="201" t="str">
        <f>"000415"</f>
        <v>000415</v>
      </c>
      <c r="C868" t="str">
        <f>"渤海金控"</f>
        <v>渤海金控</v>
      </c>
      <c r="D868">
        <v>100</v>
      </c>
      <c r="E868">
        <v>100</v>
      </c>
      <c r="F868">
        <v>-20.638000000000002</v>
      </c>
      <c r="G868">
        <v>2746.8</v>
      </c>
      <c r="H868">
        <v>0</v>
      </c>
      <c r="I868" s="309">
        <v>683</v>
      </c>
      <c r="J868">
        <v>6.83</v>
      </c>
      <c r="K868" s="133">
        <f t="shared" si="13"/>
        <v>1.6336246351551715E-3</v>
      </c>
      <c r="L868" s="181">
        <v>-5</v>
      </c>
    </row>
    <row r="869" spans="1:12" x14ac:dyDescent="0.25">
      <c r="A869" s="136">
        <v>42970</v>
      </c>
      <c r="B869" s="201" t="str">
        <f>"000528"</f>
        <v>000528</v>
      </c>
      <c r="C869" t="str">
        <f>"柳    工"</f>
        <v>柳    工</v>
      </c>
      <c r="D869">
        <v>7550</v>
      </c>
      <c r="E869">
        <v>7050</v>
      </c>
      <c r="F869">
        <v>9.1690000000000005</v>
      </c>
      <c r="G869">
        <v>-3238.54</v>
      </c>
      <c r="H869">
        <v>-4.68</v>
      </c>
      <c r="I869" s="309">
        <v>65987</v>
      </c>
      <c r="J869">
        <v>8.74</v>
      </c>
      <c r="K869" s="133">
        <f t="shared" si="13"/>
        <v>0.15783014465590675</v>
      </c>
      <c r="L869" s="181">
        <v>-992</v>
      </c>
    </row>
    <row r="870" spans="1:12" x14ac:dyDescent="0.25">
      <c r="A870" s="136">
        <v>42970</v>
      </c>
      <c r="B870" s="201" t="str">
        <f>"002006"</f>
        <v>002006</v>
      </c>
      <c r="C870" t="str">
        <f>"精功科技"</f>
        <v>精功科技</v>
      </c>
      <c r="D870">
        <v>2100</v>
      </c>
      <c r="E870">
        <v>2100</v>
      </c>
      <c r="F870">
        <v>8.4559999999999995</v>
      </c>
      <c r="G870">
        <v>-1146.8800000000001</v>
      </c>
      <c r="H870">
        <v>-6.46</v>
      </c>
      <c r="I870" s="309">
        <v>16611</v>
      </c>
      <c r="J870">
        <v>7.91</v>
      </c>
      <c r="K870" s="133">
        <f t="shared" si="13"/>
        <v>3.9730803535230681E-2</v>
      </c>
      <c r="L870" s="181">
        <v>0</v>
      </c>
    </row>
    <row r="871" spans="1:12" x14ac:dyDescent="0.25">
      <c r="A871" s="136">
        <v>42970</v>
      </c>
      <c r="B871" s="201" t="str">
        <f>"002140"</f>
        <v>002140</v>
      </c>
      <c r="C871" t="str">
        <f>"东华科技"</f>
        <v>东华科技</v>
      </c>
      <c r="D871">
        <v>7700</v>
      </c>
      <c r="E871">
        <v>7700</v>
      </c>
      <c r="F871">
        <v>12.768000000000001</v>
      </c>
      <c r="G871">
        <v>-1142.3599999999999</v>
      </c>
      <c r="H871">
        <v>-1.1599999999999999</v>
      </c>
      <c r="I871" s="309">
        <v>97174</v>
      </c>
      <c r="J871">
        <v>12.62</v>
      </c>
      <c r="K871" s="133">
        <f t="shared" si="13"/>
        <v>0.23242436353816784</v>
      </c>
      <c r="L871" s="181">
        <v>-1033.22</v>
      </c>
    </row>
    <row r="872" spans="1:12" x14ac:dyDescent="0.25">
      <c r="A872" s="136">
        <v>42970</v>
      </c>
      <c r="B872" s="201" t="s">
        <v>835</v>
      </c>
      <c r="C872" t="s">
        <v>839</v>
      </c>
      <c r="I872" s="309">
        <v>21199.55</v>
      </c>
      <c r="K872" s="133">
        <f t="shared" si="13"/>
        <v>5.0705866960766934E-2</v>
      </c>
      <c r="L872" s="181">
        <v>0</v>
      </c>
    </row>
    <row r="873" spans="1:12" x14ac:dyDescent="0.25">
      <c r="A873" s="136">
        <v>42971</v>
      </c>
      <c r="B873" s="201" t="s">
        <v>132</v>
      </c>
      <c r="C873" t="s">
        <v>123</v>
      </c>
      <c r="D873">
        <v>14058579</v>
      </c>
      <c r="E873">
        <v>14058579</v>
      </c>
      <c r="F873">
        <v>0.01</v>
      </c>
      <c r="G873">
        <v>2204.3000000000002</v>
      </c>
      <c r="H873">
        <v>0</v>
      </c>
      <c r="I873" s="309">
        <v>140585.79</v>
      </c>
      <c r="J873">
        <v>0.01</v>
      </c>
      <c r="K873" s="133">
        <f t="shared" si="13"/>
        <v>0.33713746445370224</v>
      </c>
      <c r="L873" s="181">
        <v>23.640000000000299</v>
      </c>
    </row>
    <row r="874" spans="1:12" x14ac:dyDescent="0.25">
      <c r="A874" s="136">
        <v>42971</v>
      </c>
      <c r="B874" s="201" t="s">
        <v>61</v>
      </c>
      <c r="C874" t="s">
        <v>136</v>
      </c>
      <c r="D874">
        <v>700</v>
      </c>
      <c r="E874">
        <v>700</v>
      </c>
      <c r="F874">
        <v>5.351</v>
      </c>
      <c r="G874">
        <v>-0.47</v>
      </c>
      <c r="H874">
        <v>-0.02</v>
      </c>
      <c r="I874" s="309">
        <v>3745</v>
      </c>
      <c r="J874">
        <v>5.35</v>
      </c>
      <c r="K874" s="133">
        <f t="shared" si="13"/>
        <v>8.9808493758801282E-3</v>
      </c>
      <c r="L874" s="181">
        <v>-42</v>
      </c>
    </row>
    <row r="875" spans="1:12" x14ac:dyDescent="0.25">
      <c r="A875" s="136">
        <v>42971</v>
      </c>
      <c r="B875" s="201" t="s">
        <v>124</v>
      </c>
      <c r="C875" t="s">
        <v>125</v>
      </c>
      <c r="D875">
        <v>100</v>
      </c>
      <c r="E875">
        <v>100</v>
      </c>
      <c r="F875">
        <v>-53.579000000000001</v>
      </c>
      <c r="G875">
        <v>5949.9</v>
      </c>
      <c r="H875">
        <v>0</v>
      </c>
      <c r="I875" s="309">
        <v>592</v>
      </c>
      <c r="J875">
        <v>5.92</v>
      </c>
      <c r="K875" s="133">
        <f t="shared" si="13"/>
        <v>1.4196696476691684E-3</v>
      </c>
      <c r="L875" s="181">
        <v>7</v>
      </c>
    </row>
    <row r="876" spans="1:12" x14ac:dyDescent="0.25">
      <c r="A876" s="136">
        <v>42971</v>
      </c>
      <c r="B876" s="201" t="s">
        <v>71</v>
      </c>
      <c r="C876" t="s">
        <v>126</v>
      </c>
      <c r="D876">
        <v>3300</v>
      </c>
      <c r="E876">
        <v>3300</v>
      </c>
      <c r="F876">
        <v>6.0869999999999997</v>
      </c>
      <c r="G876">
        <v>800.91</v>
      </c>
      <c r="H876">
        <v>3.99</v>
      </c>
      <c r="I876" s="309">
        <v>20889</v>
      </c>
      <c r="J876">
        <v>6.33</v>
      </c>
      <c r="K876" s="133">
        <f t="shared" si="13"/>
        <v>5.0093714983380506E-2</v>
      </c>
      <c r="L876" s="181">
        <v>-396</v>
      </c>
    </row>
    <row r="877" spans="1:12" x14ac:dyDescent="0.25">
      <c r="A877" s="136">
        <v>42971</v>
      </c>
      <c r="B877" s="201" t="s">
        <v>65</v>
      </c>
      <c r="C877" t="s">
        <v>127</v>
      </c>
      <c r="D877">
        <v>5500</v>
      </c>
      <c r="E877">
        <v>5500</v>
      </c>
      <c r="F877">
        <v>9.8179999999999996</v>
      </c>
      <c r="G877">
        <v>11232.82</v>
      </c>
      <c r="H877">
        <v>20.8</v>
      </c>
      <c r="I877" s="309">
        <v>65230</v>
      </c>
      <c r="J877">
        <v>11.86</v>
      </c>
      <c r="K877" s="133">
        <f t="shared" si="13"/>
        <v>0.15642745121192544</v>
      </c>
      <c r="L877" s="181">
        <v>-385</v>
      </c>
    </row>
    <row r="878" spans="1:12" x14ac:dyDescent="0.25">
      <c r="A878" s="136">
        <v>42971</v>
      </c>
      <c r="B878" s="201" t="s">
        <v>77</v>
      </c>
      <c r="C878" t="s">
        <v>128</v>
      </c>
      <c r="D878">
        <v>100</v>
      </c>
      <c r="E878">
        <v>100</v>
      </c>
      <c r="F878">
        <v>-20.638000000000002</v>
      </c>
      <c r="G878">
        <v>2737.8</v>
      </c>
      <c r="H878">
        <v>0</v>
      </c>
      <c r="I878" s="309">
        <v>674</v>
      </c>
      <c r="J878">
        <v>6.74</v>
      </c>
      <c r="K878" s="133">
        <f t="shared" si="13"/>
        <v>1.6163130785963168E-3</v>
      </c>
      <c r="L878" s="181">
        <v>-9</v>
      </c>
    </row>
    <row r="879" spans="1:12" x14ac:dyDescent="0.25">
      <c r="A879" s="136">
        <v>42971</v>
      </c>
      <c r="B879" s="201" t="s">
        <v>67</v>
      </c>
      <c r="C879" t="s">
        <v>129</v>
      </c>
      <c r="D879">
        <v>8050</v>
      </c>
      <c r="E879">
        <v>8050</v>
      </c>
      <c r="F879">
        <v>9.1389999999999993</v>
      </c>
      <c r="G879">
        <v>-4094.04</v>
      </c>
      <c r="H879">
        <v>-5.57</v>
      </c>
      <c r="I879" s="309">
        <v>69471.5</v>
      </c>
      <c r="J879">
        <v>8.6300000000000008</v>
      </c>
      <c r="K879" s="133">
        <f t="shared" si="13"/>
        <v>0.16659895258116325</v>
      </c>
      <c r="L879" s="181">
        <v>-855.5</v>
      </c>
    </row>
    <row r="880" spans="1:12" x14ac:dyDescent="0.25">
      <c r="A880" s="136">
        <v>42971</v>
      </c>
      <c r="B880" s="201" t="s">
        <v>72</v>
      </c>
      <c r="C880" t="s">
        <v>130</v>
      </c>
      <c r="D880">
        <v>2100</v>
      </c>
      <c r="E880">
        <v>2100</v>
      </c>
      <c r="F880">
        <v>8.4559999999999995</v>
      </c>
      <c r="G880">
        <v>-1146.8800000000001</v>
      </c>
      <c r="H880">
        <v>-6.46</v>
      </c>
      <c r="I880" s="309">
        <v>16611</v>
      </c>
      <c r="J880">
        <v>7.91</v>
      </c>
      <c r="K880" s="133">
        <f t="shared" si="13"/>
        <v>3.9834683306473918E-2</v>
      </c>
      <c r="L880" s="181">
        <v>0</v>
      </c>
    </row>
    <row r="881" spans="1:12" x14ac:dyDescent="0.25">
      <c r="A881" s="136">
        <v>42971</v>
      </c>
      <c r="B881" s="201" t="s">
        <v>70</v>
      </c>
      <c r="C881" t="s">
        <v>131</v>
      </c>
      <c r="D881">
        <v>7300</v>
      </c>
      <c r="E881">
        <v>7300</v>
      </c>
      <c r="F881">
        <v>12.768000000000001</v>
      </c>
      <c r="G881">
        <v>-569.48</v>
      </c>
      <c r="H881">
        <v>-0.61</v>
      </c>
      <c r="I881" s="309">
        <v>92637</v>
      </c>
      <c r="J881">
        <v>12.69</v>
      </c>
      <c r="K881" s="133">
        <f t="shared" si="13"/>
        <v>0.22215192086339317</v>
      </c>
      <c r="L881" s="181">
        <v>572.88</v>
      </c>
    </row>
    <row r="882" spans="1:12" x14ac:dyDescent="0.25">
      <c r="A882" s="136">
        <v>42971</v>
      </c>
      <c r="B882" s="201" t="s">
        <v>835</v>
      </c>
      <c r="C882" t="s">
        <v>839</v>
      </c>
      <c r="I882" s="309">
        <v>6563.13</v>
      </c>
      <c r="K882" s="133">
        <f t="shared" si="13"/>
        <v>1.5738980497815795E-2</v>
      </c>
      <c r="L882" s="181">
        <v>0</v>
      </c>
    </row>
    <row r="883" spans="1:12" x14ac:dyDescent="0.25">
      <c r="A883" s="136">
        <v>42972</v>
      </c>
      <c r="B883" s="201">
        <v>519888</v>
      </c>
      <c r="C883" t="s">
        <v>123</v>
      </c>
      <c r="D883">
        <v>13458579</v>
      </c>
      <c r="E883">
        <v>13458579</v>
      </c>
      <c r="F883">
        <v>0.01</v>
      </c>
      <c r="G883">
        <v>2204.3000000000002</v>
      </c>
      <c r="H883">
        <v>0</v>
      </c>
      <c r="I883" s="309">
        <v>134585.79999999999</v>
      </c>
      <c r="J883">
        <v>0.01</v>
      </c>
      <c r="K883" s="133">
        <f t="shared" si="13"/>
        <v>0.31930019095264484</v>
      </c>
      <c r="L883" s="181">
        <v>1154.53</v>
      </c>
    </row>
    <row r="884" spans="1:12" x14ac:dyDescent="0.25">
      <c r="A884" s="136">
        <v>42972</v>
      </c>
      <c r="B884" s="201">
        <v>600269</v>
      </c>
      <c r="C884" t="s">
        <v>136</v>
      </c>
      <c r="D884">
        <v>700</v>
      </c>
      <c r="E884">
        <v>700</v>
      </c>
      <c r="F884">
        <v>5.351</v>
      </c>
      <c r="G884">
        <v>69.53</v>
      </c>
      <c r="H884">
        <v>1.85</v>
      </c>
      <c r="I884" s="309">
        <v>3815</v>
      </c>
      <c r="J884">
        <v>5.45</v>
      </c>
      <c r="K884" s="133">
        <f t="shared" si="13"/>
        <v>9.0509565532496013E-3</v>
      </c>
    </row>
    <row r="885" spans="1:12" x14ac:dyDescent="0.25">
      <c r="A885" s="136">
        <v>42972</v>
      </c>
      <c r="B885" s="201">
        <v>601398</v>
      </c>
      <c r="C885" t="s">
        <v>125</v>
      </c>
      <c r="D885">
        <v>100</v>
      </c>
      <c r="E885">
        <v>100</v>
      </c>
      <c r="F885">
        <v>-53.579000000000001</v>
      </c>
      <c r="G885">
        <v>5973.9</v>
      </c>
      <c r="H885">
        <v>0</v>
      </c>
      <c r="I885" s="309">
        <v>616</v>
      </c>
      <c r="J885">
        <v>6.16</v>
      </c>
      <c r="K885" s="133">
        <f t="shared" si="13"/>
        <v>1.4614388563045227E-3</v>
      </c>
      <c r="L885" s="181">
        <v>746.57</v>
      </c>
    </row>
    <row r="886" spans="1:12" x14ac:dyDescent="0.25">
      <c r="A886" s="136">
        <v>42972</v>
      </c>
      <c r="B886" s="201">
        <v>601998</v>
      </c>
      <c r="C886" t="s">
        <v>126</v>
      </c>
      <c r="D886">
        <v>2900</v>
      </c>
      <c r="E886">
        <v>2900</v>
      </c>
      <c r="F886">
        <v>6.0289999999999999</v>
      </c>
      <c r="G886">
        <v>1540.25</v>
      </c>
      <c r="H886">
        <v>8.81</v>
      </c>
      <c r="I886" s="309">
        <v>19024</v>
      </c>
      <c r="J886">
        <v>6.56</v>
      </c>
      <c r="K886" s="133">
        <f t="shared" si="13"/>
        <v>4.5133787016781238E-2</v>
      </c>
      <c r="L886" s="181">
        <v>2818.96</v>
      </c>
    </row>
    <row r="887" spans="1:12" x14ac:dyDescent="0.25">
      <c r="A887" s="136">
        <v>42972</v>
      </c>
      <c r="B887" s="312" t="s">
        <v>65</v>
      </c>
      <c r="C887" t="s">
        <v>127</v>
      </c>
      <c r="D887">
        <v>4700</v>
      </c>
      <c r="E887">
        <v>4700</v>
      </c>
      <c r="F887">
        <v>9.4429999999999996</v>
      </c>
      <c r="G887">
        <v>12301.19</v>
      </c>
      <c r="H887">
        <v>27.71</v>
      </c>
      <c r="I887" s="309">
        <v>56682</v>
      </c>
      <c r="J887">
        <v>12.06</v>
      </c>
      <c r="K887" s="133">
        <f t="shared" si="13"/>
        <v>0.13447609943677427</v>
      </c>
      <c r="L887" s="181">
        <v>1068.3699999999999</v>
      </c>
    </row>
    <row r="888" spans="1:12" x14ac:dyDescent="0.25">
      <c r="A888" s="136">
        <v>42972</v>
      </c>
      <c r="B888" s="312" t="s">
        <v>77</v>
      </c>
      <c r="C888" t="s">
        <v>128</v>
      </c>
      <c r="D888">
        <v>100</v>
      </c>
      <c r="E888">
        <v>100</v>
      </c>
      <c r="F888">
        <v>-20.638000000000002</v>
      </c>
      <c r="G888">
        <v>2744.8</v>
      </c>
      <c r="H888">
        <v>0</v>
      </c>
      <c r="I888" s="309">
        <v>681</v>
      </c>
      <c r="J888">
        <v>6.81</v>
      </c>
      <c r="K888" s="133">
        <f t="shared" si="13"/>
        <v>1.6156491252327597E-3</v>
      </c>
      <c r="L888" s="181">
        <v>7</v>
      </c>
    </row>
    <row r="889" spans="1:12" x14ac:dyDescent="0.25">
      <c r="A889" s="136">
        <v>42972</v>
      </c>
      <c r="B889" s="312" t="s">
        <v>67</v>
      </c>
      <c r="C889" t="s">
        <v>129</v>
      </c>
      <c r="D889">
        <v>7050</v>
      </c>
      <c r="E889">
        <v>7050</v>
      </c>
      <c r="F889">
        <v>9.1850000000000005</v>
      </c>
      <c r="G889">
        <v>-2220.87</v>
      </c>
      <c r="H889">
        <v>-3.43</v>
      </c>
      <c r="I889" s="309">
        <v>62533.5</v>
      </c>
      <c r="J889">
        <v>8.8699999999999992</v>
      </c>
      <c r="K889" s="133">
        <f t="shared" si="13"/>
        <v>0.14835858233882934</v>
      </c>
      <c r="L889" s="181">
        <v>1873.17</v>
      </c>
    </row>
    <row r="890" spans="1:12" x14ac:dyDescent="0.25">
      <c r="A890" s="136">
        <v>42972</v>
      </c>
      <c r="B890" s="312" t="s">
        <v>72</v>
      </c>
      <c r="C890" t="s">
        <v>130</v>
      </c>
      <c r="D890">
        <v>2100</v>
      </c>
      <c r="E890">
        <v>2100</v>
      </c>
      <c r="F890">
        <v>8.4559999999999995</v>
      </c>
      <c r="G890">
        <v>-1146.8800000000001</v>
      </c>
      <c r="H890">
        <v>-6.46</v>
      </c>
      <c r="I890" s="309">
        <v>16611</v>
      </c>
      <c r="J890">
        <v>7.91</v>
      </c>
      <c r="K890" s="133">
        <f t="shared" si="13"/>
        <v>3.9409027341029912E-2</v>
      </c>
      <c r="L890" s="181">
        <v>0</v>
      </c>
    </row>
    <row r="891" spans="1:12" x14ac:dyDescent="0.25">
      <c r="A891" s="136">
        <v>42972</v>
      </c>
      <c r="B891" s="312" t="s">
        <v>70</v>
      </c>
      <c r="C891" t="s">
        <v>131</v>
      </c>
      <c r="D891">
        <v>7400</v>
      </c>
      <c r="E891">
        <v>6900</v>
      </c>
      <c r="F891">
        <v>12.759</v>
      </c>
      <c r="G891">
        <v>155.4</v>
      </c>
      <c r="H891">
        <v>0.17</v>
      </c>
      <c r="I891" s="309">
        <v>94572</v>
      </c>
      <c r="J891">
        <v>12.78</v>
      </c>
      <c r="K891" s="133">
        <f t="shared" si="13"/>
        <v>0.22436882389355736</v>
      </c>
      <c r="L891" s="181">
        <v>724.88</v>
      </c>
    </row>
    <row r="892" spans="1:12" x14ac:dyDescent="0.25">
      <c r="A892" s="136">
        <v>42972</v>
      </c>
      <c r="B892" s="201" t="s">
        <v>133</v>
      </c>
      <c r="C892" t="s">
        <v>134</v>
      </c>
      <c r="D892">
        <v>26000</v>
      </c>
      <c r="E892">
        <v>0</v>
      </c>
      <c r="F892">
        <v>1</v>
      </c>
      <c r="G892">
        <v>-0.78</v>
      </c>
      <c r="H892">
        <v>0</v>
      </c>
      <c r="I892" s="309">
        <v>26000</v>
      </c>
      <c r="J892">
        <v>1</v>
      </c>
      <c r="K892" s="133">
        <f t="shared" si="13"/>
        <v>6.1684107571294791E-2</v>
      </c>
      <c r="L892" s="181">
        <v>-13.7</v>
      </c>
    </row>
    <row r="893" spans="1:12" x14ac:dyDescent="0.25">
      <c r="A893" s="136">
        <v>42972</v>
      </c>
      <c r="B893" s="201" t="s">
        <v>835</v>
      </c>
      <c r="C893" t="s">
        <v>839</v>
      </c>
      <c r="I893" s="309">
        <f>6005+377.11</f>
        <v>6382.11</v>
      </c>
      <c r="K893" s="133">
        <f t="shared" si="13"/>
        <v>1.5141336914301392E-2</v>
      </c>
      <c r="L893" s="181">
        <v>0</v>
      </c>
    </row>
    <row r="894" spans="1:12" x14ac:dyDescent="0.25">
      <c r="A894" s="136">
        <v>42975</v>
      </c>
      <c r="B894" s="201" t="s">
        <v>132</v>
      </c>
      <c r="C894" t="s">
        <v>123</v>
      </c>
      <c r="D894">
        <v>13459936</v>
      </c>
      <c r="E894">
        <v>13459936</v>
      </c>
      <c r="F894">
        <v>0.01</v>
      </c>
      <c r="G894">
        <v>2217.87</v>
      </c>
      <c r="H894">
        <v>0</v>
      </c>
      <c r="I894" s="309">
        <v>134599.35999999999</v>
      </c>
      <c r="J894">
        <v>0.01</v>
      </c>
      <c r="K894" s="133">
        <f t="shared" si="13"/>
        <v>0.31842257720488987</v>
      </c>
      <c r="L894" s="181">
        <v>13.5699999999997</v>
      </c>
    </row>
    <row r="895" spans="1:12" x14ac:dyDescent="0.25">
      <c r="A895" s="136">
        <v>42975</v>
      </c>
      <c r="B895" s="201" t="s">
        <v>61</v>
      </c>
      <c r="C895" t="s">
        <v>136</v>
      </c>
      <c r="D895">
        <v>700</v>
      </c>
      <c r="E895">
        <v>700</v>
      </c>
      <c r="F895">
        <v>5.351</v>
      </c>
      <c r="G895">
        <v>111.53</v>
      </c>
      <c r="H895">
        <v>2.97</v>
      </c>
      <c r="I895" s="309">
        <v>3857</v>
      </c>
      <c r="J895">
        <v>5.51</v>
      </c>
      <c r="K895" s="133">
        <f t="shared" si="13"/>
        <v>9.1245298661097683E-3</v>
      </c>
      <c r="L895" s="181">
        <v>112</v>
      </c>
    </row>
    <row r="896" spans="1:12" x14ac:dyDescent="0.25">
      <c r="A896" s="136">
        <v>42975</v>
      </c>
      <c r="B896" s="201" t="s">
        <v>124</v>
      </c>
      <c r="C896" t="s">
        <v>125</v>
      </c>
      <c r="D896">
        <v>100</v>
      </c>
      <c r="E896">
        <v>100</v>
      </c>
      <c r="F896">
        <v>-53.579000000000001</v>
      </c>
      <c r="G896">
        <v>5962.9</v>
      </c>
      <c r="H896">
        <v>0</v>
      </c>
      <c r="I896" s="309">
        <v>605</v>
      </c>
      <c r="J896">
        <v>6.05</v>
      </c>
      <c r="K896" s="133">
        <f t="shared" si="13"/>
        <v>1.4312524161255924E-3</v>
      </c>
      <c r="L896" s="181">
        <v>13</v>
      </c>
    </row>
    <row r="897" spans="1:12" x14ac:dyDescent="0.25">
      <c r="A897" s="136">
        <v>42975</v>
      </c>
      <c r="B897" s="201" t="s">
        <v>71</v>
      </c>
      <c r="C897" t="s">
        <v>126</v>
      </c>
      <c r="D897">
        <v>2500</v>
      </c>
      <c r="E897">
        <v>2500</v>
      </c>
      <c r="F897">
        <v>5.9370000000000003</v>
      </c>
      <c r="G897">
        <v>1656.55</v>
      </c>
      <c r="H897">
        <v>11.17</v>
      </c>
      <c r="I897" s="309">
        <v>16500</v>
      </c>
      <c r="J897">
        <v>6.6</v>
      </c>
      <c r="K897" s="133">
        <f t="shared" si="13"/>
        <v>3.9034156803425243E-2</v>
      </c>
      <c r="L897" s="181">
        <v>855.64</v>
      </c>
    </row>
    <row r="898" spans="1:12" x14ac:dyDescent="0.25">
      <c r="A898" s="136">
        <v>42975</v>
      </c>
      <c r="B898" s="201" t="s">
        <v>65</v>
      </c>
      <c r="C898" t="s">
        <v>127</v>
      </c>
      <c r="D898">
        <v>5300</v>
      </c>
      <c r="E898">
        <v>4300</v>
      </c>
      <c r="F898">
        <v>9.7080000000000002</v>
      </c>
      <c r="G898">
        <v>11616.32</v>
      </c>
      <c r="H898">
        <v>22.58</v>
      </c>
      <c r="I898" s="309">
        <v>63070</v>
      </c>
      <c r="J898">
        <v>11.9</v>
      </c>
      <c r="K898" s="133">
        <f t="shared" ref="K898:K961" si="14">I898/SUMIF(A:A,A898,I:I)</f>
        <v>0.14920510724800182</v>
      </c>
      <c r="L898" s="181">
        <v>-684.87000000000103</v>
      </c>
    </row>
    <row r="899" spans="1:12" x14ac:dyDescent="0.25">
      <c r="A899" s="136">
        <v>42975</v>
      </c>
      <c r="B899" s="201" t="s">
        <v>77</v>
      </c>
      <c r="C899" t="s">
        <v>128</v>
      </c>
      <c r="D899">
        <v>100</v>
      </c>
      <c r="E899">
        <v>100</v>
      </c>
      <c r="F899">
        <v>-20.638000000000002</v>
      </c>
      <c r="G899">
        <v>2757.8</v>
      </c>
      <c r="H899">
        <v>0</v>
      </c>
      <c r="I899" s="309">
        <v>694</v>
      </c>
      <c r="J899">
        <v>6.94</v>
      </c>
      <c r="K899" s="133">
        <f t="shared" si="14"/>
        <v>1.6418002922167951E-3</v>
      </c>
      <c r="L899" s="181">
        <v>13</v>
      </c>
    </row>
    <row r="900" spans="1:12" x14ac:dyDescent="0.25">
      <c r="A900" s="136">
        <v>42975</v>
      </c>
      <c r="B900" s="201" t="s">
        <v>67</v>
      </c>
      <c r="C900" t="s">
        <v>129</v>
      </c>
      <c r="D900">
        <v>6050</v>
      </c>
      <c r="E900">
        <v>6050</v>
      </c>
      <c r="F900">
        <v>9.2149999999999999</v>
      </c>
      <c r="G900">
        <v>-879.89</v>
      </c>
      <c r="H900">
        <v>-1.57</v>
      </c>
      <c r="I900" s="309">
        <v>54873.5</v>
      </c>
      <c r="J900">
        <v>9.07</v>
      </c>
      <c r="K900" s="133">
        <f t="shared" si="14"/>
        <v>0.12981459414259122</v>
      </c>
      <c r="L900" s="181">
        <v>1340.98</v>
      </c>
    </row>
    <row r="901" spans="1:12" x14ac:dyDescent="0.25">
      <c r="A901" s="136">
        <v>42975</v>
      </c>
      <c r="B901" s="201" t="s">
        <v>72</v>
      </c>
      <c r="C901" t="s">
        <v>130</v>
      </c>
      <c r="D901">
        <v>2100</v>
      </c>
      <c r="E901">
        <v>2100</v>
      </c>
      <c r="F901">
        <v>8.4559999999999995</v>
      </c>
      <c r="G901">
        <v>-1146.8800000000001</v>
      </c>
      <c r="H901">
        <v>-6.46</v>
      </c>
      <c r="I901" s="309">
        <v>16611</v>
      </c>
      <c r="J901">
        <v>7.91</v>
      </c>
      <c r="K901" s="133">
        <f t="shared" si="14"/>
        <v>3.9296750221921015E-2</v>
      </c>
      <c r="L901" s="181">
        <v>0</v>
      </c>
    </row>
    <row r="902" spans="1:12" x14ac:dyDescent="0.25">
      <c r="A902" s="136">
        <v>42975</v>
      </c>
      <c r="B902" s="201" t="s">
        <v>70</v>
      </c>
      <c r="C902" t="s">
        <v>131</v>
      </c>
      <c r="D902">
        <v>7000</v>
      </c>
      <c r="E902">
        <v>7000</v>
      </c>
      <c r="F902">
        <v>12.755000000000001</v>
      </c>
      <c r="G902">
        <v>527.26</v>
      </c>
      <c r="H902">
        <v>0.59</v>
      </c>
      <c r="I902" s="309">
        <v>89810</v>
      </c>
      <c r="J902">
        <v>12.83</v>
      </c>
      <c r="K902" s="133">
        <f t="shared" si="14"/>
        <v>0.21246409833428007</v>
      </c>
      <c r="L902" s="181">
        <v>371.86</v>
      </c>
    </row>
    <row r="903" spans="1:12" x14ac:dyDescent="0.25">
      <c r="A903" s="136">
        <v>42975</v>
      </c>
      <c r="B903" s="201" t="s">
        <v>133</v>
      </c>
      <c r="C903" t="s">
        <v>134</v>
      </c>
      <c r="D903">
        <v>68000</v>
      </c>
      <c r="E903">
        <v>26000</v>
      </c>
      <c r="F903">
        <v>1</v>
      </c>
      <c r="G903">
        <v>-1.2</v>
      </c>
      <c r="H903">
        <v>0</v>
      </c>
      <c r="I903" s="309">
        <v>42000</v>
      </c>
      <c r="J903">
        <v>1</v>
      </c>
      <c r="K903" s="133">
        <f t="shared" si="14"/>
        <v>9.9359671863264262E-2</v>
      </c>
      <c r="L903" s="181">
        <v>-0.42</v>
      </c>
    </row>
    <row r="904" spans="1:12" x14ac:dyDescent="0.25">
      <c r="A904" s="136">
        <v>42975</v>
      </c>
      <c r="B904" s="201" t="s">
        <v>835</v>
      </c>
      <c r="C904" t="s">
        <v>839</v>
      </c>
      <c r="I904" s="309">
        <v>86.85</v>
      </c>
      <c r="K904" s="133">
        <f t="shared" si="14"/>
        <v>2.0546160717439287E-4</v>
      </c>
      <c r="L904" s="181">
        <v>0</v>
      </c>
    </row>
    <row r="905" spans="1:12" x14ac:dyDescent="0.25">
      <c r="A905" s="136">
        <v>42977</v>
      </c>
      <c r="B905" s="201" t="str">
        <f>"519888"</f>
        <v>519888</v>
      </c>
      <c r="C905" t="str">
        <f>"添富快线"</f>
        <v>添富快线</v>
      </c>
      <c r="D905">
        <v>4849</v>
      </c>
      <c r="E905">
        <v>4849</v>
      </c>
      <c r="F905">
        <v>-0.45800000000000002</v>
      </c>
      <c r="G905">
        <v>2269.3319999999999</v>
      </c>
      <c r="H905">
        <v>0</v>
      </c>
      <c r="I905" s="309">
        <v>48.49</v>
      </c>
      <c r="J905">
        <v>0.01</v>
      </c>
      <c r="K905" s="133">
        <f t="shared" si="14"/>
        <v>1.1453199637560203E-4</v>
      </c>
      <c r="L905" s="181">
        <v>51.462000000000003</v>
      </c>
    </row>
    <row r="906" spans="1:12" x14ac:dyDescent="0.25">
      <c r="A906" s="136">
        <v>42977</v>
      </c>
      <c r="B906" s="201" t="str">
        <f>"600269"</f>
        <v>600269</v>
      </c>
      <c r="C906" t="str">
        <f>"赣粤高速"</f>
        <v>赣粤高速</v>
      </c>
      <c r="D906">
        <v>300</v>
      </c>
      <c r="E906">
        <v>300</v>
      </c>
      <c r="F906">
        <v>5.0819999999999999</v>
      </c>
      <c r="G906">
        <v>140.26</v>
      </c>
      <c r="H906">
        <v>9.2100000000000009</v>
      </c>
      <c r="I906" s="309">
        <v>1665</v>
      </c>
      <c r="J906">
        <v>5.55</v>
      </c>
      <c r="K906" s="133">
        <f t="shared" si="14"/>
        <v>3.9326824905212901E-3</v>
      </c>
      <c r="L906" s="181">
        <v>28.73</v>
      </c>
    </row>
    <row r="907" spans="1:12" x14ac:dyDescent="0.25">
      <c r="A907" s="136">
        <v>42977</v>
      </c>
      <c r="B907" s="201" t="str">
        <f>"601398"</f>
        <v>601398</v>
      </c>
      <c r="C907" t="str">
        <f>"工商银行"</f>
        <v>工商银行</v>
      </c>
      <c r="D907">
        <v>100</v>
      </c>
      <c r="E907">
        <v>100</v>
      </c>
      <c r="F907">
        <v>-53.579000000000001</v>
      </c>
      <c r="G907">
        <v>5954.9</v>
      </c>
      <c r="H907">
        <v>0</v>
      </c>
      <c r="I907" s="309">
        <v>597</v>
      </c>
      <c r="J907">
        <v>5.97</v>
      </c>
      <c r="K907" s="133">
        <f t="shared" si="14"/>
        <v>1.410096965069796E-3</v>
      </c>
      <c r="L907" s="181">
        <v>-8</v>
      </c>
    </row>
    <row r="908" spans="1:12" x14ac:dyDescent="0.25">
      <c r="A908" s="136">
        <v>42977</v>
      </c>
      <c r="B908" s="201" t="str">
        <f>"601998"</f>
        <v>601998</v>
      </c>
      <c r="C908" t="str">
        <f>"中信银行"</f>
        <v>中信银行</v>
      </c>
      <c r="D908">
        <v>2600</v>
      </c>
      <c r="E908">
        <v>2100</v>
      </c>
      <c r="F908">
        <v>5.9569999999999999</v>
      </c>
      <c r="G908">
        <v>1516.77</v>
      </c>
      <c r="H908">
        <v>9.7899999999999991</v>
      </c>
      <c r="I908" s="309">
        <v>17004</v>
      </c>
      <c r="J908">
        <v>6.54</v>
      </c>
      <c r="K908" s="133">
        <f t="shared" si="14"/>
        <v>4.0162962804098513E-2</v>
      </c>
      <c r="L908" s="181">
        <v>-139.78</v>
      </c>
    </row>
    <row r="909" spans="1:12" x14ac:dyDescent="0.25">
      <c r="A909" s="136">
        <v>42977</v>
      </c>
      <c r="B909" s="201" t="str">
        <f>"000402"</f>
        <v>000402</v>
      </c>
      <c r="C909" t="str">
        <f>"金 融 街"</f>
        <v>金 融 街</v>
      </c>
      <c r="D909">
        <v>3300</v>
      </c>
      <c r="E909">
        <v>3300</v>
      </c>
      <c r="F909">
        <v>8.3000000000000007</v>
      </c>
      <c r="G909">
        <v>12506.21</v>
      </c>
      <c r="H909">
        <v>45.66</v>
      </c>
      <c r="I909" s="309">
        <v>39897</v>
      </c>
      <c r="J909">
        <v>12.09</v>
      </c>
      <c r="K909" s="133">
        <f t="shared" si="14"/>
        <v>9.4235575570166916E-2</v>
      </c>
      <c r="L909" s="181">
        <v>889.88999999999896</v>
      </c>
    </row>
    <row r="910" spans="1:12" x14ac:dyDescent="0.25">
      <c r="A910" s="136">
        <v>42977</v>
      </c>
      <c r="B910" s="201" t="str">
        <f>"000415"</f>
        <v>000415</v>
      </c>
      <c r="C910" t="str">
        <f>"渤海金控"</f>
        <v>渤海金控</v>
      </c>
      <c r="D910">
        <v>100</v>
      </c>
      <c r="E910">
        <v>100</v>
      </c>
      <c r="F910">
        <v>-20.638000000000002</v>
      </c>
      <c r="G910">
        <v>2761.8</v>
      </c>
      <c r="H910">
        <v>0</v>
      </c>
      <c r="I910" s="309">
        <v>698</v>
      </c>
      <c r="J910">
        <v>6.98</v>
      </c>
      <c r="K910" s="133">
        <f t="shared" si="14"/>
        <v>1.6486560831134298E-3</v>
      </c>
      <c r="L910" s="181">
        <v>4</v>
      </c>
    </row>
    <row r="911" spans="1:12" x14ac:dyDescent="0.25">
      <c r="A911" s="136">
        <v>42977</v>
      </c>
      <c r="B911" s="201" t="str">
        <f>"000528"</f>
        <v>000528</v>
      </c>
      <c r="C911" t="str">
        <f>"柳    工"</f>
        <v>柳    工</v>
      </c>
      <c r="D911">
        <v>5550</v>
      </c>
      <c r="E911">
        <v>5550</v>
      </c>
      <c r="F911">
        <v>9.2159999999999993</v>
      </c>
      <c r="G911">
        <v>-198.52</v>
      </c>
      <c r="H911">
        <v>-0.39</v>
      </c>
      <c r="I911" s="309">
        <v>50949</v>
      </c>
      <c r="J911">
        <v>9.18</v>
      </c>
      <c r="K911" s="133">
        <f t="shared" si="14"/>
        <v>0.12034008420995149</v>
      </c>
      <c r="L911" s="181">
        <v>681.37</v>
      </c>
    </row>
    <row r="912" spans="1:12" x14ac:dyDescent="0.25">
      <c r="A912" s="136">
        <v>42977</v>
      </c>
      <c r="B912" s="201" t="str">
        <f>"002006"</f>
        <v>002006</v>
      </c>
      <c r="C912" t="str">
        <f>"精功科技"</f>
        <v>精功科技</v>
      </c>
      <c r="D912">
        <v>2100</v>
      </c>
      <c r="E912">
        <v>2100</v>
      </c>
      <c r="F912">
        <v>8.4559999999999995</v>
      </c>
      <c r="G912">
        <v>-1146.8800000000001</v>
      </c>
      <c r="H912">
        <v>-6.46</v>
      </c>
      <c r="I912" s="309">
        <v>16611</v>
      </c>
      <c r="J912">
        <v>7.91</v>
      </c>
      <c r="K912" s="133">
        <f t="shared" si="14"/>
        <v>3.9234708018047536E-2</v>
      </c>
      <c r="L912" s="181">
        <v>0</v>
      </c>
    </row>
    <row r="913" spans="1:12" x14ac:dyDescent="0.25">
      <c r="A913" s="136">
        <v>42977</v>
      </c>
      <c r="B913" s="201" t="str">
        <f>"002140"</f>
        <v>002140</v>
      </c>
      <c r="C913" t="str">
        <f>"东华科技"</f>
        <v>东华科技</v>
      </c>
      <c r="D913">
        <v>7100</v>
      </c>
      <c r="E913">
        <v>6600</v>
      </c>
      <c r="F913">
        <v>12.744</v>
      </c>
      <c r="G913">
        <v>-310.95</v>
      </c>
      <c r="H913">
        <v>-0.34</v>
      </c>
      <c r="I913" s="309">
        <v>90170</v>
      </c>
      <c r="J913">
        <v>12.7</v>
      </c>
      <c r="K913" s="133">
        <f t="shared" si="14"/>
        <v>0.2129789670692521</v>
      </c>
      <c r="L913" s="181">
        <v>-838.21</v>
      </c>
    </row>
    <row r="914" spans="1:12" x14ac:dyDescent="0.25">
      <c r="A914" s="136">
        <v>42977</v>
      </c>
      <c r="B914" s="201" t="str">
        <f>"SZRQ88"</f>
        <v>SZRQ88</v>
      </c>
      <c r="C914" t="str">
        <f>"国标准券"</f>
        <v>国标准券</v>
      </c>
      <c r="D914">
        <v>322000</v>
      </c>
      <c r="E914">
        <v>237000</v>
      </c>
      <c r="F914">
        <v>1</v>
      </c>
      <c r="G914">
        <v>-2.98</v>
      </c>
      <c r="H914">
        <v>0</v>
      </c>
      <c r="I914" s="309">
        <v>205000</v>
      </c>
      <c r="J914">
        <v>1</v>
      </c>
      <c r="K914" s="133">
        <f t="shared" si="14"/>
        <v>0.4842041504846033</v>
      </c>
      <c r="L914" s="181">
        <v>-1.78</v>
      </c>
    </row>
    <row r="915" spans="1:12" x14ac:dyDescent="0.25">
      <c r="A915" s="136">
        <v>42977</v>
      </c>
      <c r="B915" s="201" t="s">
        <v>835</v>
      </c>
      <c r="C915" t="s">
        <v>839</v>
      </c>
      <c r="I915" s="309">
        <v>735.65</v>
      </c>
      <c r="K915" s="133">
        <f t="shared" si="14"/>
        <v>1.7375843087999922E-3</v>
      </c>
      <c r="L915" s="181">
        <v>0</v>
      </c>
    </row>
    <row r="916" spans="1:12" x14ac:dyDescent="0.25">
      <c r="A916" s="136">
        <v>42978</v>
      </c>
      <c r="B916" s="201" t="s">
        <v>132</v>
      </c>
      <c r="C916" t="s">
        <v>123</v>
      </c>
      <c r="D916">
        <v>6704851</v>
      </c>
      <c r="E916">
        <v>6704851</v>
      </c>
      <c r="F916">
        <v>0.01</v>
      </c>
      <c r="G916">
        <v>2267.02</v>
      </c>
      <c r="H916">
        <v>0</v>
      </c>
      <c r="I916" s="309">
        <v>67048.509999999995</v>
      </c>
      <c r="J916">
        <v>0.01</v>
      </c>
      <c r="K916" s="133">
        <f t="shared" si="14"/>
        <v>0.15781910290050652</v>
      </c>
      <c r="L916" s="181">
        <v>-2.3119999999998999</v>
      </c>
    </row>
    <row r="917" spans="1:12" x14ac:dyDescent="0.25">
      <c r="A917" s="136">
        <v>42978</v>
      </c>
      <c r="B917" s="201" t="s">
        <v>61</v>
      </c>
      <c r="C917" t="s">
        <v>136</v>
      </c>
      <c r="D917">
        <v>300</v>
      </c>
      <c r="E917">
        <v>300</v>
      </c>
      <c r="F917">
        <v>5.0819999999999999</v>
      </c>
      <c r="G917">
        <v>134.26</v>
      </c>
      <c r="H917">
        <v>8.82</v>
      </c>
      <c r="I917" s="309">
        <v>1659</v>
      </c>
      <c r="J917">
        <v>5.53</v>
      </c>
      <c r="K917" s="133">
        <f t="shared" si="14"/>
        <v>3.9049621193959468E-3</v>
      </c>
      <c r="L917" s="181">
        <v>-6</v>
      </c>
    </row>
    <row r="918" spans="1:12" x14ac:dyDescent="0.25">
      <c r="A918" s="136">
        <v>42978</v>
      </c>
      <c r="B918" s="201" t="s">
        <v>124</v>
      </c>
      <c r="C918" t="s">
        <v>125</v>
      </c>
      <c r="D918">
        <v>100</v>
      </c>
      <c r="E918">
        <v>100</v>
      </c>
      <c r="F918">
        <v>-53.579000000000001</v>
      </c>
      <c r="G918">
        <v>5947.9</v>
      </c>
      <c r="H918">
        <v>0</v>
      </c>
      <c r="I918" s="309">
        <v>590</v>
      </c>
      <c r="J918">
        <v>5.9</v>
      </c>
      <c r="K918" s="133">
        <f t="shared" si="14"/>
        <v>1.3887448164217049E-3</v>
      </c>
      <c r="L918" s="181">
        <v>-7</v>
      </c>
    </row>
    <row r="919" spans="1:12" x14ac:dyDescent="0.25">
      <c r="A919" s="136">
        <v>42978</v>
      </c>
      <c r="B919" s="201" t="s">
        <v>71</v>
      </c>
      <c r="C919" t="s">
        <v>126</v>
      </c>
      <c r="D919">
        <v>3100</v>
      </c>
      <c r="E919">
        <v>3100</v>
      </c>
      <c r="F919">
        <v>6.0430000000000001</v>
      </c>
      <c r="G919">
        <v>1510.71</v>
      </c>
      <c r="H919">
        <v>8.06</v>
      </c>
      <c r="I919" s="309">
        <v>20243</v>
      </c>
      <c r="J919">
        <v>6.53</v>
      </c>
      <c r="K919" s="133">
        <f t="shared" si="14"/>
        <v>4.7648070031906055E-2</v>
      </c>
      <c r="L919" s="181">
        <v>-6.0599999999999499</v>
      </c>
    </row>
    <row r="920" spans="1:12" x14ac:dyDescent="0.25">
      <c r="A920" s="136">
        <v>42978</v>
      </c>
      <c r="B920" s="201" t="s">
        <v>65</v>
      </c>
      <c r="C920" t="s">
        <v>127</v>
      </c>
      <c r="D920">
        <v>5900</v>
      </c>
      <c r="E920">
        <v>5900</v>
      </c>
      <c r="F920">
        <v>9.859</v>
      </c>
      <c r="G920">
        <v>11744.49</v>
      </c>
      <c r="H920">
        <v>20.2</v>
      </c>
      <c r="I920" s="309">
        <v>69915</v>
      </c>
      <c r="J920">
        <v>11.85</v>
      </c>
      <c r="K920" s="133">
        <f t="shared" si="14"/>
        <v>0.16456626074597205</v>
      </c>
      <c r="L920" s="181">
        <v>-761.719999999999</v>
      </c>
    </row>
    <row r="921" spans="1:12" x14ac:dyDescent="0.25">
      <c r="A921" s="136">
        <v>42978</v>
      </c>
      <c r="B921" s="201" t="s">
        <v>77</v>
      </c>
      <c r="C921" t="s">
        <v>128</v>
      </c>
      <c r="D921">
        <v>100</v>
      </c>
      <c r="E921">
        <v>100</v>
      </c>
      <c r="F921">
        <v>-20.638000000000002</v>
      </c>
      <c r="G921">
        <v>2762.8</v>
      </c>
      <c r="H921">
        <v>0</v>
      </c>
      <c r="I921" s="309">
        <v>699</v>
      </c>
      <c r="J921">
        <v>6.99</v>
      </c>
      <c r="K921" s="133">
        <f t="shared" si="14"/>
        <v>1.6453095367436809E-3</v>
      </c>
      <c r="L921" s="181">
        <v>1</v>
      </c>
    </row>
    <row r="922" spans="1:12" x14ac:dyDescent="0.25">
      <c r="A922" s="136">
        <v>42978</v>
      </c>
      <c r="B922" s="201" t="s">
        <v>67</v>
      </c>
      <c r="C922" t="s">
        <v>129</v>
      </c>
      <c r="D922">
        <v>5550</v>
      </c>
      <c r="E922">
        <v>5550</v>
      </c>
      <c r="F922">
        <v>9.2159999999999993</v>
      </c>
      <c r="G922">
        <v>-476.02</v>
      </c>
      <c r="H922">
        <v>-0.93</v>
      </c>
      <c r="I922" s="309">
        <v>50671.5</v>
      </c>
      <c r="J922">
        <v>9.1300000000000008</v>
      </c>
      <c r="K922" s="133">
        <f t="shared" si="14"/>
        <v>0.1192708185852753</v>
      </c>
      <c r="L922" s="181">
        <v>-277.5</v>
      </c>
    </row>
    <row r="923" spans="1:12" x14ac:dyDescent="0.25">
      <c r="A923" s="136">
        <v>42978</v>
      </c>
      <c r="B923" s="201" t="s">
        <v>72</v>
      </c>
      <c r="C923" t="s">
        <v>130</v>
      </c>
      <c r="D923">
        <v>2100</v>
      </c>
      <c r="E923">
        <v>2100</v>
      </c>
      <c r="F923">
        <v>8.4559999999999995</v>
      </c>
      <c r="G923">
        <v>-1146.8800000000001</v>
      </c>
      <c r="H923">
        <v>-6.46</v>
      </c>
      <c r="I923" s="309">
        <v>16611</v>
      </c>
      <c r="J923">
        <v>7.91</v>
      </c>
      <c r="K923" s="133">
        <f t="shared" si="14"/>
        <v>3.9099051094204987E-2</v>
      </c>
      <c r="L923" s="181">
        <v>0</v>
      </c>
    </row>
    <row r="924" spans="1:12" x14ac:dyDescent="0.25">
      <c r="A924" s="136">
        <v>42978</v>
      </c>
      <c r="B924" s="201" t="s">
        <v>70</v>
      </c>
      <c r="C924" t="s">
        <v>131</v>
      </c>
      <c r="D924">
        <v>5900</v>
      </c>
      <c r="E924">
        <v>5900</v>
      </c>
      <c r="F924">
        <v>12.696999999999999</v>
      </c>
      <c r="G924">
        <v>2201.46</v>
      </c>
      <c r="H924">
        <v>2.94</v>
      </c>
      <c r="I924" s="309">
        <v>77113</v>
      </c>
      <c r="J924">
        <v>13.07</v>
      </c>
      <c r="K924" s="133">
        <f t="shared" si="14"/>
        <v>0.18150894750631685</v>
      </c>
      <c r="L924" s="181">
        <v>2512.41</v>
      </c>
    </row>
    <row r="925" spans="1:12" x14ac:dyDescent="0.25">
      <c r="A925" s="136">
        <v>42978</v>
      </c>
      <c r="B925" s="201" t="s">
        <v>133</v>
      </c>
      <c r="C925" t="s">
        <v>134</v>
      </c>
      <c r="D925">
        <v>180000</v>
      </c>
      <c r="E925">
        <v>180000</v>
      </c>
      <c r="F925">
        <v>1</v>
      </c>
      <c r="G925">
        <v>20.77</v>
      </c>
      <c r="H925">
        <v>0</v>
      </c>
      <c r="I925" s="309">
        <v>120000</v>
      </c>
      <c r="J925">
        <v>1</v>
      </c>
      <c r="K925" s="133">
        <f t="shared" si="14"/>
        <v>0.28245657283153325</v>
      </c>
      <c r="L925" s="181">
        <v>23.75</v>
      </c>
    </row>
    <row r="926" spans="1:12" x14ac:dyDescent="0.25">
      <c r="A926" s="136">
        <v>42978</v>
      </c>
      <c r="B926" s="201" t="s">
        <v>835</v>
      </c>
      <c r="C926" t="s">
        <v>839</v>
      </c>
      <c r="I926" s="309">
        <v>294.06</v>
      </c>
      <c r="K926" s="133">
        <f t="shared" si="14"/>
        <v>6.9215983172367216E-4</v>
      </c>
      <c r="L926" s="181">
        <v>0</v>
      </c>
    </row>
    <row r="927" spans="1:12" x14ac:dyDescent="0.25">
      <c r="A927" s="136">
        <v>42979</v>
      </c>
      <c r="B927" s="201" t="str">
        <f>"519888"</f>
        <v>519888</v>
      </c>
      <c r="C927" t="str">
        <f>"添富快线"</f>
        <v>添富快线</v>
      </c>
      <c r="D927">
        <v>4704851</v>
      </c>
      <c r="E927">
        <v>4704851</v>
      </c>
      <c r="F927">
        <v>0.01</v>
      </c>
      <c r="G927">
        <v>2267.02</v>
      </c>
      <c r="H927">
        <v>0</v>
      </c>
      <c r="I927" s="309">
        <v>47048.51</v>
      </c>
      <c r="J927">
        <v>0.01</v>
      </c>
      <c r="K927" s="133">
        <f t="shared" si="14"/>
        <v>0.11086213010432892</v>
      </c>
      <c r="L927" s="181">
        <v>0</v>
      </c>
    </row>
    <row r="928" spans="1:12" x14ac:dyDescent="0.25">
      <c r="A928" s="136">
        <v>42979</v>
      </c>
      <c r="B928" s="201" t="str">
        <f>"600269"</f>
        <v>600269</v>
      </c>
      <c r="C928" t="str">
        <f>"赣粤高速"</f>
        <v>赣粤高速</v>
      </c>
      <c r="D928">
        <v>300</v>
      </c>
      <c r="E928">
        <v>300</v>
      </c>
      <c r="F928">
        <v>5.0819999999999999</v>
      </c>
      <c r="G928">
        <v>140.26</v>
      </c>
      <c r="H928">
        <v>9.2100000000000009</v>
      </c>
      <c r="I928" s="309">
        <v>1665</v>
      </c>
      <c r="J928">
        <v>5.55</v>
      </c>
      <c r="K928" s="133">
        <f t="shared" si="14"/>
        <v>3.9233005811173966E-3</v>
      </c>
      <c r="L928" s="181">
        <v>6</v>
      </c>
    </row>
    <row r="929" spans="1:12" x14ac:dyDescent="0.25">
      <c r="A929" s="136">
        <v>42979</v>
      </c>
      <c r="B929" s="201" t="str">
        <f>"601398"</f>
        <v>601398</v>
      </c>
      <c r="C929" t="str">
        <f>"工商银行"</f>
        <v>工商银行</v>
      </c>
      <c r="D929">
        <v>100</v>
      </c>
      <c r="E929">
        <v>100</v>
      </c>
      <c r="F929">
        <v>-53.579000000000001</v>
      </c>
      <c r="G929">
        <v>5936.9</v>
      </c>
      <c r="H929">
        <v>0</v>
      </c>
      <c r="I929" s="309">
        <v>579</v>
      </c>
      <c r="J929">
        <v>5.79</v>
      </c>
      <c r="K929" s="133">
        <f t="shared" si="14"/>
        <v>1.3643189408210047E-3</v>
      </c>
      <c r="L929" s="181">
        <v>-11</v>
      </c>
    </row>
    <row r="930" spans="1:12" x14ac:dyDescent="0.25">
      <c r="A930" s="136">
        <v>42979</v>
      </c>
      <c r="B930" s="201" t="str">
        <f>"601998"</f>
        <v>601998</v>
      </c>
      <c r="C930" t="str">
        <f>"中信银行"</f>
        <v>中信银行</v>
      </c>
      <c r="D930">
        <v>3100</v>
      </c>
      <c r="E930">
        <v>3100</v>
      </c>
      <c r="F930">
        <v>6.0430000000000001</v>
      </c>
      <c r="G930">
        <v>1293.71</v>
      </c>
      <c r="H930">
        <v>6.9</v>
      </c>
      <c r="I930" s="309">
        <v>20026</v>
      </c>
      <c r="J930">
        <v>6.46</v>
      </c>
      <c r="K930" s="133">
        <f t="shared" si="14"/>
        <v>4.7187998460935132E-2</v>
      </c>
      <c r="L930" s="181">
        <v>-217</v>
      </c>
    </row>
    <row r="931" spans="1:12" x14ac:dyDescent="0.25">
      <c r="A931" s="136">
        <v>42979</v>
      </c>
      <c r="B931" s="201" t="str">
        <f>"000402"</f>
        <v>000402</v>
      </c>
      <c r="C931" t="str">
        <f>"金 融 街"</f>
        <v>金 融 街</v>
      </c>
      <c r="D931">
        <v>6500</v>
      </c>
      <c r="E931">
        <v>5500</v>
      </c>
      <c r="F931">
        <v>10.031000000000001</v>
      </c>
      <c r="G931">
        <v>11694.87</v>
      </c>
      <c r="H931">
        <v>17.940000000000001</v>
      </c>
      <c r="I931" s="309">
        <v>76895</v>
      </c>
      <c r="J931">
        <v>11.83</v>
      </c>
      <c r="K931" s="133">
        <f t="shared" si="14"/>
        <v>0.18119050942043377</v>
      </c>
      <c r="L931" s="181">
        <v>-49.619999999999003</v>
      </c>
    </row>
    <row r="932" spans="1:12" x14ac:dyDescent="0.25">
      <c r="A932" s="136">
        <v>42979</v>
      </c>
      <c r="B932" s="201" t="str">
        <f>"000415"</f>
        <v>000415</v>
      </c>
      <c r="C932" t="str">
        <f>"渤海金控"</f>
        <v>渤海金控</v>
      </c>
      <c r="D932">
        <v>100</v>
      </c>
      <c r="E932">
        <v>100</v>
      </c>
      <c r="F932">
        <v>-20.638000000000002</v>
      </c>
      <c r="G932">
        <v>2760.8</v>
      </c>
      <c r="H932">
        <v>0</v>
      </c>
      <c r="I932" s="309">
        <v>697</v>
      </c>
      <c r="J932">
        <v>6.97</v>
      </c>
      <c r="K932" s="133">
        <f t="shared" si="14"/>
        <v>1.6423666696929885E-3</v>
      </c>
      <c r="L932" s="181">
        <v>-2</v>
      </c>
    </row>
    <row r="933" spans="1:12" x14ac:dyDescent="0.25">
      <c r="A933" s="136">
        <v>42979</v>
      </c>
      <c r="B933" s="201" t="str">
        <f>"000528"</f>
        <v>000528</v>
      </c>
      <c r="C933" t="str">
        <f>"柳    工"</f>
        <v>柳    工</v>
      </c>
      <c r="D933">
        <v>5550</v>
      </c>
      <c r="E933">
        <v>5550</v>
      </c>
      <c r="F933">
        <v>9.2159999999999993</v>
      </c>
      <c r="G933">
        <v>-309.52</v>
      </c>
      <c r="H933">
        <v>-0.61</v>
      </c>
      <c r="I933" s="309">
        <v>50838</v>
      </c>
      <c r="J933">
        <v>9.16</v>
      </c>
      <c r="K933" s="133">
        <f t="shared" si="14"/>
        <v>0.11979144441011785</v>
      </c>
      <c r="L933" s="181">
        <v>166.5</v>
      </c>
    </row>
    <row r="934" spans="1:12" x14ac:dyDescent="0.25">
      <c r="A934" s="136">
        <v>42979</v>
      </c>
      <c r="B934" s="201" t="str">
        <f>"002006"</f>
        <v>002006</v>
      </c>
      <c r="C934" t="str">
        <f>"精功科技"</f>
        <v>精功科技</v>
      </c>
      <c r="D934">
        <v>2100</v>
      </c>
      <c r="E934">
        <v>2100</v>
      </c>
      <c r="F934">
        <v>8.4559999999999995</v>
      </c>
      <c r="G934">
        <v>-1146.8800000000001</v>
      </c>
      <c r="H934">
        <v>-6.46</v>
      </c>
      <c r="I934" s="309">
        <v>16611</v>
      </c>
      <c r="J934">
        <v>7.91</v>
      </c>
      <c r="K934" s="133">
        <f t="shared" si="14"/>
        <v>3.914110868044509E-2</v>
      </c>
      <c r="L934" s="181">
        <v>0</v>
      </c>
    </row>
    <row r="935" spans="1:12" x14ac:dyDescent="0.25">
      <c r="A935" s="136">
        <v>42979</v>
      </c>
      <c r="B935" s="201" t="str">
        <f>"002140"</f>
        <v>002140</v>
      </c>
      <c r="C935" t="str">
        <f>"东华科技"</f>
        <v>东华科技</v>
      </c>
      <c r="D935">
        <v>6400</v>
      </c>
      <c r="E935">
        <v>5900</v>
      </c>
      <c r="F935">
        <v>12.721</v>
      </c>
      <c r="G935">
        <v>1852.46</v>
      </c>
      <c r="H935">
        <v>2.27</v>
      </c>
      <c r="I935" s="309">
        <v>83264</v>
      </c>
      <c r="J935">
        <v>13.01</v>
      </c>
      <c r="K935" s="133">
        <f t="shared" si="14"/>
        <v>0.19619801776946483</v>
      </c>
      <c r="L935" s="181">
        <v>-349</v>
      </c>
    </row>
    <row r="936" spans="1:12" x14ac:dyDescent="0.25">
      <c r="A936" s="136">
        <v>42979</v>
      </c>
      <c r="B936" s="201" t="str">
        <f>"SZRQ88"</f>
        <v>SZRQ88</v>
      </c>
      <c r="C936" t="str">
        <f>"国标准券"</f>
        <v>国标准券</v>
      </c>
      <c r="D936">
        <v>180000</v>
      </c>
      <c r="E936">
        <v>180000</v>
      </c>
      <c r="F936">
        <v>1</v>
      </c>
      <c r="G936">
        <v>20.77</v>
      </c>
      <c r="H936">
        <v>0</v>
      </c>
      <c r="I936" s="309">
        <v>120000</v>
      </c>
      <c r="J936">
        <v>1</v>
      </c>
      <c r="K936" s="133">
        <f t="shared" si="14"/>
        <v>0.28276040224269527</v>
      </c>
      <c r="L936" s="181">
        <v>0</v>
      </c>
    </row>
    <row r="937" spans="1:12" x14ac:dyDescent="0.25">
      <c r="A937" s="136">
        <v>42979</v>
      </c>
      <c r="B937" s="201" t="s">
        <v>835</v>
      </c>
      <c r="C937" t="s">
        <v>839</v>
      </c>
      <c r="I937" s="309">
        <f>6470+294.06</f>
        <v>6764.06</v>
      </c>
      <c r="K937" s="133">
        <f t="shared" si="14"/>
        <v>1.5938402719947713E-2</v>
      </c>
      <c r="L937" s="181">
        <v>0</v>
      </c>
    </row>
    <row r="938" spans="1:12" x14ac:dyDescent="0.25">
      <c r="A938" s="136">
        <v>42984</v>
      </c>
      <c r="B938" s="201" t="str">
        <f>"519888"</f>
        <v>519888</v>
      </c>
      <c r="C938" t="str">
        <f>"添富快线"</f>
        <v>添富快线</v>
      </c>
      <c r="D938">
        <v>15006997</v>
      </c>
      <c r="E938">
        <v>15006997</v>
      </c>
      <c r="F938">
        <v>0.01</v>
      </c>
      <c r="G938">
        <v>2288.48</v>
      </c>
      <c r="H938">
        <v>0</v>
      </c>
      <c r="I938" s="309">
        <v>150069.97</v>
      </c>
      <c r="J938">
        <v>0.01</v>
      </c>
      <c r="K938" s="133">
        <f t="shared" si="14"/>
        <v>0.35354558920279522</v>
      </c>
      <c r="L938" s="181">
        <v>21.46</v>
      </c>
    </row>
    <row r="939" spans="1:12" x14ac:dyDescent="0.25">
      <c r="A939" s="136">
        <v>42984</v>
      </c>
      <c r="B939" s="201" t="str">
        <f>"600269"</f>
        <v>600269</v>
      </c>
      <c r="C939" t="str">
        <f>"赣粤高速"</f>
        <v>赣粤高速</v>
      </c>
      <c r="D939">
        <v>300</v>
      </c>
      <c r="E939">
        <v>300</v>
      </c>
      <c r="F939">
        <v>5.0819999999999999</v>
      </c>
      <c r="G939">
        <v>122.26</v>
      </c>
      <c r="H939">
        <v>8.0299999999999994</v>
      </c>
      <c r="I939" s="309">
        <v>1647</v>
      </c>
      <c r="J939">
        <v>5.49</v>
      </c>
      <c r="K939" s="133">
        <f t="shared" si="14"/>
        <v>3.880120622513643E-3</v>
      </c>
      <c r="L939" s="181">
        <v>-18</v>
      </c>
    </row>
    <row r="940" spans="1:12" x14ac:dyDescent="0.25">
      <c r="A940" s="136">
        <v>42984</v>
      </c>
      <c r="B940" s="201" t="str">
        <f>"601398"</f>
        <v>601398</v>
      </c>
      <c r="C940" t="str">
        <f>"工商银行"</f>
        <v>工商银行</v>
      </c>
      <c r="D940">
        <v>100</v>
      </c>
      <c r="E940">
        <v>100</v>
      </c>
      <c r="F940">
        <v>-53.579000000000001</v>
      </c>
      <c r="G940">
        <v>5947.9</v>
      </c>
      <c r="H940">
        <v>0</v>
      </c>
      <c r="I940" s="309">
        <v>590</v>
      </c>
      <c r="J940">
        <v>5.9</v>
      </c>
      <c r="K940" s="133">
        <f t="shared" si="14"/>
        <v>1.3899642788603821E-3</v>
      </c>
      <c r="L940" s="181">
        <v>11</v>
      </c>
    </row>
    <row r="941" spans="1:12" x14ac:dyDescent="0.25">
      <c r="A941" s="136">
        <v>42984</v>
      </c>
      <c r="B941" s="201" t="str">
        <f>"601998"</f>
        <v>601998</v>
      </c>
      <c r="C941" t="str">
        <f>"中信银行"</f>
        <v>中信银行</v>
      </c>
      <c r="D941">
        <v>2700</v>
      </c>
      <c r="E941">
        <v>2700</v>
      </c>
      <c r="F941">
        <v>5.96</v>
      </c>
      <c r="G941">
        <v>1593.01</v>
      </c>
      <c r="H941">
        <v>9.9</v>
      </c>
      <c r="I941" s="309">
        <v>17685</v>
      </c>
      <c r="J941">
        <v>6.55</v>
      </c>
      <c r="K941" s="133">
        <f t="shared" si="14"/>
        <v>4.166359029092518E-2</v>
      </c>
      <c r="L941" s="181">
        <v>299.3</v>
      </c>
    </row>
    <row r="942" spans="1:12" x14ac:dyDescent="0.25">
      <c r="A942" s="136">
        <v>42984</v>
      </c>
      <c r="B942" s="201" t="str">
        <f>"000402"</f>
        <v>000402</v>
      </c>
      <c r="C942" t="str">
        <f>"金 融 街"</f>
        <v>金 融 街</v>
      </c>
      <c r="D942">
        <v>6700</v>
      </c>
      <c r="E942">
        <v>6200</v>
      </c>
      <c r="F942">
        <v>10.067</v>
      </c>
      <c r="G942">
        <v>11210.35</v>
      </c>
      <c r="H942">
        <v>16.62</v>
      </c>
      <c r="I942" s="309">
        <v>78658</v>
      </c>
      <c r="J942">
        <v>11.74</v>
      </c>
      <c r="K942" s="133">
        <f t="shared" si="14"/>
        <v>0.18530815296033887</v>
      </c>
      <c r="L942" s="181">
        <v>-484.52</v>
      </c>
    </row>
    <row r="943" spans="1:12" x14ac:dyDescent="0.25">
      <c r="A943" s="136">
        <v>42984</v>
      </c>
      <c r="B943" s="201" t="str">
        <f>"000415"</f>
        <v>000415</v>
      </c>
      <c r="C943" t="str">
        <f>"渤海金控"</f>
        <v>渤海金控</v>
      </c>
      <c r="D943">
        <v>100</v>
      </c>
      <c r="E943">
        <v>100</v>
      </c>
      <c r="F943">
        <v>-20.638000000000002</v>
      </c>
      <c r="G943">
        <v>2765.8</v>
      </c>
      <c r="H943">
        <v>0</v>
      </c>
      <c r="I943" s="309">
        <v>702</v>
      </c>
      <c r="J943">
        <v>7.02</v>
      </c>
      <c r="K943" s="133">
        <f t="shared" si="14"/>
        <v>1.653821904677946E-3</v>
      </c>
      <c r="L943" s="181">
        <v>5</v>
      </c>
    </row>
    <row r="944" spans="1:12" x14ac:dyDescent="0.25">
      <c r="A944" s="136">
        <v>42984</v>
      </c>
      <c r="B944" s="201" t="str">
        <f>"000528"</f>
        <v>000528</v>
      </c>
      <c r="C944" t="str">
        <f>"柳    工"</f>
        <v>柳    工</v>
      </c>
      <c r="D944">
        <v>4750</v>
      </c>
      <c r="E944">
        <v>4750</v>
      </c>
      <c r="F944">
        <v>9.2170000000000005</v>
      </c>
      <c r="G944">
        <v>61.59</v>
      </c>
      <c r="H944">
        <v>0.14000000000000001</v>
      </c>
      <c r="I944" s="309">
        <v>43842.5</v>
      </c>
      <c r="J944">
        <v>9.23</v>
      </c>
      <c r="K944" s="133">
        <f t="shared" si="14"/>
        <v>0.10328730321345135</v>
      </c>
      <c r="L944" s="181">
        <v>371.11</v>
      </c>
    </row>
    <row r="945" spans="1:12" x14ac:dyDescent="0.25">
      <c r="A945" s="136">
        <v>42984</v>
      </c>
      <c r="B945" s="201" t="str">
        <f>"002006"</f>
        <v>002006</v>
      </c>
      <c r="C945" t="str">
        <f>"精功科技"</f>
        <v>精功科技</v>
      </c>
      <c r="D945">
        <v>2100</v>
      </c>
      <c r="E945">
        <v>2100</v>
      </c>
      <c r="F945">
        <v>8.4559999999999995</v>
      </c>
      <c r="G945">
        <v>-1146.8800000000001</v>
      </c>
      <c r="H945">
        <v>-6.46</v>
      </c>
      <c r="I945" s="309">
        <v>16611</v>
      </c>
      <c r="J945">
        <v>7.91</v>
      </c>
      <c r="K945" s="133">
        <f t="shared" si="14"/>
        <v>3.9133384129067465E-2</v>
      </c>
      <c r="L945" s="181">
        <v>0</v>
      </c>
    </row>
    <row r="946" spans="1:12" x14ac:dyDescent="0.25">
      <c r="A946" s="136">
        <v>42984</v>
      </c>
      <c r="B946" s="201" t="str">
        <f>"002140"</f>
        <v>002140</v>
      </c>
      <c r="C946" t="str">
        <f>"东华科技"</f>
        <v>东华科技</v>
      </c>
      <c r="D946">
        <v>6900</v>
      </c>
      <c r="E946">
        <v>6400</v>
      </c>
      <c r="F946">
        <v>12.736000000000001</v>
      </c>
      <c r="G946">
        <v>1542.46</v>
      </c>
      <c r="H946">
        <v>1.76</v>
      </c>
      <c r="I946" s="309">
        <v>89424</v>
      </c>
      <c r="J946">
        <v>12.96</v>
      </c>
      <c r="K946" s="133">
        <f t="shared" si="14"/>
        <v>0.21067146724205221</v>
      </c>
      <c r="L946" s="181">
        <v>-310</v>
      </c>
    </row>
    <row r="947" spans="1:12" x14ac:dyDescent="0.25">
      <c r="A947" s="136">
        <v>42984</v>
      </c>
      <c r="B947" s="201" t="str">
        <f>"300701"</f>
        <v>300701</v>
      </c>
      <c r="C947" t="str">
        <f>"森霸股份"</f>
        <v>森霸股份</v>
      </c>
      <c r="D947">
        <v>0</v>
      </c>
      <c r="E947">
        <v>0</v>
      </c>
      <c r="F947">
        <v>13.14</v>
      </c>
      <c r="G947">
        <v>0</v>
      </c>
      <c r="H947">
        <v>0</v>
      </c>
      <c r="I947" s="309">
        <v>0</v>
      </c>
      <c r="J947">
        <v>13.14</v>
      </c>
      <c r="K947" s="133">
        <f t="shared" si="14"/>
        <v>0</v>
      </c>
    </row>
    <row r="948" spans="1:12" x14ac:dyDescent="0.25">
      <c r="A948" s="136">
        <v>42984</v>
      </c>
      <c r="B948" s="201" t="s">
        <v>835</v>
      </c>
      <c r="C948" t="s">
        <v>839</v>
      </c>
      <c r="I948" s="309">
        <v>25241.87</v>
      </c>
      <c r="K948" s="133">
        <f t="shared" si="14"/>
        <v>5.9466606155317812E-2</v>
      </c>
      <c r="L948" s="181">
        <v>0</v>
      </c>
    </row>
    <row r="949" spans="1:12" x14ac:dyDescent="0.25">
      <c r="A949" s="136">
        <v>42985</v>
      </c>
      <c r="B949" s="201" t="str">
        <f>"519888"</f>
        <v>519888</v>
      </c>
      <c r="C949" t="str">
        <f>"添富快线"</f>
        <v>添富快线</v>
      </c>
      <c r="D949">
        <v>18009857</v>
      </c>
      <c r="E949">
        <v>18009857</v>
      </c>
      <c r="F949">
        <v>0.01</v>
      </c>
      <c r="G949">
        <v>2317.08</v>
      </c>
      <c r="H949">
        <v>0</v>
      </c>
      <c r="I949" s="309">
        <v>180098.57</v>
      </c>
      <c r="J949">
        <v>0.01</v>
      </c>
      <c r="K949" s="133">
        <f t="shared" si="14"/>
        <v>0.42323068955871729</v>
      </c>
      <c r="L949" s="181">
        <v>28.599999999999898</v>
      </c>
    </row>
    <row r="950" spans="1:12" x14ac:dyDescent="0.25">
      <c r="A950" s="136">
        <v>42985</v>
      </c>
      <c r="B950" s="201" t="str">
        <f>"600269"</f>
        <v>600269</v>
      </c>
      <c r="C950" t="str">
        <f>"赣粤高速"</f>
        <v>赣粤高速</v>
      </c>
      <c r="D950">
        <v>300</v>
      </c>
      <c r="E950">
        <v>300</v>
      </c>
      <c r="F950">
        <v>5.0819999999999999</v>
      </c>
      <c r="G950">
        <v>119.26</v>
      </c>
      <c r="H950">
        <v>7.83</v>
      </c>
      <c r="I950" s="309">
        <v>1644</v>
      </c>
      <c r="J950">
        <v>5.48</v>
      </c>
      <c r="K950" s="133">
        <f t="shared" si="14"/>
        <v>3.8633913286181629E-3</v>
      </c>
      <c r="L950" s="181">
        <v>-3</v>
      </c>
    </row>
    <row r="951" spans="1:12" x14ac:dyDescent="0.25">
      <c r="A951" s="136">
        <v>42985</v>
      </c>
      <c r="B951" s="201" t="str">
        <f>"601398"</f>
        <v>601398</v>
      </c>
      <c r="C951" t="str">
        <f>"工商银行"</f>
        <v>工商银行</v>
      </c>
      <c r="D951">
        <v>100</v>
      </c>
      <c r="E951">
        <v>100</v>
      </c>
      <c r="F951">
        <v>-53.579000000000001</v>
      </c>
      <c r="G951">
        <v>5945.9</v>
      </c>
      <c r="H951">
        <v>0</v>
      </c>
      <c r="I951" s="309">
        <v>588</v>
      </c>
      <c r="J951">
        <v>5.88</v>
      </c>
      <c r="K951" s="133">
        <f t="shared" si="14"/>
        <v>1.3817968985568611E-3</v>
      </c>
      <c r="L951" s="181">
        <v>-2</v>
      </c>
    </row>
    <row r="952" spans="1:12" x14ac:dyDescent="0.25">
      <c r="A952" s="136">
        <v>42985</v>
      </c>
      <c r="B952" s="201" t="str">
        <f>"601998"</f>
        <v>601998</v>
      </c>
      <c r="C952" t="str">
        <f>"中信银行"</f>
        <v>中信银行</v>
      </c>
      <c r="D952">
        <v>2700</v>
      </c>
      <c r="E952">
        <v>2700</v>
      </c>
      <c r="F952">
        <v>5.96</v>
      </c>
      <c r="G952">
        <v>1485.01</v>
      </c>
      <c r="H952">
        <v>9.23</v>
      </c>
      <c r="I952" s="309">
        <v>17577</v>
      </c>
      <c r="J952">
        <v>6.51</v>
      </c>
      <c r="K952" s="133">
        <f t="shared" si="14"/>
        <v>4.1305857289003316E-2</v>
      </c>
      <c r="L952" s="181">
        <v>-108</v>
      </c>
    </row>
    <row r="953" spans="1:12" x14ac:dyDescent="0.25">
      <c r="A953" s="136">
        <v>42985</v>
      </c>
      <c r="B953" s="201" t="str">
        <f>"000402"</f>
        <v>000402</v>
      </c>
      <c r="C953" t="str">
        <f>"金 融 街"</f>
        <v>金 融 街</v>
      </c>
      <c r="D953">
        <v>5200</v>
      </c>
      <c r="E953">
        <v>5200</v>
      </c>
      <c r="F953">
        <v>9.5020000000000007</v>
      </c>
      <c r="G953">
        <v>12988.24</v>
      </c>
      <c r="H953">
        <v>26.29</v>
      </c>
      <c r="I953" s="309">
        <v>62400</v>
      </c>
      <c r="J953">
        <v>12</v>
      </c>
      <c r="K953" s="133">
        <f t="shared" si="14"/>
        <v>0.14663967086725874</v>
      </c>
      <c r="L953" s="181">
        <v>1777.89</v>
      </c>
    </row>
    <row r="954" spans="1:12" x14ac:dyDescent="0.25">
      <c r="A954" s="136">
        <v>42985</v>
      </c>
      <c r="B954" s="201" t="str">
        <f>"000415"</f>
        <v>000415</v>
      </c>
      <c r="C954" t="str">
        <f>"渤海金控"</f>
        <v>渤海金控</v>
      </c>
      <c r="D954">
        <v>100</v>
      </c>
      <c r="E954">
        <v>100</v>
      </c>
      <c r="F954">
        <v>-20.638000000000002</v>
      </c>
      <c r="G954">
        <v>2758.8</v>
      </c>
      <c r="H954">
        <v>0</v>
      </c>
      <c r="I954" s="309">
        <v>695</v>
      </c>
      <c r="J954">
        <v>6.95</v>
      </c>
      <c r="K954" s="133">
        <f t="shared" si="14"/>
        <v>1.6332463341786028E-3</v>
      </c>
      <c r="L954" s="181">
        <v>-7</v>
      </c>
    </row>
    <row r="955" spans="1:12" x14ac:dyDescent="0.25">
      <c r="A955" s="136">
        <v>42985</v>
      </c>
      <c r="B955" s="201" t="str">
        <f>"000528"</f>
        <v>000528</v>
      </c>
      <c r="C955" t="str">
        <f>"柳    工"</f>
        <v>柳    工</v>
      </c>
      <c r="D955">
        <v>5250</v>
      </c>
      <c r="E955">
        <v>5250</v>
      </c>
      <c r="F955">
        <v>9.2129999999999992</v>
      </c>
      <c r="G955">
        <v>-695.91</v>
      </c>
      <c r="H955">
        <v>-1.44</v>
      </c>
      <c r="I955" s="309">
        <v>47670</v>
      </c>
      <c r="J955">
        <v>9.08</v>
      </c>
      <c r="K955" s="133">
        <f t="shared" si="14"/>
        <v>0.1120242485615741</v>
      </c>
      <c r="L955" s="181">
        <v>-757.5</v>
      </c>
    </row>
    <row r="956" spans="1:12" x14ac:dyDescent="0.25">
      <c r="A956" s="136">
        <v>42985</v>
      </c>
      <c r="B956" s="201" t="str">
        <f>"002006"</f>
        <v>002006</v>
      </c>
      <c r="C956" t="str">
        <f>"精功科技"</f>
        <v>精功科技</v>
      </c>
      <c r="D956">
        <v>2100</v>
      </c>
      <c r="E956">
        <v>2100</v>
      </c>
      <c r="F956">
        <v>8.4559999999999995</v>
      </c>
      <c r="G956">
        <v>-1146.8800000000001</v>
      </c>
      <c r="H956">
        <v>-6.46</v>
      </c>
      <c r="I956" s="309">
        <v>16611</v>
      </c>
      <c r="J956">
        <v>7.91</v>
      </c>
      <c r="K956" s="133">
        <f t="shared" si="14"/>
        <v>3.9035762384231329E-2</v>
      </c>
      <c r="L956" s="181">
        <v>0</v>
      </c>
    </row>
    <row r="957" spans="1:12" x14ac:dyDescent="0.25">
      <c r="A957" s="136">
        <v>42985</v>
      </c>
      <c r="B957" s="201" t="str">
        <f>"002140"</f>
        <v>002140</v>
      </c>
      <c r="C957" t="str">
        <f>"东华科技"</f>
        <v>东华科技</v>
      </c>
      <c r="D957">
        <v>6100</v>
      </c>
      <c r="E957">
        <v>6100</v>
      </c>
      <c r="F957">
        <v>12.695</v>
      </c>
      <c r="G957">
        <v>1675</v>
      </c>
      <c r="H957">
        <v>2.17</v>
      </c>
      <c r="I957" s="309">
        <v>79117</v>
      </c>
      <c r="J957">
        <v>12.97</v>
      </c>
      <c r="K957" s="133">
        <f t="shared" si="14"/>
        <v>0.18592453269238637</v>
      </c>
      <c r="L957" s="181">
        <v>132.54</v>
      </c>
    </row>
    <row r="958" spans="1:12" x14ac:dyDescent="0.25">
      <c r="A958" s="136">
        <v>42985</v>
      </c>
      <c r="B958" s="201" t="str">
        <f>"300701"</f>
        <v>300701</v>
      </c>
      <c r="C958" t="str">
        <f>"森霸股份"</f>
        <v>森霸股份</v>
      </c>
      <c r="D958">
        <v>500</v>
      </c>
      <c r="E958">
        <v>0</v>
      </c>
      <c r="F958">
        <v>13.14</v>
      </c>
      <c r="G958">
        <v>0</v>
      </c>
      <c r="H958">
        <v>0</v>
      </c>
      <c r="I958" s="309">
        <v>6570</v>
      </c>
      <c r="J958">
        <v>13.14</v>
      </c>
      <c r="K958" s="133">
        <f t="shared" si="14"/>
        <v>1.5439465346120031E-2</v>
      </c>
      <c r="L958" s="181">
        <v>0</v>
      </c>
    </row>
    <row r="959" spans="1:12" x14ac:dyDescent="0.25">
      <c r="A959" s="136">
        <v>42985</v>
      </c>
      <c r="B959" s="201" t="s">
        <v>835</v>
      </c>
      <c r="C959" t="s">
        <v>839</v>
      </c>
      <c r="I959" s="309">
        <v>12562.3</v>
      </c>
      <c r="K959" s="133">
        <f t="shared" si="14"/>
        <v>2.95213387393552E-2</v>
      </c>
      <c r="L959" s="181">
        <v>0</v>
      </c>
    </row>
    <row r="960" spans="1:12" x14ac:dyDescent="0.25">
      <c r="A960" s="136">
        <v>42989</v>
      </c>
      <c r="B960" s="201" t="str">
        <f>"519888"</f>
        <v>519888</v>
      </c>
      <c r="C960" t="str">
        <f>"添富快线"</f>
        <v>添富快线</v>
      </c>
      <c r="D960">
        <v>20000033</v>
      </c>
      <c r="E960">
        <v>17000033</v>
      </c>
      <c r="F960">
        <v>0.01</v>
      </c>
      <c r="G960">
        <v>2333.84</v>
      </c>
      <c r="H960">
        <v>0</v>
      </c>
      <c r="I960" s="309">
        <v>200000.33</v>
      </c>
      <c r="J960">
        <v>0.01</v>
      </c>
      <c r="K960" s="133">
        <f t="shared" si="14"/>
        <v>0.46733412306438704</v>
      </c>
      <c r="L960" s="181">
        <v>16.760000000000201</v>
      </c>
    </row>
    <row r="961" spans="1:12" x14ac:dyDescent="0.25">
      <c r="A961" s="136">
        <v>42989</v>
      </c>
      <c r="B961" s="201" t="str">
        <f>"600269"</f>
        <v>600269</v>
      </c>
      <c r="C961" t="str">
        <f>"赣粤高速"</f>
        <v>赣粤高速</v>
      </c>
      <c r="D961">
        <v>300</v>
      </c>
      <c r="E961">
        <v>300</v>
      </c>
      <c r="F961">
        <v>5.0819999999999999</v>
      </c>
      <c r="G961">
        <v>128.26</v>
      </c>
      <c r="H961">
        <v>8.42</v>
      </c>
      <c r="I961" s="309">
        <v>1653</v>
      </c>
      <c r="J961">
        <v>5.51</v>
      </c>
      <c r="K961" s="133">
        <f t="shared" si="14"/>
        <v>3.8625101539854051E-3</v>
      </c>
      <c r="L961" s="181">
        <v>8.9999999999999893</v>
      </c>
    </row>
    <row r="962" spans="1:12" x14ac:dyDescent="0.25">
      <c r="A962" s="136">
        <v>42989</v>
      </c>
      <c r="B962" s="201" t="str">
        <f>"601398"</f>
        <v>601398</v>
      </c>
      <c r="C962" t="str">
        <f>"工商银行"</f>
        <v>工商银行</v>
      </c>
      <c r="D962">
        <v>100</v>
      </c>
      <c r="E962">
        <v>100</v>
      </c>
      <c r="F962">
        <v>-53.579000000000001</v>
      </c>
      <c r="G962">
        <v>5946.9</v>
      </c>
      <c r="H962">
        <v>0</v>
      </c>
      <c r="I962" s="309">
        <v>589</v>
      </c>
      <c r="J962">
        <v>5.89</v>
      </c>
      <c r="K962" s="133">
        <f t="shared" ref="K962:K1024" si="15">I962/SUMIF(A:A,A962,I:I)</f>
        <v>1.3762967215350294E-3</v>
      </c>
      <c r="L962" s="181">
        <v>1</v>
      </c>
    </row>
    <row r="963" spans="1:12" x14ac:dyDescent="0.25">
      <c r="A963" s="136">
        <v>42989</v>
      </c>
      <c r="B963" s="201" t="str">
        <f>"601998"</f>
        <v>601998</v>
      </c>
      <c r="C963" t="str">
        <f>"中信银行"</f>
        <v>中信银行</v>
      </c>
      <c r="D963">
        <v>2700</v>
      </c>
      <c r="E963">
        <v>2700</v>
      </c>
      <c r="F963">
        <v>5.96</v>
      </c>
      <c r="G963">
        <v>1350.01</v>
      </c>
      <c r="H963">
        <v>8.39</v>
      </c>
      <c r="I963" s="309">
        <v>17442</v>
      </c>
      <c r="J963">
        <v>6.46</v>
      </c>
      <c r="K963" s="133">
        <f t="shared" si="15"/>
        <v>4.0756141624811518E-2</v>
      </c>
      <c r="L963" s="181">
        <v>-135</v>
      </c>
    </row>
    <row r="964" spans="1:12" x14ac:dyDescent="0.25">
      <c r="A964" s="136">
        <v>42989</v>
      </c>
      <c r="B964" s="201" t="str">
        <f>"000402"</f>
        <v>000402</v>
      </c>
      <c r="C964" t="str">
        <f>"金 融 街"</f>
        <v>金 融 街</v>
      </c>
      <c r="D964">
        <v>5200</v>
      </c>
      <c r="E964">
        <v>3700</v>
      </c>
      <c r="F964">
        <v>9.4649999999999999</v>
      </c>
      <c r="G964">
        <v>13442.91</v>
      </c>
      <c r="H964">
        <v>27.31</v>
      </c>
      <c r="I964" s="309">
        <v>62660</v>
      </c>
      <c r="J964">
        <v>12.05</v>
      </c>
      <c r="K964" s="133">
        <f t="shared" si="15"/>
        <v>0.14641553917043285</v>
      </c>
      <c r="L964" s="181">
        <v>454.67</v>
      </c>
    </row>
    <row r="965" spans="1:12" x14ac:dyDescent="0.25">
      <c r="A965" s="136">
        <v>42989</v>
      </c>
      <c r="B965" s="201" t="str">
        <f>"000415"</f>
        <v>000415</v>
      </c>
      <c r="C965" t="str">
        <f>"渤海金控"</f>
        <v>渤海金控</v>
      </c>
      <c r="D965">
        <v>600</v>
      </c>
      <c r="E965">
        <v>100</v>
      </c>
      <c r="F965">
        <v>2.36</v>
      </c>
      <c r="G965">
        <v>2747.79</v>
      </c>
      <c r="H965">
        <v>194.07</v>
      </c>
      <c r="I965" s="309">
        <v>4164</v>
      </c>
      <c r="J965">
        <v>6.94</v>
      </c>
      <c r="K965" s="133">
        <f t="shared" si="15"/>
        <v>9.7298803878978993E-3</v>
      </c>
      <c r="L965" s="181">
        <v>-11.010000000000201</v>
      </c>
    </row>
    <row r="966" spans="1:12" x14ac:dyDescent="0.25">
      <c r="A966" s="136">
        <v>42989</v>
      </c>
      <c r="B966" s="201" t="str">
        <f>"000528"</f>
        <v>000528</v>
      </c>
      <c r="C966" t="str">
        <f>"柳    工"</f>
        <v>柳    工</v>
      </c>
      <c r="D966">
        <v>4450</v>
      </c>
      <c r="E966">
        <v>4450</v>
      </c>
      <c r="F966">
        <v>9.2140000000000004</v>
      </c>
      <c r="G966">
        <v>114.72</v>
      </c>
      <c r="H966">
        <v>0.28000000000000003</v>
      </c>
      <c r="I966" s="309">
        <v>41118</v>
      </c>
      <c r="J966">
        <v>9.24</v>
      </c>
      <c r="K966" s="133">
        <f t="shared" si="15"/>
        <v>9.6079063830352016E-2</v>
      </c>
      <c r="L966" s="181">
        <v>810.63</v>
      </c>
    </row>
    <row r="967" spans="1:12" x14ac:dyDescent="0.25">
      <c r="A967" s="136">
        <v>42989</v>
      </c>
      <c r="B967" s="201" t="str">
        <f>"002006"</f>
        <v>002006</v>
      </c>
      <c r="C967" t="str">
        <f>"精功科技"</f>
        <v>精功科技</v>
      </c>
      <c r="D967">
        <v>2100</v>
      </c>
      <c r="E967">
        <v>2100</v>
      </c>
      <c r="F967">
        <v>8.4559999999999995</v>
      </c>
      <c r="G967">
        <v>-1146.8800000000001</v>
      </c>
      <c r="H967">
        <v>-6.46</v>
      </c>
      <c r="I967" s="309">
        <v>16611</v>
      </c>
      <c r="J967">
        <v>7.91</v>
      </c>
      <c r="K967" s="133">
        <f t="shared" si="15"/>
        <v>3.8814371547399612E-2</v>
      </c>
      <c r="L967" s="181">
        <v>0</v>
      </c>
    </row>
    <row r="968" spans="1:12" x14ac:dyDescent="0.25">
      <c r="A968" s="136">
        <v>42989</v>
      </c>
      <c r="B968" s="201" t="str">
        <f>"002140"</f>
        <v>002140</v>
      </c>
      <c r="C968" t="str">
        <f>"东华科技"</f>
        <v>东华科技</v>
      </c>
      <c r="D968">
        <v>5500</v>
      </c>
      <c r="E968">
        <v>5000</v>
      </c>
      <c r="F968">
        <v>12.601000000000001</v>
      </c>
      <c r="G968">
        <v>2965.61</v>
      </c>
      <c r="H968">
        <v>4.28</v>
      </c>
      <c r="I968" s="309">
        <v>72270</v>
      </c>
      <c r="J968">
        <v>13.14</v>
      </c>
      <c r="K968" s="133">
        <f t="shared" si="15"/>
        <v>0.16887090673232016</v>
      </c>
      <c r="L968" s="181">
        <v>1290.6099999999999</v>
      </c>
    </row>
    <row r="969" spans="1:12" x14ac:dyDescent="0.25">
      <c r="A969" s="136">
        <v>42989</v>
      </c>
      <c r="B969" s="201" t="str">
        <f>"300701"</f>
        <v>300701</v>
      </c>
      <c r="C969" t="str">
        <f>"森霸股份"</f>
        <v>森霸股份</v>
      </c>
      <c r="D969">
        <v>500</v>
      </c>
      <c r="E969">
        <v>500</v>
      </c>
      <c r="F969">
        <v>13.14</v>
      </c>
      <c r="G969">
        <v>0</v>
      </c>
      <c r="H969">
        <v>0</v>
      </c>
      <c r="I969" s="309">
        <v>6570</v>
      </c>
      <c r="J969">
        <v>13.14</v>
      </c>
      <c r="K969" s="133">
        <f t="shared" si="15"/>
        <v>1.5351900612029104E-2</v>
      </c>
      <c r="L969" s="181">
        <v>0</v>
      </c>
    </row>
    <row r="970" spans="1:12" x14ac:dyDescent="0.25">
      <c r="A970" s="136">
        <v>42989</v>
      </c>
      <c r="B970" s="201" t="s">
        <v>835</v>
      </c>
      <c r="C970" t="s">
        <v>839</v>
      </c>
      <c r="I970" s="309">
        <v>4882.71</v>
      </c>
      <c r="K970" s="133">
        <f t="shared" si="15"/>
        <v>1.1409266154849411E-2</v>
      </c>
      <c r="L970" s="181">
        <v>0</v>
      </c>
    </row>
    <row r="971" spans="1:12" x14ac:dyDescent="0.25">
      <c r="A971" s="136">
        <v>42990</v>
      </c>
      <c r="B971" s="201" t="s">
        <v>132</v>
      </c>
      <c r="C971" t="s">
        <v>123</v>
      </c>
      <c r="D971">
        <v>17006691</v>
      </c>
      <c r="E971">
        <v>17006691</v>
      </c>
      <c r="F971">
        <v>0.01</v>
      </c>
      <c r="G971">
        <v>2400.42</v>
      </c>
      <c r="H971">
        <v>0</v>
      </c>
      <c r="I971" s="309">
        <v>170066.91</v>
      </c>
      <c r="J971">
        <v>0.01</v>
      </c>
      <c r="K971" s="133">
        <f t="shared" si="15"/>
        <v>0.39896002015785237</v>
      </c>
      <c r="L971" s="181">
        <v>66.579999999999899</v>
      </c>
    </row>
    <row r="972" spans="1:12" x14ac:dyDescent="0.25">
      <c r="A972" s="136">
        <v>42990</v>
      </c>
      <c r="B972" s="201" t="s">
        <v>61</v>
      </c>
      <c r="C972" t="s">
        <v>136</v>
      </c>
      <c r="D972">
        <v>300</v>
      </c>
      <c r="E972">
        <v>300</v>
      </c>
      <c r="F972">
        <v>5.0819999999999999</v>
      </c>
      <c r="G972">
        <v>119.26</v>
      </c>
      <c r="H972">
        <v>7.83</v>
      </c>
      <c r="I972" s="309">
        <v>1644</v>
      </c>
      <c r="J972">
        <v>5.48</v>
      </c>
      <c r="K972" s="133">
        <f t="shared" si="15"/>
        <v>3.8566601412321141E-3</v>
      </c>
      <c r="L972" s="181">
        <v>-8.9999999999999893</v>
      </c>
    </row>
    <row r="973" spans="1:12" x14ac:dyDescent="0.25">
      <c r="A973" s="136">
        <v>42990</v>
      </c>
      <c r="B973" s="201" t="s">
        <v>124</v>
      </c>
      <c r="C973" t="s">
        <v>125</v>
      </c>
      <c r="D973">
        <v>100</v>
      </c>
      <c r="E973">
        <v>100</v>
      </c>
      <c r="F973">
        <v>-53.579000000000001</v>
      </c>
      <c r="G973">
        <v>5950.9</v>
      </c>
      <c r="H973">
        <v>0</v>
      </c>
      <c r="I973" s="309">
        <v>593</v>
      </c>
      <c r="J973">
        <v>5.93</v>
      </c>
      <c r="K973" s="133">
        <f t="shared" si="15"/>
        <v>1.3911188952254524E-3</v>
      </c>
      <c r="L973" s="181">
        <v>4</v>
      </c>
    </row>
    <row r="974" spans="1:12" x14ac:dyDescent="0.25">
      <c r="A974" s="136">
        <v>42990</v>
      </c>
      <c r="B974" s="201" t="s">
        <v>71</v>
      </c>
      <c r="C974" t="s">
        <v>126</v>
      </c>
      <c r="D974">
        <v>3200</v>
      </c>
      <c r="E974">
        <v>3200</v>
      </c>
      <c r="F974">
        <v>6.0380000000000003</v>
      </c>
      <c r="G974">
        <v>1317.95</v>
      </c>
      <c r="H974">
        <v>6.82</v>
      </c>
      <c r="I974" s="309">
        <v>20640</v>
      </c>
      <c r="J974">
        <v>6.45</v>
      </c>
      <c r="K974" s="133">
        <f t="shared" si="15"/>
        <v>4.841938279503092E-2</v>
      </c>
      <c r="L974" s="181">
        <v>-32.059999999999903</v>
      </c>
    </row>
    <row r="975" spans="1:12" x14ac:dyDescent="0.25">
      <c r="A975" s="136">
        <v>42990</v>
      </c>
      <c r="B975" s="201" t="s">
        <v>65</v>
      </c>
      <c r="C975" t="s">
        <v>127</v>
      </c>
      <c r="D975">
        <v>6800</v>
      </c>
      <c r="E975">
        <v>6800</v>
      </c>
      <c r="F975">
        <v>10.026999999999999</v>
      </c>
      <c r="G975">
        <v>12535.29</v>
      </c>
      <c r="H975">
        <v>18.38</v>
      </c>
      <c r="I975" s="309">
        <v>80716</v>
      </c>
      <c r="J975">
        <v>11.87</v>
      </c>
      <c r="K975" s="133">
        <f t="shared" si="15"/>
        <v>0.18935169097304824</v>
      </c>
      <c r="L975" s="181">
        <v>-907.61999999999898</v>
      </c>
    </row>
    <row r="976" spans="1:12" x14ac:dyDescent="0.25">
      <c r="A976" s="136">
        <v>42990</v>
      </c>
      <c r="B976" s="201" t="s">
        <v>77</v>
      </c>
      <c r="C976" t="s">
        <v>128</v>
      </c>
      <c r="D976">
        <v>600</v>
      </c>
      <c r="E976">
        <v>600</v>
      </c>
      <c r="F976">
        <v>2.36</v>
      </c>
      <c r="G976">
        <v>2771.79</v>
      </c>
      <c r="H976">
        <v>195.76</v>
      </c>
      <c r="I976" s="309">
        <v>4188</v>
      </c>
      <c r="J976">
        <v>6.98</v>
      </c>
      <c r="K976" s="133">
        <f t="shared" si="15"/>
        <v>9.8246305787591821E-3</v>
      </c>
      <c r="L976" s="181">
        <v>24</v>
      </c>
    </row>
    <row r="977" spans="1:12" x14ac:dyDescent="0.25">
      <c r="A977" s="136">
        <v>42990</v>
      </c>
      <c r="B977" s="201" t="s">
        <v>67</v>
      </c>
      <c r="C977" t="s">
        <v>129</v>
      </c>
      <c r="D977">
        <v>4250</v>
      </c>
      <c r="E977">
        <v>4250</v>
      </c>
      <c r="F977">
        <v>9.202</v>
      </c>
      <c r="G977">
        <v>-349.38</v>
      </c>
      <c r="H977">
        <v>-0.89</v>
      </c>
      <c r="I977" s="309">
        <v>38760</v>
      </c>
      <c r="J977">
        <v>9.1199999999999992</v>
      </c>
      <c r="K977" s="133">
        <f t="shared" si="15"/>
        <v>9.0927096760435977E-2</v>
      </c>
      <c r="L977" s="181">
        <v>-464.1</v>
      </c>
    </row>
    <row r="978" spans="1:12" x14ac:dyDescent="0.25">
      <c r="A978" s="136">
        <v>42990</v>
      </c>
      <c r="B978" s="201" t="s">
        <v>72</v>
      </c>
      <c r="C978" t="s">
        <v>130</v>
      </c>
      <c r="D978">
        <v>2100</v>
      </c>
      <c r="E978">
        <v>2100</v>
      </c>
      <c r="F978">
        <v>8.4559999999999995</v>
      </c>
      <c r="G978">
        <v>-1146.8800000000001</v>
      </c>
      <c r="H978">
        <v>-6.46</v>
      </c>
      <c r="I978" s="309">
        <v>16611</v>
      </c>
      <c r="J978">
        <v>7.91</v>
      </c>
      <c r="K978" s="133">
        <f t="shared" si="15"/>
        <v>3.8967750368617181E-2</v>
      </c>
      <c r="L978" s="181">
        <v>0</v>
      </c>
    </row>
    <row r="979" spans="1:12" x14ac:dyDescent="0.25">
      <c r="A979" s="136">
        <v>42990</v>
      </c>
      <c r="B979" s="201" t="s">
        <v>70</v>
      </c>
      <c r="C979" t="s">
        <v>131</v>
      </c>
      <c r="D979">
        <v>5600</v>
      </c>
      <c r="E979">
        <v>5600</v>
      </c>
      <c r="F979">
        <v>12.596</v>
      </c>
      <c r="G979">
        <v>2599.34</v>
      </c>
      <c r="H979">
        <v>3.68</v>
      </c>
      <c r="I979" s="309">
        <v>73136</v>
      </c>
      <c r="J979">
        <v>13.06</v>
      </c>
      <c r="K979" s="133">
        <f t="shared" si="15"/>
        <v>0.17156976647758632</v>
      </c>
      <c r="L979" s="181">
        <v>-366.27</v>
      </c>
    </row>
    <row r="980" spans="1:12" x14ac:dyDescent="0.25">
      <c r="A980" s="136">
        <v>42990</v>
      </c>
      <c r="B980" s="201" t="s">
        <v>137</v>
      </c>
      <c r="C980" t="s">
        <v>138</v>
      </c>
      <c r="D980">
        <v>500</v>
      </c>
      <c r="E980">
        <v>500</v>
      </c>
      <c r="F980">
        <v>13.14</v>
      </c>
      <c r="G980">
        <v>0</v>
      </c>
      <c r="H980">
        <v>0</v>
      </c>
      <c r="I980" s="309">
        <v>6570</v>
      </c>
      <c r="J980">
        <v>13.14</v>
      </c>
      <c r="K980" s="133">
        <f t="shared" si="15"/>
        <v>1.5412565162953158E-2</v>
      </c>
      <c r="L980" s="181">
        <v>0</v>
      </c>
    </row>
    <row r="981" spans="1:12" x14ac:dyDescent="0.25">
      <c r="A981" s="136">
        <v>42990</v>
      </c>
      <c r="B981" s="201" t="s">
        <v>835</v>
      </c>
      <c r="C981" t="s">
        <v>839</v>
      </c>
      <c r="I981" s="309">
        <v>13350.66</v>
      </c>
      <c r="K981" s="133">
        <f t="shared" si="15"/>
        <v>3.1319317689259087E-2</v>
      </c>
      <c r="L981" s="181">
        <v>0</v>
      </c>
    </row>
    <row r="982" spans="1:12" x14ac:dyDescent="0.25">
      <c r="A982" s="136">
        <v>42991</v>
      </c>
      <c r="B982" s="201" t="str">
        <f>"519888"</f>
        <v>519888</v>
      </c>
      <c r="C982" t="str">
        <f>"添富快线"</f>
        <v>添富快线</v>
      </c>
      <c r="D982">
        <v>15008398</v>
      </c>
      <c r="E982">
        <v>15008398</v>
      </c>
      <c r="F982">
        <v>0.01</v>
      </c>
      <c r="G982">
        <v>2417.4899999999998</v>
      </c>
      <c r="H982">
        <v>0</v>
      </c>
      <c r="I982" s="309">
        <v>150083.98000000001</v>
      </c>
      <c r="J982">
        <v>0.01</v>
      </c>
      <c r="K982" s="133">
        <f t="shared" si="15"/>
        <v>0.35203909744616813</v>
      </c>
      <c r="L982" s="181">
        <v>17.069999999999698</v>
      </c>
    </row>
    <row r="983" spans="1:12" x14ac:dyDescent="0.25">
      <c r="A983" s="136">
        <v>42991</v>
      </c>
      <c r="B983" s="201" t="str">
        <f>"600269"</f>
        <v>600269</v>
      </c>
      <c r="C983" t="str">
        <f>"赣粤高速"</f>
        <v>赣粤高速</v>
      </c>
      <c r="D983">
        <v>800</v>
      </c>
      <c r="E983">
        <v>800</v>
      </c>
      <c r="F983">
        <v>5.3310000000000004</v>
      </c>
      <c r="G983">
        <v>111.21</v>
      </c>
      <c r="H983">
        <v>2.61</v>
      </c>
      <c r="I983" s="309">
        <v>4376</v>
      </c>
      <c r="J983">
        <v>5.47</v>
      </c>
      <c r="K983" s="133">
        <f t="shared" si="15"/>
        <v>1.026440723669796E-2</v>
      </c>
      <c r="L983" s="181">
        <v>-8.0500000000000096</v>
      </c>
    </row>
    <row r="984" spans="1:12" x14ac:dyDescent="0.25">
      <c r="A984" s="136">
        <v>42991</v>
      </c>
      <c r="B984" s="201" t="str">
        <f>"601398"</f>
        <v>601398</v>
      </c>
      <c r="C984" t="str">
        <f>"工商银行"</f>
        <v>工商银行</v>
      </c>
      <c r="D984">
        <v>100</v>
      </c>
      <c r="E984">
        <v>100</v>
      </c>
      <c r="F984">
        <v>-53.579000000000001</v>
      </c>
      <c r="G984">
        <v>5950.9</v>
      </c>
      <c r="H984">
        <v>0</v>
      </c>
      <c r="I984" s="309">
        <v>593</v>
      </c>
      <c r="J984">
        <v>5.93</v>
      </c>
      <c r="K984" s="133">
        <f t="shared" si="15"/>
        <v>1.3909491525050022E-3</v>
      </c>
      <c r="L984" s="181">
        <v>0</v>
      </c>
    </row>
    <row r="985" spans="1:12" x14ac:dyDescent="0.25">
      <c r="A985" s="136">
        <v>42991</v>
      </c>
      <c r="B985" s="201" t="str">
        <f>"601998"</f>
        <v>601998</v>
      </c>
      <c r="C985" t="str">
        <f>"中信银行"</f>
        <v>中信银行</v>
      </c>
      <c r="D985">
        <v>3700</v>
      </c>
      <c r="E985">
        <v>3700</v>
      </c>
      <c r="F985">
        <v>6.0910000000000002</v>
      </c>
      <c r="G985">
        <v>1253.8900000000001</v>
      </c>
      <c r="H985">
        <v>5.57</v>
      </c>
      <c r="I985" s="309">
        <v>23791</v>
      </c>
      <c r="J985">
        <v>6.43</v>
      </c>
      <c r="K985" s="133">
        <f t="shared" si="15"/>
        <v>5.580450470024706E-2</v>
      </c>
      <c r="L985" s="181">
        <v>-64.059999999999903</v>
      </c>
    </row>
    <row r="986" spans="1:12" x14ac:dyDescent="0.25">
      <c r="A986" s="136">
        <v>42991</v>
      </c>
      <c r="B986" s="201" t="str">
        <f>"000402"</f>
        <v>000402</v>
      </c>
      <c r="C986" t="str">
        <f>"金 融 街"</f>
        <v>金 融 街</v>
      </c>
      <c r="D986">
        <v>6900</v>
      </c>
      <c r="E986">
        <v>6900</v>
      </c>
      <c r="F986">
        <v>10.050000000000001</v>
      </c>
      <c r="G986">
        <v>12419.53</v>
      </c>
      <c r="H986">
        <v>17.91</v>
      </c>
      <c r="I986" s="309">
        <v>81765</v>
      </c>
      <c r="J986">
        <v>11.85</v>
      </c>
      <c r="K986" s="133">
        <f t="shared" si="15"/>
        <v>0.19178913567381367</v>
      </c>
      <c r="L986" s="181">
        <v>-115.76</v>
      </c>
    </row>
    <row r="987" spans="1:12" x14ac:dyDescent="0.25">
      <c r="A987" s="136">
        <v>42991</v>
      </c>
      <c r="B987" s="201" t="str">
        <f>"000415"</f>
        <v>000415</v>
      </c>
      <c r="C987" t="str">
        <f>"渤海金控"</f>
        <v>渤海金控</v>
      </c>
      <c r="D987">
        <v>600</v>
      </c>
      <c r="E987">
        <v>600</v>
      </c>
      <c r="F987">
        <v>2.36</v>
      </c>
      <c r="G987">
        <v>2759.79</v>
      </c>
      <c r="H987">
        <v>194.92</v>
      </c>
      <c r="I987" s="309">
        <v>4176</v>
      </c>
      <c r="J987">
        <v>6.96</v>
      </c>
      <c r="K987" s="133">
        <f t="shared" si="15"/>
        <v>9.7952844196642318E-3</v>
      </c>
      <c r="L987" s="181">
        <v>-12</v>
      </c>
    </row>
    <row r="988" spans="1:12" x14ac:dyDescent="0.25">
      <c r="A988" s="136">
        <v>42991</v>
      </c>
      <c r="B988" s="201" t="str">
        <f>"000528"</f>
        <v>000528</v>
      </c>
      <c r="C988" t="str">
        <f>"柳    工"</f>
        <v>柳    工</v>
      </c>
      <c r="D988">
        <v>4350</v>
      </c>
      <c r="E988">
        <v>4350</v>
      </c>
      <c r="F988">
        <v>9.1959999999999997</v>
      </c>
      <c r="G988">
        <v>-114.56</v>
      </c>
      <c r="H988">
        <v>-0.28000000000000003</v>
      </c>
      <c r="I988" s="309">
        <v>39889.5</v>
      </c>
      <c r="J988">
        <v>9.17</v>
      </c>
      <c r="K988" s="133">
        <f t="shared" si="15"/>
        <v>9.3565373050334369E-2</v>
      </c>
      <c r="L988" s="181">
        <v>234.82</v>
      </c>
    </row>
    <row r="989" spans="1:12" x14ac:dyDescent="0.25">
      <c r="A989" s="136">
        <v>42991</v>
      </c>
      <c r="B989" s="201" t="str">
        <f>"002006"</f>
        <v>002006</v>
      </c>
      <c r="C989" t="str">
        <f>"精功科技"</f>
        <v>精功科技</v>
      </c>
      <c r="D989">
        <v>2100</v>
      </c>
      <c r="E989">
        <v>2100</v>
      </c>
      <c r="F989">
        <v>8.4559999999999995</v>
      </c>
      <c r="G989">
        <v>-1146.8800000000001</v>
      </c>
      <c r="H989">
        <v>-6.46</v>
      </c>
      <c r="I989" s="309">
        <v>16611</v>
      </c>
      <c r="J989">
        <v>7.91</v>
      </c>
      <c r="K989" s="133">
        <f t="shared" si="15"/>
        <v>3.8962995568736239E-2</v>
      </c>
      <c r="L989" s="181">
        <v>0</v>
      </c>
    </row>
    <row r="990" spans="1:12" x14ac:dyDescent="0.25">
      <c r="A990" s="136">
        <v>42991</v>
      </c>
      <c r="B990" s="201" t="str">
        <f>"002140"</f>
        <v>002140</v>
      </c>
      <c r="C990" t="str">
        <f>"东华科技"</f>
        <v>东华科技</v>
      </c>
      <c r="D990">
        <v>5600</v>
      </c>
      <c r="E990">
        <v>5600</v>
      </c>
      <c r="F990">
        <v>12.596</v>
      </c>
      <c r="G990">
        <v>2599.34</v>
      </c>
      <c r="H990">
        <v>3.68</v>
      </c>
      <c r="I990" s="309">
        <v>73136</v>
      </c>
      <c r="J990">
        <v>13.06</v>
      </c>
      <c r="K990" s="133">
        <f t="shared" si="15"/>
        <v>0.17154883173289348</v>
      </c>
      <c r="L990" s="181">
        <v>0</v>
      </c>
    </row>
    <row r="991" spans="1:12" x14ac:dyDescent="0.25">
      <c r="A991" s="136">
        <v>42991</v>
      </c>
      <c r="B991" s="201" t="str">
        <f>"300701"</f>
        <v>300701</v>
      </c>
      <c r="C991" t="str">
        <f>"森霸股份"</f>
        <v>森霸股份</v>
      </c>
      <c r="D991">
        <v>500</v>
      </c>
      <c r="E991">
        <v>500</v>
      </c>
      <c r="F991">
        <v>13.14</v>
      </c>
      <c r="G991">
        <v>0</v>
      </c>
      <c r="H991">
        <v>0</v>
      </c>
      <c r="I991" s="309">
        <v>6570</v>
      </c>
      <c r="J991">
        <v>13.14</v>
      </c>
      <c r="K991" s="133">
        <f t="shared" si="15"/>
        <v>1.541068453955795E-2</v>
      </c>
      <c r="L991" s="181">
        <v>0</v>
      </c>
    </row>
    <row r="992" spans="1:12" x14ac:dyDescent="0.25">
      <c r="A992" s="136">
        <v>42991</v>
      </c>
      <c r="B992" s="201" t="s">
        <v>835</v>
      </c>
      <c r="C992" t="s">
        <v>839</v>
      </c>
      <c r="I992" s="309">
        <v>25336.11</v>
      </c>
      <c r="K992" s="133">
        <f t="shared" si="15"/>
        <v>5.9428736479381974E-2</v>
      </c>
      <c r="L992" s="181">
        <v>0</v>
      </c>
    </row>
    <row r="993" spans="1:12" x14ac:dyDescent="0.25">
      <c r="A993" s="136">
        <v>42992</v>
      </c>
      <c r="B993" s="201" t="str">
        <f>"519888"</f>
        <v>519888</v>
      </c>
      <c r="C993" t="str">
        <f>"添富快线"</f>
        <v>添富快线</v>
      </c>
      <c r="D993">
        <v>17701383</v>
      </c>
      <c r="E993">
        <v>17701383</v>
      </c>
      <c r="F993">
        <v>0.01</v>
      </c>
      <c r="G993">
        <v>2431.3200000000002</v>
      </c>
      <c r="H993">
        <v>0</v>
      </c>
      <c r="I993" s="309">
        <v>177013.83</v>
      </c>
      <c r="J993">
        <v>0.01</v>
      </c>
      <c r="K993" s="133">
        <f t="shared" si="15"/>
        <v>0.413139397045654</v>
      </c>
      <c r="L993" s="181">
        <v>13.8300000000004</v>
      </c>
    </row>
    <row r="994" spans="1:12" x14ac:dyDescent="0.25">
      <c r="A994" s="136">
        <v>42992</v>
      </c>
      <c r="B994" s="201" t="str">
        <f>"600269"</f>
        <v>600269</v>
      </c>
      <c r="C994" t="str">
        <f>"赣粤高速"</f>
        <v>赣粤高速</v>
      </c>
      <c r="D994">
        <v>800</v>
      </c>
      <c r="E994">
        <v>800</v>
      </c>
      <c r="F994">
        <v>5.3310000000000004</v>
      </c>
      <c r="G994">
        <v>119.21</v>
      </c>
      <c r="H994">
        <v>2.8</v>
      </c>
      <c r="I994" s="309">
        <v>4384</v>
      </c>
      <c r="J994">
        <v>5.48</v>
      </c>
      <c r="K994" s="133">
        <f t="shared" si="15"/>
        <v>1.0231986487429526E-2</v>
      </c>
      <c r="L994" s="181">
        <v>8</v>
      </c>
    </row>
    <row r="995" spans="1:12" x14ac:dyDescent="0.25">
      <c r="A995" s="136">
        <v>42992</v>
      </c>
      <c r="B995" s="201" t="str">
        <f>"601398"</f>
        <v>601398</v>
      </c>
      <c r="C995" t="str">
        <f>"工商银行"</f>
        <v>工商银行</v>
      </c>
      <c r="D995">
        <v>100</v>
      </c>
      <c r="E995">
        <v>100</v>
      </c>
      <c r="F995">
        <v>-53.579000000000001</v>
      </c>
      <c r="G995">
        <v>5945.9</v>
      </c>
      <c r="H995">
        <v>0</v>
      </c>
      <c r="I995" s="309">
        <v>588</v>
      </c>
      <c r="J995">
        <v>5.88</v>
      </c>
      <c r="K995" s="133">
        <f t="shared" si="15"/>
        <v>1.3723558518723908E-3</v>
      </c>
      <c r="L995" s="181">
        <v>-5</v>
      </c>
    </row>
    <row r="996" spans="1:12" x14ac:dyDescent="0.25">
      <c r="A996" s="136">
        <v>42992</v>
      </c>
      <c r="B996" s="201" t="str">
        <f>"601998"</f>
        <v>601998</v>
      </c>
      <c r="C996" t="str">
        <f>"中信银行"</f>
        <v>中信银行</v>
      </c>
      <c r="D996">
        <v>3700</v>
      </c>
      <c r="E996">
        <v>3700</v>
      </c>
      <c r="F996">
        <v>6.0910000000000002</v>
      </c>
      <c r="G996">
        <v>1179.8900000000001</v>
      </c>
      <c r="H996">
        <v>5.24</v>
      </c>
      <c r="I996" s="309">
        <v>23717</v>
      </c>
      <c r="J996">
        <v>6.41</v>
      </c>
      <c r="K996" s="133">
        <f t="shared" si="15"/>
        <v>5.5354019964043349E-2</v>
      </c>
      <c r="L996" s="181">
        <v>-74</v>
      </c>
    </row>
    <row r="997" spans="1:12" x14ac:dyDescent="0.25">
      <c r="A997" s="136">
        <v>42992</v>
      </c>
      <c r="B997" s="201" t="str">
        <f>"000402"</f>
        <v>000402</v>
      </c>
      <c r="C997" t="str">
        <f>"金 融 街"</f>
        <v>金 融 街</v>
      </c>
      <c r="D997">
        <v>5400</v>
      </c>
      <c r="E997">
        <v>5400</v>
      </c>
      <c r="F997">
        <v>9.4930000000000003</v>
      </c>
      <c r="G997">
        <v>14188.41</v>
      </c>
      <c r="H997">
        <v>27.67</v>
      </c>
      <c r="I997" s="309">
        <v>65448</v>
      </c>
      <c r="J997">
        <v>12.12</v>
      </c>
      <c r="K997" s="133">
        <f t="shared" si="15"/>
        <v>0.15275160849208202</v>
      </c>
      <c r="L997" s="181">
        <v>1768.88</v>
      </c>
    </row>
    <row r="998" spans="1:12" x14ac:dyDescent="0.25">
      <c r="A998" s="136">
        <v>42992</v>
      </c>
      <c r="B998" s="201" t="str">
        <f>"000415"</f>
        <v>000415</v>
      </c>
      <c r="C998" t="str">
        <f>"渤海金控"</f>
        <v>渤海金控</v>
      </c>
      <c r="D998">
        <v>600</v>
      </c>
      <c r="E998">
        <v>600</v>
      </c>
      <c r="F998">
        <v>2.36</v>
      </c>
      <c r="G998">
        <v>2735.79</v>
      </c>
      <c r="H998">
        <v>193.22</v>
      </c>
      <c r="I998" s="309">
        <v>4152</v>
      </c>
      <c r="J998">
        <v>6.92</v>
      </c>
      <c r="K998" s="133">
        <f t="shared" si="15"/>
        <v>9.6905127499560643E-3</v>
      </c>
      <c r="L998" s="181">
        <v>-24</v>
      </c>
    </row>
    <row r="999" spans="1:12" x14ac:dyDescent="0.25">
      <c r="A999" s="136">
        <v>42992</v>
      </c>
      <c r="B999" s="201" t="str">
        <f>"000528"</f>
        <v>000528</v>
      </c>
      <c r="C999" t="str">
        <f>"柳    工"</f>
        <v>柳    工</v>
      </c>
      <c r="D999">
        <v>4850</v>
      </c>
      <c r="E999">
        <v>4850</v>
      </c>
      <c r="F999">
        <v>9.1880000000000006</v>
      </c>
      <c r="G999">
        <v>-380.56</v>
      </c>
      <c r="H999">
        <v>-0.85</v>
      </c>
      <c r="I999" s="309">
        <v>44183.5</v>
      </c>
      <c r="J999">
        <v>9.11</v>
      </c>
      <c r="K999" s="133">
        <f t="shared" si="15"/>
        <v>0.10312157275714928</v>
      </c>
      <c r="L999" s="181">
        <v>-266</v>
      </c>
    </row>
    <row r="1000" spans="1:12" x14ac:dyDescent="0.25">
      <c r="A1000" s="136">
        <v>42992</v>
      </c>
      <c r="B1000" s="201" t="str">
        <f>"002006"</f>
        <v>002006</v>
      </c>
      <c r="C1000" t="str">
        <f>"精功科技"</f>
        <v>精功科技</v>
      </c>
      <c r="D1000">
        <v>2100</v>
      </c>
      <c r="E1000">
        <v>2100</v>
      </c>
      <c r="F1000">
        <v>8.4559999999999995</v>
      </c>
      <c r="G1000">
        <v>-1146.8800000000001</v>
      </c>
      <c r="H1000">
        <v>-6.46</v>
      </c>
      <c r="I1000" s="309">
        <v>16611</v>
      </c>
      <c r="J1000">
        <v>7.91</v>
      </c>
      <c r="K1000" s="133">
        <f t="shared" si="15"/>
        <v>3.8769052815395041E-2</v>
      </c>
      <c r="L1000" s="181">
        <v>0</v>
      </c>
    </row>
    <row r="1001" spans="1:12" x14ac:dyDescent="0.25">
      <c r="A1001" s="136">
        <v>42992</v>
      </c>
      <c r="B1001" s="201" t="str">
        <f>"002140"</f>
        <v>002140</v>
      </c>
      <c r="C1001" t="str">
        <f>"东华科技"</f>
        <v>东华科技</v>
      </c>
      <c r="D1001">
        <v>6100</v>
      </c>
      <c r="E1001">
        <v>6100</v>
      </c>
      <c r="F1001">
        <v>12.627000000000001</v>
      </c>
      <c r="G1001">
        <v>3310.34</v>
      </c>
      <c r="H1001">
        <v>4.3</v>
      </c>
      <c r="I1001" s="309">
        <v>80337</v>
      </c>
      <c r="J1001">
        <v>13.17</v>
      </c>
      <c r="K1001" s="133">
        <f t="shared" si="15"/>
        <v>0.18750161916985078</v>
      </c>
      <c r="L1001" s="181">
        <v>711</v>
      </c>
    </row>
    <row r="1002" spans="1:12" x14ac:dyDescent="0.25">
      <c r="A1002" s="136">
        <v>42992</v>
      </c>
      <c r="B1002" s="201" t="str">
        <f>"300701"</f>
        <v>300701</v>
      </c>
      <c r="C1002" t="str">
        <f>"森霸股份"</f>
        <v>森霸股份</v>
      </c>
      <c r="D1002">
        <v>500</v>
      </c>
      <c r="E1002">
        <v>500</v>
      </c>
      <c r="F1002">
        <v>13.14</v>
      </c>
      <c r="G1002">
        <v>0</v>
      </c>
      <c r="H1002">
        <v>0</v>
      </c>
      <c r="I1002" s="309">
        <v>6570</v>
      </c>
      <c r="J1002">
        <v>13.14</v>
      </c>
      <c r="K1002" s="133">
        <f t="shared" si="15"/>
        <v>1.5333976100002733E-2</v>
      </c>
      <c r="L1002" s="181">
        <v>0</v>
      </c>
    </row>
    <row r="1003" spans="1:12" x14ac:dyDescent="0.25">
      <c r="A1003" s="136">
        <v>42992</v>
      </c>
      <c r="B1003" s="201" t="s">
        <v>835</v>
      </c>
      <c r="C1003" t="s">
        <v>839</v>
      </c>
      <c r="I1003" s="309">
        <v>5455.97</v>
      </c>
      <c r="K1003" s="133">
        <f t="shared" si="15"/>
        <v>1.2733898566564979E-2</v>
      </c>
      <c r="L1003" s="181">
        <v>0</v>
      </c>
    </row>
    <row r="1004" spans="1:12" x14ac:dyDescent="0.25">
      <c r="A1004" s="136">
        <v>42993</v>
      </c>
      <c r="B1004" s="201" t="str">
        <f>"519888"</f>
        <v>519888</v>
      </c>
      <c r="C1004" t="str">
        <f>"添富快线"</f>
        <v>添富快线</v>
      </c>
      <c r="D1004">
        <v>17703023</v>
      </c>
      <c r="E1004">
        <v>17703023</v>
      </c>
      <c r="F1004">
        <v>0.01</v>
      </c>
      <c r="G1004">
        <v>2447.7199999999998</v>
      </c>
      <c r="H1004">
        <v>0</v>
      </c>
      <c r="I1004" s="309">
        <v>177030.23</v>
      </c>
      <c r="J1004">
        <v>0.01</v>
      </c>
      <c r="K1004" s="133">
        <f t="shared" si="15"/>
        <v>0.40947372898564383</v>
      </c>
      <c r="L1004" s="181">
        <v>16.399999999999601</v>
      </c>
    </row>
    <row r="1005" spans="1:12" x14ac:dyDescent="0.25">
      <c r="A1005" s="136">
        <v>42993</v>
      </c>
      <c r="B1005" s="201" t="str">
        <f>"600269"</f>
        <v>600269</v>
      </c>
      <c r="C1005" t="str">
        <f>"赣粤高速"</f>
        <v>赣粤高速</v>
      </c>
      <c r="D1005">
        <v>800</v>
      </c>
      <c r="E1005">
        <v>800</v>
      </c>
      <c r="F1005">
        <v>5.3310000000000004</v>
      </c>
      <c r="G1005">
        <v>71.209999999999994</v>
      </c>
      <c r="H1005">
        <v>1.67</v>
      </c>
      <c r="I1005" s="309">
        <v>4336</v>
      </c>
      <c r="J1005">
        <v>5.42</v>
      </c>
      <c r="K1005" s="133">
        <f t="shared" si="15"/>
        <v>1.0029236751721734E-2</v>
      </c>
      <c r="L1005" s="181">
        <v>-48</v>
      </c>
    </row>
    <row r="1006" spans="1:12" x14ac:dyDescent="0.25">
      <c r="A1006" s="136">
        <v>42993</v>
      </c>
      <c r="B1006" s="201" t="str">
        <f>"601398"</f>
        <v>601398</v>
      </c>
      <c r="C1006" t="str">
        <f>"工商银行"</f>
        <v>工商银行</v>
      </c>
      <c r="D1006">
        <v>100</v>
      </c>
      <c r="E1006">
        <v>100</v>
      </c>
      <c r="F1006">
        <v>-53.579000000000001</v>
      </c>
      <c r="G1006">
        <v>5934.9</v>
      </c>
      <c r="H1006">
        <v>0</v>
      </c>
      <c r="I1006" s="309">
        <v>577</v>
      </c>
      <c r="J1006">
        <v>5.77</v>
      </c>
      <c r="K1006" s="133">
        <f t="shared" si="15"/>
        <v>1.3346101489260702E-3</v>
      </c>
      <c r="L1006" s="181">
        <v>-11</v>
      </c>
    </row>
    <row r="1007" spans="1:12" x14ac:dyDescent="0.25">
      <c r="A1007" s="136">
        <v>42993</v>
      </c>
      <c r="B1007" s="201" t="str">
        <f>"601998"</f>
        <v>601998</v>
      </c>
      <c r="C1007" t="str">
        <f>"中信银行"</f>
        <v>中信银行</v>
      </c>
      <c r="D1007">
        <v>4200</v>
      </c>
      <c r="E1007">
        <v>4200</v>
      </c>
      <c r="F1007">
        <v>6.1239999999999997</v>
      </c>
      <c r="G1007">
        <v>1115.83</v>
      </c>
      <c r="H1007">
        <v>4.34</v>
      </c>
      <c r="I1007" s="309">
        <v>26838</v>
      </c>
      <c r="J1007">
        <v>6.39</v>
      </c>
      <c r="K1007" s="133">
        <f t="shared" si="15"/>
        <v>6.2076719543982452E-2</v>
      </c>
      <c r="L1007" s="181">
        <v>-64.060000000000201</v>
      </c>
    </row>
    <row r="1008" spans="1:12" x14ac:dyDescent="0.25">
      <c r="A1008" s="136">
        <v>42993</v>
      </c>
      <c r="B1008" s="201" t="str">
        <f>"000402"</f>
        <v>000402</v>
      </c>
      <c r="C1008" t="str">
        <f>"金 融 街"</f>
        <v>金 融 街</v>
      </c>
      <c r="D1008">
        <v>3900</v>
      </c>
      <c r="E1008">
        <v>3900</v>
      </c>
      <c r="F1008">
        <v>8.4019999999999992</v>
      </c>
      <c r="G1008">
        <v>15317.71</v>
      </c>
      <c r="H1008">
        <v>46.75</v>
      </c>
      <c r="I1008" s="309">
        <v>48087</v>
      </c>
      <c r="J1008">
        <v>12.33</v>
      </c>
      <c r="K1008" s="133">
        <f t="shared" si="15"/>
        <v>0.1112259934686446</v>
      </c>
      <c r="L1008" s="181">
        <v>1129.3</v>
      </c>
    </row>
    <row r="1009" spans="1:12" x14ac:dyDescent="0.25">
      <c r="A1009" s="136">
        <v>42993</v>
      </c>
      <c r="B1009" s="201" t="str">
        <f>"000415"</f>
        <v>000415</v>
      </c>
      <c r="C1009" t="str">
        <f>"渤海金控"</f>
        <v>渤海金控</v>
      </c>
      <c r="D1009">
        <v>1100</v>
      </c>
      <c r="E1009">
        <v>1100</v>
      </c>
      <c r="F1009">
        <v>4.4279999999999999</v>
      </c>
      <c r="G1009">
        <v>2707.79</v>
      </c>
      <c r="H1009">
        <v>55.6</v>
      </c>
      <c r="I1009" s="309">
        <v>7579</v>
      </c>
      <c r="J1009">
        <v>6.89</v>
      </c>
      <c r="K1009" s="133">
        <f t="shared" si="15"/>
        <v>1.7530347172808814E-2</v>
      </c>
      <c r="L1009" s="181">
        <v>-28</v>
      </c>
    </row>
    <row r="1010" spans="1:12" x14ac:dyDescent="0.25">
      <c r="A1010" s="136">
        <v>42993</v>
      </c>
      <c r="B1010" s="201" t="str">
        <f>"000528"</f>
        <v>000528</v>
      </c>
      <c r="C1010" t="str">
        <f>"柳    工"</f>
        <v>柳    工</v>
      </c>
      <c r="D1010">
        <v>5850</v>
      </c>
      <c r="E1010">
        <v>5850</v>
      </c>
      <c r="F1010">
        <v>9.1549999999999994</v>
      </c>
      <c r="G1010">
        <v>-1260.06</v>
      </c>
      <c r="H1010">
        <v>-2.35</v>
      </c>
      <c r="I1010" s="309">
        <v>52299</v>
      </c>
      <c r="J1010">
        <v>8.94</v>
      </c>
      <c r="K1010" s="133">
        <f t="shared" si="15"/>
        <v>0.12096841625421932</v>
      </c>
      <c r="L1010" s="181">
        <v>-879.5</v>
      </c>
    </row>
    <row r="1011" spans="1:12" x14ac:dyDescent="0.25">
      <c r="A1011" s="136">
        <v>42993</v>
      </c>
      <c r="B1011" s="201" t="str">
        <f>"002006"</f>
        <v>002006</v>
      </c>
      <c r="C1011" t="str">
        <f>"精功科技"</f>
        <v>精功科技</v>
      </c>
      <c r="D1011">
        <v>2100</v>
      </c>
      <c r="E1011">
        <v>2100</v>
      </c>
      <c r="F1011">
        <v>8.4559999999999995</v>
      </c>
      <c r="G1011">
        <v>-1146.8800000000001</v>
      </c>
      <c r="H1011">
        <v>-6.46</v>
      </c>
      <c r="I1011" s="309">
        <v>16611</v>
      </c>
      <c r="J1011">
        <v>7.91</v>
      </c>
      <c r="K1011" s="133">
        <f t="shared" si="15"/>
        <v>3.8421506384421059E-2</v>
      </c>
      <c r="L1011" s="181">
        <v>0</v>
      </c>
    </row>
    <row r="1012" spans="1:12" x14ac:dyDescent="0.25">
      <c r="A1012" s="136">
        <v>42993</v>
      </c>
      <c r="B1012" s="201" t="str">
        <f>"002140"</f>
        <v>002140</v>
      </c>
      <c r="C1012" t="str">
        <f>"东华科技"</f>
        <v>东华科技</v>
      </c>
      <c r="D1012">
        <v>5700</v>
      </c>
      <c r="E1012">
        <v>5700</v>
      </c>
      <c r="F1012">
        <v>12.558999999999999</v>
      </c>
      <c r="G1012">
        <v>4680.8900000000003</v>
      </c>
      <c r="H1012">
        <v>6.54</v>
      </c>
      <c r="I1012" s="309">
        <v>76266</v>
      </c>
      <c r="J1012">
        <v>13.38</v>
      </c>
      <c r="K1012" s="133">
        <f t="shared" si="15"/>
        <v>0.17640446727555575</v>
      </c>
      <c r="L1012" s="181">
        <v>1370.55</v>
      </c>
    </row>
    <row r="1013" spans="1:12" x14ac:dyDescent="0.25">
      <c r="A1013" s="136">
        <v>42993</v>
      </c>
      <c r="B1013" s="201" t="str">
        <f>"300701"</f>
        <v>300701</v>
      </c>
      <c r="C1013" t="str">
        <f>"森霸股份"</f>
        <v>森霸股份</v>
      </c>
      <c r="D1013">
        <v>500</v>
      </c>
      <c r="E1013">
        <v>500</v>
      </c>
      <c r="F1013">
        <v>13.14</v>
      </c>
      <c r="G1013">
        <v>2890</v>
      </c>
      <c r="H1013">
        <v>43.99</v>
      </c>
      <c r="I1013" s="309">
        <v>9460</v>
      </c>
      <c r="J1013">
        <v>18.920000000000002</v>
      </c>
      <c r="K1013" s="133">
        <f t="shared" si="15"/>
        <v>2.1881129997990682E-2</v>
      </c>
      <c r="L1013" s="181">
        <v>2890</v>
      </c>
    </row>
    <row r="1014" spans="1:12" x14ac:dyDescent="0.25">
      <c r="A1014" s="136">
        <v>42993</v>
      </c>
      <c r="B1014" s="201" t="s">
        <v>835</v>
      </c>
      <c r="C1014" t="s">
        <v>839</v>
      </c>
      <c r="I1014" s="309">
        <v>13252.76</v>
      </c>
      <c r="K1014" s="133">
        <f t="shared" si="15"/>
        <v>3.065384401608573E-2</v>
      </c>
      <c r="L1014" s="181">
        <v>0</v>
      </c>
    </row>
    <row r="1015" spans="1:12" x14ac:dyDescent="0.25">
      <c r="A1015" s="136">
        <v>42996</v>
      </c>
      <c r="B1015" s="201" t="str">
        <f>"519888"</f>
        <v>519888</v>
      </c>
      <c r="C1015" t="str">
        <f>"添富快线"</f>
        <v>添富快线</v>
      </c>
      <c r="D1015">
        <v>17707444</v>
      </c>
      <c r="E1015">
        <v>17707444</v>
      </c>
      <c r="F1015">
        <v>0.01</v>
      </c>
      <c r="G1015">
        <v>2491.9299999999998</v>
      </c>
      <c r="H1015">
        <v>0</v>
      </c>
      <c r="I1015" s="309">
        <v>177074.44</v>
      </c>
      <c r="J1015">
        <v>0.01</v>
      </c>
      <c r="K1015" s="133">
        <f t="shared" si="15"/>
        <v>0.40588564585315012</v>
      </c>
      <c r="L1015" s="181">
        <v>44.21</v>
      </c>
    </row>
    <row r="1016" spans="1:12" x14ac:dyDescent="0.25">
      <c r="A1016" s="136">
        <v>42996</v>
      </c>
      <c r="B1016" s="201" t="str">
        <f>"600269"</f>
        <v>600269</v>
      </c>
      <c r="C1016" t="str">
        <f>"赣粤高速"</f>
        <v>赣粤高速</v>
      </c>
      <c r="D1016">
        <v>800</v>
      </c>
      <c r="E1016">
        <v>800</v>
      </c>
      <c r="F1016">
        <v>5.3310000000000004</v>
      </c>
      <c r="G1016">
        <v>71.209999999999994</v>
      </c>
      <c r="H1016">
        <v>1.67</v>
      </c>
      <c r="I1016" s="309">
        <v>4336</v>
      </c>
      <c r="J1016">
        <v>5.42</v>
      </c>
      <c r="K1016" s="133">
        <f t="shared" si="15"/>
        <v>9.9388718124380857E-3</v>
      </c>
      <c r="L1016" s="181">
        <v>0</v>
      </c>
    </row>
    <row r="1017" spans="1:12" x14ac:dyDescent="0.25">
      <c r="A1017" s="136">
        <v>42996</v>
      </c>
      <c r="B1017" s="201" t="str">
        <f>"601398"</f>
        <v>601398</v>
      </c>
      <c r="C1017" t="str">
        <f>"工商银行"</f>
        <v>工商银行</v>
      </c>
      <c r="D1017">
        <v>100</v>
      </c>
      <c r="E1017">
        <v>100</v>
      </c>
      <c r="F1017">
        <v>-53.579000000000001</v>
      </c>
      <c r="G1017">
        <v>5933.9</v>
      </c>
      <c r="H1017">
        <v>0</v>
      </c>
      <c r="I1017" s="309">
        <v>576</v>
      </c>
      <c r="J1017">
        <v>5.76</v>
      </c>
      <c r="K1017" s="133">
        <f t="shared" si="15"/>
        <v>1.3202929344936201E-3</v>
      </c>
      <c r="L1017" s="181">
        <v>-1</v>
      </c>
    </row>
    <row r="1018" spans="1:12" x14ac:dyDescent="0.25">
      <c r="A1018" s="136">
        <v>42996</v>
      </c>
      <c r="B1018" s="201" t="str">
        <f>"601998"</f>
        <v>601998</v>
      </c>
      <c r="C1018" t="str">
        <f>"中信银行"</f>
        <v>中信银行</v>
      </c>
      <c r="D1018">
        <v>4200</v>
      </c>
      <c r="E1018">
        <v>4200</v>
      </c>
      <c r="F1018">
        <v>6.1239999999999997</v>
      </c>
      <c r="G1018">
        <v>1157.83</v>
      </c>
      <c r="H1018">
        <v>4.51</v>
      </c>
      <c r="I1018" s="309">
        <v>26880</v>
      </c>
      <c r="J1018">
        <v>6.4</v>
      </c>
      <c r="K1018" s="133">
        <f t="shared" si="15"/>
        <v>6.1613670276368944E-2</v>
      </c>
      <c r="L1018" s="181">
        <v>42</v>
      </c>
    </row>
    <row r="1019" spans="1:12" x14ac:dyDescent="0.25">
      <c r="A1019" s="136">
        <v>42996</v>
      </c>
      <c r="B1019" s="201" t="str">
        <f>"000402"</f>
        <v>000402</v>
      </c>
      <c r="C1019" t="str">
        <f>"金 融 街"</f>
        <v>金 融 街</v>
      </c>
      <c r="D1019">
        <v>3100</v>
      </c>
      <c r="E1019">
        <v>3100</v>
      </c>
      <c r="F1019">
        <v>7.3529999999999998</v>
      </c>
      <c r="G1019">
        <v>15801.71</v>
      </c>
      <c r="H1019">
        <v>69.319999999999993</v>
      </c>
      <c r="I1019" s="309">
        <v>38595</v>
      </c>
      <c r="J1019">
        <v>12.45</v>
      </c>
      <c r="K1019" s="133">
        <f t="shared" si="15"/>
        <v>8.8466503136773039E-2</v>
      </c>
      <c r="L1019" s="181">
        <v>484</v>
      </c>
    </row>
    <row r="1020" spans="1:12" x14ac:dyDescent="0.25">
      <c r="A1020" s="136">
        <v>42996</v>
      </c>
      <c r="B1020" s="201" t="str">
        <f>"000415"</f>
        <v>000415</v>
      </c>
      <c r="C1020" t="str">
        <f>"渤海金控"</f>
        <v>渤海金控</v>
      </c>
      <c r="D1020">
        <v>1600</v>
      </c>
      <c r="E1020">
        <v>1600</v>
      </c>
      <c r="F1020">
        <v>5.1950000000000003</v>
      </c>
      <c r="G1020">
        <v>2712.79</v>
      </c>
      <c r="H1020">
        <v>32.630000000000003</v>
      </c>
      <c r="I1020" s="309">
        <v>11024</v>
      </c>
      <c r="J1020">
        <v>6.89</v>
      </c>
      <c r="K1020" s="133">
        <f t="shared" si="15"/>
        <v>2.5268939774058453E-2</v>
      </c>
      <c r="L1020" s="181">
        <v>5</v>
      </c>
    </row>
    <row r="1021" spans="1:12" x14ac:dyDescent="0.25">
      <c r="A1021" s="136">
        <v>42996</v>
      </c>
      <c r="B1021" s="201" t="str">
        <f>"000528"</f>
        <v>000528</v>
      </c>
      <c r="C1021" t="str">
        <f>"柳    工"</f>
        <v>柳    工</v>
      </c>
      <c r="D1021">
        <v>5450</v>
      </c>
      <c r="E1021">
        <v>5450</v>
      </c>
      <c r="F1021">
        <v>9.1660000000000004</v>
      </c>
      <c r="G1021">
        <v>-633.16999999999996</v>
      </c>
      <c r="H1021">
        <v>-1.26</v>
      </c>
      <c r="I1021" s="309">
        <v>49322.5</v>
      </c>
      <c r="J1021">
        <v>9.0500000000000007</v>
      </c>
      <c r="K1021" s="133">
        <f t="shared" si="15"/>
        <v>0.11305581295409997</v>
      </c>
      <c r="L1021" s="181">
        <v>626.89</v>
      </c>
    </row>
    <row r="1022" spans="1:12" x14ac:dyDescent="0.25">
      <c r="A1022" s="136">
        <v>42996</v>
      </c>
      <c r="B1022" s="201" t="str">
        <f>"002006"</f>
        <v>002006</v>
      </c>
      <c r="C1022" t="str">
        <f>"精功科技"</f>
        <v>精功科技</v>
      </c>
      <c r="D1022">
        <v>2100</v>
      </c>
      <c r="E1022">
        <v>2100</v>
      </c>
      <c r="F1022">
        <v>8.4559999999999995</v>
      </c>
      <c r="G1022">
        <v>-1146.8800000000001</v>
      </c>
      <c r="H1022">
        <v>-6.46</v>
      </c>
      <c r="I1022" s="309">
        <v>16611</v>
      </c>
      <c r="J1022">
        <v>7.91</v>
      </c>
      <c r="K1022" s="133">
        <f t="shared" si="15"/>
        <v>3.8075322803599869E-2</v>
      </c>
      <c r="L1022" s="181">
        <v>0</v>
      </c>
    </row>
    <row r="1023" spans="1:12" x14ac:dyDescent="0.25">
      <c r="A1023" s="136">
        <v>42996</v>
      </c>
      <c r="B1023" s="201" t="str">
        <f>"002140"</f>
        <v>002140</v>
      </c>
      <c r="C1023" t="str">
        <f>"东华科技"</f>
        <v>东华科技</v>
      </c>
      <c r="D1023">
        <v>5000</v>
      </c>
      <c r="E1023">
        <v>5000</v>
      </c>
      <c r="F1023">
        <v>12.396000000000001</v>
      </c>
      <c r="G1023">
        <v>6467.62</v>
      </c>
      <c r="H1023">
        <v>10.44</v>
      </c>
      <c r="I1023" s="309">
        <v>68450</v>
      </c>
      <c r="J1023">
        <v>13.69</v>
      </c>
      <c r="K1023" s="133">
        <f t="shared" si="15"/>
        <v>0.15689939473279219</v>
      </c>
      <c r="L1023" s="181">
        <v>1786.73</v>
      </c>
    </row>
    <row r="1024" spans="1:12" x14ac:dyDescent="0.25">
      <c r="A1024" s="136">
        <v>42996</v>
      </c>
      <c r="B1024" s="201" t="str">
        <f>"300701"</f>
        <v>300701</v>
      </c>
      <c r="C1024" t="str">
        <f>"森霸股份"</f>
        <v>森霸股份</v>
      </c>
      <c r="D1024">
        <v>500</v>
      </c>
      <c r="E1024">
        <v>500</v>
      </c>
      <c r="F1024">
        <v>13.14</v>
      </c>
      <c r="G1024">
        <v>3835</v>
      </c>
      <c r="H1024">
        <v>58.37</v>
      </c>
      <c r="I1024" s="309">
        <v>10405</v>
      </c>
      <c r="J1024">
        <v>20.81</v>
      </c>
      <c r="K1024" s="133">
        <f t="shared" si="15"/>
        <v>2.3850083304524511E-2</v>
      </c>
      <c r="L1024" s="181">
        <v>945</v>
      </c>
    </row>
    <row r="1025" spans="1:15" x14ac:dyDescent="0.25">
      <c r="A1025" s="136">
        <v>42996</v>
      </c>
      <c r="B1025" s="201" t="s">
        <v>835</v>
      </c>
      <c r="C1025" t="s">
        <v>839</v>
      </c>
      <c r="I1025" s="309">
        <v>32992.879999999997</v>
      </c>
      <c r="K1025" s="133">
        <v>7.5625462417701197E-2</v>
      </c>
      <c r="L1025" s="181">
        <v>0</v>
      </c>
    </row>
    <row r="1026" spans="1:15" x14ac:dyDescent="0.25">
      <c r="A1026" s="136">
        <v>42997</v>
      </c>
      <c r="B1026" s="201" t="s">
        <v>132</v>
      </c>
      <c r="C1026" t="s">
        <v>123</v>
      </c>
      <c r="D1026">
        <v>20001913</v>
      </c>
      <c r="E1026">
        <v>20001913</v>
      </c>
      <c r="F1026">
        <v>0.01</v>
      </c>
      <c r="G1026">
        <v>2510.62</v>
      </c>
      <c r="H1026">
        <v>0</v>
      </c>
      <c r="I1026" s="309">
        <v>200019.13</v>
      </c>
      <c r="J1026">
        <v>0.01</v>
      </c>
      <c r="K1026" s="133">
        <v>0.45761108905255299</v>
      </c>
      <c r="L1026" s="181">
        <v>18.690000000000101</v>
      </c>
    </row>
    <row r="1027" spans="1:15" x14ac:dyDescent="0.25">
      <c r="A1027" s="136">
        <v>42997</v>
      </c>
      <c r="B1027" s="201" t="s">
        <v>61</v>
      </c>
      <c r="C1027" t="s">
        <v>136</v>
      </c>
      <c r="D1027">
        <v>1300</v>
      </c>
      <c r="E1027">
        <v>1300</v>
      </c>
      <c r="F1027">
        <v>5.3689999999999998</v>
      </c>
      <c r="G1027">
        <v>40.159999999999997</v>
      </c>
      <c r="H1027">
        <v>0.57999999999999996</v>
      </c>
      <c r="I1027" s="309">
        <v>7020</v>
      </c>
      <c r="J1027">
        <v>5.4</v>
      </c>
      <c r="K1027" s="133">
        <v>1.60606130281085E-2</v>
      </c>
      <c r="L1027" s="181">
        <v>-31.05</v>
      </c>
      <c r="N1027" s="73">
        <v>64.307999999998202</v>
      </c>
      <c r="O1027" s="73">
        <v>11.8590121771214</v>
      </c>
    </row>
    <row r="1028" spans="1:15" x14ac:dyDescent="0.25">
      <c r="A1028" s="136">
        <v>42997</v>
      </c>
      <c r="B1028" s="201" t="s">
        <v>124</v>
      </c>
      <c r="C1028" t="s">
        <v>125</v>
      </c>
      <c r="D1028">
        <v>100</v>
      </c>
      <c r="E1028">
        <v>100</v>
      </c>
      <c r="F1028">
        <v>-53.579000000000001</v>
      </c>
      <c r="G1028">
        <v>5935.9</v>
      </c>
      <c r="H1028">
        <v>0</v>
      </c>
      <c r="I1028" s="309">
        <v>578</v>
      </c>
      <c r="J1028">
        <v>5.78</v>
      </c>
      <c r="K1028" s="133">
        <v>1.3223695627131999E-3</v>
      </c>
      <c r="L1028" s="181">
        <v>2</v>
      </c>
      <c r="N1028" s="73">
        <v>5995.0890000000099</v>
      </c>
      <c r="O1028" s="73">
        <v>1102.4501845505599</v>
      </c>
    </row>
    <row r="1029" spans="1:15" x14ac:dyDescent="0.25">
      <c r="A1029" s="136">
        <v>42997</v>
      </c>
      <c r="B1029" s="201" t="s">
        <v>71</v>
      </c>
      <c r="C1029" t="s">
        <v>126</v>
      </c>
      <c r="D1029">
        <v>4200</v>
      </c>
      <c r="E1029">
        <v>4200</v>
      </c>
      <c r="F1029">
        <v>6.1239999999999997</v>
      </c>
      <c r="G1029">
        <v>1199.83</v>
      </c>
      <c r="H1029">
        <v>4.67</v>
      </c>
      <c r="I1029" s="309">
        <v>26922</v>
      </c>
      <c r="J1029">
        <v>6.41</v>
      </c>
      <c r="K1029" s="133">
        <v>6.1593137313780098E-2</v>
      </c>
      <c r="L1029" s="181">
        <v>42</v>
      </c>
      <c r="N1029" s="73">
        <v>1232.5070000000101</v>
      </c>
      <c r="O1029" s="73">
        <v>154.92360007861799</v>
      </c>
    </row>
    <row r="1030" spans="1:15" x14ac:dyDescent="0.25">
      <c r="A1030" s="136">
        <v>42997</v>
      </c>
      <c r="B1030" s="201" t="s">
        <v>65</v>
      </c>
      <c r="C1030" t="s">
        <v>127</v>
      </c>
      <c r="D1030">
        <v>2000</v>
      </c>
      <c r="E1030">
        <v>2000</v>
      </c>
      <c r="F1030">
        <v>4.2729999999999997</v>
      </c>
      <c r="G1030">
        <v>17413.900000000001</v>
      </c>
      <c r="H1030">
        <v>203.77</v>
      </c>
      <c r="I1030" s="309">
        <v>25960</v>
      </c>
      <c r="J1030">
        <v>12.98</v>
      </c>
      <c r="K1030" s="133">
        <v>5.9392238491409698E-2</v>
      </c>
      <c r="L1030" s="181">
        <v>1612.19</v>
      </c>
      <c r="N1030" s="73">
        <v>13732.223</v>
      </c>
      <c r="O1030" s="73">
        <v>1343.43972461626</v>
      </c>
    </row>
    <row r="1031" spans="1:15" x14ac:dyDescent="0.25">
      <c r="A1031" s="136">
        <v>42997</v>
      </c>
      <c r="B1031" s="201" t="s">
        <v>77</v>
      </c>
      <c r="C1031" t="s">
        <v>128</v>
      </c>
      <c r="D1031">
        <v>2100</v>
      </c>
      <c r="E1031">
        <v>2100</v>
      </c>
      <c r="F1031">
        <v>5.5860000000000003</v>
      </c>
      <c r="G1031">
        <v>2527.79</v>
      </c>
      <c r="H1031">
        <v>21.55</v>
      </c>
      <c r="I1031" s="309">
        <v>14259</v>
      </c>
      <c r="J1031">
        <v>6.79</v>
      </c>
      <c r="K1031" s="133">
        <v>3.2622262274615198E-2</v>
      </c>
      <c r="L1031" s="181">
        <v>-185</v>
      </c>
      <c r="N1031" s="73">
        <v>2106.8420000000001</v>
      </c>
      <c r="O1031" s="73">
        <v>381.48441859443602</v>
      </c>
    </row>
    <row r="1032" spans="1:15" x14ac:dyDescent="0.25">
      <c r="A1032" s="136">
        <v>42997</v>
      </c>
      <c r="B1032" s="201" t="s">
        <v>67</v>
      </c>
      <c r="C1032" t="s">
        <v>129</v>
      </c>
      <c r="D1032">
        <v>5950</v>
      </c>
      <c r="E1032">
        <v>5950</v>
      </c>
      <c r="F1032">
        <v>9.15</v>
      </c>
      <c r="G1032">
        <v>-1247.67</v>
      </c>
      <c r="H1032">
        <v>-2.29</v>
      </c>
      <c r="I1032" s="309">
        <v>53193</v>
      </c>
      <c r="J1032">
        <v>8.94</v>
      </c>
      <c r="K1032" s="133">
        <v>0.121696892992048</v>
      </c>
      <c r="L1032" s="181">
        <v>-614.5</v>
      </c>
      <c r="N1032" s="73">
        <v>31644.442999999901</v>
      </c>
      <c r="O1032" s="73">
        <v>-126.160437332615</v>
      </c>
    </row>
    <row r="1033" spans="1:15" x14ac:dyDescent="0.25">
      <c r="A1033" s="136">
        <v>42997</v>
      </c>
      <c r="B1033" s="201" t="s">
        <v>72</v>
      </c>
      <c r="C1033" t="s">
        <v>130</v>
      </c>
      <c r="D1033">
        <v>2100</v>
      </c>
      <c r="E1033">
        <v>2100</v>
      </c>
      <c r="F1033">
        <v>8.4559999999999995</v>
      </c>
      <c r="G1033">
        <v>-1146.8800000000001</v>
      </c>
      <c r="H1033">
        <v>-6.46</v>
      </c>
      <c r="I1033" s="309">
        <v>16611</v>
      </c>
      <c r="J1033">
        <v>7.91</v>
      </c>
      <c r="K1033" s="133">
        <v>3.8003253990015702E-2</v>
      </c>
      <c r="L1033" s="181">
        <v>0</v>
      </c>
      <c r="N1033" s="73">
        <v>-1347.5799999999899</v>
      </c>
    </row>
    <row r="1034" spans="1:15" x14ac:dyDescent="0.25">
      <c r="A1034" s="136">
        <v>42997</v>
      </c>
      <c r="B1034" s="201" t="s">
        <v>70</v>
      </c>
      <c r="C1034" t="s">
        <v>131</v>
      </c>
      <c r="D1034">
        <v>5500</v>
      </c>
      <c r="E1034">
        <v>5500</v>
      </c>
      <c r="F1034">
        <v>12.496</v>
      </c>
      <c r="G1034">
        <v>5412.62</v>
      </c>
      <c r="H1034">
        <v>7.88</v>
      </c>
      <c r="I1034" s="309">
        <v>74140</v>
      </c>
      <c r="J1034">
        <v>13.48</v>
      </c>
      <c r="K1034" s="133">
        <v>0.16962020653902601</v>
      </c>
      <c r="L1034" s="181">
        <v>-1055</v>
      </c>
      <c r="N1034" s="73">
        <v>5408.6379999999799</v>
      </c>
      <c r="O1034" s="73">
        <v>401.03365586053201</v>
      </c>
    </row>
    <row r="1035" spans="1:15" x14ac:dyDescent="0.25">
      <c r="A1035" s="136">
        <v>42997</v>
      </c>
      <c r="B1035" s="201" t="s">
        <v>137</v>
      </c>
      <c r="C1035" t="s">
        <v>138</v>
      </c>
      <c r="D1035">
        <v>500</v>
      </c>
      <c r="E1035">
        <v>500</v>
      </c>
      <c r="F1035">
        <v>13.14</v>
      </c>
      <c r="G1035">
        <v>4875</v>
      </c>
      <c r="H1035">
        <v>74.2</v>
      </c>
      <c r="I1035" s="309">
        <v>11445</v>
      </c>
      <c r="J1035">
        <v>22.89</v>
      </c>
      <c r="K1035" s="133">
        <v>2.61842900436897E-2</v>
      </c>
      <c r="L1035" s="181">
        <v>1040</v>
      </c>
    </row>
    <row r="1036" spans="1:15" x14ac:dyDescent="0.25">
      <c r="A1036" s="136">
        <v>42997</v>
      </c>
      <c r="B1036" s="201" t="s">
        <v>835</v>
      </c>
      <c r="C1036" t="s">
        <v>839</v>
      </c>
      <c r="I1036" s="309">
        <v>6947.02</v>
      </c>
      <c r="K1036" s="133">
        <v>1.5893646712041298E-2</v>
      </c>
      <c r="L1036" s="181">
        <v>0</v>
      </c>
    </row>
    <row r="1037" spans="1:15" x14ac:dyDescent="0.25">
      <c r="A1037" s="136">
        <v>42998</v>
      </c>
      <c r="B1037" s="201" t="s">
        <v>132</v>
      </c>
      <c r="C1037" t="s">
        <v>123</v>
      </c>
      <c r="D1037">
        <v>20002197</v>
      </c>
      <c r="E1037">
        <v>20002197</v>
      </c>
      <c r="F1037">
        <v>0.01</v>
      </c>
      <c r="G1037">
        <v>2532.46</v>
      </c>
      <c r="H1037">
        <v>0</v>
      </c>
      <c r="I1037" s="309">
        <v>200021.97</v>
      </c>
      <c r="J1037">
        <v>0.01</v>
      </c>
      <c r="K1037" s="133">
        <v>0.45517635691373398</v>
      </c>
      <c r="L1037" s="181">
        <v>21.840000000000099</v>
      </c>
    </row>
    <row r="1038" spans="1:15" x14ac:dyDescent="0.25">
      <c r="A1038" s="136">
        <v>42998</v>
      </c>
      <c r="B1038" s="201" t="s">
        <v>61</v>
      </c>
      <c r="C1038" t="s">
        <v>136</v>
      </c>
      <c r="D1038">
        <v>1800</v>
      </c>
      <c r="E1038">
        <v>1800</v>
      </c>
      <c r="F1038">
        <v>5.375</v>
      </c>
      <c r="G1038">
        <v>63.11</v>
      </c>
      <c r="H1038">
        <v>0.65</v>
      </c>
      <c r="I1038" s="309">
        <v>9738</v>
      </c>
      <c r="J1038">
        <v>5.41</v>
      </c>
      <c r="K1038" s="133">
        <v>2.2160102530866699E-2</v>
      </c>
      <c r="L1038" s="181">
        <v>22.95</v>
      </c>
      <c r="N1038" s="73">
        <v>7.0079999999979901</v>
      </c>
      <c r="O1038" s="73">
        <v>1.3019509293676601</v>
      </c>
    </row>
    <row r="1039" spans="1:15" x14ac:dyDescent="0.25">
      <c r="A1039" s="136">
        <v>42998</v>
      </c>
      <c r="B1039" s="201" t="s">
        <v>124</v>
      </c>
      <c r="C1039" t="s">
        <v>125</v>
      </c>
      <c r="D1039">
        <v>100</v>
      </c>
      <c r="E1039">
        <v>100</v>
      </c>
      <c r="F1039">
        <v>-53.579000000000001</v>
      </c>
      <c r="G1039">
        <v>5936.9</v>
      </c>
      <c r="H1039">
        <v>0</v>
      </c>
      <c r="I1039" s="309">
        <v>579</v>
      </c>
      <c r="J1039">
        <v>5.79</v>
      </c>
      <c r="K1039" s="133">
        <v>1.3175908159141301E-3</v>
      </c>
      <c r="L1039" s="181">
        <v>1</v>
      </c>
      <c r="N1039" s="73">
        <v>5995.0890000000099</v>
      </c>
      <c r="O1039" s="73">
        <v>1102.4501845505599</v>
      </c>
    </row>
    <row r="1040" spans="1:15" x14ac:dyDescent="0.25">
      <c r="A1040" s="136">
        <v>42998</v>
      </c>
      <c r="B1040" s="201" t="s">
        <v>71</v>
      </c>
      <c r="C1040" t="s">
        <v>126</v>
      </c>
      <c r="D1040">
        <v>4200</v>
      </c>
      <c r="E1040">
        <v>4200</v>
      </c>
      <c r="F1040">
        <v>6.1239999999999997</v>
      </c>
      <c r="G1040">
        <v>1157.83</v>
      </c>
      <c r="H1040">
        <v>4.51</v>
      </c>
      <c r="I1040" s="309">
        <v>26880</v>
      </c>
      <c r="J1040">
        <v>6.4</v>
      </c>
      <c r="K1040" s="133">
        <v>6.1168982956428003E-2</v>
      </c>
      <c r="L1040" s="181">
        <v>-42</v>
      </c>
      <c r="N1040" s="73">
        <v>1232.5070000000101</v>
      </c>
      <c r="O1040" s="73">
        <v>154.92360007861799</v>
      </c>
    </row>
    <row r="1041" spans="1:15" x14ac:dyDescent="0.25">
      <c r="A1041" s="136">
        <v>42998</v>
      </c>
      <c r="B1041" s="201" t="s">
        <v>65</v>
      </c>
      <c r="C1041" t="s">
        <v>127</v>
      </c>
      <c r="D1041">
        <v>1700</v>
      </c>
      <c r="E1041">
        <v>1700</v>
      </c>
      <c r="F1041">
        <v>2.649</v>
      </c>
      <c r="G1041">
        <v>17835.39</v>
      </c>
      <c r="H1041">
        <v>396.04</v>
      </c>
      <c r="I1041" s="309">
        <v>22338</v>
      </c>
      <c r="J1041">
        <v>13.14</v>
      </c>
      <c r="K1041" s="133">
        <v>5.08330632916923E-2</v>
      </c>
      <c r="L1041" s="181">
        <v>421.48999999999802</v>
      </c>
      <c r="N1041" s="73">
        <v>14138.718999999999</v>
      </c>
      <c r="O1041" s="73">
        <v>1357.9463505496501</v>
      </c>
    </row>
    <row r="1042" spans="1:15" x14ac:dyDescent="0.25">
      <c r="A1042" s="136">
        <v>42998</v>
      </c>
      <c r="B1042" s="201" t="s">
        <v>77</v>
      </c>
      <c r="C1042" t="s">
        <v>128</v>
      </c>
      <c r="D1042">
        <v>2100</v>
      </c>
      <c r="E1042">
        <v>2100</v>
      </c>
      <c r="F1042">
        <v>5.5860000000000003</v>
      </c>
      <c r="G1042">
        <v>2590.79</v>
      </c>
      <c r="H1042">
        <v>22.09</v>
      </c>
      <c r="I1042" s="309">
        <v>14322</v>
      </c>
      <c r="J1042">
        <v>6.82</v>
      </c>
      <c r="K1042" s="133">
        <v>3.2591598731471799E-2</v>
      </c>
      <c r="L1042" s="181">
        <v>63</v>
      </c>
      <c r="N1042" s="73">
        <v>2106.8420000000001</v>
      </c>
      <c r="O1042" s="73">
        <v>381.48441859443602</v>
      </c>
    </row>
    <row r="1043" spans="1:15" x14ac:dyDescent="0.25">
      <c r="A1043" s="136">
        <v>42998</v>
      </c>
      <c r="B1043" s="201" t="s">
        <v>67</v>
      </c>
      <c r="C1043" t="s">
        <v>129</v>
      </c>
      <c r="D1043">
        <v>5950</v>
      </c>
      <c r="E1043">
        <v>5950</v>
      </c>
      <c r="F1043">
        <v>9.15</v>
      </c>
      <c r="G1043">
        <v>-712.17</v>
      </c>
      <c r="H1043">
        <v>-1.31</v>
      </c>
      <c r="I1043" s="309">
        <v>53728.5</v>
      </c>
      <c r="J1043">
        <v>9.0299999999999994</v>
      </c>
      <c r="K1043" s="133">
        <v>0.122266283510954</v>
      </c>
      <c r="L1043" s="181">
        <v>535.5</v>
      </c>
      <c r="N1043" s="73">
        <v>31644.442999999901</v>
      </c>
      <c r="O1043" s="73">
        <v>-126.160437332615</v>
      </c>
    </row>
    <row r="1044" spans="1:15" x14ac:dyDescent="0.25">
      <c r="A1044" s="136">
        <v>42998</v>
      </c>
      <c r="B1044" s="201" t="s">
        <v>72</v>
      </c>
      <c r="C1044" t="s">
        <v>130</v>
      </c>
      <c r="D1044">
        <v>2100</v>
      </c>
      <c r="E1044">
        <v>2100</v>
      </c>
      <c r="F1044">
        <v>8.4559999999999995</v>
      </c>
      <c r="G1044">
        <v>-1146.8800000000001</v>
      </c>
      <c r="H1044">
        <v>-6.46</v>
      </c>
      <c r="I1044" s="309">
        <v>16611</v>
      </c>
      <c r="J1044">
        <v>7.91</v>
      </c>
      <c r="K1044" s="133">
        <v>3.7800519936355102E-2</v>
      </c>
      <c r="L1044" s="181">
        <v>0</v>
      </c>
      <c r="N1044" s="73">
        <v>-1347.5799999999899</v>
      </c>
    </row>
    <row r="1045" spans="1:15" x14ac:dyDescent="0.25">
      <c r="A1045" s="136">
        <v>42998</v>
      </c>
      <c r="B1045" s="201" t="s">
        <v>70</v>
      </c>
      <c r="C1045" t="s">
        <v>131</v>
      </c>
      <c r="D1045">
        <v>5500</v>
      </c>
      <c r="E1045">
        <v>5500</v>
      </c>
      <c r="F1045">
        <v>12.496</v>
      </c>
      <c r="G1045">
        <v>5577.62</v>
      </c>
      <c r="H1045">
        <v>8.1199999999999992</v>
      </c>
      <c r="I1045" s="309">
        <v>74305</v>
      </c>
      <c r="J1045">
        <v>13.51</v>
      </c>
      <c r="K1045" s="133">
        <v>0.16909082137564699</v>
      </c>
      <c r="L1045" s="181">
        <v>165</v>
      </c>
      <c r="N1045" s="73">
        <v>5408.6379999999799</v>
      </c>
      <c r="O1045" s="73">
        <v>401.03365586053201</v>
      </c>
    </row>
    <row r="1046" spans="1:15" x14ac:dyDescent="0.25">
      <c r="A1046" s="136">
        <v>42998</v>
      </c>
      <c r="B1046" s="201" t="s">
        <v>137</v>
      </c>
      <c r="C1046" t="s">
        <v>138</v>
      </c>
      <c r="D1046">
        <v>500</v>
      </c>
      <c r="E1046">
        <v>500</v>
      </c>
      <c r="F1046">
        <v>13.14</v>
      </c>
      <c r="G1046">
        <v>6020</v>
      </c>
      <c r="H1046">
        <v>91.63</v>
      </c>
      <c r="I1046" s="309">
        <v>12590</v>
      </c>
      <c r="J1046">
        <v>25.18</v>
      </c>
      <c r="K1046" s="133">
        <v>2.86502044427615E-2</v>
      </c>
      <c r="L1046" s="181">
        <v>1145</v>
      </c>
    </row>
    <row r="1047" spans="1:15" x14ac:dyDescent="0.25">
      <c r="A1047" s="136">
        <v>42998</v>
      </c>
      <c r="B1047" s="201" t="s">
        <v>835</v>
      </c>
      <c r="C1047" t="s">
        <v>839</v>
      </c>
      <c r="I1047" s="309">
        <v>8324.93</v>
      </c>
      <c r="K1047" s="133">
        <v>1.8944475494176199E-2</v>
      </c>
      <c r="L1047" s="181">
        <v>0</v>
      </c>
    </row>
    <row r="1048" spans="1:15" x14ac:dyDescent="0.25">
      <c r="A1048" s="136">
        <v>42999</v>
      </c>
      <c r="B1048" s="201" t="s">
        <v>132</v>
      </c>
      <c r="C1048" t="s">
        <v>123</v>
      </c>
      <c r="D1048">
        <v>9328359</v>
      </c>
      <c r="E1048">
        <v>9328359</v>
      </c>
      <c r="F1048">
        <v>0.01</v>
      </c>
      <c r="G1048">
        <v>2553.08</v>
      </c>
      <c r="H1048">
        <v>0</v>
      </c>
      <c r="I1048" s="309">
        <v>93283.59</v>
      </c>
      <c r="J1048">
        <v>0.01</v>
      </c>
      <c r="K1048" s="133">
        <v>0.21332519978457901</v>
      </c>
      <c r="L1048" s="181">
        <v>20.619999999999902</v>
      </c>
    </row>
    <row r="1049" spans="1:15" x14ac:dyDescent="0.25">
      <c r="A1049" s="136">
        <v>42999</v>
      </c>
      <c r="B1049" s="201" t="s">
        <v>61</v>
      </c>
      <c r="C1049" t="s">
        <v>136</v>
      </c>
      <c r="D1049">
        <v>1800</v>
      </c>
      <c r="E1049">
        <v>1800</v>
      </c>
      <c r="F1049">
        <v>5.375</v>
      </c>
      <c r="G1049">
        <v>-8.89</v>
      </c>
      <c r="H1049">
        <v>-0.09</v>
      </c>
      <c r="I1049" s="309">
        <v>9666</v>
      </c>
      <c r="J1049">
        <v>5.37</v>
      </c>
      <c r="K1049" s="133">
        <v>2.21046529311076E-2</v>
      </c>
      <c r="L1049" s="181">
        <v>-72</v>
      </c>
      <c r="N1049" s="73">
        <v>7.0079999999979901</v>
      </c>
      <c r="O1049" s="73">
        <v>1.3019509293676601</v>
      </c>
    </row>
    <row r="1050" spans="1:15" x14ac:dyDescent="0.25">
      <c r="A1050" s="136">
        <v>42999</v>
      </c>
      <c r="B1050" s="201" t="s">
        <v>124</v>
      </c>
      <c r="C1050" t="s">
        <v>125</v>
      </c>
      <c r="D1050">
        <v>100</v>
      </c>
      <c r="E1050">
        <v>100</v>
      </c>
      <c r="F1050">
        <v>-53.579000000000001</v>
      </c>
      <c r="G1050">
        <v>5952.9</v>
      </c>
      <c r="H1050">
        <v>0</v>
      </c>
      <c r="I1050" s="309">
        <v>595</v>
      </c>
      <c r="J1050">
        <v>5.95</v>
      </c>
      <c r="K1050" s="133">
        <v>1.3606733389208601E-3</v>
      </c>
      <c r="L1050" s="181">
        <v>16</v>
      </c>
      <c r="N1050" s="73">
        <v>5995.0890000000099</v>
      </c>
      <c r="O1050" s="73">
        <v>1102.4501845505599</v>
      </c>
    </row>
    <row r="1051" spans="1:15" x14ac:dyDescent="0.25">
      <c r="A1051" s="136">
        <v>42999</v>
      </c>
      <c r="B1051" s="201" t="s">
        <v>71</v>
      </c>
      <c r="C1051" t="s">
        <v>126</v>
      </c>
      <c r="D1051">
        <v>4200</v>
      </c>
      <c r="E1051">
        <v>4200</v>
      </c>
      <c r="F1051">
        <v>6.1239999999999997</v>
      </c>
      <c r="G1051">
        <v>1199.83</v>
      </c>
      <c r="H1051">
        <v>4.67</v>
      </c>
      <c r="I1051" s="309">
        <v>26922</v>
      </c>
      <c r="J1051">
        <v>6.41</v>
      </c>
      <c r="K1051" s="133">
        <v>6.1566466605760303E-2</v>
      </c>
      <c r="L1051" s="181">
        <v>42</v>
      </c>
      <c r="N1051" s="73">
        <v>1232.5070000000101</v>
      </c>
      <c r="O1051" s="73">
        <v>154.92360007861799</v>
      </c>
    </row>
    <row r="1052" spans="1:15" x14ac:dyDescent="0.25">
      <c r="A1052" s="136">
        <v>42999</v>
      </c>
      <c r="B1052" s="201" t="s">
        <v>65</v>
      </c>
      <c r="C1052" t="s">
        <v>127</v>
      </c>
      <c r="D1052">
        <v>2600</v>
      </c>
      <c r="E1052">
        <v>2600</v>
      </c>
      <c r="F1052">
        <v>6.17</v>
      </c>
      <c r="G1052">
        <v>17030.39</v>
      </c>
      <c r="H1052">
        <v>106.16</v>
      </c>
      <c r="I1052" s="309">
        <v>33072</v>
      </c>
      <c r="J1052">
        <v>12.72</v>
      </c>
      <c r="K1052" s="133">
        <v>7.5630569184522198E-2</v>
      </c>
      <c r="L1052" s="181">
        <v>-805</v>
      </c>
      <c r="N1052" s="73">
        <v>13270.718999999999</v>
      </c>
      <c r="O1052" s="73">
        <v>1338.86460045168</v>
      </c>
    </row>
    <row r="1053" spans="1:15" x14ac:dyDescent="0.25">
      <c r="A1053" s="136">
        <v>42999</v>
      </c>
      <c r="B1053" s="201" t="s">
        <v>77</v>
      </c>
      <c r="C1053" t="s">
        <v>128</v>
      </c>
      <c r="D1053">
        <v>2100</v>
      </c>
      <c r="E1053">
        <v>2100</v>
      </c>
      <c r="F1053">
        <v>5.5860000000000003</v>
      </c>
      <c r="G1053">
        <v>2485.79</v>
      </c>
      <c r="H1053">
        <v>21.2</v>
      </c>
      <c r="I1053" s="309">
        <v>14217</v>
      </c>
      <c r="J1053">
        <v>6.77</v>
      </c>
      <c r="K1053" s="133">
        <v>3.2512088839391398E-2</v>
      </c>
      <c r="L1053" s="181">
        <v>-105</v>
      </c>
      <c r="N1053" s="73">
        <v>2106.8420000000001</v>
      </c>
      <c r="O1053" s="73">
        <v>381.48441859443602</v>
      </c>
    </row>
    <row r="1054" spans="1:15" x14ac:dyDescent="0.25">
      <c r="A1054" s="136">
        <v>42999</v>
      </c>
      <c r="B1054" s="201" t="s">
        <v>67</v>
      </c>
      <c r="C1054" t="s">
        <v>129</v>
      </c>
      <c r="D1054">
        <v>5550</v>
      </c>
      <c r="E1054">
        <v>5550</v>
      </c>
      <c r="F1054">
        <v>9.1509999999999998</v>
      </c>
      <c r="G1054">
        <v>-783.83</v>
      </c>
      <c r="H1054">
        <v>-1.54</v>
      </c>
      <c r="I1054" s="309">
        <v>50005.5</v>
      </c>
      <c r="J1054">
        <v>9.01</v>
      </c>
      <c r="K1054" s="133">
        <v>0.11435487504102</v>
      </c>
      <c r="L1054" s="181">
        <v>-71.660000000000096</v>
      </c>
      <c r="N1054" s="73">
        <v>32766.282999999901</v>
      </c>
      <c r="O1054" s="73">
        <v>-0.99655065576388802</v>
      </c>
    </row>
    <row r="1055" spans="1:15" x14ac:dyDescent="0.25">
      <c r="A1055" s="136">
        <v>42999</v>
      </c>
      <c r="B1055" s="201" t="s">
        <v>72</v>
      </c>
      <c r="C1055" t="s">
        <v>130</v>
      </c>
      <c r="D1055">
        <v>2100</v>
      </c>
      <c r="E1055">
        <v>2100</v>
      </c>
      <c r="F1055">
        <v>8.4559999999999995</v>
      </c>
      <c r="G1055">
        <v>-1146.8800000000001</v>
      </c>
      <c r="H1055">
        <v>-6.46</v>
      </c>
      <c r="I1055" s="309">
        <v>16611</v>
      </c>
      <c r="J1055">
        <v>7.91</v>
      </c>
      <c r="K1055" s="133">
        <v>3.7986798038343497E-2</v>
      </c>
      <c r="L1055" s="181">
        <v>0</v>
      </c>
      <c r="N1055" s="73">
        <v>-1347.5799999999899</v>
      </c>
      <c r="O1055" s="73">
        <v>-142.08422537878499</v>
      </c>
    </row>
    <row r="1056" spans="1:15" x14ac:dyDescent="0.25">
      <c r="A1056" s="136">
        <v>42999</v>
      </c>
      <c r="B1056" s="201" t="s">
        <v>70</v>
      </c>
      <c r="C1056" t="s">
        <v>131</v>
      </c>
      <c r="D1056">
        <v>6000</v>
      </c>
      <c r="E1056">
        <v>6000</v>
      </c>
      <c r="F1056">
        <v>12.57</v>
      </c>
      <c r="G1056">
        <v>3597.62</v>
      </c>
      <c r="H1056">
        <v>4.7699999999999996</v>
      </c>
      <c r="I1056" s="309">
        <v>79020</v>
      </c>
      <c r="J1056">
        <v>13.17</v>
      </c>
      <c r="K1056" s="133">
        <v>0.18070656679248101</v>
      </c>
      <c r="L1056" s="181">
        <v>-1980</v>
      </c>
      <c r="N1056" s="73">
        <v>4853.6379999999799</v>
      </c>
      <c r="O1056" s="73">
        <v>362.57183714499098</v>
      </c>
    </row>
    <row r="1057" spans="1:15" x14ac:dyDescent="0.25">
      <c r="A1057" s="136">
        <v>42999</v>
      </c>
      <c r="B1057" s="201" t="s">
        <v>137</v>
      </c>
      <c r="C1057" t="s">
        <v>138</v>
      </c>
      <c r="D1057">
        <v>500</v>
      </c>
      <c r="E1057">
        <v>500</v>
      </c>
      <c r="F1057">
        <v>13.14</v>
      </c>
      <c r="G1057">
        <v>7280</v>
      </c>
      <c r="H1057">
        <v>110.81</v>
      </c>
      <c r="I1057" s="309">
        <v>13850</v>
      </c>
      <c r="J1057">
        <v>27.7</v>
      </c>
      <c r="K1057" s="133">
        <v>3.1672816376561198E-2</v>
      </c>
      <c r="L1057" s="181">
        <v>1260</v>
      </c>
    </row>
    <row r="1058" spans="1:15" x14ac:dyDescent="0.25">
      <c r="A1058" s="136">
        <v>42999</v>
      </c>
      <c r="B1058" s="201" t="s">
        <v>835</v>
      </c>
      <c r="C1058" t="s">
        <v>839</v>
      </c>
      <c r="I1058" s="309">
        <v>100041.41</v>
      </c>
      <c r="K1058" s="133">
        <v>0.22877929306731201</v>
      </c>
      <c r="L1058" s="181">
        <v>0</v>
      </c>
    </row>
    <row r="1059" spans="1:15" x14ac:dyDescent="0.25">
      <c r="A1059" s="136">
        <v>43000</v>
      </c>
      <c r="B1059" s="201" t="s">
        <v>132</v>
      </c>
      <c r="C1059" t="s">
        <v>123</v>
      </c>
      <c r="D1059">
        <v>9329308</v>
      </c>
      <c r="E1059">
        <v>9329308</v>
      </c>
      <c r="F1059">
        <v>0.01</v>
      </c>
      <c r="G1059">
        <v>2562.5700000000002</v>
      </c>
      <c r="H1059">
        <v>0</v>
      </c>
      <c r="I1059" s="309">
        <v>93293.08</v>
      </c>
      <c r="J1059">
        <v>0.01</v>
      </c>
      <c r="K1059" s="133">
        <v>0.21293428178056201</v>
      </c>
      <c r="L1059" s="181">
        <v>9.49000000000024</v>
      </c>
    </row>
    <row r="1060" spans="1:15" x14ac:dyDescent="0.25">
      <c r="A1060" s="136">
        <v>43000</v>
      </c>
      <c r="B1060" s="201" t="s">
        <v>61</v>
      </c>
      <c r="C1060" t="s">
        <v>136</v>
      </c>
      <c r="D1060">
        <v>2300</v>
      </c>
      <c r="E1060">
        <v>2300</v>
      </c>
      <c r="F1060">
        <v>5.37</v>
      </c>
      <c r="G1060">
        <v>-67.94</v>
      </c>
      <c r="H1060">
        <v>-0.56000000000000005</v>
      </c>
      <c r="I1060" s="309">
        <v>12282</v>
      </c>
      <c r="J1060">
        <v>5.34</v>
      </c>
      <c r="K1060" s="133">
        <v>2.80327206351089E-2</v>
      </c>
      <c r="L1060" s="181">
        <v>-59.05</v>
      </c>
      <c r="N1060" s="73">
        <v>-70.292000000001295</v>
      </c>
      <c r="O1060" s="73">
        <v>-13.15671423221</v>
      </c>
    </row>
    <row r="1061" spans="1:15" x14ac:dyDescent="0.25">
      <c r="A1061" s="136">
        <v>43000</v>
      </c>
      <c r="B1061" s="201" t="s">
        <v>124</v>
      </c>
      <c r="C1061" t="s">
        <v>125</v>
      </c>
      <c r="D1061">
        <v>100</v>
      </c>
      <c r="E1061">
        <v>100</v>
      </c>
      <c r="F1061">
        <v>-53.579000000000001</v>
      </c>
      <c r="G1061">
        <v>5955.9</v>
      </c>
      <c r="H1061">
        <v>0</v>
      </c>
      <c r="I1061" s="309">
        <v>598</v>
      </c>
      <c r="J1061">
        <v>5.98</v>
      </c>
      <c r="K1061" s="133">
        <v>1.36488901968695E-3</v>
      </c>
      <c r="L1061" s="181">
        <v>3</v>
      </c>
      <c r="N1061" s="73">
        <v>5995.0890000000099</v>
      </c>
      <c r="O1061" s="73">
        <v>1102.4501845505599</v>
      </c>
    </row>
    <row r="1062" spans="1:15" x14ac:dyDescent="0.25">
      <c r="A1062" s="136">
        <v>43000</v>
      </c>
      <c r="B1062" s="201" t="s">
        <v>71</v>
      </c>
      <c r="C1062" t="s">
        <v>126</v>
      </c>
      <c r="D1062">
        <v>4200</v>
      </c>
      <c r="E1062">
        <v>4200</v>
      </c>
      <c r="F1062">
        <v>6.1239999999999997</v>
      </c>
      <c r="G1062">
        <v>1073.83</v>
      </c>
      <c r="H1062">
        <v>4.18</v>
      </c>
      <c r="I1062" s="309">
        <v>26796</v>
      </c>
      <c r="J1062">
        <v>6.38</v>
      </c>
      <c r="K1062" s="133">
        <v>6.11598096513905E-2</v>
      </c>
      <c r="L1062" s="181">
        <v>-126</v>
      </c>
      <c r="N1062" s="73">
        <v>1232.5070000000101</v>
      </c>
      <c r="O1062" s="73">
        <v>154.92360007861799</v>
      </c>
    </row>
    <row r="1063" spans="1:15" x14ac:dyDescent="0.25">
      <c r="A1063" s="136">
        <v>43000</v>
      </c>
      <c r="B1063" s="201" t="s">
        <v>65</v>
      </c>
      <c r="C1063" t="s">
        <v>127</v>
      </c>
      <c r="D1063">
        <v>1400</v>
      </c>
      <c r="E1063">
        <v>1400</v>
      </c>
      <c r="F1063">
        <v>0.372</v>
      </c>
      <c r="G1063">
        <v>17581.84</v>
      </c>
      <c r="H1063">
        <v>3375.81</v>
      </c>
      <c r="I1063" s="309">
        <v>18102</v>
      </c>
      <c r="J1063">
        <v>12.93</v>
      </c>
      <c r="K1063" s="133">
        <v>4.1316423134403299E-2</v>
      </c>
      <c r="L1063" s="181">
        <v>551.45000000000095</v>
      </c>
      <c r="N1063" s="73">
        <v>13866.166999999999</v>
      </c>
      <c r="O1063" s="73">
        <v>1358.92886284668</v>
      </c>
    </row>
    <row r="1064" spans="1:15" x14ac:dyDescent="0.25">
      <c r="A1064" s="136">
        <v>43000</v>
      </c>
      <c r="B1064" s="201" t="s">
        <v>77</v>
      </c>
      <c r="C1064" t="s">
        <v>128</v>
      </c>
      <c r="D1064">
        <v>2600</v>
      </c>
      <c r="E1064">
        <v>2600</v>
      </c>
      <c r="F1064">
        <v>5.806</v>
      </c>
      <c r="G1064">
        <v>2401.79</v>
      </c>
      <c r="H1064">
        <v>15.92</v>
      </c>
      <c r="I1064" s="309">
        <v>17498</v>
      </c>
      <c r="J1064">
        <v>6.73</v>
      </c>
      <c r="K1064" s="133">
        <v>3.9937839576057302E-2</v>
      </c>
      <c r="L1064" s="181">
        <v>-84</v>
      </c>
      <c r="N1064" s="73">
        <v>1735.8420000000001</v>
      </c>
      <c r="O1064" s="73">
        <v>352.62746711309501</v>
      </c>
    </row>
    <row r="1065" spans="1:15" x14ac:dyDescent="0.25">
      <c r="A1065" s="136">
        <v>43000</v>
      </c>
      <c r="B1065" s="201" t="s">
        <v>67</v>
      </c>
      <c r="C1065" t="s">
        <v>129</v>
      </c>
      <c r="D1065">
        <v>6550</v>
      </c>
      <c r="E1065">
        <v>6550</v>
      </c>
      <c r="F1065">
        <v>9.1140000000000008</v>
      </c>
      <c r="G1065">
        <v>-1731.83</v>
      </c>
      <c r="H1065">
        <v>-2.9</v>
      </c>
      <c r="I1065" s="309">
        <v>57967.5</v>
      </c>
      <c r="J1065">
        <v>8.85</v>
      </c>
      <c r="K1065" s="133">
        <v>0.132306361619905</v>
      </c>
      <c r="L1065" s="181">
        <v>-948</v>
      </c>
      <c r="N1065" s="73">
        <v>31041.282999999901</v>
      </c>
      <c r="O1065" s="73">
        <v>-195.848128644095</v>
      </c>
    </row>
    <row r="1066" spans="1:15" x14ac:dyDescent="0.25">
      <c r="A1066" s="136">
        <v>43000</v>
      </c>
      <c r="B1066" s="201" t="s">
        <v>72</v>
      </c>
      <c r="C1066" t="s">
        <v>130</v>
      </c>
      <c r="D1066">
        <v>2100</v>
      </c>
      <c r="E1066">
        <v>2100</v>
      </c>
      <c r="F1066">
        <v>8.4559999999999995</v>
      </c>
      <c r="G1066">
        <v>-1146.8800000000001</v>
      </c>
      <c r="H1066">
        <v>-6.46</v>
      </c>
      <c r="I1066" s="309">
        <v>16611</v>
      </c>
      <c r="J1066">
        <v>7.91</v>
      </c>
      <c r="K1066" s="133">
        <v>3.79133302776253E-2</v>
      </c>
      <c r="L1066" s="181">
        <v>0</v>
      </c>
      <c r="N1066" s="73">
        <v>-1347.5799999999899</v>
      </c>
      <c r="O1066" s="73">
        <v>-142.08422537878499</v>
      </c>
    </row>
    <row r="1067" spans="1:15" x14ac:dyDescent="0.25">
      <c r="A1067" s="136">
        <v>43000</v>
      </c>
      <c r="B1067" s="201" t="s">
        <v>70</v>
      </c>
      <c r="C1067" t="s">
        <v>131</v>
      </c>
      <c r="D1067">
        <v>6100</v>
      </c>
      <c r="E1067">
        <v>6100</v>
      </c>
      <c r="F1067">
        <v>12.571</v>
      </c>
      <c r="G1067">
        <v>3716.29</v>
      </c>
      <c r="H1067">
        <v>4.8499999999999996</v>
      </c>
      <c r="I1067" s="309">
        <v>80398</v>
      </c>
      <c r="J1067">
        <v>13.18</v>
      </c>
      <c r="K1067" s="133">
        <v>0.18350225318527</v>
      </c>
      <c r="L1067" s="181">
        <v>118.67</v>
      </c>
      <c r="N1067" s="73">
        <v>4688.3019999999797</v>
      </c>
      <c r="O1067" s="73">
        <v>351.271203073462</v>
      </c>
    </row>
    <row r="1068" spans="1:15" x14ac:dyDescent="0.25">
      <c r="A1068" s="136">
        <v>43000</v>
      </c>
      <c r="B1068" s="201" t="s">
        <v>137</v>
      </c>
      <c r="C1068" t="s">
        <v>138</v>
      </c>
      <c r="D1068">
        <v>500</v>
      </c>
      <c r="E1068">
        <v>500</v>
      </c>
      <c r="F1068">
        <v>13.14</v>
      </c>
      <c r="G1068">
        <v>8665</v>
      </c>
      <c r="H1068">
        <v>131.88999999999999</v>
      </c>
      <c r="I1068" s="309">
        <v>15235</v>
      </c>
      <c r="J1068">
        <v>30.47</v>
      </c>
      <c r="K1068" s="133">
        <v>3.4772716078479399E-2</v>
      </c>
      <c r="L1068" s="181">
        <v>1385</v>
      </c>
    </row>
    <row r="1069" spans="1:15" x14ac:dyDescent="0.25">
      <c r="A1069" s="136">
        <v>43000</v>
      </c>
      <c r="B1069" s="201" t="s">
        <v>133</v>
      </c>
      <c r="C1069" t="s">
        <v>134</v>
      </c>
      <c r="D1069">
        <v>80000</v>
      </c>
      <c r="E1069">
        <v>80000</v>
      </c>
      <c r="F1069">
        <v>1</v>
      </c>
      <c r="G1069">
        <v>-3.2</v>
      </c>
      <c r="H1069">
        <v>0</v>
      </c>
      <c r="I1069" s="309">
        <v>80000</v>
      </c>
      <c r="J1069">
        <v>1</v>
      </c>
      <c r="K1069" s="133">
        <v>0.182593848787552</v>
      </c>
      <c r="L1069" s="181">
        <v>-23.97</v>
      </c>
    </row>
    <row r="1070" spans="1:15" x14ac:dyDescent="0.25">
      <c r="A1070" s="136">
        <v>43000</v>
      </c>
      <c r="B1070" s="201" t="s">
        <v>835</v>
      </c>
      <c r="C1070" t="s">
        <v>839</v>
      </c>
      <c r="I1070" s="309">
        <v>19350.28</v>
      </c>
      <c r="K1070" s="133">
        <v>4.4165526253959801E-2</v>
      </c>
      <c r="L1070" s="181">
        <v>0</v>
      </c>
    </row>
    <row r="1071" spans="1:15" x14ac:dyDescent="0.25">
      <c r="A1071" s="136">
        <v>43003</v>
      </c>
      <c r="B1071" s="201" t="s">
        <v>132</v>
      </c>
      <c r="C1071" t="s">
        <v>123</v>
      </c>
      <c r="D1071">
        <v>2829308</v>
      </c>
      <c r="E1071">
        <v>2829308</v>
      </c>
      <c r="F1071">
        <v>8.9999999999999993E-3</v>
      </c>
      <c r="G1071">
        <v>2562.5700000000002</v>
      </c>
      <c r="H1071">
        <v>11.11</v>
      </c>
      <c r="I1071" s="309">
        <v>28293.08</v>
      </c>
      <c r="J1071">
        <v>0.01</v>
      </c>
      <c r="K1071" s="133">
        <v>6.5336581163193394E-2</v>
      </c>
      <c r="L1071" s="181">
        <v>0</v>
      </c>
    </row>
    <row r="1072" spans="1:15" x14ac:dyDescent="0.25">
      <c r="A1072" s="136">
        <v>43003</v>
      </c>
      <c r="B1072" s="201" t="s">
        <v>61</v>
      </c>
      <c r="C1072" t="s">
        <v>136</v>
      </c>
      <c r="D1072">
        <v>2800</v>
      </c>
      <c r="E1072">
        <v>2300</v>
      </c>
      <c r="F1072">
        <v>5.359</v>
      </c>
      <c r="G1072">
        <v>-220.99</v>
      </c>
      <c r="H1072">
        <v>-1.47</v>
      </c>
      <c r="I1072" s="309">
        <v>14784</v>
      </c>
      <c r="J1072">
        <v>5.28</v>
      </c>
      <c r="K1072" s="133">
        <v>3.4140362799548497E-2</v>
      </c>
      <c r="L1072" s="181">
        <v>-153.05000000000001</v>
      </c>
      <c r="N1072" s="73">
        <v>-141.392</v>
      </c>
      <c r="O1072" s="73">
        <v>-26.664396981132001</v>
      </c>
    </row>
    <row r="1073" spans="1:15" x14ac:dyDescent="0.25">
      <c r="A1073" s="136">
        <v>43003</v>
      </c>
      <c r="B1073" s="201" t="s">
        <v>124</v>
      </c>
      <c r="C1073" t="s">
        <v>125</v>
      </c>
      <c r="D1073">
        <v>100</v>
      </c>
      <c r="E1073">
        <v>100</v>
      </c>
      <c r="F1073">
        <v>-53.579000000000001</v>
      </c>
      <c r="G1073">
        <v>5968.9</v>
      </c>
      <c r="H1073">
        <v>0</v>
      </c>
      <c r="I1073" s="309">
        <v>611</v>
      </c>
      <c r="J1073">
        <v>6.11</v>
      </c>
      <c r="K1073" s="133">
        <v>1.41096872771403E-3</v>
      </c>
      <c r="L1073" s="181">
        <v>13</v>
      </c>
      <c r="N1073" s="73">
        <v>5995.0890000000099</v>
      </c>
      <c r="O1073" s="73">
        <v>1102.4501845505599</v>
      </c>
    </row>
    <row r="1074" spans="1:15" x14ac:dyDescent="0.25">
      <c r="A1074" s="136">
        <v>43003</v>
      </c>
      <c r="B1074" s="201" t="s">
        <v>71</v>
      </c>
      <c r="C1074" t="s">
        <v>126</v>
      </c>
      <c r="D1074">
        <v>4700</v>
      </c>
      <c r="E1074">
        <v>4200</v>
      </c>
      <c r="F1074">
        <v>6.1459999999999999</v>
      </c>
      <c r="G1074">
        <v>910.77</v>
      </c>
      <c r="H1074">
        <v>3.16</v>
      </c>
      <c r="I1074" s="309">
        <v>29798</v>
      </c>
      <c r="J1074">
        <v>6.34</v>
      </c>
      <c r="K1074" s="133">
        <v>6.8811859490053306E-2</v>
      </c>
      <c r="L1074" s="181">
        <v>-163.06</v>
      </c>
      <c r="N1074" s="73">
        <v>1277.2070000000101</v>
      </c>
      <c r="O1074" s="73">
        <v>128.49695356012799</v>
      </c>
    </row>
    <row r="1075" spans="1:15" x14ac:dyDescent="0.25">
      <c r="A1075" s="136">
        <v>43003</v>
      </c>
      <c r="B1075" s="201" t="s">
        <v>65</v>
      </c>
      <c r="C1075" t="s">
        <v>127</v>
      </c>
      <c r="D1075">
        <v>4500</v>
      </c>
      <c r="E1075">
        <v>1000</v>
      </c>
      <c r="F1075">
        <v>8.5950000000000006</v>
      </c>
      <c r="G1075">
        <v>15457.91</v>
      </c>
      <c r="H1075">
        <v>39.97</v>
      </c>
      <c r="I1075" s="309">
        <v>54135</v>
      </c>
      <c r="J1075">
        <v>12.03</v>
      </c>
      <c r="K1075" s="133">
        <v>0.12501275298657699</v>
      </c>
      <c r="L1075" s="181">
        <v>-2123.9299999999998</v>
      </c>
      <c r="N1075" s="73">
        <v>11675.439</v>
      </c>
      <c r="O1075" s="73">
        <v>1284.2280967373199</v>
      </c>
    </row>
    <row r="1076" spans="1:15" x14ac:dyDescent="0.25">
      <c r="A1076" s="136">
        <v>43003</v>
      </c>
      <c r="B1076" s="201" t="s">
        <v>77</v>
      </c>
      <c r="C1076" t="s">
        <v>128</v>
      </c>
      <c r="D1076">
        <v>3100</v>
      </c>
      <c r="E1076">
        <v>2600</v>
      </c>
      <c r="F1076">
        <v>5.9470000000000001</v>
      </c>
      <c r="G1076">
        <v>2178.79</v>
      </c>
      <c r="H1076">
        <v>11.82</v>
      </c>
      <c r="I1076" s="309">
        <v>20615</v>
      </c>
      <c r="J1076">
        <v>6.65</v>
      </c>
      <c r="K1076" s="133">
        <v>4.7605761574181102E-2</v>
      </c>
      <c r="L1076" s="181">
        <v>-223</v>
      </c>
      <c r="N1076" s="73">
        <v>1735.8420000000001</v>
      </c>
      <c r="O1076" s="73">
        <v>335.04109130434699</v>
      </c>
    </row>
    <row r="1077" spans="1:15" x14ac:dyDescent="0.25">
      <c r="A1077" s="136">
        <v>43003</v>
      </c>
      <c r="B1077" s="201" t="s">
        <v>67</v>
      </c>
      <c r="C1077" t="s">
        <v>129</v>
      </c>
      <c r="D1077">
        <v>8050</v>
      </c>
      <c r="E1077">
        <v>6550</v>
      </c>
      <c r="F1077">
        <v>9.0510000000000002</v>
      </c>
      <c r="G1077">
        <v>-2909.83</v>
      </c>
      <c r="H1077">
        <v>-3.99</v>
      </c>
      <c r="I1077" s="309">
        <v>69954.5</v>
      </c>
      <c r="J1077">
        <v>8.69</v>
      </c>
      <c r="K1077" s="133">
        <v>0.161544372934322</v>
      </c>
      <c r="L1077" s="181">
        <v>-1178</v>
      </c>
      <c r="N1077" s="73">
        <v>30411.782999999901</v>
      </c>
      <c r="O1077" s="73">
        <v>-269.68506718039299</v>
      </c>
    </row>
    <row r="1078" spans="1:15" x14ac:dyDescent="0.25">
      <c r="A1078" s="136">
        <v>43003</v>
      </c>
      <c r="B1078" s="201" t="s">
        <v>72</v>
      </c>
      <c r="C1078" t="s">
        <v>130</v>
      </c>
      <c r="D1078">
        <v>2100</v>
      </c>
      <c r="E1078">
        <v>2100</v>
      </c>
      <c r="F1078">
        <v>8.4559999999999995</v>
      </c>
      <c r="G1078">
        <v>-1146.8800000000001</v>
      </c>
      <c r="H1078">
        <v>-6.46</v>
      </c>
      <c r="I1078" s="309">
        <v>16611</v>
      </c>
      <c r="J1078">
        <v>7.91</v>
      </c>
      <c r="K1078" s="133">
        <v>3.8359413315970002E-2</v>
      </c>
      <c r="L1078" s="181">
        <v>0</v>
      </c>
      <c r="N1078" s="73">
        <v>-1347.5799999999899</v>
      </c>
      <c r="O1078" s="73">
        <v>-142.08422537878499</v>
      </c>
    </row>
    <row r="1079" spans="1:15" x14ac:dyDescent="0.25">
      <c r="A1079" s="136">
        <v>43003</v>
      </c>
      <c r="B1079" s="201" t="s">
        <v>70</v>
      </c>
      <c r="C1079" t="s">
        <v>131</v>
      </c>
      <c r="D1079">
        <v>7600</v>
      </c>
      <c r="E1079">
        <v>6100</v>
      </c>
      <c r="F1079">
        <v>12.638</v>
      </c>
      <c r="G1079">
        <v>924.29</v>
      </c>
      <c r="H1079">
        <v>0.97</v>
      </c>
      <c r="I1079" s="309">
        <v>96976</v>
      </c>
      <c r="J1079">
        <v>12.76</v>
      </c>
      <c r="K1079" s="133">
        <v>0.22394452264942</v>
      </c>
      <c r="L1079" s="181">
        <v>-2792</v>
      </c>
      <c r="N1079" s="73">
        <v>920.30199999998104</v>
      </c>
      <c r="O1079" s="73">
        <v>72.087919200625507</v>
      </c>
    </row>
    <row r="1080" spans="1:15" x14ac:dyDescent="0.25">
      <c r="A1080" s="136">
        <v>43003</v>
      </c>
      <c r="B1080" s="201" t="s">
        <v>137</v>
      </c>
      <c r="C1080" t="s">
        <v>138</v>
      </c>
      <c r="D1080">
        <v>500</v>
      </c>
      <c r="E1080">
        <v>500</v>
      </c>
      <c r="F1080">
        <v>13.14</v>
      </c>
      <c r="G1080">
        <v>10190</v>
      </c>
      <c r="H1080">
        <v>155.1</v>
      </c>
      <c r="I1080" s="309">
        <v>16760</v>
      </c>
      <c r="J1080">
        <v>33.520000000000003</v>
      </c>
      <c r="K1080" s="133">
        <v>3.8703495706198202E-2</v>
      </c>
      <c r="L1080" s="181">
        <v>1525</v>
      </c>
    </row>
    <row r="1081" spans="1:15" x14ac:dyDescent="0.25">
      <c r="A1081" s="136">
        <v>43003</v>
      </c>
      <c r="B1081" s="201" t="s">
        <v>133</v>
      </c>
      <c r="C1081" t="s">
        <v>134</v>
      </c>
      <c r="D1081">
        <v>80000</v>
      </c>
      <c r="E1081">
        <v>80000</v>
      </c>
      <c r="F1081">
        <v>1</v>
      </c>
      <c r="G1081">
        <v>-3.2</v>
      </c>
      <c r="H1081">
        <v>0</v>
      </c>
      <c r="I1081" s="309">
        <v>80000</v>
      </c>
      <c r="J1081">
        <v>1</v>
      </c>
      <c r="K1081" s="133">
        <v>0.18474222294128001</v>
      </c>
      <c r="L1081" s="181">
        <v>0</v>
      </c>
    </row>
    <row r="1082" spans="1:15" x14ac:dyDescent="0.25">
      <c r="A1082" s="136">
        <v>43003</v>
      </c>
      <c r="B1082" s="201" t="s">
        <v>835</v>
      </c>
      <c r="C1082" t="s">
        <v>839</v>
      </c>
      <c r="I1082" s="309">
        <v>4498.24</v>
      </c>
      <c r="K1082" s="133">
        <v>1.03876857115423E-2</v>
      </c>
      <c r="L1082" s="181">
        <v>0</v>
      </c>
    </row>
    <row r="1083" spans="1:15" x14ac:dyDescent="0.25">
      <c r="A1083" s="136">
        <v>43004</v>
      </c>
      <c r="B1083" s="201" t="s">
        <v>132</v>
      </c>
      <c r="C1083" t="s">
        <v>123</v>
      </c>
      <c r="D1083">
        <v>8831725</v>
      </c>
      <c r="E1083">
        <v>2831725</v>
      </c>
      <c r="F1083">
        <v>0.01</v>
      </c>
      <c r="G1083">
        <v>2586.7399999999998</v>
      </c>
      <c r="H1083">
        <v>0</v>
      </c>
      <c r="I1083" s="309">
        <v>88317.25</v>
      </c>
      <c r="J1083">
        <v>0.01</v>
      </c>
      <c r="K1083" s="133">
        <v>0.20246865856302201</v>
      </c>
      <c r="L1083" s="181">
        <v>24.1699999999996</v>
      </c>
    </row>
    <row r="1084" spans="1:15" x14ac:dyDescent="0.25">
      <c r="A1084" s="136">
        <v>43004</v>
      </c>
      <c r="B1084" s="201" t="s">
        <v>61</v>
      </c>
      <c r="C1084" t="s">
        <v>136</v>
      </c>
      <c r="D1084">
        <v>2800</v>
      </c>
      <c r="E1084">
        <v>2800</v>
      </c>
      <c r="F1084">
        <v>5.359</v>
      </c>
      <c r="G1084">
        <v>-164.99</v>
      </c>
      <c r="H1084">
        <v>-1.1000000000000001</v>
      </c>
      <c r="I1084" s="309">
        <v>14840</v>
      </c>
      <c r="J1084">
        <v>5.3</v>
      </c>
      <c r="K1084" s="133">
        <v>3.4020929015285799E-2</v>
      </c>
      <c r="L1084" s="181">
        <v>56</v>
      </c>
      <c r="N1084" s="73">
        <v>-141.392</v>
      </c>
      <c r="O1084" s="73">
        <v>-26.664396981132001</v>
      </c>
    </row>
    <row r="1085" spans="1:15" x14ac:dyDescent="0.25">
      <c r="A1085" s="136">
        <v>43004</v>
      </c>
      <c r="B1085" s="201" t="s">
        <v>124</v>
      </c>
      <c r="C1085" t="s">
        <v>125</v>
      </c>
      <c r="D1085">
        <v>100</v>
      </c>
      <c r="E1085">
        <v>100</v>
      </c>
      <c r="F1085">
        <v>-53.579000000000001</v>
      </c>
      <c r="G1085">
        <v>5964.9</v>
      </c>
      <c r="H1085">
        <v>0</v>
      </c>
      <c r="I1085" s="309">
        <v>607</v>
      </c>
      <c r="J1085">
        <v>6.07</v>
      </c>
      <c r="K1085" s="133">
        <v>1.39155686740421E-3</v>
      </c>
      <c r="L1085" s="181">
        <v>-4</v>
      </c>
      <c r="N1085" s="73">
        <v>5995.0890000000099</v>
      </c>
      <c r="O1085" s="73">
        <v>1102.4501845505599</v>
      </c>
    </row>
    <row r="1086" spans="1:15" x14ac:dyDescent="0.25">
      <c r="A1086" s="136">
        <v>43004</v>
      </c>
      <c r="B1086" s="201" t="s">
        <v>71</v>
      </c>
      <c r="C1086" t="s">
        <v>126</v>
      </c>
      <c r="D1086">
        <v>4700</v>
      </c>
      <c r="E1086">
        <v>4700</v>
      </c>
      <c r="F1086">
        <v>6.1459999999999999</v>
      </c>
      <c r="G1086">
        <v>957.77</v>
      </c>
      <c r="H1086">
        <v>3.32</v>
      </c>
      <c r="I1086" s="309">
        <v>29845</v>
      </c>
      <c r="J1086">
        <v>6.35</v>
      </c>
      <c r="K1086" s="133">
        <v>6.8420123076900499E-2</v>
      </c>
      <c r="L1086" s="181">
        <v>47</v>
      </c>
      <c r="N1086" s="73">
        <v>1277.2070000000101</v>
      </c>
      <c r="O1086" s="73">
        <v>128.49695356012799</v>
      </c>
    </row>
    <row r="1087" spans="1:15" x14ac:dyDescent="0.25">
      <c r="A1087" s="136">
        <v>43004</v>
      </c>
      <c r="B1087" s="201" t="s">
        <v>65</v>
      </c>
      <c r="C1087" t="s">
        <v>127</v>
      </c>
      <c r="D1087">
        <v>3900</v>
      </c>
      <c r="E1087">
        <v>2400</v>
      </c>
      <c r="F1087">
        <v>8.0269999999999992</v>
      </c>
      <c r="G1087">
        <v>15964.48</v>
      </c>
      <c r="H1087">
        <v>50.99</v>
      </c>
      <c r="I1087" s="309">
        <v>47268</v>
      </c>
      <c r="J1087">
        <v>12.12</v>
      </c>
      <c r="K1087" s="133">
        <v>0.108362619453809</v>
      </c>
      <c r="L1087" s="181">
        <v>506.57</v>
      </c>
      <c r="N1087" s="73">
        <v>12260.011</v>
      </c>
      <c r="O1087" s="73">
        <v>1320.7202403418401</v>
      </c>
    </row>
    <row r="1088" spans="1:15" x14ac:dyDescent="0.25">
      <c r="A1088" s="136">
        <v>43004</v>
      </c>
      <c r="B1088" s="201" t="s">
        <v>77</v>
      </c>
      <c r="C1088" t="s">
        <v>128</v>
      </c>
      <c r="D1088">
        <v>3100</v>
      </c>
      <c r="E1088">
        <v>3100</v>
      </c>
      <c r="F1088">
        <v>5.9470000000000001</v>
      </c>
      <c r="G1088">
        <v>2147.79</v>
      </c>
      <c r="H1088">
        <v>11.65</v>
      </c>
      <c r="I1088" s="309">
        <v>20584</v>
      </c>
      <c r="J1088">
        <v>6.64</v>
      </c>
      <c r="K1088" s="133">
        <v>4.7189137658399098E-2</v>
      </c>
      <c r="L1088" s="181">
        <v>-31</v>
      </c>
      <c r="N1088" s="73">
        <v>1735.8420000000001</v>
      </c>
      <c r="O1088" s="73">
        <v>335.04109130434699</v>
      </c>
    </row>
    <row r="1089" spans="1:15" x14ac:dyDescent="0.25">
      <c r="A1089" s="136">
        <v>43004</v>
      </c>
      <c r="B1089" s="201" t="s">
        <v>67</v>
      </c>
      <c r="C1089" t="s">
        <v>129</v>
      </c>
      <c r="D1089">
        <v>8050</v>
      </c>
      <c r="E1089">
        <v>8050</v>
      </c>
      <c r="F1089">
        <v>9.0510000000000002</v>
      </c>
      <c r="G1089">
        <v>-2265.83</v>
      </c>
      <c r="H1089">
        <v>-3.1</v>
      </c>
      <c r="I1089" s="309">
        <v>70598.5</v>
      </c>
      <c r="J1089">
        <v>8.77</v>
      </c>
      <c r="K1089" s="133">
        <v>0.161848150747012</v>
      </c>
      <c r="L1089" s="181">
        <v>644</v>
      </c>
      <c r="N1089" s="73">
        <v>30411.782999999901</v>
      </c>
      <c r="O1089" s="73">
        <v>-269.68506718039299</v>
      </c>
    </row>
    <row r="1090" spans="1:15" x14ac:dyDescent="0.25">
      <c r="A1090" s="136">
        <v>43004</v>
      </c>
      <c r="B1090" s="201" t="s">
        <v>72</v>
      </c>
      <c r="C1090" t="s">
        <v>130</v>
      </c>
      <c r="D1090">
        <v>2100</v>
      </c>
      <c r="E1090">
        <v>2100</v>
      </c>
      <c r="F1090">
        <v>8.4559999999999995</v>
      </c>
      <c r="G1090">
        <v>-1146.8800000000001</v>
      </c>
      <c r="H1090">
        <v>-6.46</v>
      </c>
      <c r="I1090" s="309">
        <v>16611</v>
      </c>
      <c r="J1090">
        <v>7.91</v>
      </c>
      <c r="K1090" s="133">
        <v>3.8080973845883499E-2</v>
      </c>
      <c r="L1090" s="181">
        <v>0</v>
      </c>
      <c r="N1090" s="73">
        <v>-1347.5799999999899</v>
      </c>
      <c r="O1090" s="73">
        <v>-142.08422537878499</v>
      </c>
    </row>
    <row r="1091" spans="1:15" x14ac:dyDescent="0.25">
      <c r="A1091" s="136">
        <v>43004</v>
      </c>
      <c r="B1091" s="201" t="s">
        <v>70</v>
      </c>
      <c r="C1091" t="s">
        <v>131</v>
      </c>
      <c r="D1091">
        <v>7600</v>
      </c>
      <c r="E1091">
        <v>7600</v>
      </c>
      <c r="F1091">
        <v>12.638</v>
      </c>
      <c r="G1091">
        <v>1152.29</v>
      </c>
      <c r="H1091">
        <v>1.2</v>
      </c>
      <c r="I1091" s="309">
        <v>97204</v>
      </c>
      <c r="J1091">
        <v>12.79</v>
      </c>
      <c r="K1091" s="133">
        <v>0.22284167008098599</v>
      </c>
      <c r="L1091" s="181">
        <v>228</v>
      </c>
      <c r="N1091" s="73">
        <v>920.30199999998104</v>
      </c>
      <c r="O1091" s="73">
        <v>72.087919200625507</v>
      </c>
    </row>
    <row r="1092" spans="1:15" x14ac:dyDescent="0.25">
      <c r="A1092" s="136">
        <v>43004</v>
      </c>
      <c r="B1092" s="201" t="s">
        <v>137</v>
      </c>
      <c r="C1092" t="s">
        <v>138</v>
      </c>
      <c r="D1092">
        <v>500</v>
      </c>
      <c r="E1092">
        <v>500</v>
      </c>
      <c r="F1092">
        <v>13.14</v>
      </c>
      <c r="G1092">
        <v>11865</v>
      </c>
      <c r="H1092">
        <v>180.59</v>
      </c>
      <c r="I1092" s="309">
        <v>18435</v>
      </c>
      <c r="J1092">
        <v>36.869999999999997</v>
      </c>
      <c r="K1092" s="133">
        <v>4.22625219943931E-2</v>
      </c>
      <c r="L1092" s="181">
        <v>1675</v>
      </c>
    </row>
    <row r="1093" spans="1:15" x14ac:dyDescent="0.25">
      <c r="A1093" s="136">
        <v>43004</v>
      </c>
      <c r="B1093" s="201" t="s">
        <v>835</v>
      </c>
      <c r="C1093" t="s">
        <v>839</v>
      </c>
      <c r="I1093" s="309">
        <v>31892.33</v>
      </c>
      <c r="K1093" s="133">
        <v>7.3113658696904907E-2</v>
      </c>
      <c r="L1093" s="181">
        <v>0</v>
      </c>
    </row>
    <row r="1094" spans="1:15" x14ac:dyDescent="0.25">
      <c r="A1094" s="136">
        <v>43005</v>
      </c>
      <c r="B1094" s="201" t="s">
        <v>132</v>
      </c>
      <c r="C1094" t="s">
        <v>123</v>
      </c>
      <c r="D1094">
        <v>13732073</v>
      </c>
      <c r="E1094">
        <v>8832073</v>
      </c>
      <c r="F1094">
        <v>0.01</v>
      </c>
      <c r="G1094">
        <v>2590.2199999999998</v>
      </c>
      <c r="H1094">
        <v>0</v>
      </c>
      <c r="I1094" s="309">
        <v>137320.73000000001</v>
      </c>
      <c r="J1094">
        <v>0.01</v>
      </c>
      <c r="K1094" s="133">
        <v>0.31159404603489399</v>
      </c>
      <c r="L1094" s="181">
        <v>3.48000000000002</v>
      </c>
    </row>
    <row r="1095" spans="1:15" x14ac:dyDescent="0.25">
      <c r="A1095" s="136">
        <v>43005</v>
      </c>
      <c r="B1095" s="201" t="s">
        <v>61</v>
      </c>
      <c r="C1095" t="s">
        <v>136</v>
      </c>
      <c r="D1095">
        <v>2800</v>
      </c>
      <c r="E1095">
        <v>2800</v>
      </c>
      <c r="F1095">
        <v>5.359</v>
      </c>
      <c r="G1095">
        <v>-80.989999999999995</v>
      </c>
      <c r="H1095">
        <v>-0.54</v>
      </c>
      <c r="I1095" s="309">
        <v>14924</v>
      </c>
      <c r="J1095">
        <v>5.33</v>
      </c>
      <c r="K1095" s="133">
        <v>3.3864002492739097E-2</v>
      </c>
      <c r="L1095" s="181">
        <v>84</v>
      </c>
      <c r="N1095" s="73">
        <v>-141.392</v>
      </c>
      <c r="O1095" s="73">
        <v>-26.664396981132001</v>
      </c>
    </row>
    <row r="1096" spans="1:15" x14ac:dyDescent="0.25">
      <c r="A1096" s="136">
        <v>43005</v>
      </c>
      <c r="B1096" s="201" t="s">
        <v>124</v>
      </c>
      <c r="C1096" t="s">
        <v>125</v>
      </c>
      <c r="D1096">
        <v>100</v>
      </c>
      <c r="E1096">
        <v>100</v>
      </c>
      <c r="F1096">
        <v>-53.579000000000001</v>
      </c>
      <c r="G1096">
        <v>5959.9</v>
      </c>
      <c r="H1096">
        <v>0</v>
      </c>
      <c r="I1096" s="309">
        <v>602</v>
      </c>
      <c r="J1096">
        <v>6.02</v>
      </c>
      <c r="K1096" s="133">
        <v>1.36599634820617E-3</v>
      </c>
      <c r="L1096" s="181">
        <v>-5</v>
      </c>
      <c r="N1096" s="73">
        <v>5995.0890000000099</v>
      </c>
      <c r="O1096" s="73">
        <v>1102.4501845505599</v>
      </c>
    </row>
    <row r="1097" spans="1:15" x14ac:dyDescent="0.25">
      <c r="A1097" s="136">
        <v>43005</v>
      </c>
      <c r="B1097" s="201" t="s">
        <v>71</v>
      </c>
      <c r="C1097" t="s">
        <v>126</v>
      </c>
      <c r="D1097">
        <v>4700</v>
      </c>
      <c r="E1097">
        <v>4700</v>
      </c>
      <c r="F1097">
        <v>6.1459999999999999</v>
      </c>
      <c r="G1097">
        <v>863.77</v>
      </c>
      <c r="H1097">
        <v>2.99</v>
      </c>
      <c r="I1097" s="309">
        <v>29751</v>
      </c>
      <c r="J1097">
        <v>6.33</v>
      </c>
      <c r="K1097" s="133">
        <v>6.7507902583856999E-2</v>
      </c>
      <c r="L1097" s="181">
        <v>-94</v>
      </c>
      <c r="N1097" s="73">
        <v>1277.2070000000101</v>
      </c>
      <c r="O1097" s="73">
        <v>128.49695356012799</v>
      </c>
    </row>
    <row r="1098" spans="1:15" x14ac:dyDescent="0.25">
      <c r="A1098" s="136">
        <v>43005</v>
      </c>
      <c r="B1098" s="201" t="s">
        <v>65</v>
      </c>
      <c r="C1098" t="s">
        <v>127</v>
      </c>
      <c r="D1098">
        <v>1900</v>
      </c>
      <c r="E1098">
        <v>1900</v>
      </c>
      <c r="F1098">
        <v>3.4009999999999998</v>
      </c>
      <c r="G1098">
        <v>18048.580000000002</v>
      </c>
      <c r="H1098">
        <v>279.3</v>
      </c>
      <c r="I1098" s="309">
        <v>24510</v>
      </c>
      <c r="J1098">
        <v>12.9</v>
      </c>
      <c r="K1098" s="133">
        <v>5.5615565605537098E-2</v>
      </c>
      <c r="L1098" s="181">
        <v>2084.1</v>
      </c>
      <c r="N1098" s="73">
        <v>14019.119000000001</v>
      </c>
      <c r="O1098" s="73">
        <v>1393.2476244126799</v>
      </c>
    </row>
    <row r="1099" spans="1:15" x14ac:dyDescent="0.25">
      <c r="A1099" s="136">
        <v>43005</v>
      </c>
      <c r="B1099" s="201" t="s">
        <v>77</v>
      </c>
      <c r="C1099" t="s">
        <v>128</v>
      </c>
      <c r="D1099">
        <v>3100</v>
      </c>
      <c r="E1099">
        <v>3100</v>
      </c>
      <c r="F1099">
        <v>5.9470000000000001</v>
      </c>
      <c r="G1099">
        <v>2147.79</v>
      </c>
      <c r="H1099">
        <v>11.65</v>
      </c>
      <c r="I1099" s="309">
        <v>20584</v>
      </c>
      <c r="J1099">
        <v>6.64</v>
      </c>
      <c r="K1099" s="133">
        <v>4.6707091082185903E-2</v>
      </c>
      <c r="L1099" s="181">
        <v>0</v>
      </c>
      <c r="N1099" s="73">
        <v>1735.8420000000001</v>
      </c>
      <c r="O1099" s="73">
        <v>335.04109130434699</v>
      </c>
    </row>
    <row r="1100" spans="1:15" x14ac:dyDescent="0.25">
      <c r="A1100" s="136">
        <v>43005</v>
      </c>
      <c r="B1100" s="201" t="s">
        <v>67</v>
      </c>
      <c r="C1100" t="s">
        <v>129</v>
      </c>
      <c r="D1100">
        <v>7650</v>
      </c>
      <c r="E1100">
        <v>7650</v>
      </c>
      <c r="F1100">
        <v>9.0640000000000001</v>
      </c>
      <c r="G1100">
        <v>-1787.37</v>
      </c>
      <c r="H1100">
        <v>-2.58</v>
      </c>
      <c r="I1100" s="309">
        <v>67549.5</v>
      </c>
      <c r="J1100">
        <v>8.83</v>
      </c>
      <c r="K1100" s="133">
        <v>0.15327636266304501</v>
      </c>
      <c r="L1100" s="181">
        <v>478.46</v>
      </c>
      <c r="N1100" s="73">
        <v>31007.246999999901</v>
      </c>
      <c r="O1100" s="73">
        <v>-199.917977432154</v>
      </c>
    </row>
    <row r="1101" spans="1:15" x14ac:dyDescent="0.25">
      <c r="A1101" s="136">
        <v>43005</v>
      </c>
      <c r="B1101" s="201" t="s">
        <v>72</v>
      </c>
      <c r="C1101" t="s">
        <v>130</v>
      </c>
      <c r="D1101">
        <v>2100</v>
      </c>
      <c r="E1101">
        <v>2100</v>
      </c>
      <c r="F1101">
        <v>8.4559999999999995</v>
      </c>
      <c r="G1101">
        <v>-1146.8800000000001</v>
      </c>
      <c r="H1101">
        <v>-6.46</v>
      </c>
      <c r="I1101" s="309">
        <v>16611</v>
      </c>
      <c r="J1101">
        <v>7.91</v>
      </c>
      <c r="K1101" s="133">
        <v>3.7691969003409903E-2</v>
      </c>
      <c r="L1101" s="181">
        <v>0</v>
      </c>
      <c r="N1101" s="73">
        <v>-1347.5799999999899</v>
      </c>
      <c r="O1101" s="73">
        <v>-142.08422537878499</v>
      </c>
    </row>
    <row r="1102" spans="1:15" x14ac:dyDescent="0.25">
      <c r="A1102" s="136">
        <v>43005</v>
      </c>
      <c r="B1102" s="201" t="s">
        <v>70</v>
      </c>
      <c r="C1102" t="s">
        <v>131</v>
      </c>
      <c r="D1102">
        <v>7200</v>
      </c>
      <c r="E1102">
        <v>7200</v>
      </c>
      <c r="F1102">
        <v>12.625</v>
      </c>
      <c r="G1102">
        <v>1258.1300000000001</v>
      </c>
      <c r="H1102">
        <v>1.39</v>
      </c>
      <c r="I1102" s="309">
        <v>92160</v>
      </c>
      <c r="J1102">
        <v>12.8</v>
      </c>
      <c r="K1102" s="133">
        <v>0.20911997250943701</v>
      </c>
      <c r="L1102" s="181">
        <v>105.84</v>
      </c>
      <c r="N1102" s="73">
        <v>1974.14199999998</v>
      </c>
      <c r="O1102" s="73">
        <v>152.95774643410701</v>
      </c>
    </row>
    <row r="1103" spans="1:15" x14ac:dyDescent="0.25">
      <c r="A1103" s="136">
        <v>43005</v>
      </c>
      <c r="B1103" s="201" t="s">
        <v>137</v>
      </c>
      <c r="C1103" t="s">
        <v>138</v>
      </c>
      <c r="D1103">
        <v>500</v>
      </c>
      <c r="E1103">
        <v>500</v>
      </c>
      <c r="F1103">
        <v>13.14</v>
      </c>
      <c r="G1103">
        <v>13710</v>
      </c>
      <c r="H1103">
        <v>208.68</v>
      </c>
      <c r="I1103" s="309">
        <v>20280</v>
      </c>
      <c r="J1103">
        <v>40.56</v>
      </c>
      <c r="K1103" s="133">
        <v>4.6017285617310999E-2</v>
      </c>
      <c r="L1103" s="181">
        <v>1845</v>
      </c>
    </row>
    <row r="1104" spans="1:15" x14ac:dyDescent="0.25">
      <c r="A1104" s="136">
        <v>43005</v>
      </c>
      <c r="B1104" s="201" t="s">
        <v>835</v>
      </c>
      <c r="C1104" t="s">
        <v>839</v>
      </c>
      <c r="I1104" s="309">
        <v>16411.73</v>
      </c>
      <c r="K1104" s="133">
        <v>3.7239806059378301E-2</v>
      </c>
      <c r="L1104" s="181">
        <v>0</v>
      </c>
    </row>
    <row r="1105" spans="1:31" x14ac:dyDescent="0.25">
      <c r="A1105" s="136">
        <v>43007</v>
      </c>
      <c r="B1105" s="201" t="s">
        <v>132</v>
      </c>
      <c r="C1105" t="s">
        <v>123</v>
      </c>
      <c r="D1105">
        <v>34446</v>
      </c>
      <c r="E1105">
        <v>34446</v>
      </c>
      <c r="F1105">
        <v>-6.6000000000000003E-2</v>
      </c>
      <c r="G1105">
        <v>2617.8960000000002</v>
      </c>
      <c r="H1105">
        <v>0</v>
      </c>
      <c r="I1105" s="309">
        <v>344.46</v>
      </c>
      <c r="J1105">
        <v>0.01</v>
      </c>
      <c r="K1105" s="133">
        <v>7.7721727649808102E-4</v>
      </c>
      <c r="L1105" s="181">
        <v>27.6760000000004</v>
      </c>
    </row>
    <row r="1106" spans="1:31" x14ac:dyDescent="0.25">
      <c r="A1106" s="136">
        <v>43007</v>
      </c>
      <c r="B1106" s="201" t="s">
        <v>61</v>
      </c>
      <c r="C1106" t="s">
        <v>136</v>
      </c>
      <c r="D1106">
        <v>2800</v>
      </c>
      <c r="E1106">
        <v>2800</v>
      </c>
      <c r="F1106">
        <v>5.359</v>
      </c>
      <c r="G1106">
        <v>-108.99</v>
      </c>
      <c r="H1106">
        <v>-0.73</v>
      </c>
      <c r="I1106" s="309">
        <v>14896</v>
      </c>
      <c r="J1106">
        <v>5.32</v>
      </c>
      <c r="K1106" s="133">
        <v>3.3610371453043603E-2</v>
      </c>
      <c r="L1106" s="181">
        <v>-28</v>
      </c>
      <c r="N1106" s="73">
        <v>-141.392</v>
      </c>
      <c r="O1106" s="73">
        <v>-26.664396981132001</v>
      </c>
      <c r="P1106" s="182">
        <v>5</v>
      </c>
      <c r="Q1106" s="182">
        <v>2500</v>
      </c>
      <c r="R1106" s="46">
        <v>5.3819999999999997</v>
      </c>
      <c r="S1106" s="46">
        <v>0</v>
      </c>
      <c r="T1106" s="46">
        <v>0</v>
      </c>
      <c r="U1106" s="46">
        <v>0</v>
      </c>
      <c r="V1106" s="46" t="s">
        <v>62</v>
      </c>
      <c r="W1106" s="46">
        <v>2500</v>
      </c>
      <c r="X1106" s="46">
        <v>5.3819999999999997</v>
      </c>
    </row>
    <row r="1107" spans="1:31" x14ac:dyDescent="0.25">
      <c r="A1107" s="136">
        <v>43007</v>
      </c>
      <c r="B1107" s="201" t="s">
        <v>124</v>
      </c>
      <c r="C1107" t="s">
        <v>125</v>
      </c>
      <c r="D1107">
        <v>100</v>
      </c>
      <c r="E1107">
        <v>100</v>
      </c>
      <c r="F1107">
        <v>-53.579000000000001</v>
      </c>
      <c r="G1107">
        <v>5957.9</v>
      </c>
      <c r="H1107">
        <v>0</v>
      </c>
      <c r="I1107" s="309">
        <v>600</v>
      </c>
      <c r="J1107">
        <v>6</v>
      </c>
      <c r="K1107" s="133">
        <v>1.3538012131999299E-3</v>
      </c>
      <c r="L1107" s="181">
        <v>-2</v>
      </c>
      <c r="N1107" s="73">
        <v>5995.0890000000099</v>
      </c>
      <c r="O1107" s="73">
        <v>1102.4501845505599</v>
      </c>
      <c r="P1107" s="182">
        <v>0</v>
      </c>
      <c r="Q1107" s="182">
        <v>0</v>
      </c>
      <c r="R1107" s="46">
        <v>0</v>
      </c>
      <c r="S1107" s="46">
        <v>5</v>
      </c>
      <c r="T1107" s="46">
        <v>2300</v>
      </c>
      <c r="U1107" s="46">
        <v>4.99</v>
      </c>
      <c r="V1107" s="46" t="s">
        <v>68</v>
      </c>
      <c r="W1107" s="46">
        <v>2300</v>
      </c>
      <c r="X1107" s="46">
        <v>4.99</v>
      </c>
      <c r="Y1107" s="193">
        <v>6.7439999999999998</v>
      </c>
      <c r="Z1107" s="193">
        <v>5.2549999999999999</v>
      </c>
      <c r="AA1107" s="193">
        <v>5.3540000000000001</v>
      </c>
      <c r="AB1107" s="46">
        <v>6.04</v>
      </c>
      <c r="AC1107" s="46">
        <v>6.06</v>
      </c>
      <c r="AD1107" s="46">
        <v>5.96</v>
      </c>
      <c r="AE1107" s="46">
        <v>6</v>
      </c>
    </row>
    <row r="1108" spans="1:31" x14ac:dyDescent="0.25">
      <c r="A1108" s="136">
        <v>43007</v>
      </c>
      <c r="B1108" s="201" t="s">
        <v>71</v>
      </c>
      <c r="C1108" t="s">
        <v>126</v>
      </c>
      <c r="D1108">
        <v>4700</v>
      </c>
      <c r="E1108">
        <v>4700</v>
      </c>
      <c r="F1108">
        <v>6.1459999999999999</v>
      </c>
      <c r="G1108">
        <v>722.77</v>
      </c>
      <c r="H1108">
        <v>2.5099999999999998</v>
      </c>
      <c r="I1108" s="309">
        <v>29610</v>
      </c>
      <c r="J1108">
        <v>6.3</v>
      </c>
      <c r="K1108" s="133">
        <v>6.6810089871416595E-2</v>
      </c>
      <c r="L1108" s="181">
        <v>-141</v>
      </c>
      <c r="N1108" s="73">
        <v>1277.2070000000101</v>
      </c>
      <c r="O1108" s="73">
        <v>128.49695356012799</v>
      </c>
      <c r="P1108" s="182">
        <v>7</v>
      </c>
      <c r="Q1108" s="182">
        <v>3500</v>
      </c>
      <c r="R1108" s="46">
        <v>6.4</v>
      </c>
      <c r="S1108" s="46">
        <v>0</v>
      </c>
      <c r="T1108" s="46">
        <v>0</v>
      </c>
      <c r="U1108" s="46">
        <v>0</v>
      </c>
      <c r="V1108" s="46" t="s">
        <v>62</v>
      </c>
      <c r="W1108" s="46">
        <v>3500</v>
      </c>
      <c r="X1108" s="46">
        <v>6.4</v>
      </c>
      <c r="Y1108" s="194">
        <v>6.4779999999999998</v>
      </c>
      <c r="Z1108" s="194">
        <v>6.66</v>
      </c>
      <c r="AA1108" s="194">
        <v>6.7329999999999997</v>
      </c>
      <c r="AB1108" s="46">
        <v>6.5</v>
      </c>
      <c r="AC1108" s="46">
        <v>6.55</v>
      </c>
      <c r="AD1108" s="46">
        <v>6.47</v>
      </c>
      <c r="AE1108" s="46">
        <v>6.54</v>
      </c>
    </row>
    <row r="1109" spans="1:31" x14ac:dyDescent="0.25">
      <c r="A1109" s="136">
        <v>43007</v>
      </c>
      <c r="B1109" s="201" t="s">
        <v>135</v>
      </c>
      <c r="C1109" t="s">
        <v>139</v>
      </c>
      <c r="D1109">
        <v>500000</v>
      </c>
      <c r="E1109">
        <v>500000</v>
      </c>
      <c r="F1109">
        <v>1</v>
      </c>
      <c r="G1109">
        <v>-25</v>
      </c>
      <c r="H1109">
        <v>0</v>
      </c>
      <c r="I1109" s="309">
        <v>100000</v>
      </c>
      <c r="J1109">
        <v>1</v>
      </c>
      <c r="K1109" s="133">
        <v>0.22563353553332199</v>
      </c>
      <c r="L1109" s="181">
        <v>-24</v>
      </c>
    </row>
    <row r="1110" spans="1:31" x14ac:dyDescent="0.25">
      <c r="A1110" s="136">
        <v>43007</v>
      </c>
      <c r="B1110" s="201" t="s">
        <v>65</v>
      </c>
      <c r="C1110" t="s">
        <v>127</v>
      </c>
      <c r="D1110">
        <v>3600</v>
      </c>
      <c r="E1110">
        <v>1200</v>
      </c>
      <c r="F1110">
        <v>7.5529999999999999</v>
      </c>
      <c r="G1110">
        <v>16694.3</v>
      </c>
      <c r="H1110">
        <v>61.39</v>
      </c>
      <c r="I1110" s="309">
        <v>43884</v>
      </c>
      <c r="J1110">
        <v>12.19</v>
      </c>
      <c r="K1110" s="133">
        <v>9.9017020733442998E-2</v>
      </c>
      <c r="L1110" s="181">
        <v>-1354.28</v>
      </c>
      <c r="N1110" s="73">
        <v>12983.844999999999</v>
      </c>
      <c r="O1110" s="73">
        <v>1372.40096648238</v>
      </c>
      <c r="P1110" s="182">
        <v>0</v>
      </c>
      <c r="Q1110" s="182">
        <v>0</v>
      </c>
      <c r="R1110" s="46">
        <v>0</v>
      </c>
      <c r="S1110" s="46">
        <v>33</v>
      </c>
      <c r="T1110" s="46">
        <v>13500</v>
      </c>
      <c r="U1110" s="46">
        <v>12.223000000000001</v>
      </c>
      <c r="V1110" s="46" t="s">
        <v>68</v>
      </c>
      <c r="W1110" s="46">
        <v>13500</v>
      </c>
      <c r="X1110" s="46">
        <v>12.223000000000001</v>
      </c>
      <c r="Y1110" s="194">
        <v>12.167999999999999</v>
      </c>
      <c r="Z1110" s="194">
        <v>11.33</v>
      </c>
      <c r="AA1110" s="194">
        <v>11.95</v>
      </c>
      <c r="AB1110" s="46">
        <v>12.25</v>
      </c>
      <c r="AC1110" s="46">
        <v>12.49</v>
      </c>
      <c r="AD1110" s="46">
        <v>12.15</v>
      </c>
      <c r="AE1110" s="46">
        <v>12.19</v>
      </c>
    </row>
    <row r="1111" spans="1:31" x14ac:dyDescent="0.25">
      <c r="A1111" s="136">
        <v>43007</v>
      </c>
      <c r="B1111" s="201" t="s">
        <v>77</v>
      </c>
      <c r="C1111" t="s">
        <v>128</v>
      </c>
      <c r="D1111">
        <v>3100</v>
      </c>
      <c r="E1111">
        <v>3100</v>
      </c>
      <c r="F1111">
        <v>5.9470000000000001</v>
      </c>
      <c r="G1111">
        <v>2085.79</v>
      </c>
      <c r="H1111">
        <v>11.32</v>
      </c>
      <c r="I1111" s="309">
        <v>20522</v>
      </c>
      <c r="J1111">
        <v>6.62</v>
      </c>
      <c r="K1111" s="133">
        <v>4.63045141621483E-2</v>
      </c>
      <c r="L1111" s="181">
        <v>-62</v>
      </c>
      <c r="N1111" s="73">
        <v>1735.8420000000001</v>
      </c>
      <c r="O1111" s="73">
        <v>335.04109130434699</v>
      </c>
      <c r="P1111" s="182">
        <v>5</v>
      </c>
      <c r="Q1111" s="182">
        <v>2500</v>
      </c>
      <c r="R1111" s="46">
        <v>6.8440000000000003</v>
      </c>
      <c r="S1111" s="46">
        <v>0</v>
      </c>
      <c r="T1111" s="46">
        <v>0</v>
      </c>
      <c r="U1111" s="46">
        <v>0</v>
      </c>
      <c r="V1111" s="46" t="s">
        <v>62</v>
      </c>
      <c r="W1111" s="46">
        <v>2500</v>
      </c>
      <c r="X1111" s="46">
        <v>6.8440000000000003</v>
      </c>
      <c r="Y1111" s="193">
        <v>6.7240000000000002</v>
      </c>
      <c r="Z1111" s="193">
        <v>6.4119999999999999</v>
      </c>
      <c r="AA1111" s="193">
        <v>6.9870000000000001</v>
      </c>
      <c r="AB1111" s="46">
        <v>6.58</v>
      </c>
      <c r="AC1111" s="46">
        <v>6.66</v>
      </c>
      <c r="AD1111" s="46">
        <v>6.57</v>
      </c>
      <c r="AE1111" s="46">
        <v>6.62</v>
      </c>
    </row>
    <row r="1112" spans="1:31" x14ac:dyDescent="0.25">
      <c r="A1112" s="136">
        <v>43007</v>
      </c>
      <c r="B1112" s="201" t="s">
        <v>67</v>
      </c>
      <c r="C1112" t="s">
        <v>129</v>
      </c>
      <c r="D1112">
        <v>7250</v>
      </c>
      <c r="E1112">
        <v>7250</v>
      </c>
      <c r="F1112">
        <v>9.0719999999999992</v>
      </c>
      <c r="G1112">
        <v>-1244.45</v>
      </c>
      <c r="H1112">
        <v>-1.89</v>
      </c>
      <c r="I1112" s="309">
        <v>64525</v>
      </c>
      <c r="J1112">
        <v>8.9</v>
      </c>
      <c r="K1112" s="133">
        <v>0.14559003880287599</v>
      </c>
      <c r="L1112" s="181">
        <v>542.91999999999996</v>
      </c>
      <c r="N1112" s="73">
        <v>31713.6709999999</v>
      </c>
      <c r="O1112" s="73">
        <v>-118.702923098461</v>
      </c>
      <c r="P1112" s="182">
        <v>15</v>
      </c>
      <c r="Q1112" s="182">
        <v>7500</v>
      </c>
      <c r="R1112" s="46">
        <v>6.181</v>
      </c>
      <c r="S1112" s="46">
        <v>11</v>
      </c>
      <c r="T1112" s="46">
        <v>4800</v>
      </c>
      <c r="U1112" s="46">
        <v>8.7789999999999999</v>
      </c>
      <c r="V1112" s="46" t="s">
        <v>62</v>
      </c>
      <c r="W1112" s="46">
        <v>2700</v>
      </c>
      <c r="X1112" s="46">
        <v>1.5620000000000001</v>
      </c>
      <c r="Y1112" s="193">
        <v>8.9169999999999998</v>
      </c>
      <c r="Z1112" s="193">
        <v>9.2309999999999999</v>
      </c>
      <c r="AA1112" s="193">
        <v>9.0760000000000005</v>
      </c>
      <c r="AB1112" s="46">
        <v>8.81</v>
      </c>
      <c r="AC1112" s="46">
        <v>8.9499999999999993</v>
      </c>
      <c r="AD1112" s="46">
        <v>8.8000000000000007</v>
      </c>
      <c r="AE1112" s="46">
        <v>8.9</v>
      </c>
    </row>
    <row r="1113" spans="1:31" x14ac:dyDescent="0.25">
      <c r="A1113" s="136">
        <v>43007</v>
      </c>
      <c r="B1113" s="201" t="s">
        <v>72</v>
      </c>
      <c r="C1113" t="s">
        <v>130</v>
      </c>
      <c r="D1113">
        <v>2100</v>
      </c>
      <c r="E1113">
        <v>2100</v>
      </c>
      <c r="F1113">
        <v>8.4559999999999995</v>
      </c>
      <c r="G1113">
        <v>-1146.8800000000001</v>
      </c>
      <c r="H1113">
        <v>-6.46</v>
      </c>
      <c r="I1113" s="309">
        <v>16611</v>
      </c>
      <c r="J1113">
        <v>7.91</v>
      </c>
      <c r="K1113" s="133">
        <v>3.7479986587440103E-2</v>
      </c>
      <c r="L1113" s="181">
        <v>0</v>
      </c>
      <c r="N1113" s="73">
        <v>-1347.5799999999899</v>
      </c>
      <c r="O1113" s="73">
        <v>-142.08422537878499</v>
      </c>
      <c r="P1113" s="182">
        <v>0</v>
      </c>
      <c r="Q1113" s="182">
        <v>0</v>
      </c>
      <c r="R1113" s="46">
        <v>0</v>
      </c>
      <c r="S1113" s="46">
        <v>10</v>
      </c>
      <c r="T1113" s="46">
        <v>5000</v>
      </c>
      <c r="U1113" s="46">
        <v>7.423</v>
      </c>
      <c r="V1113" s="46" t="s">
        <v>68</v>
      </c>
      <c r="W1113" s="46">
        <v>5000</v>
      </c>
      <c r="X1113" s="46">
        <v>7.423</v>
      </c>
    </row>
    <row r="1114" spans="1:31" x14ac:dyDescent="0.25">
      <c r="A1114" s="136">
        <v>43007</v>
      </c>
      <c r="B1114" s="201" t="s">
        <v>70</v>
      </c>
      <c r="C1114" t="s">
        <v>131</v>
      </c>
      <c r="D1114">
        <v>7200</v>
      </c>
      <c r="E1114">
        <v>7200</v>
      </c>
      <c r="F1114">
        <v>12.625</v>
      </c>
      <c r="G1114">
        <v>538.13</v>
      </c>
      <c r="H1114">
        <v>0.6</v>
      </c>
      <c r="I1114" s="309">
        <v>91440</v>
      </c>
      <c r="J1114">
        <v>12.7</v>
      </c>
      <c r="K1114" s="133">
        <v>0.20631930489167</v>
      </c>
      <c r="L1114" s="181">
        <v>-720</v>
      </c>
      <c r="N1114" s="73">
        <v>1974.14199999998</v>
      </c>
      <c r="O1114" s="73">
        <v>152.95774643410701</v>
      </c>
      <c r="P1114" s="182">
        <v>0</v>
      </c>
      <c r="Q1114" s="182">
        <v>0</v>
      </c>
      <c r="R1114" s="46">
        <v>0</v>
      </c>
      <c r="S1114" s="46">
        <v>7</v>
      </c>
      <c r="T1114" s="46">
        <v>2800</v>
      </c>
      <c r="U1114" s="46">
        <v>13.307</v>
      </c>
      <c r="V1114" s="46" t="s">
        <v>68</v>
      </c>
      <c r="W1114" s="46">
        <v>2800</v>
      </c>
      <c r="X1114" s="46">
        <v>13.307</v>
      </c>
      <c r="Y1114" s="194">
        <v>12.693</v>
      </c>
      <c r="Z1114" s="194">
        <v>12.725</v>
      </c>
      <c r="AA1114" s="194">
        <v>12.617000000000001</v>
      </c>
      <c r="AB1114" s="46">
        <v>12.71</v>
      </c>
      <c r="AC1114" s="46">
        <v>12.8</v>
      </c>
      <c r="AD1114" s="46">
        <v>12.66</v>
      </c>
      <c r="AE1114" s="46">
        <v>12.7</v>
      </c>
    </row>
    <row r="1115" spans="1:31" x14ac:dyDescent="0.25">
      <c r="A1115" s="136">
        <v>43007</v>
      </c>
      <c r="B1115" s="201" t="s">
        <v>137</v>
      </c>
      <c r="C1115" t="s">
        <v>138</v>
      </c>
      <c r="D1115">
        <v>500</v>
      </c>
      <c r="E1115">
        <v>500</v>
      </c>
      <c r="F1115">
        <v>13.14</v>
      </c>
      <c r="G1115">
        <v>17970</v>
      </c>
      <c r="H1115">
        <v>273.52</v>
      </c>
      <c r="I1115" s="309">
        <v>24540</v>
      </c>
      <c r="J1115">
        <v>49.08</v>
      </c>
      <c r="K1115" s="133">
        <v>5.5370469619877197E-2</v>
      </c>
      <c r="L1115" s="181">
        <v>4260</v>
      </c>
    </row>
    <row r="1116" spans="1:31" x14ac:dyDescent="0.25">
      <c r="A1116" s="136">
        <v>43007</v>
      </c>
      <c r="B1116" s="201" t="s">
        <v>133</v>
      </c>
      <c r="C1116" t="s">
        <v>134</v>
      </c>
      <c r="D1116">
        <v>36000</v>
      </c>
      <c r="E1116">
        <v>0</v>
      </c>
      <c r="F1116">
        <v>1</v>
      </c>
      <c r="G1116">
        <v>-1.8</v>
      </c>
      <c r="H1116">
        <v>0</v>
      </c>
      <c r="I1116" s="309">
        <v>36000</v>
      </c>
      <c r="J1116">
        <v>1</v>
      </c>
      <c r="K1116" s="133">
        <v>8.1228072791995898E-2</v>
      </c>
      <c r="L1116" s="181">
        <v>1.4</v>
      </c>
    </row>
    <row r="1117" spans="1:31" x14ac:dyDescent="0.25">
      <c r="A1117" s="136">
        <v>43007</v>
      </c>
      <c r="B1117" s="201" t="s">
        <v>835</v>
      </c>
      <c r="C1117" t="s">
        <v>839</v>
      </c>
      <c r="I1117" s="309">
        <v>224.07</v>
      </c>
      <c r="K1117" s="133">
        <v>5.05577063069515E-4</v>
      </c>
      <c r="L1117" s="181">
        <v>0</v>
      </c>
    </row>
    <row r="1118" spans="1:31" x14ac:dyDescent="0.25">
      <c r="A1118" s="136">
        <v>43017</v>
      </c>
      <c r="B1118" s="201" t="s">
        <v>132</v>
      </c>
      <c r="C1118" t="s">
        <v>123</v>
      </c>
      <c r="D1118">
        <v>35729</v>
      </c>
      <c r="E1118">
        <v>35729</v>
      </c>
      <c r="F1118">
        <v>-6.4000000000000001E-2</v>
      </c>
      <c r="G1118">
        <v>2643.9459999999999</v>
      </c>
      <c r="H1118">
        <v>0</v>
      </c>
      <c r="I1118" s="309">
        <v>357.29</v>
      </c>
      <c r="J1118">
        <v>0.01</v>
      </c>
      <c r="K1118" s="133">
        <v>8.0032644735405904E-4</v>
      </c>
      <c r="L1118" s="181">
        <v>26.049999999999699</v>
      </c>
    </row>
    <row r="1119" spans="1:31" x14ac:dyDescent="0.25">
      <c r="A1119" s="136">
        <v>43017</v>
      </c>
      <c r="B1119" s="201" t="s">
        <v>61</v>
      </c>
      <c r="C1119" t="s">
        <v>136</v>
      </c>
      <c r="D1119">
        <v>2400</v>
      </c>
      <c r="E1119">
        <v>2400</v>
      </c>
      <c r="F1119">
        <v>5.3570000000000002</v>
      </c>
      <c r="G1119">
        <v>55.81</v>
      </c>
      <c r="H1119">
        <v>0.43</v>
      </c>
      <c r="I1119" s="309">
        <v>12912</v>
      </c>
      <c r="J1119">
        <v>5.38</v>
      </c>
      <c r="K1119" s="133">
        <v>2.89227660674399E-2</v>
      </c>
      <c r="L1119" s="181">
        <v>164.8</v>
      </c>
      <c r="N1119" s="73">
        <v>77.011999999998807</v>
      </c>
      <c r="O1119" s="73">
        <v>14.280796660482199</v>
      </c>
      <c r="P1119" s="182">
        <v>5</v>
      </c>
      <c r="Q1119" s="182">
        <v>2500</v>
      </c>
      <c r="R1119" s="46">
        <v>5.3819999999999997</v>
      </c>
      <c r="S1119" s="46">
        <v>1</v>
      </c>
      <c r="T1119" s="46">
        <v>400</v>
      </c>
      <c r="U1119" s="46">
        <v>5.39</v>
      </c>
      <c r="V1119" s="46" t="s">
        <v>62</v>
      </c>
      <c r="W1119" s="46">
        <v>2100</v>
      </c>
      <c r="X1119" s="46">
        <v>5.38</v>
      </c>
    </row>
    <row r="1120" spans="1:31" x14ac:dyDescent="0.25">
      <c r="A1120" s="136">
        <v>43017</v>
      </c>
      <c r="B1120" s="201" t="s">
        <v>124</v>
      </c>
      <c r="C1120" t="s">
        <v>125</v>
      </c>
      <c r="D1120">
        <v>100</v>
      </c>
      <c r="E1120">
        <v>100</v>
      </c>
      <c r="F1120">
        <v>-53.579000000000001</v>
      </c>
      <c r="G1120">
        <v>5967.9</v>
      </c>
      <c r="H1120">
        <v>0</v>
      </c>
      <c r="I1120" s="309">
        <v>610</v>
      </c>
      <c r="J1120">
        <v>6.1</v>
      </c>
      <c r="K1120" s="133">
        <v>1.36639461749832E-3</v>
      </c>
      <c r="L1120" s="181">
        <v>10</v>
      </c>
      <c r="N1120" s="73">
        <v>5995.0890000000099</v>
      </c>
      <c r="O1120" s="73">
        <v>1102.4501845505599</v>
      </c>
      <c r="P1120" s="182">
        <v>0</v>
      </c>
      <c r="Q1120" s="182">
        <v>0</v>
      </c>
      <c r="R1120" s="46">
        <v>0</v>
      </c>
      <c r="S1120" s="46">
        <v>5</v>
      </c>
      <c r="T1120" s="46">
        <v>2300</v>
      </c>
      <c r="U1120" s="46">
        <v>4.99</v>
      </c>
      <c r="V1120" s="46" t="s">
        <v>68</v>
      </c>
      <c r="W1120" s="46">
        <v>2300</v>
      </c>
      <c r="X1120" s="46">
        <v>4.99</v>
      </c>
      <c r="Y1120" s="193">
        <v>6.6749999999999998</v>
      </c>
      <c r="Z1120" s="193">
        <v>5.2919999999999998</v>
      </c>
      <c r="AA1120" s="193">
        <v>5.4130000000000003</v>
      </c>
      <c r="AB1120" s="46">
        <v>6.27</v>
      </c>
      <c r="AC1120" s="46">
        <v>6.33</v>
      </c>
      <c r="AD1120" s="46">
        <v>6.02</v>
      </c>
      <c r="AE1120" s="46">
        <v>6.1</v>
      </c>
    </row>
    <row r="1121" spans="1:31" x14ac:dyDescent="0.25">
      <c r="A1121" s="136">
        <v>43017</v>
      </c>
      <c r="B1121" s="201" t="s">
        <v>71</v>
      </c>
      <c r="C1121" t="s">
        <v>126</v>
      </c>
      <c r="D1121">
        <v>4200</v>
      </c>
      <c r="E1121">
        <v>4200</v>
      </c>
      <c r="F1121">
        <v>6.11</v>
      </c>
      <c r="G1121">
        <v>1093.47</v>
      </c>
      <c r="H1121">
        <v>4.26</v>
      </c>
      <c r="I1121" s="309">
        <v>26754</v>
      </c>
      <c r="J1121">
        <v>6.37</v>
      </c>
      <c r="K1121" s="133">
        <v>5.9928723928770702E-2</v>
      </c>
      <c r="L1121" s="181">
        <v>370.7</v>
      </c>
      <c r="N1121" s="73">
        <v>1293.67200000001</v>
      </c>
      <c r="O1121" s="73">
        <v>233.109353013912</v>
      </c>
      <c r="P1121" s="182">
        <v>7</v>
      </c>
      <c r="Q1121" s="182">
        <v>3500</v>
      </c>
      <c r="R1121" s="46">
        <v>6.4</v>
      </c>
      <c r="S1121" s="46">
        <v>1</v>
      </c>
      <c r="T1121" s="46">
        <v>500</v>
      </c>
      <c r="U1121" s="46">
        <v>6.47</v>
      </c>
      <c r="V1121" s="46" t="s">
        <v>62</v>
      </c>
      <c r="W1121" s="46">
        <v>3000</v>
      </c>
      <c r="X1121" s="46">
        <v>6.3879999999999999</v>
      </c>
      <c r="Y1121" s="193">
        <v>7.0410000000000004</v>
      </c>
      <c r="Z1121" s="194">
        <v>6.6539999999999999</v>
      </c>
      <c r="AA1121" s="194">
        <v>6.726</v>
      </c>
      <c r="AB1121" s="46">
        <v>6.45</v>
      </c>
      <c r="AC1121" s="46">
        <v>6.48</v>
      </c>
      <c r="AD1121" s="46">
        <v>6.37</v>
      </c>
      <c r="AE1121" s="46">
        <v>6.37</v>
      </c>
    </row>
    <row r="1122" spans="1:31" x14ac:dyDescent="0.25">
      <c r="A1122" s="136">
        <v>43017</v>
      </c>
      <c r="B1122" s="201" t="s">
        <v>135</v>
      </c>
      <c r="C1122" t="s">
        <v>139</v>
      </c>
      <c r="D1122">
        <v>500000</v>
      </c>
      <c r="E1122">
        <v>500000</v>
      </c>
      <c r="F1122">
        <v>1</v>
      </c>
      <c r="G1122">
        <v>107.89</v>
      </c>
      <c r="H1122">
        <v>0</v>
      </c>
      <c r="I1122" s="309">
        <v>100000</v>
      </c>
      <c r="J1122">
        <v>1</v>
      </c>
      <c r="K1122" s="133">
        <v>0.22399911762267599</v>
      </c>
      <c r="L1122" s="181">
        <v>132.88999999999999</v>
      </c>
    </row>
    <row r="1123" spans="1:31" x14ac:dyDescent="0.25">
      <c r="A1123" s="136">
        <v>43017</v>
      </c>
      <c r="B1123" s="201" t="s">
        <v>65</v>
      </c>
      <c r="C1123" t="s">
        <v>127</v>
      </c>
      <c r="D1123">
        <v>3600</v>
      </c>
      <c r="E1123">
        <v>3600</v>
      </c>
      <c r="F1123">
        <v>7.5529999999999999</v>
      </c>
      <c r="G1123">
        <v>16910.3</v>
      </c>
      <c r="H1123">
        <v>62.19</v>
      </c>
      <c r="I1123" s="309">
        <v>44100</v>
      </c>
      <c r="J1123">
        <v>12.25</v>
      </c>
      <c r="K1123" s="133">
        <v>9.8783610871599994E-2</v>
      </c>
      <c r="L1123" s="181">
        <v>216</v>
      </c>
      <c r="N1123" s="73">
        <v>12983.844999999999</v>
      </c>
      <c r="O1123" s="73">
        <v>1372.40096648238</v>
      </c>
      <c r="P1123" s="182">
        <v>0</v>
      </c>
      <c r="Q1123" s="182">
        <v>0</v>
      </c>
      <c r="R1123" s="46">
        <v>0</v>
      </c>
      <c r="S1123" s="46">
        <v>33</v>
      </c>
      <c r="T1123" s="46">
        <v>13500</v>
      </c>
      <c r="U1123" s="46">
        <v>12.223000000000001</v>
      </c>
      <c r="V1123" s="46" t="s">
        <v>68</v>
      </c>
      <c r="W1123" s="46">
        <v>13500</v>
      </c>
      <c r="X1123" s="46">
        <v>12.223000000000001</v>
      </c>
      <c r="Y1123" s="194">
        <v>12.269</v>
      </c>
      <c r="Z1123" s="194">
        <v>11.593</v>
      </c>
      <c r="AA1123" s="194">
        <v>11.962999999999999</v>
      </c>
      <c r="AB1123" s="46">
        <v>12.48</v>
      </c>
      <c r="AC1123" s="46">
        <v>12.5</v>
      </c>
      <c r="AD1123" s="46">
        <v>12.18</v>
      </c>
      <c r="AE1123" s="46">
        <v>12.25</v>
      </c>
    </row>
    <row r="1124" spans="1:31" x14ac:dyDescent="0.25">
      <c r="A1124" s="136">
        <v>43017</v>
      </c>
      <c r="B1124" s="201" t="s">
        <v>77</v>
      </c>
      <c r="C1124" t="s">
        <v>128</v>
      </c>
      <c r="D1124">
        <v>3100</v>
      </c>
      <c r="E1124">
        <v>3100</v>
      </c>
      <c r="F1124">
        <v>5.9470000000000001</v>
      </c>
      <c r="G1124">
        <v>2271.79</v>
      </c>
      <c r="H1124">
        <v>12.33</v>
      </c>
      <c r="I1124" s="309">
        <v>20708</v>
      </c>
      <c r="J1124">
        <v>6.68</v>
      </c>
      <c r="K1124" s="133">
        <v>4.6385737277303697E-2</v>
      </c>
      <c r="L1124" s="181">
        <v>186</v>
      </c>
      <c r="N1124" s="73">
        <v>1735.8420000000001</v>
      </c>
      <c r="O1124" s="73">
        <v>335.04109130434699</v>
      </c>
      <c r="P1124" s="182">
        <v>5</v>
      </c>
      <c r="Q1124" s="182">
        <v>2500</v>
      </c>
      <c r="R1124" s="46">
        <v>6.8440000000000003</v>
      </c>
      <c r="S1124" s="46">
        <v>0</v>
      </c>
      <c r="T1124" s="46">
        <v>0</v>
      </c>
      <c r="U1124" s="46">
        <v>0</v>
      </c>
      <c r="V1124" s="46" t="s">
        <v>62</v>
      </c>
      <c r="W1124" s="46">
        <v>2500</v>
      </c>
      <c r="X1124" s="46">
        <v>6.8440000000000003</v>
      </c>
      <c r="Y1124" s="193">
        <v>7.7949999999999999</v>
      </c>
      <c r="Z1124" s="193">
        <v>6.4370000000000003</v>
      </c>
      <c r="AA1124" s="193">
        <v>6.984</v>
      </c>
      <c r="AB1124" s="46">
        <v>6.71</v>
      </c>
      <c r="AC1124" s="46">
        <v>6.73</v>
      </c>
      <c r="AD1124" s="46">
        <v>6.66</v>
      </c>
      <c r="AE1124" s="46">
        <v>6.68</v>
      </c>
    </row>
    <row r="1125" spans="1:31" x14ac:dyDescent="0.25">
      <c r="A1125" s="136">
        <v>43017</v>
      </c>
      <c r="B1125" s="201" t="s">
        <v>67</v>
      </c>
      <c r="C1125" t="s">
        <v>129</v>
      </c>
      <c r="D1125">
        <v>6450</v>
      </c>
      <c r="E1125">
        <v>6450</v>
      </c>
      <c r="F1125">
        <v>9.0730000000000004</v>
      </c>
      <c r="G1125">
        <v>-21.22</v>
      </c>
      <c r="H1125">
        <v>-0.03</v>
      </c>
      <c r="I1125" s="309">
        <v>58501.5</v>
      </c>
      <c r="J1125">
        <v>9.07</v>
      </c>
      <c r="K1125" s="133">
        <v>0.13104284379603001</v>
      </c>
      <c r="L1125" s="181">
        <v>1223.23</v>
      </c>
      <c r="N1125" s="73">
        <v>32880.906999999897</v>
      </c>
      <c r="O1125" s="73">
        <v>11.6004674917224</v>
      </c>
      <c r="P1125" s="182">
        <v>15</v>
      </c>
      <c r="Q1125" s="182">
        <v>7500</v>
      </c>
      <c r="R1125" s="46">
        <v>6.181</v>
      </c>
      <c r="S1125" s="46">
        <v>12</v>
      </c>
      <c r="T1125" s="46">
        <v>5200</v>
      </c>
      <c r="U1125" s="46">
        <v>8.8209999999999997</v>
      </c>
      <c r="V1125" s="46" t="s">
        <v>62</v>
      </c>
      <c r="W1125" s="46">
        <v>2300</v>
      </c>
      <c r="X1125" s="46">
        <v>0.21199999999999999</v>
      </c>
      <c r="Y1125" s="193">
        <v>9.0839999999999996</v>
      </c>
      <c r="Z1125" s="193">
        <v>9.2170000000000005</v>
      </c>
      <c r="AA1125" s="193">
        <v>9.0760000000000005</v>
      </c>
      <c r="AB1125" s="46">
        <v>8.9700000000000006</v>
      </c>
      <c r="AC1125" s="46">
        <v>9.1</v>
      </c>
      <c r="AD1125" s="46">
        <v>8.9700000000000006</v>
      </c>
      <c r="AE1125" s="46">
        <v>9.07</v>
      </c>
    </row>
    <row r="1126" spans="1:31" x14ac:dyDescent="0.25">
      <c r="A1126" s="136">
        <v>43017</v>
      </c>
      <c r="B1126" s="201" t="s">
        <v>72</v>
      </c>
      <c r="C1126" t="s">
        <v>130</v>
      </c>
      <c r="D1126">
        <v>2100</v>
      </c>
      <c r="E1126">
        <v>2100</v>
      </c>
      <c r="F1126">
        <v>8.4559999999999995</v>
      </c>
      <c r="G1126">
        <v>-1146.8800000000001</v>
      </c>
      <c r="H1126">
        <v>-6.46</v>
      </c>
      <c r="I1126" s="309">
        <v>16611</v>
      </c>
      <c r="J1126">
        <v>7.91</v>
      </c>
      <c r="K1126" s="133">
        <v>3.7208493428302701E-2</v>
      </c>
      <c r="L1126" s="181">
        <v>0</v>
      </c>
      <c r="N1126" s="73">
        <v>-1347.5799999999899</v>
      </c>
      <c r="O1126" s="73">
        <v>-142.08422537878499</v>
      </c>
      <c r="P1126" s="182">
        <v>0</v>
      </c>
      <c r="Q1126" s="182">
        <v>0</v>
      </c>
      <c r="R1126" s="46">
        <v>0</v>
      </c>
      <c r="S1126" s="46">
        <v>10</v>
      </c>
      <c r="T1126" s="46">
        <v>5000</v>
      </c>
      <c r="U1126" s="46">
        <v>7.423</v>
      </c>
      <c r="V1126" s="46" t="s">
        <v>68</v>
      </c>
      <c r="W1126" s="46">
        <v>5000</v>
      </c>
      <c r="X1126" s="46">
        <v>7.423</v>
      </c>
    </row>
    <row r="1127" spans="1:31" x14ac:dyDescent="0.25">
      <c r="A1127" s="136">
        <v>43017</v>
      </c>
      <c r="B1127" s="201" t="s">
        <v>70</v>
      </c>
      <c r="C1127" t="s">
        <v>131</v>
      </c>
      <c r="D1127">
        <v>6800</v>
      </c>
      <c r="E1127">
        <v>6800</v>
      </c>
      <c r="F1127">
        <v>12.609</v>
      </c>
      <c r="G1127">
        <v>1703.96</v>
      </c>
      <c r="H1127">
        <v>1.99</v>
      </c>
      <c r="I1127" s="309">
        <v>87448</v>
      </c>
      <c r="J1127">
        <v>12.86</v>
      </c>
      <c r="K1127" s="133">
        <v>0.195882748378678</v>
      </c>
      <c r="L1127" s="181">
        <v>1165.83</v>
      </c>
      <c r="N1127" s="73">
        <v>2107.9739999999701</v>
      </c>
      <c r="O1127" s="73">
        <v>163.07430441176299</v>
      </c>
      <c r="P1127" s="182">
        <v>0</v>
      </c>
      <c r="Q1127" s="182">
        <v>0</v>
      </c>
      <c r="R1127" s="46">
        <v>0</v>
      </c>
      <c r="S1127" s="46">
        <v>8</v>
      </c>
      <c r="T1127" s="46">
        <v>3200</v>
      </c>
      <c r="U1127" s="46">
        <v>13.259</v>
      </c>
      <c r="V1127" s="46" t="s">
        <v>68</v>
      </c>
      <c r="W1127" s="46">
        <v>3200</v>
      </c>
      <c r="X1127" s="46">
        <v>13.259</v>
      </c>
      <c r="Y1127" s="194">
        <v>12.747</v>
      </c>
      <c r="Z1127" s="194">
        <v>12.725</v>
      </c>
      <c r="AA1127" s="194">
        <v>12.622999999999999</v>
      </c>
      <c r="AB1127" s="46">
        <v>12.87</v>
      </c>
      <c r="AC1127" s="46">
        <v>12.96</v>
      </c>
      <c r="AD1127" s="46">
        <v>12.83</v>
      </c>
      <c r="AE1127" s="46">
        <v>12.86</v>
      </c>
    </row>
    <row r="1128" spans="1:31" x14ac:dyDescent="0.25">
      <c r="A1128" s="136">
        <v>43017</v>
      </c>
      <c r="B1128" s="201" t="s">
        <v>137</v>
      </c>
      <c r="C1128" t="s">
        <v>138</v>
      </c>
      <c r="D1128">
        <v>100</v>
      </c>
      <c r="E1128">
        <v>100</v>
      </c>
      <c r="F1128">
        <v>-130.48500000000001</v>
      </c>
      <c r="G1128">
        <v>17711.5</v>
      </c>
      <c r="H1128">
        <v>0</v>
      </c>
      <c r="I1128" s="309">
        <v>4663</v>
      </c>
      <c r="J1128">
        <v>46.63</v>
      </c>
      <c r="K1128" s="133">
        <v>1.0445078854745399E-2</v>
      </c>
      <c r="L1128" s="181">
        <v>-258.5</v>
      </c>
    </row>
    <row r="1129" spans="1:31" x14ac:dyDescent="0.25">
      <c r="A1129" s="136">
        <v>43017</v>
      </c>
      <c r="B1129" s="201" t="s">
        <v>133</v>
      </c>
      <c r="C1129" t="s">
        <v>134</v>
      </c>
      <c r="D1129">
        <v>73000</v>
      </c>
      <c r="E1129">
        <v>73000</v>
      </c>
      <c r="F1129">
        <v>1</v>
      </c>
      <c r="G1129">
        <v>8.19</v>
      </c>
      <c r="H1129">
        <v>0</v>
      </c>
      <c r="I1129" s="309">
        <v>73000</v>
      </c>
      <c r="J1129">
        <v>1</v>
      </c>
      <c r="K1129" s="133">
        <v>0.16351935586455299</v>
      </c>
      <c r="L1129" s="181">
        <v>9.99</v>
      </c>
    </row>
    <row r="1130" spans="1:31" x14ac:dyDescent="0.25">
      <c r="A1130" s="136">
        <v>43017</v>
      </c>
      <c r="B1130" s="201" t="s">
        <v>835</v>
      </c>
      <c r="C1130" t="s">
        <v>839</v>
      </c>
      <c r="I1130" s="309">
        <v>765.54</v>
      </c>
      <c r="K1130" s="133">
        <v>1.7148028450486299E-3</v>
      </c>
      <c r="L1130" s="181">
        <v>0</v>
      </c>
    </row>
    <row r="1131" spans="1:31" x14ac:dyDescent="0.25">
      <c r="A1131" s="136">
        <v>43018</v>
      </c>
      <c r="B1131" s="201" t="s">
        <v>132</v>
      </c>
      <c r="C1131" t="s">
        <v>123</v>
      </c>
      <c r="D1131">
        <v>35734</v>
      </c>
      <c r="E1131">
        <v>35734</v>
      </c>
      <c r="F1131">
        <v>-6.4000000000000001E-2</v>
      </c>
      <c r="G1131">
        <v>2644.3159999999998</v>
      </c>
      <c r="H1131">
        <v>0</v>
      </c>
      <c r="I1131" s="309">
        <v>357.34</v>
      </c>
      <c r="J1131">
        <v>0.01</v>
      </c>
      <c r="K1131" s="133">
        <v>7.9757977148069495E-4</v>
      </c>
      <c r="L1131" s="181">
        <v>0.36999999999989103</v>
      </c>
    </row>
    <row r="1132" spans="1:31" x14ac:dyDescent="0.25">
      <c r="A1132" s="136">
        <v>43018</v>
      </c>
      <c r="B1132" s="201" t="s">
        <v>61</v>
      </c>
      <c r="C1132" t="s">
        <v>136</v>
      </c>
      <c r="D1132">
        <v>2400</v>
      </c>
      <c r="E1132">
        <v>2400</v>
      </c>
      <c r="F1132">
        <v>5.3570000000000002</v>
      </c>
      <c r="G1132">
        <v>103.81</v>
      </c>
      <c r="H1132">
        <v>0.8</v>
      </c>
      <c r="I1132" s="309">
        <v>12960</v>
      </c>
      <c r="J1132">
        <v>5.4</v>
      </c>
      <c r="K1132" s="133">
        <v>2.8926607260283801E-2</v>
      </c>
      <c r="L1132" s="181">
        <v>48</v>
      </c>
      <c r="N1132" s="73">
        <v>77.011999999998807</v>
      </c>
      <c r="O1132" s="73">
        <v>14.280796660482199</v>
      </c>
      <c r="P1132" s="182">
        <v>5</v>
      </c>
      <c r="Q1132" s="182">
        <v>2500</v>
      </c>
      <c r="R1132" s="46">
        <v>5.3819999999999997</v>
      </c>
      <c r="S1132" s="46">
        <v>1</v>
      </c>
      <c r="T1132" s="46">
        <v>400</v>
      </c>
      <c r="U1132" s="46">
        <v>5.39</v>
      </c>
      <c r="V1132" s="46" t="s">
        <v>62</v>
      </c>
      <c r="W1132" s="46">
        <v>2100</v>
      </c>
      <c r="X1132" s="46">
        <v>5.38</v>
      </c>
    </row>
    <row r="1133" spans="1:31" x14ac:dyDescent="0.25">
      <c r="A1133" s="136">
        <v>43018</v>
      </c>
      <c r="B1133" s="201" t="s">
        <v>124</v>
      </c>
      <c r="C1133" t="s">
        <v>125</v>
      </c>
      <c r="D1133">
        <v>100</v>
      </c>
      <c r="E1133">
        <v>100</v>
      </c>
      <c r="F1133">
        <v>-53.579000000000001</v>
      </c>
      <c r="G1133">
        <v>5971.9</v>
      </c>
      <c r="H1133">
        <v>0</v>
      </c>
      <c r="I1133" s="309">
        <v>614</v>
      </c>
      <c r="J1133">
        <v>6.14</v>
      </c>
      <c r="K1133" s="133">
        <v>1.3704426587819599E-3</v>
      </c>
      <c r="L1133" s="181">
        <v>4</v>
      </c>
      <c r="N1133" s="73">
        <v>5995.0890000000099</v>
      </c>
      <c r="O1133" s="73">
        <v>1102.4501845505599</v>
      </c>
      <c r="P1133" s="182">
        <v>0</v>
      </c>
      <c r="Q1133" s="182">
        <v>0</v>
      </c>
      <c r="R1133" s="46">
        <v>0</v>
      </c>
      <c r="S1133" s="46">
        <v>5</v>
      </c>
      <c r="T1133" s="46">
        <v>2300</v>
      </c>
      <c r="U1133" s="46">
        <v>4.99</v>
      </c>
      <c r="V1133" s="46" t="s">
        <v>68</v>
      </c>
      <c r="W1133" s="46">
        <v>2300</v>
      </c>
      <c r="X1133" s="46">
        <v>4.99</v>
      </c>
      <c r="Y1133" s="193">
        <v>6.5670000000000002</v>
      </c>
      <c r="Z1133" s="193">
        <v>5.3079999999999998</v>
      </c>
      <c r="AA1133" s="193">
        <v>5.4509999999999996</v>
      </c>
      <c r="AB1133" s="46">
        <v>6.09</v>
      </c>
      <c r="AC1133" s="46">
        <v>6.19</v>
      </c>
      <c r="AD1133" s="46">
        <v>5.99</v>
      </c>
      <c r="AE1133" s="46">
        <v>6.14</v>
      </c>
    </row>
    <row r="1134" spans="1:31" x14ac:dyDescent="0.25">
      <c r="A1134" s="136">
        <v>43018</v>
      </c>
      <c r="B1134" s="201" t="s">
        <v>71</v>
      </c>
      <c r="C1134" t="s">
        <v>126</v>
      </c>
      <c r="D1134">
        <v>4200</v>
      </c>
      <c r="E1134">
        <v>4200</v>
      </c>
      <c r="F1134">
        <v>6.11</v>
      </c>
      <c r="G1134">
        <v>1219.47</v>
      </c>
      <c r="H1134">
        <v>4.75</v>
      </c>
      <c r="I1134" s="309">
        <v>26880</v>
      </c>
      <c r="J1134">
        <v>6.4</v>
      </c>
      <c r="K1134" s="133">
        <v>5.99959261694775E-2</v>
      </c>
      <c r="L1134" s="181">
        <v>126</v>
      </c>
      <c r="N1134" s="73">
        <v>1293.67200000001</v>
      </c>
      <c r="O1134" s="73">
        <v>233.109353013912</v>
      </c>
      <c r="P1134" s="182">
        <v>7</v>
      </c>
      <c r="Q1134" s="182">
        <v>3500</v>
      </c>
      <c r="R1134" s="46">
        <v>6.4</v>
      </c>
      <c r="S1134" s="46">
        <v>1</v>
      </c>
      <c r="T1134" s="46">
        <v>500</v>
      </c>
      <c r="U1134" s="46">
        <v>6.47</v>
      </c>
      <c r="V1134" s="46" t="s">
        <v>62</v>
      </c>
      <c r="W1134" s="46">
        <v>3000</v>
      </c>
      <c r="X1134" s="46">
        <v>6.3879999999999999</v>
      </c>
      <c r="Y1134" s="193">
        <v>6.399</v>
      </c>
      <c r="Z1134" s="194">
        <v>6.7249999999999996</v>
      </c>
      <c r="AA1134" s="194">
        <v>6.7210000000000001</v>
      </c>
      <c r="AB1134" s="46">
        <v>6.37</v>
      </c>
      <c r="AC1134" s="46">
        <v>6.41</v>
      </c>
      <c r="AD1134" s="46">
        <v>6.35</v>
      </c>
      <c r="AE1134" s="46">
        <v>6.4</v>
      </c>
    </row>
    <row r="1135" spans="1:31" x14ac:dyDescent="0.25">
      <c r="A1135" s="136">
        <v>43018</v>
      </c>
      <c r="B1135" s="201" t="s">
        <v>135</v>
      </c>
      <c r="C1135" t="s">
        <v>139</v>
      </c>
      <c r="D1135">
        <v>200000</v>
      </c>
      <c r="E1135">
        <v>200000</v>
      </c>
      <c r="F1135">
        <v>0.999</v>
      </c>
      <c r="G1135">
        <v>166.09</v>
      </c>
      <c r="H1135">
        <v>0.1</v>
      </c>
      <c r="I1135" s="309">
        <v>0</v>
      </c>
      <c r="J1135">
        <v>1</v>
      </c>
      <c r="K1135" s="133">
        <v>0</v>
      </c>
      <c r="L1135" s="181">
        <v>58.2</v>
      </c>
    </row>
    <row r="1136" spans="1:31" x14ac:dyDescent="0.25">
      <c r="A1136" s="136">
        <v>43018</v>
      </c>
      <c r="B1136" s="201" t="s">
        <v>65</v>
      </c>
      <c r="C1136" t="s">
        <v>127</v>
      </c>
      <c r="D1136">
        <v>4700</v>
      </c>
      <c r="E1136">
        <v>4700</v>
      </c>
      <c r="F1136">
        <v>8.6039999999999992</v>
      </c>
      <c r="G1136">
        <v>16386.23</v>
      </c>
      <c r="H1136">
        <v>40.520000000000003</v>
      </c>
      <c r="I1136" s="309">
        <v>56823</v>
      </c>
      <c r="J1136">
        <v>12.09</v>
      </c>
      <c r="K1136" s="133">
        <v>0.12682844169375801</v>
      </c>
      <c r="L1136" s="181">
        <v>-524.07000000000005</v>
      </c>
      <c r="N1136" s="73">
        <v>12791.78</v>
      </c>
      <c r="O1136" s="73">
        <v>1365.6262846867201</v>
      </c>
      <c r="P1136" s="182">
        <v>1</v>
      </c>
      <c r="Q1136" s="182">
        <v>1600</v>
      </c>
      <c r="R1136" s="46">
        <v>12.06</v>
      </c>
      <c r="S1136" s="46">
        <v>34</v>
      </c>
      <c r="T1136" s="46">
        <v>14000</v>
      </c>
      <c r="U1136" s="46">
        <v>12.22</v>
      </c>
      <c r="V1136" s="46" t="s">
        <v>68</v>
      </c>
      <c r="W1136" s="46">
        <v>12400</v>
      </c>
      <c r="X1136" s="46">
        <v>12.241</v>
      </c>
      <c r="Y1136" s="194">
        <v>12.085000000000001</v>
      </c>
      <c r="Z1136" s="194">
        <v>11.669</v>
      </c>
      <c r="AA1136" s="194">
        <v>11.965999999999999</v>
      </c>
      <c r="AB1136" s="46">
        <v>12.23</v>
      </c>
      <c r="AC1136" s="46">
        <v>12.23</v>
      </c>
      <c r="AD1136" s="46">
        <v>12.05</v>
      </c>
      <c r="AE1136" s="46">
        <v>12.09</v>
      </c>
    </row>
    <row r="1137" spans="1:31" x14ac:dyDescent="0.25">
      <c r="A1137" s="136">
        <v>43018</v>
      </c>
      <c r="B1137" s="201" t="s">
        <v>77</v>
      </c>
      <c r="C1137" t="s">
        <v>128</v>
      </c>
      <c r="D1137">
        <v>3100</v>
      </c>
      <c r="E1137">
        <v>3100</v>
      </c>
      <c r="F1137">
        <v>5.9470000000000001</v>
      </c>
      <c r="G1137">
        <v>2395.79</v>
      </c>
      <c r="H1137">
        <v>13</v>
      </c>
      <c r="I1137" s="309">
        <v>20832</v>
      </c>
      <c r="J1137">
        <v>6.72</v>
      </c>
      <c r="K1137" s="133">
        <v>4.6496842781345103E-2</v>
      </c>
      <c r="L1137" s="181">
        <v>124</v>
      </c>
      <c r="N1137" s="73">
        <v>1735.8420000000001</v>
      </c>
      <c r="O1137" s="73">
        <v>335.04109130434699</v>
      </c>
      <c r="P1137" s="182">
        <v>5</v>
      </c>
      <c r="Q1137" s="182">
        <v>2500</v>
      </c>
      <c r="R1137" s="46">
        <v>6.8440000000000003</v>
      </c>
      <c r="S1137" s="46">
        <v>0</v>
      </c>
      <c r="T1137" s="46">
        <v>0</v>
      </c>
      <c r="U1137" s="46">
        <v>0</v>
      </c>
      <c r="V1137" s="46" t="s">
        <v>62</v>
      </c>
      <c r="W1137" s="46">
        <v>2500</v>
      </c>
      <c r="X1137" s="46">
        <v>6.8440000000000003</v>
      </c>
      <c r="Y1137" s="194">
        <v>6.66</v>
      </c>
      <c r="Z1137" s="193">
        <v>6.2309999999999999</v>
      </c>
      <c r="AA1137" s="193">
        <v>6.9740000000000002</v>
      </c>
      <c r="AB1137" s="46">
        <v>6.67</v>
      </c>
      <c r="AC1137" s="46">
        <v>6.72</v>
      </c>
      <c r="AD1137" s="46">
        <v>6.67</v>
      </c>
      <c r="AE1137" s="46">
        <v>6.72</v>
      </c>
    </row>
    <row r="1138" spans="1:31" x14ac:dyDescent="0.25">
      <c r="A1138" s="136">
        <v>43018</v>
      </c>
      <c r="B1138" s="201" t="s">
        <v>67</v>
      </c>
      <c r="C1138" t="s">
        <v>129</v>
      </c>
      <c r="D1138">
        <v>6450</v>
      </c>
      <c r="E1138">
        <v>6450</v>
      </c>
      <c r="F1138">
        <v>9.0730000000000004</v>
      </c>
      <c r="G1138">
        <v>107.78</v>
      </c>
      <c r="H1138">
        <v>0.19</v>
      </c>
      <c r="I1138" s="309">
        <v>58630.5</v>
      </c>
      <c r="J1138">
        <v>9.09</v>
      </c>
      <c r="K1138" s="133">
        <v>0.13086276597022101</v>
      </c>
      <c r="L1138" s="181">
        <v>129</v>
      </c>
      <c r="N1138" s="73">
        <v>32880.906999999897</v>
      </c>
      <c r="O1138" s="73">
        <v>11.6004674917224</v>
      </c>
      <c r="P1138" s="182">
        <v>15</v>
      </c>
      <c r="Q1138" s="182">
        <v>7500</v>
      </c>
      <c r="R1138" s="46">
        <v>6.181</v>
      </c>
      <c r="S1138" s="46">
        <v>12</v>
      </c>
      <c r="T1138" s="46">
        <v>5200</v>
      </c>
      <c r="U1138" s="46">
        <v>8.8209999999999997</v>
      </c>
      <c r="V1138" s="46" t="s">
        <v>62</v>
      </c>
      <c r="W1138" s="46">
        <v>2300</v>
      </c>
      <c r="X1138" s="46">
        <v>0.21199999999999999</v>
      </c>
      <c r="Y1138" s="194">
        <v>9.0389999999999997</v>
      </c>
      <c r="Z1138" s="193">
        <v>9.2309999999999999</v>
      </c>
      <c r="AA1138" s="193">
        <v>9.0760000000000005</v>
      </c>
      <c r="AB1138" s="46">
        <v>9.07</v>
      </c>
      <c r="AC1138" s="46">
        <v>9.1</v>
      </c>
      <c r="AD1138" s="46">
        <v>9.02</v>
      </c>
      <c r="AE1138" s="46">
        <v>9.09</v>
      </c>
    </row>
    <row r="1139" spans="1:31" x14ac:dyDescent="0.25">
      <c r="A1139" s="136">
        <v>43018</v>
      </c>
      <c r="B1139" s="201" t="s">
        <v>72</v>
      </c>
      <c r="C1139" t="s">
        <v>130</v>
      </c>
      <c r="D1139">
        <v>2100</v>
      </c>
      <c r="E1139">
        <v>2100</v>
      </c>
      <c r="F1139">
        <v>8.4559999999999995</v>
      </c>
      <c r="G1139">
        <v>-1146.8800000000001</v>
      </c>
      <c r="H1139">
        <v>-6.46</v>
      </c>
      <c r="I1139" s="309">
        <v>16611</v>
      </c>
      <c r="J1139">
        <v>7.91</v>
      </c>
      <c r="K1139" s="133">
        <v>3.7075607500044301E-2</v>
      </c>
      <c r="L1139" s="181">
        <v>0</v>
      </c>
      <c r="N1139" s="73">
        <v>-1347.5799999999899</v>
      </c>
      <c r="O1139" s="73">
        <v>-142.08422537878499</v>
      </c>
      <c r="P1139" s="182">
        <v>0</v>
      </c>
      <c r="Q1139" s="182">
        <v>0</v>
      </c>
      <c r="R1139" s="46">
        <v>0</v>
      </c>
      <c r="S1139" s="46">
        <v>10</v>
      </c>
      <c r="T1139" s="46">
        <v>5000</v>
      </c>
      <c r="U1139" s="46">
        <v>7.423</v>
      </c>
      <c r="V1139" s="46" t="s">
        <v>68</v>
      </c>
      <c r="W1139" s="46">
        <v>5000</v>
      </c>
      <c r="X1139" s="46">
        <v>7.423</v>
      </c>
    </row>
    <row r="1140" spans="1:31" x14ac:dyDescent="0.25">
      <c r="A1140" s="136">
        <v>43018</v>
      </c>
      <c r="B1140" s="201" t="s">
        <v>70</v>
      </c>
      <c r="C1140" t="s">
        <v>131</v>
      </c>
      <c r="D1140">
        <v>6800</v>
      </c>
      <c r="E1140">
        <v>6800</v>
      </c>
      <c r="F1140">
        <v>12.609</v>
      </c>
      <c r="G1140">
        <v>2859.96</v>
      </c>
      <c r="H1140">
        <v>3.34</v>
      </c>
      <c r="I1140" s="309">
        <v>88604</v>
      </c>
      <c r="J1140">
        <v>13.03</v>
      </c>
      <c r="K1140" s="133">
        <v>0.19776335722918101</v>
      </c>
      <c r="L1140" s="181">
        <v>1156</v>
      </c>
      <c r="N1140" s="73">
        <v>2107.9739999999701</v>
      </c>
      <c r="O1140" s="73">
        <v>163.07430441176299</v>
      </c>
      <c r="P1140" s="182">
        <v>0</v>
      </c>
      <c r="Q1140" s="182">
        <v>0</v>
      </c>
      <c r="R1140" s="46">
        <v>0</v>
      </c>
      <c r="S1140" s="46">
        <v>8</v>
      </c>
      <c r="T1140" s="46">
        <v>3200</v>
      </c>
      <c r="U1140" s="46">
        <v>13.259</v>
      </c>
      <c r="V1140" s="46" t="s">
        <v>68</v>
      </c>
      <c r="W1140" s="46">
        <v>3200</v>
      </c>
      <c r="X1140" s="46">
        <v>13.259</v>
      </c>
      <c r="Y1140" s="193">
        <v>13.048</v>
      </c>
      <c r="Z1140" s="194">
        <v>12.715</v>
      </c>
      <c r="AA1140" s="194">
        <v>12.632999999999999</v>
      </c>
      <c r="AB1140" s="46">
        <v>12.84</v>
      </c>
      <c r="AC1140" s="46">
        <v>13.04</v>
      </c>
      <c r="AD1140" s="46">
        <v>12.84</v>
      </c>
      <c r="AE1140" s="46">
        <v>13.03</v>
      </c>
    </row>
    <row r="1141" spans="1:31" x14ac:dyDescent="0.25">
      <c r="A1141" s="136">
        <v>43018</v>
      </c>
      <c r="B1141" s="201" t="s">
        <v>137</v>
      </c>
      <c r="C1141" t="s">
        <v>138</v>
      </c>
      <c r="D1141">
        <v>100</v>
      </c>
      <c r="E1141">
        <v>100</v>
      </c>
      <c r="F1141">
        <v>-130.48500000000001</v>
      </c>
      <c r="G1141">
        <v>18177.5</v>
      </c>
      <c r="H1141">
        <v>0</v>
      </c>
      <c r="I1141" s="309">
        <v>5129</v>
      </c>
      <c r="J1141">
        <v>51.29</v>
      </c>
      <c r="K1141" s="133">
        <v>1.14478833825614E-2</v>
      </c>
      <c r="L1141" s="181">
        <v>466</v>
      </c>
    </row>
    <row r="1142" spans="1:31" x14ac:dyDescent="0.25">
      <c r="A1142" s="136">
        <v>43018</v>
      </c>
      <c r="B1142" s="201" t="s">
        <v>133</v>
      </c>
      <c r="C1142" t="s">
        <v>134</v>
      </c>
      <c r="D1142">
        <v>330000</v>
      </c>
      <c r="E1142">
        <v>330000</v>
      </c>
      <c r="F1142">
        <v>1</v>
      </c>
      <c r="G1142">
        <v>21.1</v>
      </c>
      <c r="H1142">
        <v>0</v>
      </c>
      <c r="I1142" s="309">
        <v>130000</v>
      </c>
      <c r="J1142">
        <v>1</v>
      </c>
      <c r="K1142" s="133">
        <v>0.29015886912321698</v>
      </c>
      <c r="L1142" s="181">
        <v>12.91</v>
      </c>
    </row>
    <row r="1143" spans="1:31" x14ac:dyDescent="0.25">
      <c r="A1143" s="136">
        <v>43018</v>
      </c>
      <c r="B1143" s="201" t="s">
        <v>835</v>
      </c>
      <c r="C1143" t="s">
        <v>839</v>
      </c>
      <c r="I1143" s="309">
        <v>30589.58</v>
      </c>
      <c r="K1143" s="133">
        <v>6.8275676459647494E-2</v>
      </c>
      <c r="L1143" s="181">
        <v>0</v>
      </c>
    </row>
    <row r="1144" spans="1:31" x14ac:dyDescent="0.25">
      <c r="A1144" s="136">
        <v>43019</v>
      </c>
      <c r="B1144" s="201" t="s">
        <v>132</v>
      </c>
      <c r="C1144" t="s">
        <v>123</v>
      </c>
      <c r="D1144">
        <v>35737</v>
      </c>
      <c r="E1144">
        <v>35737</v>
      </c>
      <c r="F1144">
        <v>-6.4000000000000001E-2</v>
      </c>
      <c r="G1144">
        <v>2644.538</v>
      </c>
      <c r="H1144">
        <v>0</v>
      </c>
      <c r="I1144" s="309">
        <v>357.37</v>
      </c>
      <c r="J1144">
        <v>0.01</v>
      </c>
      <c r="K1144" s="133">
        <v>7.9843666650312301E-4</v>
      </c>
      <c r="L1144" s="181">
        <v>0.222000000000207</v>
      </c>
    </row>
    <row r="1145" spans="1:31" x14ac:dyDescent="0.25">
      <c r="A1145" s="136">
        <v>43019</v>
      </c>
      <c r="B1145" s="201" t="s">
        <v>61</v>
      </c>
      <c r="C1145" t="s">
        <v>136</v>
      </c>
      <c r="D1145">
        <v>2400</v>
      </c>
      <c r="E1145">
        <v>2400</v>
      </c>
      <c r="F1145">
        <v>5.3570000000000002</v>
      </c>
      <c r="G1145">
        <v>79.81</v>
      </c>
      <c r="H1145">
        <v>0.62</v>
      </c>
      <c r="I1145" s="309">
        <v>12936</v>
      </c>
      <c r="J1145">
        <v>5.39</v>
      </c>
      <c r="K1145" s="133">
        <v>2.8901633371252199E-2</v>
      </c>
      <c r="L1145" s="181">
        <v>-24</v>
      </c>
      <c r="N1145" s="73">
        <v>77.011999999998807</v>
      </c>
      <c r="O1145" s="73">
        <v>14.280796660482199</v>
      </c>
      <c r="P1145" s="182">
        <v>5</v>
      </c>
      <c r="Q1145" s="182">
        <v>2500</v>
      </c>
      <c r="R1145" s="46">
        <v>5.3819999999999997</v>
      </c>
      <c r="S1145" s="46">
        <v>1</v>
      </c>
      <c r="T1145" s="46">
        <v>400</v>
      </c>
      <c r="U1145" s="46">
        <v>5.39</v>
      </c>
      <c r="V1145" s="46" t="s">
        <v>62</v>
      </c>
      <c r="W1145" s="46">
        <v>2100</v>
      </c>
      <c r="X1145" s="46">
        <v>5.38</v>
      </c>
    </row>
    <row r="1146" spans="1:31" x14ac:dyDescent="0.25">
      <c r="A1146" s="136">
        <v>43019</v>
      </c>
      <c r="B1146" s="201" t="s">
        <v>124</v>
      </c>
      <c r="C1146" t="s">
        <v>125</v>
      </c>
      <c r="D1146">
        <v>100</v>
      </c>
      <c r="E1146">
        <v>100</v>
      </c>
      <c r="F1146">
        <v>-53.579000000000001</v>
      </c>
      <c r="G1146">
        <v>5977.9</v>
      </c>
      <c r="H1146">
        <v>0</v>
      </c>
      <c r="I1146" s="309">
        <v>620</v>
      </c>
      <c r="J1146">
        <v>6.2</v>
      </c>
      <c r="K1146" s="133">
        <v>1.3852050626295899E-3</v>
      </c>
      <c r="L1146" s="181">
        <v>6</v>
      </c>
      <c r="N1146" s="73">
        <v>5995.0890000000099</v>
      </c>
      <c r="O1146" s="73">
        <v>1102.4501845505599</v>
      </c>
      <c r="P1146" s="182">
        <v>0</v>
      </c>
      <c r="Q1146" s="182">
        <v>0</v>
      </c>
      <c r="R1146" s="46">
        <v>0</v>
      </c>
      <c r="S1146" s="46">
        <v>5</v>
      </c>
      <c r="T1146" s="46">
        <v>2300</v>
      </c>
      <c r="U1146" s="46">
        <v>4.99</v>
      </c>
      <c r="V1146" s="46" t="s">
        <v>68</v>
      </c>
      <c r="W1146" s="46">
        <v>2300</v>
      </c>
      <c r="X1146" s="46">
        <v>4.99</v>
      </c>
      <c r="Y1146" s="193">
        <v>6.1929999999999996</v>
      </c>
      <c r="Z1146" s="193">
        <v>5.3639999999999999</v>
      </c>
      <c r="AA1146" s="193">
        <v>5.4729999999999999</v>
      </c>
      <c r="AB1146" s="46">
        <v>6.11</v>
      </c>
      <c r="AC1146" s="46">
        <v>6.24</v>
      </c>
      <c r="AD1146" s="46">
        <v>6.11</v>
      </c>
      <c r="AE1146" s="46">
        <v>6.2</v>
      </c>
    </row>
    <row r="1147" spans="1:31" x14ac:dyDescent="0.25">
      <c r="A1147" s="136">
        <v>43019</v>
      </c>
      <c r="B1147" s="201" t="s">
        <v>71</v>
      </c>
      <c r="C1147" t="s">
        <v>126</v>
      </c>
      <c r="D1147">
        <v>4200</v>
      </c>
      <c r="E1147">
        <v>4200</v>
      </c>
      <c r="F1147">
        <v>6.11</v>
      </c>
      <c r="G1147">
        <v>1219.47</v>
      </c>
      <c r="H1147">
        <v>4.75</v>
      </c>
      <c r="I1147" s="309">
        <v>26880</v>
      </c>
      <c r="J1147">
        <v>6.4</v>
      </c>
      <c r="K1147" s="133">
        <v>6.0055342070134403E-2</v>
      </c>
      <c r="L1147" s="181">
        <v>0</v>
      </c>
      <c r="N1147" s="73">
        <v>1293.67200000001</v>
      </c>
      <c r="O1147" s="73">
        <v>233.109353013912</v>
      </c>
      <c r="P1147" s="182">
        <v>5</v>
      </c>
      <c r="Q1147" s="182">
        <v>2500</v>
      </c>
      <c r="R1147" s="46">
        <v>6.4240000000000004</v>
      </c>
      <c r="S1147" s="46">
        <v>1</v>
      </c>
      <c r="T1147" s="46">
        <v>500</v>
      </c>
      <c r="U1147" s="46">
        <v>6.47</v>
      </c>
      <c r="V1147" s="46" t="s">
        <v>62</v>
      </c>
      <c r="W1147" s="46">
        <v>2000</v>
      </c>
      <c r="X1147" s="46">
        <v>6.4130000000000003</v>
      </c>
      <c r="Y1147" s="194">
        <v>6.39</v>
      </c>
      <c r="Z1147" s="194">
        <v>6.6529999999999996</v>
      </c>
      <c r="AA1147" s="194">
        <v>6.7169999999999996</v>
      </c>
      <c r="AB1147" s="46">
        <v>6.39</v>
      </c>
      <c r="AC1147" s="46">
        <v>6.44</v>
      </c>
      <c r="AD1147" s="46">
        <v>6.38</v>
      </c>
      <c r="AE1147" s="46">
        <v>6</v>
      </c>
    </row>
    <row r="1148" spans="1:31" x14ac:dyDescent="0.25">
      <c r="A1148" s="136">
        <v>43019</v>
      </c>
      <c r="B1148" s="201" t="s">
        <v>135</v>
      </c>
      <c r="C1148" t="s">
        <v>139</v>
      </c>
      <c r="D1148">
        <v>200000</v>
      </c>
      <c r="E1148">
        <v>200000</v>
      </c>
      <c r="F1148">
        <v>0.999</v>
      </c>
      <c r="G1148">
        <v>166.09</v>
      </c>
      <c r="H1148">
        <v>0.1</v>
      </c>
      <c r="I1148" s="309">
        <v>0</v>
      </c>
      <c r="J1148">
        <v>1</v>
      </c>
      <c r="K1148" s="133">
        <v>0</v>
      </c>
      <c r="L1148" s="181">
        <v>0</v>
      </c>
    </row>
    <row r="1149" spans="1:31" x14ac:dyDescent="0.25">
      <c r="A1149" s="136">
        <v>43019</v>
      </c>
      <c r="B1149" s="201" t="s">
        <v>65</v>
      </c>
      <c r="C1149" t="s">
        <v>127</v>
      </c>
      <c r="D1149">
        <v>4700</v>
      </c>
      <c r="E1149">
        <v>4700</v>
      </c>
      <c r="F1149">
        <v>8.6039999999999992</v>
      </c>
      <c r="G1149">
        <v>16527.23</v>
      </c>
      <c r="H1149">
        <v>40.869999999999997</v>
      </c>
      <c r="I1149" s="309">
        <v>56964</v>
      </c>
      <c r="J1149">
        <v>12.12</v>
      </c>
      <c r="K1149" s="133">
        <v>0.127269066431664</v>
      </c>
      <c r="L1149" s="181">
        <v>141</v>
      </c>
      <c r="N1149" s="73">
        <v>12791.78</v>
      </c>
      <c r="O1149" s="73">
        <v>1365.6262846867201</v>
      </c>
      <c r="P1149" s="182">
        <v>1</v>
      </c>
      <c r="Q1149" s="182">
        <v>1600</v>
      </c>
      <c r="R1149" s="46">
        <v>12.06</v>
      </c>
      <c r="S1149" s="46">
        <v>34</v>
      </c>
      <c r="T1149" s="46">
        <v>14000</v>
      </c>
      <c r="U1149" s="46">
        <v>12.22</v>
      </c>
      <c r="V1149" s="46" t="s">
        <v>68</v>
      </c>
      <c r="W1149" s="46">
        <v>12400</v>
      </c>
      <c r="X1149" s="46">
        <v>12.241</v>
      </c>
      <c r="Y1149" s="194">
        <v>12.045</v>
      </c>
      <c r="Z1149" s="194">
        <v>11.695</v>
      </c>
      <c r="AA1149" s="194">
        <v>11.968999999999999</v>
      </c>
      <c r="AB1149" s="46">
        <v>12.09</v>
      </c>
      <c r="AC1149" s="46">
        <v>12.17</v>
      </c>
      <c r="AD1149" s="46">
        <v>12.02</v>
      </c>
      <c r="AE1149" s="46">
        <v>12.12</v>
      </c>
    </row>
    <row r="1150" spans="1:31" x14ac:dyDescent="0.25">
      <c r="A1150" s="136">
        <v>43019</v>
      </c>
      <c r="B1150" s="201" t="s">
        <v>77</v>
      </c>
      <c r="C1150" t="s">
        <v>128</v>
      </c>
      <c r="D1150">
        <v>3100</v>
      </c>
      <c r="E1150">
        <v>3100</v>
      </c>
      <c r="F1150">
        <v>5.9470000000000001</v>
      </c>
      <c r="G1150">
        <v>2426.79</v>
      </c>
      <c r="H1150">
        <v>13.17</v>
      </c>
      <c r="I1150" s="309">
        <v>20863</v>
      </c>
      <c r="J1150">
        <v>6.73</v>
      </c>
      <c r="K1150" s="133">
        <v>4.6612150357485699E-2</v>
      </c>
      <c r="L1150" s="181">
        <v>31</v>
      </c>
      <c r="N1150" s="73">
        <v>1735.8420000000001</v>
      </c>
      <c r="O1150" s="73">
        <v>335.04109130434699</v>
      </c>
      <c r="P1150" s="182">
        <v>5</v>
      </c>
      <c r="Q1150" s="182">
        <v>2500</v>
      </c>
      <c r="R1150" s="46">
        <v>6.8440000000000003</v>
      </c>
      <c r="S1150" s="46">
        <v>0</v>
      </c>
      <c r="T1150" s="46">
        <v>0</v>
      </c>
      <c r="U1150" s="46">
        <v>0</v>
      </c>
      <c r="V1150" s="46" t="s">
        <v>62</v>
      </c>
      <c r="W1150" s="46">
        <v>2500</v>
      </c>
      <c r="X1150" s="46">
        <v>6.8440000000000003</v>
      </c>
      <c r="Y1150" s="194">
        <v>6.5949999999999998</v>
      </c>
      <c r="Z1150" s="193">
        <v>6.13</v>
      </c>
      <c r="AA1150" s="193">
        <v>6.97</v>
      </c>
      <c r="AB1150" s="46">
        <v>6.72</v>
      </c>
      <c r="AC1150" s="46">
        <v>6.76</v>
      </c>
      <c r="AD1150" s="46">
        <v>6.71</v>
      </c>
      <c r="AE1150" s="46">
        <v>6.73</v>
      </c>
    </row>
    <row r="1151" spans="1:31" x14ac:dyDescent="0.25">
      <c r="A1151" s="136">
        <v>43019</v>
      </c>
      <c r="B1151" s="201" t="s">
        <v>67</v>
      </c>
      <c r="C1151" t="s">
        <v>129</v>
      </c>
      <c r="D1151">
        <v>5650</v>
      </c>
      <c r="E1151">
        <v>5650</v>
      </c>
      <c r="F1151">
        <v>9.07</v>
      </c>
      <c r="G1151">
        <v>396.98</v>
      </c>
      <c r="H1151">
        <v>0.77</v>
      </c>
      <c r="I1151" s="309">
        <v>51641</v>
      </c>
      <c r="J1151">
        <v>9.14</v>
      </c>
      <c r="K1151" s="133">
        <v>0.115376410708475</v>
      </c>
      <c r="L1151" s="181">
        <v>289.2</v>
      </c>
      <c r="N1151" s="73">
        <v>33170.110999999903</v>
      </c>
      <c r="O1151" s="73">
        <v>43.162762308507098</v>
      </c>
      <c r="P1151" s="182">
        <v>15</v>
      </c>
      <c r="Q1151" s="182">
        <v>7500</v>
      </c>
      <c r="R1151" s="46">
        <v>6.181</v>
      </c>
      <c r="S1151" s="46">
        <v>14</v>
      </c>
      <c r="T1151" s="46">
        <v>6000</v>
      </c>
      <c r="U1151" s="46">
        <v>8.8610000000000007</v>
      </c>
      <c r="V1151" s="46" t="s">
        <v>62</v>
      </c>
      <c r="W1151" s="46">
        <v>1500</v>
      </c>
      <c r="X1151" s="46">
        <v>-4.5389999999999997</v>
      </c>
      <c r="Y1151" s="193">
        <v>9.1769999999999996</v>
      </c>
      <c r="Z1151" s="193">
        <v>9.2279999999999998</v>
      </c>
      <c r="AA1151" s="193">
        <v>9.0760000000000005</v>
      </c>
      <c r="AB1151" s="46">
        <v>9.09</v>
      </c>
      <c r="AC1151" s="46">
        <v>9.15</v>
      </c>
      <c r="AD1151" s="46">
        <v>9.0299999999999994</v>
      </c>
      <c r="AE1151" s="46">
        <v>9.14</v>
      </c>
    </row>
    <row r="1152" spans="1:31" x14ac:dyDescent="0.25">
      <c r="A1152" s="136">
        <v>43019</v>
      </c>
      <c r="B1152" s="201" t="s">
        <v>72</v>
      </c>
      <c r="C1152" t="s">
        <v>130</v>
      </c>
      <c r="D1152">
        <v>2100</v>
      </c>
      <c r="E1152">
        <v>2100</v>
      </c>
      <c r="F1152">
        <v>8.4559999999999995</v>
      </c>
      <c r="G1152">
        <v>-1146.8800000000001</v>
      </c>
      <c r="H1152">
        <v>-6.46</v>
      </c>
      <c r="I1152" s="309">
        <v>16611</v>
      </c>
      <c r="J1152">
        <v>7.91</v>
      </c>
      <c r="K1152" s="133">
        <v>3.7112324669903399E-2</v>
      </c>
      <c r="L1152" s="181">
        <v>0</v>
      </c>
      <c r="N1152" s="73">
        <v>-1347.5799999999899</v>
      </c>
      <c r="O1152" s="73">
        <v>-142.08422537878499</v>
      </c>
      <c r="P1152" s="182">
        <v>0</v>
      </c>
      <c r="Q1152" s="182">
        <v>0</v>
      </c>
      <c r="R1152" s="46">
        <v>0</v>
      </c>
      <c r="S1152" s="46">
        <v>10</v>
      </c>
      <c r="T1152" s="46">
        <v>5000</v>
      </c>
      <c r="U1152" s="46">
        <v>7.423</v>
      </c>
      <c r="V1152" s="46" t="s">
        <v>68</v>
      </c>
      <c r="W1152" s="46">
        <v>5000</v>
      </c>
      <c r="X1152" s="46">
        <v>7.423</v>
      </c>
    </row>
    <row r="1153" spans="1:31" x14ac:dyDescent="0.25">
      <c r="A1153" s="136">
        <v>43019</v>
      </c>
      <c r="B1153" s="201" t="s">
        <v>70</v>
      </c>
      <c r="C1153" t="s">
        <v>131</v>
      </c>
      <c r="D1153">
        <v>6400</v>
      </c>
      <c r="E1153">
        <v>6400</v>
      </c>
      <c r="F1153">
        <v>12.574999999999999</v>
      </c>
      <c r="G1153">
        <v>2845.69</v>
      </c>
      <c r="H1153">
        <v>3.54</v>
      </c>
      <c r="I1153" s="309">
        <v>83328</v>
      </c>
      <c r="J1153">
        <v>13.02</v>
      </c>
      <c r="K1153" s="133">
        <v>0.186171560417417</v>
      </c>
      <c r="L1153" s="181">
        <v>-14.27</v>
      </c>
      <c r="N1153" s="73">
        <v>3865.7019999999802</v>
      </c>
      <c r="O1153" s="73">
        <v>293.15395667678098</v>
      </c>
      <c r="P1153" s="182">
        <v>0</v>
      </c>
      <c r="Q1153" s="182">
        <v>0</v>
      </c>
      <c r="R1153" s="46">
        <v>0</v>
      </c>
      <c r="S1153" s="46">
        <v>9</v>
      </c>
      <c r="T1153" s="46">
        <v>3600</v>
      </c>
      <c r="U1153" s="46">
        <v>13.25</v>
      </c>
      <c r="V1153" s="46" t="s">
        <v>68</v>
      </c>
      <c r="W1153" s="46">
        <v>3600</v>
      </c>
      <c r="X1153" s="46">
        <v>13.25</v>
      </c>
      <c r="Y1153" s="194">
        <v>13.055999999999999</v>
      </c>
      <c r="Z1153" s="194">
        <v>12.73</v>
      </c>
      <c r="AA1153" s="194">
        <v>12.641</v>
      </c>
      <c r="AB1153" s="46">
        <v>13.1</v>
      </c>
      <c r="AC1153" s="46">
        <v>13.19</v>
      </c>
      <c r="AD1153" s="46">
        <v>12.98</v>
      </c>
      <c r="AE1153" s="46">
        <v>13.02</v>
      </c>
    </row>
    <row r="1154" spans="1:31" x14ac:dyDescent="0.25">
      <c r="A1154" s="136">
        <v>43019</v>
      </c>
      <c r="B1154" s="201" t="s">
        <v>137</v>
      </c>
      <c r="C1154" t="s">
        <v>138</v>
      </c>
      <c r="D1154">
        <v>100</v>
      </c>
      <c r="E1154">
        <v>100</v>
      </c>
      <c r="F1154">
        <v>-130.48500000000001</v>
      </c>
      <c r="G1154">
        <v>17748.5</v>
      </c>
      <c r="H1154">
        <v>0</v>
      </c>
      <c r="I1154" s="309">
        <v>4700</v>
      </c>
      <c r="J1154">
        <v>47</v>
      </c>
      <c r="K1154" s="133">
        <v>1.05007480554179E-2</v>
      </c>
      <c r="L1154" s="181">
        <v>-429</v>
      </c>
    </row>
    <row r="1155" spans="1:31" x14ac:dyDescent="0.25">
      <c r="A1155" s="136">
        <v>43019</v>
      </c>
      <c r="B1155" s="201" t="s">
        <v>835</v>
      </c>
      <c r="C1155" t="s">
        <v>839</v>
      </c>
      <c r="I1155" s="309">
        <v>172686.79</v>
      </c>
      <c r="K1155" s="133">
        <v>0.38581712218911701</v>
      </c>
      <c r="L1155" s="181">
        <v>0</v>
      </c>
    </row>
    <row r="1156" spans="1:31" x14ac:dyDescent="0.25">
      <c r="A1156" s="136">
        <v>43020</v>
      </c>
      <c r="B1156" s="201" t="s">
        <v>132</v>
      </c>
      <c r="C1156" t="s">
        <v>123</v>
      </c>
      <c r="D1156">
        <v>35737</v>
      </c>
      <c r="E1156">
        <v>35737</v>
      </c>
      <c r="F1156">
        <v>-6.4000000000000001E-2</v>
      </c>
      <c r="G1156">
        <v>2644.538</v>
      </c>
      <c r="H1156">
        <v>0</v>
      </c>
      <c r="I1156" s="309">
        <v>357.37</v>
      </c>
      <c r="J1156">
        <v>0.01</v>
      </c>
      <c r="K1156" s="133">
        <v>8.0157788173495202E-4</v>
      </c>
      <c r="L1156" s="181">
        <v>0</v>
      </c>
    </row>
    <row r="1157" spans="1:31" x14ac:dyDescent="0.25">
      <c r="A1157" s="136">
        <v>43020</v>
      </c>
      <c r="B1157" s="201" t="s">
        <v>61</v>
      </c>
      <c r="C1157" t="s">
        <v>136</v>
      </c>
      <c r="D1157">
        <v>2400</v>
      </c>
      <c r="E1157">
        <v>2400</v>
      </c>
      <c r="F1157">
        <v>5.3570000000000002</v>
      </c>
      <c r="G1157">
        <v>7.81</v>
      </c>
      <c r="H1157">
        <v>0.06</v>
      </c>
      <c r="I1157" s="309">
        <v>12864</v>
      </c>
      <c r="J1157">
        <v>5.36</v>
      </c>
      <c r="K1157" s="133">
        <v>2.8853842993643599E-2</v>
      </c>
      <c r="L1157" s="181">
        <v>-72</v>
      </c>
      <c r="N1157" s="73">
        <v>77.011999999998807</v>
      </c>
      <c r="O1157" s="73">
        <v>14.280796660482199</v>
      </c>
      <c r="P1157" s="182">
        <v>5</v>
      </c>
      <c r="Q1157" s="182">
        <v>2500</v>
      </c>
      <c r="R1157" s="46">
        <v>5.3819999999999997</v>
      </c>
      <c r="S1157" s="46">
        <v>1</v>
      </c>
      <c r="T1157" s="46">
        <v>400</v>
      </c>
      <c r="U1157" s="46">
        <v>5.39</v>
      </c>
      <c r="V1157" s="46" t="s">
        <v>62</v>
      </c>
      <c r="W1157" s="46">
        <v>2100</v>
      </c>
      <c r="X1157" s="46">
        <v>5.38</v>
      </c>
    </row>
    <row r="1158" spans="1:31" x14ac:dyDescent="0.25">
      <c r="A1158" s="136">
        <v>43020</v>
      </c>
      <c r="B1158" s="201" t="s">
        <v>124</v>
      </c>
      <c r="C1158" t="s">
        <v>125</v>
      </c>
      <c r="D1158">
        <v>100</v>
      </c>
      <c r="E1158">
        <v>100</v>
      </c>
      <c r="F1158">
        <v>-53.579000000000001</v>
      </c>
      <c r="G1158">
        <v>5978.9</v>
      </c>
      <c r="H1158">
        <v>0</v>
      </c>
      <c r="I1158" s="309">
        <v>621</v>
      </c>
      <c r="J1158">
        <v>6.21</v>
      </c>
      <c r="K1158" s="133">
        <v>1.3928977377994901E-3</v>
      </c>
      <c r="L1158" s="181">
        <v>1</v>
      </c>
      <c r="N1158" s="73">
        <v>5995.0890000000099</v>
      </c>
      <c r="O1158" s="73">
        <v>1102.4501845505599</v>
      </c>
      <c r="P1158" s="182">
        <v>0</v>
      </c>
      <c r="Q1158" s="182">
        <v>0</v>
      </c>
      <c r="R1158" s="46">
        <v>0</v>
      </c>
      <c r="S1158" s="46">
        <v>5</v>
      </c>
      <c r="T1158" s="46">
        <v>2300</v>
      </c>
      <c r="U1158" s="46">
        <v>4.99</v>
      </c>
      <c r="V1158" s="46" t="s">
        <v>68</v>
      </c>
      <c r="W1158" s="46">
        <v>2300</v>
      </c>
      <c r="X1158" s="46">
        <v>4.99</v>
      </c>
      <c r="Y1158" s="193">
        <v>-19.760000000000002</v>
      </c>
      <c r="Z1158" s="193">
        <v>5.3650000000000002</v>
      </c>
      <c r="AA1158" s="193">
        <v>5.49</v>
      </c>
      <c r="AB1158" s="46">
        <v>6.18</v>
      </c>
      <c r="AC1158" s="46">
        <v>6.24</v>
      </c>
      <c r="AD1158" s="46">
        <v>6.17</v>
      </c>
      <c r="AE1158" s="46">
        <v>6.21</v>
      </c>
    </row>
    <row r="1159" spans="1:31" x14ac:dyDescent="0.25">
      <c r="A1159" s="136">
        <v>43020</v>
      </c>
      <c r="B1159" s="201" t="s">
        <v>71</v>
      </c>
      <c r="C1159" t="s">
        <v>126</v>
      </c>
      <c r="D1159">
        <v>4200</v>
      </c>
      <c r="E1159">
        <v>4200</v>
      </c>
      <c r="F1159">
        <v>6.11</v>
      </c>
      <c r="G1159">
        <v>1135.47</v>
      </c>
      <c r="H1159">
        <v>4.42</v>
      </c>
      <c r="I1159" s="309">
        <v>26796</v>
      </c>
      <c r="J1159">
        <v>6.38</v>
      </c>
      <c r="K1159" s="133">
        <v>6.0103200937319197E-2</v>
      </c>
      <c r="L1159" s="181">
        <v>-84</v>
      </c>
      <c r="N1159" s="73">
        <v>1293.67200000001</v>
      </c>
      <c r="O1159" s="73">
        <v>233.109353013912</v>
      </c>
      <c r="P1159" s="182">
        <v>5</v>
      </c>
      <c r="Q1159" s="182">
        <v>2500</v>
      </c>
      <c r="R1159" s="46">
        <v>6.4240000000000004</v>
      </c>
      <c r="S1159" s="46">
        <v>1</v>
      </c>
      <c r="T1159" s="46">
        <v>500</v>
      </c>
      <c r="U1159" s="46">
        <v>6.47</v>
      </c>
      <c r="V1159" s="46" t="s">
        <v>62</v>
      </c>
      <c r="W1159" s="46">
        <v>2000</v>
      </c>
      <c r="X1159" s="46">
        <v>6.4130000000000003</v>
      </c>
      <c r="Y1159" s="194">
        <v>6.3529999999999998</v>
      </c>
      <c r="Z1159" s="194">
        <v>6.63</v>
      </c>
      <c r="AA1159" s="194">
        <v>6.7140000000000004</v>
      </c>
      <c r="AB1159" s="46">
        <v>6.4</v>
      </c>
      <c r="AC1159" s="46">
        <v>6.41</v>
      </c>
      <c r="AD1159" s="46">
        <v>6.37</v>
      </c>
      <c r="AE1159" s="46">
        <v>6.38</v>
      </c>
    </row>
    <row r="1160" spans="1:31" x14ac:dyDescent="0.25">
      <c r="A1160" s="136">
        <v>43020</v>
      </c>
      <c r="B1160" s="201" t="s">
        <v>135</v>
      </c>
      <c r="C1160" t="s">
        <v>139</v>
      </c>
      <c r="D1160">
        <v>200000</v>
      </c>
      <c r="E1160">
        <v>200000</v>
      </c>
      <c r="F1160">
        <v>0.999</v>
      </c>
      <c r="G1160">
        <v>166.09</v>
      </c>
      <c r="H1160">
        <v>0.1</v>
      </c>
      <c r="I1160" s="309">
        <v>130000</v>
      </c>
      <c r="J1160">
        <v>1</v>
      </c>
      <c r="K1160" s="133">
        <v>0.29158889841213198</v>
      </c>
      <c r="L1160" s="181">
        <v>0</v>
      </c>
    </row>
    <row r="1161" spans="1:31" x14ac:dyDescent="0.25">
      <c r="A1161" s="136">
        <v>43020</v>
      </c>
      <c r="B1161" s="201" t="s">
        <v>65</v>
      </c>
      <c r="C1161" t="s">
        <v>127</v>
      </c>
      <c r="D1161">
        <v>6300</v>
      </c>
      <c r="E1161">
        <v>4700</v>
      </c>
      <c r="F1161">
        <v>9.4640000000000004</v>
      </c>
      <c r="G1161">
        <v>15785.23</v>
      </c>
      <c r="H1161">
        <v>26.48</v>
      </c>
      <c r="I1161" s="309">
        <v>75411</v>
      </c>
      <c r="J1161">
        <v>11.97</v>
      </c>
      <c r="K1161" s="133">
        <v>0.16914623398582601</v>
      </c>
      <c r="L1161" s="181">
        <v>-742</v>
      </c>
      <c r="N1161" s="73">
        <v>12128.78</v>
      </c>
      <c r="O1161" s="73">
        <v>1326.30344731025</v>
      </c>
      <c r="P1161" s="182">
        <v>2</v>
      </c>
      <c r="Q1161" s="182">
        <v>3200</v>
      </c>
      <c r="R1161" s="46">
        <v>12.025</v>
      </c>
      <c r="S1161" s="46">
        <v>34</v>
      </c>
      <c r="T1161" s="46">
        <v>14000</v>
      </c>
      <c r="U1161" s="46">
        <v>12.22</v>
      </c>
      <c r="V1161" s="46" t="s">
        <v>68</v>
      </c>
      <c r="W1161" s="46">
        <v>10800</v>
      </c>
      <c r="X1161" s="46">
        <v>12.278</v>
      </c>
      <c r="Y1161" s="194">
        <v>11.994999999999999</v>
      </c>
      <c r="Z1161" s="194">
        <v>11.725</v>
      </c>
      <c r="AA1161" s="194">
        <v>11.97</v>
      </c>
      <c r="AB1161" s="46">
        <v>12.12</v>
      </c>
      <c r="AC1161" s="46">
        <v>12.12</v>
      </c>
      <c r="AD1161" s="46">
        <v>11.88</v>
      </c>
      <c r="AE1161" s="46">
        <v>11.97</v>
      </c>
    </row>
    <row r="1162" spans="1:31" x14ac:dyDescent="0.25">
      <c r="A1162" s="136">
        <v>43020</v>
      </c>
      <c r="B1162" s="201" t="s">
        <v>77</v>
      </c>
      <c r="C1162" t="s">
        <v>128</v>
      </c>
      <c r="D1162">
        <v>3100</v>
      </c>
      <c r="E1162">
        <v>3100</v>
      </c>
      <c r="F1162">
        <v>5.9470000000000001</v>
      </c>
      <c r="G1162">
        <v>2209.79</v>
      </c>
      <c r="H1162">
        <v>11.99</v>
      </c>
      <c r="I1162" s="309">
        <v>20646</v>
      </c>
      <c r="J1162">
        <v>6.66</v>
      </c>
      <c r="K1162" s="133">
        <v>4.63088030508991E-2</v>
      </c>
      <c r="L1162" s="181">
        <v>-217</v>
      </c>
      <c r="N1162" s="73">
        <v>1735.8420000000001</v>
      </c>
      <c r="O1162" s="73">
        <v>335.04109130434699</v>
      </c>
      <c r="P1162" s="182">
        <v>5</v>
      </c>
      <c r="Q1162" s="182">
        <v>2500</v>
      </c>
      <c r="R1162" s="46">
        <v>6.8440000000000003</v>
      </c>
      <c r="S1162" s="46">
        <v>0</v>
      </c>
      <c r="T1162" s="46">
        <v>0</v>
      </c>
      <c r="U1162" s="46">
        <v>0</v>
      </c>
      <c r="V1162" s="46" t="s">
        <v>62</v>
      </c>
      <c r="W1162" s="46">
        <v>2500</v>
      </c>
      <c r="X1162" s="46">
        <v>6.8440000000000003</v>
      </c>
      <c r="Y1162" s="194">
        <v>6.65</v>
      </c>
      <c r="Z1162" s="194">
        <v>7.1749999999999998</v>
      </c>
      <c r="AA1162" s="194">
        <v>6.968</v>
      </c>
      <c r="AB1162" s="46">
        <v>6.72</v>
      </c>
      <c r="AC1162" s="46">
        <v>6.72</v>
      </c>
      <c r="AD1162" s="46">
        <v>6.61</v>
      </c>
      <c r="AE1162" s="46">
        <v>6.66</v>
      </c>
    </row>
    <row r="1163" spans="1:31" x14ac:dyDescent="0.25">
      <c r="A1163" s="136">
        <v>43020</v>
      </c>
      <c r="B1163" s="201" t="s">
        <v>67</v>
      </c>
      <c r="C1163" t="s">
        <v>129</v>
      </c>
      <c r="D1163">
        <v>5650</v>
      </c>
      <c r="E1163">
        <v>5650</v>
      </c>
      <c r="F1163">
        <v>9.07</v>
      </c>
      <c r="G1163">
        <v>509.98</v>
      </c>
      <c r="H1163">
        <v>0.99</v>
      </c>
      <c r="I1163" s="309">
        <v>51754</v>
      </c>
      <c r="J1163">
        <v>9.16</v>
      </c>
      <c r="K1163" s="133">
        <v>0.116083783449396</v>
      </c>
      <c r="L1163" s="181">
        <v>113</v>
      </c>
      <c r="N1163" s="73">
        <v>33170.110999999903</v>
      </c>
      <c r="O1163" s="73">
        <v>43.162762308507098</v>
      </c>
      <c r="P1163" s="182">
        <v>15</v>
      </c>
      <c r="Q1163" s="182">
        <v>7500</v>
      </c>
      <c r="R1163" s="46">
        <v>6.181</v>
      </c>
      <c r="S1163" s="46">
        <v>14</v>
      </c>
      <c r="T1163" s="46">
        <v>6000</v>
      </c>
      <c r="U1163" s="46">
        <v>8.8610000000000007</v>
      </c>
      <c r="V1163" s="46" t="s">
        <v>62</v>
      </c>
      <c r="W1163" s="46">
        <v>1500</v>
      </c>
      <c r="X1163" s="46">
        <v>-4.5389999999999997</v>
      </c>
      <c r="Y1163" s="193">
        <v>9.1780000000000008</v>
      </c>
      <c r="Z1163" s="193">
        <v>9.2260000000000009</v>
      </c>
      <c r="AA1163" s="193">
        <v>9.077</v>
      </c>
      <c r="AB1163" s="46">
        <v>9.1300000000000008</v>
      </c>
      <c r="AC1163" s="46">
        <v>9.17</v>
      </c>
      <c r="AD1163" s="46">
        <v>9.06</v>
      </c>
      <c r="AE1163" s="46">
        <v>9.16</v>
      </c>
    </row>
    <row r="1164" spans="1:31" x14ac:dyDescent="0.25">
      <c r="A1164" s="136">
        <v>43020</v>
      </c>
      <c r="B1164" s="201" t="s">
        <v>72</v>
      </c>
      <c r="C1164" t="s">
        <v>130</v>
      </c>
      <c r="D1164">
        <v>2100</v>
      </c>
      <c r="E1164">
        <v>2100</v>
      </c>
      <c r="F1164">
        <v>8.4559999999999995</v>
      </c>
      <c r="G1164">
        <v>-1146.8800000000001</v>
      </c>
      <c r="H1164">
        <v>-6.46</v>
      </c>
      <c r="I1164" s="309">
        <v>16611</v>
      </c>
      <c r="J1164">
        <v>7.91</v>
      </c>
      <c r="K1164" s="133">
        <v>3.7258332242491803E-2</v>
      </c>
      <c r="L1164" s="181">
        <v>0</v>
      </c>
      <c r="N1164" s="73">
        <v>-1347.5799999999899</v>
      </c>
      <c r="O1164" s="73">
        <v>-142.08422537878499</v>
      </c>
      <c r="P1164" s="182">
        <v>0</v>
      </c>
      <c r="Q1164" s="182">
        <v>0</v>
      </c>
      <c r="R1164" s="46">
        <v>0</v>
      </c>
      <c r="S1164" s="46">
        <v>10</v>
      </c>
      <c r="T1164" s="46">
        <v>5000</v>
      </c>
      <c r="U1164" s="46">
        <v>7.423</v>
      </c>
      <c r="V1164" s="46" t="s">
        <v>68</v>
      </c>
      <c r="W1164" s="46">
        <v>5000</v>
      </c>
      <c r="X1164" s="46">
        <v>7.423</v>
      </c>
    </row>
    <row r="1165" spans="1:31" x14ac:dyDescent="0.25">
      <c r="A1165" s="136">
        <v>43020</v>
      </c>
      <c r="B1165" s="201" t="s">
        <v>70</v>
      </c>
      <c r="C1165" t="s">
        <v>131</v>
      </c>
      <c r="D1165">
        <v>6900</v>
      </c>
      <c r="E1165">
        <v>6400</v>
      </c>
      <c r="F1165">
        <v>12.603999999999999</v>
      </c>
      <c r="G1165">
        <v>2042.69</v>
      </c>
      <c r="H1165">
        <v>2.35</v>
      </c>
      <c r="I1165" s="309">
        <v>89010</v>
      </c>
      <c r="J1165">
        <v>12.9</v>
      </c>
      <c r="K1165" s="133">
        <v>0.199648675751261</v>
      </c>
      <c r="L1165" s="181">
        <v>-803</v>
      </c>
      <c r="N1165" s="73">
        <v>2452.7019999999802</v>
      </c>
      <c r="O1165" s="73">
        <v>189.15707168209701</v>
      </c>
      <c r="P1165" s="182">
        <v>0</v>
      </c>
      <c r="Q1165" s="182">
        <v>0</v>
      </c>
      <c r="R1165" s="46">
        <v>0</v>
      </c>
      <c r="S1165" s="46">
        <v>8</v>
      </c>
      <c r="T1165" s="46">
        <v>3200</v>
      </c>
      <c r="U1165" s="46">
        <v>13.291</v>
      </c>
      <c r="V1165" s="46" t="s">
        <v>68</v>
      </c>
      <c r="W1165" s="46">
        <v>3200</v>
      </c>
      <c r="X1165" s="46">
        <v>13.291</v>
      </c>
      <c r="Y1165" s="194">
        <v>12.875999999999999</v>
      </c>
      <c r="Z1165" s="194">
        <v>12.739000000000001</v>
      </c>
      <c r="AA1165" s="194">
        <v>12.648</v>
      </c>
      <c r="AB1165" s="46">
        <v>13.03</v>
      </c>
      <c r="AC1165" s="46">
        <v>13.07</v>
      </c>
      <c r="AD1165" s="46">
        <v>12.8</v>
      </c>
      <c r="AE1165" s="46">
        <v>12.9</v>
      </c>
    </row>
    <row r="1166" spans="1:31" x14ac:dyDescent="0.25">
      <c r="A1166" s="136">
        <v>43020</v>
      </c>
      <c r="B1166" s="201" t="s">
        <v>137</v>
      </c>
      <c r="C1166" t="s">
        <v>138</v>
      </c>
      <c r="D1166">
        <v>100</v>
      </c>
      <c r="E1166">
        <v>100</v>
      </c>
      <c r="F1166">
        <v>-130.48500000000001</v>
      </c>
      <c r="G1166">
        <v>17798.5</v>
      </c>
      <c r="H1166">
        <v>0</v>
      </c>
      <c r="I1166" s="309">
        <v>4750</v>
      </c>
      <c r="J1166">
        <v>47.5</v>
      </c>
      <c r="K1166" s="133">
        <v>1.06542097496741E-2</v>
      </c>
      <c r="L1166" s="181">
        <v>50</v>
      </c>
    </row>
    <row r="1167" spans="1:31" x14ac:dyDescent="0.25">
      <c r="A1167" s="136">
        <v>43020</v>
      </c>
      <c r="B1167" s="201" t="s">
        <v>835</v>
      </c>
      <c r="C1167" t="s">
        <v>839</v>
      </c>
      <c r="I1167" s="309">
        <v>17012.79</v>
      </c>
      <c r="K1167" s="133">
        <v>3.8159543807822598E-2</v>
      </c>
      <c r="L1167" s="181">
        <v>0</v>
      </c>
    </row>
    <row r="1168" spans="1:31" x14ac:dyDescent="0.25">
      <c r="A1168" s="136">
        <v>43021</v>
      </c>
      <c r="B1168" s="201" t="s">
        <v>132</v>
      </c>
      <c r="C1168" t="s">
        <v>123</v>
      </c>
      <c r="D1168">
        <v>35743</v>
      </c>
      <c r="E1168">
        <v>35743</v>
      </c>
      <c r="F1168">
        <v>-6.3E-2</v>
      </c>
      <c r="G1168">
        <v>2609.239</v>
      </c>
      <c r="H1168">
        <v>0</v>
      </c>
      <c r="I1168" s="309">
        <v>357.43</v>
      </c>
      <c r="J1168">
        <v>0.01</v>
      </c>
      <c r="K1168" s="133">
        <v>7.9649367187192702E-4</v>
      </c>
      <c r="L1168" s="181">
        <v>-35.298999999999999</v>
      </c>
    </row>
    <row r="1169" spans="1:31" x14ac:dyDescent="0.25">
      <c r="A1169" s="136">
        <v>43021</v>
      </c>
      <c r="B1169" s="201" t="s">
        <v>61</v>
      </c>
      <c r="C1169" t="s">
        <v>136</v>
      </c>
      <c r="D1169">
        <v>2400</v>
      </c>
      <c r="E1169">
        <v>2400</v>
      </c>
      <c r="F1169">
        <v>5.3570000000000002</v>
      </c>
      <c r="G1169">
        <v>7.81</v>
      </c>
      <c r="H1169">
        <v>0.06</v>
      </c>
      <c r="I1169" s="309">
        <v>12864</v>
      </c>
      <c r="J1169">
        <v>5.36</v>
      </c>
      <c r="K1169" s="133">
        <v>2.8666017387909401E-2</v>
      </c>
      <c r="L1169" s="181">
        <v>0</v>
      </c>
      <c r="N1169" s="73">
        <v>77.011999999998807</v>
      </c>
      <c r="O1169" s="73">
        <v>14.280796660482199</v>
      </c>
      <c r="P1169" s="182">
        <v>5</v>
      </c>
      <c r="Q1169" s="182">
        <v>2500</v>
      </c>
      <c r="R1169" s="46">
        <v>5.3819999999999997</v>
      </c>
      <c r="S1169" s="46">
        <v>1</v>
      </c>
      <c r="T1169" s="46">
        <v>400</v>
      </c>
      <c r="U1169" s="46">
        <v>5.39</v>
      </c>
      <c r="V1169" s="46" t="s">
        <v>62</v>
      </c>
      <c r="W1169" s="46">
        <v>2100</v>
      </c>
      <c r="X1169" s="46">
        <v>5.38</v>
      </c>
    </row>
    <row r="1170" spans="1:31" x14ac:dyDescent="0.25">
      <c r="A1170" s="136">
        <v>43021</v>
      </c>
      <c r="B1170" s="201" t="s">
        <v>124</v>
      </c>
      <c r="C1170" t="s">
        <v>125</v>
      </c>
      <c r="D1170">
        <v>100</v>
      </c>
      <c r="E1170">
        <v>100</v>
      </c>
      <c r="F1170">
        <v>-53.579000000000001</v>
      </c>
      <c r="G1170">
        <v>5971.9</v>
      </c>
      <c r="H1170">
        <v>0</v>
      </c>
      <c r="I1170" s="309">
        <v>614</v>
      </c>
      <c r="J1170">
        <v>6.14</v>
      </c>
      <c r="K1170" s="133">
        <v>1.3682318622649601E-3</v>
      </c>
      <c r="L1170" s="181">
        <v>-7</v>
      </c>
      <c r="N1170" s="73">
        <v>5995.0890000000099</v>
      </c>
      <c r="O1170" s="73">
        <v>1102.4501845505599</v>
      </c>
      <c r="P1170" s="182">
        <v>0</v>
      </c>
      <c r="Q1170" s="182">
        <v>0</v>
      </c>
      <c r="R1170" s="46">
        <v>0</v>
      </c>
      <c r="S1170" s="46">
        <v>5</v>
      </c>
      <c r="T1170" s="46">
        <v>2300</v>
      </c>
      <c r="U1170" s="46">
        <v>4.99</v>
      </c>
      <c r="V1170" s="46" t="s">
        <v>68</v>
      </c>
      <c r="W1170" s="46">
        <v>2300</v>
      </c>
      <c r="X1170" s="46">
        <v>4.99</v>
      </c>
      <c r="Y1170" s="193">
        <v>6.4180000000000001</v>
      </c>
      <c r="Z1170" s="193">
        <v>5.3710000000000004</v>
      </c>
      <c r="AA1170" s="193">
        <v>5.5069999999999997</v>
      </c>
      <c r="AB1170" s="46">
        <v>6.2</v>
      </c>
      <c r="AC1170" s="46">
        <v>6.22</v>
      </c>
      <c r="AD1170" s="46">
        <v>6.13</v>
      </c>
      <c r="AE1170" s="46">
        <v>6.14</v>
      </c>
    </row>
    <row r="1171" spans="1:31" x14ac:dyDescent="0.25">
      <c r="A1171" s="136">
        <v>43021</v>
      </c>
      <c r="B1171" s="201" t="s">
        <v>71</v>
      </c>
      <c r="C1171" t="s">
        <v>126</v>
      </c>
      <c r="D1171">
        <v>4200</v>
      </c>
      <c r="E1171">
        <v>4200</v>
      </c>
      <c r="F1171">
        <v>6.11</v>
      </c>
      <c r="G1171">
        <v>967.47</v>
      </c>
      <c r="H1171">
        <v>3.77</v>
      </c>
      <c r="I1171" s="309">
        <v>26628</v>
      </c>
      <c r="J1171">
        <v>6.34</v>
      </c>
      <c r="K1171" s="133">
        <v>5.9337586365458099E-2</v>
      </c>
      <c r="L1171" s="181">
        <v>-168</v>
      </c>
      <c r="N1171" s="73">
        <v>1293.67200000001</v>
      </c>
      <c r="O1171" s="73">
        <v>233.109353013912</v>
      </c>
      <c r="P1171" s="182">
        <v>5</v>
      </c>
      <c r="Q1171" s="182">
        <v>2500</v>
      </c>
      <c r="R1171" s="46">
        <v>6.4240000000000004</v>
      </c>
      <c r="S1171" s="46">
        <v>1</v>
      </c>
      <c r="T1171" s="46">
        <v>500</v>
      </c>
      <c r="U1171" s="46">
        <v>6.47</v>
      </c>
      <c r="V1171" s="46" t="s">
        <v>62</v>
      </c>
      <c r="W1171" s="46">
        <v>2000</v>
      </c>
      <c r="X1171" s="46">
        <v>6.4130000000000003</v>
      </c>
      <c r="Y1171" s="194">
        <v>6.3380000000000001</v>
      </c>
      <c r="Z1171" s="194">
        <v>6.5860000000000003</v>
      </c>
      <c r="AA1171" s="194">
        <v>6.7089999999999996</v>
      </c>
      <c r="AB1171" s="46">
        <v>6.37</v>
      </c>
      <c r="AC1171" s="46">
        <v>6.38</v>
      </c>
      <c r="AD1171" s="46">
        <v>6.34</v>
      </c>
      <c r="AE1171" s="46">
        <v>6.34</v>
      </c>
    </row>
    <row r="1172" spans="1:31" x14ac:dyDescent="0.25">
      <c r="A1172" s="136">
        <v>43021</v>
      </c>
      <c r="B1172" s="201" t="s">
        <v>135</v>
      </c>
      <c r="C1172" t="s">
        <v>139</v>
      </c>
      <c r="D1172">
        <v>100000</v>
      </c>
      <c r="E1172">
        <v>100000</v>
      </c>
      <c r="F1172">
        <v>0.997</v>
      </c>
      <c r="G1172">
        <v>262.25</v>
      </c>
      <c r="H1172">
        <v>0.3</v>
      </c>
      <c r="I1172" s="309">
        <v>0</v>
      </c>
      <c r="J1172">
        <v>1</v>
      </c>
      <c r="K1172" s="133">
        <v>0</v>
      </c>
      <c r="L1172" s="181">
        <v>96.16</v>
      </c>
    </row>
    <row r="1173" spans="1:31" x14ac:dyDescent="0.25">
      <c r="A1173" s="136">
        <v>43021</v>
      </c>
      <c r="B1173" s="201" t="s">
        <v>65</v>
      </c>
      <c r="C1173" t="s">
        <v>127</v>
      </c>
      <c r="D1173">
        <v>5800</v>
      </c>
      <c r="E1173">
        <v>5800</v>
      </c>
      <c r="F1173">
        <v>9.2409999999999997</v>
      </c>
      <c r="G1173">
        <v>16409.189999999999</v>
      </c>
      <c r="H1173">
        <v>30.61</v>
      </c>
      <c r="I1173" s="309">
        <v>70006</v>
      </c>
      <c r="J1173">
        <v>12.07</v>
      </c>
      <c r="K1173" s="133">
        <v>0.156000716204757</v>
      </c>
      <c r="L1173" s="181">
        <v>623.95999999999901</v>
      </c>
      <c r="N1173" s="73">
        <v>12684.74</v>
      </c>
      <c r="O1173" s="73">
        <v>1362.4222146730101</v>
      </c>
      <c r="P1173" s="182">
        <v>2</v>
      </c>
      <c r="Q1173" s="182">
        <v>3200</v>
      </c>
      <c r="R1173" s="46">
        <v>12.025</v>
      </c>
      <c r="S1173" s="46">
        <v>35</v>
      </c>
      <c r="T1173" s="46">
        <v>14500</v>
      </c>
      <c r="U1173" s="46">
        <v>12.215</v>
      </c>
      <c r="V1173" s="46" t="s">
        <v>68</v>
      </c>
      <c r="W1173" s="46">
        <v>11300</v>
      </c>
      <c r="X1173" s="46">
        <v>12.269</v>
      </c>
      <c r="Y1173" s="193">
        <v>12.071</v>
      </c>
      <c r="Z1173" s="194">
        <v>11.702</v>
      </c>
      <c r="AA1173" s="194">
        <v>11.97</v>
      </c>
      <c r="AB1173" s="46">
        <v>11.93</v>
      </c>
      <c r="AC1173" s="46">
        <v>12.09</v>
      </c>
      <c r="AD1173" s="46">
        <v>11.93</v>
      </c>
      <c r="AE1173" s="46">
        <v>12.07</v>
      </c>
    </row>
    <row r="1174" spans="1:31" x14ac:dyDescent="0.25">
      <c r="A1174" s="136">
        <v>43021</v>
      </c>
      <c r="B1174" s="201" t="s">
        <v>77</v>
      </c>
      <c r="C1174" t="s">
        <v>128</v>
      </c>
      <c r="D1174">
        <v>3100</v>
      </c>
      <c r="E1174">
        <v>3100</v>
      </c>
      <c r="F1174">
        <v>5.9470000000000001</v>
      </c>
      <c r="G1174">
        <v>2178.79</v>
      </c>
      <c r="H1174">
        <v>11.82</v>
      </c>
      <c r="I1174" s="309">
        <v>20615</v>
      </c>
      <c r="J1174">
        <v>6.65</v>
      </c>
      <c r="K1174" s="133">
        <v>4.59382733560132E-2</v>
      </c>
      <c r="L1174" s="181">
        <v>-31</v>
      </c>
      <c r="N1174" s="73">
        <v>1735.8420000000001</v>
      </c>
      <c r="O1174" s="73">
        <v>335.04109130434699</v>
      </c>
      <c r="P1174" s="182">
        <v>5</v>
      </c>
      <c r="Q1174" s="182">
        <v>2500</v>
      </c>
      <c r="R1174" s="46">
        <v>6.8440000000000003</v>
      </c>
      <c r="S1174" s="46">
        <v>0</v>
      </c>
      <c r="T1174" s="46">
        <v>0</v>
      </c>
      <c r="U1174" s="46">
        <v>0</v>
      </c>
      <c r="V1174" s="46" t="s">
        <v>62</v>
      </c>
      <c r="W1174" s="46">
        <v>2500</v>
      </c>
      <c r="X1174" s="46">
        <v>6.8440000000000003</v>
      </c>
      <c r="Y1174" s="194">
        <v>6.5890000000000004</v>
      </c>
      <c r="Z1174" s="194">
        <v>6.8840000000000003</v>
      </c>
      <c r="AA1174" s="194">
        <v>6.9610000000000003</v>
      </c>
      <c r="AB1174" s="46">
        <v>6.66</v>
      </c>
      <c r="AC1174" s="46">
        <v>6.66</v>
      </c>
      <c r="AD1174" s="46">
        <v>6.61</v>
      </c>
      <c r="AE1174" s="46">
        <v>6.65</v>
      </c>
    </row>
    <row r="1175" spans="1:31" x14ac:dyDescent="0.25">
      <c r="A1175" s="136">
        <v>43021</v>
      </c>
      <c r="B1175" s="201" t="s">
        <v>67</v>
      </c>
      <c r="C1175" t="s">
        <v>129</v>
      </c>
      <c r="D1175">
        <v>5650</v>
      </c>
      <c r="E1175">
        <v>5650</v>
      </c>
      <c r="F1175">
        <v>9.07</v>
      </c>
      <c r="G1175">
        <v>283.98</v>
      </c>
      <c r="H1175">
        <v>0.55000000000000004</v>
      </c>
      <c r="I1175" s="309">
        <v>51528</v>
      </c>
      <c r="J1175">
        <v>9.1199999999999992</v>
      </c>
      <c r="K1175" s="133">
        <v>0.114824513678809</v>
      </c>
      <c r="L1175" s="181">
        <v>-226</v>
      </c>
      <c r="N1175" s="73">
        <v>33170.110999999903</v>
      </c>
      <c r="O1175" s="73">
        <v>43.162762308507098</v>
      </c>
      <c r="P1175" s="182">
        <v>15</v>
      </c>
      <c r="Q1175" s="182">
        <v>7500</v>
      </c>
      <c r="R1175" s="46">
        <v>6.181</v>
      </c>
      <c r="S1175" s="46">
        <v>14</v>
      </c>
      <c r="T1175" s="46">
        <v>6000</v>
      </c>
      <c r="U1175" s="46">
        <v>8.8610000000000007</v>
      </c>
      <c r="V1175" s="46" t="s">
        <v>62</v>
      </c>
      <c r="W1175" s="46">
        <v>1500</v>
      </c>
      <c r="X1175" s="46">
        <v>-4.5389999999999997</v>
      </c>
      <c r="Y1175" s="194">
        <v>9.0909999999999993</v>
      </c>
      <c r="Z1175" s="193">
        <v>9.2319999999999993</v>
      </c>
      <c r="AA1175" s="193">
        <v>9.077</v>
      </c>
      <c r="AB1175" s="46">
        <v>9.1199999999999992</v>
      </c>
      <c r="AC1175" s="46">
        <v>9.17</v>
      </c>
      <c r="AD1175" s="46">
        <v>9.09</v>
      </c>
      <c r="AE1175" s="46">
        <v>9.1199999999999992</v>
      </c>
    </row>
    <row r="1176" spans="1:31" x14ac:dyDescent="0.25">
      <c r="A1176" s="136">
        <v>43021</v>
      </c>
      <c r="B1176" s="201" t="s">
        <v>72</v>
      </c>
      <c r="C1176" t="s">
        <v>130</v>
      </c>
      <c r="D1176">
        <v>2100</v>
      </c>
      <c r="E1176">
        <v>2100</v>
      </c>
      <c r="F1176">
        <v>8.4559999999999995</v>
      </c>
      <c r="G1176">
        <v>-1146.8800000000001</v>
      </c>
      <c r="H1176">
        <v>-6.46</v>
      </c>
      <c r="I1176" s="309">
        <v>16611</v>
      </c>
      <c r="J1176">
        <v>7.91</v>
      </c>
      <c r="K1176" s="133">
        <v>3.7015797172773902E-2</v>
      </c>
      <c r="L1176" s="181">
        <v>0</v>
      </c>
      <c r="N1176" s="73">
        <v>-1347.5799999999899</v>
      </c>
      <c r="O1176" s="73">
        <v>-142.08422537878499</v>
      </c>
      <c r="P1176" s="182">
        <v>0</v>
      </c>
      <c r="Q1176" s="182">
        <v>0</v>
      </c>
      <c r="R1176" s="46">
        <v>0</v>
      </c>
      <c r="S1176" s="46">
        <v>10</v>
      </c>
      <c r="T1176" s="46">
        <v>5000</v>
      </c>
      <c r="U1176" s="46">
        <v>7.423</v>
      </c>
      <c r="V1176" s="46" t="s">
        <v>68</v>
      </c>
      <c r="W1176" s="46">
        <v>5000</v>
      </c>
      <c r="X1176" s="46">
        <v>7.423</v>
      </c>
    </row>
    <row r="1177" spans="1:31" x14ac:dyDescent="0.25">
      <c r="A1177" s="136">
        <v>43021</v>
      </c>
      <c r="B1177" s="201" t="s">
        <v>70</v>
      </c>
      <c r="C1177" t="s">
        <v>131</v>
      </c>
      <c r="D1177">
        <v>6100</v>
      </c>
      <c r="E1177">
        <v>6100</v>
      </c>
      <c r="F1177">
        <v>12.531000000000001</v>
      </c>
      <c r="G1177">
        <v>4385.1400000000003</v>
      </c>
      <c r="H1177">
        <v>5.74</v>
      </c>
      <c r="I1177" s="309">
        <v>80825</v>
      </c>
      <c r="J1177">
        <v>13.25</v>
      </c>
      <c r="K1177" s="133">
        <v>0.18010967470287501</v>
      </c>
      <c r="L1177" s="181">
        <v>2342.4499999999998</v>
      </c>
      <c r="N1177" s="73">
        <v>4320.1539999999804</v>
      </c>
      <c r="O1177" s="73">
        <v>326.132471525678</v>
      </c>
      <c r="P1177" s="182">
        <v>0</v>
      </c>
      <c r="Q1177" s="182">
        <v>0</v>
      </c>
      <c r="R1177" s="46">
        <v>0</v>
      </c>
      <c r="S1177" s="46">
        <v>10</v>
      </c>
      <c r="T1177" s="46">
        <v>4000</v>
      </c>
      <c r="U1177" s="46">
        <v>13.27</v>
      </c>
      <c r="V1177" s="46" t="s">
        <v>68</v>
      </c>
      <c r="W1177" s="46">
        <v>4000</v>
      </c>
      <c r="X1177" s="46">
        <v>13.27</v>
      </c>
      <c r="Y1177" s="193">
        <v>13.209</v>
      </c>
      <c r="Z1177" s="194">
        <v>12.693</v>
      </c>
      <c r="AA1177" s="194">
        <v>12.663</v>
      </c>
      <c r="AB1177" s="46">
        <v>12.89</v>
      </c>
      <c r="AC1177" s="46">
        <v>13.26</v>
      </c>
      <c r="AD1177" s="46">
        <v>12.83</v>
      </c>
      <c r="AE1177" s="46">
        <v>13.25</v>
      </c>
    </row>
    <row r="1178" spans="1:31" x14ac:dyDescent="0.25">
      <c r="A1178" s="136">
        <v>43021</v>
      </c>
      <c r="B1178" s="201" t="s">
        <v>137</v>
      </c>
      <c r="C1178" t="s">
        <v>138</v>
      </c>
      <c r="D1178">
        <v>100</v>
      </c>
      <c r="E1178">
        <v>100</v>
      </c>
      <c r="F1178">
        <v>-130.48500000000001</v>
      </c>
      <c r="G1178">
        <v>17978.5</v>
      </c>
      <c r="H1178">
        <v>0</v>
      </c>
      <c r="I1178" s="309">
        <v>4930</v>
      </c>
      <c r="J1178">
        <v>49.3</v>
      </c>
      <c r="K1178" s="133">
        <v>1.0985965929912399E-2</v>
      </c>
      <c r="L1178" s="181">
        <v>180</v>
      </c>
    </row>
    <row r="1179" spans="1:31" x14ac:dyDescent="0.25">
      <c r="A1179" s="136">
        <v>43021</v>
      </c>
      <c r="B1179" s="201" t="s">
        <v>835</v>
      </c>
      <c r="C1179" t="s">
        <v>839</v>
      </c>
      <c r="I1179" s="309">
        <v>163775.92000000001</v>
      </c>
      <c r="K1179" s="133">
        <v>0.36495672966735598</v>
      </c>
      <c r="L1179" s="181">
        <v>0</v>
      </c>
    </row>
    <row r="1180" spans="1:31" x14ac:dyDescent="0.25">
      <c r="A1180" s="136">
        <v>43024</v>
      </c>
      <c r="B1180" s="201" t="s">
        <v>132</v>
      </c>
      <c r="C1180" t="s">
        <v>123</v>
      </c>
      <c r="D1180">
        <v>10035743</v>
      </c>
      <c r="E1180">
        <v>35743</v>
      </c>
      <c r="F1180">
        <v>0.01</v>
      </c>
      <c r="G1180">
        <v>2626.92</v>
      </c>
      <c r="H1180">
        <v>0</v>
      </c>
      <c r="I1180" s="309">
        <v>100357.43</v>
      </c>
      <c r="J1180">
        <v>0.01</v>
      </c>
      <c r="K1180" s="133">
        <v>0.22501248183105499</v>
      </c>
      <c r="L1180" s="181">
        <v>17.681000000000001</v>
      </c>
    </row>
    <row r="1181" spans="1:31" x14ac:dyDescent="0.25">
      <c r="A1181" s="136">
        <v>43024</v>
      </c>
      <c r="B1181" s="201" t="s">
        <v>61</v>
      </c>
      <c r="C1181" t="s">
        <v>136</v>
      </c>
      <c r="D1181">
        <v>2400</v>
      </c>
      <c r="E1181">
        <v>2400</v>
      </c>
      <c r="F1181">
        <v>5.3570000000000002</v>
      </c>
      <c r="G1181">
        <v>-88.19</v>
      </c>
      <c r="H1181">
        <v>-0.69</v>
      </c>
      <c r="I1181" s="309">
        <v>12768</v>
      </c>
      <c r="J1181">
        <v>5.32</v>
      </c>
      <c r="K1181" s="133">
        <v>2.8627271224650801E-2</v>
      </c>
      <c r="L1181" s="181">
        <v>-96</v>
      </c>
      <c r="N1181" s="73">
        <v>77.011999999998807</v>
      </c>
      <c r="O1181" s="73">
        <v>14.280796660482199</v>
      </c>
      <c r="P1181" s="182">
        <v>4</v>
      </c>
      <c r="Q1181" s="182">
        <v>2000</v>
      </c>
      <c r="R1181" s="46">
        <v>5.383</v>
      </c>
      <c r="S1181" s="46">
        <v>0</v>
      </c>
      <c r="T1181" s="46">
        <v>0</v>
      </c>
      <c r="U1181" s="46">
        <v>0</v>
      </c>
      <c r="V1181" s="46" t="s">
        <v>62</v>
      </c>
      <c r="W1181" s="46">
        <v>2000</v>
      </c>
      <c r="X1181" s="46">
        <v>5.383</v>
      </c>
    </row>
    <row r="1182" spans="1:31" x14ac:dyDescent="0.25">
      <c r="A1182" s="136">
        <v>43024</v>
      </c>
      <c r="B1182" s="201" t="s">
        <v>124</v>
      </c>
      <c r="C1182" t="s">
        <v>125</v>
      </c>
      <c r="D1182">
        <v>100</v>
      </c>
      <c r="E1182">
        <v>100</v>
      </c>
      <c r="F1182">
        <v>-53.579000000000001</v>
      </c>
      <c r="G1182">
        <v>5978.9</v>
      </c>
      <c r="H1182">
        <v>0</v>
      </c>
      <c r="I1182" s="309">
        <v>621</v>
      </c>
      <c r="J1182">
        <v>6.21</v>
      </c>
      <c r="K1182" s="133">
        <v>1.3923508325899201E-3</v>
      </c>
      <c r="L1182" s="181">
        <v>7</v>
      </c>
      <c r="N1182" s="73">
        <v>5995.0890000000099</v>
      </c>
      <c r="O1182" s="73">
        <v>1102.4501845505599</v>
      </c>
      <c r="P1182" s="182">
        <v>0</v>
      </c>
      <c r="Q1182" s="182">
        <v>0</v>
      </c>
      <c r="R1182" s="46">
        <v>0</v>
      </c>
      <c r="S1182" s="46">
        <v>5</v>
      </c>
      <c r="T1182" s="46">
        <v>2300</v>
      </c>
      <c r="U1182" s="46">
        <v>4.99</v>
      </c>
      <c r="V1182" s="46" t="s">
        <v>68</v>
      </c>
      <c r="W1182" s="46">
        <v>2300</v>
      </c>
      <c r="X1182" s="46">
        <v>4.99</v>
      </c>
      <c r="Y1182" s="194">
        <v>6.077</v>
      </c>
      <c r="Z1182" s="193">
        <v>5.36</v>
      </c>
      <c r="AA1182" s="193">
        <v>5.5250000000000004</v>
      </c>
      <c r="AB1182" s="46">
        <v>6.12</v>
      </c>
      <c r="AC1182" s="46">
        <v>6.22</v>
      </c>
      <c r="AD1182" s="46">
        <v>6.1</v>
      </c>
      <c r="AE1182" s="46">
        <v>6.21</v>
      </c>
    </row>
    <row r="1183" spans="1:31" x14ac:dyDescent="0.25">
      <c r="A1183" s="136">
        <v>43024</v>
      </c>
      <c r="B1183" s="201" t="s">
        <v>71</v>
      </c>
      <c r="C1183" t="s">
        <v>126</v>
      </c>
      <c r="D1183">
        <v>4200</v>
      </c>
      <c r="E1183">
        <v>4200</v>
      </c>
      <c r="F1183">
        <v>6.11</v>
      </c>
      <c r="G1183">
        <v>1093.47</v>
      </c>
      <c r="H1183">
        <v>4.26</v>
      </c>
      <c r="I1183" s="309">
        <v>26754</v>
      </c>
      <c r="J1183">
        <v>6.37</v>
      </c>
      <c r="K1183" s="133">
        <v>5.9985433454284802E-2</v>
      </c>
      <c r="L1183" s="181">
        <v>126</v>
      </c>
      <c r="N1183" s="73">
        <v>1293.67200000001</v>
      </c>
      <c r="O1183" s="73">
        <v>233.109353013912</v>
      </c>
      <c r="P1183" s="182">
        <v>5</v>
      </c>
      <c r="Q1183" s="182">
        <v>2500</v>
      </c>
      <c r="R1183" s="46">
        <v>6.4240000000000004</v>
      </c>
      <c r="S1183" s="46">
        <v>1</v>
      </c>
      <c r="T1183" s="46">
        <v>500</v>
      </c>
      <c r="U1183" s="46">
        <v>6.47</v>
      </c>
      <c r="V1183" s="46" t="s">
        <v>62</v>
      </c>
      <c r="W1183" s="46">
        <v>2000</v>
      </c>
      <c r="X1183" s="46">
        <v>6.4130000000000003</v>
      </c>
      <c r="Y1183" s="194">
        <v>6.1980000000000004</v>
      </c>
      <c r="Z1183" s="194">
        <v>6.5709999999999997</v>
      </c>
      <c r="AA1183" s="194">
        <v>6.7030000000000003</v>
      </c>
      <c r="AB1183" s="46">
        <v>6.34</v>
      </c>
      <c r="AC1183" s="46">
        <v>6.4</v>
      </c>
      <c r="AD1183" s="46">
        <v>6.33</v>
      </c>
      <c r="AE1183" s="46">
        <v>6.37</v>
      </c>
    </row>
    <row r="1184" spans="1:31" x14ac:dyDescent="0.25">
      <c r="A1184" s="136">
        <v>43024</v>
      </c>
      <c r="B1184" s="201" t="s">
        <v>135</v>
      </c>
      <c r="C1184" t="s">
        <v>139</v>
      </c>
      <c r="D1184">
        <v>100000</v>
      </c>
      <c r="E1184">
        <v>100000</v>
      </c>
      <c r="F1184">
        <v>0.997</v>
      </c>
      <c r="G1184">
        <v>262.25</v>
      </c>
      <c r="H1184">
        <v>0.3</v>
      </c>
      <c r="J1184">
        <v>1</v>
      </c>
      <c r="K1184" s="133">
        <v>0</v>
      </c>
      <c r="L1184" s="181">
        <v>0</v>
      </c>
    </row>
    <row r="1185" spans="1:31" x14ac:dyDescent="0.25">
      <c r="A1185" s="136">
        <v>43024</v>
      </c>
      <c r="B1185" s="201" t="s">
        <v>65</v>
      </c>
      <c r="C1185" t="s">
        <v>127</v>
      </c>
      <c r="D1185">
        <v>9500</v>
      </c>
      <c r="E1185">
        <v>5800</v>
      </c>
      <c r="F1185">
        <v>10.269</v>
      </c>
      <c r="G1185">
        <v>14359.19</v>
      </c>
      <c r="H1185">
        <v>14.72</v>
      </c>
      <c r="I1185" s="309">
        <v>111910</v>
      </c>
      <c r="J1185">
        <v>11.78</v>
      </c>
      <c r="K1185" s="133">
        <v>0.25091462427558497</v>
      </c>
      <c r="L1185" s="181">
        <v>-2050</v>
      </c>
      <c r="N1185" s="73">
        <v>10291.74</v>
      </c>
      <c r="O1185" s="73">
        <v>1197.12824282978</v>
      </c>
      <c r="P1185" s="182">
        <v>1</v>
      </c>
      <c r="Q1185" s="182">
        <v>500</v>
      </c>
      <c r="R1185" s="46">
        <v>11.75</v>
      </c>
      <c r="S1185" s="46">
        <v>19</v>
      </c>
      <c r="T1185" s="46">
        <v>7900</v>
      </c>
      <c r="U1185" s="46">
        <v>12.311999999999999</v>
      </c>
      <c r="V1185" s="46" t="s">
        <v>68</v>
      </c>
      <c r="W1185" s="46">
        <v>7400</v>
      </c>
      <c r="X1185" s="46">
        <v>12.35</v>
      </c>
      <c r="Y1185" s="194">
        <v>11.874000000000001</v>
      </c>
      <c r="Z1185" s="194">
        <v>11.72</v>
      </c>
      <c r="AA1185" s="194">
        <v>11.968999999999999</v>
      </c>
      <c r="AB1185" s="46">
        <v>12.05</v>
      </c>
      <c r="AC1185" s="46">
        <v>12.1</v>
      </c>
      <c r="AD1185" s="46">
        <v>11.72</v>
      </c>
      <c r="AE1185" s="46">
        <v>11.78</v>
      </c>
    </row>
    <row r="1186" spans="1:31" x14ac:dyDescent="0.25">
      <c r="A1186" s="136">
        <v>43024</v>
      </c>
      <c r="B1186" s="201" t="s">
        <v>77</v>
      </c>
      <c r="C1186" t="s">
        <v>128</v>
      </c>
      <c r="D1186">
        <v>3600</v>
      </c>
      <c r="E1186">
        <v>3100</v>
      </c>
      <c r="F1186">
        <v>6.0350000000000001</v>
      </c>
      <c r="G1186">
        <v>1817.79</v>
      </c>
      <c r="H1186">
        <v>8.3699999999999992</v>
      </c>
      <c r="I1186" s="309">
        <v>23544</v>
      </c>
      <c r="J1186">
        <v>6.54</v>
      </c>
      <c r="K1186" s="133">
        <v>5.2788257652974499E-2</v>
      </c>
      <c r="L1186" s="181">
        <v>-361</v>
      </c>
      <c r="N1186" s="73">
        <v>1420.8420000000001</v>
      </c>
      <c r="O1186" s="73">
        <v>292.219418417047</v>
      </c>
      <c r="P1186" s="182">
        <v>6</v>
      </c>
      <c r="Q1186" s="182">
        <v>3000</v>
      </c>
      <c r="R1186" s="46">
        <v>6.798</v>
      </c>
      <c r="S1186" s="46">
        <v>0</v>
      </c>
      <c r="T1186" s="46">
        <v>0</v>
      </c>
      <c r="U1186" s="46">
        <v>0</v>
      </c>
      <c r="V1186" s="46" t="s">
        <v>62</v>
      </c>
      <c r="W1186" s="46">
        <v>3000</v>
      </c>
      <c r="X1186" s="46">
        <v>6.798</v>
      </c>
      <c r="Y1186" s="194">
        <v>6.569</v>
      </c>
      <c r="Z1186" s="194">
        <v>6.73</v>
      </c>
      <c r="AA1186" s="194">
        <v>6.9509999999999996</v>
      </c>
      <c r="AB1186" s="46">
        <v>6.65</v>
      </c>
      <c r="AC1186" s="46">
        <v>6.7</v>
      </c>
      <c r="AD1186" s="46">
        <v>6.55</v>
      </c>
      <c r="AE1186" s="46">
        <v>6.54</v>
      </c>
    </row>
    <row r="1187" spans="1:31" x14ac:dyDescent="0.25">
      <c r="A1187" s="136">
        <v>43024</v>
      </c>
      <c r="B1187" s="201" t="s">
        <v>67</v>
      </c>
      <c r="C1187" t="s">
        <v>129</v>
      </c>
      <c r="D1187">
        <v>5750</v>
      </c>
      <c r="E1187">
        <v>5250</v>
      </c>
      <c r="F1187">
        <v>9.0630000000000006</v>
      </c>
      <c r="G1187">
        <v>-16.7</v>
      </c>
      <c r="H1187">
        <v>-0.03</v>
      </c>
      <c r="I1187" s="309">
        <v>52095</v>
      </c>
      <c r="J1187">
        <v>9.06</v>
      </c>
      <c r="K1187" s="133">
        <v>0.11680276428948801</v>
      </c>
      <c r="L1187" s="181">
        <v>-300.68</v>
      </c>
      <c r="N1187" s="73">
        <v>32756.434999999899</v>
      </c>
      <c r="O1187" s="73">
        <v>-2.09288239517053</v>
      </c>
      <c r="P1187" s="182">
        <v>16</v>
      </c>
      <c r="Q1187" s="182">
        <v>8000</v>
      </c>
      <c r="R1187" s="46">
        <v>6.3609999999999998</v>
      </c>
      <c r="S1187" s="46">
        <v>15</v>
      </c>
      <c r="T1187" s="46">
        <v>6400</v>
      </c>
      <c r="U1187" s="46">
        <v>8.8810000000000002</v>
      </c>
      <c r="V1187" s="46" t="s">
        <v>62</v>
      </c>
      <c r="W1187" s="46">
        <v>1600</v>
      </c>
      <c r="X1187" s="46">
        <v>-3.7189999999999999</v>
      </c>
      <c r="Y1187" s="193">
        <v>9.3699999999999992</v>
      </c>
      <c r="Z1187" s="193">
        <v>9.2349999999999994</v>
      </c>
      <c r="AA1187" s="193">
        <v>9.0779999999999994</v>
      </c>
      <c r="AB1187" s="46">
        <v>9.19</v>
      </c>
      <c r="AC1187" s="46">
        <v>9.1999999999999993</v>
      </c>
      <c r="AD1187" s="46">
        <v>9.06</v>
      </c>
      <c r="AE1187" s="46">
        <v>9.06</v>
      </c>
    </row>
    <row r="1188" spans="1:31" x14ac:dyDescent="0.25">
      <c r="A1188" s="136">
        <v>43024</v>
      </c>
      <c r="B1188" s="201" t="s">
        <v>72</v>
      </c>
      <c r="C1188" t="s">
        <v>130</v>
      </c>
      <c r="D1188">
        <v>2100</v>
      </c>
      <c r="E1188">
        <v>2100</v>
      </c>
      <c r="F1188">
        <v>8.4559999999999995</v>
      </c>
      <c r="G1188">
        <v>-1146.8800000000001</v>
      </c>
      <c r="H1188">
        <v>-6.46</v>
      </c>
      <c r="I1188" s="309">
        <v>16611</v>
      </c>
      <c r="J1188">
        <v>7.91</v>
      </c>
      <c r="K1188" s="133">
        <v>3.7243703188649301E-2</v>
      </c>
      <c r="L1188" s="181">
        <v>0</v>
      </c>
      <c r="N1188" s="73">
        <v>-1347.5799999999899</v>
      </c>
      <c r="O1188" s="73">
        <v>-142.08422537878499</v>
      </c>
      <c r="P1188" s="182">
        <v>0</v>
      </c>
      <c r="Q1188" s="182">
        <v>0</v>
      </c>
      <c r="R1188" s="46">
        <v>0</v>
      </c>
      <c r="S1188" s="46">
        <v>10</v>
      </c>
      <c r="T1188" s="46">
        <v>5000</v>
      </c>
      <c r="U1188" s="46">
        <v>7.423</v>
      </c>
      <c r="V1188" s="46" t="s">
        <v>68</v>
      </c>
      <c r="W1188" s="46">
        <v>5000</v>
      </c>
      <c r="X1188" s="46">
        <v>7.423</v>
      </c>
    </row>
    <row r="1189" spans="1:31" x14ac:dyDescent="0.25">
      <c r="A1189" s="136">
        <v>43024</v>
      </c>
      <c r="B1189" s="201" t="s">
        <v>70</v>
      </c>
      <c r="C1189" t="s">
        <v>131</v>
      </c>
      <c r="D1189">
        <v>6200</v>
      </c>
      <c r="E1189">
        <v>5700</v>
      </c>
      <c r="F1189">
        <v>12.523999999999999</v>
      </c>
      <c r="G1189">
        <v>3820.75</v>
      </c>
      <c r="H1189">
        <v>4.92</v>
      </c>
      <c r="I1189" s="309">
        <v>81468</v>
      </c>
      <c r="J1189">
        <v>13.14</v>
      </c>
      <c r="K1189" s="133">
        <v>0.18266028603773901</v>
      </c>
      <c r="L1189" s="181">
        <v>-564.39</v>
      </c>
      <c r="N1189" s="73">
        <v>3940.7659999999701</v>
      </c>
      <c r="O1189" s="73">
        <v>299.30057879939</v>
      </c>
      <c r="P1189" s="182">
        <v>0</v>
      </c>
      <c r="Q1189" s="182">
        <v>0</v>
      </c>
      <c r="R1189" s="46">
        <v>0</v>
      </c>
      <c r="S1189" s="46">
        <v>10</v>
      </c>
      <c r="T1189" s="46">
        <v>4000</v>
      </c>
      <c r="U1189" s="46">
        <v>13.3</v>
      </c>
      <c r="V1189" s="46" t="s">
        <v>68</v>
      </c>
      <c r="W1189" s="46">
        <v>4000</v>
      </c>
      <c r="X1189" s="46">
        <v>13.3</v>
      </c>
      <c r="Y1189" s="194">
        <v>13.2</v>
      </c>
      <c r="Z1189" s="194">
        <v>12.76</v>
      </c>
      <c r="AA1189" s="194">
        <v>12.702</v>
      </c>
      <c r="AB1189" s="46">
        <v>13.47</v>
      </c>
      <c r="AC1189" s="46">
        <v>13.57</v>
      </c>
      <c r="AD1189" s="46">
        <v>13.11</v>
      </c>
      <c r="AE1189" s="46">
        <v>13.25</v>
      </c>
    </row>
    <row r="1190" spans="1:31" x14ac:dyDescent="0.25">
      <c r="A1190" s="136">
        <v>43024</v>
      </c>
      <c r="B1190" s="201" t="s">
        <v>137</v>
      </c>
      <c r="C1190" t="s">
        <v>138</v>
      </c>
      <c r="D1190">
        <v>100</v>
      </c>
      <c r="E1190">
        <v>100</v>
      </c>
      <c r="F1190">
        <v>-130.48500000000001</v>
      </c>
      <c r="G1190">
        <v>18471.5</v>
      </c>
      <c r="H1190">
        <v>0</v>
      </c>
      <c r="I1190" s="309">
        <v>5423</v>
      </c>
      <c r="J1190">
        <v>54.23</v>
      </c>
      <c r="K1190" s="133">
        <v>1.21589670936154E-2</v>
      </c>
      <c r="L1190" s="181">
        <v>493</v>
      </c>
    </row>
    <row r="1191" spans="1:31" x14ac:dyDescent="0.25">
      <c r="A1191" s="136">
        <v>43024</v>
      </c>
      <c r="B1191" s="201" t="s">
        <v>835</v>
      </c>
      <c r="C1191" t="s">
        <v>839</v>
      </c>
      <c r="I1191" s="309">
        <v>14456.85</v>
      </c>
      <c r="K1191" s="133">
        <v>3.2413860119368199E-2</v>
      </c>
      <c r="L1191" s="181">
        <v>0</v>
      </c>
    </row>
    <row r="1192" spans="1:31" x14ac:dyDescent="0.25">
      <c r="A1192" s="136">
        <v>43025</v>
      </c>
      <c r="B1192" s="201" t="s">
        <v>132</v>
      </c>
      <c r="C1192" t="s">
        <v>123</v>
      </c>
      <c r="D1192">
        <v>8035752</v>
      </c>
      <c r="E1192">
        <v>8035752</v>
      </c>
      <c r="F1192">
        <v>0.01</v>
      </c>
      <c r="G1192">
        <v>2627.01</v>
      </c>
      <c r="H1192">
        <v>0</v>
      </c>
      <c r="I1192" s="309">
        <v>80357.52</v>
      </c>
      <c r="J1192">
        <v>0.01</v>
      </c>
      <c r="K1192" s="133">
        <v>0.18074488850793399</v>
      </c>
      <c r="L1192" s="181">
        <v>9.0000000000145505E-2</v>
      </c>
    </row>
    <row r="1193" spans="1:31" x14ac:dyDescent="0.25">
      <c r="A1193" s="136">
        <v>43025</v>
      </c>
      <c r="B1193" s="201" t="s">
        <v>61</v>
      </c>
      <c r="C1193" t="s">
        <v>136</v>
      </c>
      <c r="D1193">
        <v>2900</v>
      </c>
      <c r="E1193">
        <v>2400</v>
      </c>
      <c r="F1193">
        <v>5.3490000000000002</v>
      </c>
      <c r="G1193">
        <v>-141.24</v>
      </c>
      <c r="H1193">
        <v>-0.92</v>
      </c>
      <c r="I1193" s="309">
        <v>15370</v>
      </c>
      <c r="J1193">
        <v>5.3</v>
      </c>
      <c r="K1193" s="133">
        <v>3.4571113398807599E-2</v>
      </c>
      <c r="L1193" s="181">
        <v>-53.05</v>
      </c>
      <c r="N1193" s="73">
        <v>-144.28800000000001</v>
      </c>
      <c r="O1193" s="73">
        <v>-27.210538867924601</v>
      </c>
      <c r="P1193" s="182">
        <v>5</v>
      </c>
      <c r="Q1193" s="182">
        <v>2500</v>
      </c>
      <c r="R1193" s="46">
        <v>5.3659999999999997</v>
      </c>
      <c r="S1193" s="46">
        <v>0</v>
      </c>
      <c r="T1193" s="46">
        <v>0</v>
      </c>
      <c r="U1193" s="46">
        <v>0</v>
      </c>
      <c r="V1193" s="46" t="s">
        <v>62</v>
      </c>
      <c r="W1193" s="46">
        <v>2500</v>
      </c>
      <c r="X1193" s="46">
        <v>5.3659999999999997</v>
      </c>
    </row>
    <row r="1194" spans="1:31" x14ac:dyDescent="0.25">
      <c r="A1194" s="136">
        <v>43025</v>
      </c>
      <c r="B1194" s="201" t="s">
        <v>124</v>
      </c>
      <c r="C1194" t="s">
        <v>125</v>
      </c>
      <c r="D1194">
        <v>100</v>
      </c>
      <c r="E1194">
        <v>100</v>
      </c>
      <c r="F1194">
        <v>-53.579000000000001</v>
      </c>
      <c r="G1194">
        <v>5972.9</v>
      </c>
      <c r="H1194">
        <v>0</v>
      </c>
      <c r="I1194" s="309">
        <v>615</v>
      </c>
      <c r="J1194">
        <v>6.15</v>
      </c>
      <c r="K1194" s="133">
        <v>1.3832943877857299E-3</v>
      </c>
      <c r="L1194" s="181">
        <v>-6</v>
      </c>
      <c r="N1194" s="73">
        <v>5995.0890000000099</v>
      </c>
      <c r="O1194" s="73">
        <v>1102.4501845505599</v>
      </c>
      <c r="P1194" s="182">
        <v>0</v>
      </c>
      <c r="Q1194" s="182">
        <v>0</v>
      </c>
      <c r="R1194" s="46">
        <v>0</v>
      </c>
      <c r="S1194" s="46">
        <v>5</v>
      </c>
      <c r="T1194" s="46">
        <v>2300</v>
      </c>
      <c r="U1194" s="46">
        <v>4.99</v>
      </c>
      <c r="V1194" s="46" t="s">
        <v>68</v>
      </c>
      <c r="W1194" s="46">
        <v>2300</v>
      </c>
      <c r="X1194" s="46">
        <v>4.99</v>
      </c>
      <c r="Y1194" s="193">
        <v>6.2439999999999998</v>
      </c>
      <c r="Z1194" s="193">
        <v>5.3810000000000002</v>
      </c>
      <c r="AA1194" s="193">
        <v>5.54</v>
      </c>
      <c r="AB1194" s="46">
        <v>6.19</v>
      </c>
      <c r="AC1194" s="46">
        <v>6.22</v>
      </c>
      <c r="AD1194" s="46">
        <v>6.14</v>
      </c>
      <c r="AE1194" s="46">
        <v>6.15</v>
      </c>
    </row>
    <row r="1195" spans="1:31" x14ac:dyDescent="0.25">
      <c r="A1195" s="136">
        <v>43025</v>
      </c>
      <c r="B1195" s="201" t="s">
        <v>71</v>
      </c>
      <c r="C1195" t="s">
        <v>126</v>
      </c>
      <c r="D1195">
        <v>4200</v>
      </c>
      <c r="E1195">
        <v>4200</v>
      </c>
      <c r="F1195">
        <v>6.11</v>
      </c>
      <c r="G1195">
        <v>1009.47</v>
      </c>
      <c r="H1195">
        <v>3.93</v>
      </c>
      <c r="I1195" s="309">
        <v>26670</v>
      </c>
      <c r="J1195">
        <v>6.35</v>
      </c>
      <c r="K1195" s="133">
        <v>5.9987741987390999E-2</v>
      </c>
      <c r="L1195" s="181">
        <v>-84</v>
      </c>
      <c r="N1195" s="73">
        <v>1293.67200000001</v>
      </c>
      <c r="O1195" s="73">
        <v>233.109353013912</v>
      </c>
      <c r="P1195" s="182">
        <v>4</v>
      </c>
      <c r="Q1195" s="182">
        <v>2000</v>
      </c>
      <c r="R1195" s="46">
        <v>6.4180000000000001</v>
      </c>
      <c r="S1195" s="46">
        <v>0</v>
      </c>
      <c r="T1195" s="46">
        <v>0</v>
      </c>
      <c r="U1195" s="46">
        <v>0</v>
      </c>
      <c r="V1195" s="46" t="s">
        <v>62</v>
      </c>
      <c r="W1195" s="46">
        <v>2000</v>
      </c>
      <c r="X1195" s="46">
        <v>6.4180000000000001</v>
      </c>
      <c r="Y1195" s="194">
        <v>6.0910000000000002</v>
      </c>
      <c r="Z1195" s="194">
        <v>6.5659999999999998</v>
      </c>
      <c r="AA1195" s="194">
        <v>6.6989999999999998</v>
      </c>
      <c r="AB1195" s="46">
        <v>6.37</v>
      </c>
      <c r="AC1195" s="46">
        <v>6.38</v>
      </c>
      <c r="AD1195" s="46">
        <v>6.32</v>
      </c>
      <c r="AE1195" s="46">
        <v>6.35</v>
      </c>
    </row>
    <row r="1196" spans="1:31" x14ac:dyDescent="0.25">
      <c r="A1196" s="136">
        <v>43025</v>
      </c>
      <c r="B1196" s="201" t="s">
        <v>140</v>
      </c>
      <c r="C1196" t="s">
        <v>141</v>
      </c>
      <c r="D1196">
        <v>100</v>
      </c>
      <c r="E1196">
        <v>0</v>
      </c>
      <c r="F1196">
        <v>49.420999999999999</v>
      </c>
      <c r="G1196">
        <v>8.9</v>
      </c>
      <c r="H1196">
        <v>3.93</v>
      </c>
      <c r="I1196" s="309">
        <v>4951</v>
      </c>
      <c r="J1196">
        <v>49.51</v>
      </c>
      <c r="K1196" s="133">
        <v>1.1136082136466901E-2</v>
      </c>
      <c r="N1196" s="73">
        <v>-5.0600000000004002</v>
      </c>
      <c r="O1196" s="73">
        <v>-0.102440145837561</v>
      </c>
      <c r="P1196" s="182">
        <v>1</v>
      </c>
      <c r="Q1196" s="182">
        <v>100</v>
      </c>
      <c r="R1196" s="46">
        <v>49.37</v>
      </c>
      <c r="S1196" s="46">
        <v>0</v>
      </c>
      <c r="T1196" s="46">
        <v>0</v>
      </c>
      <c r="U1196" s="46">
        <v>0</v>
      </c>
      <c r="V1196" s="46" t="s">
        <v>62</v>
      </c>
      <c r="W1196" s="46">
        <v>100</v>
      </c>
      <c r="X1196" s="46">
        <v>49.37</v>
      </c>
    </row>
    <row r="1197" spans="1:31" x14ac:dyDescent="0.25">
      <c r="A1197" s="136">
        <v>43025</v>
      </c>
      <c r="B1197" s="201" t="s">
        <v>65</v>
      </c>
      <c r="C1197" t="s">
        <v>127</v>
      </c>
      <c r="D1197">
        <v>11600</v>
      </c>
      <c r="E1197">
        <v>9000</v>
      </c>
      <c r="F1197">
        <v>10.510999999999999</v>
      </c>
      <c r="G1197">
        <v>13215.19</v>
      </c>
      <c r="H1197">
        <v>10.84</v>
      </c>
      <c r="I1197" s="309">
        <v>135140</v>
      </c>
      <c r="J1197">
        <v>11.65</v>
      </c>
      <c r="K1197" s="133">
        <v>0.30396488384612003</v>
      </c>
      <c r="L1197" s="181">
        <v>-1144</v>
      </c>
      <c r="N1197" s="73">
        <v>8736.7400000000398</v>
      </c>
      <c r="O1197" s="73">
        <v>1079.55430140206</v>
      </c>
      <c r="P1197" s="182">
        <v>3</v>
      </c>
      <c r="Q1197" s="182">
        <v>2600</v>
      </c>
      <c r="R1197" s="46">
        <v>11.63</v>
      </c>
      <c r="S1197" s="46">
        <v>19</v>
      </c>
      <c r="T1197" s="46">
        <v>7900</v>
      </c>
      <c r="U1197" s="46">
        <v>12.311999999999999</v>
      </c>
      <c r="V1197" s="46" t="s">
        <v>68</v>
      </c>
      <c r="W1197" s="46">
        <v>5300</v>
      </c>
      <c r="X1197" s="46">
        <v>12.647</v>
      </c>
      <c r="Y1197" s="194">
        <v>11.622</v>
      </c>
      <c r="Z1197" s="194">
        <v>11.706</v>
      </c>
      <c r="AA1197" s="194">
        <v>11.961</v>
      </c>
      <c r="AB1197" s="46">
        <v>11.76</v>
      </c>
      <c r="AC1197" s="46">
        <v>11.86</v>
      </c>
      <c r="AD1197" s="46">
        <v>11.57</v>
      </c>
      <c r="AE1197" s="46">
        <v>11.65</v>
      </c>
    </row>
    <row r="1198" spans="1:31" x14ac:dyDescent="0.25">
      <c r="A1198" s="136">
        <v>43025</v>
      </c>
      <c r="B1198" s="201" t="s">
        <v>77</v>
      </c>
      <c r="C1198" t="s">
        <v>128</v>
      </c>
      <c r="D1198">
        <v>3600</v>
      </c>
      <c r="E1198">
        <v>3600</v>
      </c>
      <c r="F1198">
        <v>6.0350000000000001</v>
      </c>
      <c r="G1198">
        <v>1817.79</v>
      </c>
      <c r="H1198">
        <v>8.3699999999999992</v>
      </c>
      <c r="I1198" s="309">
        <v>23544</v>
      </c>
      <c r="J1198">
        <v>6.54</v>
      </c>
      <c r="K1198" s="133">
        <v>5.2956557830938597E-2</v>
      </c>
      <c r="L1198" s="181">
        <v>0</v>
      </c>
      <c r="N1198" s="73">
        <v>1420.8420000000001</v>
      </c>
      <c r="O1198" s="73">
        <v>292.219418417047</v>
      </c>
      <c r="P1198" s="182">
        <v>6</v>
      </c>
      <c r="Q1198" s="182">
        <v>3000</v>
      </c>
      <c r="R1198" s="46">
        <v>6.798</v>
      </c>
      <c r="S1198" s="46">
        <v>0</v>
      </c>
      <c r="T1198" s="46">
        <v>0</v>
      </c>
      <c r="U1198" s="46">
        <v>0</v>
      </c>
      <c r="V1198" s="46" t="s">
        <v>62</v>
      </c>
      <c r="W1198" s="46">
        <v>3000</v>
      </c>
      <c r="X1198" s="46">
        <v>6.798</v>
      </c>
      <c r="Y1198" s="193">
        <v>6.6239999999999997</v>
      </c>
      <c r="Z1198" s="194">
        <v>6.7469999999999999</v>
      </c>
      <c r="AA1198" s="194">
        <v>6.944</v>
      </c>
      <c r="AB1198" s="46">
        <v>6.54</v>
      </c>
      <c r="AC1198" s="46">
        <v>6.59</v>
      </c>
      <c r="AD1198" s="46">
        <v>6.52</v>
      </c>
      <c r="AE1198" s="46">
        <v>6.5</v>
      </c>
    </row>
    <row r="1199" spans="1:31" x14ac:dyDescent="0.25">
      <c r="A1199" s="136">
        <v>43025</v>
      </c>
      <c r="B1199" s="201" t="s">
        <v>67</v>
      </c>
      <c r="C1199" t="s">
        <v>129</v>
      </c>
      <c r="D1199">
        <v>4950</v>
      </c>
      <c r="E1199">
        <v>4950</v>
      </c>
      <c r="F1199">
        <v>9.0389999999999997</v>
      </c>
      <c r="G1199">
        <v>893.91</v>
      </c>
      <c r="H1199">
        <v>2</v>
      </c>
      <c r="I1199" s="309">
        <v>45639</v>
      </c>
      <c r="J1199">
        <v>9.2200000000000006</v>
      </c>
      <c r="K1199" s="133">
        <v>0.10265393912870401</v>
      </c>
      <c r="L1199" s="181">
        <v>910.61</v>
      </c>
      <c r="N1199" s="73">
        <v>33766.050999999898</v>
      </c>
      <c r="O1199" s="73">
        <v>107.159056006466</v>
      </c>
      <c r="P1199" s="182">
        <v>15</v>
      </c>
      <c r="Q1199" s="182">
        <v>7500</v>
      </c>
      <c r="R1199" s="46">
        <v>6.181</v>
      </c>
      <c r="S1199" s="46">
        <v>16</v>
      </c>
      <c r="T1199" s="46">
        <v>6800</v>
      </c>
      <c r="U1199" s="46">
        <v>8.9109999999999996</v>
      </c>
      <c r="V1199" s="46" t="s">
        <v>62</v>
      </c>
      <c r="W1199" s="46">
        <v>700</v>
      </c>
      <c r="X1199" s="46">
        <v>-20.338999999999999</v>
      </c>
      <c r="Y1199" s="193">
        <v>9.5909999999999993</v>
      </c>
      <c r="Z1199" s="193">
        <v>9.2360000000000007</v>
      </c>
      <c r="AA1199" s="193">
        <v>9.0809999999999995</v>
      </c>
      <c r="AB1199" s="46">
        <v>9.07</v>
      </c>
      <c r="AC1199" s="46">
        <v>9.27</v>
      </c>
      <c r="AD1199" s="46">
        <v>9.06</v>
      </c>
      <c r="AE1199" s="46">
        <v>9.2200000000000006</v>
      </c>
    </row>
    <row r="1200" spans="1:31" x14ac:dyDescent="0.25">
      <c r="A1200" s="136">
        <v>43025</v>
      </c>
      <c r="B1200" s="201" t="s">
        <v>72</v>
      </c>
      <c r="C1200" t="s">
        <v>130</v>
      </c>
      <c r="D1200">
        <v>2100</v>
      </c>
      <c r="E1200">
        <v>2100</v>
      </c>
      <c r="F1200">
        <v>8.4559999999999995</v>
      </c>
      <c r="G1200">
        <v>-1146.8800000000001</v>
      </c>
      <c r="H1200">
        <v>-6.46</v>
      </c>
      <c r="I1200" s="309">
        <v>16611</v>
      </c>
      <c r="J1200">
        <v>7.91</v>
      </c>
      <c r="K1200" s="133">
        <v>3.7362444025217503E-2</v>
      </c>
      <c r="L1200" s="181">
        <v>0</v>
      </c>
      <c r="N1200" s="73">
        <v>-1347.5799999999899</v>
      </c>
      <c r="O1200" s="73">
        <v>-142.08422537878499</v>
      </c>
      <c r="P1200" s="182">
        <v>0</v>
      </c>
      <c r="Q1200" s="182">
        <v>0</v>
      </c>
      <c r="R1200" s="46">
        <v>0</v>
      </c>
      <c r="S1200" s="46">
        <v>10</v>
      </c>
      <c r="T1200" s="46">
        <v>5000</v>
      </c>
      <c r="U1200" s="46">
        <v>7.423</v>
      </c>
      <c r="V1200" s="46" t="s">
        <v>68</v>
      </c>
      <c r="W1200" s="46">
        <v>5000</v>
      </c>
      <c r="X1200" s="46">
        <v>7.423</v>
      </c>
    </row>
    <row r="1201" spans="1:31" x14ac:dyDescent="0.25">
      <c r="A1201" s="136">
        <v>43025</v>
      </c>
      <c r="B1201" s="201" t="s">
        <v>70</v>
      </c>
      <c r="C1201" t="s">
        <v>131</v>
      </c>
      <c r="D1201">
        <v>6700</v>
      </c>
      <c r="E1201">
        <v>6200</v>
      </c>
      <c r="F1201">
        <v>12.547000000000001</v>
      </c>
      <c r="G1201">
        <v>2228.75</v>
      </c>
      <c r="H1201">
        <v>2.66</v>
      </c>
      <c r="I1201" s="309">
        <v>86296</v>
      </c>
      <c r="J1201">
        <v>12.88</v>
      </c>
      <c r="K1201" s="133">
        <v>0.19410206908676</v>
      </c>
      <c r="L1201" s="181">
        <v>-1592</v>
      </c>
      <c r="N1201" s="73">
        <v>1889.7659999999701</v>
      </c>
      <c r="O1201" s="73">
        <v>147.21910498830701</v>
      </c>
      <c r="P1201" s="182">
        <v>0</v>
      </c>
      <c r="Q1201" s="182">
        <v>0</v>
      </c>
      <c r="R1201" s="46">
        <v>0</v>
      </c>
      <c r="S1201" s="46">
        <v>9</v>
      </c>
      <c r="T1201" s="46">
        <v>3600</v>
      </c>
      <c r="U1201" s="46">
        <v>13.343999999999999</v>
      </c>
      <c r="V1201" s="46" t="s">
        <v>68</v>
      </c>
      <c r="W1201" s="46">
        <v>3600</v>
      </c>
      <c r="X1201" s="46">
        <v>13.343999999999999</v>
      </c>
      <c r="Y1201" s="194">
        <v>12.856</v>
      </c>
      <c r="Z1201" s="194">
        <v>12.771000000000001</v>
      </c>
      <c r="AA1201" s="194">
        <v>12.707000000000001</v>
      </c>
      <c r="AB1201" s="46">
        <v>13.08</v>
      </c>
      <c r="AC1201" s="46">
        <v>13.09</v>
      </c>
      <c r="AD1201" s="46">
        <v>12.78</v>
      </c>
      <c r="AE1201" s="46">
        <v>12.88</v>
      </c>
    </row>
    <row r="1202" spans="1:31" x14ac:dyDescent="0.25">
      <c r="A1202" s="136">
        <v>43025</v>
      </c>
      <c r="B1202" s="201" t="s">
        <v>137</v>
      </c>
      <c r="C1202" t="s">
        <v>138</v>
      </c>
      <c r="D1202">
        <v>100</v>
      </c>
      <c r="E1202">
        <v>100</v>
      </c>
      <c r="F1202">
        <v>-130.48500000000001</v>
      </c>
      <c r="G1202">
        <v>19013.5</v>
      </c>
      <c r="H1202">
        <v>0</v>
      </c>
      <c r="I1202" s="309">
        <v>5965</v>
      </c>
      <c r="J1202">
        <v>59.65</v>
      </c>
      <c r="K1202" s="133">
        <v>1.3416830931938E-2</v>
      </c>
      <c r="L1202" s="181">
        <v>542</v>
      </c>
    </row>
    <row r="1203" spans="1:31" x14ac:dyDescent="0.25">
      <c r="A1203" s="136">
        <v>43025</v>
      </c>
      <c r="B1203" s="201" t="s">
        <v>835</v>
      </c>
      <c r="C1203" t="s">
        <v>839</v>
      </c>
      <c r="I1203" s="309">
        <v>3432.31</v>
      </c>
      <c r="K1203" s="133">
        <v>7.72015473193633E-3</v>
      </c>
      <c r="L1203" s="181">
        <v>0</v>
      </c>
    </row>
    <row r="1204" spans="1:31" x14ac:dyDescent="0.25">
      <c r="A1204" s="136">
        <v>43026</v>
      </c>
      <c r="B1204" s="201" t="s">
        <v>132</v>
      </c>
      <c r="C1204" t="s">
        <v>123</v>
      </c>
      <c r="D1204">
        <v>8037294</v>
      </c>
      <c r="E1204">
        <v>8037294</v>
      </c>
      <c r="F1204">
        <v>0.01</v>
      </c>
      <c r="G1204">
        <v>2642.43</v>
      </c>
      <c r="H1204">
        <v>0</v>
      </c>
      <c r="I1204" s="309">
        <v>80372.94</v>
      </c>
      <c r="J1204">
        <v>0.01</v>
      </c>
      <c r="K1204" s="133">
        <v>0.181614796791503</v>
      </c>
      <c r="L1204" s="181">
        <v>15.4199999999996</v>
      </c>
    </row>
    <row r="1205" spans="1:31" x14ac:dyDescent="0.25">
      <c r="A1205" s="136">
        <v>43026</v>
      </c>
      <c r="B1205" s="201" t="s">
        <v>61</v>
      </c>
      <c r="C1205" t="s">
        <v>136</v>
      </c>
      <c r="D1205">
        <v>2900</v>
      </c>
      <c r="E1205">
        <v>2900</v>
      </c>
      <c r="F1205">
        <v>5.3490000000000002</v>
      </c>
      <c r="G1205">
        <v>-170.24</v>
      </c>
      <c r="H1205">
        <v>-1.1000000000000001</v>
      </c>
      <c r="I1205" s="309">
        <v>15341</v>
      </c>
      <c r="J1205">
        <v>5.29</v>
      </c>
      <c r="K1205" s="133">
        <v>3.4665306477260301E-2</v>
      </c>
      <c r="L1205" s="181">
        <v>-29</v>
      </c>
      <c r="N1205" s="73">
        <v>-144.28800000000001</v>
      </c>
      <c r="O1205" s="73">
        <v>-27.210538867924601</v>
      </c>
      <c r="P1205" s="182">
        <v>5</v>
      </c>
      <c r="Q1205" s="182">
        <v>2500</v>
      </c>
      <c r="R1205" s="46">
        <v>5.3659999999999997</v>
      </c>
      <c r="S1205" s="46">
        <v>0</v>
      </c>
      <c r="T1205" s="46">
        <v>0</v>
      </c>
      <c r="U1205" s="46">
        <v>0</v>
      </c>
      <c r="V1205" s="46" t="s">
        <v>62</v>
      </c>
      <c r="W1205" s="46">
        <v>2500</v>
      </c>
      <c r="X1205" s="46">
        <v>5.3659999999999997</v>
      </c>
    </row>
    <row r="1206" spans="1:31" x14ac:dyDescent="0.25">
      <c r="A1206" s="136">
        <v>43026</v>
      </c>
      <c r="B1206" s="201" t="s">
        <v>124</v>
      </c>
      <c r="C1206" t="s">
        <v>125</v>
      </c>
      <c r="D1206">
        <v>100</v>
      </c>
      <c r="E1206">
        <v>100</v>
      </c>
      <c r="F1206">
        <v>-53.579000000000001</v>
      </c>
      <c r="G1206">
        <v>5985.9</v>
      </c>
      <c r="H1206">
        <v>0</v>
      </c>
      <c r="I1206" s="309">
        <v>628</v>
      </c>
      <c r="J1206">
        <v>6.28</v>
      </c>
      <c r="K1206" s="133">
        <v>1.4190608479055799E-3</v>
      </c>
      <c r="L1206" s="181">
        <v>13</v>
      </c>
      <c r="N1206" s="73">
        <v>5995.0890000000099</v>
      </c>
      <c r="O1206" s="73">
        <v>1102.4501845505599</v>
      </c>
      <c r="P1206" s="182">
        <v>0</v>
      </c>
      <c r="Q1206" s="182">
        <v>0</v>
      </c>
      <c r="R1206" s="46">
        <v>0</v>
      </c>
      <c r="S1206" s="46">
        <v>5</v>
      </c>
      <c r="T1206" s="46">
        <v>2300</v>
      </c>
      <c r="U1206" s="46">
        <v>4.99</v>
      </c>
      <c r="V1206" s="46" t="s">
        <v>68</v>
      </c>
      <c r="W1206" s="46">
        <v>2300</v>
      </c>
      <c r="X1206" s="46">
        <v>4.99</v>
      </c>
      <c r="Y1206" s="193">
        <v>7.258</v>
      </c>
      <c r="Z1206" s="193">
        <v>5.3840000000000003</v>
      </c>
      <c r="AA1206" s="193">
        <v>5.5650000000000004</v>
      </c>
      <c r="AB1206" s="46">
        <v>6.17</v>
      </c>
      <c r="AC1206" s="46">
        <v>6.29</v>
      </c>
      <c r="AD1206" s="46">
        <v>6.13</v>
      </c>
      <c r="AE1206" s="46">
        <v>6.28</v>
      </c>
    </row>
    <row r="1207" spans="1:31" x14ac:dyDescent="0.25">
      <c r="A1207" s="136">
        <v>43026</v>
      </c>
      <c r="B1207" s="201" t="s">
        <v>71</v>
      </c>
      <c r="C1207" t="s">
        <v>126</v>
      </c>
      <c r="D1207">
        <v>4200</v>
      </c>
      <c r="E1207">
        <v>4200</v>
      </c>
      <c r="F1207">
        <v>6.11</v>
      </c>
      <c r="G1207">
        <v>1177.47</v>
      </c>
      <c r="H1207">
        <v>4.58</v>
      </c>
      <c r="I1207" s="309">
        <v>26838</v>
      </c>
      <c r="J1207">
        <v>6.39</v>
      </c>
      <c r="K1207" s="133">
        <v>6.0644514388678197E-2</v>
      </c>
      <c r="L1207" s="181">
        <v>168</v>
      </c>
      <c r="N1207" s="73">
        <v>1293.67200000001</v>
      </c>
      <c r="O1207" s="73">
        <v>233.109353013912</v>
      </c>
      <c r="P1207" s="182">
        <v>4</v>
      </c>
      <c r="Q1207" s="182">
        <v>2000</v>
      </c>
      <c r="R1207" s="46">
        <v>6.4180000000000001</v>
      </c>
      <c r="S1207" s="46">
        <v>0</v>
      </c>
      <c r="T1207" s="46">
        <v>0</v>
      </c>
      <c r="U1207" s="46">
        <v>0</v>
      </c>
      <c r="V1207" s="46" t="s">
        <v>62</v>
      </c>
      <c r="W1207" s="46">
        <v>2000</v>
      </c>
      <c r="X1207" s="46">
        <v>6.4180000000000001</v>
      </c>
      <c r="Y1207" s="193">
        <v>6.4359999999999999</v>
      </c>
      <c r="Z1207" s="194">
        <v>6.5730000000000004</v>
      </c>
      <c r="AA1207" s="194">
        <v>6.6950000000000003</v>
      </c>
      <c r="AB1207" s="46">
        <v>6.33</v>
      </c>
      <c r="AC1207" s="46">
        <v>6.4</v>
      </c>
      <c r="AD1207" s="46">
        <v>6.33</v>
      </c>
      <c r="AE1207" s="46">
        <v>6.39</v>
      </c>
    </row>
    <row r="1208" spans="1:31" x14ac:dyDescent="0.25">
      <c r="A1208" s="136">
        <v>43026</v>
      </c>
      <c r="B1208" s="201" t="s">
        <v>140</v>
      </c>
      <c r="C1208" t="s">
        <v>141</v>
      </c>
      <c r="D1208">
        <v>100</v>
      </c>
      <c r="E1208">
        <v>100</v>
      </c>
      <c r="F1208">
        <v>49.420999999999999</v>
      </c>
      <c r="G1208">
        <v>72.900000000000006</v>
      </c>
      <c r="H1208">
        <v>1.48</v>
      </c>
      <c r="I1208" s="309">
        <v>5015</v>
      </c>
      <c r="J1208">
        <v>50.15</v>
      </c>
      <c r="K1208" s="133">
        <v>1.13321499239594E-2</v>
      </c>
      <c r="L1208" s="181">
        <v>64</v>
      </c>
      <c r="N1208" s="73">
        <v>-5.0600000000004002</v>
      </c>
      <c r="O1208" s="73">
        <v>-0.102440145837561</v>
      </c>
      <c r="P1208" s="182">
        <v>1</v>
      </c>
      <c r="Q1208" s="182">
        <v>100</v>
      </c>
      <c r="R1208" s="46">
        <v>49.37</v>
      </c>
      <c r="S1208" s="46">
        <v>0</v>
      </c>
      <c r="T1208" s="46">
        <v>0</v>
      </c>
      <c r="U1208" s="46">
        <v>0</v>
      </c>
      <c r="V1208" s="46" t="s">
        <v>62</v>
      </c>
      <c r="W1208" s="46">
        <v>100</v>
      </c>
      <c r="X1208" s="46">
        <v>49.37</v>
      </c>
      <c r="Y1208" s="193">
        <v>48.951000000000001</v>
      </c>
      <c r="Z1208" s="194">
        <v>49.366999999999997</v>
      </c>
      <c r="AA1208" s="194">
        <v>50.5</v>
      </c>
      <c r="AB1208" s="46">
        <v>49.51</v>
      </c>
      <c r="AC1208" s="46">
        <v>50.22</v>
      </c>
      <c r="AD1208" s="46">
        <v>49.25</v>
      </c>
      <c r="AE1208" s="46">
        <v>50.15</v>
      </c>
    </row>
    <row r="1209" spans="1:31" x14ac:dyDescent="0.25">
      <c r="A1209" s="136">
        <v>43026</v>
      </c>
      <c r="B1209" s="201" t="s">
        <v>65</v>
      </c>
      <c r="C1209" t="s">
        <v>127</v>
      </c>
      <c r="D1209">
        <v>11100</v>
      </c>
      <c r="E1209">
        <v>11100</v>
      </c>
      <c r="F1209">
        <v>10.459</v>
      </c>
      <c r="G1209">
        <v>13330.35</v>
      </c>
      <c r="H1209">
        <v>11.48</v>
      </c>
      <c r="I1209" s="309">
        <v>129426</v>
      </c>
      <c r="J1209">
        <v>11.66</v>
      </c>
      <c r="K1209" s="133">
        <v>0.29245759442838698</v>
      </c>
      <c r="L1209" s="181">
        <v>115.16</v>
      </c>
      <c r="N1209" s="73">
        <v>9769.9000000000506</v>
      </c>
      <c r="O1209" s="73">
        <v>1159.6470696275601</v>
      </c>
      <c r="P1209" s="182">
        <v>3</v>
      </c>
      <c r="Q1209" s="182">
        <v>2600</v>
      </c>
      <c r="R1209" s="46">
        <v>11.63</v>
      </c>
      <c r="S1209" s="46">
        <v>20</v>
      </c>
      <c r="T1209" s="46">
        <v>8400</v>
      </c>
      <c r="U1209" s="46">
        <v>12.275</v>
      </c>
      <c r="V1209" s="46" t="s">
        <v>68</v>
      </c>
      <c r="W1209" s="46">
        <v>5800</v>
      </c>
      <c r="X1209" s="46">
        <v>12.564</v>
      </c>
      <c r="Y1209" s="194">
        <v>11.597</v>
      </c>
      <c r="Z1209" s="194">
        <v>11.704000000000001</v>
      </c>
      <c r="AA1209" s="194">
        <v>11.958</v>
      </c>
      <c r="AB1209" s="46">
        <v>11.64</v>
      </c>
      <c r="AC1209" s="46">
        <v>11.72</v>
      </c>
      <c r="AD1209" s="46">
        <v>11.6</v>
      </c>
      <c r="AE1209" s="46">
        <v>11.66</v>
      </c>
    </row>
    <row r="1210" spans="1:31" x14ac:dyDescent="0.25">
      <c r="A1210" s="136">
        <v>43026</v>
      </c>
      <c r="B1210" s="201" t="s">
        <v>77</v>
      </c>
      <c r="C1210" t="s">
        <v>128</v>
      </c>
      <c r="D1210">
        <v>3600</v>
      </c>
      <c r="E1210">
        <v>3600</v>
      </c>
      <c r="F1210">
        <v>6.0350000000000001</v>
      </c>
      <c r="G1210">
        <v>1889.79</v>
      </c>
      <c r="H1210">
        <v>8.6999999999999993</v>
      </c>
      <c r="I1210" s="309">
        <v>23616</v>
      </c>
      <c r="J1210">
        <v>6.56</v>
      </c>
      <c r="K1210" s="133">
        <v>5.3363918764551203E-2</v>
      </c>
      <c r="L1210" s="181">
        <v>72</v>
      </c>
      <c r="N1210" s="73">
        <v>1420.8420000000001</v>
      </c>
      <c r="O1210" s="73">
        <v>292.219418417047</v>
      </c>
      <c r="P1210" s="182">
        <v>6</v>
      </c>
      <c r="Q1210" s="182">
        <v>3000</v>
      </c>
      <c r="R1210" s="46">
        <v>6.798</v>
      </c>
      <c r="S1210" s="46">
        <v>0</v>
      </c>
      <c r="T1210" s="46">
        <v>0</v>
      </c>
      <c r="U1210" s="46">
        <v>0</v>
      </c>
      <c r="V1210" s="46" t="s">
        <v>62</v>
      </c>
      <c r="W1210" s="46">
        <v>3000</v>
      </c>
      <c r="X1210" s="46">
        <v>6.798</v>
      </c>
      <c r="Y1210" s="193">
        <v>6.7190000000000003</v>
      </c>
      <c r="Z1210" s="194">
        <v>6.7519999999999998</v>
      </c>
      <c r="AA1210" s="194">
        <v>6.9390000000000001</v>
      </c>
      <c r="AB1210" s="46">
        <v>6.55</v>
      </c>
      <c r="AC1210" s="46">
        <v>6.63</v>
      </c>
      <c r="AD1210" s="46">
        <v>6.54</v>
      </c>
      <c r="AE1210" s="46">
        <v>6.56</v>
      </c>
    </row>
    <row r="1211" spans="1:31" x14ac:dyDescent="0.25">
      <c r="A1211" s="136">
        <v>43026</v>
      </c>
      <c r="B1211" s="201" t="s">
        <v>67</v>
      </c>
      <c r="C1211" t="s">
        <v>129</v>
      </c>
      <c r="D1211">
        <v>5450</v>
      </c>
      <c r="E1211">
        <v>5450</v>
      </c>
      <c r="F1211">
        <v>9.0370000000000008</v>
      </c>
      <c r="G1211">
        <v>-91.09</v>
      </c>
      <c r="H1211">
        <v>-0.19</v>
      </c>
      <c r="I1211" s="309">
        <v>49159</v>
      </c>
      <c r="J1211">
        <v>9.02</v>
      </c>
      <c r="K1211" s="133">
        <v>0.111082185067182</v>
      </c>
      <c r="L1211" s="181">
        <v>-985</v>
      </c>
      <c r="N1211" s="73">
        <v>32573.050999999901</v>
      </c>
      <c r="O1211" s="73">
        <v>-22.472646944472299</v>
      </c>
      <c r="P1211" s="182">
        <v>16</v>
      </c>
      <c r="Q1211" s="182">
        <v>8000</v>
      </c>
      <c r="R1211" s="46">
        <v>6.3570000000000002</v>
      </c>
      <c r="S1211" s="46">
        <v>16</v>
      </c>
      <c r="T1211" s="46">
        <v>6800</v>
      </c>
      <c r="U1211" s="46">
        <v>8.9109999999999996</v>
      </c>
      <c r="V1211" s="46" t="s">
        <v>62</v>
      </c>
      <c r="W1211" s="46">
        <v>1200</v>
      </c>
      <c r="X1211" s="46">
        <v>-8.1159999999999997</v>
      </c>
      <c r="Y1211" s="194">
        <v>9.0830000000000002</v>
      </c>
      <c r="Z1211" s="193">
        <v>9.2539999999999996</v>
      </c>
      <c r="AA1211" s="193">
        <v>9.0820000000000007</v>
      </c>
      <c r="AB1211" s="46">
        <v>9.24</v>
      </c>
      <c r="AC1211" s="46">
        <v>9.25</v>
      </c>
      <c r="AD1211" s="46">
        <v>8.99</v>
      </c>
      <c r="AE1211" s="46">
        <v>9.02</v>
      </c>
    </row>
    <row r="1212" spans="1:31" x14ac:dyDescent="0.25">
      <c r="A1212" s="136">
        <v>43026</v>
      </c>
      <c r="B1212" s="201" t="s">
        <v>72</v>
      </c>
      <c r="C1212" t="s">
        <v>130</v>
      </c>
      <c r="D1212">
        <v>2100</v>
      </c>
      <c r="E1212">
        <v>2100</v>
      </c>
      <c r="F1212">
        <v>8.4559999999999995</v>
      </c>
      <c r="G1212">
        <v>-1146.8800000000001</v>
      </c>
      <c r="H1212">
        <v>-6.46</v>
      </c>
      <c r="I1212" s="309">
        <v>16611</v>
      </c>
      <c r="J1212">
        <v>7.91</v>
      </c>
      <c r="K1212" s="133">
        <v>3.75350632875152E-2</v>
      </c>
      <c r="L1212" s="181">
        <v>0</v>
      </c>
      <c r="N1212" s="73">
        <v>-1347.5799999999899</v>
      </c>
      <c r="O1212" s="73">
        <v>-142.08422537878499</v>
      </c>
      <c r="P1212" s="182">
        <v>0</v>
      </c>
      <c r="Q1212" s="182">
        <v>0</v>
      </c>
      <c r="R1212" s="46">
        <v>0</v>
      </c>
      <c r="S1212" s="46">
        <v>10</v>
      </c>
      <c r="T1212" s="46">
        <v>5000</v>
      </c>
      <c r="U1212" s="46">
        <v>7.423</v>
      </c>
      <c r="V1212" s="46" t="s">
        <v>68</v>
      </c>
      <c r="W1212" s="46">
        <v>5000</v>
      </c>
      <c r="X1212" s="46">
        <v>7.423</v>
      </c>
    </row>
    <row r="1213" spans="1:31" x14ac:dyDescent="0.25">
      <c r="A1213" s="136">
        <v>43026</v>
      </c>
      <c r="B1213" s="201" t="s">
        <v>70</v>
      </c>
      <c r="C1213" t="s">
        <v>131</v>
      </c>
      <c r="D1213">
        <v>6800</v>
      </c>
      <c r="E1213">
        <v>6800</v>
      </c>
      <c r="F1213">
        <v>12.54</v>
      </c>
      <c r="G1213">
        <v>1292.55</v>
      </c>
      <c r="H1213">
        <v>1.52</v>
      </c>
      <c r="I1213" s="309">
        <v>86564</v>
      </c>
      <c r="J1213">
        <v>12.73</v>
      </c>
      <c r="K1213" s="133">
        <v>0.1956044319078</v>
      </c>
      <c r="L1213" s="181">
        <v>-936.2</v>
      </c>
      <c r="N1213" s="73">
        <v>1560.5699999999799</v>
      </c>
      <c r="O1213" s="73">
        <v>122.14484847298201</v>
      </c>
      <c r="P1213" s="182">
        <v>1</v>
      </c>
      <c r="Q1213" s="182">
        <v>500</v>
      </c>
      <c r="R1213" s="46">
        <v>12.77</v>
      </c>
      <c r="S1213" s="46">
        <v>10</v>
      </c>
      <c r="T1213" s="46">
        <v>4000</v>
      </c>
      <c r="U1213" s="46">
        <v>13.308999999999999</v>
      </c>
      <c r="V1213" s="46" t="s">
        <v>68</v>
      </c>
      <c r="W1213" s="46">
        <v>3500</v>
      </c>
      <c r="X1213" s="46">
        <v>13.385999999999999</v>
      </c>
      <c r="Y1213" s="194">
        <v>12.872</v>
      </c>
      <c r="Z1213" s="194">
        <v>12.778</v>
      </c>
      <c r="AA1213" s="194">
        <v>12.711</v>
      </c>
      <c r="AB1213" s="46">
        <v>12.83</v>
      </c>
      <c r="AC1213" s="46">
        <v>13.01</v>
      </c>
      <c r="AD1213" s="46">
        <v>12.71</v>
      </c>
      <c r="AE1213" s="46">
        <v>12.73</v>
      </c>
    </row>
    <row r="1214" spans="1:31" x14ac:dyDescent="0.25">
      <c r="A1214" s="136">
        <v>43026</v>
      </c>
      <c r="B1214" s="201" t="s">
        <v>137</v>
      </c>
      <c r="C1214" t="s">
        <v>138</v>
      </c>
      <c r="D1214">
        <v>100</v>
      </c>
      <c r="E1214">
        <v>100</v>
      </c>
      <c r="F1214">
        <v>-130.48500000000001</v>
      </c>
      <c r="G1214">
        <v>18471.5</v>
      </c>
      <c r="H1214">
        <v>0</v>
      </c>
      <c r="I1214" s="309">
        <v>5423</v>
      </c>
      <c r="J1214">
        <v>54.23</v>
      </c>
      <c r="K1214" s="133">
        <v>1.2254087544891599E-2</v>
      </c>
      <c r="L1214" s="181">
        <v>-542</v>
      </c>
    </row>
    <row r="1215" spans="1:31" x14ac:dyDescent="0.25">
      <c r="A1215" s="136">
        <v>43026</v>
      </c>
      <c r="B1215" s="201" t="s">
        <v>835</v>
      </c>
      <c r="C1215" t="s">
        <v>839</v>
      </c>
      <c r="I1215" s="309">
        <v>3552.27</v>
      </c>
      <c r="K1215" s="133">
        <v>8.0268905703655205E-3</v>
      </c>
      <c r="L1215" s="181">
        <v>0</v>
      </c>
    </row>
    <row r="1216" spans="1:31" x14ac:dyDescent="0.25">
      <c r="A1216" s="136">
        <v>43027</v>
      </c>
      <c r="B1216" s="201" t="s">
        <v>132</v>
      </c>
      <c r="C1216" t="s">
        <v>123</v>
      </c>
      <c r="D1216">
        <v>6037931</v>
      </c>
      <c r="E1216">
        <v>6037931</v>
      </c>
      <c r="F1216">
        <v>0.01</v>
      </c>
      <c r="G1216">
        <v>2648.8</v>
      </c>
      <c r="H1216">
        <v>0</v>
      </c>
      <c r="I1216" s="309">
        <v>60379.31</v>
      </c>
      <c r="J1216">
        <v>0.01</v>
      </c>
      <c r="K1216" s="133">
        <v>0.138342959139305</v>
      </c>
      <c r="L1216" s="181">
        <v>6.37000000000035</v>
      </c>
    </row>
    <row r="1217" spans="1:31" x14ac:dyDescent="0.25">
      <c r="A1217" s="136">
        <v>43027</v>
      </c>
      <c r="B1217" s="201" t="s">
        <v>61</v>
      </c>
      <c r="C1217" t="s">
        <v>136</v>
      </c>
      <c r="D1217">
        <v>2900</v>
      </c>
      <c r="E1217">
        <v>2900</v>
      </c>
      <c r="F1217">
        <v>5.3490000000000002</v>
      </c>
      <c r="G1217">
        <v>-286.24</v>
      </c>
      <c r="H1217">
        <v>-1.85</v>
      </c>
      <c r="I1217" s="309">
        <v>15225</v>
      </c>
      <c r="J1217">
        <v>5.25</v>
      </c>
      <c r="K1217" s="133">
        <v>3.4883995078710303E-2</v>
      </c>
      <c r="L1217" s="181">
        <v>-116</v>
      </c>
      <c r="N1217" s="73">
        <v>-144.28800000000001</v>
      </c>
      <c r="O1217" s="73">
        <v>-27.210538867924601</v>
      </c>
      <c r="P1217" s="182">
        <v>5</v>
      </c>
      <c r="Q1217" s="182">
        <v>2500</v>
      </c>
      <c r="R1217" s="46">
        <v>5.3659999999999997</v>
      </c>
      <c r="S1217" s="46">
        <v>0</v>
      </c>
      <c r="T1217" s="46">
        <v>0</v>
      </c>
      <c r="U1217" s="46">
        <v>0</v>
      </c>
      <c r="V1217" s="46" t="s">
        <v>62</v>
      </c>
      <c r="W1217" s="46">
        <v>2500</v>
      </c>
      <c r="X1217" s="46">
        <v>5.3659999999999997</v>
      </c>
    </row>
    <row r="1218" spans="1:31" x14ac:dyDescent="0.25">
      <c r="A1218" s="136">
        <v>43027</v>
      </c>
      <c r="B1218" s="201" t="s">
        <v>124</v>
      </c>
      <c r="C1218" t="s">
        <v>125</v>
      </c>
      <c r="D1218">
        <v>100</v>
      </c>
      <c r="E1218">
        <v>100</v>
      </c>
      <c r="F1218">
        <v>-53.579000000000001</v>
      </c>
      <c r="G1218">
        <v>5991.9</v>
      </c>
      <c r="H1218">
        <v>0</v>
      </c>
      <c r="I1218" s="309">
        <v>634</v>
      </c>
      <c r="J1218">
        <v>6.34</v>
      </c>
      <c r="K1218" s="133">
        <v>1.4526405832448199E-3</v>
      </c>
      <c r="L1218" s="181">
        <v>6</v>
      </c>
      <c r="N1218" s="73">
        <v>5995.0890000000099</v>
      </c>
      <c r="O1218" s="73">
        <v>1102.4501845505599</v>
      </c>
      <c r="P1218" s="182">
        <v>0</v>
      </c>
      <c r="Q1218" s="182">
        <v>0</v>
      </c>
      <c r="R1218" s="46">
        <v>0</v>
      </c>
      <c r="S1218" s="46">
        <v>5</v>
      </c>
      <c r="T1218" s="46">
        <v>2300</v>
      </c>
      <c r="U1218" s="46">
        <v>4.99</v>
      </c>
      <c r="V1218" s="46" t="s">
        <v>68</v>
      </c>
      <c r="W1218" s="46">
        <v>2300</v>
      </c>
      <c r="X1218" s="46">
        <v>4.99</v>
      </c>
      <c r="Y1218" s="194">
        <v>6.4020000000000001</v>
      </c>
      <c r="Z1218" s="193">
        <v>5.3710000000000004</v>
      </c>
      <c r="AA1218" s="193">
        <v>5.5880000000000001</v>
      </c>
      <c r="AB1218" s="46">
        <v>6.25</v>
      </c>
      <c r="AC1218" s="46">
        <v>6.4</v>
      </c>
      <c r="AD1218" s="46">
        <v>6.24</v>
      </c>
      <c r="AE1218" s="46">
        <v>6.34</v>
      </c>
    </row>
    <row r="1219" spans="1:31" x14ac:dyDescent="0.25">
      <c r="A1219" s="136">
        <v>43027</v>
      </c>
      <c r="B1219" s="201" t="s">
        <v>71</v>
      </c>
      <c r="C1219" t="s">
        <v>126</v>
      </c>
      <c r="D1219">
        <v>4200</v>
      </c>
      <c r="E1219">
        <v>4200</v>
      </c>
      <c r="F1219">
        <v>6.11</v>
      </c>
      <c r="G1219">
        <v>1177.47</v>
      </c>
      <c r="H1219">
        <v>4.58</v>
      </c>
      <c r="I1219" s="309">
        <v>26838</v>
      </c>
      <c r="J1219">
        <v>6.39</v>
      </c>
      <c r="K1219" s="133">
        <v>6.1492063049092098E-2</v>
      </c>
      <c r="L1219" s="181">
        <v>0</v>
      </c>
      <c r="N1219" s="73">
        <v>1293.67200000001</v>
      </c>
      <c r="O1219" s="73">
        <v>233.109353013912</v>
      </c>
      <c r="P1219" s="182">
        <v>4</v>
      </c>
      <c r="Q1219" s="182">
        <v>2000</v>
      </c>
      <c r="R1219" s="46">
        <v>6.4180000000000001</v>
      </c>
      <c r="S1219" s="46">
        <v>0</v>
      </c>
      <c r="T1219" s="46">
        <v>0</v>
      </c>
      <c r="U1219" s="46">
        <v>0</v>
      </c>
      <c r="V1219" s="46" t="s">
        <v>62</v>
      </c>
      <c r="W1219" s="46">
        <v>2000</v>
      </c>
      <c r="X1219" s="46">
        <v>6.4180000000000001</v>
      </c>
      <c r="Y1219" s="193">
        <v>6.42</v>
      </c>
      <c r="Z1219" s="194">
        <v>6.5860000000000003</v>
      </c>
      <c r="AA1219" s="194">
        <v>6.69</v>
      </c>
      <c r="AB1219" s="46">
        <v>6.38</v>
      </c>
      <c r="AC1219" s="46">
        <v>6.4</v>
      </c>
      <c r="AD1219" s="46">
        <v>6.33</v>
      </c>
      <c r="AE1219" s="46">
        <v>6.3</v>
      </c>
    </row>
    <row r="1220" spans="1:31" x14ac:dyDescent="0.25">
      <c r="A1220" s="136">
        <v>43027</v>
      </c>
      <c r="B1220" s="201" t="s">
        <v>65</v>
      </c>
      <c r="C1220" t="s">
        <v>127</v>
      </c>
      <c r="D1220">
        <v>10600</v>
      </c>
      <c r="E1220">
        <v>10600</v>
      </c>
      <c r="F1220">
        <v>10.398999999999999</v>
      </c>
      <c r="G1220">
        <v>13152.47</v>
      </c>
      <c r="H1220">
        <v>11.93</v>
      </c>
      <c r="I1220" s="309">
        <v>123384</v>
      </c>
      <c r="J1220">
        <v>11.64</v>
      </c>
      <c r="K1220" s="133">
        <v>0.28270127085659102</v>
      </c>
      <c r="L1220" s="181">
        <v>-177.88000000000099</v>
      </c>
      <c r="N1220" s="73">
        <v>10536.025</v>
      </c>
      <c r="O1220" s="73">
        <v>1217.90806048935</v>
      </c>
      <c r="P1220" s="182">
        <v>2</v>
      </c>
      <c r="Q1220" s="182">
        <v>2100</v>
      </c>
      <c r="R1220" s="46">
        <v>11.628</v>
      </c>
      <c r="S1220" s="46">
        <v>20</v>
      </c>
      <c r="T1220" s="46">
        <v>8400</v>
      </c>
      <c r="U1220" s="46">
        <v>12.275</v>
      </c>
      <c r="V1220" s="46" t="s">
        <v>68</v>
      </c>
      <c r="W1220" s="46">
        <v>6300</v>
      </c>
      <c r="X1220" s="46">
        <v>12.491</v>
      </c>
      <c r="Y1220" s="194">
        <v>11.631</v>
      </c>
      <c r="Z1220" s="194">
        <v>11.702</v>
      </c>
      <c r="AA1220" s="194">
        <v>11.956</v>
      </c>
      <c r="AB1220" s="46">
        <v>11.66</v>
      </c>
      <c r="AC1220" s="46">
        <v>11.77</v>
      </c>
      <c r="AD1220" s="46">
        <v>11.64</v>
      </c>
      <c r="AE1220" s="46">
        <v>11.64</v>
      </c>
    </row>
    <row r="1221" spans="1:31" x14ac:dyDescent="0.25">
      <c r="A1221" s="136">
        <v>43027</v>
      </c>
      <c r="B1221" s="201" t="s">
        <v>77</v>
      </c>
      <c r="C1221" t="s">
        <v>128</v>
      </c>
      <c r="D1221">
        <v>4100</v>
      </c>
      <c r="E1221">
        <v>4100</v>
      </c>
      <c r="F1221">
        <v>6.0810000000000004</v>
      </c>
      <c r="G1221">
        <v>1308.79</v>
      </c>
      <c r="H1221">
        <v>5.25</v>
      </c>
      <c r="I1221" s="309">
        <v>26240</v>
      </c>
      <c r="J1221">
        <v>6.4</v>
      </c>
      <c r="K1221" s="133">
        <v>6.0121906789186101E-2</v>
      </c>
      <c r="L1221" s="181">
        <v>-581</v>
      </c>
      <c r="N1221" s="73">
        <v>803.84199999999703</v>
      </c>
      <c r="O1221" s="73">
        <v>203.62344984375</v>
      </c>
      <c r="P1221" s="182">
        <v>7</v>
      </c>
      <c r="Q1221" s="182">
        <v>3500</v>
      </c>
      <c r="R1221" s="46">
        <v>6.7409999999999997</v>
      </c>
      <c r="S1221" s="46">
        <v>0</v>
      </c>
      <c r="T1221" s="46">
        <v>0</v>
      </c>
      <c r="U1221" s="46">
        <v>0</v>
      </c>
      <c r="V1221" s="46" t="s">
        <v>62</v>
      </c>
      <c r="W1221" s="46">
        <v>3500</v>
      </c>
      <c r="X1221" s="46">
        <v>6.7409999999999997</v>
      </c>
      <c r="Y1221" s="194">
        <v>6.4009999999999998</v>
      </c>
      <c r="Z1221" s="194">
        <v>6.6559999999999997</v>
      </c>
      <c r="AA1221" s="194">
        <v>6.9269999999999996</v>
      </c>
      <c r="AB1221" s="46">
        <v>6.54</v>
      </c>
      <c r="AC1221" s="46">
        <v>6.58</v>
      </c>
      <c r="AD1221" s="46">
        <v>6.37</v>
      </c>
      <c r="AE1221" s="46">
        <v>6.4</v>
      </c>
    </row>
    <row r="1222" spans="1:31" x14ac:dyDescent="0.25">
      <c r="A1222" s="136">
        <v>43027</v>
      </c>
      <c r="B1222" s="201" t="s">
        <v>67</v>
      </c>
      <c r="C1222" t="s">
        <v>129</v>
      </c>
      <c r="D1222">
        <v>6450</v>
      </c>
      <c r="E1222">
        <v>6450</v>
      </c>
      <c r="F1222">
        <v>9.0050000000000008</v>
      </c>
      <c r="G1222">
        <v>-1578.09</v>
      </c>
      <c r="H1222">
        <v>-2.72</v>
      </c>
      <c r="I1222" s="309">
        <v>56502</v>
      </c>
      <c r="J1222">
        <v>8.76</v>
      </c>
      <c r="K1222" s="133">
        <v>0.12945914548028201</v>
      </c>
      <c r="L1222" s="181">
        <v>-1487</v>
      </c>
      <c r="N1222" s="73">
        <v>31195.050999999901</v>
      </c>
      <c r="O1222" s="73">
        <v>-180.31561900687799</v>
      </c>
      <c r="P1222" s="182">
        <v>17</v>
      </c>
      <c r="Q1222" s="182">
        <v>8500</v>
      </c>
      <c r="R1222" s="46">
        <v>6.4980000000000002</v>
      </c>
      <c r="S1222" s="46">
        <v>15</v>
      </c>
      <c r="T1222" s="46">
        <v>6400</v>
      </c>
      <c r="U1222" s="46">
        <v>8.91</v>
      </c>
      <c r="V1222" s="46" t="s">
        <v>62</v>
      </c>
      <c r="W1222" s="46">
        <v>2100</v>
      </c>
      <c r="X1222" s="46">
        <v>-0.85299999999999998</v>
      </c>
      <c r="Y1222" s="194">
        <v>8.8190000000000008</v>
      </c>
      <c r="Z1222" s="193">
        <v>9.3010000000000002</v>
      </c>
      <c r="AA1222" s="193">
        <v>9.0760000000000005</v>
      </c>
      <c r="AB1222" s="46">
        <v>8.9700000000000006</v>
      </c>
      <c r="AC1222" s="46">
        <v>9.0399999999999991</v>
      </c>
      <c r="AD1222" s="46">
        <v>8.73</v>
      </c>
      <c r="AE1222" s="46">
        <v>8.76</v>
      </c>
    </row>
    <row r="1223" spans="1:31" x14ac:dyDescent="0.25">
      <c r="A1223" s="136">
        <v>43027</v>
      </c>
      <c r="B1223" s="201" t="s">
        <v>72</v>
      </c>
      <c r="C1223" t="s">
        <v>130</v>
      </c>
      <c r="D1223">
        <v>2100</v>
      </c>
      <c r="E1223">
        <v>2100</v>
      </c>
      <c r="F1223">
        <v>8.4559999999999995</v>
      </c>
      <c r="G1223">
        <v>-1146.8800000000001</v>
      </c>
      <c r="H1223">
        <v>-6.46</v>
      </c>
      <c r="I1223" s="309">
        <v>16611</v>
      </c>
      <c r="J1223">
        <v>7.91</v>
      </c>
      <c r="K1223" s="133">
        <v>3.8059641527255002E-2</v>
      </c>
      <c r="L1223" s="181">
        <v>0</v>
      </c>
      <c r="N1223" s="73">
        <v>-1347.5799999999899</v>
      </c>
      <c r="O1223" s="73">
        <v>-142.08422537878499</v>
      </c>
      <c r="P1223" s="182">
        <v>0</v>
      </c>
      <c r="Q1223" s="182">
        <v>0</v>
      </c>
      <c r="R1223" s="46">
        <v>0</v>
      </c>
      <c r="S1223" s="46">
        <v>10</v>
      </c>
      <c r="T1223" s="46">
        <v>5000</v>
      </c>
      <c r="U1223" s="46">
        <v>7.423</v>
      </c>
      <c r="V1223" s="46" t="s">
        <v>68</v>
      </c>
      <c r="W1223" s="46">
        <v>5000</v>
      </c>
      <c r="X1223" s="46">
        <v>7.423</v>
      </c>
    </row>
    <row r="1224" spans="1:31" x14ac:dyDescent="0.25">
      <c r="A1224" s="136">
        <v>43027</v>
      </c>
      <c r="B1224" s="201" t="s">
        <v>70</v>
      </c>
      <c r="C1224" t="s">
        <v>131</v>
      </c>
      <c r="D1224">
        <v>7800</v>
      </c>
      <c r="E1224">
        <v>7800</v>
      </c>
      <c r="F1224">
        <v>12.518000000000001</v>
      </c>
      <c r="G1224">
        <v>-2247.4499999999998</v>
      </c>
      <c r="H1224">
        <v>-2.2999999999999998</v>
      </c>
      <c r="I1224" s="309">
        <v>95394</v>
      </c>
      <c r="J1224">
        <v>12.23</v>
      </c>
      <c r="K1224" s="133">
        <v>0.21856970946065599</v>
      </c>
      <c r="L1224" s="181">
        <v>-3540</v>
      </c>
      <c r="N1224" s="73">
        <v>-2095.4300000000198</v>
      </c>
      <c r="O1224" s="73">
        <v>-170.969982448981</v>
      </c>
      <c r="P1224" s="182">
        <v>1</v>
      </c>
      <c r="Q1224" s="182">
        <v>500</v>
      </c>
      <c r="R1224" s="46">
        <v>12.47</v>
      </c>
      <c r="S1224" s="46">
        <v>8</v>
      </c>
      <c r="T1224" s="46">
        <v>3200</v>
      </c>
      <c r="U1224" s="46">
        <v>13.371</v>
      </c>
      <c r="V1224" s="46" t="s">
        <v>68</v>
      </c>
      <c r="W1224" s="46">
        <v>2700</v>
      </c>
      <c r="X1224" s="46">
        <v>13.538</v>
      </c>
      <c r="Y1224" s="194">
        <v>12.378</v>
      </c>
      <c r="Z1224" s="194">
        <v>12.747</v>
      </c>
      <c r="AA1224" s="194">
        <v>12.698</v>
      </c>
      <c r="AB1224" s="46">
        <v>12.7</v>
      </c>
      <c r="AC1224" s="46">
        <v>12.7</v>
      </c>
      <c r="AD1224" s="46">
        <v>12.23</v>
      </c>
      <c r="AE1224" s="46">
        <v>12.23</v>
      </c>
    </row>
    <row r="1225" spans="1:31" x14ac:dyDescent="0.25">
      <c r="A1225" s="136">
        <v>43027</v>
      </c>
      <c r="B1225" s="201" t="s">
        <v>137</v>
      </c>
      <c r="C1225" t="s">
        <v>138</v>
      </c>
      <c r="D1225">
        <v>100</v>
      </c>
      <c r="E1225">
        <v>100</v>
      </c>
      <c r="F1225">
        <v>-130.48500000000001</v>
      </c>
      <c r="G1225">
        <v>18257.5</v>
      </c>
      <c r="H1225">
        <v>0</v>
      </c>
      <c r="I1225" s="309">
        <v>5209</v>
      </c>
      <c r="J1225">
        <v>52.09</v>
      </c>
      <c r="K1225" s="133">
        <v>1.1935023340886799E-2</v>
      </c>
      <c r="L1225" s="181">
        <v>-214</v>
      </c>
    </row>
    <row r="1226" spans="1:31" x14ac:dyDescent="0.25">
      <c r="A1226" s="136">
        <v>43027</v>
      </c>
      <c r="B1226" s="201" t="s">
        <v>835</v>
      </c>
      <c r="C1226" t="s">
        <v>839</v>
      </c>
      <c r="I1226" s="309">
        <v>10030.26</v>
      </c>
      <c r="K1226" s="133">
        <v>2.2981644694790498E-2</v>
      </c>
      <c r="L1226" s="181">
        <v>0</v>
      </c>
    </row>
    <row r="1227" spans="1:31" x14ac:dyDescent="0.25">
      <c r="A1227" s="136">
        <v>43028</v>
      </c>
      <c r="B1227" s="201" t="s">
        <v>132</v>
      </c>
      <c r="C1227" t="s">
        <v>123</v>
      </c>
      <c r="D1227">
        <v>6038468</v>
      </c>
      <c r="E1227">
        <v>6038468</v>
      </c>
      <c r="F1227">
        <v>0.01</v>
      </c>
      <c r="G1227">
        <v>2654.17</v>
      </c>
      <c r="H1227">
        <v>0</v>
      </c>
      <c r="I1227" s="309">
        <v>60384.68</v>
      </c>
      <c r="J1227">
        <v>0.01</v>
      </c>
      <c r="K1227" s="133">
        <v>0.13758188255847101</v>
      </c>
      <c r="L1227" s="181">
        <v>5.36999999999989</v>
      </c>
    </row>
    <row r="1228" spans="1:31" x14ac:dyDescent="0.25">
      <c r="A1228" s="136">
        <v>43028</v>
      </c>
      <c r="B1228" s="201" t="s">
        <v>61</v>
      </c>
      <c r="C1228" t="s">
        <v>136</v>
      </c>
      <c r="D1228">
        <v>2900</v>
      </c>
      <c r="E1228">
        <v>2900</v>
      </c>
      <c r="F1228">
        <v>5.3490000000000002</v>
      </c>
      <c r="G1228">
        <v>-170.24</v>
      </c>
      <c r="H1228">
        <v>-1.1000000000000001</v>
      </c>
      <c r="I1228" s="309">
        <v>15341</v>
      </c>
      <c r="J1228">
        <v>5.29</v>
      </c>
      <c r="K1228" s="133">
        <v>3.4953297100017801E-2</v>
      </c>
      <c r="L1228" s="181">
        <v>116</v>
      </c>
      <c r="N1228" s="73">
        <v>-144.28800000000001</v>
      </c>
      <c r="O1228" s="73">
        <v>-27.210538867924601</v>
      </c>
      <c r="P1228" s="182">
        <v>5</v>
      </c>
      <c r="Q1228" s="182">
        <v>2500</v>
      </c>
      <c r="R1228" s="46">
        <v>5.3659999999999997</v>
      </c>
      <c r="S1228" s="46">
        <v>0</v>
      </c>
      <c r="T1228" s="46">
        <v>0</v>
      </c>
      <c r="U1228" s="46">
        <v>0</v>
      </c>
      <c r="V1228" s="46" t="s">
        <v>62</v>
      </c>
      <c r="W1228" s="46">
        <v>2500</v>
      </c>
      <c r="X1228" s="46">
        <v>5.3659999999999997</v>
      </c>
    </row>
    <row r="1229" spans="1:31" x14ac:dyDescent="0.25">
      <c r="A1229" s="136">
        <v>43028</v>
      </c>
      <c r="B1229" s="201" t="s">
        <v>124</v>
      </c>
      <c r="C1229" t="s">
        <v>125</v>
      </c>
      <c r="D1229">
        <v>100</v>
      </c>
      <c r="E1229">
        <v>100</v>
      </c>
      <c r="F1229">
        <v>-53.579000000000001</v>
      </c>
      <c r="G1229">
        <v>5981.9</v>
      </c>
      <c r="H1229">
        <v>0</v>
      </c>
      <c r="I1229" s="309">
        <v>624</v>
      </c>
      <c r="J1229">
        <v>6.24</v>
      </c>
      <c r="K1229" s="133">
        <v>1.4217363529373001E-3</v>
      </c>
      <c r="L1229" s="181">
        <v>-10</v>
      </c>
      <c r="N1229" s="73">
        <v>5995.0890000000099</v>
      </c>
      <c r="O1229" s="73">
        <v>1102.4501845505599</v>
      </c>
      <c r="P1229" s="182">
        <v>0</v>
      </c>
      <c r="Q1229" s="182">
        <v>0</v>
      </c>
      <c r="R1229" s="46">
        <v>0</v>
      </c>
      <c r="S1229" s="46">
        <v>5</v>
      </c>
      <c r="T1229" s="46">
        <v>2300</v>
      </c>
      <c r="U1229" s="46">
        <v>4.99</v>
      </c>
      <c r="V1229" s="46" t="s">
        <v>68</v>
      </c>
      <c r="W1229" s="46">
        <v>2300</v>
      </c>
      <c r="X1229" s="46">
        <v>4.99</v>
      </c>
      <c r="Y1229" s="194">
        <v>6.2359999999999998</v>
      </c>
      <c r="Z1229" s="193">
        <v>5.3460000000000001</v>
      </c>
      <c r="AA1229" s="193">
        <v>5.6</v>
      </c>
      <c r="AB1229" s="46">
        <v>6.32</v>
      </c>
      <c r="AC1229" s="46">
        <v>6.33</v>
      </c>
      <c r="AD1229" s="46">
        <v>6.23</v>
      </c>
      <c r="AE1229" s="46">
        <v>6.24</v>
      </c>
    </row>
    <row r="1230" spans="1:31" x14ac:dyDescent="0.25">
      <c r="A1230" s="136">
        <v>43028</v>
      </c>
      <c r="B1230" s="201" t="s">
        <v>71</v>
      </c>
      <c r="C1230" t="s">
        <v>126</v>
      </c>
      <c r="D1230">
        <v>4200</v>
      </c>
      <c r="E1230">
        <v>4200</v>
      </c>
      <c r="F1230">
        <v>6.11</v>
      </c>
      <c r="G1230">
        <v>1177.47</v>
      </c>
      <c r="H1230">
        <v>4.58</v>
      </c>
      <c r="I1230" s="309">
        <v>26838</v>
      </c>
      <c r="J1230">
        <v>6.39</v>
      </c>
      <c r="K1230" s="133">
        <v>6.1148333718159101E-2</v>
      </c>
      <c r="L1230" s="181">
        <v>0</v>
      </c>
      <c r="N1230" s="73">
        <v>1293.67200000001</v>
      </c>
      <c r="O1230" s="73">
        <v>233.109353013912</v>
      </c>
      <c r="P1230" s="182">
        <v>4</v>
      </c>
      <c r="Q1230" s="182">
        <v>2000</v>
      </c>
      <c r="R1230" s="46">
        <v>6.4180000000000001</v>
      </c>
      <c r="S1230" s="46">
        <v>0</v>
      </c>
      <c r="T1230" s="46">
        <v>0</v>
      </c>
      <c r="U1230" s="46">
        <v>0</v>
      </c>
      <c r="V1230" s="46" t="s">
        <v>62</v>
      </c>
      <c r="W1230" s="46">
        <v>2000</v>
      </c>
      <c r="X1230" s="46">
        <v>6.4180000000000001</v>
      </c>
      <c r="Y1230" s="193">
        <v>6.4269999999999996</v>
      </c>
      <c r="Z1230" s="194">
        <v>6.593</v>
      </c>
      <c r="AA1230" s="194">
        <v>6.6859999999999999</v>
      </c>
      <c r="AB1230" s="46">
        <v>6.36</v>
      </c>
      <c r="AC1230" s="46">
        <v>6.4</v>
      </c>
      <c r="AD1230" s="46">
        <v>6.34</v>
      </c>
      <c r="AE1230" s="46">
        <v>6.3</v>
      </c>
    </row>
    <row r="1231" spans="1:31" x14ac:dyDescent="0.25">
      <c r="A1231" s="136">
        <v>43028</v>
      </c>
      <c r="B1231" s="201" t="s">
        <v>65</v>
      </c>
      <c r="C1231" t="s">
        <v>127</v>
      </c>
      <c r="D1231">
        <v>11400</v>
      </c>
      <c r="E1231">
        <v>11400</v>
      </c>
      <c r="F1231">
        <v>10.492000000000001</v>
      </c>
      <c r="G1231">
        <v>14117.47</v>
      </c>
      <c r="H1231">
        <v>11.8</v>
      </c>
      <c r="I1231" s="309">
        <v>133722</v>
      </c>
      <c r="J1231">
        <v>11.73</v>
      </c>
      <c r="K1231" s="133">
        <v>0.30467536632609199</v>
      </c>
      <c r="L1231" s="181">
        <v>965</v>
      </c>
      <c r="N1231" s="73">
        <v>9607.0250000000506</v>
      </c>
      <c r="O1231" s="73">
        <v>1185.45125625533</v>
      </c>
      <c r="P1231" s="182">
        <v>3</v>
      </c>
      <c r="Q1231" s="182">
        <v>2900</v>
      </c>
      <c r="R1231" s="46">
        <v>11.651</v>
      </c>
      <c r="S1231" s="46">
        <v>20</v>
      </c>
      <c r="T1231" s="46">
        <v>8400</v>
      </c>
      <c r="U1231" s="46">
        <v>12.275</v>
      </c>
      <c r="V1231" s="46" t="s">
        <v>68</v>
      </c>
      <c r="W1231" s="46">
        <v>5500</v>
      </c>
      <c r="X1231" s="46">
        <v>12.603999999999999</v>
      </c>
      <c r="Y1231" s="193">
        <v>11.768000000000001</v>
      </c>
      <c r="Z1231" s="194">
        <v>11.701000000000001</v>
      </c>
      <c r="AA1231" s="194">
        <v>11.954000000000001</v>
      </c>
      <c r="AB1231" s="46">
        <v>11.63</v>
      </c>
      <c r="AC1231" s="46">
        <v>11.75</v>
      </c>
      <c r="AD1231" s="46">
        <v>11.62</v>
      </c>
      <c r="AE1231" s="46">
        <v>11.73</v>
      </c>
    </row>
    <row r="1232" spans="1:31" x14ac:dyDescent="0.25">
      <c r="A1232" s="136">
        <v>43028</v>
      </c>
      <c r="B1232" s="201" t="s">
        <v>77</v>
      </c>
      <c r="C1232" t="s">
        <v>128</v>
      </c>
      <c r="D1232">
        <v>4100</v>
      </c>
      <c r="E1232">
        <v>4100</v>
      </c>
      <c r="F1232">
        <v>6.0810000000000004</v>
      </c>
      <c r="G1232">
        <v>1349.79</v>
      </c>
      <c r="H1232">
        <v>5.41</v>
      </c>
      <c r="I1232" s="309">
        <v>26281</v>
      </c>
      <c r="J1232">
        <v>6.41</v>
      </c>
      <c r="K1232" s="133">
        <v>5.9879251749271098E-2</v>
      </c>
      <c r="L1232" s="181">
        <v>41</v>
      </c>
      <c r="N1232" s="73">
        <v>803.84199999999703</v>
      </c>
      <c r="O1232" s="73">
        <v>203.62344984375</v>
      </c>
      <c r="P1232" s="182">
        <v>7</v>
      </c>
      <c r="Q1232" s="182">
        <v>3500</v>
      </c>
      <c r="R1232" s="46">
        <v>6.7409999999999997</v>
      </c>
      <c r="S1232" s="46">
        <v>0</v>
      </c>
      <c r="T1232" s="46">
        <v>0</v>
      </c>
      <c r="U1232" s="46">
        <v>0</v>
      </c>
      <c r="V1232" s="46" t="s">
        <v>62</v>
      </c>
      <c r="W1232" s="46">
        <v>3500</v>
      </c>
      <c r="X1232" s="46">
        <v>6.7409999999999997</v>
      </c>
      <c r="Y1232" s="193">
        <v>6.6740000000000004</v>
      </c>
      <c r="Z1232" s="194">
        <v>6.6559999999999997</v>
      </c>
      <c r="AA1232" s="194">
        <v>6.92</v>
      </c>
      <c r="AB1232" s="46">
        <v>6.4</v>
      </c>
      <c r="AC1232" s="46">
        <v>6.43</v>
      </c>
      <c r="AD1232" s="46">
        <v>6.37</v>
      </c>
      <c r="AE1232" s="46">
        <v>6.41</v>
      </c>
    </row>
    <row r="1233" spans="1:31" x14ac:dyDescent="0.25">
      <c r="A1233" s="136">
        <v>43028</v>
      </c>
      <c r="B1233" s="201" t="s">
        <v>67</v>
      </c>
      <c r="C1233" t="s">
        <v>129</v>
      </c>
      <c r="D1233">
        <v>6450</v>
      </c>
      <c r="E1233">
        <v>6450</v>
      </c>
      <c r="F1233">
        <v>9.0050000000000008</v>
      </c>
      <c r="G1233">
        <v>-1191.0899999999999</v>
      </c>
      <c r="H1233">
        <v>-2.0499999999999998</v>
      </c>
      <c r="I1233" s="309">
        <v>56889</v>
      </c>
      <c r="J1233">
        <v>8.82</v>
      </c>
      <c r="K1233" s="133">
        <v>0.12961724259976001</v>
      </c>
      <c r="L1233" s="181">
        <v>387</v>
      </c>
      <c r="N1233" s="73">
        <v>31195.050999999901</v>
      </c>
      <c r="O1233" s="73">
        <v>-180.31561900687799</v>
      </c>
      <c r="P1233" s="182">
        <v>17</v>
      </c>
      <c r="Q1233" s="182">
        <v>8500</v>
      </c>
      <c r="R1233" s="46">
        <v>6.4980000000000002</v>
      </c>
      <c r="S1233" s="46">
        <v>15</v>
      </c>
      <c r="T1233" s="46">
        <v>6400</v>
      </c>
      <c r="U1233" s="46">
        <v>8.91</v>
      </c>
      <c r="V1233" s="46" t="s">
        <v>62</v>
      </c>
      <c r="W1233" s="46">
        <v>2100</v>
      </c>
      <c r="X1233" s="46">
        <v>-0.85299999999999998</v>
      </c>
      <c r="Y1233" s="193">
        <v>9.0359999999999996</v>
      </c>
      <c r="Z1233" s="193">
        <v>9.2989999999999995</v>
      </c>
      <c r="AA1233" s="193">
        <v>9.0739999999999998</v>
      </c>
      <c r="AB1233" s="46">
        <v>8.7100000000000009</v>
      </c>
      <c r="AC1233" s="46">
        <v>8.84</v>
      </c>
      <c r="AD1233" s="46">
        <v>8.7100000000000009</v>
      </c>
      <c r="AE1233" s="46">
        <v>8.82</v>
      </c>
    </row>
    <row r="1234" spans="1:31" x14ac:dyDescent="0.25">
      <c r="A1234" s="136">
        <v>43028</v>
      </c>
      <c r="B1234" s="201" t="s">
        <v>72</v>
      </c>
      <c r="C1234" t="s">
        <v>130</v>
      </c>
      <c r="D1234">
        <v>2100</v>
      </c>
      <c r="E1234">
        <v>2100</v>
      </c>
      <c r="F1234">
        <v>8.4559999999999995</v>
      </c>
      <c r="G1234">
        <v>-1146.8800000000001</v>
      </c>
      <c r="H1234">
        <v>-6.46</v>
      </c>
      <c r="I1234" s="309">
        <v>16611</v>
      </c>
      <c r="J1234">
        <v>7.91</v>
      </c>
      <c r="K1234" s="133">
        <v>3.7846895126027999E-2</v>
      </c>
      <c r="L1234" s="181">
        <v>0</v>
      </c>
      <c r="N1234" s="73">
        <v>-1347.5799999999899</v>
      </c>
      <c r="O1234" s="73">
        <v>-142.08422537878499</v>
      </c>
      <c r="P1234" s="182">
        <v>0</v>
      </c>
      <c r="Q1234" s="182">
        <v>0</v>
      </c>
      <c r="R1234" s="46">
        <v>0</v>
      </c>
      <c r="S1234" s="46">
        <v>10</v>
      </c>
      <c r="T1234" s="46">
        <v>5000</v>
      </c>
      <c r="U1234" s="46">
        <v>7.423</v>
      </c>
      <c r="V1234" s="46" t="s">
        <v>68</v>
      </c>
      <c r="W1234" s="46">
        <v>5000</v>
      </c>
      <c r="X1234" s="46">
        <v>7.423</v>
      </c>
    </row>
    <row r="1235" spans="1:31" x14ac:dyDescent="0.25">
      <c r="A1235" s="136">
        <v>43028</v>
      </c>
      <c r="B1235" s="201" t="s">
        <v>70</v>
      </c>
      <c r="C1235" t="s">
        <v>131</v>
      </c>
      <c r="D1235">
        <v>7800</v>
      </c>
      <c r="E1235">
        <v>7800</v>
      </c>
      <c r="F1235">
        <v>12.518000000000001</v>
      </c>
      <c r="G1235">
        <v>-1077.45</v>
      </c>
      <c r="H1235">
        <v>-1.1000000000000001</v>
      </c>
      <c r="I1235" s="309">
        <v>96564</v>
      </c>
      <c r="J1235">
        <v>12.38</v>
      </c>
      <c r="K1235" s="133">
        <v>0.220013700617047</v>
      </c>
      <c r="L1235" s="181">
        <v>1170</v>
      </c>
      <c r="N1235" s="73">
        <v>-2095.4300000000198</v>
      </c>
      <c r="O1235" s="73">
        <v>-170.969982448981</v>
      </c>
      <c r="P1235" s="182">
        <v>1</v>
      </c>
      <c r="Q1235" s="182">
        <v>500</v>
      </c>
      <c r="R1235" s="46">
        <v>12.47</v>
      </c>
      <c r="S1235" s="46">
        <v>8</v>
      </c>
      <c r="T1235" s="46">
        <v>3200</v>
      </c>
      <c r="U1235" s="46">
        <v>13.371</v>
      </c>
      <c r="V1235" s="46" t="s">
        <v>68</v>
      </c>
      <c r="W1235" s="46">
        <v>2700</v>
      </c>
      <c r="X1235" s="46">
        <v>13.538</v>
      </c>
      <c r="Y1235" s="193">
        <v>13.601000000000001</v>
      </c>
      <c r="Z1235" s="194">
        <v>12.746</v>
      </c>
      <c r="AA1235" s="194">
        <v>12.693</v>
      </c>
      <c r="AB1235" s="46">
        <v>12.25</v>
      </c>
      <c r="AC1235" s="46">
        <v>12.4</v>
      </c>
      <c r="AD1235" s="46">
        <v>12.22</v>
      </c>
      <c r="AE1235" s="46">
        <v>12.38</v>
      </c>
    </row>
    <row r="1236" spans="1:31" x14ac:dyDescent="0.25">
      <c r="A1236" s="136">
        <v>43028</v>
      </c>
      <c r="B1236" s="201" t="s">
        <v>137</v>
      </c>
      <c r="C1236" t="s">
        <v>138</v>
      </c>
      <c r="D1236">
        <v>100</v>
      </c>
      <c r="E1236">
        <v>100</v>
      </c>
      <c r="F1236">
        <v>-130.48500000000001</v>
      </c>
      <c r="G1236">
        <v>18036.5</v>
      </c>
      <c r="H1236">
        <v>0</v>
      </c>
      <c r="I1236" s="309">
        <v>4988</v>
      </c>
      <c r="J1236">
        <v>49.88</v>
      </c>
      <c r="K1236" s="133">
        <v>1.13647771289283E-2</v>
      </c>
      <c r="L1236" s="181">
        <v>-221</v>
      </c>
    </row>
    <row r="1237" spans="1:31" x14ac:dyDescent="0.25">
      <c r="A1237" s="136">
        <v>43028</v>
      </c>
      <c r="B1237" s="201" t="s">
        <v>835</v>
      </c>
      <c r="C1237" t="s">
        <v>839</v>
      </c>
      <c r="I1237" s="309">
        <v>657.26</v>
      </c>
      <c r="K1237" s="133">
        <v>1.4975167232877699E-3</v>
      </c>
      <c r="L1237" s="181">
        <v>0</v>
      </c>
    </row>
    <row r="1238" spans="1:31" x14ac:dyDescent="0.25">
      <c r="A1238" s="136">
        <v>43031</v>
      </c>
      <c r="B1238" s="201" t="s">
        <v>132</v>
      </c>
      <c r="C1238" t="s">
        <v>123</v>
      </c>
      <c r="D1238">
        <v>6039868</v>
      </c>
      <c r="E1238">
        <v>6039868</v>
      </c>
      <c r="F1238">
        <v>0.01</v>
      </c>
      <c r="G1238">
        <v>2668.17</v>
      </c>
      <c r="H1238">
        <v>0</v>
      </c>
      <c r="I1238" s="309">
        <v>60398.68</v>
      </c>
      <c r="J1238">
        <v>0.01</v>
      </c>
      <c r="K1238" s="133">
        <v>0.13685837454469199</v>
      </c>
      <c r="L1238" s="181">
        <v>14</v>
      </c>
    </row>
    <row r="1239" spans="1:31" x14ac:dyDescent="0.25">
      <c r="A1239" s="136">
        <v>43031</v>
      </c>
      <c r="B1239" s="201" t="s">
        <v>61</v>
      </c>
      <c r="C1239" t="s">
        <v>136</v>
      </c>
      <c r="D1239">
        <v>2900</v>
      </c>
      <c r="E1239">
        <v>2900</v>
      </c>
      <c r="F1239">
        <v>5.3490000000000002</v>
      </c>
      <c r="G1239">
        <v>-112.24</v>
      </c>
      <c r="H1239">
        <v>-0.73</v>
      </c>
      <c r="I1239" s="309">
        <v>15399</v>
      </c>
      <c r="J1239">
        <v>5.31</v>
      </c>
      <c r="K1239" s="133">
        <v>3.4892850466495602E-2</v>
      </c>
      <c r="L1239" s="181">
        <v>58</v>
      </c>
      <c r="N1239" s="73">
        <v>-144.28800000000001</v>
      </c>
      <c r="O1239" s="73">
        <v>-27.210538867924601</v>
      </c>
      <c r="P1239" s="182">
        <v>5</v>
      </c>
      <c r="Q1239" s="182">
        <v>2500</v>
      </c>
      <c r="R1239" s="46">
        <v>5.3659999999999997</v>
      </c>
      <c r="S1239" s="46">
        <v>0</v>
      </c>
      <c r="T1239" s="46">
        <v>0</v>
      </c>
      <c r="U1239" s="46">
        <v>0</v>
      </c>
      <c r="V1239" s="46" t="s">
        <v>62</v>
      </c>
      <c r="W1239" s="46">
        <v>2500</v>
      </c>
      <c r="X1239" s="46">
        <v>5.3659999999999997</v>
      </c>
    </row>
    <row r="1240" spans="1:31" x14ac:dyDescent="0.25">
      <c r="A1240" s="136">
        <v>43031</v>
      </c>
      <c r="B1240" s="201" t="s">
        <v>124</v>
      </c>
      <c r="C1240" t="s">
        <v>125</v>
      </c>
      <c r="D1240">
        <v>100</v>
      </c>
      <c r="E1240">
        <v>100</v>
      </c>
      <c r="F1240">
        <v>-53.579000000000001</v>
      </c>
      <c r="G1240">
        <v>5976.9</v>
      </c>
      <c r="H1240">
        <v>0</v>
      </c>
      <c r="I1240" s="309">
        <v>619</v>
      </c>
      <c r="J1240">
        <v>6.19</v>
      </c>
      <c r="K1240" s="133">
        <v>1.40260240527052E-3</v>
      </c>
      <c r="L1240" s="181">
        <v>-5</v>
      </c>
      <c r="N1240" s="73">
        <v>5995.0890000000099</v>
      </c>
      <c r="O1240" s="73">
        <v>1102.4501845505599</v>
      </c>
      <c r="P1240" s="182">
        <v>0</v>
      </c>
      <c r="Q1240" s="182">
        <v>0</v>
      </c>
      <c r="R1240" s="46">
        <v>0</v>
      </c>
      <c r="S1240" s="46">
        <v>5</v>
      </c>
      <c r="T1240" s="46">
        <v>2300</v>
      </c>
      <c r="U1240" s="46">
        <v>4.99</v>
      </c>
      <c r="V1240" s="46" t="s">
        <v>68</v>
      </c>
      <c r="W1240" s="46">
        <v>2300</v>
      </c>
      <c r="X1240" s="46">
        <v>4.99</v>
      </c>
      <c r="Y1240" s="193">
        <v>6.2489999999999997</v>
      </c>
      <c r="Z1240" s="193">
        <v>5.3879999999999999</v>
      </c>
      <c r="AA1240" s="193">
        <v>5.6139999999999999</v>
      </c>
      <c r="AB1240" s="46">
        <v>6.24</v>
      </c>
      <c r="AC1240" s="46">
        <v>6.29</v>
      </c>
      <c r="AD1240" s="46">
        <v>6.17</v>
      </c>
      <c r="AE1240" s="46">
        <v>6.19</v>
      </c>
    </row>
    <row r="1241" spans="1:31" x14ac:dyDescent="0.25">
      <c r="A1241" s="136">
        <v>43031</v>
      </c>
      <c r="B1241" s="201" t="s">
        <v>71</v>
      </c>
      <c r="C1241" t="s">
        <v>126</v>
      </c>
      <c r="D1241">
        <v>4200</v>
      </c>
      <c r="E1241">
        <v>4200</v>
      </c>
      <c r="F1241">
        <v>6.11</v>
      </c>
      <c r="G1241">
        <v>1009.47</v>
      </c>
      <c r="H1241">
        <v>3.93</v>
      </c>
      <c r="I1241" s="309">
        <v>26670</v>
      </c>
      <c r="J1241">
        <v>6.35</v>
      </c>
      <c r="K1241" s="133">
        <v>6.0431997008989997E-2</v>
      </c>
      <c r="L1241" s="181">
        <v>-168</v>
      </c>
      <c r="N1241" s="73">
        <v>1293.67200000001</v>
      </c>
      <c r="O1241" s="73">
        <v>233.109353013912</v>
      </c>
      <c r="P1241" s="182">
        <v>4</v>
      </c>
      <c r="Q1241" s="182">
        <v>2000</v>
      </c>
      <c r="R1241" s="46">
        <v>6.4180000000000001</v>
      </c>
      <c r="S1241" s="46">
        <v>0</v>
      </c>
      <c r="T1241" s="46">
        <v>0</v>
      </c>
      <c r="U1241" s="46">
        <v>0</v>
      </c>
      <c r="V1241" s="46" t="s">
        <v>62</v>
      </c>
      <c r="W1241" s="46">
        <v>2000</v>
      </c>
      <c r="X1241" s="46">
        <v>6.4180000000000001</v>
      </c>
      <c r="Y1241" s="194">
        <v>6.3369999999999997</v>
      </c>
      <c r="Z1241" s="194">
        <v>6.5709999999999997</v>
      </c>
      <c r="AA1241" s="194">
        <v>6.6829999999999998</v>
      </c>
      <c r="AB1241" s="46">
        <v>6.39</v>
      </c>
      <c r="AC1241" s="46">
        <v>6.39</v>
      </c>
      <c r="AD1241" s="46">
        <v>6.34</v>
      </c>
      <c r="AE1241" s="46">
        <v>6.35</v>
      </c>
    </row>
    <row r="1242" spans="1:31" x14ac:dyDescent="0.25">
      <c r="A1242" s="136">
        <v>43031</v>
      </c>
      <c r="B1242" s="201" t="s">
        <v>65</v>
      </c>
      <c r="C1242" t="s">
        <v>127</v>
      </c>
      <c r="D1242">
        <v>10100</v>
      </c>
      <c r="E1242">
        <v>10100</v>
      </c>
      <c r="F1242">
        <v>10.32</v>
      </c>
      <c r="G1242">
        <v>15349.07</v>
      </c>
      <c r="H1242">
        <v>14.73</v>
      </c>
      <c r="I1242" s="309">
        <v>119584</v>
      </c>
      <c r="J1242">
        <v>11.84</v>
      </c>
      <c r="K1242" s="133">
        <v>0.27096737646505697</v>
      </c>
      <c r="L1242" s="181">
        <v>1231.5999999999999</v>
      </c>
      <c r="N1242" s="73">
        <v>11470.6250000001</v>
      </c>
      <c r="O1242" s="73">
        <v>1325.2779807028601</v>
      </c>
      <c r="P1242" s="182">
        <v>0</v>
      </c>
      <c r="Q1242" s="182">
        <v>0</v>
      </c>
      <c r="R1242" s="46">
        <v>0</v>
      </c>
      <c r="S1242" s="46">
        <v>16</v>
      </c>
      <c r="T1242" s="46">
        <v>6700</v>
      </c>
      <c r="U1242" s="46">
        <v>12.507</v>
      </c>
      <c r="V1242" s="46" t="s">
        <v>68</v>
      </c>
      <c r="W1242" s="46">
        <v>6700</v>
      </c>
      <c r="X1242" s="46">
        <v>12.507</v>
      </c>
      <c r="Y1242" s="193">
        <v>11.840999999999999</v>
      </c>
      <c r="Z1242" s="194">
        <v>11.69</v>
      </c>
      <c r="AA1242" s="194">
        <v>11.952</v>
      </c>
      <c r="AB1242" s="46">
        <v>11.73</v>
      </c>
      <c r="AC1242" s="46">
        <v>11.89</v>
      </c>
      <c r="AD1242" s="46">
        <v>11.71</v>
      </c>
      <c r="AE1242" s="46">
        <v>11.84</v>
      </c>
    </row>
    <row r="1243" spans="1:31" x14ac:dyDescent="0.25">
      <c r="A1243" s="136">
        <v>43031</v>
      </c>
      <c r="B1243" s="201" t="s">
        <v>77</v>
      </c>
      <c r="C1243" t="s">
        <v>128</v>
      </c>
      <c r="D1243">
        <v>4100</v>
      </c>
      <c r="E1243">
        <v>4100</v>
      </c>
      <c r="F1243">
        <v>6.0810000000000004</v>
      </c>
      <c r="G1243">
        <v>1595.79</v>
      </c>
      <c r="H1243">
        <v>6.4</v>
      </c>
      <c r="I1243" s="309">
        <v>26527</v>
      </c>
      <c r="J1243">
        <v>6.47</v>
      </c>
      <c r="K1243" s="133">
        <v>6.01079709282894E-2</v>
      </c>
      <c r="L1243" s="181">
        <v>246</v>
      </c>
      <c r="N1243" s="73">
        <v>803.84199999999703</v>
      </c>
      <c r="O1243" s="73">
        <v>203.62344984375</v>
      </c>
      <c r="P1243" s="182">
        <v>7</v>
      </c>
      <c r="Q1243" s="182">
        <v>3500</v>
      </c>
      <c r="R1243" s="46">
        <v>6.7409999999999997</v>
      </c>
      <c r="S1243" s="46">
        <v>0</v>
      </c>
      <c r="T1243" s="46">
        <v>0</v>
      </c>
      <c r="U1243" s="46">
        <v>0</v>
      </c>
      <c r="V1243" s="46" t="s">
        <v>62</v>
      </c>
      <c r="W1243" s="46">
        <v>3500</v>
      </c>
      <c r="X1243" s="46">
        <v>6.7409999999999997</v>
      </c>
      <c r="Y1243" s="193">
        <v>6.48</v>
      </c>
      <c r="Z1243" s="194">
        <v>6.7080000000000002</v>
      </c>
      <c r="AA1243" s="194">
        <v>6.9139999999999997</v>
      </c>
      <c r="AB1243" s="46">
        <v>6.41</v>
      </c>
      <c r="AC1243" s="46">
        <v>6.47</v>
      </c>
      <c r="AD1243" s="46">
        <v>6.39</v>
      </c>
      <c r="AE1243" s="46">
        <v>6.47</v>
      </c>
    </row>
    <row r="1244" spans="1:31" x14ac:dyDescent="0.25">
      <c r="A1244" s="136">
        <v>43031</v>
      </c>
      <c r="B1244" s="201" t="s">
        <v>67</v>
      </c>
      <c r="C1244" t="s">
        <v>129</v>
      </c>
      <c r="D1244">
        <v>6050</v>
      </c>
      <c r="E1244">
        <v>6050</v>
      </c>
      <c r="F1244">
        <v>9.016</v>
      </c>
      <c r="G1244">
        <v>-1006.13</v>
      </c>
      <c r="H1244">
        <v>-1.84</v>
      </c>
      <c r="I1244" s="309">
        <v>53542.5</v>
      </c>
      <c r="J1244">
        <v>8.85</v>
      </c>
      <c r="K1244" s="133">
        <v>0.121322842139252</v>
      </c>
      <c r="L1244" s="181">
        <v>184.96</v>
      </c>
      <c r="N1244" s="73">
        <v>31767.0109999999</v>
      </c>
      <c r="O1244" s="73">
        <v>-113.885966384209</v>
      </c>
      <c r="P1244" s="182">
        <v>16</v>
      </c>
      <c r="Q1244" s="182">
        <v>8000</v>
      </c>
      <c r="R1244" s="46">
        <v>6.3570000000000002</v>
      </c>
      <c r="S1244" s="46">
        <v>15</v>
      </c>
      <c r="T1244" s="46">
        <v>6300</v>
      </c>
      <c r="U1244" s="46">
        <v>8.9770000000000003</v>
      </c>
      <c r="V1244" s="46" t="s">
        <v>62</v>
      </c>
      <c r="W1244" s="46">
        <v>1700</v>
      </c>
      <c r="X1244" s="46">
        <v>-3.3519999999999999</v>
      </c>
      <c r="Y1244" s="194">
        <v>8.6690000000000005</v>
      </c>
      <c r="Z1244" s="193">
        <v>9.3160000000000007</v>
      </c>
      <c r="AA1244" s="193">
        <v>9.0709999999999997</v>
      </c>
      <c r="AB1244" s="46">
        <v>8.82</v>
      </c>
      <c r="AC1244" s="46">
        <v>8.86</v>
      </c>
      <c r="AD1244" s="46">
        <v>8.73</v>
      </c>
      <c r="AE1244" s="46">
        <v>8.85</v>
      </c>
    </row>
    <row r="1245" spans="1:31" x14ac:dyDescent="0.25">
      <c r="A1245" s="136">
        <v>43031</v>
      </c>
      <c r="B1245" s="201" t="s">
        <v>72</v>
      </c>
      <c r="C1245" t="s">
        <v>130</v>
      </c>
      <c r="D1245">
        <v>2100</v>
      </c>
      <c r="E1245">
        <v>2100</v>
      </c>
      <c r="F1245">
        <v>8.4559999999999995</v>
      </c>
      <c r="G1245">
        <v>-1146.8800000000001</v>
      </c>
      <c r="H1245">
        <v>-6.46</v>
      </c>
      <c r="I1245" s="309">
        <v>16611</v>
      </c>
      <c r="J1245">
        <v>7.91</v>
      </c>
      <c r="K1245" s="133">
        <v>3.7639141444181998E-2</v>
      </c>
      <c r="L1245" s="181">
        <v>0</v>
      </c>
      <c r="N1245" s="73">
        <v>-1347.5799999999899</v>
      </c>
      <c r="O1245" s="73">
        <v>-142.08422537878499</v>
      </c>
      <c r="P1245" s="182">
        <v>0</v>
      </c>
      <c r="Q1245" s="182">
        <v>0</v>
      </c>
      <c r="R1245" s="46">
        <v>0</v>
      </c>
      <c r="S1245" s="46">
        <v>10</v>
      </c>
      <c r="T1245" s="46">
        <v>5000</v>
      </c>
      <c r="U1245" s="46">
        <v>7.423</v>
      </c>
      <c r="V1245" s="46" t="s">
        <v>68</v>
      </c>
      <c r="W1245" s="46">
        <v>5000</v>
      </c>
      <c r="X1245" s="46">
        <v>7.423</v>
      </c>
    </row>
    <row r="1246" spans="1:31" x14ac:dyDescent="0.25">
      <c r="A1246" s="136">
        <v>43031</v>
      </c>
      <c r="B1246" s="201" t="s">
        <v>70</v>
      </c>
      <c r="C1246" t="s">
        <v>131</v>
      </c>
      <c r="D1246">
        <v>7800</v>
      </c>
      <c r="E1246">
        <v>7800</v>
      </c>
      <c r="F1246">
        <v>12.518000000000001</v>
      </c>
      <c r="G1246">
        <v>-297.45</v>
      </c>
      <c r="H1246">
        <v>-0.3</v>
      </c>
      <c r="I1246" s="309">
        <v>97344</v>
      </c>
      <c r="J1246">
        <v>12.48</v>
      </c>
      <c r="K1246" s="133">
        <v>0.220573390207841</v>
      </c>
      <c r="L1246" s="181">
        <v>780</v>
      </c>
      <c r="N1246" s="73">
        <v>-2095.4300000000198</v>
      </c>
      <c r="O1246" s="73">
        <v>-170.969982448981</v>
      </c>
      <c r="P1246" s="182">
        <v>1</v>
      </c>
      <c r="Q1246" s="182">
        <v>500</v>
      </c>
      <c r="R1246" s="46">
        <v>12.47</v>
      </c>
      <c r="S1246" s="46">
        <v>8</v>
      </c>
      <c r="T1246" s="46">
        <v>3200</v>
      </c>
      <c r="U1246" s="46">
        <v>13.371</v>
      </c>
      <c r="V1246" s="46" t="s">
        <v>68</v>
      </c>
      <c r="W1246" s="46">
        <v>2700</v>
      </c>
      <c r="X1246" s="46">
        <v>13.538</v>
      </c>
      <c r="Y1246" s="194">
        <v>12.375</v>
      </c>
      <c r="Z1246" s="194">
        <v>12.738</v>
      </c>
      <c r="AA1246" s="194">
        <v>12.689</v>
      </c>
      <c r="AB1246" s="46">
        <v>12.38</v>
      </c>
      <c r="AC1246" s="46">
        <v>12.5</v>
      </c>
      <c r="AD1246" s="46">
        <v>12.32</v>
      </c>
      <c r="AE1246" s="46">
        <v>12.48</v>
      </c>
    </row>
    <row r="1247" spans="1:31" x14ac:dyDescent="0.25">
      <c r="A1247" s="136">
        <v>43031</v>
      </c>
      <c r="B1247" s="201" t="s">
        <v>137</v>
      </c>
      <c r="C1247" t="s">
        <v>138</v>
      </c>
      <c r="D1247">
        <v>100</v>
      </c>
      <c r="E1247">
        <v>100</v>
      </c>
      <c r="F1247">
        <v>-130.48500000000001</v>
      </c>
      <c r="G1247">
        <v>18117.5</v>
      </c>
      <c r="H1247">
        <v>0</v>
      </c>
      <c r="I1247" s="309">
        <v>5069</v>
      </c>
      <c r="J1247">
        <v>50.69</v>
      </c>
      <c r="K1247" s="133">
        <v>1.14859314900101E-2</v>
      </c>
      <c r="L1247" s="181">
        <v>81</v>
      </c>
    </row>
    <row r="1248" spans="1:31" x14ac:dyDescent="0.25">
      <c r="A1248" s="136">
        <v>43031</v>
      </c>
      <c r="B1248" s="201" t="s">
        <v>835</v>
      </c>
      <c r="C1248" t="s">
        <v>839</v>
      </c>
      <c r="I1248" s="309">
        <v>19558.32</v>
      </c>
      <c r="K1248" s="133">
        <v>4.4317522899920102E-2</v>
      </c>
      <c r="L1248" s="181">
        <v>0</v>
      </c>
    </row>
    <row r="1249" spans="1:31" x14ac:dyDescent="0.25">
      <c r="A1249" s="136">
        <v>43032</v>
      </c>
      <c r="B1249" s="201" t="s">
        <v>132</v>
      </c>
      <c r="C1249" t="s">
        <v>123</v>
      </c>
      <c r="D1249">
        <v>6039868</v>
      </c>
      <c r="E1249">
        <v>6039868</v>
      </c>
      <c r="F1249">
        <v>0.01</v>
      </c>
      <c r="G1249">
        <v>2668.17</v>
      </c>
      <c r="H1249">
        <v>0</v>
      </c>
      <c r="I1249" s="309">
        <v>60398.68</v>
      </c>
      <c r="J1249">
        <v>0.01</v>
      </c>
      <c r="K1249" s="133">
        <v>0.136541245592182</v>
      </c>
      <c r="L1249" s="181">
        <v>0</v>
      </c>
    </row>
    <row r="1250" spans="1:31" x14ac:dyDescent="0.25">
      <c r="A1250" s="136">
        <v>43032</v>
      </c>
      <c r="B1250" s="201" t="s">
        <v>61</v>
      </c>
      <c r="C1250" t="s">
        <v>136</v>
      </c>
      <c r="D1250">
        <v>2900</v>
      </c>
      <c r="E1250">
        <v>2900</v>
      </c>
      <c r="F1250">
        <v>5.3490000000000002</v>
      </c>
      <c r="G1250">
        <v>-170.24</v>
      </c>
      <c r="H1250">
        <v>-1.1000000000000001</v>
      </c>
      <c r="I1250" s="309">
        <v>15341</v>
      </c>
      <c r="J1250">
        <v>5.29</v>
      </c>
      <c r="K1250" s="133">
        <v>3.4680877936896302E-2</v>
      </c>
      <c r="L1250" s="181">
        <v>-58</v>
      </c>
      <c r="N1250" s="73">
        <v>-144.28800000000001</v>
      </c>
      <c r="O1250" s="73">
        <v>-27.210538867924601</v>
      </c>
      <c r="P1250" s="182">
        <v>5</v>
      </c>
      <c r="Q1250" s="182">
        <v>2500</v>
      </c>
      <c r="R1250" s="46">
        <v>5.3659999999999997</v>
      </c>
      <c r="S1250" s="46">
        <v>0</v>
      </c>
      <c r="T1250" s="46">
        <v>0</v>
      </c>
      <c r="U1250" s="46">
        <v>0</v>
      </c>
      <c r="V1250" s="46" t="s">
        <v>62</v>
      </c>
      <c r="W1250" s="46">
        <v>2500</v>
      </c>
      <c r="X1250" s="46">
        <v>5.3659999999999997</v>
      </c>
    </row>
    <row r="1251" spans="1:31" x14ac:dyDescent="0.25">
      <c r="A1251" s="136">
        <v>43032</v>
      </c>
      <c r="B1251" s="201" t="s">
        <v>124</v>
      </c>
      <c r="C1251" t="s">
        <v>125</v>
      </c>
      <c r="D1251">
        <v>100</v>
      </c>
      <c r="E1251">
        <v>100</v>
      </c>
      <c r="F1251">
        <v>-53.579000000000001</v>
      </c>
      <c r="G1251">
        <v>5980.9</v>
      </c>
      <c r="H1251">
        <v>0</v>
      </c>
      <c r="I1251" s="309">
        <v>623</v>
      </c>
      <c r="J1251">
        <v>6.23</v>
      </c>
      <c r="K1251" s="133">
        <v>1.4083949517428101E-3</v>
      </c>
      <c r="L1251" s="181">
        <v>4</v>
      </c>
      <c r="N1251" s="73">
        <v>5995.0890000000099</v>
      </c>
      <c r="O1251" s="73">
        <v>1102.4501845505599</v>
      </c>
      <c r="P1251" s="182">
        <v>0</v>
      </c>
      <c r="Q1251" s="182">
        <v>0</v>
      </c>
      <c r="R1251" s="46">
        <v>0</v>
      </c>
      <c r="S1251" s="46">
        <v>5</v>
      </c>
      <c r="T1251" s="46">
        <v>2300</v>
      </c>
      <c r="U1251" s="46">
        <v>4.99</v>
      </c>
      <c r="V1251" s="46" t="s">
        <v>68</v>
      </c>
      <c r="W1251" s="46">
        <v>2300</v>
      </c>
      <c r="X1251" s="46">
        <v>4.99</v>
      </c>
      <c r="Y1251" s="193">
        <v>6.3780000000000001</v>
      </c>
      <c r="Z1251" s="193">
        <v>5.3959999999999999</v>
      </c>
      <c r="AA1251" s="193">
        <v>5.6260000000000003</v>
      </c>
      <c r="AB1251" s="46">
        <v>6.19</v>
      </c>
      <c r="AC1251" s="46">
        <v>6.25</v>
      </c>
      <c r="AD1251" s="46">
        <v>6.18</v>
      </c>
      <c r="AE1251" s="46">
        <v>6.23</v>
      </c>
    </row>
    <row r="1252" spans="1:31" x14ac:dyDescent="0.25">
      <c r="A1252" s="136">
        <v>43032</v>
      </c>
      <c r="B1252" s="201" t="s">
        <v>71</v>
      </c>
      <c r="C1252" t="s">
        <v>126</v>
      </c>
      <c r="D1252">
        <v>4200</v>
      </c>
      <c r="E1252">
        <v>4200</v>
      </c>
      <c r="F1252">
        <v>6.11</v>
      </c>
      <c r="G1252">
        <v>1177.47</v>
      </c>
      <c r="H1252">
        <v>4.58</v>
      </c>
      <c r="I1252" s="309">
        <v>26838</v>
      </c>
      <c r="J1252">
        <v>6.39</v>
      </c>
      <c r="K1252" s="133">
        <v>6.0671755561594501E-2</v>
      </c>
      <c r="L1252" s="181">
        <v>168</v>
      </c>
      <c r="N1252" s="73">
        <v>1293.67200000001</v>
      </c>
      <c r="O1252" s="73">
        <v>233.109353013912</v>
      </c>
      <c r="P1252" s="182">
        <v>4</v>
      </c>
      <c r="Q1252" s="182">
        <v>2000</v>
      </c>
      <c r="R1252" s="46">
        <v>6.4180000000000001</v>
      </c>
      <c r="S1252" s="46">
        <v>0</v>
      </c>
      <c r="T1252" s="46">
        <v>0</v>
      </c>
      <c r="U1252" s="46">
        <v>0</v>
      </c>
      <c r="V1252" s="46" t="s">
        <v>62</v>
      </c>
      <c r="W1252" s="46">
        <v>2000</v>
      </c>
      <c r="X1252" s="46">
        <v>6.4180000000000001</v>
      </c>
      <c r="Y1252" s="193">
        <v>6.3959999999999999</v>
      </c>
      <c r="Z1252" s="194">
        <v>6.5960000000000001</v>
      </c>
      <c r="AA1252" s="194">
        <v>6.68</v>
      </c>
      <c r="AB1252" s="46">
        <v>6.34</v>
      </c>
      <c r="AC1252" s="46">
        <v>6.4</v>
      </c>
      <c r="AD1252" s="46">
        <v>6.33</v>
      </c>
      <c r="AE1252" s="46">
        <v>6.39</v>
      </c>
    </row>
    <row r="1253" spans="1:31" x14ac:dyDescent="0.25">
      <c r="A1253" s="136">
        <v>43032</v>
      </c>
      <c r="B1253" s="201" t="s">
        <v>65</v>
      </c>
      <c r="C1253" t="s">
        <v>127</v>
      </c>
      <c r="D1253">
        <v>8600</v>
      </c>
      <c r="E1253">
        <v>8600</v>
      </c>
      <c r="F1253">
        <v>10.032999999999999</v>
      </c>
      <c r="G1253">
        <v>16912.080000000002</v>
      </c>
      <c r="H1253">
        <v>19.61</v>
      </c>
      <c r="I1253" s="309">
        <v>103200</v>
      </c>
      <c r="J1253">
        <v>12</v>
      </c>
      <c r="K1253" s="133">
        <v>0.233300736789498</v>
      </c>
      <c r="L1253" s="181">
        <v>1563.01</v>
      </c>
      <c r="N1253" s="73">
        <v>13145.645</v>
      </c>
      <c r="O1253" s="73">
        <v>1444.3188143242101</v>
      </c>
      <c r="P1253" s="182">
        <v>0</v>
      </c>
      <c r="Q1253" s="182">
        <v>0</v>
      </c>
      <c r="R1253" s="46">
        <v>0</v>
      </c>
      <c r="S1253" s="46">
        <v>19</v>
      </c>
      <c r="T1253" s="46">
        <v>8200</v>
      </c>
      <c r="U1253" s="46">
        <v>12.412000000000001</v>
      </c>
      <c r="V1253" s="46" t="s">
        <v>68</v>
      </c>
      <c r="W1253" s="46">
        <v>8200</v>
      </c>
      <c r="X1253" s="46">
        <v>12.412000000000001</v>
      </c>
      <c r="Y1253" s="193">
        <v>12.071</v>
      </c>
      <c r="Z1253" s="194">
        <v>11.676</v>
      </c>
      <c r="AA1253" s="194">
        <v>11.952999999999999</v>
      </c>
      <c r="AB1253" s="46">
        <v>11.84</v>
      </c>
      <c r="AC1253" s="46">
        <v>12.12</v>
      </c>
      <c r="AD1253" s="46">
        <v>11.79</v>
      </c>
      <c r="AE1253" s="46">
        <v>12</v>
      </c>
    </row>
    <row r="1254" spans="1:31" x14ac:dyDescent="0.25">
      <c r="A1254" s="136">
        <v>43032</v>
      </c>
      <c r="B1254" s="201" t="s">
        <v>77</v>
      </c>
      <c r="C1254" t="s">
        <v>128</v>
      </c>
      <c r="D1254">
        <v>4100</v>
      </c>
      <c r="E1254">
        <v>4100</v>
      </c>
      <c r="F1254">
        <v>6.0810000000000004</v>
      </c>
      <c r="G1254">
        <v>1431.79</v>
      </c>
      <c r="H1254">
        <v>5.74</v>
      </c>
      <c r="I1254" s="309">
        <v>26363</v>
      </c>
      <c r="J1254">
        <v>6.43</v>
      </c>
      <c r="K1254" s="133">
        <v>5.9597939185867699E-2</v>
      </c>
      <c r="L1254" s="181">
        <v>-164</v>
      </c>
      <c r="N1254" s="73">
        <v>803.84199999999703</v>
      </c>
      <c r="O1254" s="73">
        <v>203.62344984375</v>
      </c>
      <c r="P1254" s="182">
        <v>7</v>
      </c>
      <c r="Q1254" s="182">
        <v>3500</v>
      </c>
      <c r="R1254" s="46">
        <v>6.7409999999999997</v>
      </c>
      <c r="S1254" s="46">
        <v>0</v>
      </c>
      <c r="T1254" s="46">
        <v>0</v>
      </c>
      <c r="U1254" s="46">
        <v>0</v>
      </c>
      <c r="V1254" s="46" t="s">
        <v>62</v>
      </c>
      <c r="W1254" s="46">
        <v>3500</v>
      </c>
      <c r="X1254" s="46">
        <v>6.7409999999999997</v>
      </c>
      <c r="Y1254" s="194">
        <v>6.4059999999999997</v>
      </c>
      <c r="Z1254" s="194">
        <v>6.5810000000000004</v>
      </c>
      <c r="AA1254" s="194">
        <v>6.907</v>
      </c>
      <c r="AB1254" s="46">
        <v>6.46</v>
      </c>
      <c r="AC1254" s="46">
        <v>6.46</v>
      </c>
      <c r="AD1254" s="46">
        <v>6.4</v>
      </c>
      <c r="AE1254" s="46">
        <v>6.43</v>
      </c>
    </row>
    <row r="1255" spans="1:31" x14ac:dyDescent="0.25">
      <c r="A1255" s="136">
        <v>43032</v>
      </c>
      <c r="B1255" s="201" t="s">
        <v>67</v>
      </c>
      <c r="C1255" t="s">
        <v>129</v>
      </c>
      <c r="D1255">
        <v>6050</v>
      </c>
      <c r="E1255">
        <v>6050</v>
      </c>
      <c r="F1255">
        <v>9.016</v>
      </c>
      <c r="G1255">
        <v>-1006.13</v>
      </c>
      <c r="H1255">
        <v>-1.84</v>
      </c>
      <c r="I1255" s="309">
        <v>53542.5</v>
      </c>
      <c r="J1255">
        <v>8.85</v>
      </c>
      <c r="K1255" s="133">
        <v>0.121041712204958</v>
      </c>
      <c r="L1255" s="181">
        <v>0</v>
      </c>
      <c r="N1255" s="73">
        <v>31767.0109999999</v>
      </c>
      <c r="O1255" s="73">
        <v>-113.885966384209</v>
      </c>
      <c r="P1255" s="182">
        <v>16</v>
      </c>
      <c r="Q1255" s="182">
        <v>8000</v>
      </c>
      <c r="R1255" s="46">
        <v>6.3570000000000002</v>
      </c>
      <c r="S1255" s="46">
        <v>15</v>
      </c>
      <c r="T1255" s="46">
        <v>6300</v>
      </c>
      <c r="U1255" s="46">
        <v>8.9770000000000003</v>
      </c>
      <c r="V1255" s="46" t="s">
        <v>62</v>
      </c>
      <c r="W1255" s="46">
        <v>1700</v>
      </c>
      <c r="X1255" s="46">
        <v>-3.3519999999999999</v>
      </c>
      <c r="Y1255" s="194">
        <v>8.8149999999999995</v>
      </c>
      <c r="Z1255" s="193">
        <v>9.3369999999999997</v>
      </c>
      <c r="AA1255" s="193">
        <v>9.0690000000000008</v>
      </c>
      <c r="AB1255" s="46">
        <v>8.8800000000000008</v>
      </c>
      <c r="AC1255" s="46">
        <v>8.91</v>
      </c>
      <c r="AD1255" s="46">
        <v>8.81</v>
      </c>
      <c r="AE1255" s="46">
        <v>8.8000000000000007</v>
      </c>
    </row>
    <row r="1256" spans="1:31" x14ac:dyDescent="0.25">
      <c r="A1256" s="136">
        <v>43032</v>
      </c>
      <c r="B1256" s="201" t="s">
        <v>78</v>
      </c>
      <c r="C1256" t="s">
        <v>142</v>
      </c>
      <c r="D1256">
        <v>500</v>
      </c>
      <c r="E1256">
        <v>0</v>
      </c>
      <c r="F1256">
        <v>11.57</v>
      </c>
      <c r="G1256">
        <v>20</v>
      </c>
      <c r="H1256">
        <v>0.35</v>
      </c>
      <c r="I1256" s="309">
        <v>5805</v>
      </c>
      <c r="J1256">
        <v>11.61</v>
      </c>
      <c r="K1256" s="133">
        <v>1.31231664444093E-2</v>
      </c>
    </row>
    <row r="1257" spans="1:31" x14ac:dyDescent="0.25">
      <c r="A1257" s="136">
        <v>43032</v>
      </c>
      <c r="B1257" s="201" t="s">
        <v>72</v>
      </c>
      <c r="C1257" t="s">
        <v>130</v>
      </c>
      <c r="D1257">
        <v>2100</v>
      </c>
      <c r="E1257">
        <v>2100</v>
      </c>
      <c r="F1257">
        <v>8.4559999999999995</v>
      </c>
      <c r="G1257">
        <v>-1146.8800000000001</v>
      </c>
      <c r="H1257">
        <v>-6.46</v>
      </c>
      <c r="I1257" s="309">
        <v>16611</v>
      </c>
      <c r="J1257">
        <v>7.91</v>
      </c>
      <c r="K1257" s="133">
        <v>3.7551923825681802E-2</v>
      </c>
      <c r="L1257" s="181">
        <v>0</v>
      </c>
      <c r="N1257" s="73">
        <v>-1347.5799999999899</v>
      </c>
      <c r="O1257" s="73">
        <v>-142.08422537878499</v>
      </c>
      <c r="P1257" s="182">
        <v>0</v>
      </c>
      <c r="Q1257" s="182">
        <v>0</v>
      </c>
      <c r="R1257" s="46">
        <v>0</v>
      </c>
      <c r="S1257" s="46">
        <v>10</v>
      </c>
      <c r="T1257" s="46">
        <v>5000</v>
      </c>
      <c r="U1257" s="46">
        <v>7.423</v>
      </c>
      <c r="V1257" s="46" t="s">
        <v>68</v>
      </c>
      <c r="W1257" s="46">
        <v>5000</v>
      </c>
      <c r="X1257" s="46">
        <v>7.423</v>
      </c>
    </row>
    <row r="1258" spans="1:31" x14ac:dyDescent="0.25">
      <c r="A1258" s="136">
        <v>43032</v>
      </c>
      <c r="B1258" s="201" t="s">
        <v>70</v>
      </c>
      <c r="C1258" t="s">
        <v>131</v>
      </c>
      <c r="D1258">
        <v>7800</v>
      </c>
      <c r="E1258">
        <v>7400</v>
      </c>
      <c r="F1258">
        <v>12.518000000000001</v>
      </c>
      <c r="G1258">
        <v>-453.45</v>
      </c>
      <c r="H1258">
        <v>-0.46</v>
      </c>
      <c r="I1258" s="309">
        <v>97188</v>
      </c>
      <c r="J1258">
        <v>12.46</v>
      </c>
      <c r="K1258" s="133">
        <v>0.21970961247187801</v>
      </c>
      <c r="L1258" s="181">
        <v>-156</v>
      </c>
      <c r="N1258" s="73">
        <v>-2095.4300000000198</v>
      </c>
      <c r="O1258" s="73">
        <v>-170.969982448981</v>
      </c>
      <c r="P1258" s="182">
        <v>1</v>
      </c>
      <c r="Q1258" s="182">
        <v>500</v>
      </c>
      <c r="R1258" s="46">
        <v>12.47</v>
      </c>
      <c r="S1258" s="46">
        <v>8</v>
      </c>
      <c r="T1258" s="46">
        <v>3200</v>
      </c>
      <c r="U1258" s="46">
        <v>13.371</v>
      </c>
      <c r="V1258" s="46" t="s">
        <v>68</v>
      </c>
      <c r="W1258" s="46">
        <v>2700</v>
      </c>
      <c r="X1258" s="46">
        <v>13.538</v>
      </c>
      <c r="Y1258" s="193">
        <v>12.519</v>
      </c>
      <c r="Z1258" s="194">
        <v>12.741</v>
      </c>
      <c r="AA1258" s="194">
        <v>12.685</v>
      </c>
      <c r="AB1258" s="46">
        <v>12.5</v>
      </c>
      <c r="AC1258" s="46">
        <v>12.54</v>
      </c>
      <c r="AD1258" s="46">
        <v>12.39</v>
      </c>
      <c r="AE1258" s="46">
        <v>12.46</v>
      </c>
    </row>
    <row r="1259" spans="1:31" x14ac:dyDescent="0.25">
      <c r="A1259" s="136">
        <v>43032</v>
      </c>
      <c r="B1259" s="201" t="s">
        <v>137</v>
      </c>
      <c r="C1259" t="s">
        <v>138</v>
      </c>
      <c r="D1259">
        <v>100</v>
      </c>
      <c r="E1259">
        <v>100</v>
      </c>
      <c r="F1259">
        <v>-130.48500000000001</v>
      </c>
      <c r="G1259">
        <v>17765.5</v>
      </c>
      <c r="H1259">
        <v>0</v>
      </c>
      <c r="I1259" s="309">
        <v>4717</v>
      </c>
      <c r="J1259">
        <v>47.17</v>
      </c>
      <c r="K1259" s="133">
        <v>1.0663561777481199E-2</v>
      </c>
      <c r="L1259" s="181">
        <v>-352</v>
      </c>
    </row>
    <row r="1260" spans="1:31" x14ac:dyDescent="0.25">
      <c r="A1260" s="136">
        <v>43032</v>
      </c>
      <c r="B1260" s="201" t="s">
        <v>835</v>
      </c>
      <c r="C1260" t="s">
        <v>839</v>
      </c>
      <c r="I1260" s="309">
        <v>31720.33</v>
      </c>
      <c r="K1260" s="133">
        <v>7.1709073257810396E-2</v>
      </c>
      <c r="L1260" s="181">
        <v>0</v>
      </c>
    </row>
    <row r="1261" spans="1:31" x14ac:dyDescent="0.25">
      <c r="A1261" s="136">
        <v>43033</v>
      </c>
      <c r="B1261" s="201" t="s">
        <v>65</v>
      </c>
      <c r="C1261" t="s">
        <v>127</v>
      </c>
      <c r="D1261">
        <v>8600</v>
      </c>
      <c r="E1261">
        <v>8600</v>
      </c>
      <c r="F1261">
        <v>10.032999999999999</v>
      </c>
      <c r="G1261">
        <v>17084.080000000002</v>
      </c>
      <c r="H1261">
        <v>19.809999999999999</v>
      </c>
      <c r="I1261" s="309">
        <v>103372</v>
      </c>
      <c r="J1261">
        <v>12.02</v>
      </c>
      <c r="K1261" s="133">
        <v>0.23255759018575101</v>
      </c>
      <c r="L1261" s="181">
        <v>172</v>
      </c>
      <c r="N1261" s="73">
        <v>13145.645</v>
      </c>
      <c r="O1261" s="73">
        <v>1444.3188143242101</v>
      </c>
      <c r="P1261" s="182">
        <v>0</v>
      </c>
      <c r="Q1261" s="182">
        <v>0</v>
      </c>
      <c r="R1261" s="46">
        <v>0</v>
      </c>
      <c r="S1261" s="46">
        <v>19</v>
      </c>
      <c r="T1261" s="46">
        <v>8200</v>
      </c>
      <c r="U1261" s="46">
        <v>12.412000000000001</v>
      </c>
      <c r="V1261" s="46" t="s">
        <v>68</v>
      </c>
      <c r="W1261" s="46">
        <v>8200</v>
      </c>
      <c r="X1261" s="46">
        <v>12.412000000000001</v>
      </c>
      <c r="Y1261" s="193">
        <v>12.151999999999999</v>
      </c>
      <c r="Z1261" s="194">
        <v>11.662000000000001</v>
      </c>
      <c r="AA1261" s="194">
        <v>11.955</v>
      </c>
      <c r="AB1261" s="46">
        <v>12.05</v>
      </c>
      <c r="AC1261" s="46">
        <v>12.14</v>
      </c>
      <c r="AD1261" s="46">
        <v>11.96</v>
      </c>
      <c r="AE1261" s="46">
        <v>12.02</v>
      </c>
    </row>
    <row r="1262" spans="1:31" x14ac:dyDescent="0.25">
      <c r="A1262" s="136">
        <v>43033</v>
      </c>
      <c r="B1262" s="201" t="s">
        <v>77</v>
      </c>
      <c r="C1262" t="s">
        <v>128</v>
      </c>
      <c r="D1262">
        <v>3700</v>
      </c>
      <c r="E1262">
        <v>3700</v>
      </c>
      <c r="F1262">
        <v>6.0250000000000004</v>
      </c>
      <c r="G1262">
        <v>1981.14</v>
      </c>
      <c r="H1262">
        <v>8.8800000000000008</v>
      </c>
      <c r="I1262" s="309">
        <v>24272</v>
      </c>
      <c r="J1262">
        <v>6.56</v>
      </c>
      <c r="K1262" s="133">
        <v>5.4605094503236397E-2</v>
      </c>
      <c r="L1262" s="181">
        <v>549.35</v>
      </c>
      <c r="N1262" s="73">
        <v>1698.194</v>
      </c>
      <c r="O1262" s="73">
        <v>331.88744758308098</v>
      </c>
      <c r="P1262" s="182">
        <v>7</v>
      </c>
      <c r="Q1262" s="182">
        <v>3500</v>
      </c>
      <c r="R1262" s="46">
        <v>6.7409999999999997</v>
      </c>
      <c r="S1262" s="46">
        <v>1</v>
      </c>
      <c r="T1262" s="46">
        <v>400</v>
      </c>
      <c r="U1262" s="46">
        <v>6.62</v>
      </c>
      <c r="V1262" s="46" t="s">
        <v>62</v>
      </c>
      <c r="W1262" s="46">
        <v>3100</v>
      </c>
      <c r="X1262" s="46">
        <v>6.7569999999999997</v>
      </c>
      <c r="Y1262" s="193">
        <v>6.5540000000000003</v>
      </c>
      <c r="Z1262" s="194">
        <v>6.6219999999999999</v>
      </c>
      <c r="AA1262" s="194">
        <v>6.8970000000000002</v>
      </c>
      <c r="AB1262" s="46">
        <v>6.41</v>
      </c>
      <c r="AC1262" s="46">
        <v>6.65</v>
      </c>
      <c r="AD1262" s="46">
        <v>6.41</v>
      </c>
      <c r="AE1262" s="46">
        <v>6.56</v>
      </c>
    </row>
    <row r="1263" spans="1:31" x14ac:dyDescent="0.25">
      <c r="A1263" s="136">
        <v>43033</v>
      </c>
      <c r="B1263" s="201" t="s">
        <v>67</v>
      </c>
      <c r="C1263" t="s">
        <v>129</v>
      </c>
      <c r="D1263">
        <v>5650</v>
      </c>
      <c r="E1263">
        <v>5650</v>
      </c>
      <c r="F1263">
        <v>9.0180000000000007</v>
      </c>
      <c r="G1263">
        <v>-42.74</v>
      </c>
      <c r="H1263">
        <v>-0.09</v>
      </c>
      <c r="I1263" s="309">
        <v>50906.5</v>
      </c>
      <c r="J1263">
        <v>9.01</v>
      </c>
      <c r="K1263" s="133">
        <v>0.114525141864247</v>
      </c>
      <c r="L1263" s="181">
        <v>963.39</v>
      </c>
      <c r="N1263" s="73">
        <v>32786.902999999897</v>
      </c>
      <c r="O1263" s="73">
        <v>1.27397466737788</v>
      </c>
      <c r="P1263" s="182">
        <v>15</v>
      </c>
      <c r="Q1263" s="182">
        <v>7500</v>
      </c>
      <c r="R1263" s="46">
        <v>6.181</v>
      </c>
      <c r="S1263" s="46">
        <v>15</v>
      </c>
      <c r="T1263" s="46">
        <v>6300</v>
      </c>
      <c r="U1263" s="46">
        <v>8.9770000000000003</v>
      </c>
      <c r="V1263" s="46" t="s">
        <v>62</v>
      </c>
      <c r="W1263" s="46">
        <v>1200</v>
      </c>
      <c r="X1263" s="46">
        <v>-8.4979999999999993</v>
      </c>
      <c r="Y1263" s="193">
        <v>9.0009999999999994</v>
      </c>
      <c r="Z1263" s="193">
        <v>9.3149999999999995</v>
      </c>
      <c r="AA1263" s="193">
        <v>9.0679999999999996</v>
      </c>
      <c r="AB1263" s="46">
        <v>8.83</v>
      </c>
      <c r="AC1263" s="46">
        <v>9.08</v>
      </c>
      <c r="AD1263" s="46">
        <v>8.83</v>
      </c>
      <c r="AE1263" s="46">
        <v>9.01</v>
      </c>
    </row>
    <row r="1264" spans="1:31" x14ac:dyDescent="0.25">
      <c r="A1264" s="136">
        <v>43033</v>
      </c>
      <c r="B1264" s="201" t="s">
        <v>78</v>
      </c>
      <c r="C1264" t="s">
        <v>142</v>
      </c>
      <c r="D1264">
        <v>100</v>
      </c>
      <c r="E1264">
        <v>100</v>
      </c>
      <c r="F1264">
        <v>10.987</v>
      </c>
      <c r="G1264">
        <v>104.3</v>
      </c>
      <c r="H1264">
        <v>9.49</v>
      </c>
      <c r="I1264" s="309">
        <v>1203</v>
      </c>
      <c r="J1264">
        <v>12.03</v>
      </c>
      <c r="K1264" s="133">
        <v>2.70640774091107E-3</v>
      </c>
      <c r="L1264" s="181">
        <v>84.3</v>
      </c>
      <c r="N1264" s="73">
        <v>75.304000000000102</v>
      </c>
      <c r="O1264" s="73">
        <v>6.41110289608178</v>
      </c>
      <c r="P1264" s="182">
        <v>1</v>
      </c>
      <c r="Q1264" s="182">
        <v>500</v>
      </c>
      <c r="R1264" s="46">
        <v>11.56</v>
      </c>
      <c r="S1264" s="46">
        <v>1</v>
      </c>
      <c r="T1264" s="46">
        <v>400</v>
      </c>
      <c r="U1264" s="46">
        <v>11.74</v>
      </c>
      <c r="V1264" s="46" t="s">
        <v>62</v>
      </c>
      <c r="W1264" s="46">
        <v>100</v>
      </c>
      <c r="X1264" s="46">
        <v>10.84</v>
      </c>
    </row>
    <row r="1265" spans="1:31" x14ac:dyDescent="0.25">
      <c r="A1265" s="136">
        <v>43033</v>
      </c>
      <c r="B1265" s="201" t="s">
        <v>72</v>
      </c>
      <c r="C1265" t="s">
        <v>130</v>
      </c>
      <c r="D1265">
        <v>2100</v>
      </c>
      <c r="E1265">
        <v>2100</v>
      </c>
      <c r="F1265">
        <v>8.4559999999999995</v>
      </c>
      <c r="G1265">
        <v>-1146.8800000000001</v>
      </c>
      <c r="H1265">
        <v>-6.46</v>
      </c>
      <c r="I1265" s="309">
        <v>16611</v>
      </c>
      <c r="J1265">
        <v>7.91</v>
      </c>
      <c r="K1265" s="133">
        <v>3.7370024093328097E-2</v>
      </c>
      <c r="L1265" s="181">
        <v>0</v>
      </c>
      <c r="N1265" s="73">
        <v>-1347.5799999999899</v>
      </c>
      <c r="O1265" s="73">
        <v>-142.08422537878499</v>
      </c>
      <c r="P1265" s="182">
        <v>0</v>
      </c>
      <c r="Q1265" s="182">
        <v>0</v>
      </c>
      <c r="R1265" s="46">
        <v>0</v>
      </c>
      <c r="S1265" s="46">
        <v>10</v>
      </c>
      <c r="T1265" s="46">
        <v>5000</v>
      </c>
      <c r="U1265" s="46">
        <v>7.423</v>
      </c>
      <c r="V1265" s="46" t="s">
        <v>68</v>
      </c>
      <c r="W1265" s="46">
        <v>5000</v>
      </c>
      <c r="X1265" s="46">
        <v>7.423</v>
      </c>
    </row>
    <row r="1266" spans="1:31" x14ac:dyDescent="0.25">
      <c r="A1266" s="136">
        <v>43033</v>
      </c>
      <c r="B1266" s="201" t="s">
        <v>70</v>
      </c>
      <c r="C1266" t="s">
        <v>131</v>
      </c>
      <c r="D1266">
        <v>7400</v>
      </c>
      <c r="E1266">
        <v>7400</v>
      </c>
      <c r="F1266">
        <v>12.519</v>
      </c>
      <c r="G1266">
        <v>-139.46</v>
      </c>
      <c r="H1266">
        <v>-0.15</v>
      </c>
      <c r="I1266" s="309">
        <v>92500</v>
      </c>
      <c r="J1266">
        <v>12.5</v>
      </c>
      <c r="K1266" s="133">
        <v>0.20809868332026099</v>
      </c>
      <c r="L1266" s="181">
        <v>313.99</v>
      </c>
      <c r="N1266" s="73">
        <v>78.557999999975394</v>
      </c>
      <c r="O1266" s="73">
        <v>6.2664581803651602</v>
      </c>
      <c r="P1266" s="182">
        <v>1</v>
      </c>
      <c r="Q1266" s="182">
        <v>500</v>
      </c>
      <c r="R1266" s="46">
        <v>12.47</v>
      </c>
      <c r="S1266" s="46">
        <v>9</v>
      </c>
      <c r="T1266" s="46">
        <v>3600</v>
      </c>
      <c r="U1266" s="46">
        <v>13.278</v>
      </c>
      <c r="V1266" s="46" t="s">
        <v>68</v>
      </c>
      <c r="W1266" s="46">
        <v>3100</v>
      </c>
      <c r="X1266" s="46">
        <v>13.407999999999999</v>
      </c>
      <c r="Y1266" s="194">
        <v>12.396000000000001</v>
      </c>
      <c r="Z1266" s="194">
        <v>12.738</v>
      </c>
      <c r="AA1266" s="194">
        <v>12.683999999999999</v>
      </c>
      <c r="AB1266" s="46">
        <v>12.53</v>
      </c>
      <c r="AC1266" s="46">
        <v>12.54</v>
      </c>
      <c r="AD1266" s="46">
        <v>12.42</v>
      </c>
      <c r="AE1266" s="46">
        <v>12.5</v>
      </c>
    </row>
    <row r="1267" spans="1:31" x14ac:dyDescent="0.25">
      <c r="A1267" s="136">
        <v>43033</v>
      </c>
      <c r="B1267" s="201" t="s">
        <v>137</v>
      </c>
      <c r="C1267" t="s">
        <v>138</v>
      </c>
      <c r="D1267">
        <v>100</v>
      </c>
      <c r="E1267">
        <v>100</v>
      </c>
      <c r="F1267">
        <v>-130.48500000000001</v>
      </c>
      <c r="G1267">
        <v>17892.5</v>
      </c>
      <c r="H1267">
        <v>0</v>
      </c>
      <c r="I1267" s="309">
        <v>4844</v>
      </c>
      <c r="J1267">
        <v>48.44</v>
      </c>
      <c r="K1267" s="133">
        <v>1.0897621859495599E-2</v>
      </c>
      <c r="L1267" s="181">
        <v>127</v>
      </c>
    </row>
    <row r="1268" spans="1:31" x14ac:dyDescent="0.25">
      <c r="A1268" s="136">
        <v>43033</v>
      </c>
      <c r="B1268" s="201" t="s">
        <v>132</v>
      </c>
      <c r="C1268" t="s">
        <v>123</v>
      </c>
      <c r="D1268">
        <v>10040379</v>
      </c>
      <c r="E1268">
        <v>6040379</v>
      </c>
      <c r="F1268">
        <v>0.01</v>
      </c>
      <c r="G1268">
        <v>2673.28</v>
      </c>
      <c r="H1268">
        <v>0</v>
      </c>
      <c r="I1268" s="309">
        <v>100403.79</v>
      </c>
      <c r="J1268">
        <v>0.01</v>
      </c>
      <c r="K1268" s="133">
        <v>0.225879962155286</v>
      </c>
      <c r="L1268" s="181">
        <v>5.11000000000013</v>
      </c>
    </row>
    <row r="1269" spans="1:31" x14ac:dyDescent="0.25">
      <c r="A1269" s="136">
        <v>43033</v>
      </c>
      <c r="B1269" s="201" t="s">
        <v>61</v>
      </c>
      <c r="C1269" t="s">
        <v>136</v>
      </c>
      <c r="D1269">
        <v>2900</v>
      </c>
      <c r="E1269">
        <v>2900</v>
      </c>
      <c r="F1269">
        <v>5.3490000000000002</v>
      </c>
      <c r="G1269">
        <v>-141.24</v>
      </c>
      <c r="H1269">
        <v>-0.92</v>
      </c>
      <c r="I1269" s="309">
        <v>15370</v>
      </c>
      <c r="J1269">
        <v>5.3</v>
      </c>
      <c r="K1269" s="133">
        <v>3.4578127163593597E-2</v>
      </c>
      <c r="L1269" s="181">
        <v>29</v>
      </c>
      <c r="N1269" s="73">
        <v>-144.28800000000001</v>
      </c>
      <c r="O1269" s="73">
        <v>-27.210538867924601</v>
      </c>
      <c r="P1269" s="182">
        <v>5</v>
      </c>
      <c r="Q1269" s="182">
        <v>2500</v>
      </c>
      <c r="R1269" s="46">
        <v>5.3659999999999997</v>
      </c>
      <c r="S1269" s="46">
        <v>0</v>
      </c>
      <c r="T1269" s="46">
        <v>0</v>
      </c>
      <c r="U1269" s="46">
        <v>0</v>
      </c>
      <c r="V1269" s="46" t="s">
        <v>62</v>
      </c>
      <c r="W1269" s="46">
        <v>2500</v>
      </c>
      <c r="X1269" s="46">
        <v>5.3659999999999997</v>
      </c>
    </row>
    <row r="1270" spans="1:31" x14ac:dyDescent="0.25">
      <c r="A1270" s="136">
        <v>43033</v>
      </c>
      <c r="B1270" s="201" t="s">
        <v>124</v>
      </c>
      <c r="C1270" t="s">
        <v>125</v>
      </c>
      <c r="D1270">
        <v>100</v>
      </c>
      <c r="E1270">
        <v>100</v>
      </c>
      <c r="F1270">
        <v>-53.579000000000001</v>
      </c>
      <c r="G1270">
        <v>5973.9</v>
      </c>
      <c r="H1270">
        <v>0</v>
      </c>
      <c r="I1270" s="309">
        <v>616</v>
      </c>
      <c r="J1270">
        <v>6.16</v>
      </c>
      <c r="K1270" s="133">
        <v>1.38582474513817E-3</v>
      </c>
      <c r="L1270" s="181">
        <v>-7</v>
      </c>
      <c r="N1270" s="73">
        <v>5995.0890000000099</v>
      </c>
      <c r="O1270" s="73">
        <v>1102.4501845505599</v>
      </c>
      <c r="P1270" s="182">
        <v>0</v>
      </c>
      <c r="Q1270" s="182">
        <v>0</v>
      </c>
      <c r="R1270" s="46">
        <v>0</v>
      </c>
      <c r="S1270" s="46">
        <v>5</v>
      </c>
      <c r="T1270" s="46">
        <v>2300</v>
      </c>
      <c r="U1270" s="46">
        <v>4.99</v>
      </c>
      <c r="V1270" s="46" t="s">
        <v>68</v>
      </c>
      <c r="W1270" s="46">
        <v>2300</v>
      </c>
      <c r="X1270" s="46">
        <v>4.99</v>
      </c>
      <c r="Y1270" s="194">
        <v>6.1440000000000001</v>
      </c>
      <c r="Z1270" s="193">
        <v>5.343</v>
      </c>
      <c r="AA1270" s="193">
        <v>5.6369999999999996</v>
      </c>
      <c r="AB1270" s="46">
        <v>6.21</v>
      </c>
      <c r="AC1270" s="46">
        <v>6.23</v>
      </c>
      <c r="AD1270" s="46">
        <v>6.13</v>
      </c>
      <c r="AE1270" s="46">
        <v>6.16</v>
      </c>
    </row>
    <row r="1271" spans="1:31" x14ac:dyDescent="0.25">
      <c r="A1271" s="136">
        <v>43033</v>
      </c>
      <c r="B1271" s="201" t="s">
        <v>71</v>
      </c>
      <c r="C1271" t="s">
        <v>126</v>
      </c>
      <c r="D1271">
        <v>4200</v>
      </c>
      <c r="E1271">
        <v>4200</v>
      </c>
      <c r="F1271">
        <v>6.11</v>
      </c>
      <c r="G1271">
        <v>1093.47</v>
      </c>
      <c r="H1271">
        <v>4.26</v>
      </c>
      <c r="I1271" s="309">
        <v>26754</v>
      </c>
      <c r="J1271">
        <v>6.37</v>
      </c>
      <c r="K1271" s="133">
        <v>6.0188888362705403E-2</v>
      </c>
      <c r="L1271" s="181">
        <v>-84</v>
      </c>
      <c r="N1271" s="73">
        <v>1293.67200000001</v>
      </c>
      <c r="O1271" s="73">
        <v>233.109353013912</v>
      </c>
      <c r="P1271" s="182">
        <v>4</v>
      </c>
      <c r="Q1271" s="182">
        <v>2000</v>
      </c>
      <c r="R1271" s="46">
        <v>6.4180000000000001</v>
      </c>
      <c r="S1271" s="46">
        <v>0</v>
      </c>
      <c r="T1271" s="46">
        <v>0</v>
      </c>
      <c r="U1271" s="46">
        <v>0</v>
      </c>
      <c r="V1271" s="46" t="s">
        <v>62</v>
      </c>
      <c r="W1271" s="46">
        <v>2000</v>
      </c>
      <c r="X1271" s="46">
        <v>6.4180000000000001</v>
      </c>
      <c r="Y1271" s="194">
        <v>6.3010000000000002</v>
      </c>
      <c r="Z1271" s="194">
        <v>6.5730000000000004</v>
      </c>
      <c r="AA1271" s="194">
        <v>6.6760000000000002</v>
      </c>
      <c r="AB1271" s="46">
        <v>6.38</v>
      </c>
      <c r="AC1271" s="46">
        <v>6.39</v>
      </c>
      <c r="AD1271" s="46">
        <v>6.34</v>
      </c>
      <c r="AE1271" s="46">
        <v>6.37</v>
      </c>
    </row>
    <row r="1272" spans="1:31" x14ac:dyDescent="0.25">
      <c r="A1272" s="136">
        <v>43033</v>
      </c>
      <c r="B1272" s="201" t="s">
        <v>835</v>
      </c>
      <c r="C1272" t="s">
        <v>839</v>
      </c>
      <c r="I1272" s="309">
        <v>7648.36</v>
      </c>
      <c r="K1272" s="133">
        <v>1.7206634006047002E-2</v>
      </c>
      <c r="L1272" s="181">
        <v>0</v>
      </c>
    </row>
    <row r="1273" spans="1:31" x14ac:dyDescent="0.25">
      <c r="A1273" s="136">
        <v>43034</v>
      </c>
      <c r="B1273" s="201" t="s">
        <v>132</v>
      </c>
      <c r="C1273" t="s">
        <v>123</v>
      </c>
      <c r="D1273">
        <v>10040888</v>
      </c>
      <c r="E1273">
        <v>10040888</v>
      </c>
      <c r="F1273">
        <v>0.01</v>
      </c>
      <c r="G1273">
        <v>2678.37</v>
      </c>
      <c r="H1273">
        <v>0</v>
      </c>
      <c r="I1273" s="309">
        <v>100408.88</v>
      </c>
      <c r="J1273">
        <v>0.01</v>
      </c>
      <c r="K1273" s="133">
        <v>0.22588901456916</v>
      </c>
      <c r="L1273" s="181">
        <v>5.0899999999996899</v>
      </c>
    </row>
    <row r="1274" spans="1:31" x14ac:dyDescent="0.25">
      <c r="A1274" s="136">
        <v>43034</v>
      </c>
      <c r="B1274" s="201" t="s">
        <v>61</v>
      </c>
      <c r="C1274" t="s">
        <v>136</v>
      </c>
      <c r="D1274">
        <v>2900</v>
      </c>
      <c r="E1274">
        <v>2900</v>
      </c>
      <c r="F1274">
        <v>5.3490000000000002</v>
      </c>
      <c r="G1274">
        <v>-25.24</v>
      </c>
      <c r="H1274">
        <v>-0.17</v>
      </c>
      <c r="I1274" s="309">
        <v>15486</v>
      </c>
      <c r="J1274">
        <v>5.34</v>
      </c>
      <c r="K1274" s="133">
        <v>3.4838724220587002E-2</v>
      </c>
      <c r="L1274" s="181">
        <v>116</v>
      </c>
      <c r="N1274" s="73">
        <v>-144.28800000000001</v>
      </c>
      <c r="O1274" s="73">
        <v>-27.210538867924601</v>
      </c>
      <c r="P1274" s="182">
        <v>5</v>
      </c>
      <c r="Q1274" s="182">
        <v>2500</v>
      </c>
      <c r="R1274" s="46">
        <v>5.3659999999999997</v>
      </c>
      <c r="S1274" s="46">
        <v>0</v>
      </c>
      <c r="T1274" s="46">
        <v>0</v>
      </c>
      <c r="U1274" s="46">
        <v>0</v>
      </c>
      <c r="V1274" s="46" t="s">
        <v>62</v>
      </c>
      <c r="W1274" s="46">
        <v>2500</v>
      </c>
      <c r="X1274" s="46">
        <v>5.3659999999999997</v>
      </c>
    </row>
    <row r="1275" spans="1:31" x14ac:dyDescent="0.25">
      <c r="A1275" s="136">
        <v>43034</v>
      </c>
      <c r="B1275" s="201" t="s">
        <v>124</v>
      </c>
      <c r="C1275" t="s">
        <v>125</v>
      </c>
      <c r="D1275">
        <v>100</v>
      </c>
      <c r="E1275">
        <v>100</v>
      </c>
      <c r="F1275">
        <v>-53.579000000000001</v>
      </c>
      <c r="G1275">
        <v>5963.9</v>
      </c>
      <c r="H1275">
        <v>0</v>
      </c>
      <c r="I1275" s="309">
        <v>606</v>
      </c>
      <c r="J1275">
        <v>6.06</v>
      </c>
      <c r="K1275" s="133">
        <v>1.3633131136301E-3</v>
      </c>
      <c r="L1275" s="181">
        <v>-10</v>
      </c>
      <c r="N1275" s="73">
        <v>5995.0890000000099</v>
      </c>
      <c r="O1275" s="73">
        <v>1102.4501845505599</v>
      </c>
      <c r="P1275" s="182">
        <v>0</v>
      </c>
      <c r="Q1275" s="182">
        <v>0</v>
      </c>
      <c r="R1275" s="46">
        <v>0</v>
      </c>
      <c r="S1275" s="46">
        <v>5</v>
      </c>
      <c r="T1275" s="46">
        <v>2300</v>
      </c>
      <c r="U1275" s="46">
        <v>4.99</v>
      </c>
      <c r="V1275" s="46" t="s">
        <v>68</v>
      </c>
      <c r="W1275" s="46">
        <v>2300</v>
      </c>
      <c r="X1275" s="46">
        <v>4.99</v>
      </c>
      <c r="Y1275" s="194">
        <v>6.056</v>
      </c>
      <c r="Z1275" s="193">
        <v>5.2830000000000004</v>
      </c>
      <c r="AA1275" s="193">
        <v>5.6559999999999997</v>
      </c>
      <c r="AB1275" s="46">
        <v>6.14</v>
      </c>
      <c r="AC1275" s="46">
        <v>6.15</v>
      </c>
      <c r="AD1275" s="46">
        <v>6.04</v>
      </c>
      <c r="AE1275" s="46">
        <v>6.05</v>
      </c>
    </row>
    <row r="1276" spans="1:31" x14ac:dyDescent="0.25">
      <c r="A1276" s="136">
        <v>43034</v>
      </c>
      <c r="B1276" s="201" t="s">
        <v>71</v>
      </c>
      <c r="C1276" t="s">
        <v>126</v>
      </c>
      <c r="D1276">
        <v>4700</v>
      </c>
      <c r="E1276">
        <v>4200</v>
      </c>
      <c r="F1276">
        <v>6.1319999999999997</v>
      </c>
      <c r="G1276">
        <v>836.41</v>
      </c>
      <c r="H1276">
        <v>2.9</v>
      </c>
      <c r="I1276" s="309">
        <v>29657</v>
      </c>
      <c r="J1276">
        <v>6.31</v>
      </c>
      <c r="K1276" s="133">
        <v>6.6719103978428895E-2</v>
      </c>
      <c r="L1276" s="181">
        <v>-257.06</v>
      </c>
      <c r="N1276" s="73">
        <v>1343.3720000000101</v>
      </c>
      <c r="O1276" s="73">
        <v>131.73631759112601</v>
      </c>
      <c r="P1276" s="182">
        <v>5</v>
      </c>
      <c r="Q1276" s="182">
        <v>2500</v>
      </c>
      <c r="R1276" s="46">
        <v>6.3959999999999999</v>
      </c>
      <c r="S1276" s="46">
        <v>0</v>
      </c>
      <c r="T1276" s="46">
        <v>0</v>
      </c>
      <c r="U1276" s="46">
        <v>0</v>
      </c>
      <c r="V1276" s="46" t="s">
        <v>62</v>
      </c>
      <c r="W1276" s="46">
        <v>2500</v>
      </c>
      <c r="X1276" s="46">
        <v>6.3959999999999999</v>
      </c>
      <c r="Y1276" s="194">
        <v>6.3140000000000001</v>
      </c>
      <c r="Z1276" s="194">
        <v>6.5039999999999996</v>
      </c>
      <c r="AA1276" s="194">
        <v>6.67</v>
      </c>
      <c r="AB1276" s="46">
        <v>6.36</v>
      </c>
      <c r="AC1276" s="46">
        <v>6.36</v>
      </c>
      <c r="AD1276" s="46">
        <v>6.3</v>
      </c>
      <c r="AE1276" s="46">
        <v>6.31</v>
      </c>
    </row>
    <row r="1277" spans="1:31" x14ac:dyDescent="0.25">
      <c r="A1277" s="136">
        <v>43034</v>
      </c>
      <c r="B1277" s="201" t="s">
        <v>65</v>
      </c>
      <c r="C1277" t="s">
        <v>127</v>
      </c>
      <c r="D1277">
        <v>9000</v>
      </c>
      <c r="E1277">
        <v>8600</v>
      </c>
      <c r="F1277">
        <v>10.116</v>
      </c>
      <c r="G1277">
        <v>16329.08</v>
      </c>
      <c r="H1277">
        <v>17.93</v>
      </c>
      <c r="I1277" s="309">
        <v>107370</v>
      </c>
      <c r="J1277">
        <v>11.93</v>
      </c>
      <c r="K1277" s="133">
        <v>0.24154938780604601</v>
      </c>
      <c r="L1277" s="181">
        <v>-755.00000000000205</v>
      </c>
      <c r="N1277" s="73">
        <v>11506.645</v>
      </c>
      <c r="O1277" s="73">
        <v>1329.42749795703</v>
      </c>
      <c r="P1277" s="182">
        <v>1</v>
      </c>
      <c r="Q1277" s="182">
        <v>400</v>
      </c>
      <c r="R1277" s="46">
        <v>11.87</v>
      </c>
      <c r="S1277" s="46">
        <v>19</v>
      </c>
      <c r="T1277" s="46">
        <v>8200</v>
      </c>
      <c r="U1277" s="46">
        <v>12.412000000000001</v>
      </c>
      <c r="V1277" s="46" t="s">
        <v>68</v>
      </c>
      <c r="W1277" s="46">
        <v>7800</v>
      </c>
      <c r="X1277" s="46">
        <v>12.44</v>
      </c>
      <c r="Y1277" s="194">
        <v>11.898999999999999</v>
      </c>
      <c r="Z1277" s="194">
        <v>11.679</v>
      </c>
      <c r="AA1277" s="194">
        <v>11.954000000000001</v>
      </c>
      <c r="AB1277" s="46">
        <v>11.98</v>
      </c>
      <c r="AC1277" s="46">
        <v>12.02</v>
      </c>
      <c r="AD1277" s="46">
        <v>11.84</v>
      </c>
      <c r="AE1277" s="46">
        <v>11.93</v>
      </c>
    </row>
    <row r="1278" spans="1:31" x14ac:dyDescent="0.25">
      <c r="A1278" s="136">
        <v>43034</v>
      </c>
      <c r="B1278" s="201" t="s">
        <v>77</v>
      </c>
      <c r="C1278" t="s">
        <v>128</v>
      </c>
      <c r="D1278">
        <v>3700</v>
      </c>
      <c r="E1278">
        <v>3700</v>
      </c>
      <c r="F1278">
        <v>6.0250000000000004</v>
      </c>
      <c r="G1278">
        <v>1981.14</v>
      </c>
      <c r="H1278">
        <v>8.8800000000000008</v>
      </c>
      <c r="I1278" s="309">
        <v>24272</v>
      </c>
      <c r="J1278">
        <v>6.56</v>
      </c>
      <c r="K1278" s="133">
        <v>5.4604514676616797E-2</v>
      </c>
      <c r="L1278" s="181">
        <v>0</v>
      </c>
      <c r="N1278" s="73">
        <v>1698.194</v>
      </c>
      <c r="O1278" s="73">
        <v>331.88744758308098</v>
      </c>
      <c r="P1278" s="182">
        <v>7</v>
      </c>
      <c r="Q1278" s="182">
        <v>3500</v>
      </c>
      <c r="R1278" s="46">
        <v>6.7409999999999997</v>
      </c>
      <c r="S1278" s="46">
        <v>1</v>
      </c>
      <c r="T1278" s="46">
        <v>400</v>
      </c>
      <c r="U1278" s="46">
        <v>6.62</v>
      </c>
      <c r="V1278" s="46" t="s">
        <v>62</v>
      </c>
      <c r="W1278" s="46">
        <v>3100</v>
      </c>
      <c r="X1278" s="46">
        <v>6.7569999999999997</v>
      </c>
      <c r="Y1278" s="194">
        <v>6.516</v>
      </c>
      <c r="Z1278" s="194">
        <v>6.5839999999999996</v>
      </c>
      <c r="AA1278" s="194">
        <v>6.8920000000000003</v>
      </c>
      <c r="AB1278" s="46">
        <v>6.54</v>
      </c>
      <c r="AC1278" s="46">
        <v>6.6</v>
      </c>
      <c r="AD1278" s="46">
        <v>6.52</v>
      </c>
      <c r="AE1278" s="46">
        <v>6.5</v>
      </c>
    </row>
    <row r="1279" spans="1:31" x14ac:dyDescent="0.25">
      <c r="A1279" s="136">
        <v>43034</v>
      </c>
      <c r="B1279" s="201" t="s">
        <v>67</v>
      </c>
      <c r="C1279" t="s">
        <v>129</v>
      </c>
      <c r="D1279">
        <v>4850</v>
      </c>
      <c r="E1279">
        <v>4850</v>
      </c>
      <c r="F1279">
        <v>9.0020000000000007</v>
      </c>
      <c r="G1279">
        <v>815.95</v>
      </c>
      <c r="H1279">
        <v>1.87</v>
      </c>
      <c r="I1279" s="309">
        <v>44474.5</v>
      </c>
      <c r="J1279">
        <v>9.17</v>
      </c>
      <c r="K1279" s="133">
        <v>0.10005390935996999</v>
      </c>
      <c r="L1279" s="181">
        <v>858.69</v>
      </c>
      <c r="N1279" s="73">
        <v>33589.094999999899</v>
      </c>
      <c r="O1279" s="73">
        <v>88.689438985796201</v>
      </c>
      <c r="P1279" s="182">
        <v>15</v>
      </c>
      <c r="Q1279" s="182">
        <v>7500</v>
      </c>
      <c r="R1279" s="46">
        <v>6.181</v>
      </c>
      <c r="S1279" s="46">
        <v>17</v>
      </c>
      <c r="T1279" s="46">
        <v>7100</v>
      </c>
      <c r="U1279" s="46">
        <v>8.9949999999999992</v>
      </c>
      <c r="V1279" s="46" t="s">
        <v>62</v>
      </c>
      <c r="W1279" s="46">
        <v>400</v>
      </c>
      <c r="X1279" s="46">
        <v>-43.768000000000001</v>
      </c>
      <c r="Y1279" s="194">
        <v>8.952</v>
      </c>
      <c r="Z1279" s="193">
        <v>9.33</v>
      </c>
      <c r="AA1279" s="193">
        <v>9.0690000000000008</v>
      </c>
      <c r="AB1279" s="46">
        <v>9.0299999999999994</v>
      </c>
      <c r="AC1279" s="46">
        <v>9.19</v>
      </c>
      <c r="AD1279" s="46">
        <v>8.94</v>
      </c>
      <c r="AE1279" s="46">
        <v>9.17</v>
      </c>
    </row>
    <row r="1280" spans="1:31" x14ac:dyDescent="0.25">
      <c r="A1280" s="136">
        <v>43034</v>
      </c>
      <c r="B1280" s="201" t="s">
        <v>78</v>
      </c>
      <c r="C1280" t="s">
        <v>142</v>
      </c>
      <c r="D1280">
        <v>100</v>
      </c>
      <c r="E1280">
        <v>100</v>
      </c>
      <c r="F1280">
        <v>10.987</v>
      </c>
      <c r="G1280">
        <v>116.3</v>
      </c>
      <c r="H1280">
        <v>10.59</v>
      </c>
      <c r="I1280" s="309">
        <v>1215</v>
      </c>
      <c r="J1280">
        <v>12.15</v>
      </c>
      <c r="K1280" s="133">
        <v>2.7333753020801501E-3</v>
      </c>
      <c r="L1280" s="181">
        <v>12</v>
      </c>
      <c r="N1280" s="73">
        <v>75.304000000000102</v>
      </c>
      <c r="O1280" s="73">
        <v>6.41110289608178</v>
      </c>
      <c r="P1280" s="182">
        <v>1</v>
      </c>
      <c r="Q1280" s="182">
        <v>500</v>
      </c>
      <c r="R1280" s="46">
        <v>11.56</v>
      </c>
      <c r="S1280" s="46">
        <v>1</v>
      </c>
      <c r="T1280" s="46">
        <v>400</v>
      </c>
      <c r="U1280" s="46">
        <v>11.74</v>
      </c>
      <c r="V1280" s="46" t="s">
        <v>62</v>
      </c>
      <c r="W1280" s="46">
        <v>100</v>
      </c>
      <c r="X1280" s="46">
        <v>10.84</v>
      </c>
    </row>
    <row r="1281" spans="1:31" x14ac:dyDescent="0.25">
      <c r="A1281" s="136">
        <v>43034</v>
      </c>
      <c r="B1281" s="201" t="s">
        <v>72</v>
      </c>
      <c r="C1281" t="s">
        <v>130</v>
      </c>
      <c r="D1281">
        <v>2100</v>
      </c>
      <c r="E1281">
        <v>2100</v>
      </c>
      <c r="F1281">
        <v>8.4559999999999995</v>
      </c>
      <c r="G1281">
        <v>-1146.8800000000001</v>
      </c>
      <c r="H1281">
        <v>-6.46</v>
      </c>
      <c r="I1281" s="309">
        <v>16611</v>
      </c>
      <c r="J1281">
        <v>7.91</v>
      </c>
      <c r="K1281" s="133">
        <v>3.7369627278068702E-2</v>
      </c>
      <c r="L1281" s="181">
        <v>0</v>
      </c>
    </row>
    <row r="1282" spans="1:31" x14ac:dyDescent="0.25">
      <c r="A1282" s="136">
        <v>43034</v>
      </c>
      <c r="B1282" s="201" t="s">
        <v>70</v>
      </c>
      <c r="C1282" t="s">
        <v>131</v>
      </c>
      <c r="D1282">
        <v>7400</v>
      </c>
      <c r="E1282">
        <v>7400</v>
      </c>
      <c r="F1282">
        <v>12.519</v>
      </c>
      <c r="G1282">
        <v>-213.46</v>
      </c>
      <c r="H1282">
        <v>-0.23</v>
      </c>
      <c r="I1282" s="309">
        <v>92426</v>
      </c>
      <c r="J1282">
        <v>12.49</v>
      </c>
      <c r="K1282" s="133">
        <v>0.207929996436264</v>
      </c>
      <c r="L1282" s="181">
        <v>-74</v>
      </c>
      <c r="N1282" s="73">
        <v>78.557999999975394</v>
      </c>
      <c r="O1282" s="73">
        <v>6.2664581803651602</v>
      </c>
      <c r="P1282" s="182">
        <v>1</v>
      </c>
      <c r="Q1282" s="182">
        <v>500</v>
      </c>
      <c r="R1282" s="46">
        <v>12.47</v>
      </c>
      <c r="S1282" s="46">
        <v>9</v>
      </c>
      <c r="T1282" s="46">
        <v>3600</v>
      </c>
      <c r="U1282" s="46">
        <v>13.278</v>
      </c>
      <c r="V1282" s="46" t="s">
        <v>68</v>
      </c>
      <c r="W1282" s="46">
        <v>3100</v>
      </c>
      <c r="X1282" s="46">
        <v>13.407999999999999</v>
      </c>
      <c r="Y1282" s="194">
        <v>12.387</v>
      </c>
      <c r="Z1282" s="194">
        <v>12.734999999999999</v>
      </c>
      <c r="AA1282" s="194">
        <v>12.682</v>
      </c>
      <c r="AB1282" s="46">
        <v>12.51</v>
      </c>
      <c r="AC1282" s="46">
        <v>12.53</v>
      </c>
      <c r="AD1282" s="46">
        <v>12.41</v>
      </c>
      <c r="AE1282" s="46">
        <v>12.49</v>
      </c>
    </row>
    <row r="1283" spans="1:31" x14ac:dyDescent="0.25">
      <c r="A1283" s="136">
        <v>43034</v>
      </c>
      <c r="B1283" s="201" t="s">
        <v>137</v>
      </c>
      <c r="C1283" t="s">
        <v>138</v>
      </c>
      <c r="D1283">
        <v>100</v>
      </c>
      <c r="E1283">
        <v>100</v>
      </c>
      <c r="F1283">
        <v>-130.48500000000001</v>
      </c>
      <c r="G1283">
        <v>18001.5</v>
      </c>
      <c r="H1283">
        <v>0</v>
      </c>
      <c r="I1283" s="309">
        <v>4953</v>
      </c>
      <c r="J1283">
        <v>49.53</v>
      </c>
      <c r="K1283" s="133">
        <v>1.11427225277391E-2</v>
      </c>
      <c r="L1283" s="181">
        <v>109</v>
      </c>
    </row>
    <row r="1284" spans="1:31" x14ac:dyDescent="0.25">
      <c r="A1284" s="136">
        <v>43034</v>
      </c>
      <c r="B1284" s="201" t="s">
        <v>835</v>
      </c>
      <c r="C1284" t="s">
        <v>839</v>
      </c>
      <c r="I1284" s="309">
        <v>7025.99</v>
      </c>
      <c r="K1284" s="133">
        <v>1.5806310731409201E-2</v>
      </c>
      <c r="L1284" s="181">
        <v>0</v>
      </c>
    </row>
    <row r="1285" spans="1:31" x14ac:dyDescent="0.25">
      <c r="A1285" s="136">
        <v>43035</v>
      </c>
      <c r="B1285" s="201" t="s">
        <v>132</v>
      </c>
      <c r="C1285" t="s">
        <v>123</v>
      </c>
      <c r="D1285">
        <v>6042875</v>
      </c>
      <c r="E1285">
        <v>6042875</v>
      </c>
      <c r="F1285">
        <v>0.01</v>
      </c>
      <c r="G1285">
        <v>2698.24</v>
      </c>
      <c r="H1285">
        <v>0</v>
      </c>
      <c r="I1285" s="309">
        <v>60428.75</v>
      </c>
      <c r="J1285">
        <v>0.01</v>
      </c>
      <c r="K1285" s="133">
        <v>0.136945066963512</v>
      </c>
      <c r="L1285" s="181">
        <v>19.869999999999902</v>
      </c>
      <c r="M1285" s="133">
        <v>0</v>
      </c>
    </row>
    <row r="1286" spans="1:31" x14ac:dyDescent="0.25">
      <c r="A1286" s="136">
        <v>43035</v>
      </c>
      <c r="B1286" s="201" t="s">
        <v>61</v>
      </c>
      <c r="C1286" t="s">
        <v>136</v>
      </c>
      <c r="D1286">
        <v>2900</v>
      </c>
      <c r="E1286">
        <v>2900</v>
      </c>
      <c r="F1286">
        <v>5.3490000000000002</v>
      </c>
      <c r="G1286">
        <v>-112.24</v>
      </c>
      <c r="H1286">
        <v>-0.73</v>
      </c>
      <c r="I1286" s="309">
        <v>15399</v>
      </c>
      <c r="J1286">
        <v>5.31</v>
      </c>
      <c r="K1286" s="133">
        <v>3.4897579151829498E-2</v>
      </c>
      <c r="L1286" s="181">
        <v>-87</v>
      </c>
      <c r="M1286" s="133">
        <v>3.51519401028004E-2</v>
      </c>
      <c r="N1286" s="73">
        <v>-144.28800000000001</v>
      </c>
      <c r="O1286" s="73">
        <v>-27.210538867924601</v>
      </c>
      <c r="P1286" s="182">
        <v>5</v>
      </c>
      <c r="Q1286" s="182">
        <v>2500</v>
      </c>
      <c r="R1286" s="46">
        <v>5.3659999999999997</v>
      </c>
      <c r="S1286" s="46">
        <v>0</v>
      </c>
      <c r="T1286" s="46">
        <v>0</v>
      </c>
      <c r="U1286" s="46">
        <v>0</v>
      </c>
      <c r="V1286" s="46" t="s">
        <v>62</v>
      </c>
      <c r="W1286" s="46">
        <v>2500</v>
      </c>
      <c r="X1286" s="46">
        <v>5.3659999999999997</v>
      </c>
    </row>
    <row r="1287" spans="1:31" x14ac:dyDescent="0.25">
      <c r="A1287" s="136">
        <v>43035</v>
      </c>
      <c r="B1287" s="201" t="s">
        <v>124</v>
      </c>
      <c r="C1287" t="s">
        <v>125</v>
      </c>
      <c r="D1287">
        <v>100</v>
      </c>
      <c r="E1287">
        <v>100</v>
      </c>
      <c r="F1287">
        <v>-53.579000000000001</v>
      </c>
      <c r="G1287">
        <v>5976.9</v>
      </c>
      <c r="H1287">
        <v>0</v>
      </c>
      <c r="I1287" s="309">
        <v>619</v>
      </c>
      <c r="J1287">
        <v>6.19</v>
      </c>
      <c r="K1287" s="133">
        <v>1.40279248619926E-3</v>
      </c>
      <c r="L1287" s="181">
        <v>13</v>
      </c>
      <c r="M1287" s="133">
        <v>0</v>
      </c>
      <c r="N1287" s="73">
        <v>5995.0890000000099</v>
      </c>
      <c r="O1287" s="73">
        <v>1102.4501845505599</v>
      </c>
      <c r="P1287" s="182">
        <v>0</v>
      </c>
      <c r="Q1287" s="182">
        <v>0</v>
      </c>
      <c r="R1287" s="46">
        <v>0</v>
      </c>
      <c r="S1287" s="46">
        <v>5</v>
      </c>
      <c r="T1287" s="46">
        <v>2300</v>
      </c>
      <c r="U1287" s="46">
        <v>4.99</v>
      </c>
      <c r="V1287" s="46" t="s">
        <v>68</v>
      </c>
      <c r="W1287" s="46">
        <v>2300</v>
      </c>
      <c r="X1287" s="46">
        <v>4.99</v>
      </c>
      <c r="Y1287" s="193">
        <v>6.1539999999999999</v>
      </c>
      <c r="Z1287" s="193">
        <v>5.3490000000000002</v>
      </c>
      <c r="AA1287" s="193">
        <v>5.68</v>
      </c>
      <c r="AB1287" s="46">
        <v>6.05</v>
      </c>
      <c r="AC1287" s="46">
        <v>6.26</v>
      </c>
      <c r="AD1287" s="46">
        <v>6.02</v>
      </c>
      <c r="AE1287" s="46">
        <v>6.19</v>
      </c>
    </row>
    <row r="1288" spans="1:31" x14ac:dyDescent="0.25">
      <c r="A1288" s="136">
        <v>43035</v>
      </c>
      <c r="B1288" s="201" t="s">
        <v>71</v>
      </c>
      <c r="C1288" t="s">
        <v>126</v>
      </c>
      <c r="D1288">
        <v>4700</v>
      </c>
      <c r="E1288">
        <v>4700</v>
      </c>
      <c r="F1288">
        <v>6.1319999999999997</v>
      </c>
      <c r="G1288">
        <v>930.41</v>
      </c>
      <c r="H1288">
        <v>3.23</v>
      </c>
      <c r="I1288" s="309">
        <v>29751</v>
      </c>
      <c r="J1288">
        <v>6.33</v>
      </c>
      <c r="K1288" s="133">
        <v>6.7422422062866402E-2</v>
      </c>
      <c r="L1288" s="181">
        <v>94</v>
      </c>
      <c r="M1288" s="133">
        <v>6.5313904846251394E-2</v>
      </c>
      <c r="N1288" s="73">
        <v>1343.3720000000101</v>
      </c>
      <c r="O1288" s="73">
        <v>131.73631759112601</v>
      </c>
      <c r="P1288" s="182">
        <v>5</v>
      </c>
      <c r="Q1288" s="182">
        <v>2500</v>
      </c>
      <c r="R1288" s="46">
        <v>6.3959999999999999</v>
      </c>
      <c r="S1288" s="46">
        <v>0</v>
      </c>
      <c r="T1288" s="46">
        <v>0</v>
      </c>
      <c r="U1288" s="46">
        <v>0</v>
      </c>
      <c r="V1288" s="46" t="s">
        <v>62</v>
      </c>
      <c r="W1288" s="46">
        <v>2500</v>
      </c>
      <c r="X1288" s="46">
        <v>6.3959999999999999</v>
      </c>
      <c r="Y1288" s="194">
        <v>6.2619999999999996</v>
      </c>
      <c r="Z1288" s="194">
        <v>6.4939999999999998</v>
      </c>
      <c r="AA1288" s="194">
        <v>6.665</v>
      </c>
      <c r="AB1288" s="46">
        <v>6.31</v>
      </c>
      <c r="AC1288" s="46">
        <v>6.37</v>
      </c>
      <c r="AD1288" s="46">
        <v>6.3</v>
      </c>
      <c r="AE1288" s="46">
        <v>6.33</v>
      </c>
    </row>
    <row r="1289" spans="1:31" x14ac:dyDescent="0.25">
      <c r="A1289" s="136">
        <v>43035</v>
      </c>
      <c r="B1289" s="201" t="s">
        <v>79</v>
      </c>
      <c r="C1289" t="s">
        <v>143</v>
      </c>
      <c r="D1289">
        <v>1500</v>
      </c>
      <c r="E1289">
        <v>1500</v>
      </c>
      <c r="F1289">
        <v>18.004000000000001</v>
      </c>
      <c r="G1289">
        <v>-200.54</v>
      </c>
      <c r="H1289">
        <v>-0.74</v>
      </c>
      <c r="I1289" s="309">
        <v>26805</v>
      </c>
      <c r="J1289">
        <v>17.87</v>
      </c>
      <c r="K1289" s="133">
        <v>6.0746126966997202E-2</v>
      </c>
      <c r="M1289" s="133">
        <v>6.12005954729462E-2</v>
      </c>
      <c r="N1289" s="73">
        <v>-110.899999999998</v>
      </c>
      <c r="O1289" s="73">
        <v>-6.18207194645833</v>
      </c>
      <c r="P1289" s="182">
        <v>2</v>
      </c>
      <c r="Q1289" s="182">
        <v>1500</v>
      </c>
      <c r="R1289" s="46">
        <v>17.997</v>
      </c>
      <c r="S1289" s="46">
        <v>0</v>
      </c>
      <c r="T1289" s="46">
        <v>0</v>
      </c>
      <c r="U1289" s="46">
        <v>0</v>
      </c>
      <c r="V1289" s="46" t="s">
        <v>62</v>
      </c>
      <c r="W1289" s="46">
        <v>1500</v>
      </c>
      <c r="X1289" s="46">
        <v>17.997</v>
      </c>
    </row>
    <row r="1290" spans="1:31" x14ac:dyDescent="0.25">
      <c r="A1290" s="136">
        <v>43035</v>
      </c>
      <c r="B1290" s="201" t="s">
        <v>140</v>
      </c>
      <c r="C1290" t="s">
        <v>141</v>
      </c>
      <c r="D1290">
        <v>200</v>
      </c>
      <c r="E1290">
        <v>200</v>
      </c>
      <c r="F1290">
        <v>48.975999999999999</v>
      </c>
      <c r="G1290">
        <v>316.8</v>
      </c>
      <c r="H1290">
        <v>3.24</v>
      </c>
      <c r="I1290" s="309">
        <v>10112</v>
      </c>
      <c r="J1290">
        <v>50.56</v>
      </c>
      <c r="K1290" s="133">
        <v>2.2916054314130799E-2</v>
      </c>
      <c r="L1290" s="181">
        <v>243.9</v>
      </c>
      <c r="M1290" s="133">
        <v>2.21981146378337E-2</v>
      </c>
      <c r="N1290" s="73">
        <v>-95.119000000000597</v>
      </c>
      <c r="O1290" s="73">
        <v>-1.9602358865979499</v>
      </c>
      <c r="P1290" s="182">
        <v>2</v>
      </c>
      <c r="Q1290" s="182">
        <v>200</v>
      </c>
      <c r="R1290" s="46">
        <v>48.924999999999997</v>
      </c>
      <c r="S1290" s="46">
        <v>0</v>
      </c>
      <c r="T1290" s="46">
        <v>0</v>
      </c>
      <c r="U1290" s="46">
        <v>0</v>
      </c>
      <c r="V1290" s="46" t="s">
        <v>62</v>
      </c>
      <c r="W1290" s="46">
        <v>200</v>
      </c>
      <c r="X1290" s="46">
        <v>48.924999999999997</v>
      </c>
      <c r="Y1290" s="193">
        <v>52.406999999999996</v>
      </c>
      <c r="Z1290" s="194">
        <v>49.398000000000003</v>
      </c>
      <c r="AA1290" s="194">
        <v>49.972999999999999</v>
      </c>
      <c r="AB1290" s="46">
        <v>49.71</v>
      </c>
      <c r="AC1290" s="46">
        <v>51</v>
      </c>
      <c r="AD1290" s="46">
        <v>48.1</v>
      </c>
      <c r="AE1290" s="46">
        <v>50.56</v>
      </c>
    </row>
    <row r="1291" spans="1:31" x14ac:dyDescent="0.25">
      <c r="A1291" s="136">
        <v>43035</v>
      </c>
      <c r="B1291" s="201" t="s">
        <v>65</v>
      </c>
      <c r="C1291" t="s">
        <v>127</v>
      </c>
      <c r="D1291">
        <v>9100</v>
      </c>
      <c r="E1291">
        <v>9100</v>
      </c>
      <c r="F1291">
        <v>10.129</v>
      </c>
      <c r="G1291">
        <v>15204.28</v>
      </c>
      <c r="H1291">
        <v>16.5</v>
      </c>
      <c r="I1291" s="309">
        <v>107380</v>
      </c>
      <c r="J1291">
        <v>11.8</v>
      </c>
      <c r="K1291" s="133">
        <v>0.24334710366409901</v>
      </c>
      <c r="L1291" s="181">
        <v>-1124.8</v>
      </c>
      <c r="M1291" s="133">
        <v>0.20889080359613399</v>
      </c>
      <c r="N1291" s="73">
        <v>11285.844999999999</v>
      </c>
      <c r="O1291" s="73">
        <v>1314.1566554687399</v>
      </c>
      <c r="P1291" s="182">
        <v>2</v>
      </c>
      <c r="Q1291" s="182">
        <v>900</v>
      </c>
      <c r="R1291" s="46">
        <v>11.853</v>
      </c>
      <c r="S1291" s="46">
        <v>20</v>
      </c>
      <c r="T1291" s="46">
        <v>8600</v>
      </c>
      <c r="U1291" s="46">
        <v>12.393000000000001</v>
      </c>
      <c r="V1291" s="46" t="s">
        <v>68</v>
      </c>
      <c r="W1291" s="46">
        <v>7700</v>
      </c>
      <c r="X1291" s="46">
        <v>12.456</v>
      </c>
      <c r="Y1291" s="194">
        <v>11.819000000000001</v>
      </c>
      <c r="Z1291" s="194">
        <v>11.691000000000001</v>
      </c>
      <c r="AA1291" s="194">
        <v>11.954000000000001</v>
      </c>
      <c r="AB1291" s="46">
        <v>11.95</v>
      </c>
      <c r="AC1291" s="46">
        <v>12.03</v>
      </c>
      <c r="AD1291" s="46">
        <v>11.74</v>
      </c>
      <c r="AE1291" s="46">
        <v>11.8</v>
      </c>
    </row>
    <row r="1292" spans="1:31" x14ac:dyDescent="0.25">
      <c r="A1292" s="136">
        <v>43035</v>
      </c>
      <c r="B1292" s="201" t="s">
        <v>77</v>
      </c>
      <c r="C1292" t="s">
        <v>128</v>
      </c>
      <c r="D1292">
        <v>3700</v>
      </c>
      <c r="E1292">
        <v>3700</v>
      </c>
      <c r="F1292">
        <v>6.0250000000000004</v>
      </c>
      <c r="G1292">
        <v>1907.14</v>
      </c>
      <c r="H1292">
        <v>8.5500000000000007</v>
      </c>
      <c r="I1292" s="309">
        <v>24198</v>
      </c>
      <c r="J1292">
        <v>6.54</v>
      </c>
      <c r="K1292" s="133">
        <v>5.48380817141354E-2</v>
      </c>
      <c r="L1292" s="181">
        <v>-74</v>
      </c>
      <c r="M1292" s="133">
        <v>5.05160757979317E-2</v>
      </c>
      <c r="N1292" s="73">
        <v>1698.194</v>
      </c>
      <c r="O1292" s="73">
        <v>331.88744758308098</v>
      </c>
      <c r="P1292" s="182">
        <v>7</v>
      </c>
      <c r="Q1292" s="182">
        <v>3500</v>
      </c>
      <c r="R1292" s="46">
        <v>6.7409999999999997</v>
      </c>
      <c r="S1292" s="46">
        <v>1</v>
      </c>
      <c r="T1292" s="46">
        <v>400</v>
      </c>
      <c r="U1292" s="46">
        <v>6.62</v>
      </c>
      <c r="V1292" s="46" t="s">
        <v>62</v>
      </c>
      <c r="W1292" s="46">
        <v>3100</v>
      </c>
      <c r="X1292" s="46">
        <v>6.7569999999999997</v>
      </c>
      <c r="Y1292" s="194">
        <v>6.5229999999999997</v>
      </c>
      <c r="Z1292" s="194">
        <v>6.5549999999999997</v>
      </c>
      <c r="AA1292" s="194">
        <v>6.8860000000000001</v>
      </c>
      <c r="AB1292" s="46">
        <v>6.55</v>
      </c>
      <c r="AC1292" s="46">
        <v>6.58</v>
      </c>
      <c r="AD1292" s="46">
        <v>6.49</v>
      </c>
      <c r="AE1292" s="46">
        <v>6.54</v>
      </c>
    </row>
    <row r="1293" spans="1:31" x14ac:dyDescent="0.25">
      <c r="A1293" s="136">
        <v>43035</v>
      </c>
      <c r="B1293" s="201" t="s">
        <v>67</v>
      </c>
      <c r="C1293" t="s">
        <v>129</v>
      </c>
      <c r="D1293">
        <v>4850</v>
      </c>
      <c r="E1293">
        <v>4850</v>
      </c>
      <c r="F1293">
        <v>9.0020000000000007</v>
      </c>
      <c r="G1293">
        <v>524.95000000000005</v>
      </c>
      <c r="H1293">
        <v>1.2</v>
      </c>
      <c r="I1293" s="309">
        <v>44183.5</v>
      </c>
      <c r="J1293">
        <v>9.11</v>
      </c>
      <c r="K1293" s="133">
        <v>0.100129695983821</v>
      </c>
      <c r="L1293" s="181">
        <v>-291</v>
      </c>
      <c r="M1293" s="133">
        <v>9.89400418390224E-2</v>
      </c>
      <c r="N1293" s="73">
        <v>33589.094999999899</v>
      </c>
      <c r="O1293" s="73">
        <v>88.689438985796201</v>
      </c>
      <c r="P1293" s="182">
        <v>15</v>
      </c>
      <c r="Q1293" s="182">
        <v>7500</v>
      </c>
      <c r="R1293" s="46">
        <v>6.181</v>
      </c>
      <c r="S1293" s="46">
        <v>17</v>
      </c>
      <c r="T1293" s="46">
        <v>7100</v>
      </c>
      <c r="U1293" s="46">
        <v>8.9949999999999992</v>
      </c>
      <c r="V1293" s="46" t="s">
        <v>62</v>
      </c>
      <c r="W1293" s="46">
        <v>400</v>
      </c>
      <c r="X1293" s="46">
        <v>-43.768000000000001</v>
      </c>
      <c r="Y1293" s="194">
        <v>9.0969999999999995</v>
      </c>
      <c r="Z1293" s="193">
        <v>9.3759999999999994</v>
      </c>
      <c r="AA1293" s="193">
        <v>9.0690000000000008</v>
      </c>
      <c r="AB1293" s="46">
        <v>9.17</v>
      </c>
      <c r="AC1293" s="46">
        <v>9.18</v>
      </c>
      <c r="AD1293" s="46">
        <v>9.06</v>
      </c>
      <c r="AE1293" s="46">
        <v>9.11</v>
      </c>
    </row>
    <row r="1294" spans="1:31" x14ac:dyDescent="0.25">
      <c r="A1294" s="136">
        <v>43035</v>
      </c>
      <c r="B1294" s="201" t="s">
        <v>78</v>
      </c>
      <c r="C1294" t="s">
        <v>142</v>
      </c>
      <c r="D1294">
        <v>100</v>
      </c>
      <c r="E1294">
        <v>100</v>
      </c>
      <c r="F1294">
        <v>10.987</v>
      </c>
      <c r="G1294">
        <v>87.3</v>
      </c>
      <c r="H1294">
        <v>7.95</v>
      </c>
      <c r="I1294" s="309">
        <v>1186</v>
      </c>
      <c r="J1294">
        <v>11.86</v>
      </c>
      <c r="K1294" s="133">
        <v>2.6877413386628898E-3</v>
      </c>
      <c r="L1294" s="181">
        <v>-29</v>
      </c>
      <c r="M1294" s="133">
        <v>2.4899000074105498E-3</v>
      </c>
      <c r="N1294" s="73">
        <v>75.304000000000102</v>
      </c>
      <c r="O1294" s="73">
        <v>6.41110289608178</v>
      </c>
      <c r="P1294" s="182">
        <v>1</v>
      </c>
      <c r="Q1294" s="182">
        <v>500</v>
      </c>
      <c r="R1294" s="46">
        <v>11.56</v>
      </c>
      <c r="S1294" s="46">
        <v>1</v>
      </c>
      <c r="T1294" s="46">
        <v>400</v>
      </c>
      <c r="U1294" s="46">
        <v>11.74</v>
      </c>
      <c r="V1294" s="46" t="s">
        <v>62</v>
      </c>
      <c r="W1294" s="46">
        <v>100</v>
      </c>
      <c r="X1294" s="46">
        <v>10.84</v>
      </c>
    </row>
    <row r="1295" spans="1:31" x14ac:dyDescent="0.25">
      <c r="A1295" s="136">
        <v>43035</v>
      </c>
      <c r="B1295" s="201" t="s">
        <v>72</v>
      </c>
      <c r="C1295" t="s">
        <v>130</v>
      </c>
      <c r="D1295">
        <v>2100</v>
      </c>
      <c r="E1295">
        <v>2100</v>
      </c>
      <c r="F1295">
        <v>8.4559999999999995</v>
      </c>
      <c r="G1295">
        <v>-1146.8800000000001</v>
      </c>
      <c r="H1295">
        <v>-6.46</v>
      </c>
      <c r="I1295" s="309">
        <v>16611</v>
      </c>
      <c r="J1295">
        <v>7.91</v>
      </c>
      <c r="K1295" s="133">
        <v>3.7644242307360201E-2</v>
      </c>
      <c r="L1295" s="181">
        <v>0</v>
      </c>
      <c r="M1295" s="133">
        <v>4.0243328973874302E-2</v>
      </c>
    </row>
    <row r="1296" spans="1:31" x14ac:dyDescent="0.25">
      <c r="A1296" s="136">
        <v>43035</v>
      </c>
      <c r="B1296" s="201" t="s">
        <v>70</v>
      </c>
      <c r="C1296" t="s">
        <v>131</v>
      </c>
      <c r="D1296">
        <v>7900</v>
      </c>
      <c r="E1296">
        <v>7900</v>
      </c>
      <c r="F1296">
        <v>12.513</v>
      </c>
      <c r="G1296">
        <v>-2000.46</v>
      </c>
      <c r="H1296">
        <v>-2.02</v>
      </c>
      <c r="I1296" s="309">
        <v>96854</v>
      </c>
      <c r="J1296">
        <v>12.26</v>
      </c>
      <c r="K1296" s="133">
        <v>0.219492832727534</v>
      </c>
      <c r="L1296" s="181">
        <v>-1787</v>
      </c>
      <c r="M1296" s="133">
        <v>0.22402632264181899</v>
      </c>
      <c r="N1296" s="73">
        <v>-740.44200000002502</v>
      </c>
      <c r="O1296" s="73">
        <v>-59.587099758456098</v>
      </c>
      <c r="P1296" s="182">
        <v>2</v>
      </c>
      <c r="Q1296" s="182">
        <v>1000</v>
      </c>
      <c r="R1296" s="46">
        <v>12.445</v>
      </c>
      <c r="S1296" s="46">
        <v>9</v>
      </c>
      <c r="T1296" s="46">
        <v>3600</v>
      </c>
      <c r="U1296" s="46">
        <v>13.278</v>
      </c>
      <c r="V1296" s="46" t="s">
        <v>68</v>
      </c>
      <c r="W1296" s="46">
        <v>2600</v>
      </c>
      <c r="X1296" s="46">
        <v>13.598000000000001</v>
      </c>
      <c r="Y1296" s="194">
        <v>12.371</v>
      </c>
      <c r="Z1296" s="194">
        <v>12.718</v>
      </c>
      <c r="AA1296" s="194">
        <v>12.677</v>
      </c>
      <c r="AB1296" s="46">
        <v>12.48</v>
      </c>
      <c r="AC1296" s="46">
        <v>12.5</v>
      </c>
      <c r="AD1296" s="46">
        <v>12.25</v>
      </c>
      <c r="AE1296" s="46">
        <v>12.26</v>
      </c>
    </row>
    <row r="1297" spans="1:31" x14ac:dyDescent="0.25">
      <c r="A1297" s="136">
        <v>43035</v>
      </c>
      <c r="B1297" s="201" t="s">
        <v>137</v>
      </c>
      <c r="C1297" t="s">
        <v>138</v>
      </c>
      <c r="D1297">
        <v>100</v>
      </c>
      <c r="E1297">
        <v>100</v>
      </c>
      <c r="F1297">
        <v>-130.48500000000001</v>
      </c>
      <c r="G1297">
        <v>17908.5</v>
      </c>
      <c r="H1297">
        <v>0</v>
      </c>
      <c r="I1297" s="309">
        <v>4860</v>
      </c>
      <c r="J1297">
        <v>48.6</v>
      </c>
      <c r="K1297" s="133">
        <v>1.1013847306831101E-2</v>
      </c>
      <c r="L1297" s="181">
        <v>-93</v>
      </c>
      <c r="M1297" s="133">
        <v>0</v>
      </c>
    </row>
    <row r="1298" spans="1:31" x14ac:dyDescent="0.25">
      <c r="A1298" s="136">
        <v>43035</v>
      </c>
      <c r="B1298" s="201" t="s">
        <v>835</v>
      </c>
      <c r="C1298" t="s">
        <v>839</v>
      </c>
      <c r="I1298" s="309">
        <v>2875.45</v>
      </c>
      <c r="K1298" s="133">
        <v>6.5164130120220903E-3</v>
      </c>
      <c r="L1298" s="181">
        <v>0</v>
      </c>
      <c r="M1298" s="133">
        <v>0.14346147997553399</v>
      </c>
    </row>
    <row r="1299" spans="1:31" x14ac:dyDescent="0.25">
      <c r="A1299" s="136">
        <v>43038</v>
      </c>
      <c r="B1299" s="201" t="s">
        <v>132</v>
      </c>
      <c r="C1299" t="s">
        <v>123</v>
      </c>
      <c r="D1299">
        <v>24379</v>
      </c>
      <c r="E1299">
        <v>24379</v>
      </c>
      <c r="F1299">
        <v>-0.10100000000000001</v>
      </c>
      <c r="G1299">
        <v>2706.069</v>
      </c>
      <c r="H1299">
        <v>0</v>
      </c>
      <c r="I1299" s="309">
        <v>243.79</v>
      </c>
      <c r="J1299">
        <v>0.01</v>
      </c>
      <c r="K1299" s="133">
        <v>5.6508737274379105E-4</v>
      </c>
      <c r="L1299" s="181">
        <v>7.82900000000018</v>
      </c>
      <c r="M1299" s="133">
        <v>0</v>
      </c>
    </row>
    <row r="1300" spans="1:31" x14ac:dyDescent="0.25">
      <c r="A1300" s="136">
        <v>43038</v>
      </c>
      <c r="B1300" s="201" t="s">
        <v>61</v>
      </c>
      <c r="C1300" t="s">
        <v>136</v>
      </c>
      <c r="D1300">
        <v>2900</v>
      </c>
      <c r="E1300">
        <v>2900</v>
      </c>
      <c r="F1300">
        <v>5.3490000000000002</v>
      </c>
      <c r="G1300">
        <v>-257.24</v>
      </c>
      <c r="H1300">
        <v>-1.66</v>
      </c>
      <c r="I1300" s="309">
        <v>15254</v>
      </c>
      <c r="J1300">
        <v>5.26</v>
      </c>
      <c r="K1300" s="133">
        <v>3.5357655292808501E-2</v>
      </c>
      <c r="L1300" s="181">
        <v>-145</v>
      </c>
      <c r="M1300" s="133">
        <v>3.5953918780911399E-2</v>
      </c>
      <c r="N1300" s="73">
        <v>-144.28800000000001</v>
      </c>
      <c r="O1300" s="73">
        <v>-27.210538867924601</v>
      </c>
      <c r="P1300" s="182">
        <v>5</v>
      </c>
      <c r="Q1300" s="182">
        <v>2500</v>
      </c>
      <c r="R1300" s="46">
        <v>5.3659999999999997</v>
      </c>
      <c r="S1300" s="46">
        <v>0</v>
      </c>
      <c r="T1300" s="46">
        <v>0</v>
      </c>
      <c r="U1300" s="46">
        <v>0</v>
      </c>
      <c r="V1300" s="46" t="s">
        <v>62</v>
      </c>
      <c r="W1300" s="46">
        <v>2500</v>
      </c>
      <c r="X1300" s="46">
        <v>5.3659999999999997</v>
      </c>
    </row>
    <row r="1301" spans="1:31" x14ac:dyDescent="0.25">
      <c r="A1301" s="136">
        <v>43038</v>
      </c>
      <c r="B1301" s="201" t="s">
        <v>124</v>
      </c>
      <c r="C1301" t="s">
        <v>125</v>
      </c>
      <c r="D1301">
        <v>100</v>
      </c>
      <c r="E1301">
        <v>100</v>
      </c>
      <c r="F1301">
        <v>-53.579000000000001</v>
      </c>
      <c r="G1301">
        <v>5982.9</v>
      </c>
      <c r="H1301">
        <v>0</v>
      </c>
      <c r="I1301" s="309">
        <v>625</v>
      </c>
      <c r="J1301">
        <v>6.25</v>
      </c>
      <c r="K1301" s="133">
        <v>1.4487042453130499E-3</v>
      </c>
      <c r="L1301" s="181">
        <v>6</v>
      </c>
      <c r="M1301" s="133">
        <v>0</v>
      </c>
      <c r="N1301" s="73">
        <v>5995.0890000000099</v>
      </c>
      <c r="O1301" s="73">
        <v>1102.4501845505599</v>
      </c>
      <c r="P1301" s="182">
        <v>0</v>
      </c>
      <c r="Q1301" s="182">
        <v>0</v>
      </c>
      <c r="R1301" s="46">
        <v>0</v>
      </c>
      <c r="S1301" s="46">
        <v>5</v>
      </c>
      <c r="T1301" s="46">
        <v>2300</v>
      </c>
      <c r="U1301" s="46">
        <v>4.99</v>
      </c>
      <c r="V1301" s="46" t="s">
        <v>68</v>
      </c>
      <c r="W1301" s="46">
        <v>2300</v>
      </c>
      <c r="X1301" s="46">
        <v>4.99</v>
      </c>
      <c r="Y1301" s="193">
        <v>6.3010000000000002</v>
      </c>
      <c r="Z1301" s="193">
        <v>5.3819999999999997</v>
      </c>
      <c r="AA1301" s="193">
        <v>5.6959999999999997</v>
      </c>
      <c r="AB1301" s="46">
        <v>6.18</v>
      </c>
      <c r="AC1301" s="46">
        <v>6.28</v>
      </c>
      <c r="AD1301" s="46">
        <v>6.15</v>
      </c>
      <c r="AE1301" s="46">
        <v>6.25</v>
      </c>
    </row>
    <row r="1302" spans="1:31" x14ac:dyDescent="0.25">
      <c r="A1302" s="136">
        <v>43038</v>
      </c>
      <c r="B1302" s="201" t="s">
        <v>71</v>
      </c>
      <c r="C1302" t="s">
        <v>126</v>
      </c>
      <c r="D1302">
        <v>5200</v>
      </c>
      <c r="E1302">
        <v>5200</v>
      </c>
      <c r="F1302">
        <v>6.141</v>
      </c>
      <c r="G1302">
        <v>408.35</v>
      </c>
      <c r="H1302">
        <v>1.29</v>
      </c>
      <c r="I1302" s="309">
        <v>32344</v>
      </c>
      <c r="J1302">
        <v>6.22</v>
      </c>
      <c r="K1302" s="133">
        <v>7.4971024176648596E-2</v>
      </c>
      <c r="L1302" s="181">
        <v>-522.05999999999995</v>
      </c>
      <c r="M1302" s="133">
        <v>7.4024498770930897E-2</v>
      </c>
      <c r="N1302" s="73">
        <v>1438.0720000000099</v>
      </c>
      <c r="O1302" s="73">
        <v>64.818378456593294</v>
      </c>
      <c r="P1302" s="182">
        <v>6</v>
      </c>
      <c r="Q1302" s="182">
        <v>3000</v>
      </c>
      <c r="R1302" s="46">
        <v>6.367</v>
      </c>
      <c r="S1302" s="46">
        <v>0</v>
      </c>
      <c r="T1302" s="46">
        <v>0</v>
      </c>
      <c r="U1302" s="46">
        <v>0</v>
      </c>
      <c r="V1302" s="46" t="s">
        <v>62</v>
      </c>
      <c r="W1302" s="46">
        <v>3000</v>
      </c>
      <c r="X1302" s="46">
        <v>6.367</v>
      </c>
      <c r="Y1302" s="194">
        <v>6.2329999999999997</v>
      </c>
      <c r="Z1302" s="194">
        <v>6.4560000000000004</v>
      </c>
      <c r="AA1302" s="194">
        <v>6.657</v>
      </c>
      <c r="AB1302" s="46">
        <v>6.34</v>
      </c>
      <c r="AC1302" s="46">
        <v>6.34</v>
      </c>
      <c r="AD1302" s="46">
        <v>6.21</v>
      </c>
      <c r="AE1302" s="46">
        <v>6.22</v>
      </c>
    </row>
    <row r="1303" spans="1:31" x14ac:dyDescent="0.25">
      <c r="A1303" s="136">
        <v>43038</v>
      </c>
      <c r="B1303" s="201" t="s">
        <v>79</v>
      </c>
      <c r="C1303" t="s">
        <v>143</v>
      </c>
      <c r="D1303">
        <v>2000</v>
      </c>
      <c r="E1303">
        <v>2000</v>
      </c>
      <c r="F1303">
        <v>17.873000000000001</v>
      </c>
      <c r="G1303">
        <v>-1005.71</v>
      </c>
      <c r="H1303">
        <v>-2.81</v>
      </c>
      <c r="I1303" s="309">
        <v>34740</v>
      </c>
      <c r="J1303">
        <v>17.37</v>
      </c>
      <c r="K1303" s="133">
        <v>8.0524776771480802E-2</v>
      </c>
      <c r="L1303" s="181">
        <v>-805.17</v>
      </c>
      <c r="M1303" s="133">
        <v>8.2855938925966793E-2</v>
      </c>
      <c r="N1303" s="73">
        <v>-806.19999999999698</v>
      </c>
      <c r="O1303" s="73">
        <v>-46.1246078992557</v>
      </c>
      <c r="P1303" s="182">
        <v>3</v>
      </c>
      <c r="Q1303" s="182">
        <v>2000</v>
      </c>
      <c r="R1303" s="46">
        <v>17.864999999999998</v>
      </c>
      <c r="S1303" s="46">
        <v>0</v>
      </c>
      <c r="T1303" s="46">
        <v>0</v>
      </c>
      <c r="U1303" s="46">
        <v>0</v>
      </c>
      <c r="V1303" s="46" t="s">
        <v>62</v>
      </c>
      <c r="W1303" s="46">
        <v>2000</v>
      </c>
      <c r="X1303" s="46">
        <v>17.864999999999998</v>
      </c>
    </row>
    <row r="1304" spans="1:31" x14ac:dyDescent="0.25">
      <c r="A1304" s="136">
        <v>43038</v>
      </c>
      <c r="B1304" s="201" t="s">
        <v>140</v>
      </c>
      <c r="C1304" t="s">
        <v>141</v>
      </c>
      <c r="D1304">
        <v>200</v>
      </c>
      <c r="E1304">
        <v>200</v>
      </c>
      <c r="F1304">
        <v>48.975999999999999</v>
      </c>
      <c r="G1304">
        <v>4.8</v>
      </c>
      <c r="H1304">
        <v>0.05</v>
      </c>
      <c r="I1304" s="309">
        <v>9800</v>
      </c>
      <c r="J1304">
        <v>49</v>
      </c>
      <c r="K1304" s="133">
        <v>2.2715682566508699E-2</v>
      </c>
      <c r="L1304" s="181">
        <v>-312</v>
      </c>
      <c r="M1304" s="133">
        <v>2.2704556517904699E-2</v>
      </c>
      <c r="N1304" s="73">
        <v>-95.119000000000597</v>
      </c>
      <c r="O1304" s="73">
        <v>-1.9602358865979499</v>
      </c>
      <c r="P1304" s="182">
        <v>2</v>
      </c>
      <c r="Q1304" s="182">
        <v>200</v>
      </c>
      <c r="R1304" s="46">
        <v>48.924999999999997</v>
      </c>
      <c r="S1304" s="46">
        <v>0</v>
      </c>
      <c r="T1304" s="46">
        <v>0</v>
      </c>
      <c r="U1304" s="46">
        <v>0</v>
      </c>
      <c r="V1304" s="46" t="s">
        <v>62</v>
      </c>
      <c r="W1304" s="46">
        <v>200</v>
      </c>
      <c r="X1304" s="46">
        <v>48.924999999999997</v>
      </c>
      <c r="Y1304" s="194">
        <v>48.801000000000002</v>
      </c>
      <c r="Z1304" s="194">
        <v>49.244</v>
      </c>
      <c r="AA1304" s="194">
        <v>49.787999999999997</v>
      </c>
      <c r="AB1304" s="46">
        <v>49.94</v>
      </c>
      <c r="AC1304" s="46">
        <v>49.98</v>
      </c>
      <c r="AD1304" s="46">
        <v>48</v>
      </c>
      <c r="AE1304" s="46">
        <v>49</v>
      </c>
    </row>
    <row r="1305" spans="1:31" x14ac:dyDescent="0.25">
      <c r="A1305" s="136">
        <v>43038</v>
      </c>
      <c r="B1305" s="201" t="s">
        <v>65</v>
      </c>
      <c r="C1305" t="s">
        <v>127</v>
      </c>
      <c r="D1305">
        <v>10100</v>
      </c>
      <c r="E1305">
        <v>10100</v>
      </c>
      <c r="F1305">
        <v>10.275</v>
      </c>
      <c r="G1305">
        <v>12374.28</v>
      </c>
      <c r="H1305">
        <v>11.92</v>
      </c>
      <c r="I1305" s="309">
        <v>116150</v>
      </c>
      <c r="J1305">
        <v>11.5</v>
      </c>
      <c r="K1305" s="133">
        <v>0.26922719694897801</v>
      </c>
      <c r="L1305" s="181">
        <v>-2830</v>
      </c>
      <c r="M1305" s="133">
        <v>0.24054452179906999</v>
      </c>
      <c r="N1305" s="73">
        <v>7788.8450000000403</v>
      </c>
      <c r="O1305" s="73">
        <v>1051.8189451394901</v>
      </c>
      <c r="P1305" s="182">
        <v>0</v>
      </c>
      <c r="Q1305" s="182">
        <v>0</v>
      </c>
      <c r="R1305" s="46">
        <v>0</v>
      </c>
      <c r="S1305" s="46">
        <v>16</v>
      </c>
      <c r="T1305" s="46">
        <v>6900</v>
      </c>
      <c r="U1305" s="46">
        <v>12.496</v>
      </c>
      <c r="V1305" s="46" t="s">
        <v>68</v>
      </c>
      <c r="W1305" s="46">
        <v>6900</v>
      </c>
      <c r="X1305" s="46">
        <v>12.496</v>
      </c>
      <c r="Y1305" s="194">
        <v>11.503</v>
      </c>
      <c r="Z1305" s="194">
        <v>11.67</v>
      </c>
      <c r="AA1305" s="194">
        <v>11.945</v>
      </c>
      <c r="AB1305" s="46">
        <v>11.8</v>
      </c>
      <c r="AC1305" s="46">
        <v>11.83</v>
      </c>
      <c r="AD1305" s="46">
        <v>11.4</v>
      </c>
      <c r="AE1305" s="46">
        <v>11.5</v>
      </c>
    </row>
    <row r="1306" spans="1:31" x14ac:dyDescent="0.25">
      <c r="A1306" s="136">
        <v>43038</v>
      </c>
      <c r="B1306" s="201" t="s">
        <v>77</v>
      </c>
      <c r="C1306" t="s">
        <v>128</v>
      </c>
      <c r="D1306">
        <v>4200</v>
      </c>
      <c r="E1306">
        <v>4200</v>
      </c>
      <c r="F1306">
        <v>6.069</v>
      </c>
      <c r="G1306">
        <v>1305.1400000000001</v>
      </c>
      <c r="H1306">
        <v>5.13</v>
      </c>
      <c r="I1306" s="309">
        <v>26796</v>
      </c>
      <c r="J1306">
        <v>6.38</v>
      </c>
      <c r="K1306" s="133">
        <v>6.21111663318537E-2</v>
      </c>
      <c r="L1306" s="181">
        <v>-602</v>
      </c>
      <c r="M1306" s="133">
        <v>5.90859473578891E-2</v>
      </c>
      <c r="N1306" s="73">
        <v>842.19399999999598</v>
      </c>
      <c r="O1306" s="73">
        <v>209.94098638497599</v>
      </c>
      <c r="P1306" s="182">
        <v>8</v>
      </c>
      <c r="Q1306" s="182">
        <v>4000</v>
      </c>
      <c r="R1306" s="46">
        <v>6.6980000000000004</v>
      </c>
      <c r="S1306" s="46">
        <v>1</v>
      </c>
      <c r="T1306" s="46">
        <v>400</v>
      </c>
      <c r="U1306" s="46">
        <v>6.62</v>
      </c>
      <c r="V1306" s="46" t="s">
        <v>62</v>
      </c>
      <c r="W1306" s="46">
        <v>3600</v>
      </c>
      <c r="X1306" s="46">
        <v>6.7069999999999999</v>
      </c>
      <c r="Y1306" s="194">
        <v>6.4020000000000001</v>
      </c>
      <c r="Z1306" s="194">
        <v>6.4989999999999997</v>
      </c>
      <c r="AA1306" s="194">
        <v>6.8739999999999997</v>
      </c>
      <c r="AB1306" s="46">
        <v>6.54</v>
      </c>
      <c r="AC1306" s="46">
        <v>6.56</v>
      </c>
      <c r="AD1306" s="46">
        <v>6.35</v>
      </c>
      <c r="AE1306" s="46">
        <v>6.38</v>
      </c>
    </row>
    <row r="1307" spans="1:31" x14ac:dyDescent="0.25">
      <c r="A1307" s="136">
        <v>43038</v>
      </c>
      <c r="B1307" s="201" t="s">
        <v>67</v>
      </c>
      <c r="C1307" t="s">
        <v>129</v>
      </c>
      <c r="D1307">
        <v>5350</v>
      </c>
      <c r="E1307">
        <v>5350</v>
      </c>
      <c r="F1307">
        <v>9.0009999999999994</v>
      </c>
      <c r="G1307">
        <v>-110.55</v>
      </c>
      <c r="H1307">
        <v>-0.23</v>
      </c>
      <c r="I1307" s="309">
        <v>48043</v>
      </c>
      <c r="J1307">
        <v>8.98</v>
      </c>
      <c r="K1307" s="133">
        <v>0.11136015689212</v>
      </c>
      <c r="L1307" s="181">
        <v>-635.5</v>
      </c>
      <c r="M1307" s="133">
        <v>0.111616403699031</v>
      </c>
      <c r="N1307" s="73">
        <v>32662.594999999899</v>
      </c>
      <c r="O1307" s="73">
        <v>-12.5561909243039</v>
      </c>
      <c r="P1307" s="182">
        <v>16</v>
      </c>
      <c r="Q1307" s="182">
        <v>8000</v>
      </c>
      <c r="R1307" s="46">
        <v>6.3559999999999999</v>
      </c>
      <c r="S1307" s="46">
        <v>17</v>
      </c>
      <c r="T1307" s="46">
        <v>7100</v>
      </c>
      <c r="U1307" s="46">
        <v>8.9949999999999992</v>
      </c>
      <c r="V1307" s="46" t="s">
        <v>62</v>
      </c>
      <c r="W1307" s="46">
        <v>900</v>
      </c>
      <c r="X1307" s="46">
        <v>-14.462999999999999</v>
      </c>
      <c r="Y1307" s="194">
        <v>8.968</v>
      </c>
      <c r="Z1307" s="193">
        <v>9.4390000000000001</v>
      </c>
      <c r="AA1307" s="193">
        <v>9.0679999999999996</v>
      </c>
      <c r="AB1307" s="46">
        <v>9.1</v>
      </c>
      <c r="AC1307" s="46">
        <v>9.17</v>
      </c>
      <c r="AD1307" s="46">
        <v>8.91</v>
      </c>
      <c r="AE1307" s="46">
        <v>8.98</v>
      </c>
    </row>
    <row r="1308" spans="1:31" x14ac:dyDescent="0.25">
      <c r="A1308" s="136">
        <v>43038</v>
      </c>
      <c r="B1308" s="201" t="s">
        <v>78</v>
      </c>
      <c r="C1308" t="s">
        <v>142</v>
      </c>
      <c r="D1308">
        <v>100</v>
      </c>
      <c r="E1308">
        <v>100</v>
      </c>
      <c r="F1308">
        <v>10.987</v>
      </c>
      <c r="G1308">
        <v>112.3</v>
      </c>
      <c r="H1308">
        <v>10.220000000000001</v>
      </c>
      <c r="I1308" s="309">
        <v>1211</v>
      </c>
      <c r="J1308">
        <v>12.11</v>
      </c>
      <c r="K1308" s="133">
        <v>2.8070093457185702E-3</v>
      </c>
      <c r="L1308" s="181">
        <v>25</v>
      </c>
      <c r="M1308" s="133">
        <v>2.54670616692072E-3</v>
      </c>
      <c r="N1308" s="73">
        <v>75.304000000000102</v>
      </c>
      <c r="O1308" s="73">
        <v>6.41110289608178</v>
      </c>
      <c r="P1308" s="182">
        <v>1</v>
      </c>
      <c r="Q1308" s="182">
        <v>500</v>
      </c>
      <c r="R1308" s="46">
        <v>11.56</v>
      </c>
      <c r="S1308" s="46">
        <v>1</v>
      </c>
      <c r="T1308" s="46">
        <v>400</v>
      </c>
      <c r="U1308" s="46">
        <v>11.74</v>
      </c>
      <c r="V1308" s="46" t="s">
        <v>62</v>
      </c>
      <c r="W1308" s="46">
        <v>100</v>
      </c>
      <c r="X1308" s="46">
        <v>10.84</v>
      </c>
    </row>
    <row r="1309" spans="1:31" x14ac:dyDescent="0.25">
      <c r="A1309" s="136">
        <v>43038</v>
      </c>
      <c r="B1309" s="201" t="s">
        <v>72</v>
      </c>
      <c r="C1309" t="s">
        <v>130</v>
      </c>
      <c r="D1309">
        <v>2100</v>
      </c>
      <c r="E1309">
        <v>2100</v>
      </c>
      <c r="F1309">
        <v>8.4559999999999995</v>
      </c>
      <c r="G1309">
        <v>-1146.8800000000001</v>
      </c>
      <c r="H1309">
        <v>-6.46</v>
      </c>
      <c r="I1309" s="309">
        <v>16611</v>
      </c>
      <c r="J1309">
        <v>7.91</v>
      </c>
      <c r="K1309" s="133">
        <v>3.85030819502322E-2</v>
      </c>
      <c r="L1309" s="181">
        <v>0</v>
      </c>
      <c r="M1309" s="133">
        <v>4.1161465830015599E-2</v>
      </c>
    </row>
    <row r="1310" spans="1:31" x14ac:dyDescent="0.25">
      <c r="A1310" s="136">
        <v>43038</v>
      </c>
      <c r="B1310" s="201" t="s">
        <v>70</v>
      </c>
      <c r="C1310" t="s">
        <v>131</v>
      </c>
      <c r="D1310">
        <v>8400</v>
      </c>
      <c r="E1310">
        <v>8400</v>
      </c>
      <c r="F1310">
        <v>12.481</v>
      </c>
      <c r="G1310">
        <v>-5551.46</v>
      </c>
      <c r="H1310">
        <v>-5.3</v>
      </c>
      <c r="I1310" s="309">
        <v>99288</v>
      </c>
      <c r="J1310">
        <v>11.82</v>
      </c>
      <c r="K1310" s="133">
        <v>0.23014231537382801</v>
      </c>
      <c r="L1310" s="181">
        <v>-3551</v>
      </c>
      <c r="M1310" s="133">
        <v>0.243010193245325</v>
      </c>
      <c r="N1310" s="73">
        <v>-4379.44200000002</v>
      </c>
      <c r="O1310" s="73">
        <v>-365.990993227427</v>
      </c>
      <c r="P1310" s="182">
        <v>3</v>
      </c>
      <c r="Q1310" s="182">
        <v>1500</v>
      </c>
      <c r="R1310" s="46">
        <v>12.282999999999999</v>
      </c>
      <c r="S1310" s="46">
        <v>9</v>
      </c>
      <c r="T1310" s="46">
        <v>3600</v>
      </c>
      <c r="U1310" s="46">
        <v>13.278</v>
      </c>
      <c r="V1310" s="46" t="s">
        <v>68</v>
      </c>
      <c r="W1310" s="46">
        <v>2100</v>
      </c>
      <c r="X1310" s="46">
        <v>13.989000000000001</v>
      </c>
      <c r="Y1310" s="194">
        <v>11.928000000000001</v>
      </c>
      <c r="Z1310" s="194">
        <v>12.661</v>
      </c>
      <c r="AA1310" s="194">
        <v>12.661</v>
      </c>
      <c r="AB1310" s="46">
        <v>12.3</v>
      </c>
      <c r="AC1310" s="46">
        <v>12.31</v>
      </c>
      <c r="AD1310" s="46">
        <v>11.79</v>
      </c>
      <c r="AE1310" s="46">
        <v>11.82</v>
      </c>
    </row>
    <row r="1311" spans="1:31" x14ac:dyDescent="0.25">
      <c r="A1311" s="136">
        <v>43038</v>
      </c>
      <c r="B1311" s="201" t="s">
        <v>137</v>
      </c>
      <c r="C1311" t="s">
        <v>138</v>
      </c>
      <c r="D1311">
        <v>100</v>
      </c>
      <c r="E1311">
        <v>100</v>
      </c>
      <c r="F1311">
        <v>-130.48500000000001</v>
      </c>
      <c r="G1311">
        <v>17422.5</v>
      </c>
      <c r="H1311">
        <v>0</v>
      </c>
      <c r="I1311" s="309">
        <v>4374</v>
      </c>
      <c r="J1311">
        <v>43.74</v>
      </c>
      <c r="K1311" s="133">
        <v>1.01386117903989E-2</v>
      </c>
      <c r="L1311" s="181">
        <v>-486</v>
      </c>
      <c r="M1311" s="133">
        <v>0</v>
      </c>
    </row>
    <row r="1312" spans="1:31" x14ac:dyDescent="0.25">
      <c r="A1312" s="136">
        <v>43038</v>
      </c>
      <c r="B1312" s="201" t="s">
        <v>835</v>
      </c>
      <c r="C1312" t="s">
        <v>839</v>
      </c>
      <c r="I1312" s="309">
        <v>25940.22</v>
      </c>
      <c r="K1312" s="133">
        <v>6.0127530941367302E-2</v>
      </c>
      <c r="L1312" s="181">
        <v>0</v>
      </c>
      <c r="M1312" s="133">
        <v>6.0692618314111102E-2</v>
      </c>
    </row>
    <row r="1313" spans="1:31" x14ac:dyDescent="0.25">
      <c r="A1313" s="136">
        <v>43039</v>
      </c>
      <c r="B1313" s="201" t="s">
        <v>132</v>
      </c>
      <c r="C1313" t="s">
        <v>123</v>
      </c>
      <c r="D1313">
        <v>24382</v>
      </c>
      <c r="E1313">
        <v>24382</v>
      </c>
      <c r="F1313">
        <v>-0.10100000000000001</v>
      </c>
      <c r="G1313">
        <v>2706.402</v>
      </c>
      <c r="H1313">
        <v>0</v>
      </c>
      <c r="I1313" s="309">
        <v>243.82</v>
      </c>
      <c r="J1313">
        <v>0.01</v>
      </c>
      <c r="K1313" s="133">
        <v>5.6302117039959702E-4</v>
      </c>
      <c r="L1313" s="181">
        <v>0.33300000000008401</v>
      </c>
      <c r="M1313" s="133">
        <v>0</v>
      </c>
    </row>
    <row r="1314" spans="1:31" x14ac:dyDescent="0.25">
      <c r="A1314" s="136">
        <v>43039</v>
      </c>
      <c r="B1314" s="201" t="s">
        <v>61</v>
      </c>
      <c r="C1314" t="s">
        <v>136</v>
      </c>
      <c r="D1314">
        <v>2900</v>
      </c>
      <c r="E1314">
        <v>2900</v>
      </c>
      <c r="F1314">
        <v>5.3490000000000002</v>
      </c>
      <c r="G1314">
        <v>-228.24</v>
      </c>
      <c r="H1314">
        <v>-1.48</v>
      </c>
      <c r="I1314" s="309">
        <v>15283</v>
      </c>
      <c r="J1314">
        <v>5.27</v>
      </c>
      <c r="K1314" s="133">
        <v>3.5291003802875302E-2</v>
      </c>
      <c r="L1314" s="181">
        <v>29</v>
      </c>
      <c r="M1314" s="133">
        <v>3.5818048146784701E-2</v>
      </c>
      <c r="N1314" s="73">
        <v>-144.28800000000001</v>
      </c>
      <c r="O1314" s="73">
        <v>-27.210538867924601</v>
      </c>
      <c r="P1314" s="182">
        <v>5</v>
      </c>
      <c r="Q1314" s="182">
        <v>2500</v>
      </c>
      <c r="R1314" s="46">
        <v>5.3659999999999997</v>
      </c>
      <c r="S1314" s="46">
        <v>0</v>
      </c>
      <c r="T1314" s="46">
        <v>0</v>
      </c>
      <c r="U1314" s="46">
        <v>0</v>
      </c>
      <c r="V1314" s="46" t="s">
        <v>62</v>
      </c>
      <c r="W1314" s="46">
        <v>2500</v>
      </c>
      <c r="X1314" s="46">
        <v>5.3659999999999997</v>
      </c>
    </row>
    <row r="1315" spans="1:31" x14ac:dyDescent="0.25">
      <c r="A1315" s="136">
        <v>43039</v>
      </c>
      <c r="B1315" s="201" t="s">
        <v>124</v>
      </c>
      <c r="C1315" t="s">
        <v>125</v>
      </c>
      <c r="D1315">
        <v>100</v>
      </c>
      <c r="E1315">
        <v>100</v>
      </c>
      <c r="F1315">
        <v>-53.579000000000001</v>
      </c>
      <c r="G1315">
        <v>5967.9</v>
      </c>
      <c r="H1315">
        <v>0</v>
      </c>
      <c r="I1315" s="309">
        <v>610</v>
      </c>
      <c r="J1315">
        <v>6.1</v>
      </c>
      <c r="K1315" s="133">
        <v>1.40859205128273E-3</v>
      </c>
      <c r="L1315" s="181">
        <v>-15</v>
      </c>
      <c r="M1315" s="133">
        <v>0</v>
      </c>
      <c r="N1315" s="73">
        <v>5995.0890000000099</v>
      </c>
      <c r="O1315" s="73">
        <v>1102.4501845505599</v>
      </c>
      <c r="P1315" s="182">
        <v>0</v>
      </c>
      <c r="Q1315" s="182">
        <v>0</v>
      </c>
      <c r="R1315" s="46">
        <v>0</v>
      </c>
      <c r="S1315" s="46">
        <v>5</v>
      </c>
      <c r="T1315" s="46">
        <v>2300</v>
      </c>
      <c r="U1315" s="46">
        <v>4.99</v>
      </c>
      <c r="V1315" s="46" t="s">
        <v>68</v>
      </c>
      <c r="W1315" s="46">
        <v>2300</v>
      </c>
      <c r="X1315" s="46">
        <v>4.99</v>
      </c>
      <c r="Y1315" s="194">
        <v>6.3620000000000001</v>
      </c>
      <c r="Z1315" s="193">
        <v>5.38</v>
      </c>
      <c r="AA1315" s="193">
        <v>5.7060000000000004</v>
      </c>
      <c r="AB1315" s="46">
        <v>6.24</v>
      </c>
      <c r="AC1315" s="46">
        <v>6.25</v>
      </c>
      <c r="AD1315" s="46">
        <v>6.09</v>
      </c>
      <c r="AE1315" s="46">
        <v>6.1</v>
      </c>
    </row>
    <row r="1316" spans="1:31" x14ac:dyDescent="0.25">
      <c r="A1316" s="136">
        <v>43039</v>
      </c>
      <c r="B1316" s="201" t="s">
        <v>71</v>
      </c>
      <c r="C1316" t="s">
        <v>126</v>
      </c>
      <c r="D1316">
        <v>5200</v>
      </c>
      <c r="E1316">
        <v>5200</v>
      </c>
      <c r="F1316">
        <v>6.141</v>
      </c>
      <c r="G1316">
        <v>408.35</v>
      </c>
      <c r="H1316">
        <v>1.29</v>
      </c>
      <c r="I1316" s="309">
        <v>32344</v>
      </c>
      <c r="J1316">
        <v>6.22</v>
      </c>
      <c r="K1316" s="133">
        <v>7.4687707060145103E-2</v>
      </c>
      <c r="L1316" s="181">
        <v>0</v>
      </c>
      <c r="M1316" s="133">
        <v>7.3744758594339696E-2</v>
      </c>
      <c r="N1316" s="73">
        <v>1438.0720000000099</v>
      </c>
      <c r="O1316" s="73">
        <v>64.818378456593294</v>
      </c>
      <c r="P1316" s="182">
        <v>6</v>
      </c>
      <c r="Q1316" s="182">
        <v>3000</v>
      </c>
      <c r="R1316" s="46">
        <v>6.367</v>
      </c>
      <c r="S1316" s="46">
        <v>0</v>
      </c>
      <c r="T1316" s="46">
        <v>0</v>
      </c>
      <c r="U1316" s="46">
        <v>0</v>
      </c>
      <c r="V1316" s="46" t="s">
        <v>62</v>
      </c>
      <c r="W1316" s="46">
        <v>3000</v>
      </c>
      <c r="X1316" s="46">
        <v>6.367</v>
      </c>
      <c r="Y1316" s="194">
        <v>6.1710000000000003</v>
      </c>
      <c r="Z1316" s="194">
        <v>6.4379999999999997</v>
      </c>
      <c r="AA1316" s="194">
        <v>6.6529999999999996</v>
      </c>
      <c r="AB1316" s="46">
        <v>6.21</v>
      </c>
      <c r="AC1316" s="46">
        <v>6.23</v>
      </c>
      <c r="AD1316" s="46">
        <v>6.16</v>
      </c>
      <c r="AE1316" s="46">
        <v>6.2</v>
      </c>
    </row>
    <row r="1317" spans="1:31" x14ac:dyDescent="0.25">
      <c r="A1317" s="136">
        <v>43039</v>
      </c>
      <c r="B1317" s="201" t="s">
        <v>79</v>
      </c>
      <c r="C1317" t="s">
        <v>143</v>
      </c>
      <c r="D1317">
        <v>2000</v>
      </c>
      <c r="E1317">
        <v>2000</v>
      </c>
      <c r="F1317">
        <v>17.873000000000001</v>
      </c>
      <c r="G1317">
        <v>-725.71</v>
      </c>
      <c r="H1317">
        <v>-2.0299999999999998</v>
      </c>
      <c r="I1317" s="309">
        <v>35020</v>
      </c>
      <c r="J1317">
        <v>17.510000000000002</v>
      </c>
      <c r="K1317" s="133">
        <v>8.0867038747411593E-2</v>
      </c>
      <c r="L1317" s="181">
        <v>280</v>
      </c>
      <c r="M1317" s="133">
        <v>8.25428245466516E-2</v>
      </c>
      <c r="N1317" s="73">
        <v>-806.19999999999698</v>
      </c>
      <c r="O1317" s="73">
        <v>-46.1246078992557</v>
      </c>
      <c r="P1317" s="182">
        <v>3</v>
      </c>
      <c r="Q1317" s="182">
        <v>2000</v>
      </c>
      <c r="R1317" s="46">
        <v>17.864999999999998</v>
      </c>
      <c r="S1317" s="46">
        <v>0</v>
      </c>
      <c r="T1317" s="46">
        <v>0</v>
      </c>
      <c r="U1317" s="46">
        <v>0</v>
      </c>
      <c r="V1317" s="46" t="s">
        <v>62</v>
      </c>
      <c r="W1317" s="46">
        <v>2000</v>
      </c>
      <c r="X1317" s="46">
        <v>17.864999999999998</v>
      </c>
    </row>
    <row r="1318" spans="1:31" x14ac:dyDescent="0.25">
      <c r="A1318" s="136">
        <v>43039</v>
      </c>
      <c r="B1318" s="201" t="s">
        <v>140</v>
      </c>
      <c r="C1318" t="s">
        <v>141</v>
      </c>
      <c r="D1318">
        <v>200</v>
      </c>
      <c r="E1318">
        <v>200</v>
      </c>
      <c r="F1318">
        <v>48.975999999999999</v>
      </c>
      <c r="G1318">
        <v>-117.2</v>
      </c>
      <c r="H1318">
        <v>-1.2</v>
      </c>
      <c r="I1318" s="309">
        <v>9678</v>
      </c>
      <c r="J1318">
        <v>48.39</v>
      </c>
      <c r="K1318" s="133">
        <v>2.2348121102154499E-2</v>
      </c>
      <c r="L1318" s="181">
        <v>-122</v>
      </c>
      <c r="M1318" s="133">
        <v>2.2618755509384501E-2</v>
      </c>
      <c r="N1318" s="73">
        <v>-95.119000000000597</v>
      </c>
      <c r="O1318" s="73">
        <v>-1.9602358865979499</v>
      </c>
      <c r="P1318" s="182">
        <v>2</v>
      </c>
      <c r="Q1318" s="182">
        <v>200</v>
      </c>
      <c r="R1318" s="46">
        <v>48.924999999999997</v>
      </c>
      <c r="S1318" s="46">
        <v>0</v>
      </c>
      <c r="T1318" s="46">
        <v>0</v>
      </c>
      <c r="U1318" s="46">
        <v>0</v>
      </c>
      <c r="V1318" s="46" t="s">
        <v>62</v>
      </c>
      <c r="W1318" s="46">
        <v>200</v>
      </c>
      <c r="X1318" s="46">
        <v>48.924999999999997</v>
      </c>
      <c r="Y1318" s="193">
        <v>48.853999999999999</v>
      </c>
      <c r="Z1318" s="194">
        <v>49.262999999999998</v>
      </c>
      <c r="AA1318" s="194">
        <v>49.683999999999997</v>
      </c>
      <c r="AB1318" s="46">
        <v>48.87</v>
      </c>
      <c r="AC1318" s="46">
        <v>49.43</v>
      </c>
      <c r="AD1318" s="46">
        <v>48.25</v>
      </c>
      <c r="AE1318" s="46">
        <v>48.39</v>
      </c>
    </row>
    <row r="1319" spans="1:31" x14ac:dyDescent="0.25">
      <c r="A1319" s="136">
        <v>43039</v>
      </c>
      <c r="B1319" s="201" t="s">
        <v>65</v>
      </c>
      <c r="C1319" t="s">
        <v>127</v>
      </c>
      <c r="D1319">
        <v>10100</v>
      </c>
      <c r="E1319">
        <v>10100</v>
      </c>
      <c r="F1319">
        <v>10.275</v>
      </c>
      <c r="G1319">
        <v>13384.28</v>
      </c>
      <c r="H1319">
        <v>12.9</v>
      </c>
      <c r="I1319" s="309">
        <v>117160</v>
      </c>
      <c r="J1319">
        <v>11.6</v>
      </c>
      <c r="K1319" s="133">
        <v>0.27054204053817099</v>
      </c>
      <c r="L1319" s="181">
        <v>1010</v>
      </c>
      <c r="M1319" s="133">
        <v>0.23963549886580601</v>
      </c>
      <c r="N1319" s="73">
        <v>7788.8450000000403</v>
      </c>
      <c r="O1319" s="73">
        <v>1051.8189451394901</v>
      </c>
      <c r="P1319" s="182">
        <v>0</v>
      </c>
      <c r="Q1319" s="182">
        <v>0</v>
      </c>
      <c r="R1319" s="46">
        <v>0</v>
      </c>
      <c r="S1319" s="46">
        <v>16</v>
      </c>
      <c r="T1319" s="46">
        <v>6900</v>
      </c>
      <c r="U1319" s="46">
        <v>12.496</v>
      </c>
      <c r="V1319" s="46" t="s">
        <v>68</v>
      </c>
      <c r="W1319" s="46">
        <v>6900</v>
      </c>
      <c r="X1319" s="46">
        <v>12.496</v>
      </c>
      <c r="Y1319" s="193">
        <v>11.589</v>
      </c>
      <c r="Z1319" s="194">
        <v>11.673</v>
      </c>
      <c r="AA1319" s="194">
        <v>11.94</v>
      </c>
      <c r="AB1319" s="46">
        <v>11.43</v>
      </c>
      <c r="AC1319" s="46">
        <v>11.61</v>
      </c>
      <c r="AD1319" s="46">
        <v>11.43</v>
      </c>
      <c r="AE1319" s="46">
        <v>11.6</v>
      </c>
    </row>
    <row r="1320" spans="1:31" x14ac:dyDescent="0.25">
      <c r="A1320" s="136">
        <v>43039</v>
      </c>
      <c r="B1320" s="201" t="s">
        <v>77</v>
      </c>
      <c r="C1320" t="s">
        <v>128</v>
      </c>
      <c r="D1320">
        <v>4200</v>
      </c>
      <c r="E1320">
        <v>4200</v>
      </c>
      <c r="F1320">
        <v>6.069</v>
      </c>
      <c r="G1320">
        <v>1305.1400000000001</v>
      </c>
      <c r="H1320">
        <v>5.13</v>
      </c>
      <c r="I1320" s="309">
        <v>26796</v>
      </c>
      <c r="J1320">
        <v>6.38</v>
      </c>
      <c r="K1320" s="133">
        <v>6.1876446895363799E-2</v>
      </c>
      <c r="L1320" s="181">
        <v>0</v>
      </c>
      <c r="M1320" s="133">
        <v>5.8862660289116103E-2</v>
      </c>
      <c r="N1320" s="73">
        <v>842.19399999999598</v>
      </c>
      <c r="O1320" s="73">
        <v>209.94098638497599</v>
      </c>
      <c r="P1320" s="182">
        <v>8</v>
      </c>
      <c r="Q1320" s="182">
        <v>4000</v>
      </c>
      <c r="R1320" s="46">
        <v>6.6980000000000004</v>
      </c>
      <c r="S1320" s="46">
        <v>1</v>
      </c>
      <c r="T1320" s="46">
        <v>400</v>
      </c>
      <c r="U1320" s="46">
        <v>6.62</v>
      </c>
      <c r="V1320" s="46" t="s">
        <v>62</v>
      </c>
      <c r="W1320" s="46">
        <v>3600</v>
      </c>
      <c r="X1320" s="46">
        <v>6.7069999999999999</v>
      </c>
      <c r="Y1320" s="194">
        <v>3.1520000000000001</v>
      </c>
      <c r="Z1320" s="194">
        <v>6.492</v>
      </c>
      <c r="AA1320" s="194">
        <v>6.8630000000000004</v>
      </c>
      <c r="AB1320" s="46">
        <v>6.42</v>
      </c>
      <c r="AC1320" s="46">
        <v>6.43</v>
      </c>
      <c r="AD1320" s="46">
        <v>6.34</v>
      </c>
      <c r="AE1320" s="46">
        <v>6.3</v>
      </c>
    </row>
    <row r="1321" spans="1:31" x14ac:dyDescent="0.25">
      <c r="A1321" s="136">
        <v>43039</v>
      </c>
      <c r="B1321" s="201" t="s">
        <v>67</v>
      </c>
      <c r="C1321" t="s">
        <v>129</v>
      </c>
      <c r="D1321">
        <v>5850</v>
      </c>
      <c r="E1321">
        <v>5850</v>
      </c>
      <c r="F1321">
        <v>8.9909999999999997</v>
      </c>
      <c r="G1321">
        <v>-592.04999999999995</v>
      </c>
      <c r="H1321">
        <v>-1.1200000000000001</v>
      </c>
      <c r="I1321" s="309">
        <v>52006.5</v>
      </c>
      <c r="J1321">
        <v>8.89</v>
      </c>
      <c r="K1321" s="133">
        <v>0.12009170904104099</v>
      </c>
      <c r="L1321" s="181">
        <v>-481.5</v>
      </c>
      <c r="M1321" s="133">
        <v>0.121458851539339</v>
      </c>
      <c r="N1321" s="73">
        <v>32122.594999999899</v>
      </c>
      <c r="O1321" s="73">
        <v>-73.477994876153303</v>
      </c>
      <c r="P1321" s="182">
        <v>17</v>
      </c>
      <c r="Q1321" s="182">
        <v>8500</v>
      </c>
      <c r="R1321" s="46">
        <v>6.5039999999999996</v>
      </c>
      <c r="S1321" s="46">
        <v>17</v>
      </c>
      <c r="T1321" s="46">
        <v>7100</v>
      </c>
      <c r="U1321" s="46">
        <v>8.9949999999999992</v>
      </c>
      <c r="V1321" s="46" t="s">
        <v>62</v>
      </c>
      <c r="W1321" s="46">
        <v>1400</v>
      </c>
      <c r="X1321" s="46">
        <v>-6.1289999999999996</v>
      </c>
      <c r="Y1321" s="194">
        <v>8.875</v>
      </c>
      <c r="Z1321" s="193">
        <v>9.5549999999999997</v>
      </c>
      <c r="AA1321" s="193">
        <v>9.0660000000000007</v>
      </c>
      <c r="AB1321" s="46">
        <v>9.06</v>
      </c>
      <c r="AC1321" s="46">
        <v>9.08</v>
      </c>
      <c r="AD1321" s="46">
        <v>8.83</v>
      </c>
      <c r="AE1321" s="46">
        <v>8.89</v>
      </c>
    </row>
    <row r="1322" spans="1:31" x14ac:dyDescent="0.25">
      <c r="A1322" s="136">
        <v>43039</v>
      </c>
      <c r="B1322" s="201" t="s">
        <v>78</v>
      </c>
      <c r="C1322" t="s">
        <v>142</v>
      </c>
      <c r="D1322">
        <v>100</v>
      </c>
      <c r="E1322">
        <v>100</v>
      </c>
      <c r="F1322">
        <v>10.987</v>
      </c>
      <c r="G1322">
        <v>128.30000000000001</v>
      </c>
      <c r="H1322">
        <v>11.68</v>
      </c>
      <c r="I1322" s="309">
        <v>1227</v>
      </c>
      <c r="J1322">
        <v>12.27</v>
      </c>
      <c r="K1322" s="133">
        <v>2.83334827364575E-3</v>
      </c>
      <c r="L1322" s="181">
        <v>16</v>
      </c>
      <c r="M1322" s="133">
        <v>2.5370821094169399E-3</v>
      </c>
      <c r="N1322" s="73">
        <v>75.304000000000102</v>
      </c>
      <c r="O1322" s="73">
        <v>6.41110289608178</v>
      </c>
      <c r="P1322" s="182">
        <v>1</v>
      </c>
      <c r="Q1322" s="182">
        <v>500</v>
      </c>
      <c r="R1322" s="46">
        <v>11.56</v>
      </c>
      <c r="S1322" s="46">
        <v>1</v>
      </c>
      <c r="T1322" s="46">
        <v>400</v>
      </c>
      <c r="U1322" s="46">
        <v>11.74</v>
      </c>
      <c r="V1322" s="46" t="s">
        <v>62</v>
      </c>
      <c r="W1322" s="46">
        <v>100</v>
      </c>
      <c r="X1322" s="46">
        <v>10.84</v>
      </c>
    </row>
    <row r="1323" spans="1:31" x14ac:dyDescent="0.25">
      <c r="A1323" s="136">
        <v>43039</v>
      </c>
      <c r="B1323" s="201" t="s">
        <v>72</v>
      </c>
      <c r="C1323" t="s">
        <v>130</v>
      </c>
      <c r="D1323">
        <v>2100</v>
      </c>
      <c r="E1323">
        <v>2100</v>
      </c>
      <c r="F1323">
        <v>8.4559999999999995</v>
      </c>
      <c r="G1323">
        <v>-1146.8800000000001</v>
      </c>
      <c r="H1323">
        <v>-6.46</v>
      </c>
      <c r="I1323" s="309">
        <v>16611</v>
      </c>
      <c r="J1323">
        <v>7.91</v>
      </c>
      <c r="K1323" s="133">
        <v>3.83575779735367E-2</v>
      </c>
      <c r="L1323" s="181">
        <v>0</v>
      </c>
      <c r="M1323" s="133">
        <v>4.1005915763331999E-2</v>
      </c>
    </row>
    <row r="1324" spans="1:31" x14ac:dyDescent="0.25">
      <c r="A1324" s="136">
        <v>43039</v>
      </c>
      <c r="B1324" s="201" t="s">
        <v>70</v>
      </c>
      <c r="C1324" t="s">
        <v>131</v>
      </c>
      <c r="D1324">
        <v>8400</v>
      </c>
      <c r="E1324">
        <v>8400</v>
      </c>
      <c r="F1324">
        <v>12.481</v>
      </c>
      <c r="G1324">
        <v>-4711.46</v>
      </c>
      <c r="H1324">
        <v>-4.49</v>
      </c>
      <c r="I1324" s="309">
        <v>100128</v>
      </c>
      <c r="J1324">
        <v>11.92</v>
      </c>
      <c r="K1324" s="133">
        <v>0.231212303132519</v>
      </c>
      <c r="L1324" s="181">
        <v>840</v>
      </c>
      <c r="M1324" s="133">
        <v>0.24209185248651399</v>
      </c>
      <c r="N1324" s="73">
        <v>-4379.44200000002</v>
      </c>
      <c r="O1324" s="73">
        <v>-365.990993227427</v>
      </c>
      <c r="P1324" s="182">
        <v>3</v>
      </c>
      <c r="Q1324" s="182">
        <v>1500</v>
      </c>
      <c r="R1324" s="46">
        <v>12.282999999999999</v>
      </c>
      <c r="S1324" s="46">
        <v>9</v>
      </c>
      <c r="T1324" s="46">
        <v>3600</v>
      </c>
      <c r="U1324" s="46">
        <v>13.278</v>
      </c>
      <c r="V1324" s="46" t="s">
        <v>68</v>
      </c>
      <c r="W1324" s="46">
        <v>2100</v>
      </c>
      <c r="X1324" s="46">
        <v>13.989000000000001</v>
      </c>
      <c r="Y1324" s="194">
        <v>11.84</v>
      </c>
      <c r="Z1324" s="194">
        <v>12.646000000000001</v>
      </c>
      <c r="AA1324" s="194">
        <v>12.654</v>
      </c>
      <c r="AB1324" s="46">
        <v>11.88</v>
      </c>
      <c r="AC1324" s="46">
        <v>11.94</v>
      </c>
      <c r="AD1324" s="46">
        <v>11.83</v>
      </c>
      <c r="AE1324" s="46">
        <v>11.92</v>
      </c>
    </row>
    <row r="1325" spans="1:31" x14ac:dyDescent="0.25">
      <c r="A1325" s="136">
        <v>43039</v>
      </c>
      <c r="B1325" s="201" t="s">
        <v>137</v>
      </c>
      <c r="C1325" t="s">
        <v>138</v>
      </c>
      <c r="D1325">
        <v>100</v>
      </c>
      <c r="E1325">
        <v>100</v>
      </c>
      <c r="F1325">
        <v>-130.48500000000001</v>
      </c>
      <c r="G1325">
        <v>17502.5</v>
      </c>
      <c r="H1325">
        <v>0</v>
      </c>
      <c r="I1325" s="309">
        <v>4454</v>
      </c>
      <c r="J1325">
        <v>44.54</v>
      </c>
      <c r="K1325" s="133">
        <v>1.02850311416611E-2</v>
      </c>
      <c r="L1325" s="181">
        <v>80</v>
      </c>
      <c r="M1325" s="133">
        <v>0</v>
      </c>
    </row>
    <row r="1326" spans="1:31" x14ac:dyDescent="0.25">
      <c r="A1326" s="136">
        <v>43039</v>
      </c>
      <c r="B1326" s="201" t="s">
        <v>835</v>
      </c>
      <c r="C1326" t="s">
        <v>839</v>
      </c>
      <c r="I1326" s="309">
        <v>21495.22</v>
      </c>
      <c r="K1326" s="133">
        <v>4.9636059069792599E-2</v>
      </c>
      <c r="L1326" s="181">
        <v>0</v>
      </c>
      <c r="M1326" s="133">
        <v>5.01990802401922E-2</v>
      </c>
    </row>
    <row r="1327" spans="1:31" x14ac:dyDescent="0.25">
      <c r="A1327" s="136">
        <v>43040</v>
      </c>
      <c r="B1327" s="201" t="s">
        <v>132</v>
      </c>
      <c r="C1327" t="s">
        <v>123</v>
      </c>
      <c r="D1327">
        <v>24384</v>
      </c>
      <c r="E1327">
        <v>24384</v>
      </c>
      <c r="F1327">
        <v>-0.10100000000000001</v>
      </c>
      <c r="G1327">
        <v>2706.6239999999998</v>
      </c>
      <c r="H1327">
        <v>0</v>
      </c>
      <c r="I1327" s="309">
        <v>243.84</v>
      </c>
      <c r="J1327">
        <v>0.01</v>
      </c>
      <c r="K1327" s="133">
        <v>5.6452930678977504E-4</v>
      </c>
      <c r="L1327" s="181">
        <v>0.22199999999975301</v>
      </c>
      <c r="M1327" s="133">
        <v>0</v>
      </c>
    </row>
    <row r="1328" spans="1:31" x14ac:dyDescent="0.25">
      <c r="A1328" s="136">
        <v>43040</v>
      </c>
      <c r="B1328" s="201" t="s">
        <v>61</v>
      </c>
      <c r="C1328" t="s">
        <v>136</v>
      </c>
      <c r="D1328">
        <v>2900</v>
      </c>
      <c r="E1328">
        <v>2900</v>
      </c>
      <c r="F1328">
        <v>5.3490000000000002</v>
      </c>
      <c r="G1328">
        <v>-228.24</v>
      </c>
      <c r="H1328">
        <v>-1.48</v>
      </c>
      <c r="I1328" s="309">
        <v>15283</v>
      </c>
      <c r="J1328">
        <v>5.27</v>
      </c>
      <c r="K1328" s="133">
        <v>3.5382633676460502E-2</v>
      </c>
      <c r="L1328" s="181">
        <v>0</v>
      </c>
      <c r="M1328" s="133">
        <v>3.5911046442953697E-2</v>
      </c>
      <c r="N1328" s="73">
        <v>-144.28800000000001</v>
      </c>
      <c r="O1328" s="73">
        <v>-27.210538867924601</v>
      </c>
      <c r="P1328" s="182">
        <v>5</v>
      </c>
      <c r="Q1328" s="182">
        <v>2500</v>
      </c>
      <c r="R1328" s="46">
        <v>5.3659999999999997</v>
      </c>
      <c r="S1328" s="46">
        <v>0</v>
      </c>
      <c r="T1328" s="46">
        <v>0</v>
      </c>
      <c r="U1328" s="46">
        <v>0</v>
      </c>
      <c r="V1328" s="46" t="s">
        <v>62</v>
      </c>
      <c r="W1328" s="46">
        <v>2500</v>
      </c>
      <c r="X1328" s="46">
        <v>5.3659999999999997</v>
      </c>
    </row>
    <row r="1329" spans="1:31" x14ac:dyDescent="0.25">
      <c r="A1329" s="136">
        <v>43040</v>
      </c>
      <c r="B1329" s="201" t="s">
        <v>124</v>
      </c>
      <c r="C1329" t="s">
        <v>125</v>
      </c>
      <c r="D1329">
        <v>100</v>
      </c>
      <c r="E1329">
        <v>100</v>
      </c>
      <c r="F1329">
        <v>-53.579000000000001</v>
      </c>
      <c r="G1329">
        <v>5966.9</v>
      </c>
      <c r="H1329">
        <v>0</v>
      </c>
      <c r="I1329" s="309">
        <v>609</v>
      </c>
      <c r="J1329">
        <v>6.09</v>
      </c>
      <c r="K1329" s="133">
        <v>1.4099341692707199E-3</v>
      </c>
      <c r="L1329" s="181">
        <v>-1</v>
      </c>
      <c r="M1329" s="133">
        <v>0</v>
      </c>
      <c r="N1329" s="73">
        <v>5995.0890000000099</v>
      </c>
      <c r="O1329" s="73">
        <v>1102.4501845505599</v>
      </c>
      <c r="P1329" s="182">
        <v>0</v>
      </c>
      <c r="Q1329" s="182">
        <v>0</v>
      </c>
      <c r="R1329" s="46">
        <v>0</v>
      </c>
      <c r="S1329" s="46">
        <v>5</v>
      </c>
      <c r="T1329" s="46">
        <v>2300</v>
      </c>
      <c r="U1329" s="46">
        <v>4.99</v>
      </c>
      <c r="V1329" s="46" t="s">
        <v>68</v>
      </c>
      <c r="W1329" s="46">
        <v>2300</v>
      </c>
      <c r="X1329" s="46">
        <v>4.99</v>
      </c>
      <c r="Y1329" s="193">
        <v>6.1470000000000002</v>
      </c>
      <c r="Z1329" s="193">
        <v>5.3920000000000003</v>
      </c>
      <c r="AA1329" s="193">
        <v>5.7140000000000004</v>
      </c>
      <c r="AB1329" s="46">
        <v>6.11</v>
      </c>
      <c r="AC1329" s="46">
        <v>6.13</v>
      </c>
      <c r="AD1329" s="46">
        <v>6.06</v>
      </c>
      <c r="AE1329" s="46">
        <v>6.09</v>
      </c>
    </row>
    <row r="1330" spans="1:31" x14ac:dyDescent="0.25">
      <c r="A1330" s="136">
        <v>43040</v>
      </c>
      <c r="B1330" s="201" t="s">
        <v>71</v>
      </c>
      <c r="C1330" t="s">
        <v>126</v>
      </c>
      <c r="D1330">
        <v>5200</v>
      </c>
      <c r="E1330">
        <v>5200</v>
      </c>
      <c r="F1330">
        <v>6.141</v>
      </c>
      <c r="G1330">
        <v>96.35</v>
      </c>
      <c r="H1330">
        <v>0.31</v>
      </c>
      <c r="I1330" s="309">
        <v>32032</v>
      </c>
      <c r="J1330">
        <v>6.16</v>
      </c>
      <c r="K1330" s="133">
        <v>7.4159296075664696E-2</v>
      </c>
      <c r="L1330" s="181">
        <v>-312</v>
      </c>
      <c r="M1330" s="133">
        <v>7.3936230136076503E-2</v>
      </c>
      <c r="N1330" s="73">
        <v>1438.0720000000099</v>
      </c>
      <c r="O1330" s="73">
        <v>64.818378456593294</v>
      </c>
      <c r="P1330" s="182">
        <v>6</v>
      </c>
      <c r="Q1330" s="182">
        <v>3000</v>
      </c>
      <c r="R1330" s="46">
        <v>6.367</v>
      </c>
      <c r="S1330" s="46">
        <v>0</v>
      </c>
      <c r="T1330" s="46">
        <v>0</v>
      </c>
      <c r="U1330" s="46">
        <v>0</v>
      </c>
      <c r="V1330" s="46" t="s">
        <v>62</v>
      </c>
      <c r="W1330" s="46">
        <v>3000</v>
      </c>
      <c r="X1330" s="46">
        <v>6.367</v>
      </c>
      <c r="Y1330" s="194">
        <v>6.1829999999999998</v>
      </c>
      <c r="Z1330" s="194">
        <v>6.4189999999999996</v>
      </c>
      <c r="AA1330" s="194">
        <v>6.6479999999999997</v>
      </c>
      <c r="AB1330" s="46">
        <v>6.22</v>
      </c>
      <c r="AC1330" s="46">
        <v>6.22</v>
      </c>
      <c r="AD1330" s="46">
        <v>6.15</v>
      </c>
      <c r="AE1330" s="46">
        <v>6.16</v>
      </c>
    </row>
    <row r="1331" spans="1:31" x14ac:dyDescent="0.25">
      <c r="A1331" s="136">
        <v>43040</v>
      </c>
      <c r="B1331" s="201" t="s">
        <v>79</v>
      </c>
      <c r="C1331" t="s">
        <v>143</v>
      </c>
      <c r="D1331">
        <v>2000</v>
      </c>
      <c r="E1331">
        <v>2000</v>
      </c>
      <c r="F1331">
        <v>17.873000000000001</v>
      </c>
      <c r="G1331">
        <v>-585.71</v>
      </c>
      <c r="H1331">
        <v>-1.64</v>
      </c>
      <c r="I1331" s="309">
        <v>35160</v>
      </c>
      <c r="J1331">
        <v>17.579999999999998</v>
      </c>
      <c r="K1331" s="133">
        <v>8.1401125437698896E-2</v>
      </c>
      <c r="L1331" s="181">
        <v>140</v>
      </c>
      <c r="M1331" s="133">
        <v>8.2757139464437093E-2</v>
      </c>
      <c r="N1331" s="73">
        <v>-806.19999999999698</v>
      </c>
      <c r="O1331" s="73">
        <v>-46.1246078992557</v>
      </c>
      <c r="P1331" s="182">
        <v>3</v>
      </c>
      <c r="Q1331" s="182">
        <v>2000</v>
      </c>
      <c r="R1331" s="46">
        <v>17.864999999999998</v>
      </c>
      <c r="S1331" s="46">
        <v>0</v>
      </c>
      <c r="T1331" s="46">
        <v>0</v>
      </c>
      <c r="U1331" s="46">
        <v>0</v>
      </c>
      <c r="V1331" s="46" t="s">
        <v>62</v>
      </c>
      <c r="W1331" s="46">
        <v>2000</v>
      </c>
      <c r="X1331" s="46">
        <v>17.864999999999998</v>
      </c>
    </row>
    <row r="1332" spans="1:31" x14ac:dyDescent="0.25">
      <c r="A1332" s="136">
        <v>43040</v>
      </c>
      <c r="B1332" s="201" t="s">
        <v>140</v>
      </c>
      <c r="C1332" t="s">
        <v>141</v>
      </c>
      <c r="D1332">
        <v>200</v>
      </c>
      <c r="E1332">
        <v>200</v>
      </c>
      <c r="F1332">
        <v>48.975999999999999</v>
      </c>
      <c r="G1332">
        <v>-185.2</v>
      </c>
      <c r="H1332">
        <v>-1.89</v>
      </c>
      <c r="I1332" s="309">
        <v>9610</v>
      </c>
      <c r="J1332">
        <v>48.05</v>
      </c>
      <c r="K1332" s="133">
        <v>2.22487148878352E-2</v>
      </c>
      <c r="L1332" s="181">
        <v>-68</v>
      </c>
      <c r="M1332" s="133">
        <v>2.2677483045715301E-2</v>
      </c>
      <c r="N1332" s="73">
        <v>-95.119000000000597</v>
      </c>
      <c r="O1332" s="73">
        <v>-1.9602358865979499</v>
      </c>
      <c r="P1332" s="182">
        <v>2</v>
      </c>
      <c r="Q1332" s="182">
        <v>200</v>
      </c>
      <c r="R1332" s="46">
        <v>48.924999999999997</v>
      </c>
      <c r="S1332" s="46">
        <v>0</v>
      </c>
      <c r="T1332" s="46">
        <v>0</v>
      </c>
      <c r="U1332" s="46">
        <v>0</v>
      </c>
      <c r="V1332" s="46" t="s">
        <v>62</v>
      </c>
      <c r="W1332" s="46">
        <v>200</v>
      </c>
      <c r="X1332" s="46">
        <v>48.924999999999997</v>
      </c>
      <c r="Y1332" s="194">
        <v>48.308</v>
      </c>
      <c r="Z1332" s="194">
        <v>49.109000000000002</v>
      </c>
      <c r="AA1332" s="194">
        <v>49.569000000000003</v>
      </c>
      <c r="AB1332" s="46">
        <v>48.59</v>
      </c>
      <c r="AC1332" s="46">
        <v>49.6</v>
      </c>
      <c r="AD1332" s="46">
        <v>47.75</v>
      </c>
      <c r="AE1332" s="46">
        <v>48.05</v>
      </c>
    </row>
    <row r="1333" spans="1:31" x14ac:dyDescent="0.25">
      <c r="A1333" s="136">
        <v>43040</v>
      </c>
      <c r="B1333" s="201" t="s">
        <v>65</v>
      </c>
      <c r="C1333" t="s">
        <v>127</v>
      </c>
      <c r="D1333">
        <v>10100</v>
      </c>
      <c r="E1333">
        <v>10100</v>
      </c>
      <c r="F1333">
        <v>10.275</v>
      </c>
      <c r="G1333">
        <v>12576.28</v>
      </c>
      <c r="H1333">
        <v>12.12</v>
      </c>
      <c r="I1333" s="309">
        <v>116352</v>
      </c>
      <c r="J1333">
        <v>11.52</v>
      </c>
      <c r="K1333" s="133">
        <v>0.26937382670441301</v>
      </c>
      <c r="L1333" s="181">
        <v>-808</v>
      </c>
      <c r="M1333" s="133">
        <v>0.240257690588951</v>
      </c>
      <c r="N1333" s="73">
        <v>7788.8450000000403</v>
      </c>
      <c r="O1333" s="73">
        <v>1051.8189451394901</v>
      </c>
      <c r="P1333" s="182">
        <v>0</v>
      </c>
      <c r="Q1333" s="182">
        <v>0</v>
      </c>
      <c r="R1333" s="46">
        <v>0</v>
      </c>
      <c r="S1333" s="46">
        <v>16</v>
      </c>
      <c r="T1333" s="46">
        <v>6900</v>
      </c>
      <c r="U1333" s="46">
        <v>12.496</v>
      </c>
      <c r="V1333" s="46" t="s">
        <v>68</v>
      </c>
      <c r="W1333" s="46">
        <v>6900</v>
      </c>
      <c r="X1333" s="46">
        <v>12.496</v>
      </c>
      <c r="Y1333" s="194">
        <v>11.454000000000001</v>
      </c>
      <c r="Z1333" s="194">
        <v>11.659000000000001</v>
      </c>
      <c r="AA1333" s="194">
        <v>11.933</v>
      </c>
      <c r="AB1333" s="46">
        <v>11.61</v>
      </c>
      <c r="AC1333" s="46">
        <v>11.72</v>
      </c>
      <c r="AD1333" s="46">
        <v>11.42</v>
      </c>
      <c r="AE1333" s="46">
        <v>11.52</v>
      </c>
    </row>
    <row r="1334" spans="1:31" x14ac:dyDescent="0.25">
      <c r="A1334" s="136">
        <v>43040</v>
      </c>
      <c r="B1334" s="201" t="s">
        <v>77</v>
      </c>
      <c r="C1334" t="s">
        <v>128</v>
      </c>
      <c r="D1334">
        <v>4200</v>
      </c>
      <c r="E1334">
        <v>4200</v>
      </c>
      <c r="F1334">
        <v>6.069</v>
      </c>
      <c r="G1334">
        <v>1347.14</v>
      </c>
      <c r="H1334">
        <v>5.29</v>
      </c>
      <c r="I1334" s="309">
        <v>26838</v>
      </c>
      <c r="J1334">
        <v>6.39</v>
      </c>
      <c r="K1334" s="133">
        <v>6.2134340287171901E-2</v>
      </c>
      <c r="L1334" s="181">
        <v>42</v>
      </c>
      <c r="M1334" s="133">
        <v>5.9015491819534201E-2</v>
      </c>
      <c r="N1334" s="73">
        <v>842.19399999999598</v>
      </c>
      <c r="O1334" s="73">
        <v>209.94098638497599</v>
      </c>
      <c r="P1334" s="182">
        <v>8</v>
      </c>
      <c r="Q1334" s="182">
        <v>4000</v>
      </c>
      <c r="R1334" s="46">
        <v>6.6980000000000004</v>
      </c>
      <c r="S1334" s="46">
        <v>1</v>
      </c>
      <c r="T1334" s="46">
        <v>400</v>
      </c>
      <c r="U1334" s="46">
        <v>6.62</v>
      </c>
      <c r="V1334" s="46" t="s">
        <v>62</v>
      </c>
      <c r="W1334" s="46">
        <v>3600</v>
      </c>
      <c r="X1334" s="46">
        <v>6.7069999999999999</v>
      </c>
      <c r="Y1334" s="194">
        <v>5.1680000000000001</v>
      </c>
      <c r="Z1334" s="194">
        <v>6.48</v>
      </c>
      <c r="AA1334" s="194">
        <v>6.8490000000000002</v>
      </c>
      <c r="AB1334" s="46">
        <v>6.38</v>
      </c>
      <c r="AC1334" s="46">
        <v>6.43</v>
      </c>
      <c r="AD1334" s="46">
        <v>6.32</v>
      </c>
      <c r="AE1334" s="46">
        <v>6.39</v>
      </c>
    </row>
    <row r="1335" spans="1:31" x14ac:dyDescent="0.25">
      <c r="A1335" s="136">
        <v>43040</v>
      </c>
      <c r="B1335" s="201" t="s">
        <v>67</v>
      </c>
      <c r="C1335" t="s">
        <v>129</v>
      </c>
      <c r="D1335">
        <v>6350</v>
      </c>
      <c r="E1335">
        <v>6350</v>
      </c>
      <c r="F1335">
        <v>8.9710000000000001</v>
      </c>
      <c r="G1335">
        <v>-1337.55</v>
      </c>
      <c r="H1335">
        <v>-2.35</v>
      </c>
      <c r="I1335" s="309">
        <v>55626</v>
      </c>
      <c r="J1335">
        <v>8.76</v>
      </c>
      <c r="K1335" s="133">
        <v>0.128783248111418</v>
      </c>
      <c r="L1335" s="181">
        <v>-745.5</v>
      </c>
      <c r="M1335" s="133">
        <v>0.13187989416742399</v>
      </c>
      <c r="N1335" s="73">
        <v>31181.594999999899</v>
      </c>
      <c r="O1335" s="73">
        <v>-182.68510258030301</v>
      </c>
      <c r="P1335" s="182">
        <v>17</v>
      </c>
      <c r="Q1335" s="182">
        <v>8500</v>
      </c>
      <c r="R1335" s="46">
        <v>6.4950000000000001</v>
      </c>
      <c r="S1335" s="46">
        <v>16</v>
      </c>
      <c r="T1335" s="46">
        <v>6700</v>
      </c>
      <c r="U1335" s="46">
        <v>9.0039999999999996</v>
      </c>
      <c r="V1335" s="46" t="s">
        <v>62</v>
      </c>
      <c r="W1335" s="46">
        <v>1800</v>
      </c>
      <c r="X1335" s="46">
        <v>-2.8439999999999999</v>
      </c>
      <c r="Y1335" s="194">
        <v>8.7789999999999999</v>
      </c>
      <c r="Z1335" s="193">
        <v>10.260999999999999</v>
      </c>
      <c r="AA1335" s="193">
        <v>9.0579999999999998</v>
      </c>
      <c r="AB1335" s="46">
        <v>8.8800000000000008</v>
      </c>
      <c r="AC1335" s="46">
        <v>8.92</v>
      </c>
      <c r="AD1335" s="46">
        <v>8.7100000000000009</v>
      </c>
      <c r="AE1335" s="46">
        <v>8.76</v>
      </c>
    </row>
    <row r="1336" spans="1:31" x14ac:dyDescent="0.25">
      <c r="A1336" s="136">
        <v>43040</v>
      </c>
      <c r="B1336" s="201" t="s">
        <v>78</v>
      </c>
      <c r="C1336" t="s">
        <v>142</v>
      </c>
      <c r="D1336">
        <v>100</v>
      </c>
      <c r="E1336">
        <v>100</v>
      </c>
      <c r="F1336">
        <v>10.987</v>
      </c>
      <c r="G1336">
        <v>112.3</v>
      </c>
      <c r="H1336">
        <v>10.220000000000001</v>
      </c>
      <c r="I1336" s="309">
        <v>1211</v>
      </c>
      <c r="J1336">
        <v>12.11</v>
      </c>
      <c r="K1336" s="133">
        <v>2.8036621986647701E-3</v>
      </c>
      <c r="L1336" s="181">
        <v>-16</v>
      </c>
      <c r="M1336" s="133">
        <v>2.5436694117861101E-3</v>
      </c>
      <c r="N1336" s="73">
        <v>75.304000000000102</v>
      </c>
      <c r="O1336" s="73">
        <v>6.41110289608178</v>
      </c>
      <c r="P1336" s="182">
        <v>1</v>
      </c>
      <c r="Q1336" s="182">
        <v>500</v>
      </c>
      <c r="R1336" s="46">
        <v>11.56</v>
      </c>
      <c r="S1336" s="46">
        <v>1</v>
      </c>
      <c r="T1336" s="46">
        <v>400</v>
      </c>
      <c r="U1336" s="46">
        <v>11.74</v>
      </c>
      <c r="V1336" s="46" t="s">
        <v>62</v>
      </c>
      <c r="W1336" s="46">
        <v>100</v>
      </c>
      <c r="X1336" s="46">
        <v>10.84</v>
      </c>
    </row>
    <row r="1337" spans="1:31" x14ac:dyDescent="0.25">
      <c r="A1337" s="136">
        <v>43040</v>
      </c>
      <c r="B1337" s="201" t="s">
        <v>72</v>
      </c>
      <c r="C1337" t="s">
        <v>130</v>
      </c>
      <c r="D1337">
        <v>2100</v>
      </c>
      <c r="E1337">
        <v>2100</v>
      </c>
      <c r="F1337">
        <v>8.4559999999999995</v>
      </c>
      <c r="G1337">
        <v>-1146.8800000000001</v>
      </c>
      <c r="H1337">
        <v>-6.46</v>
      </c>
      <c r="I1337" s="309">
        <v>16611</v>
      </c>
      <c r="J1337">
        <v>7.91</v>
      </c>
      <c r="K1337" s="133">
        <v>3.8457169927349703E-2</v>
      </c>
      <c r="L1337" s="181">
        <v>0</v>
      </c>
      <c r="M1337" s="133">
        <v>4.1112383884744197E-2</v>
      </c>
    </row>
    <row r="1338" spans="1:31" x14ac:dyDescent="0.25">
      <c r="A1338" s="136">
        <v>43040</v>
      </c>
      <c r="B1338" s="201" t="s">
        <v>70</v>
      </c>
      <c r="C1338" t="s">
        <v>131</v>
      </c>
      <c r="D1338">
        <v>8400</v>
      </c>
      <c r="E1338">
        <v>8400</v>
      </c>
      <c r="F1338">
        <v>12.481</v>
      </c>
      <c r="G1338">
        <v>-4207.46</v>
      </c>
      <c r="H1338">
        <v>-4.01</v>
      </c>
      <c r="I1338" s="309">
        <v>100632</v>
      </c>
      <c r="J1338">
        <v>11.98</v>
      </c>
      <c r="K1338" s="133">
        <v>0.23297946686707999</v>
      </c>
      <c r="L1338" s="181">
        <v>504</v>
      </c>
      <c r="M1338" s="133">
        <v>0.242720421907867</v>
      </c>
      <c r="N1338" s="73">
        <v>-4379.44200000002</v>
      </c>
      <c r="O1338" s="73">
        <v>-365.990993227427</v>
      </c>
      <c r="P1338" s="182">
        <v>3</v>
      </c>
      <c r="Q1338" s="182">
        <v>1500</v>
      </c>
      <c r="R1338" s="46">
        <v>12.282999999999999</v>
      </c>
      <c r="S1338" s="46">
        <v>9</v>
      </c>
      <c r="T1338" s="46">
        <v>3600</v>
      </c>
      <c r="U1338" s="46">
        <v>13.278</v>
      </c>
      <c r="V1338" s="46" t="s">
        <v>68</v>
      </c>
      <c r="W1338" s="46">
        <v>2100</v>
      </c>
      <c r="X1338" s="46">
        <v>13.989000000000001</v>
      </c>
      <c r="Y1338" s="194">
        <v>11.988</v>
      </c>
      <c r="Z1338" s="194">
        <v>12.635</v>
      </c>
      <c r="AA1338" s="194">
        <v>12.647</v>
      </c>
      <c r="AB1338" s="46">
        <v>12.05</v>
      </c>
      <c r="AC1338" s="46">
        <v>12.07</v>
      </c>
      <c r="AD1338" s="46">
        <v>11.96</v>
      </c>
      <c r="AE1338" s="46">
        <v>11.98</v>
      </c>
    </row>
    <row r="1339" spans="1:31" x14ac:dyDescent="0.25">
      <c r="A1339" s="136">
        <v>43040</v>
      </c>
      <c r="B1339" s="201" t="s">
        <v>137</v>
      </c>
      <c r="C1339" t="s">
        <v>138</v>
      </c>
      <c r="D1339">
        <v>100</v>
      </c>
      <c r="E1339">
        <v>100</v>
      </c>
      <c r="F1339">
        <v>-130.48500000000001</v>
      </c>
      <c r="G1339">
        <v>17645.5</v>
      </c>
      <c r="H1339">
        <v>0</v>
      </c>
      <c r="I1339" s="309">
        <v>4597</v>
      </c>
      <c r="J1339">
        <v>45.97</v>
      </c>
      <c r="K1339" s="133">
        <v>1.0642803573296399E-2</v>
      </c>
      <c r="L1339" s="181">
        <v>143</v>
      </c>
      <c r="M1339" s="133">
        <v>0</v>
      </c>
    </row>
    <row r="1340" spans="1:31" x14ac:dyDescent="0.25">
      <c r="A1340" s="136">
        <v>43040</v>
      </c>
      <c r="B1340" s="201" t="s">
        <v>835</v>
      </c>
      <c r="C1340" t="s">
        <v>839</v>
      </c>
      <c r="I1340" s="309">
        <v>17130.22</v>
      </c>
      <c r="K1340" s="133">
        <v>3.9659248776887902E-2</v>
      </c>
      <c r="L1340" s="181">
        <v>0</v>
      </c>
      <c r="M1340" s="133">
        <v>4.0223778083677698E-2</v>
      </c>
    </row>
    <row r="1341" spans="1:31" x14ac:dyDescent="0.25">
      <c r="A1341" s="136">
        <v>43042</v>
      </c>
      <c r="B1341" s="201" t="s">
        <v>132</v>
      </c>
      <c r="C1341" t="s">
        <v>123</v>
      </c>
      <c r="D1341">
        <v>24388</v>
      </c>
      <c r="E1341">
        <v>24388</v>
      </c>
      <c r="F1341">
        <v>-0.10100000000000001</v>
      </c>
      <c r="G1341">
        <v>2707.0680000000002</v>
      </c>
      <c r="H1341">
        <v>0</v>
      </c>
      <c r="I1341" s="309">
        <v>243.88</v>
      </c>
      <c r="J1341">
        <v>0.01</v>
      </c>
      <c r="K1341" s="133">
        <v>5.1607714248670298E-4</v>
      </c>
      <c r="L1341" s="181">
        <v>0.44400000000041501</v>
      </c>
      <c r="M1341" s="133">
        <v>0</v>
      </c>
    </row>
    <row r="1342" spans="1:31" x14ac:dyDescent="0.25">
      <c r="A1342" s="136">
        <v>43042</v>
      </c>
      <c r="B1342" s="201" t="s">
        <v>61</v>
      </c>
      <c r="C1342" t="s">
        <v>136</v>
      </c>
      <c r="D1342">
        <v>2900</v>
      </c>
      <c r="E1342">
        <v>2900</v>
      </c>
      <c r="F1342">
        <v>5.3490000000000002</v>
      </c>
      <c r="G1342">
        <v>-199.24</v>
      </c>
      <c r="H1342">
        <v>-1.29</v>
      </c>
      <c r="I1342" s="309">
        <v>15312</v>
      </c>
      <c r="J1342">
        <v>5.28</v>
      </c>
      <c r="K1342" s="133">
        <v>3.2401891117584E-2</v>
      </c>
      <c r="L1342" s="181">
        <v>29</v>
      </c>
      <c r="M1342" s="133">
        <v>3.2823505066530402E-2</v>
      </c>
      <c r="N1342" s="73">
        <v>-144.28800000000001</v>
      </c>
      <c r="O1342" s="73">
        <v>-27.210538867924601</v>
      </c>
      <c r="P1342" s="182">
        <v>5</v>
      </c>
      <c r="Q1342" s="182">
        <v>2500</v>
      </c>
      <c r="R1342" s="46">
        <v>5.3659999999999997</v>
      </c>
      <c r="S1342" s="46">
        <v>0</v>
      </c>
      <c r="T1342" s="46">
        <v>0</v>
      </c>
      <c r="U1342" s="46">
        <v>0</v>
      </c>
      <c r="V1342" s="46" t="s">
        <v>62</v>
      </c>
      <c r="W1342" s="46">
        <v>2500</v>
      </c>
      <c r="X1342" s="46">
        <v>5.3659999999999997</v>
      </c>
    </row>
    <row r="1343" spans="1:31" x14ac:dyDescent="0.25">
      <c r="A1343" s="136">
        <v>43042</v>
      </c>
      <c r="B1343" s="201" t="s">
        <v>124</v>
      </c>
      <c r="C1343" t="s">
        <v>125</v>
      </c>
      <c r="D1343">
        <v>100</v>
      </c>
      <c r="E1343">
        <v>100</v>
      </c>
      <c r="F1343">
        <v>-53.579000000000001</v>
      </c>
      <c r="G1343">
        <v>5967.9</v>
      </c>
      <c r="H1343">
        <v>0</v>
      </c>
      <c r="I1343" s="309">
        <v>610</v>
      </c>
      <c r="J1343">
        <v>6.1</v>
      </c>
      <c r="K1343" s="133">
        <v>1.2908276895066801E-3</v>
      </c>
      <c r="L1343" s="181">
        <v>1</v>
      </c>
      <c r="M1343" s="133">
        <v>0</v>
      </c>
      <c r="N1343" s="73">
        <v>5995.0890000000099</v>
      </c>
      <c r="O1343" s="73">
        <v>1102.4501845505599</v>
      </c>
      <c r="P1343" s="182">
        <v>0</v>
      </c>
      <c r="Q1343" s="182">
        <v>0</v>
      </c>
      <c r="R1343" s="46">
        <v>0</v>
      </c>
      <c r="S1343" s="46">
        <v>5</v>
      </c>
      <c r="T1343" s="46">
        <v>2300</v>
      </c>
      <c r="U1343" s="46">
        <v>4.99</v>
      </c>
      <c r="V1343" s="46" t="s">
        <v>68</v>
      </c>
      <c r="W1343" s="46">
        <v>2300</v>
      </c>
      <c r="X1343" s="46">
        <v>4.99</v>
      </c>
      <c r="Y1343" s="193">
        <v>6.0839999999999996</v>
      </c>
      <c r="Z1343" s="193">
        <v>5.4039999999999999</v>
      </c>
      <c r="AA1343" s="193">
        <v>5.7290000000000001</v>
      </c>
      <c r="AB1343" s="46">
        <v>6.07</v>
      </c>
      <c r="AC1343" s="46">
        <v>6.11</v>
      </c>
      <c r="AD1343" s="46">
        <v>6.01</v>
      </c>
      <c r="AE1343" s="46">
        <v>6.1</v>
      </c>
    </row>
    <row r="1344" spans="1:31" x14ac:dyDescent="0.25">
      <c r="A1344" s="136">
        <v>43042</v>
      </c>
      <c r="B1344" s="201" t="s">
        <v>71</v>
      </c>
      <c r="C1344" t="s">
        <v>126</v>
      </c>
      <c r="D1344">
        <v>5700</v>
      </c>
      <c r="E1344">
        <v>5700</v>
      </c>
      <c r="F1344">
        <v>6.1369999999999996</v>
      </c>
      <c r="G1344">
        <v>-39.71</v>
      </c>
      <c r="H1344">
        <v>-0.11</v>
      </c>
      <c r="I1344" s="309">
        <v>34941</v>
      </c>
      <c r="J1344">
        <v>6.13</v>
      </c>
      <c r="K1344" s="133">
        <v>7.3939033277135802E-2</v>
      </c>
      <c r="L1344" s="181">
        <v>-136.06</v>
      </c>
      <c r="M1344" s="133">
        <v>7.4023064043611697E-2</v>
      </c>
      <c r="N1344" s="73">
        <v>1602.7719999999999</v>
      </c>
      <c r="O1344" s="73">
        <v>-54.2373414473672</v>
      </c>
      <c r="P1344" s="182">
        <v>7</v>
      </c>
      <c r="Q1344" s="182">
        <v>3500</v>
      </c>
      <c r="R1344" s="46">
        <v>6.3259999999999996</v>
      </c>
      <c r="S1344" s="46">
        <v>0</v>
      </c>
      <c r="T1344" s="46">
        <v>0</v>
      </c>
      <c r="U1344" s="46">
        <v>0</v>
      </c>
      <c r="V1344" s="46" t="s">
        <v>62</v>
      </c>
      <c r="W1344" s="46">
        <v>3500</v>
      </c>
      <c r="X1344" s="46">
        <v>6.3259999999999996</v>
      </c>
      <c r="Y1344" s="194">
        <v>6.0229999999999997</v>
      </c>
      <c r="Z1344" s="194">
        <v>6.375</v>
      </c>
      <c r="AA1344" s="194">
        <v>6.6349999999999998</v>
      </c>
      <c r="AB1344" s="46">
        <v>6.1</v>
      </c>
      <c r="AC1344" s="46">
        <v>6.15</v>
      </c>
      <c r="AD1344" s="46">
        <v>6.06</v>
      </c>
      <c r="AE1344" s="46">
        <v>6.13</v>
      </c>
    </row>
    <row r="1345" spans="1:31" x14ac:dyDescent="0.25">
      <c r="A1345" s="136">
        <v>43042</v>
      </c>
      <c r="B1345" s="201" t="s">
        <v>79</v>
      </c>
      <c r="C1345" t="s">
        <v>143</v>
      </c>
      <c r="D1345">
        <v>2500</v>
      </c>
      <c r="E1345">
        <v>2500</v>
      </c>
      <c r="F1345">
        <v>17.736000000000001</v>
      </c>
      <c r="G1345">
        <v>-1315.88</v>
      </c>
      <c r="H1345">
        <v>-2.96</v>
      </c>
      <c r="I1345" s="309">
        <v>43025</v>
      </c>
      <c r="J1345">
        <v>17.21</v>
      </c>
      <c r="K1345" s="133">
        <v>9.1045674329548895E-2</v>
      </c>
      <c r="L1345" s="181">
        <v>-730.17</v>
      </c>
      <c r="M1345" s="133">
        <v>9.3830222428021096E-2</v>
      </c>
      <c r="N1345" s="73">
        <v>-1391.5</v>
      </c>
      <c r="O1345" s="73">
        <v>-80.954845750873105</v>
      </c>
      <c r="P1345" s="182">
        <v>4</v>
      </c>
      <c r="Q1345" s="182">
        <v>2500</v>
      </c>
      <c r="R1345" s="46">
        <v>17.728000000000002</v>
      </c>
      <c r="S1345" s="46">
        <v>0</v>
      </c>
      <c r="T1345" s="46">
        <v>0</v>
      </c>
      <c r="U1345" s="46">
        <v>0</v>
      </c>
      <c r="V1345" s="46" t="s">
        <v>62</v>
      </c>
      <c r="W1345" s="46">
        <v>2500</v>
      </c>
      <c r="X1345" s="46">
        <v>17.728000000000002</v>
      </c>
    </row>
    <row r="1346" spans="1:31" x14ac:dyDescent="0.25">
      <c r="A1346" s="136">
        <v>43042</v>
      </c>
      <c r="B1346" s="201" t="s">
        <v>140</v>
      </c>
      <c r="C1346" t="s">
        <v>141</v>
      </c>
      <c r="D1346">
        <v>100</v>
      </c>
      <c r="E1346">
        <v>100</v>
      </c>
      <c r="F1346">
        <v>48.232999999999997</v>
      </c>
      <c r="G1346">
        <v>116.72</v>
      </c>
      <c r="H1346">
        <v>2.42</v>
      </c>
      <c r="I1346" s="309">
        <v>4940</v>
      </c>
      <c r="J1346">
        <v>49.4</v>
      </c>
      <c r="K1346" s="133">
        <v>1.0453588174037701E-2</v>
      </c>
      <c r="L1346" s="181">
        <v>301.92</v>
      </c>
      <c r="M1346" s="133">
        <v>1.0206595702039E-2</v>
      </c>
      <c r="N1346" s="73">
        <v>158.838999999999</v>
      </c>
      <c r="O1346" s="73">
        <v>3.18666359895622</v>
      </c>
      <c r="P1346" s="182">
        <v>2</v>
      </c>
      <c r="Q1346" s="182">
        <v>200</v>
      </c>
      <c r="R1346" s="46">
        <v>48.924999999999997</v>
      </c>
      <c r="S1346" s="46">
        <v>1</v>
      </c>
      <c r="T1346" s="46">
        <v>100</v>
      </c>
      <c r="U1346" s="46">
        <v>49.82</v>
      </c>
      <c r="V1346" s="46" t="s">
        <v>62</v>
      </c>
      <c r="W1346" s="46">
        <v>100</v>
      </c>
      <c r="X1346" s="46">
        <v>48.03</v>
      </c>
      <c r="Y1346" s="193">
        <v>50.954000000000001</v>
      </c>
      <c r="Z1346" s="194">
        <v>48.969000000000001</v>
      </c>
      <c r="AA1346" s="194">
        <v>49.319000000000003</v>
      </c>
      <c r="AB1346" s="46">
        <v>48.98</v>
      </c>
      <c r="AC1346" s="46">
        <v>50.2</v>
      </c>
      <c r="AD1346" s="46">
        <v>48.65</v>
      </c>
      <c r="AE1346" s="46">
        <v>49.4</v>
      </c>
    </row>
    <row r="1347" spans="1:31" x14ac:dyDescent="0.25">
      <c r="A1347" s="136">
        <v>43042</v>
      </c>
      <c r="B1347" s="201" t="s">
        <v>65</v>
      </c>
      <c r="C1347" t="s">
        <v>127</v>
      </c>
      <c r="D1347">
        <v>11700</v>
      </c>
      <c r="E1347">
        <v>11700</v>
      </c>
      <c r="F1347">
        <v>10.412000000000001</v>
      </c>
      <c r="G1347">
        <v>9337.2800000000007</v>
      </c>
      <c r="H1347">
        <v>7.67</v>
      </c>
      <c r="I1347" s="309">
        <v>131157</v>
      </c>
      <c r="J1347">
        <v>11.21</v>
      </c>
      <c r="K1347" s="133">
        <v>0.27754276602069999</v>
      </c>
      <c r="L1347" s="181">
        <v>-3239</v>
      </c>
      <c r="M1347" s="133">
        <v>0.257784045416312</v>
      </c>
      <c r="N1347" s="73">
        <v>4469.8450000000403</v>
      </c>
      <c r="O1347" s="73">
        <v>783.78340508511701</v>
      </c>
      <c r="P1347" s="182">
        <v>4</v>
      </c>
      <c r="Q1347" s="182">
        <v>1600</v>
      </c>
      <c r="R1347" s="46">
        <v>11.265000000000001</v>
      </c>
      <c r="S1347" s="46">
        <v>16</v>
      </c>
      <c r="T1347" s="46">
        <v>6900</v>
      </c>
      <c r="U1347" s="46">
        <v>12.496</v>
      </c>
      <c r="V1347" s="46" t="s">
        <v>68</v>
      </c>
      <c r="W1347" s="46">
        <v>5300</v>
      </c>
      <c r="X1347" s="46">
        <v>12.868</v>
      </c>
      <c r="Y1347" s="194">
        <v>11.202</v>
      </c>
      <c r="Z1347" s="194">
        <v>11.61</v>
      </c>
      <c r="AA1347" s="194">
        <v>11.906000000000001</v>
      </c>
      <c r="AB1347" s="46">
        <v>11.41</v>
      </c>
      <c r="AC1347" s="46">
        <v>11.44</v>
      </c>
      <c r="AD1347" s="46">
        <v>11.07</v>
      </c>
      <c r="AE1347" s="46">
        <v>11.21</v>
      </c>
    </row>
    <row r="1348" spans="1:31" x14ac:dyDescent="0.25">
      <c r="A1348" s="136">
        <v>43042</v>
      </c>
      <c r="B1348" s="201" t="s">
        <v>77</v>
      </c>
      <c r="C1348" t="s">
        <v>128</v>
      </c>
      <c r="D1348">
        <v>4200</v>
      </c>
      <c r="E1348">
        <v>4200</v>
      </c>
      <c r="F1348">
        <v>6.069</v>
      </c>
      <c r="G1348">
        <v>927.14</v>
      </c>
      <c r="H1348">
        <v>3.64</v>
      </c>
      <c r="I1348" s="309">
        <v>26418</v>
      </c>
      <c r="J1348">
        <v>6.29</v>
      </c>
      <c r="K1348" s="133">
        <v>5.5903419510471203E-2</v>
      </c>
      <c r="L1348" s="181">
        <v>-420</v>
      </c>
      <c r="M1348" s="133">
        <v>5.3941488389079001E-2</v>
      </c>
      <c r="N1348" s="73">
        <v>842.19399999999598</v>
      </c>
      <c r="O1348" s="73">
        <v>209.94098638497599</v>
      </c>
      <c r="P1348" s="182">
        <v>8</v>
      </c>
      <c r="Q1348" s="182">
        <v>4000</v>
      </c>
      <c r="R1348" s="46">
        <v>6.6980000000000004</v>
      </c>
      <c r="S1348" s="46">
        <v>1</v>
      </c>
      <c r="T1348" s="46">
        <v>400</v>
      </c>
      <c r="U1348" s="46">
        <v>6.62</v>
      </c>
      <c r="V1348" s="46" t="s">
        <v>62</v>
      </c>
      <c r="W1348" s="46">
        <v>3600</v>
      </c>
      <c r="X1348" s="46">
        <v>6.7069999999999999</v>
      </c>
      <c r="Y1348" s="194">
        <v>6.3159999999999998</v>
      </c>
      <c r="Z1348" s="194">
        <v>6.4370000000000003</v>
      </c>
      <c r="AA1348" s="194">
        <v>6.8310000000000004</v>
      </c>
      <c r="AB1348" s="46">
        <v>6.4</v>
      </c>
      <c r="AC1348" s="46">
        <v>6.42</v>
      </c>
      <c r="AD1348" s="46">
        <v>6.25</v>
      </c>
      <c r="AE1348" s="46">
        <v>6.29</v>
      </c>
    </row>
    <row r="1349" spans="1:31" x14ac:dyDescent="0.25">
      <c r="A1349" s="136">
        <v>43042</v>
      </c>
      <c r="B1349" s="201" t="s">
        <v>67</v>
      </c>
      <c r="C1349" t="s">
        <v>129</v>
      </c>
      <c r="D1349">
        <v>9350</v>
      </c>
      <c r="E1349">
        <v>9350</v>
      </c>
      <c r="F1349">
        <v>8.7840000000000007</v>
      </c>
      <c r="G1349">
        <v>-5370.05</v>
      </c>
      <c r="H1349">
        <v>-6.53</v>
      </c>
      <c r="I1349" s="309">
        <v>76763.5</v>
      </c>
      <c r="J1349">
        <v>8.2100000000000009</v>
      </c>
      <c r="K1349" s="133">
        <v>0.162440084169583</v>
      </c>
      <c r="L1349" s="181">
        <v>-4032.5</v>
      </c>
      <c r="M1349" s="133">
        <v>0.17380370586472299</v>
      </c>
      <c r="N1349" s="73">
        <v>27029.094999999899</v>
      </c>
      <c r="O1349" s="73">
        <v>-702.991168237485</v>
      </c>
      <c r="P1349" s="182">
        <v>22</v>
      </c>
      <c r="Q1349" s="182">
        <v>11000</v>
      </c>
      <c r="R1349" s="46">
        <v>6.9080000000000004</v>
      </c>
      <c r="S1349" s="46">
        <v>15</v>
      </c>
      <c r="T1349" s="46">
        <v>6300</v>
      </c>
      <c r="U1349" s="46">
        <v>8.9979999999999993</v>
      </c>
      <c r="V1349" s="46" t="s">
        <v>62</v>
      </c>
      <c r="W1349" s="46">
        <v>4700</v>
      </c>
      <c r="X1349" s="46">
        <v>4.1070000000000002</v>
      </c>
      <c r="Y1349" s="194">
        <v>8.1639999999999997</v>
      </c>
      <c r="Z1349" s="193">
        <v>-33.073999999999998</v>
      </c>
      <c r="AA1349" s="194">
        <v>9.0210000000000008</v>
      </c>
      <c r="AB1349" s="46">
        <v>8.25</v>
      </c>
      <c r="AC1349" s="46">
        <v>8.31</v>
      </c>
      <c r="AD1349" s="46">
        <v>8.1</v>
      </c>
      <c r="AE1349" s="46">
        <v>8.2100000000000009</v>
      </c>
    </row>
    <row r="1350" spans="1:31" x14ac:dyDescent="0.25">
      <c r="A1350" s="136">
        <v>43042</v>
      </c>
      <c r="B1350" s="201" t="s">
        <v>78</v>
      </c>
      <c r="C1350" t="s">
        <v>142</v>
      </c>
      <c r="D1350">
        <v>100</v>
      </c>
      <c r="E1350">
        <v>100</v>
      </c>
      <c r="F1350">
        <v>10.987</v>
      </c>
      <c r="G1350">
        <v>74.3</v>
      </c>
      <c r="H1350">
        <v>6.76</v>
      </c>
      <c r="I1350" s="309">
        <v>1173</v>
      </c>
      <c r="J1350">
        <v>11.73</v>
      </c>
      <c r="K1350" s="133">
        <v>2.4821981635923499E-3</v>
      </c>
      <c r="L1350" s="181">
        <v>-38</v>
      </c>
      <c r="M1350" s="133">
        <v>2.3249711187885002E-3</v>
      </c>
      <c r="N1350" s="73">
        <v>75.304000000000102</v>
      </c>
      <c r="O1350" s="73">
        <v>6.41110289608178</v>
      </c>
      <c r="P1350" s="182">
        <v>1</v>
      </c>
      <c r="Q1350" s="182">
        <v>500</v>
      </c>
      <c r="R1350" s="46">
        <v>11.56</v>
      </c>
      <c r="S1350" s="46">
        <v>1</v>
      </c>
      <c r="T1350" s="46">
        <v>400</v>
      </c>
      <c r="U1350" s="46">
        <v>11.74</v>
      </c>
      <c r="V1350" s="46" t="s">
        <v>62</v>
      </c>
      <c r="W1350" s="46">
        <v>100</v>
      </c>
      <c r="X1350" s="46">
        <v>10.84</v>
      </c>
    </row>
    <row r="1351" spans="1:31" x14ac:dyDescent="0.25">
      <c r="A1351" s="136">
        <v>43042</v>
      </c>
      <c r="B1351" s="201" t="s">
        <v>72</v>
      </c>
      <c r="C1351" t="s">
        <v>130</v>
      </c>
      <c r="D1351">
        <v>1700</v>
      </c>
      <c r="E1351">
        <v>1700</v>
      </c>
      <c r="F1351">
        <v>8.4039999999999999</v>
      </c>
      <c r="G1351">
        <v>-380.36</v>
      </c>
      <c r="H1351">
        <v>-2.66</v>
      </c>
      <c r="I1351" s="309">
        <v>13906</v>
      </c>
      <c r="J1351">
        <v>8.18</v>
      </c>
      <c r="K1351" s="133">
        <v>2.9426639098819402E-2</v>
      </c>
      <c r="L1351" s="181">
        <v>766.52</v>
      </c>
      <c r="M1351" s="133">
        <v>3.0231523066001E-2</v>
      </c>
      <c r="N1351" s="73">
        <v>281.94000000000898</v>
      </c>
      <c r="O1351" s="73">
        <v>57.861859195404797</v>
      </c>
      <c r="P1351" s="182">
        <v>0</v>
      </c>
      <c r="Q1351" s="182">
        <v>0</v>
      </c>
      <c r="R1351" s="46">
        <v>0</v>
      </c>
      <c r="S1351" s="46">
        <v>10</v>
      </c>
      <c r="T1351" s="46">
        <v>4900</v>
      </c>
      <c r="U1351" s="46">
        <v>7.67</v>
      </c>
      <c r="V1351" s="46" t="s">
        <v>68</v>
      </c>
      <c r="W1351" s="46">
        <v>4900</v>
      </c>
      <c r="X1351" s="46">
        <v>7.67</v>
      </c>
    </row>
    <row r="1352" spans="1:31" x14ac:dyDescent="0.25">
      <c r="A1352" s="136">
        <v>43042</v>
      </c>
      <c r="B1352" s="201" t="s">
        <v>70</v>
      </c>
      <c r="C1352" t="s">
        <v>131</v>
      </c>
      <c r="D1352">
        <v>8400</v>
      </c>
      <c r="E1352">
        <v>8400</v>
      </c>
      <c r="F1352">
        <v>12.481</v>
      </c>
      <c r="G1352">
        <v>-6307.46</v>
      </c>
      <c r="H1352">
        <v>-6.02</v>
      </c>
      <c r="I1352" s="309">
        <v>98532</v>
      </c>
      <c r="J1352">
        <v>11.73</v>
      </c>
      <c r="K1352" s="133">
        <v>0.20850464574175701</v>
      </c>
      <c r="L1352" s="181">
        <v>-2100</v>
      </c>
      <c r="M1352" s="133">
        <v>0.22185193101791401</v>
      </c>
      <c r="N1352" s="73">
        <v>-4379.44200000002</v>
      </c>
      <c r="O1352" s="73">
        <v>-365.990993227427</v>
      </c>
      <c r="P1352" s="182">
        <v>3</v>
      </c>
      <c r="Q1352" s="182">
        <v>1500</v>
      </c>
      <c r="R1352" s="46">
        <v>12.282999999999999</v>
      </c>
      <c r="S1352" s="46">
        <v>9</v>
      </c>
      <c r="T1352" s="46">
        <v>3600</v>
      </c>
      <c r="U1352" s="46">
        <v>13.278</v>
      </c>
      <c r="V1352" s="46" t="s">
        <v>68</v>
      </c>
      <c r="W1352" s="46">
        <v>2100</v>
      </c>
      <c r="X1352" s="46">
        <v>13.989000000000001</v>
      </c>
      <c r="Y1352" s="194">
        <v>11.619</v>
      </c>
      <c r="Z1352" s="194">
        <v>12.581</v>
      </c>
      <c r="AA1352" s="194">
        <v>12.621</v>
      </c>
      <c r="AB1352" s="46">
        <v>11.7</v>
      </c>
      <c r="AC1352" s="46">
        <v>11.83</v>
      </c>
      <c r="AD1352" s="46">
        <v>11.64</v>
      </c>
      <c r="AE1352" s="46">
        <v>11.73</v>
      </c>
    </row>
    <row r="1353" spans="1:31" x14ac:dyDescent="0.25">
      <c r="A1353" s="136">
        <v>43042</v>
      </c>
      <c r="B1353" s="201" t="s">
        <v>137</v>
      </c>
      <c r="C1353" t="s">
        <v>138</v>
      </c>
      <c r="D1353">
        <v>100</v>
      </c>
      <c r="E1353">
        <v>100</v>
      </c>
      <c r="F1353">
        <v>-130.48500000000001</v>
      </c>
      <c r="G1353">
        <v>17873.5</v>
      </c>
      <c r="H1353">
        <v>0</v>
      </c>
      <c r="I1353" s="309">
        <v>4825</v>
      </c>
      <c r="J1353">
        <v>48.25</v>
      </c>
      <c r="K1353" s="133">
        <v>1.0210235412901199E-2</v>
      </c>
      <c r="L1353" s="181">
        <v>228</v>
      </c>
      <c r="M1353" s="133">
        <v>0</v>
      </c>
    </row>
    <row r="1354" spans="1:31" x14ac:dyDescent="0.25">
      <c r="A1354" s="136">
        <v>43042</v>
      </c>
      <c r="B1354" s="201" t="s">
        <v>835</v>
      </c>
      <c r="C1354" t="s">
        <v>839</v>
      </c>
      <c r="I1354" s="309">
        <v>20718.63</v>
      </c>
      <c r="K1354" s="133">
        <v>4.3842920151874999E-2</v>
      </c>
      <c r="L1354" s="181">
        <v>0</v>
      </c>
      <c r="M1354" s="133">
        <v>4.4358997294361699E-2</v>
      </c>
      <c r="P1354" s="195"/>
      <c r="Q1354" s="195"/>
      <c r="R1354" s="73"/>
      <c r="S1354" s="195"/>
      <c r="T1354" s="73"/>
      <c r="U1354" s="73"/>
      <c r="V1354" s="73"/>
      <c r="W1354" s="73"/>
      <c r="X1354" s="73"/>
      <c r="Y1354" s="128"/>
      <c r="Z1354" s="128"/>
      <c r="AA1354" s="128"/>
      <c r="AB1354" s="128"/>
      <c r="AC1354" s="128"/>
      <c r="AD1354" s="128"/>
      <c r="AE1354" s="128"/>
    </row>
    <row r="1355" spans="1:31" x14ac:dyDescent="0.25">
      <c r="A1355" s="136">
        <v>43045</v>
      </c>
      <c r="B1355" s="201" t="s">
        <v>132</v>
      </c>
      <c r="C1355" t="s">
        <v>123</v>
      </c>
      <c r="D1355">
        <v>24388</v>
      </c>
      <c r="E1355">
        <v>24388</v>
      </c>
      <c r="F1355">
        <v>-0.10100000000000001</v>
      </c>
      <c r="G1355">
        <v>2707.0680000000002</v>
      </c>
      <c r="H1355">
        <v>0</v>
      </c>
      <c r="I1355" s="309">
        <v>243.88</v>
      </c>
      <c r="J1355">
        <v>0.01</v>
      </c>
      <c r="K1355" s="133">
        <v>5.1707670848235795E-4</v>
      </c>
      <c r="L1355" s="181">
        <v>0</v>
      </c>
      <c r="M1355" s="133">
        <v>0</v>
      </c>
    </row>
    <row r="1356" spans="1:31" x14ac:dyDescent="0.25">
      <c r="A1356" s="136">
        <v>43045</v>
      </c>
      <c r="B1356" s="201" t="s">
        <v>61</v>
      </c>
      <c r="C1356" t="s">
        <v>136</v>
      </c>
      <c r="D1356">
        <v>2900</v>
      </c>
      <c r="E1356">
        <v>2900</v>
      </c>
      <c r="F1356">
        <v>5.3490000000000002</v>
      </c>
      <c r="G1356">
        <v>-199.24</v>
      </c>
      <c r="H1356">
        <v>-1.29</v>
      </c>
      <c r="I1356" s="309">
        <v>15312</v>
      </c>
      <c r="J1356">
        <v>5.28</v>
      </c>
      <c r="K1356" s="133">
        <v>3.2464648844849398E-2</v>
      </c>
      <c r="L1356" s="181">
        <v>0</v>
      </c>
      <c r="M1356" s="133">
        <v>3.2887079398392201E-2</v>
      </c>
      <c r="N1356" s="73">
        <v>-144.28800000000001</v>
      </c>
      <c r="O1356" s="73">
        <v>-27.210538867924601</v>
      </c>
      <c r="P1356" s="182">
        <v>5</v>
      </c>
      <c r="Q1356" s="182">
        <v>2500</v>
      </c>
      <c r="R1356" s="46">
        <v>5.3659999999999997</v>
      </c>
      <c r="S1356" s="46">
        <v>0</v>
      </c>
      <c r="T1356" s="46">
        <v>0</v>
      </c>
      <c r="U1356" s="46">
        <v>0</v>
      </c>
      <c r="V1356" s="46" t="s">
        <v>62</v>
      </c>
      <c r="W1356" s="46">
        <v>2500</v>
      </c>
      <c r="X1356" s="46">
        <v>5.3659999999999997</v>
      </c>
    </row>
    <row r="1357" spans="1:31" x14ac:dyDescent="0.25">
      <c r="A1357" s="136">
        <v>43045</v>
      </c>
      <c r="B1357" s="201" t="s">
        <v>124</v>
      </c>
      <c r="C1357" t="s">
        <v>125</v>
      </c>
      <c r="D1357">
        <v>100</v>
      </c>
      <c r="E1357">
        <v>100</v>
      </c>
      <c r="F1357">
        <v>-53.579000000000001</v>
      </c>
      <c r="G1357">
        <v>5963.9</v>
      </c>
      <c r="H1357">
        <v>0</v>
      </c>
      <c r="I1357" s="309">
        <v>606</v>
      </c>
      <c r="J1357">
        <v>6.06</v>
      </c>
      <c r="K1357" s="133">
        <v>1.2848469958188799E-3</v>
      </c>
      <c r="L1357" s="181">
        <v>-4</v>
      </c>
      <c r="M1357" s="133">
        <v>0</v>
      </c>
      <c r="N1357" s="73">
        <v>5995.0890000000099</v>
      </c>
      <c r="O1357" s="73">
        <v>1102.4501845505599</v>
      </c>
      <c r="P1357" s="182">
        <v>0</v>
      </c>
      <c r="Q1357" s="182">
        <v>0</v>
      </c>
      <c r="R1357" s="46">
        <v>0</v>
      </c>
      <c r="S1357" s="46">
        <v>5</v>
      </c>
      <c r="T1357" s="46">
        <v>2300</v>
      </c>
      <c r="U1357" s="46">
        <v>4.99</v>
      </c>
      <c r="V1357" s="46" t="s">
        <v>68</v>
      </c>
      <c r="W1357" s="46">
        <v>2300</v>
      </c>
      <c r="X1357" s="46">
        <v>4.99</v>
      </c>
      <c r="Y1357" s="194">
        <v>6.0119999999999996</v>
      </c>
      <c r="Z1357" s="193">
        <v>5.3730000000000002</v>
      </c>
      <c r="AA1357" s="193">
        <v>5.734</v>
      </c>
      <c r="AB1357" s="46">
        <v>6.06</v>
      </c>
      <c r="AC1357" s="46">
        <v>6.08</v>
      </c>
      <c r="AD1357" s="46">
        <v>6</v>
      </c>
      <c r="AE1357" s="46">
        <v>6.05</v>
      </c>
    </row>
    <row r="1358" spans="1:31" x14ac:dyDescent="0.25">
      <c r="A1358" s="136">
        <v>43045</v>
      </c>
      <c r="B1358" s="201" t="s">
        <v>71</v>
      </c>
      <c r="C1358" t="s">
        <v>126</v>
      </c>
      <c r="D1358">
        <v>5700</v>
      </c>
      <c r="E1358">
        <v>5700</v>
      </c>
      <c r="F1358">
        <v>6.1369999999999996</v>
      </c>
      <c r="G1358">
        <v>-153.71</v>
      </c>
      <c r="H1358">
        <v>-0.44</v>
      </c>
      <c r="I1358" s="309">
        <v>34827</v>
      </c>
      <c r="J1358">
        <v>6.11</v>
      </c>
      <c r="K1358" s="133">
        <v>7.3840538487432703E-2</v>
      </c>
      <c r="L1358" s="181">
        <v>-114</v>
      </c>
      <c r="M1358" s="133">
        <v>7.4166435899524E-2</v>
      </c>
      <c r="N1358" s="73">
        <v>346.352000000006</v>
      </c>
      <c r="O1358" s="73">
        <v>-54.2373414473672</v>
      </c>
      <c r="P1358" s="182">
        <v>7</v>
      </c>
      <c r="Q1358" s="182">
        <v>3500</v>
      </c>
      <c r="R1358" s="46">
        <v>6.3259999999999996</v>
      </c>
      <c r="S1358" s="46">
        <v>0</v>
      </c>
      <c r="T1358" s="46">
        <v>0</v>
      </c>
      <c r="U1358" s="46">
        <v>0</v>
      </c>
      <c r="V1358" s="46" t="s">
        <v>62</v>
      </c>
      <c r="W1358" s="46">
        <v>3500</v>
      </c>
      <c r="X1358" s="46">
        <v>6.3259999999999996</v>
      </c>
      <c r="Y1358" s="194">
        <v>6.077</v>
      </c>
      <c r="Z1358" s="194">
        <v>6.3659999999999997</v>
      </c>
      <c r="AA1358" s="194">
        <v>6.6310000000000002</v>
      </c>
      <c r="AB1358" s="46">
        <v>6.12</v>
      </c>
      <c r="AC1358" s="46">
        <v>6.13</v>
      </c>
      <c r="AD1358" s="46">
        <v>6.09</v>
      </c>
      <c r="AE1358" s="46">
        <v>6.1</v>
      </c>
    </row>
    <row r="1359" spans="1:31" x14ac:dyDescent="0.25">
      <c r="A1359" s="136">
        <v>43045</v>
      </c>
      <c r="B1359" s="201" t="s">
        <v>79</v>
      </c>
      <c r="C1359" t="s">
        <v>143</v>
      </c>
      <c r="D1359">
        <v>2500</v>
      </c>
      <c r="E1359">
        <v>2500</v>
      </c>
      <c r="F1359">
        <v>17.736000000000001</v>
      </c>
      <c r="G1359">
        <v>-1190.8800000000001</v>
      </c>
      <c r="H1359">
        <v>-2.68</v>
      </c>
      <c r="I1359" s="309">
        <v>43150</v>
      </c>
      <c r="J1359">
        <v>17.260000000000002</v>
      </c>
      <c r="K1359" s="133">
        <v>9.1487042689083795E-2</v>
      </c>
      <c r="L1359" s="181">
        <v>125</v>
      </c>
      <c r="M1359" s="133">
        <v>9.4011957854728698E-2</v>
      </c>
      <c r="N1359" s="73">
        <v>-1391.5</v>
      </c>
      <c r="O1359" s="73">
        <v>-80.954845750873105</v>
      </c>
      <c r="P1359" s="182">
        <v>4</v>
      </c>
      <c r="Q1359" s="182">
        <v>2500</v>
      </c>
      <c r="R1359" s="46">
        <v>17.728000000000002</v>
      </c>
      <c r="S1359" s="46">
        <v>0</v>
      </c>
      <c r="T1359" s="46">
        <v>0</v>
      </c>
      <c r="U1359" s="46">
        <v>0</v>
      </c>
      <c r="V1359" s="46" t="s">
        <v>62</v>
      </c>
      <c r="W1359" s="46">
        <v>2500</v>
      </c>
      <c r="X1359" s="46">
        <v>17.728000000000002</v>
      </c>
    </row>
    <row r="1360" spans="1:31" x14ac:dyDescent="0.25">
      <c r="A1360" s="136">
        <v>43045</v>
      </c>
      <c r="B1360" s="201" t="s">
        <v>140</v>
      </c>
      <c r="C1360" t="s">
        <v>141</v>
      </c>
      <c r="D1360">
        <v>0</v>
      </c>
      <c r="E1360">
        <v>0</v>
      </c>
      <c r="F1360">
        <v>0</v>
      </c>
      <c r="G1360">
        <v>600.17999999999995</v>
      </c>
      <c r="H1360">
        <v>0</v>
      </c>
      <c r="I1360" s="309">
        <v>0</v>
      </c>
      <c r="J1360">
        <v>54.14</v>
      </c>
      <c r="K1360" s="133">
        <v>0</v>
      </c>
      <c r="L1360" s="181">
        <v>483.46</v>
      </c>
      <c r="M1360" s="133">
        <v>0</v>
      </c>
      <c r="N1360" s="73">
        <v>600.344999999999</v>
      </c>
      <c r="O1360" s="73">
        <v>11.042414933750401</v>
      </c>
      <c r="P1360" s="182">
        <v>2</v>
      </c>
      <c r="Q1360" s="182">
        <v>200</v>
      </c>
      <c r="R1360" s="46">
        <v>48.924999999999997</v>
      </c>
      <c r="S1360" s="46">
        <v>2</v>
      </c>
      <c r="T1360" s="46">
        <v>200</v>
      </c>
      <c r="U1360" s="46">
        <v>52.08</v>
      </c>
      <c r="V1360" s="46" t="s">
        <v>68</v>
      </c>
      <c r="W1360" s="46">
        <v>0</v>
      </c>
      <c r="Y1360" s="193">
        <v>47.738999999999997</v>
      </c>
      <c r="Z1360" s="194">
        <v>49.517000000000003</v>
      </c>
      <c r="AA1360" s="194">
        <v>50.241999999999997</v>
      </c>
      <c r="AB1360" s="46">
        <v>50.49</v>
      </c>
      <c r="AC1360" s="46">
        <v>54.34</v>
      </c>
      <c r="AD1360" s="46">
        <v>50.02</v>
      </c>
      <c r="AE1360" s="46">
        <v>54.34</v>
      </c>
    </row>
    <row r="1361" spans="1:31" x14ac:dyDescent="0.25">
      <c r="A1361" s="136">
        <v>43045</v>
      </c>
      <c r="B1361" s="201" t="s">
        <v>65</v>
      </c>
      <c r="C1361" t="s">
        <v>127</v>
      </c>
      <c r="D1361">
        <v>11800</v>
      </c>
      <c r="E1361">
        <v>11300</v>
      </c>
      <c r="F1361">
        <v>10.412000000000001</v>
      </c>
      <c r="G1361">
        <v>8351.7999999999993</v>
      </c>
      <c r="H1361">
        <v>6.8</v>
      </c>
      <c r="I1361" s="309">
        <v>131216</v>
      </c>
      <c r="J1361">
        <v>11.12</v>
      </c>
      <c r="K1361" s="133">
        <v>0.27820541815737698</v>
      </c>
      <c r="L1361" s="181">
        <v>-985.48000000000104</v>
      </c>
      <c r="M1361" s="133">
        <v>0.26049785192028102</v>
      </c>
      <c r="N1361" s="73">
        <v>5013.3650000000398</v>
      </c>
      <c r="O1361" s="73">
        <v>829.48848578124205</v>
      </c>
      <c r="P1361" s="182">
        <v>2</v>
      </c>
      <c r="Q1361" s="182">
        <v>900</v>
      </c>
      <c r="R1361" s="46">
        <v>11.135999999999999</v>
      </c>
      <c r="S1361" s="46">
        <v>14</v>
      </c>
      <c r="T1361" s="46">
        <v>6000</v>
      </c>
      <c r="U1361" s="46">
        <v>12.542999999999999</v>
      </c>
      <c r="V1361" s="46" t="s">
        <v>68</v>
      </c>
      <c r="W1361" s="46">
        <v>5100</v>
      </c>
      <c r="X1361" s="46">
        <v>12.791</v>
      </c>
      <c r="Y1361" s="194">
        <v>10.942</v>
      </c>
      <c r="Z1361" s="194">
        <v>11.589</v>
      </c>
      <c r="AA1361" s="194">
        <v>11.891999999999999</v>
      </c>
      <c r="AB1361" s="46">
        <v>11.2</v>
      </c>
      <c r="AC1361" s="46">
        <v>11.22</v>
      </c>
      <c r="AD1361" s="46">
        <v>10.95</v>
      </c>
      <c r="AE1361" s="46">
        <v>11.19</v>
      </c>
    </row>
    <row r="1362" spans="1:31" x14ac:dyDescent="0.25">
      <c r="A1362" s="136">
        <v>43045</v>
      </c>
      <c r="B1362" s="201" t="s">
        <v>77</v>
      </c>
      <c r="C1362" t="s">
        <v>128</v>
      </c>
      <c r="D1362">
        <v>4200</v>
      </c>
      <c r="E1362">
        <v>4200</v>
      </c>
      <c r="F1362">
        <v>6.069</v>
      </c>
      <c r="G1362">
        <v>1179.1400000000001</v>
      </c>
      <c r="H1362">
        <v>4.63</v>
      </c>
      <c r="I1362" s="309">
        <v>26670</v>
      </c>
      <c r="J1362">
        <v>6.35</v>
      </c>
      <c r="K1362" s="133">
        <v>5.6545989073415202E-2</v>
      </c>
      <c r="L1362" s="181">
        <v>252</v>
      </c>
      <c r="M1362" s="133">
        <v>5.40459651680524E-2</v>
      </c>
      <c r="N1362" s="73">
        <v>842.19399999999598</v>
      </c>
      <c r="O1362" s="73">
        <v>209.94098638497599</v>
      </c>
      <c r="P1362" s="182">
        <v>7</v>
      </c>
      <c r="Q1362" s="182">
        <v>3500</v>
      </c>
      <c r="R1362" s="46">
        <v>6.74</v>
      </c>
      <c r="S1362" s="46">
        <v>0</v>
      </c>
      <c r="T1362" s="46">
        <v>0</v>
      </c>
      <c r="U1362" s="46">
        <v>0</v>
      </c>
      <c r="V1362" s="46" t="s">
        <v>62</v>
      </c>
      <c r="W1362" s="46">
        <v>3500</v>
      </c>
      <c r="X1362" s="46">
        <v>6.74</v>
      </c>
      <c r="Y1362" s="193">
        <v>6.4029999999999996</v>
      </c>
      <c r="Z1362" s="194">
        <v>6.44</v>
      </c>
      <c r="AA1362" s="194">
        <v>6.8220000000000001</v>
      </c>
      <c r="AB1362" s="46">
        <v>6.29</v>
      </c>
      <c r="AC1362" s="46">
        <v>6.37</v>
      </c>
      <c r="AD1362" s="46">
        <v>6.28</v>
      </c>
      <c r="AE1362" s="46">
        <v>6.35</v>
      </c>
    </row>
    <row r="1363" spans="1:31" x14ac:dyDescent="0.25">
      <c r="A1363" s="136">
        <v>43045</v>
      </c>
      <c r="B1363" s="201" t="s">
        <v>67</v>
      </c>
      <c r="C1363" t="s">
        <v>129</v>
      </c>
      <c r="D1363">
        <v>9850</v>
      </c>
      <c r="E1363">
        <v>9350</v>
      </c>
      <c r="F1363">
        <v>8.7469999999999999</v>
      </c>
      <c r="G1363">
        <v>-6570.55</v>
      </c>
      <c r="H1363">
        <v>-7.62</v>
      </c>
      <c r="I1363" s="309">
        <v>79588</v>
      </c>
      <c r="J1363">
        <v>8.08</v>
      </c>
      <c r="K1363" s="133">
        <v>0.16874323878421299</v>
      </c>
      <c r="L1363" s="181">
        <v>-1200.5</v>
      </c>
      <c r="M1363" s="133">
        <v>0.18267418173533201</v>
      </c>
      <c r="N1363" s="73">
        <v>25808.594999999899</v>
      </c>
      <c r="O1363" s="73">
        <v>-866.08552170401299</v>
      </c>
      <c r="P1363" s="182">
        <v>11</v>
      </c>
      <c r="Q1363" s="182">
        <v>5500</v>
      </c>
      <c r="R1363" s="46">
        <v>7.1790000000000003</v>
      </c>
      <c r="S1363" s="46">
        <v>3</v>
      </c>
      <c r="T1363" s="46">
        <v>1200</v>
      </c>
      <c r="U1363" s="46">
        <v>9.17</v>
      </c>
      <c r="V1363" s="46" t="s">
        <v>62</v>
      </c>
      <c r="W1363" s="46">
        <v>4300</v>
      </c>
      <c r="X1363" s="46">
        <v>6.6230000000000002</v>
      </c>
      <c r="Y1363" s="194">
        <v>8.0419999999999998</v>
      </c>
      <c r="Z1363" s="194">
        <v>5.0880000000000001</v>
      </c>
      <c r="AA1363" s="194">
        <v>9.0060000000000002</v>
      </c>
      <c r="AB1363" s="46">
        <v>8.23</v>
      </c>
      <c r="AC1363" s="46">
        <v>8.24</v>
      </c>
      <c r="AD1363" s="46">
        <v>8.01</v>
      </c>
      <c r="AE1363" s="46">
        <v>8.1</v>
      </c>
    </row>
    <row r="1364" spans="1:31" x14ac:dyDescent="0.25">
      <c r="A1364" s="136">
        <v>43045</v>
      </c>
      <c r="B1364" s="201" t="s">
        <v>78</v>
      </c>
      <c r="C1364" t="s">
        <v>142</v>
      </c>
      <c r="D1364">
        <v>100</v>
      </c>
      <c r="E1364">
        <v>100</v>
      </c>
      <c r="F1364">
        <v>10.987</v>
      </c>
      <c r="G1364">
        <v>39.299999999999997</v>
      </c>
      <c r="H1364">
        <v>3.58</v>
      </c>
      <c r="I1364" s="309">
        <v>1138</v>
      </c>
      <c r="J1364">
        <v>11.38</v>
      </c>
      <c r="K1364" s="133">
        <v>2.41279848389751E-3</v>
      </c>
      <c r="L1364" s="181">
        <v>-35</v>
      </c>
      <c r="M1364" s="133">
        <v>2.3294742480300399E-3</v>
      </c>
      <c r="N1364" s="73">
        <v>75.304000000000102</v>
      </c>
      <c r="O1364" s="73">
        <v>6.41110289608178</v>
      </c>
      <c r="P1364" s="182">
        <v>1</v>
      </c>
      <c r="Q1364" s="182">
        <v>500</v>
      </c>
      <c r="R1364" s="46">
        <v>11.56</v>
      </c>
      <c r="S1364" s="46">
        <v>1</v>
      </c>
      <c r="T1364" s="46">
        <v>400</v>
      </c>
      <c r="U1364" s="46">
        <v>11.74</v>
      </c>
      <c r="V1364" s="46" t="s">
        <v>62</v>
      </c>
      <c r="W1364" s="46">
        <v>100</v>
      </c>
      <c r="X1364" s="46">
        <v>10.84</v>
      </c>
    </row>
    <row r="1365" spans="1:31" x14ac:dyDescent="0.25">
      <c r="A1365" s="136">
        <v>43045</v>
      </c>
      <c r="B1365" s="201" t="s">
        <v>72</v>
      </c>
      <c r="C1365" t="s">
        <v>130</v>
      </c>
      <c r="D1365">
        <v>2200</v>
      </c>
      <c r="E1365">
        <v>1700</v>
      </c>
      <c r="F1365">
        <v>8.3140000000000001</v>
      </c>
      <c r="G1365">
        <v>-823.36</v>
      </c>
      <c r="H1365">
        <v>-4.5</v>
      </c>
      <c r="I1365" s="309">
        <v>17468</v>
      </c>
      <c r="J1365">
        <v>7.94</v>
      </c>
      <c r="K1365" s="133">
        <v>3.7035820664957503E-2</v>
      </c>
      <c r="L1365" s="181">
        <v>-443</v>
      </c>
      <c r="M1365" s="133">
        <v>3.87815164116199E-2</v>
      </c>
      <c r="N1365" s="73">
        <v>-913.05999999998903</v>
      </c>
      <c r="O1365" s="73">
        <v>-86.3755406249971</v>
      </c>
      <c r="P1365" s="182">
        <v>0</v>
      </c>
      <c r="Q1365" s="182">
        <v>0</v>
      </c>
      <c r="R1365" s="46">
        <v>0</v>
      </c>
      <c r="S1365" s="46">
        <v>9</v>
      </c>
      <c r="T1365" s="46">
        <v>4400</v>
      </c>
      <c r="U1365" s="46">
        <v>7.633</v>
      </c>
      <c r="V1365" s="46" t="s">
        <v>68</v>
      </c>
      <c r="W1365" s="46">
        <v>4400</v>
      </c>
      <c r="X1365" s="46">
        <v>7.633</v>
      </c>
    </row>
    <row r="1366" spans="1:31" x14ac:dyDescent="0.25">
      <c r="A1366" s="136">
        <v>43045</v>
      </c>
      <c r="B1366" s="201" t="s">
        <v>70</v>
      </c>
      <c r="C1366" t="s">
        <v>131</v>
      </c>
      <c r="D1366">
        <v>8400</v>
      </c>
      <c r="E1366">
        <v>8400</v>
      </c>
      <c r="F1366">
        <v>12.481</v>
      </c>
      <c r="G1366">
        <v>-5299.46</v>
      </c>
      <c r="H1366">
        <v>-5.05</v>
      </c>
      <c r="I1366" s="309">
        <v>99540</v>
      </c>
      <c r="J1366">
        <v>11.85</v>
      </c>
      <c r="K1366" s="133">
        <v>0.21104566000628999</v>
      </c>
      <c r="L1366" s="181">
        <v>1008</v>
      </c>
      <c r="M1366" s="133">
        <v>0.22228162578263</v>
      </c>
      <c r="N1366" s="73">
        <v>-4379.44200000002</v>
      </c>
      <c r="O1366" s="73">
        <v>-365.990993227427</v>
      </c>
      <c r="P1366" s="182">
        <v>3</v>
      </c>
      <c r="Q1366" s="182">
        <v>1500</v>
      </c>
      <c r="R1366" s="46">
        <v>12.282999999999999</v>
      </c>
      <c r="S1366" s="46">
        <v>9</v>
      </c>
      <c r="T1366" s="46">
        <v>3600</v>
      </c>
      <c r="U1366" s="46">
        <v>13.278</v>
      </c>
      <c r="V1366" s="46" t="s">
        <v>68</v>
      </c>
      <c r="W1366" s="46">
        <v>2100</v>
      </c>
      <c r="X1366" s="46">
        <v>13.989000000000001</v>
      </c>
      <c r="Y1366" s="193">
        <v>11.901999999999999</v>
      </c>
      <c r="Z1366" s="194">
        <v>12.59</v>
      </c>
      <c r="AA1366" s="194">
        <v>12.614000000000001</v>
      </c>
      <c r="AB1366" s="46">
        <v>11.73</v>
      </c>
      <c r="AC1366" s="46">
        <v>11.9</v>
      </c>
      <c r="AD1366" s="46">
        <v>11.68</v>
      </c>
      <c r="AE1366" s="46">
        <v>11.89</v>
      </c>
    </row>
    <row r="1367" spans="1:31" x14ac:dyDescent="0.25">
      <c r="A1367" s="136">
        <v>43045</v>
      </c>
      <c r="B1367" s="201" t="s">
        <v>137</v>
      </c>
      <c r="C1367" t="s">
        <v>138</v>
      </c>
      <c r="D1367">
        <v>100</v>
      </c>
      <c r="E1367">
        <v>100</v>
      </c>
      <c r="F1367">
        <v>-130.48500000000001</v>
      </c>
      <c r="G1367">
        <v>17873.5</v>
      </c>
      <c r="H1367">
        <v>0</v>
      </c>
      <c r="I1367" s="309">
        <v>4825</v>
      </c>
      <c r="J1367">
        <v>48.25</v>
      </c>
      <c r="K1367" s="133">
        <v>1.02300111465777E-2</v>
      </c>
      <c r="L1367" s="181">
        <v>0</v>
      </c>
      <c r="M1367" s="133">
        <v>0</v>
      </c>
    </row>
    <row r="1368" spans="1:31" x14ac:dyDescent="0.25">
      <c r="A1368" s="136">
        <v>43045</v>
      </c>
      <c r="B1368" s="201" t="s">
        <v>835</v>
      </c>
      <c r="C1368" t="s">
        <v>839</v>
      </c>
      <c r="I1368" s="309">
        <v>17067.61</v>
      </c>
      <c r="K1368" s="133">
        <v>3.6186909957604499E-2</v>
      </c>
      <c r="L1368" s="181">
        <v>0</v>
      </c>
      <c r="M1368" s="133">
        <v>3.6703986666086902E-2</v>
      </c>
    </row>
    <row r="1369" spans="1:31" x14ac:dyDescent="0.25">
      <c r="A1369" s="136">
        <v>43046</v>
      </c>
      <c r="B1369" s="201" t="s">
        <v>132</v>
      </c>
      <c r="C1369" t="s">
        <v>123</v>
      </c>
      <c r="D1369">
        <v>24394</v>
      </c>
      <c r="E1369">
        <v>24394</v>
      </c>
      <c r="F1369">
        <v>-0.10100000000000001</v>
      </c>
      <c r="G1369">
        <v>2707.7339999999999</v>
      </c>
      <c r="H1369">
        <v>0</v>
      </c>
      <c r="I1369" s="309">
        <v>243.94</v>
      </c>
      <c r="J1369">
        <v>0.01</v>
      </c>
      <c r="K1369" s="133">
        <v>5.1489439799580798E-4</v>
      </c>
      <c r="L1369" s="181">
        <v>0.66599999999971304</v>
      </c>
      <c r="M1369" s="133">
        <v>0</v>
      </c>
    </row>
    <row r="1370" spans="1:31" x14ac:dyDescent="0.25">
      <c r="A1370" s="136">
        <v>43046</v>
      </c>
      <c r="B1370" s="201" t="s">
        <v>61</v>
      </c>
      <c r="C1370" t="s">
        <v>136</v>
      </c>
      <c r="D1370">
        <v>2900</v>
      </c>
      <c r="E1370">
        <v>2900</v>
      </c>
      <c r="F1370">
        <v>5.3490000000000002</v>
      </c>
      <c r="G1370">
        <v>-141.24</v>
      </c>
      <c r="H1370">
        <v>-0.92</v>
      </c>
      <c r="I1370" s="309">
        <v>15370</v>
      </c>
      <c r="J1370">
        <v>5.3</v>
      </c>
      <c r="K1370" s="133">
        <v>3.2442104194455902E-2</v>
      </c>
      <c r="L1370" s="181">
        <v>58</v>
      </c>
      <c r="M1370" s="133">
        <v>3.2740225391360601E-2</v>
      </c>
      <c r="N1370" s="73">
        <v>-144.28800000000001</v>
      </c>
      <c r="O1370" s="73">
        <v>-27.210538867924601</v>
      </c>
      <c r="P1370" s="182">
        <v>5</v>
      </c>
      <c r="Q1370" s="182">
        <v>2500</v>
      </c>
      <c r="R1370" s="46">
        <v>5.3659999999999997</v>
      </c>
      <c r="S1370" s="46">
        <v>0</v>
      </c>
      <c r="T1370" s="46">
        <v>0</v>
      </c>
      <c r="U1370" s="46">
        <v>0</v>
      </c>
      <c r="V1370" s="46" t="s">
        <v>62</v>
      </c>
      <c r="W1370" s="46">
        <v>2500</v>
      </c>
      <c r="X1370" s="46">
        <v>5.3659999999999997</v>
      </c>
    </row>
    <row r="1371" spans="1:31" x14ac:dyDescent="0.25">
      <c r="A1371" s="136">
        <v>43046</v>
      </c>
      <c r="B1371" s="201" t="s">
        <v>124</v>
      </c>
      <c r="C1371" t="s">
        <v>125</v>
      </c>
      <c r="D1371">
        <v>100</v>
      </c>
      <c r="E1371">
        <v>100</v>
      </c>
      <c r="F1371">
        <v>-53.579000000000001</v>
      </c>
      <c r="G1371">
        <v>5960.9</v>
      </c>
      <c r="H1371">
        <v>0</v>
      </c>
      <c r="I1371" s="309">
        <v>603</v>
      </c>
      <c r="J1371">
        <v>6.03</v>
      </c>
      <c r="K1371" s="133">
        <v>1.27277741244352E-3</v>
      </c>
      <c r="L1371" s="181">
        <v>-3</v>
      </c>
      <c r="M1371" s="133">
        <v>0</v>
      </c>
      <c r="N1371" s="73">
        <v>5995.0890000000099</v>
      </c>
      <c r="O1371" s="73">
        <v>1102.4501845505599</v>
      </c>
      <c r="P1371" s="182">
        <v>0</v>
      </c>
      <c r="Q1371" s="182">
        <v>0</v>
      </c>
      <c r="R1371" s="46">
        <v>0</v>
      </c>
      <c r="S1371" s="46">
        <v>5</v>
      </c>
      <c r="T1371" s="46">
        <v>2300</v>
      </c>
      <c r="U1371" s="46">
        <v>4.99</v>
      </c>
      <c r="V1371" s="46" t="s">
        <v>68</v>
      </c>
      <c r="W1371" s="46">
        <v>2300</v>
      </c>
      <c r="X1371" s="46">
        <v>4.99</v>
      </c>
      <c r="Y1371" s="194">
        <v>6.0469999999999997</v>
      </c>
      <c r="Z1371" s="193">
        <v>5.2930000000000001</v>
      </c>
      <c r="AA1371" s="193">
        <v>5.7450000000000001</v>
      </c>
      <c r="AB1371" s="46">
        <v>6.03</v>
      </c>
      <c r="AC1371" s="46">
        <v>6.1</v>
      </c>
      <c r="AD1371" s="46">
        <v>6</v>
      </c>
      <c r="AE1371" s="46">
        <v>6.07</v>
      </c>
    </row>
    <row r="1372" spans="1:31" x14ac:dyDescent="0.25">
      <c r="A1372" s="136">
        <v>43046</v>
      </c>
      <c r="B1372" s="201" t="s">
        <v>71</v>
      </c>
      <c r="C1372" t="s">
        <v>126</v>
      </c>
      <c r="D1372">
        <v>5700</v>
      </c>
      <c r="E1372">
        <v>5700</v>
      </c>
      <c r="F1372">
        <v>6.1369999999999996</v>
      </c>
      <c r="G1372">
        <v>-96.71</v>
      </c>
      <c r="H1372">
        <v>-0.28000000000000003</v>
      </c>
      <c r="I1372" s="309">
        <v>34884</v>
      </c>
      <c r="J1372">
        <v>6.12</v>
      </c>
      <c r="K1372" s="133">
        <v>7.3631123143747507E-2</v>
      </c>
      <c r="L1372" s="181">
        <v>57</v>
      </c>
      <c r="M1372" s="133">
        <v>7.38352530003933E-2</v>
      </c>
      <c r="N1372" s="73">
        <v>460.344000000005</v>
      </c>
      <c r="O1372" s="73">
        <v>-54.2373414473672</v>
      </c>
      <c r="P1372" s="182">
        <v>7</v>
      </c>
      <c r="Q1372" s="182">
        <v>3500</v>
      </c>
      <c r="R1372" s="46">
        <v>6.3259999999999996</v>
      </c>
      <c r="S1372" s="46">
        <v>0</v>
      </c>
      <c r="T1372" s="46">
        <v>0</v>
      </c>
      <c r="U1372" s="46">
        <v>0</v>
      </c>
      <c r="V1372" s="46" t="s">
        <v>62</v>
      </c>
      <c r="W1372" s="46">
        <v>3500</v>
      </c>
      <c r="X1372" s="46">
        <v>6.3259999999999996</v>
      </c>
      <c r="Y1372" s="194">
        <v>6.0359999999999996</v>
      </c>
      <c r="Z1372" s="194">
        <v>6.36</v>
      </c>
      <c r="AA1372" s="194">
        <v>6.6260000000000003</v>
      </c>
      <c r="AB1372" s="46">
        <v>6.11</v>
      </c>
      <c r="AC1372" s="46">
        <v>6.19</v>
      </c>
      <c r="AD1372" s="46">
        <v>6.1</v>
      </c>
      <c r="AE1372" s="46">
        <v>6.17</v>
      </c>
    </row>
    <row r="1373" spans="1:31" x14ac:dyDescent="0.25">
      <c r="A1373" s="136">
        <v>43046</v>
      </c>
      <c r="B1373" s="201" t="s">
        <v>79</v>
      </c>
      <c r="C1373" t="s">
        <v>143</v>
      </c>
      <c r="D1373">
        <v>2500</v>
      </c>
      <c r="E1373">
        <v>2500</v>
      </c>
      <c r="F1373">
        <v>17.736000000000001</v>
      </c>
      <c r="G1373">
        <v>-1215.8800000000001</v>
      </c>
      <c r="H1373">
        <v>-2.74</v>
      </c>
      <c r="I1373" s="309">
        <v>43125</v>
      </c>
      <c r="J1373">
        <v>17.25</v>
      </c>
      <c r="K1373" s="133">
        <v>9.1025747780475702E-2</v>
      </c>
      <c r="L1373" s="181">
        <v>-25</v>
      </c>
      <c r="M1373" s="133">
        <v>9.3592156736100607E-2</v>
      </c>
      <c r="N1373" s="73">
        <v>-1391.5</v>
      </c>
      <c r="O1373" s="73">
        <v>-80.954845750873105</v>
      </c>
      <c r="P1373" s="182">
        <v>4</v>
      </c>
      <c r="Q1373" s="182">
        <v>2500</v>
      </c>
      <c r="R1373" s="46">
        <v>17.728000000000002</v>
      </c>
      <c r="S1373" s="46">
        <v>0</v>
      </c>
      <c r="T1373" s="46">
        <v>0</v>
      </c>
      <c r="U1373" s="46">
        <v>0</v>
      </c>
      <c r="V1373" s="46" t="s">
        <v>62</v>
      </c>
      <c r="W1373" s="46">
        <v>2500</v>
      </c>
      <c r="X1373" s="46">
        <v>17.728000000000002</v>
      </c>
    </row>
    <row r="1374" spans="1:31" x14ac:dyDescent="0.25">
      <c r="A1374" s="136">
        <v>43046</v>
      </c>
      <c r="B1374" s="201" t="s">
        <v>65</v>
      </c>
      <c r="C1374" t="s">
        <v>127</v>
      </c>
      <c r="D1374">
        <v>11800</v>
      </c>
      <c r="E1374">
        <v>11800</v>
      </c>
      <c r="F1374">
        <v>10.412000000000001</v>
      </c>
      <c r="G1374">
        <v>10121.799999999999</v>
      </c>
      <c r="H1374">
        <v>8.24</v>
      </c>
      <c r="I1374" s="309">
        <v>132986</v>
      </c>
      <c r="J1374">
        <v>11.27</v>
      </c>
      <c r="K1374" s="133">
        <v>0.280699132622245</v>
      </c>
      <c r="L1374" s="181">
        <v>1770</v>
      </c>
      <c r="M1374" s="133">
        <v>0.25933462447420103</v>
      </c>
      <c r="N1374" s="73">
        <v>5013.3650000000398</v>
      </c>
      <c r="O1374" s="73">
        <v>829.48848578124205</v>
      </c>
      <c r="P1374" s="182">
        <v>2</v>
      </c>
      <c r="Q1374" s="182">
        <v>900</v>
      </c>
      <c r="R1374" s="46">
        <v>11.135999999999999</v>
      </c>
      <c r="S1374" s="46">
        <v>14</v>
      </c>
      <c r="T1374" s="46">
        <v>6000</v>
      </c>
      <c r="U1374" s="46">
        <v>12.542999999999999</v>
      </c>
      <c r="V1374" s="46" t="s">
        <v>68</v>
      </c>
      <c r="W1374" s="46">
        <v>5100</v>
      </c>
      <c r="X1374" s="46">
        <v>12.791</v>
      </c>
      <c r="Y1374" s="194">
        <v>11.164</v>
      </c>
      <c r="Z1374" s="194">
        <v>11.57</v>
      </c>
      <c r="AA1374" s="194">
        <v>11.882999999999999</v>
      </c>
      <c r="AB1374" s="46">
        <v>11.19</v>
      </c>
      <c r="AC1374" s="46">
        <v>11.28</v>
      </c>
      <c r="AD1374" s="46">
        <v>11.13</v>
      </c>
      <c r="AE1374" s="46">
        <v>11.24</v>
      </c>
    </row>
    <row r="1375" spans="1:31" x14ac:dyDescent="0.25">
      <c r="A1375" s="136">
        <v>43046</v>
      </c>
      <c r="B1375" s="201" t="s">
        <v>77</v>
      </c>
      <c r="C1375" t="s">
        <v>128</v>
      </c>
      <c r="D1375">
        <v>4200</v>
      </c>
      <c r="E1375">
        <v>4200</v>
      </c>
      <c r="F1375">
        <v>6.069</v>
      </c>
      <c r="G1375">
        <v>1389.14</v>
      </c>
      <c r="H1375">
        <v>5.45</v>
      </c>
      <c r="I1375" s="309">
        <v>26880</v>
      </c>
      <c r="J1375">
        <v>6.4</v>
      </c>
      <c r="K1375" s="133">
        <v>5.6736744355691301E-2</v>
      </c>
      <c r="L1375" s="181">
        <v>210</v>
      </c>
      <c r="M1375" s="133">
        <v>5.3804628245041501E-2</v>
      </c>
      <c r="N1375" s="73">
        <v>842.19399999999598</v>
      </c>
      <c r="O1375" s="73">
        <v>209.94098638497599</v>
      </c>
      <c r="P1375" s="182">
        <v>7</v>
      </c>
      <c r="Q1375" s="182">
        <v>3500</v>
      </c>
      <c r="R1375" s="46">
        <v>6.74</v>
      </c>
      <c r="S1375" s="46">
        <v>0</v>
      </c>
      <c r="T1375" s="46">
        <v>0</v>
      </c>
      <c r="U1375" s="46">
        <v>0</v>
      </c>
      <c r="V1375" s="46" t="s">
        <v>62</v>
      </c>
      <c r="W1375" s="46">
        <v>3500</v>
      </c>
      <c r="X1375" s="46">
        <v>6.74</v>
      </c>
      <c r="Y1375" s="194">
        <v>6.0439999999999996</v>
      </c>
      <c r="Z1375" s="194">
        <v>6.4340000000000002</v>
      </c>
      <c r="AA1375" s="194">
        <v>6.8159999999999998</v>
      </c>
      <c r="AB1375" s="46">
        <v>6.35</v>
      </c>
      <c r="AC1375" s="46">
        <v>6.45</v>
      </c>
      <c r="AD1375" s="46">
        <v>6.34</v>
      </c>
      <c r="AE1375" s="46">
        <v>6.42</v>
      </c>
    </row>
    <row r="1376" spans="1:31" x14ac:dyDescent="0.25">
      <c r="A1376" s="136">
        <v>43046</v>
      </c>
      <c r="B1376" s="201" t="s">
        <v>67</v>
      </c>
      <c r="C1376" t="s">
        <v>129</v>
      </c>
      <c r="D1376">
        <v>9850</v>
      </c>
      <c r="E1376">
        <v>9850</v>
      </c>
      <c r="F1376">
        <v>8.7469999999999999</v>
      </c>
      <c r="G1376">
        <v>-6275.05</v>
      </c>
      <c r="H1376">
        <v>-7.28</v>
      </c>
      <c r="I1376" s="309">
        <v>79883.5</v>
      </c>
      <c r="J1376">
        <v>8.11</v>
      </c>
      <c r="K1376" s="133">
        <v>0.168613456761081</v>
      </c>
      <c r="L1376" s="181">
        <v>295.5</v>
      </c>
      <c r="M1376" s="133">
        <v>0.18185846820710699</v>
      </c>
      <c r="N1376" s="73">
        <v>25808.594999999899</v>
      </c>
      <c r="O1376" s="73">
        <v>-866.08552170401299</v>
      </c>
      <c r="P1376" s="182">
        <v>11</v>
      </c>
      <c r="Q1376" s="182">
        <v>5500</v>
      </c>
      <c r="R1376" s="46">
        <v>7.1790000000000003</v>
      </c>
      <c r="S1376" s="46">
        <v>3</v>
      </c>
      <c r="T1376" s="46">
        <v>1200</v>
      </c>
      <c r="U1376" s="46">
        <v>9.17</v>
      </c>
      <c r="V1376" s="46" t="s">
        <v>62</v>
      </c>
      <c r="W1376" s="46">
        <v>4300</v>
      </c>
      <c r="X1376" s="46">
        <v>6.6230000000000002</v>
      </c>
      <c r="Y1376" s="194">
        <v>7.9820000000000002</v>
      </c>
      <c r="Z1376" s="194">
        <v>5.5170000000000003</v>
      </c>
      <c r="AA1376" s="194">
        <v>8.9909999999999997</v>
      </c>
      <c r="AB1376" s="46">
        <v>8.11</v>
      </c>
      <c r="AC1376" s="46">
        <v>8.14</v>
      </c>
      <c r="AD1376" s="46">
        <v>8.0299999999999994</v>
      </c>
      <c r="AE1376" s="46">
        <v>8.14</v>
      </c>
    </row>
    <row r="1377" spans="1:31" x14ac:dyDescent="0.25">
      <c r="A1377" s="136">
        <v>43046</v>
      </c>
      <c r="B1377" s="201" t="s">
        <v>78</v>
      </c>
      <c r="C1377" t="s">
        <v>142</v>
      </c>
      <c r="D1377">
        <v>100</v>
      </c>
      <c r="E1377">
        <v>100</v>
      </c>
      <c r="F1377">
        <v>10.987</v>
      </c>
      <c r="G1377">
        <v>31.3</v>
      </c>
      <c r="H1377">
        <v>2.85</v>
      </c>
      <c r="I1377" s="309">
        <v>1130</v>
      </c>
      <c r="J1377">
        <v>11.3</v>
      </c>
      <c r="K1377" s="133">
        <v>2.38513843459565E-3</v>
      </c>
      <c r="L1377" s="181">
        <v>-8</v>
      </c>
      <c r="M1377" s="133">
        <v>2.3190722106993301E-3</v>
      </c>
      <c r="N1377" s="73">
        <v>75.304000000000102</v>
      </c>
      <c r="O1377" s="73">
        <v>6.41110289608178</v>
      </c>
      <c r="P1377" s="182">
        <v>1</v>
      </c>
      <c r="Q1377" s="182">
        <v>500</v>
      </c>
      <c r="R1377" s="46">
        <v>11.56</v>
      </c>
      <c r="S1377" s="46">
        <v>1</v>
      </c>
      <c r="T1377" s="46">
        <v>400</v>
      </c>
      <c r="U1377" s="46">
        <v>11.74</v>
      </c>
      <c r="V1377" s="46" t="s">
        <v>62</v>
      </c>
      <c r="W1377" s="46">
        <v>100</v>
      </c>
      <c r="X1377" s="46">
        <v>10.84</v>
      </c>
    </row>
    <row r="1378" spans="1:31" x14ac:dyDescent="0.25">
      <c r="A1378" s="136">
        <v>43046</v>
      </c>
      <c r="B1378" s="201" t="s">
        <v>72</v>
      </c>
      <c r="C1378" t="s">
        <v>130</v>
      </c>
      <c r="D1378">
        <v>2700</v>
      </c>
      <c r="E1378">
        <v>2200</v>
      </c>
      <c r="F1378">
        <v>8.23</v>
      </c>
      <c r="G1378">
        <v>-891.36</v>
      </c>
      <c r="H1378">
        <v>-4.01</v>
      </c>
      <c r="I1378" s="309">
        <v>21330</v>
      </c>
      <c r="J1378">
        <v>7.9</v>
      </c>
      <c r="K1378" s="133">
        <v>4.5022126380464801E-2</v>
      </c>
      <c r="L1378" s="181">
        <v>-68</v>
      </c>
      <c r="M1378" s="133">
        <v>4.6903557349545502E-2</v>
      </c>
      <c r="N1378" s="73">
        <v>-1248.0599999999899</v>
      </c>
      <c r="O1378" s="73">
        <v>-130.679850318468</v>
      </c>
      <c r="P1378" s="182">
        <v>1</v>
      </c>
      <c r="Q1378" s="182">
        <v>500</v>
      </c>
      <c r="R1378" s="46">
        <v>7.85</v>
      </c>
      <c r="S1378" s="46">
        <v>9</v>
      </c>
      <c r="T1378" s="46">
        <v>4400</v>
      </c>
      <c r="U1378" s="46">
        <v>7.633</v>
      </c>
      <c r="V1378" s="46" t="s">
        <v>68</v>
      </c>
      <c r="W1378" s="46">
        <v>3900</v>
      </c>
      <c r="X1378" s="46">
        <v>7.6050000000000004</v>
      </c>
    </row>
    <row r="1379" spans="1:31" x14ac:dyDescent="0.25">
      <c r="A1379" s="136">
        <v>43046</v>
      </c>
      <c r="B1379" s="201" t="s">
        <v>70</v>
      </c>
      <c r="C1379" t="s">
        <v>131</v>
      </c>
      <c r="D1379">
        <v>8400</v>
      </c>
      <c r="E1379">
        <v>8400</v>
      </c>
      <c r="F1379">
        <v>12.481</v>
      </c>
      <c r="G1379">
        <v>-5383.46</v>
      </c>
      <c r="H1379">
        <v>-5.13</v>
      </c>
      <c r="I1379" s="309">
        <v>99456</v>
      </c>
      <c r="J1379">
        <v>11.84</v>
      </c>
      <c r="K1379" s="133">
        <v>0.20992595411605799</v>
      </c>
      <c r="L1379" s="181">
        <v>-84</v>
      </c>
      <c r="M1379" s="133">
        <v>0.22128904912234801</v>
      </c>
      <c r="N1379" s="73">
        <v>-4379.44200000002</v>
      </c>
      <c r="O1379" s="73">
        <v>-365.990993227427</v>
      </c>
      <c r="P1379" s="182">
        <v>3</v>
      </c>
      <c r="Q1379" s="182">
        <v>1500</v>
      </c>
      <c r="R1379" s="46">
        <v>12.282999999999999</v>
      </c>
      <c r="S1379" s="46">
        <v>9</v>
      </c>
      <c r="T1379" s="46">
        <v>3600</v>
      </c>
      <c r="U1379" s="46">
        <v>13.278</v>
      </c>
      <c r="V1379" s="46" t="s">
        <v>68</v>
      </c>
      <c r="W1379" s="46">
        <v>2100</v>
      </c>
      <c r="X1379" s="46">
        <v>13.989000000000001</v>
      </c>
      <c r="Y1379" s="194">
        <v>11.811999999999999</v>
      </c>
      <c r="Z1379" s="194">
        <v>12.57</v>
      </c>
      <c r="AA1379" s="194">
        <v>12.603999999999999</v>
      </c>
      <c r="AB1379" s="46">
        <v>11.88</v>
      </c>
      <c r="AC1379" s="46">
        <v>11.94</v>
      </c>
      <c r="AD1379" s="46">
        <v>11.8</v>
      </c>
      <c r="AE1379" s="46">
        <v>11.88</v>
      </c>
    </row>
    <row r="1380" spans="1:31" x14ac:dyDescent="0.25">
      <c r="A1380" s="136">
        <v>43046</v>
      </c>
      <c r="B1380" s="201" t="s">
        <v>137</v>
      </c>
      <c r="C1380" t="s">
        <v>138</v>
      </c>
      <c r="D1380">
        <v>100</v>
      </c>
      <c r="E1380">
        <v>100</v>
      </c>
      <c r="F1380">
        <v>-130.48500000000001</v>
      </c>
      <c r="G1380">
        <v>17786.5</v>
      </c>
      <c r="H1380">
        <v>0</v>
      </c>
      <c r="I1380" s="309">
        <v>4738</v>
      </c>
      <c r="J1380">
        <v>47.38</v>
      </c>
      <c r="K1380" s="133">
        <v>1.00006954894816E-2</v>
      </c>
      <c r="L1380" s="181">
        <v>-87</v>
      </c>
      <c r="M1380" s="133">
        <v>0</v>
      </c>
    </row>
    <row r="1381" spans="1:31" x14ac:dyDescent="0.25">
      <c r="A1381" s="136">
        <v>43046</v>
      </c>
      <c r="B1381" s="201" t="s">
        <v>835</v>
      </c>
      <c r="C1381" t="s">
        <v>839</v>
      </c>
      <c r="I1381" s="309">
        <v>13137.61</v>
      </c>
      <c r="K1381" s="133">
        <v>2.77301049112639E-2</v>
      </c>
      <c r="L1381" s="181">
        <v>0</v>
      </c>
      <c r="M1381" s="133">
        <v>2.8244999309259701E-2</v>
      </c>
    </row>
    <row r="1382" spans="1:31" x14ac:dyDescent="0.25">
      <c r="A1382" s="136">
        <v>43047</v>
      </c>
      <c r="B1382" s="201" t="s">
        <v>132</v>
      </c>
      <c r="C1382" t="s">
        <v>123</v>
      </c>
      <c r="D1382">
        <v>24396</v>
      </c>
      <c r="E1382">
        <v>24396</v>
      </c>
      <c r="F1382">
        <v>-0.10100000000000001</v>
      </c>
      <c r="G1382">
        <v>2707.9560000000001</v>
      </c>
      <c r="H1382">
        <v>0</v>
      </c>
      <c r="I1382" s="309">
        <v>243.96</v>
      </c>
      <c r="J1382">
        <v>0.01</v>
      </c>
      <c r="K1382" s="133">
        <v>5.1195248301990704E-4</v>
      </c>
      <c r="L1382" s="181">
        <v>0.222000000000207</v>
      </c>
      <c r="M1382" s="133">
        <v>0</v>
      </c>
    </row>
    <row r="1383" spans="1:31" x14ac:dyDescent="0.25">
      <c r="A1383" s="136">
        <v>43047</v>
      </c>
      <c r="B1383" s="201" t="s">
        <v>61</v>
      </c>
      <c r="C1383" t="s">
        <v>136</v>
      </c>
      <c r="D1383">
        <v>2500</v>
      </c>
      <c r="E1383">
        <v>2500</v>
      </c>
      <c r="F1383">
        <v>5.351</v>
      </c>
      <c r="G1383">
        <v>-3.42</v>
      </c>
      <c r="H1383">
        <v>-0.02</v>
      </c>
      <c r="I1383" s="309">
        <v>13375</v>
      </c>
      <c r="J1383">
        <v>5.35</v>
      </c>
      <c r="K1383" s="133">
        <v>2.8067570341003701E-2</v>
      </c>
      <c r="L1383" s="181">
        <v>137.82</v>
      </c>
      <c r="M1383" s="133">
        <v>2.80747472449712E-2</v>
      </c>
      <c r="N1383" s="73">
        <v>-6.6679999999996697</v>
      </c>
      <c r="O1383" s="73">
        <v>-1.24573196261676</v>
      </c>
      <c r="P1383" s="182">
        <v>5</v>
      </c>
      <c r="Q1383" s="182">
        <v>2500</v>
      </c>
      <c r="R1383" s="46">
        <v>5.3659999999999997</v>
      </c>
      <c r="S1383" s="46">
        <v>1</v>
      </c>
      <c r="T1383" s="46">
        <v>400</v>
      </c>
      <c r="U1383" s="46">
        <v>5.35</v>
      </c>
      <c r="V1383" s="46" t="s">
        <v>62</v>
      </c>
      <c r="W1383" s="46">
        <v>2100</v>
      </c>
      <c r="X1383" s="46">
        <v>5.3689999999999998</v>
      </c>
    </row>
    <row r="1384" spans="1:31" x14ac:dyDescent="0.25">
      <c r="A1384" s="136">
        <v>43047</v>
      </c>
      <c r="B1384" s="201" t="s">
        <v>124</v>
      </c>
      <c r="C1384" t="s">
        <v>125</v>
      </c>
      <c r="D1384">
        <v>100</v>
      </c>
      <c r="E1384">
        <v>100</v>
      </c>
      <c r="F1384">
        <v>-53.579000000000001</v>
      </c>
      <c r="G1384">
        <v>5960.9</v>
      </c>
      <c r="H1384">
        <v>0</v>
      </c>
      <c r="I1384" s="309">
        <v>603</v>
      </c>
      <c r="J1384">
        <v>6.03</v>
      </c>
      <c r="K1384" s="133">
        <v>1.2654014890187101E-3</v>
      </c>
      <c r="L1384" s="181">
        <v>0</v>
      </c>
      <c r="M1384" s="133">
        <v>0</v>
      </c>
      <c r="N1384" s="73">
        <v>5995.0890000000099</v>
      </c>
      <c r="O1384" s="73">
        <v>1102.4501845505599</v>
      </c>
      <c r="P1384" s="182">
        <v>0</v>
      </c>
      <c r="Q1384" s="182">
        <v>0</v>
      </c>
      <c r="R1384" s="46">
        <v>0</v>
      </c>
      <c r="S1384" s="46">
        <v>5</v>
      </c>
      <c r="T1384" s="46">
        <v>2300</v>
      </c>
      <c r="U1384" s="46">
        <v>4.99</v>
      </c>
      <c r="V1384" s="46" t="s">
        <v>68</v>
      </c>
      <c r="W1384" s="46">
        <v>2300</v>
      </c>
      <c r="X1384" s="46">
        <v>4.99</v>
      </c>
      <c r="Y1384" s="193">
        <v>6.1319999999999997</v>
      </c>
      <c r="Z1384" s="193">
        <v>5.31</v>
      </c>
      <c r="AA1384" s="193">
        <v>5.7530000000000001</v>
      </c>
      <c r="AB1384" s="46">
        <v>6.06</v>
      </c>
      <c r="AC1384" s="46">
        <v>6.09</v>
      </c>
      <c r="AD1384" s="46">
        <v>6</v>
      </c>
      <c r="AE1384" s="46">
        <v>6.04</v>
      </c>
    </row>
    <row r="1385" spans="1:31" x14ac:dyDescent="0.25">
      <c r="A1385" s="136">
        <v>43047</v>
      </c>
      <c r="B1385" s="201" t="s">
        <v>71</v>
      </c>
      <c r="C1385" t="s">
        <v>126</v>
      </c>
      <c r="D1385">
        <v>5300</v>
      </c>
      <c r="E1385">
        <v>5300</v>
      </c>
      <c r="F1385">
        <v>6.1340000000000003</v>
      </c>
      <c r="G1385">
        <v>298.76</v>
      </c>
      <c r="H1385">
        <v>0.91</v>
      </c>
      <c r="I1385" s="309">
        <v>32807</v>
      </c>
      <c r="J1385">
        <v>6.19</v>
      </c>
      <c r="K1385" s="133">
        <v>6.8845815340359398E-2</v>
      </c>
      <c r="L1385" s="181">
        <v>395.47</v>
      </c>
      <c r="M1385" s="133">
        <v>6.8218864513063901E-2</v>
      </c>
      <c r="N1385" s="73">
        <v>1133.5719999999999</v>
      </c>
      <c r="O1385" s="73">
        <v>55.835294193549402</v>
      </c>
      <c r="P1385" s="182">
        <v>7</v>
      </c>
      <c r="Q1385" s="182">
        <v>3500</v>
      </c>
      <c r="R1385" s="46">
        <v>6.3259999999999996</v>
      </c>
      <c r="S1385" s="46">
        <v>1</v>
      </c>
      <c r="T1385" s="46">
        <v>400</v>
      </c>
      <c r="U1385" s="46">
        <v>6.2</v>
      </c>
      <c r="V1385" s="46" t="s">
        <v>62</v>
      </c>
      <c r="W1385" s="46">
        <v>3100</v>
      </c>
      <c r="X1385" s="46">
        <v>6.3419999999999996</v>
      </c>
      <c r="Y1385" s="193">
        <v>6.2460000000000004</v>
      </c>
      <c r="Z1385" s="194">
        <v>6.3639999999999999</v>
      </c>
      <c r="AA1385" s="194">
        <v>6.6219999999999999</v>
      </c>
      <c r="AB1385" s="46">
        <v>6.17</v>
      </c>
      <c r="AC1385" s="46">
        <v>6.23</v>
      </c>
      <c r="AD1385" s="46">
        <v>6.14</v>
      </c>
      <c r="AE1385" s="46">
        <v>6.19</v>
      </c>
    </row>
    <row r="1386" spans="1:31" x14ac:dyDescent="0.25">
      <c r="A1386" s="136">
        <v>43047</v>
      </c>
      <c r="B1386" s="201" t="s">
        <v>79</v>
      </c>
      <c r="C1386" t="s">
        <v>143</v>
      </c>
      <c r="D1386">
        <v>2500</v>
      </c>
      <c r="E1386">
        <v>2500</v>
      </c>
      <c r="F1386">
        <v>17.736000000000001</v>
      </c>
      <c r="G1386">
        <v>-965.88</v>
      </c>
      <c r="H1386">
        <v>-2.1800000000000002</v>
      </c>
      <c r="I1386" s="309">
        <v>43375</v>
      </c>
      <c r="J1386">
        <v>17.350000000000001</v>
      </c>
      <c r="K1386" s="133">
        <v>9.1022868302133395E-2</v>
      </c>
      <c r="L1386" s="181">
        <v>250</v>
      </c>
      <c r="M1386" s="133">
        <v>9.3049777075289899E-2</v>
      </c>
      <c r="N1386" s="73">
        <v>-1391.5</v>
      </c>
      <c r="O1386" s="73">
        <v>-80.954845750873105</v>
      </c>
      <c r="P1386" s="182">
        <v>4</v>
      </c>
      <c r="Q1386" s="182">
        <v>2500</v>
      </c>
      <c r="R1386" s="46">
        <v>17.728000000000002</v>
      </c>
      <c r="S1386" s="46">
        <v>0</v>
      </c>
      <c r="T1386" s="46">
        <v>0</v>
      </c>
      <c r="U1386" s="46">
        <v>0</v>
      </c>
      <c r="V1386" s="46" t="s">
        <v>62</v>
      </c>
      <c r="W1386" s="46">
        <v>2500</v>
      </c>
      <c r="X1386" s="46">
        <v>17.728000000000002</v>
      </c>
    </row>
    <row r="1387" spans="1:31" x14ac:dyDescent="0.25">
      <c r="A1387" s="136">
        <v>43047</v>
      </c>
      <c r="B1387" s="201" t="s">
        <v>65</v>
      </c>
      <c r="C1387" t="s">
        <v>127</v>
      </c>
      <c r="D1387">
        <v>11400</v>
      </c>
      <c r="E1387">
        <v>11400</v>
      </c>
      <c r="F1387">
        <v>10.381</v>
      </c>
      <c r="G1387">
        <v>10368.26</v>
      </c>
      <c r="H1387">
        <v>8.76</v>
      </c>
      <c r="I1387" s="309">
        <v>128706</v>
      </c>
      <c r="J1387">
        <v>11.29</v>
      </c>
      <c r="K1387" s="133">
        <v>0.27009081931283901</v>
      </c>
      <c r="L1387" s="181">
        <v>246.460000000001</v>
      </c>
      <c r="M1387" s="133">
        <v>0.24833292272488999</v>
      </c>
      <c r="N1387" s="73">
        <v>6655.8290000000497</v>
      </c>
      <c r="O1387" s="73">
        <v>964.013563381827</v>
      </c>
      <c r="P1387" s="182">
        <v>2</v>
      </c>
      <c r="Q1387" s="182">
        <v>900</v>
      </c>
      <c r="R1387" s="46">
        <v>11.135999999999999</v>
      </c>
      <c r="S1387" s="46">
        <v>15</v>
      </c>
      <c r="T1387" s="46">
        <v>6400</v>
      </c>
      <c r="U1387" s="46">
        <v>12.468</v>
      </c>
      <c r="V1387" s="46" t="s">
        <v>68</v>
      </c>
      <c r="W1387" s="46">
        <v>5500</v>
      </c>
      <c r="X1387" s="46">
        <v>12.686</v>
      </c>
      <c r="Y1387" s="194">
        <v>10.398999999999999</v>
      </c>
      <c r="Z1387" s="194">
        <v>11.568</v>
      </c>
      <c r="AA1387" s="194">
        <v>11.875</v>
      </c>
      <c r="AB1387" s="46">
        <v>11.21</v>
      </c>
      <c r="AC1387" s="46">
        <v>11.35</v>
      </c>
      <c r="AD1387" s="46">
        <v>11.2</v>
      </c>
      <c r="AE1387" s="46">
        <v>11.29</v>
      </c>
    </row>
    <row r="1388" spans="1:31" x14ac:dyDescent="0.25">
      <c r="A1388" s="136">
        <v>43047</v>
      </c>
      <c r="B1388" s="201" t="s">
        <v>77</v>
      </c>
      <c r="C1388" t="s">
        <v>128</v>
      </c>
      <c r="D1388">
        <v>4200</v>
      </c>
      <c r="E1388">
        <v>4200</v>
      </c>
      <c r="F1388">
        <v>6.069</v>
      </c>
      <c r="G1388">
        <v>1767.14</v>
      </c>
      <c r="H1388">
        <v>6.94</v>
      </c>
      <c r="I1388" s="309">
        <v>27258</v>
      </c>
      <c r="J1388">
        <v>6.49</v>
      </c>
      <c r="K1388" s="133">
        <v>5.7201183727482501E-2</v>
      </c>
      <c r="L1388" s="181">
        <v>378</v>
      </c>
      <c r="M1388" s="133">
        <v>5.3492822886181401E-2</v>
      </c>
      <c r="N1388" s="73">
        <v>842.19399999999598</v>
      </c>
      <c r="O1388" s="73">
        <v>209.94098638497599</v>
      </c>
      <c r="P1388" s="182">
        <v>7</v>
      </c>
      <c r="Q1388" s="182">
        <v>3500</v>
      </c>
      <c r="R1388" s="46">
        <v>6.74</v>
      </c>
      <c r="S1388" s="46">
        <v>0</v>
      </c>
      <c r="T1388" s="46">
        <v>0</v>
      </c>
      <c r="U1388" s="46">
        <v>0</v>
      </c>
      <c r="V1388" s="46" t="s">
        <v>62</v>
      </c>
      <c r="W1388" s="46">
        <v>3500</v>
      </c>
      <c r="X1388" s="46">
        <v>6.74</v>
      </c>
      <c r="Y1388" s="193">
        <v>6.4980000000000002</v>
      </c>
      <c r="Z1388" s="194">
        <v>6.4139999999999997</v>
      </c>
      <c r="AA1388" s="194">
        <v>6.8090000000000002</v>
      </c>
      <c r="AB1388" s="46">
        <v>6.4</v>
      </c>
      <c r="AC1388" s="46">
        <v>6.52</v>
      </c>
      <c r="AD1388" s="46">
        <v>6.4</v>
      </c>
      <c r="AE1388" s="46">
        <v>6.48</v>
      </c>
    </row>
    <row r="1389" spans="1:31" x14ac:dyDescent="0.25">
      <c r="A1389" s="136">
        <v>43047</v>
      </c>
      <c r="B1389" s="201" t="s">
        <v>67</v>
      </c>
      <c r="C1389" t="s">
        <v>129</v>
      </c>
      <c r="D1389">
        <v>9850</v>
      </c>
      <c r="E1389">
        <v>9850</v>
      </c>
      <c r="F1389">
        <v>8.7469999999999999</v>
      </c>
      <c r="G1389">
        <v>-6078.05</v>
      </c>
      <c r="H1389">
        <v>-7.05</v>
      </c>
      <c r="I1389" s="309">
        <v>80080.5</v>
      </c>
      <c r="J1389">
        <v>8.1300000000000008</v>
      </c>
      <c r="K1389" s="133">
        <v>0.168049724612542</v>
      </c>
      <c r="L1389" s="181">
        <v>197</v>
      </c>
      <c r="M1389" s="133">
        <v>0.18080457290496299</v>
      </c>
      <c r="N1389" s="73">
        <v>25808.594999999899</v>
      </c>
      <c r="O1389" s="73">
        <v>-866.08552170401299</v>
      </c>
      <c r="P1389" s="182">
        <v>11</v>
      </c>
      <c r="Q1389" s="182">
        <v>5500</v>
      </c>
      <c r="R1389" s="46">
        <v>7.1790000000000003</v>
      </c>
      <c r="S1389" s="46">
        <v>3</v>
      </c>
      <c r="T1389" s="46">
        <v>1200</v>
      </c>
      <c r="U1389" s="46">
        <v>9.17</v>
      </c>
      <c r="V1389" s="46" t="s">
        <v>62</v>
      </c>
      <c r="W1389" s="46">
        <v>4300</v>
      </c>
      <c r="X1389" s="46">
        <v>6.6230000000000002</v>
      </c>
      <c r="Y1389" s="194">
        <v>7.9850000000000003</v>
      </c>
      <c r="Z1389" s="194">
        <v>5.7880000000000003</v>
      </c>
      <c r="AA1389" s="194">
        <v>8.9789999999999992</v>
      </c>
      <c r="AB1389" s="46">
        <v>8.1300000000000008</v>
      </c>
      <c r="AC1389" s="46">
        <v>8.1999999999999993</v>
      </c>
      <c r="AD1389" s="46">
        <v>8.08</v>
      </c>
      <c r="AE1389" s="46">
        <v>8.1300000000000008</v>
      </c>
    </row>
    <row r="1390" spans="1:31" x14ac:dyDescent="0.25">
      <c r="A1390" s="136">
        <v>43047</v>
      </c>
      <c r="B1390" s="201" t="s">
        <v>78</v>
      </c>
      <c r="C1390" t="s">
        <v>142</v>
      </c>
      <c r="D1390">
        <v>100</v>
      </c>
      <c r="E1390">
        <v>100</v>
      </c>
      <c r="F1390">
        <v>10.987</v>
      </c>
      <c r="G1390">
        <v>59.3</v>
      </c>
      <c r="H1390">
        <v>5.4</v>
      </c>
      <c r="I1390" s="309">
        <v>1158</v>
      </c>
      <c r="J1390">
        <v>11.58</v>
      </c>
      <c r="K1390" s="133">
        <v>2.4300745012996098E-3</v>
      </c>
      <c r="L1390" s="181">
        <v>28</v>
      </c>
      <c r="M1390" s="133">
        <v>2.3056328623297698E-3</v>
      </c>
      <c r="N1390" s="73">
        <v>75.304000000000102</v>
      </c>
      <c r="O1390" s="73">
        <v>6.41110289608178</v>
      </c>
      <c r="P1390" s="182">
        <v>1</v>
      </c>
      <c r="Q1390" s="182">
        <v>500</v>
      </c>
      <c r="R1390" s="46">
        <v>11.56</v>
      </c>
      <c r="S1390" s="46">
        <v>1</v>
      </c>
      <c r="T1390" s="46">
        <v>400</v>
      </c>
      <c r="U1390" s="46">
        <v>11.74</v>
      </c>
      <c r="V1390" s="46" t="s">
        <v>62</v>
      </c>
      <c r="W1390" s="46">
        <v>100</v>
      </c>
      <c r="X1390" s="46">
        <v>10.84</v>
      </c>
    </row>
    <row r="1391" spans="1:31" x14ac:dyDescent="0.25">
      <c r="A1391" s="136">
        <v>43047</v>
      </c>
      <c r="B1391" s="201" t="s">
        <v>72</v>
      </c>
      <c r="C1391" t="s">
        <v>130</v>
      </c>
      <c r="D1391">
        <v>2300</v>
      </c>
      <c r="E1391">
        <v>2300</v>
      </c>
      <c r="F1391">
        <v>8.2650000000000006</v>
      </c>
      <c r="G1391">
        <v>-678.58</v>
      </c>
      <c r="H1391">
        <v>-3.57</v>
      </c>
      <c r="I1391" s="309">
        <v>18331</v>
      </c>
      <c r="J1391">
        <v>7.97</v>
      </c>
      <c r="K1391" s="133">
        <v>3.8467785564182302E-2</v>
      </c>
      <c r="L1391" s="181">
        <v>212.78</v>
      </c>
      <c r="M1391" s="133">
        <v>3.9891792433864398E-2</v>
      </c>
      <c r="N1391" s="73">
        <v>-716.27999999999099</v>
      </c>
      <c r="O1391" s="73">
        <v>-61.406548447202198</v>
      </c>
      <c r="P1391" s="182">
        <v>1</v>
      </c>
      <c r="Q1391" s="182">
        <v>500</v>
      </c>
      <c r="R1391" s="46">
        <v>7.85</v>
      </c>
      <c r="S1391" s="46">
        <v>10</v>
      </c>
      <c r="T1391" s="46">
        <v>4800</v>
      </c>
      <c r="U1391" s="46">
        <v>7.6680000000000001</v>
      </c>
      <c r="V1391" s="46" t="s">
        <v>68</v>
      </c>
      <c r="W1391" s="46">
        <v>4300</v>
      </c>
      <c r="X1391" s="46">
        <v>7.6470000000000002</v>
      </c>
    </row>
    <row r="1392" spans="1:31" x14ac:dyDescent="0.25">
      <c r="A1392" s="136">
        <v>43047</v>
      </c>
      <c r="B1392" s="201" t="s">
        <v>70</v>
      </c>
      <c r="C1392" t="s">
        <v>131</v>
      </c>
      <c r="D1392">
        <v>8400</v>
      </c>
      <c r="E1392">
        <v>8400</v>
      </c>
      <c r="F1392">
        <v>12.481</v>
      </c>
      <c r="G1392">
        <v>-4879.46</v>
      </c>
      <c r="H1392">
        <v>-4.6500000000000004</v>
      </c>
      <c r="I1392" s="309">
        <v>99960</v>
      </c>
      <c r="J1392">
        <v>11.9</v>
      </c>
      <c r="K1392" s="133">
        <v>0.209767052806484</v>
      </c>
      <c r="L1392" s="181">
        <v>504</v>
      </c>
      <c r="M1392" s="133">
        <v>0.22000664807946499</v>
      </c>
      <c r="N1392" s="73">
        <v>-4379.44200000002</v>
      </c>
      <c r="O1392" s="73">
        <v>-365.990993227427</v>
      </c>
      <c r="P1392" s="182">
        <v>3</v>
      </c>
      <c r="Q1392" s="182">
        <v>1500</v>
      </c>
      <c r="R1392" s="46">
        <v>12.282999999999999</v>
      </c>
      <c r="S1392" s="46">
        <v>9</v>
      </c>
      <c r="T1392" s="46">
        <v>3600</v>
      </c>
      <c r="U1392" s="46">
        <v>13.278</v>
      </c>
      <c r="V1392" s="46" t="s">
        <v>68</v>
      </c>
      <c r="W1392" s="46">
        <v>2100</v>
      </c>
      <c r="X1392" s="46">
        <v>13.989000000000001</v>
      </c>
      <c r="Y1392" s="194">
        <v>11.702999999999999</v>
      </c>
      <c r="Z1392" s="194">
        <v>12.567</v>
      </c>
      <c r="AA1392" s="194">
        <v>12.597</v>
      </c>
      <c r="AB1392" s="46">
        <v>11.88</v>
      </c>
      <c r="AC1392" s="46">
        <v>11.98</v>
      </c>
      <c r="AD1392" s="46">
        <v>11.84</v>
      </c>
      <c r="AE1392" s="46">
        <v>11.9</v>
      </c>
    </row>
    <row r="1393" spans="1:31" x14ac:dyDescent="0.25">
      <c r="A1393" s="136">
        <v>43047</v>
      </c>
      <c r="B1393" s="201" t="s">
        <v>137</v>
      </c>
      <c r="C1393" t="s">
        <v>138</v>
      </c>
      <c r="D1393">
        <v>100</v>
      </c>
      <c r="E1393">
        <v>100</v>
      </c>
      <c r="F1393">
        <v>-130.48500000000001</v>
      </c>
      <c r="G1393">
        <v>18198.5</v>
      </c>
      <c r="H1393">
        <v>0</v>
      </c>
      <c r="I1393" s="309">
        <v>5150</v>
      </c>
      <c r="J1393">
        <v>51.5</v>
      </c>
      <c r="K1393" s="133">
        <v>1.08073261499939E-2</v>
      </c>
      <c r="L1393" s="181">
        <v>412</v>
      </c>
      <c r="M1393" s="133">
        <v>0</v>
      </c>
    </row>
    <row r="1394" spans="1:31" x14ac:dyDescent="0.25">
      <c r="A1394" s="136">
        <v>43047</v>
      </c>
      <c r="B1394" s="201" t="s">
        <v>835</v>
      </c>
      <c r="C1394" t="s">
        <v>839</v>
      </c>
      <c r="I1394" s="309">
        <v>25481.14</v>
      </c>
      <c r="K1394" s="133">
        <v>5.3472425369642002E-2</v>
      </c>
      <c r="L1394" s="181">
        <v>0</v>
      </c>
      <c r="M1394" s="133">
        <v>5.3984377852661899E-2</v>
      </c>
    </row>
    <row r="1395" spans="1:31" x14ac:dyDescent="0.25">
      <c r="A1395" s="136">
        <v>43048</v>
      </c>
      <c r="B1395" s="201" t="s">
        <v>132</v>
      </c>
      <c r="C1395" t="s">
        <v>123</v>
      </c>
      <c r="D1395">
        <v>24398</v>
      </c>
      <c r="E1395">
        <v>24398</v>
      </c>
      <c r="F1395">
        <v>-0.10100000000000001</v>
      </c>
      <c r="G1395">
        <v>2708.1779999999999</v>
      </c>
      <c r="H1395">
        <v>0</v>
      </c>
      <c r="I1395" s="309">
        <v>243.98</v>
      </c>
      <c r="J1395">
        <v>0.01</v>
      </c>
      <c r="K1395" s="133">
        <v>5.1201828508417604E-4</v>
      </c>
      <c r="L1395" s="181">
        <v>0.22199999999975301</v>
      </c>
      <c r="M1395" s="133">
        <v>0</v>
      </c>
    </row>
    <row r="1396" spans="1:31" x14ac:dyDescent="0.25">
      <c r="A1396" s="136">
        <v>43048</v>
      </c>
      <c r="B1396" s="201" t="s">
        <v>61</v>
      </c>
      <c r="C1396" t="s">
        <v>136</v>
      </c>
      <c r="D1396">
        <v>2500</v>
      </c>
      <c r="E1396">
        <v>2500</v>
      </c>
      <c r="F1396">
        <v>5.351</v>
      </c>
      <c r="G1396">
        <v>-3.42</v>
      </c>
      <c r="H1396">
        <v>-0.02</v>
      </c>
      <c r="I1396" s="309">
        <v>13375</v>
      </c>
      <c r="J1396">
        <v>5.35</v>
      </c>
      <c r="K1396" s="133">
        <v>2.8068876805479301E-2</v>
      </c>
      <c r="L1396" s="181">
        <v>0</v>
      </c>
      <c r="M1396" s="133">
        <v>2.8076054043511101E-2</v>
      </c>
      <c r="N1396" s="73">
        <v>-6.6679999999996697</v>
      </c>
      <c r="O1396" s="73">
        <v>-1.24573196261676</v>
      </c>
      <c r="P1396" s="182">
        <v>5</v>
      </c>
      <c r="Q1396" s="182">
        <v>2500</v>
      </c>
      <c r="R1396" s="46">
        <v>5.3659999999999997</v>
      </c>
      <c r="S1396" s="46">
        <v>1</v>
      </c>
      <c r="T1396" s="46">
        <v>400</v>
      </c>
      <c r="U1396" s="46">
        <v>5.35</v>
      </c>
      <c r="V1396" s="46" t="s">
        <v>62</v>
      </c>
      <c r="W1396" s="46">
        <v>2100</v>
      </c>
      <c r="X1396" s="46">
        <v>5.3689999999999998</v>
      </c>
    </row>
    <row r="1397" spans="1:31" x14ac:dyDescent="0.25">
      <c r="A1397" s="136">
        <v>43048</v>
      </c>
      <c r="B1397" s="201" t="s">
        <v>124</v>
      </c>
      <c r="C1397" t="s">
        <v>125</v>
      </c>
      <c r="D1397">
        <v>100</v>
      </c>
      <c r="E1397">
        <v>100</v>
      </c>
      <c r="F1397">
        <v>-53.579000000000001</v>
      </c>
      <c r="G1397">
        <v>5951.9</v>
      </c>
      <c r="H1397">
        <v>0</v>
      </c>
      <c r="I1397" s="309">
        <v>594</v>
      </c>
      <c r="J1397">
        <v>5.94</v>
      </c>
      <c r="K1397" s="133">
        <v>1.2465729213050299E-3</v>
      </c>
      <c r="L1397" s="181">
        <v>-9</v>
      </c>
      <c r="M1397" s="133">
        <v>0</v>
      </c>
      <c r="N1397" s="73">
        <v>5995.0890000000099</v>
      </c>
      <c r="O1397" s="73">
        <v>1102.4501845505599</v>
      </c>
      <c r="P1397" s="182">
        <v>0</v>
      </c>
      <c r="Q1397" s="182">
        <v>0</v>
      </c>
      <c r="R1397" s="46">
        <v>0</v>
      </c>
      <c r="S1397" s="46">
        <v>5</v>
      </c>
      <c r="T1397" s="46">
        <v>2300</v>
      </c>
      <c r="U1397" s="46">
        <v>4.99</v>
      </c>
      <c r="V1397" s="46" t="s">
        <v>68</v>
      </c>
      <c r="W1397" s="46">
        <v>2300</v>
      </c>
      <c r="X1397" s="46">
        <v>4.99</v>
      </c>
      <c r="Y1397" s="194">
        <v>5.9249999999999998</v>
      </c>
      <c r="Z1397" s="193">
        <v>5.2949999999999999</v>
      </c>
      <c r="AA1397" s="193">
        <v>5.758</v>
      </c>
      <c r="AB1397" s="46">
        <v>6.02</v>
      </c>
      <c r="AC1397" s="46">
        <v>6.03</v>
      </c>
      <c r="AD1397" s="46">
        <v>5.94</v>
      </c>
      <c r="AE1397" s="46">
        <v>5.94</v>
      </c>
    </row>
    <row r="1398" spans="1:31" x14ac:dyDescent="0.25">
      <c r="A1398" s="136">
        <v>43048</v>
      </c>
      <c r="B1398" s="201" t="s">
        <v>71</v>
      </c>
      <c r="C1398" t="s">
        <v>126</v>
      </c>
      <c r="D1398">
        <v>5300</v>
      </c>
      <c r="E1398">
        <v>5300</v>
      </c>
      <c r="F1398">
        <v>6.1340000000000003</v>
      </c>
      <c r="G1398">
        <v>245.76</v>
      </c>
      <c r="H1398">
        <v>0.75</v>
      </c>
      <c r="I1398" s="309">
        <v>32754</v>
      </c>
      <c r="J1398">
        <v>6.18</v>
      </c>
      <c r="K1398" s="133">
        <v>6.8737793711152906E-2</v>
      </c>
      <c r="L1398" s="181">
        <v>-53</v>
      </c>
      <c r="M1398" s="133">
        <v>6.8222039904520096E-2</v>
      </c>
      <c r="N1398" s="73">
        <v>1133.5719999999999</v>
      </c>
      <c r="O1398" s="73">
        <v>55.835294193549402</v>
      </c>
      <c r="P1398" s="182">
        <v>7</v>
      </c>
      <c r="Q1398" s="182">
        <v>3500</v>
      </c>
      <c r="R1398" s="46">
        <v>6.3259999999999996</v>
      </c>
      <c r="S1398" s="46">
        <v>1</v>
      </c>
      <c r="T1398" s="46">
        <v>400</v>
      </c>
      <c r="U1398" s="46">
        <v>6.2</v>
      </c>
      <c r="V1398" s="46" t="s">
        <v>62</v>
      </c>
      <c r="W1398" s="46">
        <v>3100</v>
      </c>
      <c r="X1398" s="46">
        <v>6.3419999999999996</v>
      </c>
      <c r="Y1398" s="194">
        <v>6.157</v>
      </c>
      <c r="Z1398" s="194">
        <v>6.359</v>
      </c>
      <c r="AA1398" s="194">
        <v>6.62</v>
      </c>
      <c r="AB1398" s="46">
        <v>6.19</v>
      </c>
      <c r="AC1398" s="46">
        <v>6.2</v>
      </c>
      <c r="AD1398" s="46">
        <v>6.16</v>
      </c>
      <c r="AE1398" s="46">
        <v>6.18</v>
      </c>
    </row>
    <row r="1399" spans="1:31" x14ac:dyDescent="0.25">
      <c r="A1399" s="136">
        <v>43048</v>
      </c>
      <c r="B1399" s="201" t="s">
        <v>79</v>
      </c>
      <c r="C1399" t="s">
        <v>143</v>
      </c>
      <c r="D1399">
        <v>2500</v>
      </c>
      <c r="E1399">
        <v>2500</v>
      </c>
      <c r="F1399">
        <v>17.736000000000001</v>
      </c>
      <c r="G1399">
        <v>-865.88</v>
      </c>
      <c r="H1399">
        <v>-1.95</v>
      </c>
      <c r="I1399" s="309">
        <v>43475</v>
      </c>
      <c r="J1399">
        <v>17.39</v>
      </c>
      <c r="K1399" s="133">
        <v>9.1236965915380497E-2</v>
      </c>
      <c r="L1399" s="181">
        <v>100</v>
      </c>
      <c r="M1399" s="133">
        <v>9.3054108274134101E-2</v>
      </c>
      <c r="N1399" s="73">
        <v>-1391.5</v>
      </c>
      <c r="O1399" s="73">
        <v>-80.954845750873105</v>
      </c>
      <c r="P1399" s="182">
        <v>4</v>
      </c>
      <c r="Q1399" s="182">
        <v>2500</v>
      </c>
      <c r="R1399" s="46">
        <v>17.728000000000002</v>
      </c>
      <c r="S1399" s="46">
        <v>0</v>
      </c>
      <c r="T1399" s="46">
        <v>0</v>
      </c>
      <c r="U1399" s="46">
        <v>0</v>
      </c>
      <c r="V1399" s="46" t="s">
        <v>62</v>
      </c>
      <c r="W1399" s="46">
        <v>2500</v>
      </c>
      <c r="X1399" s="46">
        <v>17.728000000000002</v>
      </c>
    </row>
    <row r="1400" spans="1:31" x14ac:dyDescent="0.25">
      <c r="A1400" s="136">
        <v>43048</v>
      </c>
      <c r="B1400" s="201" t="s">
        <v>65</v>
      </c>
      <c r="C1400" t="s">
        <v>127</v>
      </c>
      <c r="D1400">
        <v>11800</v>
      </c>
      <c r="E1400">
        <v>11400</v>
      </c>
      <c r="F1400">
        <v>10.407</v>
      </c>
      <c r="G1400">
        <v>9707.26</v>
      </c>
      <c r="H1400">
        <v>7.91</v>
      </c>
      <c r="I1400" s="309">
        <v>132514</v>
      </c>
      <c r="J1400">
        <v>11.23</v>
      </c>
      <c r="K1400" s="133">
        <v>0.278094889046825</v>
      </c>
      <c r="L1400" s="181">
        <v>-661</v>
      </c>
      <c r="M1400" s="133">
        <v>0.25772315932280598</v>
      </c>
      <c r="N1400" s="73">
        <v>4598.8290000000497</v>
      </c>
      <c r="O1400" s="73">
        <v>795.33533232526202</v>
      </c>
      <c r="P1400" s="182">
        <v>3</v>
      </c>
      <c r="Q1400" s="182">
        <v>1300</v>
      </c>
      <c r="R1400" s="46">
        <v>11.143000000000001</v>
      </c>
      <c r="S1400" s="46">
        <v>15</v>
      </c>
      <c r="T1400" s="46">
        <v>6400</v>
      </c>
      <c r="U1400" s="46">
        <v>12.468</v>
      </c>
      <c r="V1400" s="46" t="s">
        <v>68</v>
      </c>
      <c r="W1400" s="46">
        <v>5100</v>
      </c>
      <c r="X1400" s="46">
        <v>12.805999999999999</v>
      </c>
      <c r="Y1400" s="194">
        <v>11.182</v>
      </c>
      <c r="Z1400" s="194">
        <v>11.558</v>
      </c>
      <c r="AA1400" s="194">
        <v>11.868</v>
      </c>
      <c r="AB1400" s="46">
        <v>11.32</v>
      </c>
      <c r="AC1400" s="46">
        <v>11.32</v>
      </c>
      <c r="AD1400" s="46">
        <v>11.14</v>
      </c>
      <c r="AE1400" s="46">
        <v>11.23</v>
      </c>
    </row>
    <row r="1401" spans="1:31" x14ac:dyDescent="0.25">
      <c r="A1401" s="136">
        <v>43048</v>
      </c>
      <c r="B1401" s="201" t="s">
        <v>77</v>
      </c>
      <c r="C1401" t="s">
        <v>128</v>
      </c>
      <c r="D1401">
        <v>3800</v>
      </c>
      <c r="E1401">
        <v>3800</v>
      </c>
      <c r="F1401">
        <v>6.024</v>
      </c>
      <c r="G1401">
        <v>1847.53</v>
      </c>
      <c r="H1401">
        <v>8.07</v>
      </c>
      <c r="I1401" s="309">
        <v>24738</v>
      </c>
      <c r="J1401">
        <v>6.51</v>
      </c>
      <c r="K1401" s="133">
        <v>5.1915355096369999E-2</v>
      </c>
      <c r="L1401" s="181">
        <v>80.389999999999901</v>
      </c>
      <c r="M1401" s="133">
        <v>4.8038114575665099E-2</v>
      </c>
      <c r="N1401" s="73">
        <v>1380.586</v>
      </c>
      <c r="O1401" s="73">
        <v>288.28921886503002</v>
      </c>
      <c r="P1401" s="182">
        <v>6</v>
      </c>
      <c r="Q1401" s="182">
        <v>3000</v>
      </c>
      <c r="R1401" s="46">
        <v>6.798</v>
      </c>
      <c r="S1401" s="46">
        <v>0</v>
      </c>
      <c r="T1401" s="46">
        <v>0</v>
      </c>
      <c r="U1401" s="46">
        <v>0</v>
      </c>
      <c r="V1401" s="46" t="s">
        <v>62</v>
      </c>
      <c r="W1401" s="46">
        <v>3000</v>
      </c>
      <c r="X1401" s="46">
        <v>6.798</v>
      </c>
      <c r="Y1401" s="193">
        <v>6.5430000000000001</v>
      </c>
      <c r="Z1401" s="194">
        <v>6.3949999999999996</v>
      </c>
      <c r="AA1401" s="194">
        <v>6.8049999999999997</v>
      </c>
      <c r="AB1401" s="46">
        <v>6.48</v>
      </c>
      <c r="AC1401" s="46">
        <v>6.55</v>
      </c>
      <c r="AD1401" s="46">
        <v>6.46</v>
      </c>
      <c r="AE1401" s="46">
        <v>6.51</v>
      </c>
    </row>
    <row r="1402" spans="1:31" x14ac:dyDescent="0.25">
      <c r="A1402" s="136">
        <v>43048</v>
      </c>
      <c r="B1402" s="201" t="s">
        <v>67</v>
      </c>
      <c r="C1402" t="s">
        <v>129</v>
      </c>
      <c r="D1402">
        <v>9450</v>
      </c>
      <c r="E1402">
        <v>9450</v>
      </c>
      <c r="F1402">
        <v>8.77</v>
      </c>
      <c r="G1402">
        <v>-5573.84</v>
      </c>
      <c r="H1402">
        <v>-6.73</v>
      </c>
      <c r="I1402" s="309">
        <v>77301</v>
      </c>
      <c r="J1402">
        <v>8.18</v>
      </c>
      <c r="K1402" s="133">
        <v>0.162224466986195</v>
      </c>
      <c r="L1402" s="181">
        <v>504.21</v>
      </c>
      <c r="M1402" s="133">
        <v>0.17392177003617301</v>
      </c>
      <c r="N1402" s="73">
        <v>27671.802999999902</v>
      </c>
      <c r="O1402" s="73">
        <v>-619.81181026734498</v>
      </c>
      <c r="P1402" s="182">
        <v>11</v>
      </c>
      <c r="Q1402" s="182">
        <v>5500</v>
      </c>
      <c r="R1402" s="46">
        <v>7.1790000000000003</v>
      </c>
      <c r="S1402" s="46">
        <v>4</v>
      </c>
      <c r="T1402" s="46">
        <v>1600</v>
      </c>
      <c r="U1402" s="46">
        <v>8.9350000000000005</v>
      </c>
      <c r="V1402" s="46" t="s">
        <v>62</v>
      </c>
      <c r="W1402" s="46">
        <v>3900</v>
      </c>
      <c r="X1402" s="46">
        <v>6.4589999999999996</v>
      </c>
      <c r="Y1402" s="193">
        <v>8.266</v>
      </c>
      <c r="Z1402" s="194">
        <v>5.601</v>
      </c>
      <c r="AA1402" s="194">
        <v>8.9710000000000001</v>
      </c>
      <c r="AB1402" s="46">
        <v>8.14</v>
      </c>
      <c r="AC1402" s="46">
        <v>8.24</v>
      </c>
      <c r="AD1402" s="46">
        <v>8.11</v>
      </c>
      <c r="AE1402" s="46">
        <v>8.18</v>
      </c>
    </row>
    <row r="1403" spans="1:31" x14ac:dyDescent="0.25">
      <c r="A1403" s="136">
        <v>43048</v>
      </c>
      <c r="B1403" s="201" t="s">
        <v>78</v>
      </c>
      <c r="C1403" t="s">
        <v>142</v>
      </c>
      <c r="D1403">
        <v>100</v>
      </c>
      <c r="E1403">
        <v>100</v>
      </c>
      <c r="F1403">
        <v>10.987</v>
      </c>
      <c r="G1403">
        <v>54.3</v>
      </c>
      <c r="H1403">
        <v>4.9400000000000004</v>
      </c>
      <c r="I1403" s="309">
        <v>1153</v>
      </c>
      <c r="J1403">
        <v>11.53</v>
      </c>
      <c r="K1403" s="133">
        <v>2.4196945762031902E-3</v>
      </c>
      <c r="L1403" s="181">
        <v>-5</v>
      </c>
      <c r="M1403" s="133">
        <v>2.3057401828919699E-3</v>
      </c>
      <c r="N1403" s="73">
        <v>75.304000000000102</v>
      </c>
      <c r="O1403" s="73">
        <v>6.41110289608178</v>
      </c>
      <c r="P1403" s="182">
        <v>1</v>
      </c>
      <c r="Q1403" s="182">
        <v>500</v>
      </c>
      <c r="R1403" s="46">
        <v>11.56</v>
      </c>
      <c r="S1403" s="46">
        <v>1</v>
      </c>
      <c r="T1403" s="46">
        <v>400</v>
      </c>
      <c r="U1403" s="46">
        <v>11.74</v>
      </c>
      <c r="V1403" s="46" t="s">
        <v>62</v>
      </c>
      <c r="W1403" s="46">
        <v>100</v>
      </c>
      <c r="X1403" s="46">
        <v>10.84</v>
      </c>
    </row>
    <row r="1404" spans="1:31" x14ac:dyDescent="0.25">
      <c r="A1404" s="136">
        <v>43048</v>
      </c>
      <c r="B1404" s="201" t="s">
        <v>72</v>
      </c>
      <c r="C1404" t="s">
        <v>130</v>
      </c>
      <c r="D1404">
        <v>2800</v>
      </c>
      <c r="E1404">
        <v>2300</v>
      </c>
      <c r="F1404">
        <v>8.1690000000000005</v>
      </c>
      <c r="G1404">
        <v>-1258.58</v>
      </c>
      <c r="H1404">
        <v>-5.5</v>
      </c>
      <c r="I1404" s="309">
        <v>21616</v>
      </c>
      <c r="J1404">
        <v>7.72</v>
      </c>
      <c r="K1404" s="133">
        <v>4.5363502132877903E-2</v>
      </c>
      <c r="L1404" s="181">
        <v>-580</v>
      </c>
      <c r="M1404" s="133">
        <v>4.8004767700716398E-2</v>
      </c>
      <c r="N1404" s="73">
        <v>-1480.27999999999</v>
      </c>
      <c r="O1404" s="73">
        <v>-162.94568847150001</v>
      </c>
      <c r="P1404" s="182">
        <v>1</v>
      </c>
      <c r="Q1404" s="182">
        <v>500</v>
      </c>
      <c r="R1404" s="46">
        <v>7.85</v>
      </c>
      <c r="S1404" s="46">
        <v>9</v>
      </c>
      <c r="T1404" s="46">
        <v>4300</v>
      </c>
      <c r="U1404" s="46">
        <v>7.6559999999999997</v>
      </c>
      <c r="V1404" s="46" t="s">
        <v>68</v>
      </c>
      <c r="W1404" s="46">
        <v>3800</v>
      </c>
      <c r="X1404" s="46">
        <v>7.63</v>
      </c>
    </row>
    <row r="1405" spans="1:31" x14ac:dyDescent="0.25">
      <c r="A1405" s="136">
        <v>43048</v>
      </c>
      <c r="B1405" s="201" t="s">
        <v>70</v>
      </c>
      <c r="C1405" t="s">
        <v>131</v>
      </c>
      <c r="D1405">
        <v>8400</v>
      </c>
      <c r="E1405">
        <v>8400</v>
      </c>
      <c r="F1405">
        <v>12.481</v>
      </c>
      <c r="G1405">
        <v>-4207.46</v>
      </c>
      <c r="H1405">
        <v>-4.01</v>
      </c>
      <c r="I1405" s="309">
        <v>100632</v>
      </c>
      <c r="J1405">
        <v>11.98</v>
      </c>
      <c r="K1405" s="133">
        <v>0.21118708117300899</v>
      </c>
      <c r="L1405" s="181">
        <v>672</v>
      </c>
      <c r="M1405" s="133">
        <v>0.220016888754615</v>
      </c>
      <c r="N1405" s="73">
        <v>-4379.44200000002</v>
      </c>
      <c r="O1405" s="73">
        <v>-365.990993227427</v>
      </c>
      <c r="P1405" s="182">
        <v>3</v>
      </c>
      <c r="Q1405" s="182">
        <v>1500</v>
      </c>
      <c r="R1405" s="46">
        <v>12.282999999999999</v>
      </c>
      <c r="S1405" s="46">
        <v>9</v>
      </c>
      <c r="T1405" s="46">
        <v>3600</v>
      </c>
      <c r="U1405" s="46">
        <v>13.278</v>
      </c>
      <c r="V1405" s="46" t="s">
        <v>68</v>
      </c>
      <c r="W1405" s="46">
        <v>2100</v>
      </c>
      <c r="X1405" s="46">
        <v>13.989000000000001</v>
      </c>
      <c r="Y1405" s="193">
        <v>12.04</v>
      </c>
      <c r="Z1405" s="194">
        <v>12.571</v>
      </c>
      <c r="AA1405" s="194">
        <v>12.592000000000001</v>
      </c>
      <c r="AB1405" s="46">
        <v>11.88</v>
      </c>
      <c r="AC1405" s="46">
        <v>12.02</v>
      </c>
      <c r="AD1405" s="46">
        <v>11.86</v>
      </c>
      <c r="AE1405" s="46">
        <v>11.98</v>
      </c>
    </row>
    <row r="1406" spans="1:31" x14ac:dyDescent="0.25">
      <c r="A1406" s="136">
        <v>43048</v>
      </c>
      <c r="B1406" s="201" t="s">
        <v>137</v>
      </c>
      <c r="C1406" t="s">
        <v>138</v>
      </c>
      <c r="D1406">
        <v>100</v>
      </c>
      <c r="E1406">
        <v>100</v>
      </c>
      <c r="F1406">
        <v>-130.48500000000001</v>
      </c>
      <c r="G1406">
        <v>18128.5</v>
      </c>
      <c r="H1406">
        <v>0</v>
      </c>
      <c r="I1406" s="309">
        <v>5080</v>
      </c>
      <c r="J1406">
        <v>50.8</v>
      </c>
      <c r="K1406" s="133">
        <v>1.06609266670531E-2</v>
      </c>
      <c r="L1406" s="181">
        <v>-70</v>
      </c>
      <c r="M1406" s="133">
        <v>0</v>
      </c>
    </row>
    <row r="1407" spans="1:31" x14ac:dyDescent="0.25">
      <c r="A1407" s="136">
        <v>43048</v>
      </c>
      <c r="B1407" s="201" t="s">
        <v>835</v>
      </c>
      <c r="C1407" t="s">
        <v>839</v>
      </c>
      <c r="I1407" s="309">
        <v>23030.44</v>
      </c>
      <c r="K1407" s="133">
        <v>4.8331856683064202E-2</v>
      </c>
      <c r="L1407" s="181">
        <v>0</v>
      </c>
      <c r="M1407" s="133">
        <v>4.8843874968148397E-2</v>
      </c>
    </row>
    <row r="1408" spans="1:31" x14ac:dyDescent="0.25">
      <c r="A1408" s="136">
        <v>43049</v>
      </c>
      <c r="B1408" s="201" t="s">
        <v>132</v>
      </c>
      <c r="C1408" t="s">
        <v>123</v>
      </c>
      <c r="D1408">
        <v>24400</v>
      </c>
      <c r="E1408">
        <v>24400</v>
      </c>
      <c r="F1408">
        <v>-0.10100000000000001</v>
      </c>
      <c r="G1408">
        <v>2708.4</v>
      </c>
      <c r="H1408">
        <v>0</v>
      </c>
      <c r="I1408" s="309">
        <v>244</v>
      </c>
      <c r="J1408">
        <v>0.01</v>
      </c>
      <c r="K1408" s="133">
        <v>5.1438020484517104E-4</v>
      </c>
      <c r="L1408" s="181">
        <v>0.222000000000207</v>
      </c>
      <c r="M1408" s="133">
        <v>0</v>
      </c>
    </row>
    <row r="1409" spans="1:31" x14ac:dyDescent="0.25">
      <c r="A1409" s="136">
        <v>43049</v>
      </c>
      <c r="B1409" s="201" t="s">
        <v>61</v>
      </c>
      <c r="C1409" t="s">
        <v>136</v>
      </c>
      <c r="D1409">
        <v>2500</v>
      </c>
      <c r="E1409">
        <v>2500</v>
      </c>
      <c r="F1409">
        <v>5.351</v>
      </c>
      <c r="G1409">
        <v>-53.42</v>
      </c>
      <c r="H1409">
        <v>-0.39</v>
      </c>
      <c r="I1409" s="309">
        <v>13325</v>
      </c>
      <c r="J1409">
        <v>5.33</v>
      </c>
      <c r="K1409" s="133">
        <v>2.8090640285089698E-2</v>
      </c>
      <c r="L1409" s="181">
        <v>-50</v>
      </c>
      <c r="M1409" s="133">
        <v>2.8203255820101299E-2</v>
      </c>
      <c r="N1409" s="73">
        <v>-6.6679999999996697</v>
      </c>
      <c r="O1409" s="73">
        <v>-1.24573196261676</v>
      </c>
      <c r="P1409" s="182">
        <v>5</v>
      </c>
      <c r="Q1409" s="182">
        <v>2500</v>
      </c>
      <c r="R1409" s="46">
        <v>5.3659999999999997</v>
      </c>
      <c r="S1409" s="46">
        <v>1</v>
      </c>
      <c r="T1409" s="46">
        <v>400</v>
      </c>
      <c r="U1409" s="46">
        <v>5.35</v>
      </c>
      <c r="V1409" s="46" t="s">
        <v>62</v>
      </c>
      <c r="W1409" s="46">
        <v>2100</v>
      </c>
      <c r="X1409" s="46">
        <v>5.3689999999999998</v>
      </c>
    </row>
    <row r="1410" spans="1:31" x14ac:dyDescent="0.25">
      <c r="A1410" s="136">
        <v>43049</v>
      </c>
      <c r="B1410" s="201" t="s">
        <v>124</v>
      </c>
      <c r="C1410" t="s">
        <v>125</v>
      </c>
      <c r="D1410">
        <v>100</v>
      </c>
      <c r="E1410">
        <v>100</v>
      </c>
      <c r="F1410">
        <v>-53.579000000000001</v>
      </c>
      <c r="G1410">
        <v>5939.9</v>
      </c>
      <c r="H1410">
        <v>0</v>
      </c>
      <c r="I1410" s="309">
        <v>582</v>
      </c>
      <c r="J1410">
        <v>5.82</v>
      </c>
      <c r="K1410" s="133">
        <v>1.22692327549135E-3</v>
      </c>
      <c r="L1410" s="181">
        <v>-12</v>
      </c>
      <c r="M1410" s="133">
        <v>0</v>
      </c>
      <c r="N1410" s="73">
        <v>5995.0890000000099</v>
      </c>
      <c r="O1410" s="73">
        <v>1102.4501845505599</v>
      </c>
      <c r="P1410" s="182">
        <v>0</v>
      </c>
      <c r="Q1410" s="182">
        <v>0</v>
      </c>
      <c r="R1410" s="46">
        <v>0</v>
      </c>
      <c r="S1410" s="46">
        <v>5</v>
      </c>
      <c r="T1410" s="46">
        <v>2300</v>
      </c>
      <c r="U1410" s="46">
        <v>4.99</v>
      </c>
      <c r="V1410" s="46" t="s">
        <v>68</v>
      </c>
      <c r="W1410" s="46">
        <v>2300</v>
      </c>
      <c r="X1410" s="46">
        <v>4.99</v>
      </c>
      <c r="Y1410" s="194">
        <v>5.9249999999999998</v>
      </c>
      <c r="Z1410" s="193">
        <v>5.2789999999999999</v>
      </c>
      <c r="AA1410" s="193">
        <v>5.7629999999999999</v>
      </c>
      <c r="AB1410" s="46">
        <v>5.95</v>
      </c>
      <c r="AC1410" s="46">
        <v>5.95</v>
      </c>
      <c r="AD1410" s="46">
        <v>5.81</v>
      </c>
      <c r="AE1410" s="46">
        <v>5.82</v>
      </c>
    </row>
    <row r="1411" spans="1:31" x14ac:dyDescent="0.25">
      <c r="A1411" s="136">
        <v>43049</v>
      </c>
      <c r="B1411" s="201" t="s">
        <v>71</v>
      </c>
      <c r="C1411" t="s">
        <v>126</v>
      </c>
      <c r="D1411">
        <v>5300</v>
      </c>
      <c r="E1411">
        <v>5300</v>
      </c>
      <c r="F1411">
        <v>6.1340000000000003</v>
      </c>
      <c r="G1411">
        <v>-72.239999999999995</v>
      </c>
      <c r="H1411">
        <v>-0.23</v>
      </c>
      <c r="I1411" s="309">
        <v>32436</v>
      </c>
      <c r="J1411">
        <v>6.12</v>
      </c>
      <c r="K1411" s="133">
        <v>6.8378837394909603E-2</v>
      </c>
      <c r="L1411" s="181">
        <v>-318</v>
      </c>
      <c r="M1411" s="133">
        <v>6.8531127665393293E-2</v>
      </c>
      <c r="N1411" s="73">
        <v>1133.5719999999999</v>
      </c>
      <c r="O1411" s="73">
        <v>55.835294193549402</v>
      </c>
      <c r="P1411" s="182">
        <v>7</v>
      </c>
      <c r="Q1411" s="182">
        <v>3500</v>
      </c>
      <c r="R1411" s="46">
        <v>6.3259999999999996</v>
      </c>
      <c r="S1411" s="46">
        <v>1</v>
      </c>
      <c r="T1411" s="46">
        <v>400</v>
      </c>
      <c r="U1411" s="46">
        <v>6.2</v>
      </c>
      <c r="V1411" s="46" t="s">
        <v>62</v>
      </c>
      <c r="W1411" s="46">
        <v>3100</v>
      </c>
      <c r="X1411" s="46">
        <v>6.3419999999999996</v>
      </c>
      <c r="Y1411" s="194">
        <v>6.1109999999999998</v>
      </c>
      <c r="Z1411" s="194">
        <v>6.3330000000000002</v>
      </c>
      <c r="AA1411" s="194">
        <v>6.6159999999999997</v>
      </c>
      <c r="AB1411" s="46">
        <v>6.17</v>
      </c>
      <c r="AC1411" s="46">
        <v>6.18</v>
      </c>
      <c r="AD1411" s="46">
        <v>6.09</v>
      </c>
      <c r="AE1411" s="46">
        <v>6.12</v>
      </c>
    </row>
    <row r="1412" spans="1:31" x14ac:dyDescent="0.25">
      <c r="A1412" s="136">
        <v>43049</v>
      </c>
      <c r="B1412" s="201" t="s">
        <v>79</v>
      </c>
      <c r="C1412" t="s">
        <v>143</v>
      </c>
      <c r="D1412">
        <v>2500</v>
      </c>
      <c r="E1412">
        <v>2500</v>
      </c>
      <c r="F1412">
        <v>17.736000000000001</v>
      </c>
      <c r="G1412">
        <v>-1290.8800000000001</v>
      </c>
      <c r="H1412">
        <v>-2.91</v>
      </c>
      <c r="I1412" s="309">
        <v>43050</v>
      </c>
      <c r="J1412">
        <v>17.22</v>
      </c>
      <c r="K1412" s="133">
        <v>9.0754376305674594E-2</v>
      </c>
      <c r="L1412" s="181">
        <v>-425</v>
      </c>
      <c r="M1412" s="133">
        <v>9.3475700563176695E-2</v>
      </c>
      <c r="N1412" s="73">
        <v>-1391.5</v>
      </c>
      <c r="O1412" s="73">
        <v>-80.954845750873105</v>
      </c>
      <c r="P1412" s="182">
        <v>4</v>
      </c>
      <c r="Q1412" s="182">
        <v>2500</v>
      </c>
      <c r="R1412" s="46">
        <v>17.728000000000002</v>
      </c>
      <c r="S1412" s="46">
        <v>0</v>
      </c>
      <c r="T1412" s="46">
        <v>0</v>
      </c>
      <c r="U1412" s="46">
        <v>0</v>
      </c>
      <c r="V1412" s="46" t="s">
        <v>62</v>
      </c>
      <c r="W1412" s="46">
        <v>2500</v>
      </c>
      <c r="X1412" s="46">
        <v>17.728000000000002</v>
      </c>
    </row>
    <row r="1413" spans="1:31" x14ac:dyDescent="0.25">
      <c r="A1413" s="136">
        <v>43049</v>
      </c>
      <c r="B1413" s="201" t="s">
        <v>65</v>
      </c>
      <c r="C1413" t="s">
        <v>127</v>
      </c>
      <c r="D1413">
        <v>11800</v>
      </c>
      <c r="E1413">
        <v>11800</v>
      </c>
      <c r="F1413">
        <v>10.407</v>
      </c>
      <c r="G1413">
        <v>8055.26</v>
      </c>
      <c r="H1413">
        <v>6.56</v>
      </c>
      <c r="I1413" s="309">
        <v>130862</v>
      </c>
      <c r="J1413">
        <v>11.09</v>
      </c>
      <c r="K1413" s="133">
        <v>0.27587222281331403</v>
      </c>
      <c r="L1413" s="181">
        <v>-1652</v>
      </c>
      <c r="M1413" s="133">
        <v>0.258890803596589</v>
      </c>
      <c r="N1413" s="73">
        <v>4598.8290000000497</v>
      </c>
      <c r="O1413" s="73">
        <v>795.33533232526202</v>
      </c>
      <c r="P1413" s="182">
        <v>3</v>
      </c>
      <c r="Q1413" s="182">
        <v>1300</v>
      </c>
      <c r="R1413" s="46">
        <v>11.143000000000001</v>
      </c>
      <c r="S1413" s="46">
        <v>15</v>
      </c>
      <c r="T1413" s="46">
        <v>6400</v>
      </c>
      <c r="U1413" s="46">
        <v>12.468</v>
      </c>
      <c r="V1413" s="46" t="s">
        <v>68</v>
      </c>
      <c r="W1413" s="46">
        <v>5100</v>
      </c>
      <c r="X1413" s="46">
        <v>12.805999999999999</v>
      </c>
      <c r="Y1413" s="194">
        <v>11.101000000000001</v>
      </c>
      <c r="Z1413" s="194">
        <v>11.532999999999999</v>
      </c>
      <c r="AA1413" s="194">
        <v>11.86</v>
      </c>
      <c r="AB1413" s="46">
        <v>11.2</v>
      </c>
      <c r="AC1413" s="46">
        <v>11.25</v>
      </c>
      <c r="AD1413" s="46">
        <v>11.05</v>
      </c>
      <c r="AE1413" s="46">
        <v>11.09</v>
      </c>
    </row>
    <row r="1414" spans="1:31" x14ac:dyDescent="0.25">
      <c r="A1414" s="136">
        <v>43049</v>
      </c>
      <c r="B1414" s="201" t="s">
        <v>77</v>
      </c>
      <c r="C1414" t="s">
        <v>128</v>
      </c>
      <c r="D1414">
        <v>3800</v>
      </c>
      <c r="E1414">
        <v>3800</v>
      </c>
      <c r="F1414">
        <v>6.024</v>
      </c>
      <c r="G1414">
        <v>1999.53</v>
      </c>
      <c r="H1414">
        <v>8.73</v>
      </c>
      <c r="I1414" s="309">
        <v>24890</v>
      </c>
      <c r="J1414">
        <v>6.55</v>
      </c>
      <c r="K1414" s="133">
        <v>5.24709971253947E-2</v>
      </c>
      <c r="L1414" s="181">
        <v>152</v>
      </c>
      <c r="M1414" s="133">
        <v>4.8255756752468203E-2</v>
      </c>
      <c r="N1414" s="73">
        <v>1380.586</v>
      </c>
      <c r="O1414" s="73">
        <v>288.28921886503002</v>
      </c>
      <c r="P1414" s="182">
        <v>6</v>
      </c>
      <c r="Q1414" s="182">
        <v>3000</v>
      </c>
      <c r="R1414" s="46">
        <v>6.798</v>
      </c>
      <c r="S1414" s="46">
        <v>0</v>
      </c>
      <c r="T1414" s="46">
        <v>0</v>
      </c>
      <c r="U1414" s="46">
        <v>0</v>
      </c>
      <c r="V1414" s="46" t="s">
        <v>62</v>
      </c>
      <c r="W1414" s="46">
        <v>3000</v>
      </c>
      <c r="X1414" s="46">
        <v>6.798</v>
      </c>
      <c r="Y1414" s="193">
        <v>6.7809999999999997</v>
      </c>
      <c r="Z1414" s="194">
        <v>6.3780000000000001</v>
      </c>
      <c r="AA1414" s="194">
        <v>6.8</v>
      </c>
      <c r="AB1414" s="46">
        <v>6.51</v>
      </c>
      <c r="AC1414" s="46">
        <v>6.55</v>
      </c>
      <c r="AD1414" s="46">
        <v>6.46</v>
      </c>
      <c r="AE1414" s="46">
        <v>6.55</v>
      </c>
    </row>
    <row r="1415" spans="1:31" x14ac:dyDescent="0.25">
      <c r="A1415" s="136">
        <v>43049</v>
      </c>
      <c r="B1415" s="201" t="s">
        <v>67</v>
      </c>
      <c r="C1415" t="s">
        <v>129</v>
      </c>
      <c r="D1415">
        <v>9450</v>
      </c>
      <c r="E1415">
        <v>9450</v>
      </c>
      <c r="F1415">
        <v>8.77</v>
      </c>
      <c r="G1415">
        <v>-5573.84</v>
      </c>
      <c r="H1415">
        <v>-6.73</v>
      </c>
      <c r="I1415" s="309">
        <v>77301</v>
      </c>
      <c r="J1415">
        <v>8.18</v>
      </c>
      <c r="K1415" s="133">
        <v>0.162959443503019</v>
      </c>
      <c r="L1415" s="181">
        <v>0</v>
      </c>
      <c r="M1415" s="133">
        <v>0.17470974252340499</v>
      </c>
      <c r="N1415" s="73">
        <v>27671.802999999902</v>
      </c>
      <c r="O1415" s="73">
        <v>-619.81181026734498</v>
      </c>
      <c r="P1415" s="182">
        <v>11</v>
      </c>
      <c r="Q1415" s="182">
        <v>5500</v>
      </c>
      <c r="R1415" s="46">
        <v>7.1790000000000003</v>
      </c>
      <c r="S1415" s="46">
        <v>4</v>
      </c>
      <c r="T1415" s="46">
        <v>1600</v>
      </c>
      <c r="U1415" s="46">
        <v>8.9350000000000005</v>
      </c>
      <c r="V1415" s="46" t="s">
        <v>62</v>
      </c>
      <c r="W1415" s="46">
        <v>3900</v>
      </c>
      <c r="X1415" s="46">
        <v>6.4589999999999996</v>
      </c>
      <c r="Y1415" s="194">
        <v>8.1489999999999991</v>
      </c>
      <c r="Z1415" s="194">
        <v>6.431</v>
      </c>
      <c r="AA1415" s="194">
        <v>8.9580000000000002</v>
      </c>
      <c r="AB1415" s="46">
        <v>8.1999999999999993</v>
      </c>
      <c r="AC1415" s="46">
        <v>8.24</v>
      </c>
      <c r="AD1415" s="46">
        <v>8.1199999999999992</v>
      </c>
      <c r="AE1415" s="46">
        <v>8.1</v>
      </c>
    </row>
    <row r="1416" spans="1:31" x14ac:dyDescent="0.25">
      <c r="A1416" s="136">
        <v>43049</v>
      </c>
      <c r="B1416" s="201" t="s">
        <v>78</v>
      </c>
      <c r="C1416" t="s">
        <v>142</v>
      </c>
      <c r="D1416">
        <v>100</v>
      </c>
      <c r="E1416">
        <v>100</v>
      </c>
      <c r="F1416">
        <v>10.987</v>
      </c>
      <c r="G1416">
        <v>54.3</v>
      </c>
      <c r="H1416">
        <v>4.9400000000000004</v>
      </c>
      <c r="I1416" s="309">
        <v>1153</v>
      </c>
      <c r="J1416">
        <v>11.53</v>
      </c>
      <c r="K1416" s="133">
        <v>2.43065727945279E-3</v>
      </c>
      <c r="L1416" s="181">
        <v>0</v>
      </c>
      <c r="M1416" s="133">
        <v>2.3161866027188102E-3</v>
      </c>
      <c r="N1416" s="73">
        <v>75.304000000000102</v>
      </c>
      <c r="O1416" s="73">
        <v>6.41110289608178</v>
      </c>
      <c r="P1416" s="182">
        <v>1</v>
      </c>
      <c r="Q1416" s="182">
        <v>500</v>
      </c>
      <c r="R1416" s="46">
        <v>11.56</v>
      </c>
      <c r="S1416" s="46">
        <v>1</v>
      </c>
      <c r="T1416" s="46">
        <v>400</v>
      </c>
      <c r="U1416" s="46">
        <v>11.74</v>
      </c>
      <c r="V1416" s="46" t="s">
        <v>62</v>
      </c>
      <c r="W1416" s="46">
        <v>100</v>
      </c>
      <c r="X1416" s="46">
        <v>10.84</v>
      </c>
    </row>
    <row r="1417" spans="1:31" x14ac:dyDescent="0.25">
      <c r="A1417" s="136">
        <v>43049</v>
      </c>
      <c r="B1417" s="201" t="s">
        <v>72</v>
      </c>
      <c r="C1417" t="s">
        <v>130</v>
      </c>
      <c r="D1417">
        <v>2900</v>
      </c>
      <c r="E1417">
        <v>2400</v>
      </c>
      <c r="F1417">
        <v>8.1050000000000004</v>
      </c>
      <c r="G1417">
        <v>-798.73</v>
      </c>
      <c r="H1417">
        <v>-3.39</v>
      </c>
      <c r="I1417" s="309">
        <v>22707</v>
      </c>
      <c r="J1417">
        <v>7.83</v>
      </c>
      <c r="K1417" s="133">
        <v>4.7868980784505299E-2</v>
      </c>
      <c r="L1417" s="181">
        <v>459.85</v>
      </c>
      <c r="M1417" s="133">
        <v>4.9552795952603597E-2</v>
      </c>
      <c r="N1417" s="73">
        <v>-875.43199999998899</v>
      </c>
      <c r="O1417" s="73">
        <v>-82.918164847712703</v>
      </c>
      <c r="P1417" s="182">
        <v>0</v>
      </c>
      <c r="Q1417" s="182">
        <v>0</v>
      </c>
      <c r="R1417" s="46">
        <v>0</v>
      </c>
      <c r="S1417" s="46">
        <v>8</v>
      </c>
      <c r="T1417" s="46">
        <v>3800</v>
      </c>
      <c r="U1417" s="46">
        <v>7.6680000000000001</v>
      </c>
      <c r="V1417" s="46" t="s">
        <v>68</v>
      </c>
      <c r="W1417" s="46">
        <v>3800</v>
      </c>
      <c r="X1417" s="46">
        <v>7.6680000000000001</v>
      </c>
    </row>
    <row r="1418" spans="1:31" x14ac:dyDescent="0.25">
      <c r="A1418" s="136">
        <v>43049</v>
      </c>
      <c r="B1418" s="201" t="s">
        <v>70</v>
      </c>
      <c r="C1418" t="s">
        <v>131</v>
      </c>
      <c r="D1418">
        <v>8400</v>
      </c>
      <c r="E1418">
        <v>8400</v>
      </c>
      <c r="F1418">
        <v>12.481</v>
      </c>
      <c r="G1418">
        <v>-4711.46</v>
      </c>
      <c r="H1418">
        <v>-4.49</v>
      </c>
      <c r="I1418" s="309">
        <v>100128</v>
      </c>
      <c r="J1418">
        <v>11.92</v>
      </c>
      <c r="K1418" s="133">
        <v>0.21108139815875901</v>
      </c>
      <c r="L1418" s="181">
        <v>-504</v>
      </c>
      <c r="M1418" s="133">
        <v>0.22101370045351301</v>
      </c>
      <c r="N1418" s="73">
        <v>-4379.44200000002</v>
      </c>
      <c r="O1418" s="73">
        <v>-365.990993227427</v>
      </c>
      <c r="P1418" s="182">
        <v>3</v>
      </c>
      <c r="Q1418" s="182">
        <v>1500</v>
      </c>
      <c r="R1418" s="46">
        <v>12.282999999999999</v>
      </c>
      <c r="S1418" s="46">
        <v>9</v>
      </c>
      <c r="T1418" s="46">
        <v>3600</v>
      </c>
      <c r="U1418" s="46">
        <v>13.278</v>
      </c>
      <c r="V1418" s="46" t="s">
        <v>68</v>
      </c>
      <c r="W1418" s="46">
        <v>2100</v>
      </c>
      <c r="X1418" s="46">
        <v>13.989000000000001</v>
      </c>
      <c r="Y1418" s="194">
        <v>11.882999999999999</v>
      </c>
      <c r="Z1418" s="194">
        <v>12.558999999999999</v>
      </c>
      <c r="AA1418" s="194">
        <v>12.584</v>
      </c>
      <c r="AB1418" s="46">
        <v>12.02</v>
      </c>
      <c r="AC1418" s="46">
        <v>12.05</v>
      </c>
      <c r="AD1418" s="46">
        <v>11.86</v>
      </c>
      <c r="AE1418" s="46">
        <v>11.92</v>
      </c>
    </row>
    <row r="1419" spans="1:31" x14ac:dyDescent="0.25">
      <c r="A1419" s="136">
        <v>43049</v>
      </c>
      <c r="B1419" s="201" t="s">
        <v>137</v>
      </c>
      <c r="C1419" t="s">
        <v>138</v>
      </c>
      <c r="D1419">
        <v>100</v>
      </c>
      <c r="E1419">
        <v>100</v>
      </c>
      <c r="F1419">
        <v>-130.48500000000001</v>
      </c>
      <c r="G1419">
        <v>18328.5</v>
      </c>
      <c r="H1419">
        <v>0</v>
      </c>
      <c r="I1419" s="309">
        <v>5280</v>
      </c>
      <c r="J1419">
        <v>52.8</v>
      </c>
      <c r="K1419" s="133">
        <v>1.11308503343545E-2</v>
      </c>
      <c r="L1419" s="181">
        <v>200</v>
      </c>
      <c r="M1419" s="133">
        <v>0</v>
      </c>
    </row>
    <row r="1420" spans="1:31" x14ac:dyDescent="0.25">
      <c r="A1420" s="136">
        <v>43049</v>
      </c>
      <c r="B1420" s="201" t="s">
        <v>835</v>
      </c>
      <c r="C1420" t="s">
        <v>839</v>
      </c>
      <c r="I1420" s="309">
        <v>22399.29</v>
      </c>
      <c r="K1420" s="133">
        <v>4.7220292535190098E-2</v>
      </c>
      <c r="L1420" s="181">
        <v>0</v>
      </c>
      <c r="M1420" s="133">
        <v>4.7734672740035303E-2</v>
      </c>
    </row>
    <row r="1421" spans="1:31" x14ac:dyDescent="0.25">
      <c r="A1421" s="136">
        <v>43052</v>
      </c>
      <c r="B1421" s="201" t="s">
        <v>132</v>
      </c>
      <c r="C1421" t="s">
        <v>123</v>
      </c>
      <c r="D1421">
        <v>24402</v>
      </c>
      <c r="E1421">
        <v>24402</v>
      </c>
      <c r="F1421">
        <v>-0.10100000000000001</v>
      </c>
      <c r="G1421">
        <v>2708.6219999999998</v>
      </c>
      <c r="H1421">
        <v>0</v>
      </c>
      <c r="I1421" s="309">
        <v>244.02</v>
      </c>
      <c r="J1421">
        <v>0.01</v>
      </c>
      <c r="K1421" s="133">
        <v>5.1586841867155299E-4</v>
      </c>
      <c r="L1421" s="181">
        <v>0.22199999999975301</v>
      </c>
      <c r="M1421" s="133">
        <v>0</v>
      </c>
    </row>
    <row r="1422" spans="1:31" x14ac:dyDescent="0.25">
      <c r="A1422" s="136">
        <v>43052</v>
      </c>
      <c r="B1422" s="201" t="s">
        <v>61</v>
      </c>
      <c r="C1422" t="s">
        <v>136</v>
      </c>
      <c r="D1422">
        <v>2500</v>
      </c>
      <c r="E1422">
        <v>2500</v>
      </c>
      <c r="F1422">
        <v>5.351</v>
      </c>
      <c r="G1422">
        <v>-103.42</v>
      </c>
      <c r="H1422">
        <v>-0.77</v>
      </c>
      <c r="I1422" s="309">
        <v>13275</v>
      </c>
      <c r="J1422">
        <v>5.31</v>
      </c>
      <c r="K1422" s="133">
        <v>2.8063901556695602E-2</v>
      </c>
      <c r="L1422" s="181">
        <v>-50</v>
      </c>
      <c r="M1422" s="133">
        <v>2.8282535733644299E-2</v>
      </c>
      <c r="N1422" s="73">
        <v>-6.6679999999996697</v>
      </c>
      <c r="O1422" s="73">
        <v>-1.24573196261676</v>
      </c>
      <c r="P1422" s="182">
        <v>5</v>
      </c>
      <c r="Q1422" s="182">
        <v>2500</v>
      </c>
      <c r="R1422" s="46">
        <v>5.3659999999999997</v>
      </c>
      <c r="S1422" s="46">
        <v>1</v>
      </c>
      <c r="T1422" s="46">
        <v>400</v>
      </c>
      <c r="U1422" s="46">
        <v>5.35</v>
      </c>
      <c r="V1422" s="46" t="s">
        <v>62</v>
      </c>
      <c r="W1422" s="46">
        <v>2100</v>
      </c>
      <c r="X1422" s="46">
        <v>5.3689999999999998</v>
      </c>
    </row>
    <row r="1423" spans="1:31" x14ac:dyDescent="0.25">
      <c r="A1423" s="136">
        <v>43052</v>
      </c>
      <c r="B1423" s="201" t="s">
        <v>124</v>
      </c>
      <c r="C1423" t="s">
        <v>125</v>
      </c>
      <c r="D1423">
        <v>100</v>
      </c>
      <c r="E1423">
        <v>100</v>
      </c>
      <c r="F1423">
        <v>-53.579000000000001</v>
      </c>
      <c r="G1423">
        <v>5953.9</v>
      </c>
      <c r="H1423">
        <v>0</v>
      </c>
      <c r="I1423" s="309">
        <v>596</v>
      </c>
      <c r="J1423">
        <v>5.96</v>
      </c>
      <c r="K1423" s="133">
        <v>1.2599687629220801E-3</v>
      </c>
      <c r="L1423" s="181">
        <v>14</v>
      </c>
      <c r="M1423" s="133">
        <v>0</v>
      </c>
      <c r="N1423" s="73">
        <v>5995.0890000000099</v>
      </c>
      <c r="O1423" s="73">
        <v>1102.4501845505599</v>
      </c>
      <c r="P1423" s="182">
        <v>0</v>
      </c>
      <c r="Q1423" s="182">
        <v>0</v>
      </c>
      <c r="R1423" s="46">
        <v>0</v>
      </c>
      <c r="S1423" s="46">
        <v>5</v>
      </c>
      <c r="T1423" s="46">
        <v>2300</v>
      </c>
      <c r="U1423" s="46">
        <v>4.99</v>
      </c>
      <c r="V1423" s="46" t="s">
        <v>68</v>
      </c>
      <c r="W1423" s="46">
        <v>2300</v>
      </c>
      <c r="X1423" s="46">
        <v>4.99</v>
      </c>
      <c r="Y1423" s="193">
        <v>5.9370000000000003</v>
      </c>
      <c r="Z1423" s="193">
        <v>5.327</v>
      </c>
      <c r="AA1423" s="193">
        <v>5.7690000000000001</v>
      </c>
      <c r="AB1423" s="46">
        <v>5.84</v>
      </c>
      <c r="AC1423" s="46">
        <v>5.98</v>
      </c>
      <c r="AD1423" s="46">
        <v>5.83</v>
      </c>
      <c r="AE1423" s="46">
        <v>5.96</v>
      </c>
    </row>
    <row r="1424" spans="1:31" x14ac:dyDescent="0.25">
      <c r="A1424" s="136">
        <v>43052</v>
      </c>
      <c r="B1424" s="201" t="s">
        <v>71</v>
      </c>
      <c r="C1424" t="s">
        <v>126</v>
      </c>
      <c r="D1424">
        <v>5300</v>
      </c>
      <c r="E1424">
        <v>5300</v>
      </c>
      <c r="F1424">
        <v>6.1340000000000003</v>
      </c>
      <c r="G1424">
        <v>245.76</v>
      </c>
      <c r="H1424">
        <v>0.75</v>
      </c>
      <c r="I1424" s="309">
        <v>32754</v>
      </c>
      <c r="J1424">
        <v>6.18</v>
      </c>
      <c r="K1424" s="133">
        <v>6.9243316880452599E-2</v>
      </c>
      <c r="L1424" s="181">
        <v>318</v>
      </c>
      <c r="M1424" s="133">
        <v>6.8723770029486694E-2</v>
      </c>
      <c r="N1424" s="73">
        <v>1133.5719999999999</v>
      </c>
      <c r="O1424" s="73">
        <v>55.835294193549402</v>
      </c>
      <c r="P1424" s="182">
        <v>6</v>
      </c>
      <c r="Q1424" s="182">
        <v>3000</v>
      </c>
      <c r="R1424" s="46">
        <v>6.343</v>
      </c>
      <c r="S1424" s="46">
        <v>0</v>
      </c>
      <c r="T1424" s="46">
        <v>0</v>
      </c>
      <c r="U1424" s="46">
        <v>0</v>
      </c>
      <c r="V1424" s="46" t="s">
        <v>62</v>
      </c>
      <c r="W1424" s="46">
        <v>3000</v>
      </c>
      <c r="X1424" s="46">
        <v>6.343</v>
      </c>
      <c r="Y1424" s="194">
        <v>6.141</v>
      </c>
      <c r="Z1424" s="194">
        <v>6.3209999999999997</v>
      </c>
      <c r="AA1424" s="194">
        <v>6.609</v>
      </c>
      <c r="AB1424" s="46">
        <v>6.11</v>
      </c>
      <c r="AC1424" s="46">
        <v>6.23</v>
      </c>
      <c r="AD1424" s="46">
        <v>6.11</v>
      </c>
      <c r="AE1424" s="46">
        <v>6.18</v>
      </c>
    </row>
    <row r="1425" spans="1:31" x14ac:dyDescent="0.25">
      <c r="A1425" s="136">
        <v>43052</v>
      </c>
      <c r="B1425" s="201" t="s">
        <v>79</v>
      </c>
      <c r="C1425" t="s">
        <v>143</v>
      </c>
      <c r="D1425">
        <v>2500</v>
      </c>
      <c r="E1425">
        <v>2500</v>
      </c>
      <c r="F1425">
        <v>17.736000000000001</v>
      </c>
      <c r="G1425">
        <v>-1215.8800000000001</v>
      </c>
      <c r="H1425">
        <v>-2.74</v>
      </c>
      <c r="I1425" s="309">
        <v>43125</v>
      </c>
      <c r="J1425">
        <v>17.25</v>
      </c>
      <c r="K1425" s="133">
        <v>9.1168041780225903E-2</v>
      </c>
      <c r="L1425" s="181">
        <v>75</v>
      </c>
      <c r="M1425" s="133">
        <v>9.3738462618248905E-2</v>
      </c>
      <c r="N1425" s="73">
        <v>-1391.5</v>
      </c>
      <c r="O1425" s="73">
        <v>-80.954845750873105</v>
      </c>
      <c r="P1425" s="182">
        <v>4</v>
      </c>
      <c r="Q1425" s="182">
        <v>2500</v>
      </c>
      <c r="R1425" s="46">
        <v>17.728000000000002</v>
      </c>
      <c r="S1425" s="46">
        <v>0</v>
      </c>
      <c r="T1425" s="46">
        <v>0</v>
      </c>
      <c r="U1425" s="46">
        <v>0</v>
      </c>
      <c r="V1425" s="46" t="s">
        <v>62</v>
      </c>
      <c r="W1425" s="46">
        <v>2500</v>
      </c>
      <c r="X1425" s="46">
        <v>17.728000000000002</v>
      </c>
    </row>
    <row r="1426" spans="1:31" x14ac:dyDescent="0.25">
      <c r="A1426" s="136">
        <v>43052</v>
      </c>
      <c r="B1426" s="201" t="s">
        <v>65</v>
      </c>
      <c r="C1426" t="s">
        <v>127</v>
      </c>
      <c r="D1426">
        <v>11800</v>
      </c>
      <c r="E1426">
        <v>11800</v>
      </c>
      <c r="F1426">
        <v>10.407</v>
      </c>
      <c r="G1426">
        <v>8409.26</v>
      </c>
      <c r="H1426">
        <v>6.85</v>
      </c>
      <c r="I1426" s="309">
        <v>131216</v>
      </c>
      <c r="J1426">
        <v>11.12</v>
      </c>
      <c r="K1426" s="133">
        <v>0.27739607583151599</v>
      </c>
      <c r="L1426" s="181">
        <v>354</v>
      </c>
      <c r="M1426" s="133">
        <v>0.25961855079915003</v>
      </c>
      <c r="N1426" s="73">
        <v>4598.8290000000497</v>
      </c>
      <c r="O1426" s="73">
        <v>795.33533232526202</v>
      </c>
      <c r="P1426" s="182">
        <v>2</v>
      </c>
      <c r="Q1426" s="182">
        <v>900</v>
      </c>
      <c r="R1426" s="46">
        <v>11.082000000000001</v>
      </c>
      <c r="S1426" s="46">
        <v>14</v>
      </c>
      <c r="T1426" s="46">
        <v>6000</v>
      </c>
      <c r="U1426" s="46">
        <v>12.542999999999999</v>
      </c>
      <c r="V1426" s="46" t="s">
        <v>68</v>
      </c>
      <c r="W1426" s="46">
        <v>5100</v>
      </c>
      <c r="X1426" s="46">
        <v>12.801</v>
      </c>
      <c r="Y1426" s="194">
        <v>11.061</v>
      </c>
      <c r="Z1426" s="194">
        <v>11.526</v>
      </c>
      <c r="AA1426" s="194">
        <v>11.853999999999999</v>
      </c>
      <c r="AB1426" s="46">
        <v>11.08</v>
      </c>
      <c r="AC1426" s="46">
        <v>11.15</v>
      </c>
      <c r="AD1426" s="46">
        <v>11.02</v>
      </c>
      <c r="AE1426" s="46">
        <v>11.12</v>
      </c>
    </row>
    <row r="1427" spans="1:31" x14ac:dyDescent="0.25">
      <c r="A1427" s="136">
        <v>43052</v>
      </c>
      <c r="B1427" s="201" t="s">
        <v>77</v>
      </c>
      <c r="C1427" t="s">
        <v>128</v>
      </c>
      <c r="D1427">
        <v>3800</v>
      </c>
      <c r="E1427">
        <v>3800</v>
      </c>
      <c r="F1427">
        <v>6.024</v>
      </c>
      <c r="G1427">
        <v>1619.53</v>
      </c>
      <c r="H1427">
        <v>7.07</v>
      </c>
      <c r="I1427" s="309">
        <v>24510</v>
      </c>
      <c r="J1427">
        <v>6.45</v>
      </c>
      <c r="K1427" s="133">
        <v>5.18151583543962E-2</v>
      </c>
      <c r="L1427" s="181">
        <v>-380</v>
      </c>
      <c r="M1427" s="133">
        <v>4.8391404645310297E-2</v>
      </c>
      <c r="N1427" s="73">
        <v>1380.586</v>
      </c>
      <c r="O1427" s="73">
        <v>288.28921886503002</v>
      </c>
      <c r="P1427" s="182">
        <v>6</v>
      </c>
      <c r="Q1427" s="182">
        <v>3000</v>
      </c>
      <c r="R1427" s="46">
        <v>6.798</v>
      </c>
      <c r="S1427" s="46">
        <v>0</v>
      </c>
      <c r="T1427" s="46">
        <v>0</v>
      </c>
      <c r="U1427" s="46">
        <v>0</v>
      </c>
      <c r="V1427" s="46" t="s">
        <v>62</v>
      </c>
      <c r="W1427" s="46">
        <v>3000</v>
      </c>
      <c r="X1427" s="46">
        <v>6.798</v>
      </c>
      <c r="Y1427" s="194">
        <v>6.4630000000000001</v>
      </c>
      <c r="Z1427" s="194">
        <v>6.3970000000000002</v>
      </c>
      <c r="AA1427" s="194">
        <v>6.7949999999999999</v>
      </c>
      <c r="AB1427" s="46">
        <v>6.55</v>
      </c>
      <c r="AC1427" s="46">
        <v>6.57</v>
      </c>
      <c r="AD1427" s="46">
        <v>6.43</v>
      </c>
      <c r="AE1427" s="46">
        <v>6.45</v>
      </c>
    </row>
    <row r="1428" spans="1:31" x14ac:dyDescent="0.25">
      <c r="A1428" s="136">
        <v>43052</v>
      </c>
      <c r="B1428" s="201" t="s">
        <v>67</v>
      </c>
      <c r="C1428" t="s">
        <v>129</v>
      </c>
      <c r="D1428">
        <v>9850</v>
      </c>
      <c r="E1428">
        <v>9450</v>
      </c>
      <c r="F1428">
        <v>8.7420000000000009</v>
      </c>
      <c r="G1428">
        <v>-6322.84</v>
      </c>
      <c r="H1428">
        <v>-7.34</v>
      </c>
      <c r="I1428" s="309">
        <v>79785</v>
      </c>
      <c r="J1428">
        <v>8.1</v>
      </c>
      <c r="K1428" s="133">
        <v>0.16866880494922501</v>
      </c>
      <c r="L1428" s="181">
        <v>-749</v>
      </c>
      <c r="M1428" s="133">
        <v>0.182035551413913</v>
      </c>
      <c r="N1428" s="73">
        <v>26154.802999999902</v>
      </c>
      <c r="O1428" s="73">
        <v>-819.98670365554506</v>
      </c>
      <c r="P1428" s="182">
        <v>12</v>
      </c>
      <c r="Q1428" s="182">
        <v>5900</v>
      </c>
      <c r="R1428" s="46">
        <v>7.2389999999999999</v>
      </c>
      <c r="S1428" s="46">
        <v>4</v>
      </c>
      <c r="T1428" s="46">
        <v>1600</v>
      </c>
      <c r="U1428" s="46">
        <v>8.9350000000000005</v>
      </c>
      <c r="V1428" s="46" t="s">
        <v>62</v>
      </c>
      <c r="W1428" s="46">
        <v>4300</v>
      </c>
      <c r="X1428" s="46">
        <v>6.6079999999999997</v>
      </c>
      <c r="Y1428" s="194">
        <v>8.09</v>
      </c>
      <c r="Z1428" s="194">
        <v>7.0380000000000003</v>
      </c>
      <c r="AA1428" s="194">
        <v>8.9440000000000008</v>
      </c>
      <c r="AB1428" s="46">
        <v>8.16</v>
      </c>
      <c r="AC1428" s="46">
        <v>8.18</v>
      </c>
      <c r="AD1428" s="46">
        <v>8.06</v>
      </c>
      <c r="AE1428" s="46">
        <v>8.1</v>
      </c>
    </row>
    <row r="1429" spans="1:31" x14ac:dyDescent="0.25">
      <c r="A1429" s="136">
        <v>43052</v>
      </c>
      <c r="B1429" s="201" t="s">
        <v>78</v>
      </c>
      <c r="C1429" t="s">
        <v>142</v>
      </c>
      <c r="D1429">
        <v>100</v>
      </c>
      <c r="E1429">
        <v>100</v>
      </c>
      <c r="F1429">
        <v>10.987</v>
      </c>
      <c r="G1429">
        <v>54.3</v>
      </c>
      <c r="H1429">
        <v>4.9400000000000004</v>
      </c>
      <c r="I1429" s="309">
        <v>1153</v>
      </c>
      <c r="J1429">
        <v>11.53</v>
      </c>
      <c r="K1429" s="133">
        <v>2.4374899054516101E-3</v>
      </c>
      <c r="L1429" s="181">
        <v>0</v>
      </c>
      <c r="M1429" s="133">
        <v>2.3226974493665898E-3</v>
      </c>
      <c r="N1429" s="73">
        <v>75.304000000000102</v>
      </c>
      <c r="O1429" s="73">
        <v>6.41110289608178</v>
      </c>
      <c r="P1429" s="182">
        <v>1</v>
      </c>
      <c r="Q1429" s="182">
        <v>500</v>
      </c>
      <c r="R1429" s="46">
        <v>11.56</v>
      </c>
      <c r="S1429" s="46">
        <v>1</v>
      </c>
      <c r="T1429" s="46">
        <v>400</v>
      </c>
      <c r="U1429" s="46">
        <v>11.74</v>
      </c>
      <c r="V1429" s="46" t="s">
        <v>62</v>
      </c>
      <c r="W1429" s="46">
        <v>100</v>
      </c>
      <c r="X1429" s="46">
        <v>10.84</v>
      </c>
    </row>
    <row r="1430" spans="1:31" x14ac:dyDescent="0.25">
      <c r="A1430" s="136">
        <v>43052</v>
      </c>
      <c r="B1430" s="201" t="s">
        <v>72</v>
      </c>
      <c r="C1430" t="s">
        <v>130</v>
      </c>
      <c r="D1430">
        <v>1700</v>
      </c>
      <c r="E1430">
        <v>1700</v>
      </c>
      <c r="F1430">
        <v>8.1259999999999994</v>
      </c>
      <c r="G1430">
        <v>23.56</v>
      </c>
      <c r="H1430">
        <v>0.17</v>
      </c>
      <c r="I1430" s="309">
        <v>13838</v>
      </c>
      <c r="J1430">
        <v>8.14</v>
      </c>
      <c r="K1430" s="133">
        <v>2.9254106948516299E-2</v>
      </c>
      <c r="L1430" s="181">
        <v>822.29</v>
      </c>
      <c r="M1430" s="133">
        <v>2.9204300129633001E-2</v>
      </c>
      <c r="N1430" s="73">
        <v>-181.14799999999099</v>
      </c>
      <c r="O1430" s="73">
        <v>4.97444404908242</v>
      </c>
      <c r="P1430" s="182">
        <v>0</v>
      </c>
      <c r="Q1430" s="182">
        <v>0</v>
      </c>
      <c r="R1430" s="46">
        <v>0</v>
      </c>
      <c r="S1430" s="46">
        <v>11</v>
      </c>
      <c r="T1430" s="46">
        <v>5000</v>
      </c>
      <c r="U1430" s="46">
        <v>7.7709999999999999</v>
      </c>
      <c r="V1430" s="46" t="s">
        <v>68</v>
      </c>
      <c r="W1430" s="46">
        <v>5000</v>
      </c>
      <c r="X1430" s="46">
        <v>7.7709999999999999</v>
      </c>
    </row>
    <row r="1431" spans="1:31" x14ac:dyDescent="0.25">
      <c r="A1431" s="136">
        <v>43052</v>
      </c>
      <c r="B1431" s="201" t="s">
        <v>70</v>
      </c>
      <c r="C1431" t="s">
        <v>131</v>
      </c>
      <c r="D1431">
        <v>8900</v>
      </c>
      <c r="E1431">
        <v>8400</v>
      </c>
      <c r="F1431">
        <v>12.44</v>
      </c>
      <c r="G1431">
        <v>-6495.46</v>
      </c>
      <c r="H1431">
        <v>-5.87</v>
      </c>
      <c r="I1431" s="309">
        <v>104219</v>
      </c>
      <c r="J1431">
        <v>11.71</v>
      </c>
      <c r="K1431" s="133">
        <v>0.22032329614593299</v>
      </c>
      <c r="L1431" s="181">
        <v>-1784</v>
      </c>
      <c r="M1431" s="133">
        <v>0.234054968462728</v>
      </c>
      <c r="N1431" s="73">
        <v>-6232.44200000002</v>
      </c>
      <c r="O1431" s="73">
        <v>-530.60696584327297</v>
      </c>
      <c r="P1431" s="182">
        <v>4</v>
      </c>
      <c r="Q1431" s="182">
        <v>2000</v>
      </c>
      <c r="R1431" s="46">
        <v>12.148</v>
      </c>
      <c r="S1431" s="46">
        <v>9</v>
      </c>
      <c r="T1431" s="46">
        <v>3600</v>
      </c>
      <c r="U1431" s="46">
        <v>13.278</v>
      </c>
      <c r="V1431" s="46" t="s">
        <v>68</v>
      </c>
      <c r="W1431" s="46">
        <v>1600</v>
      </c>
      <c r="X1431" s="46">
        <v>14.691000000000001</v>
      </c>
      <c r="Y1431" s="194">
        <v>11.750999999999999</v>
      </c>
      <c r="Z1431" s="194">
        <v>12.522</v>
      </c>
      <c r="AA1431" s="194">
        <v>12.571</v>
      </c>
      <c r="AB1431" s="46">
        <v>11.9</v>
      </c>
      <c r="AC1431" s="46">
        <v>11.92</v>
      </c>
      <c r="AD1431" s="46">
        <v>11.66</v>
      </c>
      <c r="AE1431" s="46">
        <v>11.71</v>
      </c>
    </row>
    <row r="1432" spans="1:31" x14ac:dyDescent="0.25">
      <c r="A1432" s="136">
        <v>43052</v>
      </c>
      <c r="B1432" s="201" t="s">
        <v>137</v>
      </c>
      <c r="C1432" t="s">
        <v>138</v>
      </c>
      <c r="D1432">
        <v>100</v>
      </c>
      <c r="E1432">
        <v>100</v>
      </c>
      <c r="F1432">
        <v>-130.48500000000001</v>
      </c>
      <c r="G1432">
        <v>18378.5</v>
      </c>
      <c r="H1432">
        <v>0</v>
      </c>
      <c r="I1432" s="309">
        <v>5330</v>
      </c>
      <c r="J1432">
        <v>53.3</v>
      </c>
      <c r="K1432" s="133">
        <v>1.12678414536488E-2</v>
      </c>
      <c r="L1432" s="181">
        <v>50</v>
      </c>
      <c r="M1432" s="133">
        <v>0</v>
      </c>
    </row>
    <row r="1433" spans="1:31" x14ac:dyDescent="0.25">
      <c r="A1433" s="136">
        <v>43052</v>
      </c>
      <c r="B1433" s="201" t="s">
        <v>835</v>
      </c>
      <c r="C1433" t="s">
        <v>839</v>
      </c>
      <c r="I1433" s="309">
        <v>22982.58</v>
      </c>
      <c r="K1433" s="133">
        <v>4.85861290123452E-2</v>
      </c>
      <c r="L1433" s="181">
        <v>0</v>
      </c>
      <c r="M1433" s="133">
        <v>4.9101997431016703E-2</v>
      </c>
    </row>
    <row r="1434" spans="1:31" x14ac:dyDescent="0.25">
      <c r="A1434" s="136">
        <v>43053</v>
      </c>
      <c r="B1434" s="201" t="s">
        <v>132</v>
      </c>
      <c r="C1434" t="s">
        <v>123</v>
      </c>
      <c r="D1434">
        <v>5024408</v>
      </c>
      <c r="E1434">
        <v>24408</v>
      </c>
      <c r="F1434">
        <v>8.9999999999999993E-3</v>
      </c>
      <c r="G1434">
        <v>2713.57</v>
      </c>
      <c r="H1434">
        <v>11.11</v>
      </c>
      <c r="I1434" s="309">
        <v>50244.08</v>
      </c>
      <c r="J1434">
        <v>0.01</v>
      </c>
      <c r="K1434" s="133">
        <v>9.4746729876812999E-2</v>
      </c>
      <c r="L1434" s="181">
        <v>4.9480000000003201</v>
      </c>
      <c r="M1434" s="133">
        <v>0</v>
      </c>
    </row>
    <row r="1435" spans="1:31" x14ac:dyDescent="0.25">
      <c r="A1435" s="136">
        <v>43053</v>
      </c>
      <c r="B1435" s="201" t="s">
        <v>61</v>
      </c>
      <c r="C1435" t="s">
        <v>136</v>
      </c>
      <c r="D1435">
        <v>2500</v>
      </c>
      <c r="E1435">
        <v>2500</v>
      </c>
      <c r="F1435">
        <v>5.351</v>
      </c>
      <c r="G1435">
        <v>-203.42</v>
      </c>
      <c r="H1435">
        <v>-1.51</v>
      </c>
      <c r="I1435" s="309">
        <v>13175</v>
      </c>
      <c r="J1435">
        <v>5.27</v>
      </c>
      <c r="K1435" s="133">
        <v>2.48444824967839E-2</v>
      </c>
      <c r="L1435" s="181">
        <v>-100</v>
      </c>
      <c r="M1435" s="133">
        <v>2.5228077535075801E-2</v>
      </c>
      <c r="N1435" s="73">
        <v>-6.6679999999996697</v>
      </c>
      <c r="O1435" s="73">
        <v>-1.24573196261676</v>
      </c>
      <c r="P1435" s="182">
        <v>5</v>
      </c>
      <c r="Q1435" s="182">
        <v>2500</v>
      </c>
      <c r="R1435" s="46">
        <v>5.3659999999999997</v>
      </c>
      <c r="S1435" s="46">
        <v>1</v>
      </c>
      <c r="T1435" s="46">
        <v>400</v>
      </c>
      <c r="U1435" s="46">
        <v>5.35</v>
      </c>
      <c r="V1435" s="46" t="s">
        <v>62</v>
      </c>
      <c r="W1435" s="46">
        <v>2100</v>
      </c>
      <c r="X1435" s="46">
        <v>5.3689999999999998</v>
      </c>
    </row>
    <row r="1436" spans="1:31" x14ac:dyDescent="0.25">
      <c r="A1436" s="136">
        <v>43053</v>
      </c>
      <c r="B1436" s="201" t="s">
        <v>124</v>
      </c>
      <c r="C1436" t="s">
        <v>125</v>
      </c>
      <c r="D1436">
        <v>100</v>
      </c>
      <c r="E1436">
        <v>100</v>
      </c>
      <c r="F1436">
        <v>-53.579000000000001</v>
      </c>
      <c r="G1436">
        <v>5948.9</v>
      </c>
      <c r="H1436">
        <v>0</v>
      </c>
      <c r="I1436" s="309">
        <v>591</v>
      </c>
      <c r="J1436">
        <v>5.91</v>
      </c>
      <c r="K1436" s="133">
        <v>1.11446597006446E-3</v>
      </c>
      <c r="L1436" s="181">
        <v>-5</v>
      </c>
      <c r="M1436" s="133">
        <v>0</v>
      </c>
      <c r="N1436" s="73">
        <v>5995.0890000000099</v>
      </c>
      <c r="O1436" s="73">
        <v>1102.4501845505599</v>
      </c>
      <c r="P1436" s="182">
        <v>0</v>
      </c>
      <c r="Q1436" s="182">
        <v>0</v>
      </c>
      <c r="R1436" s="46">
        <v>0</v>
      </c>
      <c r="S1436" s="46">
        <v>5</v>
      </c>
      <c r="T1436" s="46">
        <v>2300</v>
      </c>
      <c r="U1436" s="46">
        <v>4.99</v>
      </c>
      <c r="V1436" s="46" t="s">
        <v>68</v>
      </c>
      <c r="W1436" s="46">
        <v>2300</v>
      </c>
      <c r="X1436" s="46">
        <v>4.99</v>
      </c>
      <c r="Y1436" s="194">
        <v>5.835</v>
      </c>
      <c r="Z1436" s="193">
        <v>5.3179999999999996</v>
      </c>
      <c r="AA1436" s="193">
        <v>5.7709999999999999</v>
      </c>
      <c r="AB1436" s="46">
        <v>5.96</v>
      </c>
      <c r="AC1436" s="46">
        <v>5.98</v>
      </c>
      <c r="AD1436" s="46">
        <v>5.88</v>
      </c>
      <c r="AE1436" s="46">
        <v>5.91</v>
      </c>
    </row>
    <row r="1437" spans="1:31" x14ac:dyDescent="0.25">
      <c r="A1437" s="136">
        <v>43053</v>
      </c>
      <c r="B1437" s="201" t="s">
        <v>71</v>
      </c>
      <c r="C1437" t="s">
        <v>126</v>
      </c>
      <c r="D1437">
        <v>5300</v>
      </c>
      <c r="E1437">
        <v>5300</v>
      </c>
      <c r="F1437">
        <v>6.1340000000000003</v>
      </c>
      <c r="G1437">
        <v>-231.24</v>
      </c>
      <c r="H1437">
        <v>-0.72</v>
      </c>
      <c r="I1437" s="309">
        <v>32277</v>
      </c>
      <c r="J1437">
        <v>6.09</v>
      </c>
      <c r="K1437" s="133">
        <v>6.0865682090982497E-2</v>
      </c>
      <c r="L1437" s="181">
        <v>-477</v>
      </c>
      <c r="M1437" s="133">
        <v>6.1301738116223997E-2</v>
      </c>
      <c r="N1437" s="73">
        <v>1133.5719999999999</v>
      </c>
      <c r="O1437" s="73">
        <v>55.835294193549402</v>
      </c>
      <c r="P1437" s="182">
        <v>6</v>
      </c>
      <c r="Q1437" s="182">
        <v>3000</v>
      </c>
      <c r="R1437" s="46">
        <v>6.343</v>
      </c>
      <c r="S1437" s="46">
        <v>0</v>
      </c>
      <c r="T1437" s="46">
        <v>0</v>
      </c>
      <c r="U1437" s="46">
        <v>0</v>
      </c>
      <c r="V1437" s="46" t="s">
        <v>62</v>
      </c>
      <c r="W1437" s="46">
        <v>3000</v>
      </c>
      <c r="X1437" s="46">
        <v>6.343</v>
      </c>
      <c r="Y1437" s="194">
        <v>6.0839999999999996</v>
      </c>
      <c r="Z1437" s="194">
        <v>6.306</v>
      </c>
      <c r="AA1437" s="194">
        <v>6.6029999999999998</v>
      </c>
      <c r="AB1437" s="46">
        <v>6.16</v>
      </c>
      <c r="AC1437" s="46">
        <v>6.17</v>
      </c>
      <c r="AD1437" s="46">
        <v>6.07</v>
      </c>
      <c r="AE1437" s="46">
        <v>6.09</v>
      </c>
    </row>
    <row r="1438" spans="1:31" x14ac:dyDescent="0.25">
      <c r="A1438" s="136">
        <v>43053</v>
      </c>
      <c r="B1438" s="201" t="s">
        <v>79</v>
      </c>
      <c r="C1438" t="s">
        <v>143</v>
      </c>
      <c r="D1438">
        <v>2500</v>
      </c>
      <c r="E1438">
        <v>2500</v>
      </c>
      <c r="F1438">
        <v>17.736000000000001</v>
      </c>
      <c r="G1438">
        <v>-1690.88</v>
      </c>
      <c r="H1438">
        <v>-3.81</v>
      </c>
      <c r="I1438" s="309">
        <v>42650</v>
      </c>
      <c r="J1438">
        <v>17.059999999999999</v>
      </c>
      <c r="K1438" s="133">
        <v>8.0426351308374597E-2</v>
      </c>
      <c r="L1438" s="181">
        <v>-475</v>
      </c>
      <c r="M1438" s="133">
        <v>8.3614893134876397E-2</v>
      </c>
      <c r="N1438" s="73">
        <v>-1391.5</v>
      </c>
      <c r="O1438" s="73">
        <v>-80.954845750873105</v>
      </c>
      <c r="P1438" s="182">
        <v>4</v>
      </c>
      <c r="Q1438" s="182">
        <v>2500</v>
      </c>
      <c r="R1438" s="46">
        <v>17.728000000000002</v>
      </c>
      <c r="S1438" s="46">
        <v>0</v>
      </c>
      <c r="T1438" s="46">
        <v>0</v>
      </c>
      <c r="U1438" s="46">
        <v>0</v>
      </c>
      <c r="V1438" s="46" t="s">
        <v>62</v>
      </c>
      <c r="W1438" s="46">
        <v>2500</v>
      </c>
      <c r="X1438" s="46">
        <v>17.728000000000002</v>
      </c>
    </row>
    <row r="1439" spans="1:31" x14ac:dyDescent="0.25">
      <c r="A1439" s="136">
        <v>43053</v>
      </c>
      <c r="B1439" s="201" t="s">
        <v>65</v>
      </c>
      <c r="C1439" t="s">
        <v>127</v>
      </c>
      <c r="D1439">
        <v>11700</v>
      </c>
      <c r="E1439">
        <v>11300</v>
      </c>
      <c r="F1439">
        <v>10.396000000000001</v>
      </c>
      <c r="G1439">
        <v>9051.6299999999992</v>
      </c>
      <c r="H1439">
        <v>7.45</v>
      </c>
      <c r="I1439" s="309">
        <v>130689</v>
      </c>
      <c r="J1439">
        <v>11.17</v>
      </c>
      <c r="K1439" s="133">
        <v>0.24644406626354401</v>
      </c>
      <c r="L1439" s="181">
        <v>642.36999999999898</v>
      </c>
      <c r="M1439" s="133">
        <v>0.22937514306791901</v>
      </c>
      <c r="N1439" s="73">
        <v>3950.2040000000502</v>
      </c>
      <c r="O1439" s="73">
        <v>741.22897488737999</v>
      </c>
      <c r="P1439" s="182">
        <v>2</v>
      </c>
      <c r="Q1439" s="182">
        <v>800</v>
      </c>
      <c r="R1439" s="46">
        <v>11.13</v>
      </c>
      <c r="S1439" s="46">
        <v>14</v>
      </c>
      <c r="T1439" s="46">
        <v>6000</v>
      </c>
      <c r="U1439" s="46">
        <v>12.542999999999999</v>
      </c>
      <c r="V1439" s="46" t="s">
        <v>68</v>
      </c>
      <c r="W1439" s="46">
        <v>5200</v>
      </c>
      <c r="X1439" s="46">
        <v>12.76</v>
      </c>
      <c r="Y1439" s="194">
        <v>11.028</v>
      </c>
      <c r="Z1439" s="194">
        <v>11.52</v>
      </c>
      <c r="AA1439" s="194">
        <v>11.845000000000001</v>
      </c>
      <c r="AB1439" s="46">
        <v>11.12</v>
      </c>
      <c r="AC1439" s="46">
        <v>11.28</v>
      </c>
      <c r="AD1439" s="46">
        <v>11.08</v>
      </c>
      <c r="AE1439" s="46">
        <v>11.17</v>
      </c>
    </row>
    <row r="1440" spans="1:31" x14ac:dyDescent="0.25">
      <c r="A1440" s="136">
        <v>43053</v>
      </c>
      <c r="B1440" s="201" t="s">
        <v>77</v>
      </c>
      <c r="C1440" t="s">
        <v>128</v>
      </c>
      <c r="D1440">
        <v>3800</v>
      </c>
      <c r="E1440">
        <v>3800</v>
      </c>
      <c r="F1440">
        <v>6.024</v>
      </c>
      <c r="G1440">
        <v>1353.53</v>
      </c>
      <c r="H1440">
        <v>5.91</v>
      </c>
      <c r="I1440" s="309">
        <v>24244</v>
      </c>
      <c r="J1440">
        <v>6.38</v>
      </c>
      <c r="K1440" s="133">
        <v>4.5717619252526001E-2</v>
      </c>
      <c r="L1440" s="181">
        <v>-266</v>
      </c>
      <c r="M1440" s="133">
        <v>4.3165228178987297E-2</v>
      </c>
      <c r="N1440" s="73">
        <v>1380.586</v>
      </c>
      <c r="O1440" s="73">
        <v>288.28921886503002</v>
      </c>
      <c r="P1440" s="182">
        <v>6</v>
      </c>
      <c r="Q1440" s="182">
        <v>3000</v>
      </c>
      <c r="R1440" s="46">
        <v>6.798</v>
      </c>
      <c r="S1440" s="46">
        <v>0</v>
      </c>
      <c r="T1440" s="46">
        <v>0</v>
      </c>
      <c r="U1440" s="46">
        <v>0</v>
      </c>
      <c r="V1440" s="46" t="s">
        <v>62</v>
      </c>
      <c r="W1440" s="46">
        <v>3000</v>
      </c>
      <c r="X1440" s="46">
        <v>6.798</v>
      </c>
      <c r="Y1440" s="194">
        <v>6.3869999999999996</v>
      </c>
      <c r="Z1440" s="194">
        <v>6.3949999999999996</v>
      </c>
      <c r="AA1440" s="194">
        <v>6.79</v>
      </c>
      <c r="AB1440" s="46">
        <v>6.45</v>
      </c>
      <c r="AC1440" s="46">
        <v>6.51</v>
      </c>
      <c r="AD1440" s="46">
        <v>6.33</v>
      </c>
      <c r="AE1440" s="46">
        <v>6.38</v>
      </c>
    </row>
    <row r="1441" spans="1:31" x14ac:dyDescent="0.25">
      <c r="A1441" s="136">
        <v>43053</v>
      </c>
      <c r="B1441" s="201" t="s">
        <v>67</v>
      </c>
      <c r="C1441" t="s">
        <v>129</v>
      </c>
      <c r="D1441">
        <v>10250</v>
      </c>
      <c r="E1441">
        <v>9850</v>
      </c>
      <c r="F1441">
        <v>8.7129999999999992</v>
      </c>
      <c r="G1441">
        <v>-7411.34</v>
      </c>
      <c r="H1441">
        <v>-8.3000000000000007</v>
      </c>
      <c r="I1441" s="309">
        <v>81897.5</v>
      </c>
      <c r="J1441">
        <v>7.99</v>
      </c>
      <c r="K1441" s="133">
        <v>0.154436508939686</v>
      </c>
      <c r="L1441" s="181">
        <v>-1088.5</v>
      </c>
      <c r="M1441" s="133">
        <v>0.16841228935013899</v>
      </c>
      <c r="N1441" s="73">
        <v>25361.802999999902</v>
      </c>
      <c r="O1441" s="73">
        <v>-927.39627015021904</v>
      </c>
      <c r="P1441" s="182">
        <v>13</v>
      </c>
      <c r="Q1441" s="182">
        <v>6300</v>
      </c>
      <c r="R1441" s="46">
        <v>7.2869999999999999</v>
      </c>
      <c r="S1441" s="46">
        <v>4</v>
      </c>
      <c r="T1441" s="46">
        <v>1600</v>
      </c>
      <c r="U1441" s="46">
        <v>8.9350000000000005</v>
      </c>
      <c r="V1441" s="46" t="s">
        <v>62</v>
      </c>
      <c r="W1441" s="46">
        <v>4700</v>
      </c>
      <c r="X1441" s="46">
        <v>6.726</v>
      </c>
      <c r="Y1441" s="194">
        <v>7.9770000000000003</v>
      </c>
      <c r="Z1441" s="194">
        <v>7.2290000000000001</v>
      </c>
      <c r="AA1441" s="194">
        <v>8.9309999999999992</v>
      </c>
      <c r="AB1441" s="46">
        <v>8.08</v>
      </c>
      <c r="AC1441" s="46">
        <v>8.1</v>
      </c>
      <c r="AD1441" s="46">
        <v>7.94</v>
      </c>
      <c r="AE1441" s="46">
        <v>7.99</v>
      </c>
    </row>
    <row r="1442" spans="1:31" x14ac:dyDescent="0.25">
      <c r="A1442" s="136">
        <v>43053</v>
      </c>
      <c r="B1442" s="201" t="s">
        <v>78</v>
      </c>
      <c r="C1442" t="s">
        <v>142</v>
      </c>
      <c r="D1442">
        <v>100</v>
      </c>
      <c r="E1442">
        <v>100</v>
      </c>
      <c r="F1442">
        <v>10.987</v>
      </c>
      <c r="G1442">
        <v>54.3</v>
      </c>
      <c r="H1442">
        <v>4.9400000000000004</v>
      </c>
      <c r="I1442" s="309">
        <v>1153</v>
      </c>
      <c r="J1442">
        <v>11.53</v>
      </c>
      <c r="K1442" s="133">
        <v>2.1742457926976801E-3</v>
      </c>
      <c r="L1442" s="181">
        <v>0</v>
      </c>
      <c r="M1442" s="133">
        <v>2.0718506959557098E-3</v>
      </c>
      <c r="N1442" s="73">
        <v>75.304000000000102</v>
      </c>
      <c r="O1442" s="73">
        <v>6.41110289608178</v>
      </c>
      <c r="P1442" s="182">
        <v>1</v>
      </c>
      <c r="Q1442" s="182">
        <v>500</v>
      </c>
      <c r="R1442" s="46">
        <v>11.56</v>
      </c>
      <c r="S1442" s="46">
        <v>1</v>
      </c>
      <c r="T1442" s="46">
        <v>400</v>
      </c>
      <c r="U1442" s="46">
        <v>11.74</v>
      </c>
      <c r="V1442" s="46" t="s">
        <v>62</v>
      </c>
      <c r="W1442" s="46">
        <v>100</v>
      </c>
      <c r="X1442" s="46">
        <v>10.84</v>
      </c>
    </row>
    <row r="1443" spans="1:31" x14ac:dyDescent="0.25">
      <c r="A1443" s="136">
        <v>43053</v>
      </c>
      <c r="B1443" s="201" t="s">
        <v>72</v>
      </c>
      <c r="C1443" t="s">
        <v>130</v>
      </c>
      <c r="D1443">
        <v>1300</v>
      </c>
      <c r="E1443">
        <v>1300</v>
      </c>
      <c r="F1443">
        <v>8.0939999999999994</v>
      </c>
      <c r="G1443">
        <v>124.26</v>
      </c>
      <c r="H1443">
        <v>1.19</v>
      </c>
      <c r="I1443" s="309">
        <v>10647</v>
      </c>
      <c r="J1443">
        <v>8.19</v>
      </c>
      <c r="K1443" s="133">
        <v>2.0077359024156201E-2</v>
      </c>
      <c r="L1443" s="181">
        <v>100.7</v>
      </c>
      <c r="M1443" s="133">
        <v>1.9843038311059401E-2</v>
      </c>
      <c r="N1443" s="73">
        <v>-19.447999999990301</v>
      </c>
      <c r="O1443" s="73">
        <v>24.5043477575785</v>
      </c>
      <c r="P1443" s="182">
        <v>0</v>
      </c>
      <c r="Q1443" s="182">
        <v>0</v>
      </c>
      <c r="R1443" s="46">
        <v>0</v>
      </c>
      <c r="S1443" s="46">
        <v>12</v>
      </c>
      <c r="T1443" s="46">
        <v>5400</v>
      </c>
      <c r="U1443" s="46">
        <v>7.8070000000000004</v>
      </c>
      <c r="V1443" s="46" t="s">
        <v>68</v>
      </c>
      <c r="W1443" s="46">
        <v>5400</v>
      </c>
      <c r="X1443" s="46">
        <v>7.8070000000000004</v>
      </c>
    </row>
    <row r="1444" spans="1:31" x14ac:dyDescent="0.25">
      <c r="A1444" s="136">
        <v>43053</v>
      </c>
      <c r="B1444" s="201" t="s">
        <v>70</v>
      </c>
      <c r="C1444" t="s">
        <v>131</v>
      </c>
      <c r="D1444">
        <v>9400</v>
      </c>
      <c r="E1444">
        <v>8900</v>
      </c>
      <c r="F1444">
        <v>12.396000000000001</v>
      </c>
      <c r="G1444">
        <v>-7291.46</v>
      </c>
      <c r="H1444">
        <v>-6.26</v>
      </c>
      <c r="I1444" s="309">
        <v>109228</v>
      </c>
      <c r="J1444">
        <v>11.62</v>
      </c>
      <c r="K1444" s="133">
        <v>0.205974431435197</v>
      </c>
      <c r="L1444" s="181">
        <v>-796</v>
      </c>
      <c r="M1444" s="133">
        <v>0.21972415062654399</v>
      </c>
      <c r="N1444" s="73">
        <v>-7483.44200000002</v>
      </c>
      <c r="O1444" s="73">
        <v>-644.80174818965702</v>
      </c>
      <c r="P1444" s="182">
        <v>5</v>
      </c>
      <c r="Q1444" s="182">
        <v>2500</v>
      </c>
      <c r="R1444" s="46">
        <v>12.038</v>
      </c>
      <c r="S1444" s="46">
        <v>9</v>
      </c>
      <c r="T1444" s="46">
        <v>3600</v>
      </c>
      <c r="U1444" s="46">
        <v>13.278</v>
      </c>
      <c r="V1444" s="46" t="s">
        <v>68</v>
      </c>
      <c r="W1444" s="46">
        <v>1100</v>
      </c>
      <c r="X1444" s="46">
        <v>16.096</v>
      </c>
      <c r="Y1444" s="194">
        <v>11.6</v>
      </c>
      <c r="Z1444" s="194">
        <v>12.509</v>
      </c>
      <c r="AA1444" s="194">
        <v>12.561</v>
      </c>
      <c r="AB1444" s="46">
        <v>11.7</v>
      </c>
      <c r="AC1444" s="46">
        <v>11.72</v>
      </c>
      <c r="AD1444" s="46">
        <v>11.55</v>
      </c>
      <c r="AE1444" s="46">
        <v>11.62</v>
      </c>
    </row>
    <row r="1445" spans="1:31" x14ac:dyDescent="0.25">
      <c r="A1445" s="136">
        <v>43053</v>
      </c>
      <c r="B1445" s="201" t="s">
        <v>137</v>
      </c>
      <c r="C1445" t="s">
        <v>138</v>
      </c>
      <c r="D1445">
        <v>100</v>
      </c>
      <c r="E1445">
        <v>100</v>
      </c>
      <c r="F1445">
        <v>-130.48500000000001</v>
      </c>
      <c r="G1445">
        <v>18116.5</v>
      </c>
      <c r="H1445">
        <v>0</v>
      </c>
      <c r="I1445" s="309">
        <v>5068</v>
      </c>
      <c r="J1445">
        <v>50.68</v>
      </c>
      <c r="K1445" s="133">
        <v>9.5568756959165807E-3</v>
      </c>
      <c r="L1445" s="181">
        <v>-262</v>
      </c>
      <c r="M1445" s="133">
        <v>0</v>
      </c>
    </row>
    <row r="1446" spans="1:31" x14ac:dyDescent="0.25">
      <c r="A1446" s="136">
        <v>43053</v>
      </c>
      <c r="B1446" s="201" t="s">
        <v>835</v>
      </c>
      <c r="C1446" t="s">
        <v>839</v>
      </c>
      <c r="I1446" s="309">
        <v>28435.25</v>
      </c>
      <c r="K1446" s="133">
        <v>5.36211818532581E-2</v>
      </c>
      <c r="L1446" s="181">
        <v>0</v>
      </c>
      <c r="M1446" s="133">
        <v>0.14836791173007099</v>
      </c>
    </row>
    <row r="1447" spans="1:31" x14ac:dyDescent="0.25">
      <c r="A1447" s="136">
        <v>43054</v>
      </c>
      <c r="B1447" s="201" t="s">
        <v>132</v>
      </c>
      <c r="C1447" t="s">
        <v>123</v>
      </c>
      <c r="D1447">
        <v>5024832</v>
      </c>
      <c r="E1447">
        <v>5024832</v>
      </c>
      <c r="F1447">
        <v>8.9999999999999993E-3</v>
      </c>
      <c r="G1447">
        <v>2717.81</v>
      </c>
      <c r="H1447">
        <v>11.11</v>
      </c>
      <c r="I1447" s="309">
        <v>50248.32</v>
      </c>
      <c r="J1447">
        <v>0.01</v>
      </c>
      <c r="K1447" s="133">
        <v>9.4738818216185794E-2</v>
      </c>
      <c r="L1447" s="181">
        <v>4.2399999999997799</v>
      </c>
      <c r="M1447" s="133">
        <v>0</v>
      </c>
    </row>
    <row r="1448" spans="1:31" x14ac:dyDescent="0.25">
      <c r="A1448" s="136">
        <v>43054</v>
      </c>
      <c r="B1448" s="201" t="s">
        <v>61</v>
      </c>
      <c r="C1448" t="s">
        <v>136</v>
      </c>
      <c r="D1448">
        <v>2500</v>
      </c>
      <c r="E1448">
        <v>2500</v>
      </c>
      <c r="F1448">
        <v>5.351</v>
      </c>
      <c r="G1448">
        <v>-303.42</v>
      </c>
      <c r="H1448">
        <v>-2.2599999999999998</v>
      </c>
      <c r="I1448" s="309">
        <v>13075</v>
      </c>
      <c r="J1448">
        <v>5.23</v>
      </c>
      <c r="K1448" s="133">
        <v>2.46517704109636E-2</v>
      </c>
      <c r="L1448" s="181">
        <v>-100</v>
      </c>
      <c r="M1448" s="133">
        <v>2.5223842317510001E-2</v>
      </c>
      <c r="N1448" s="73">
        <v>-6.6679999999996697</v>
      </c>
      <c r="O1448" s="73">
        <v>-1.24573196261676</v>
      </c>
      <c r="P1448" s="182">
        <v>5</v>
      </c>
      <c r="Q1448" s="182">
        <v>2500</v>
      </c>
      <c r="R1448" s="46">
        <v>5.3659999999999997</v>
      </c>
      <c r="S1448" s="46">
        <v>1</v>
      </c>
      <c r="T1448" s="46">
        <v>400</v>
      </c>
      <c r="U1448" s="46">
        <v>5.35</v>
      </c>
      <c r="V1448" s="46" t="s">
        <v>62</v>
      </c>
      <c r="W1448" s="46">
        <v>2100</v>
      </c>
      <c r="X1448" s="46">
        <v>5.3689999999999998</v>
      </c>
    </row>
    <row r="1449" spans="1:31" x14ac:dyDescent="0.25">
      <c r="A1449" s="136">
        <v>43054</v>
      </c>
      <c r="B1449" s="201" t="s">
        <v>124</v>
      </c>
      <c r="C1449" t="s">
        <v>125</v>
      </c>
      <c r="D1449">
        <v>100</v>
      </c>
      <c r="E1449">
        <v>100</v>
      </c>
      <c r="F1449">
        <v>-53.579000000000001</v>
      </c>
      <c r="G1449">
        <v>5948.9</v>
      </c>
      <c r="H1449">
        <v>0</v>
      </c>
      <c r="I1449" s="309">
        <v>591</v>
      </c>
      <c r="J1449">
        <v>5.91</v>
      </c>
      <c r="K1449" s="133">
        <v>1.1142788767020599E-3</v>
      </c>
      <c r="L1449" s="181">
        <v>0</v>
      </c>
      <c r="M1449" s="133">
        <v>0</v>
      </c>
      <c r="N1449" s="73">
        <v>5995.0890000000099</v>
      </c>
      <c r="O1449" s="73">
        <v>1102.4501845505599</v>
      </c>
      <c r="P1449" s="182">
        <v>0</v>
      </c>
      <c r="Q1449" s="182">
        <v>0</v>
      </c>
      <c r="R1449" s="46">
        <v>0</v>
      </c>
      <c r="S1449" s="46">
        <v>5</v>
      </c>
      <c r="T1449" s="46">
        <v>2300</v>
      </c>
      <c r="U1449" s="46">
        <v>4.99</v>
      </c>
      <c r="V1449" s="46" t="s">
        <v>68</v>
      </c>
      <c r="W1449" s="46">
        <v>2300</v>
      </c>
      <c r="X1449" s="46">
        <v>4.99</v>
      </c>
      <c r="Y1449" s="193">
        <v>5.9349999999999996</v>
      </c>
      <c r="Z1449" s="193">
        <v>5.3369999999999997</v>
      </c>
      <c r="AA1449" s="193">
        <v>5.7729999999999997</v>
      </c>
      <c r="AB1449" s="46">
        <v>5.88</v>
      </c>
      <c r="AC1449" s="46">
        <v>5.95</v>
      </c>
      <c r="AD1449" s="46">
        <v>5.86</v>
      </c>
      <c r="AE1449" s="46">
        <v>5.91</v>
      </c>
    </row>
    <row r="1450" spans="1:31" x14ac:dyDescent="0.25">
      <c r="A1450" s="136">
        <v>43054</v>
      </c>
      <c r="B1450" s="201" t="s">
        <v>71</v>
      </c>
      <c r="C1450" t="s">
        <v>126</v>
      </c>
      <c r="D1450">
        <v>5300</v>
      </c>
      <c r="E1450">
        <v>5300</v>
      </c>
      <c r="F1450">
        <v>6.1340000000000003</v>
      </c>
      <c r="G1450">
        <v>-231.24</v>
      </c>
      <c r="H1450">
        <v>-0.72</v>
      </c>
      <c r="I1450" s="309">
        <v>32277</v>
      </c>
      <c r="J1450">
        <v>6.09</v>
      </c>
      <c r="K1450" s="133">
        <v>6.0855464134200503E-2</v>
      </c>
      <c r="L1450" s="181">
        <v>0</v>
      </c>
      <c r="M1450" s="133">
        <v>6.1291446955602499E-2</v>
      </c>
      <c r="N1450" s="73">
        <v>1133.5719999999999</v>
      </c>
      <c r="O1450" s="73">
        <v>55.835294193549402</v>
      </c>
      <c r="P1450" s="182">
        <v>6</v>
      </c>
      <c r="Q1450" s="182">
        <v>3000</v>
      </c>
      <c r="R1450" s="46">
        <v>6.343</v>
      </c>
      <c r="S1450" s="46">
        <v>0</v>
      </c>
      <c r="T1450" s="46">
        <v>0</v>
      </c>
      <c r="U1450" s="46">
        <v>0</v>
      </c>
      <c r="V1450" s="46" t="s">
        <v>62</v>
      </c>
      <c r="W1450" s="46">
        <v>3000</v>
      </c>
      <c r="X1450" s="46">
        <v>6.343</v>
      </c>
      <c r="Y1450" s="193">
        <v>6.1319999999999997</v>
      </c>
      <c r="Z1450" s="194">
        <v>6.3079999999999998</v>
      </c>
      <c r="AA1450" s="194">
        <v>6.5990000000000002</v>
      </c>
      <c r="AB1450" s="46">
        <v>6.08</v>
      </c>
      <c r="AC1450" s="46">
        <v>6.1</v>
      </c>
      <c r="AD1450" s="46">
        <v>6.06</v>
      </c>
      <c r="AE1450" s="46">
        <v>6.09</v>
      </c>
    </row>
    <row r="1451" spans="1:31" x14ac:dyDescent="0.25">
      <c r="A1451" s="136">
        <v>43054</v>
      </c>
      <c r="B1451" s="201" t="s">
        <v>79</v>
      </c>
      <c r="C1451" t="s">
        <v>143</v>
      </c>
      <c r="D1451">
        <v>2500</v>
      </c>
      <c r="E1451">
        <v>2500</v>
      </c>
      <c r="F1451">
        <v>17.736000000000001</v>
      </c>
      <c r="G1451">
        <v>-1740.88</v>
      </c>
      <c r="H1451">
        <v>-3.92</v>
      </c>
      <c r="I1451" s="309">
        <v>42600</v>
      </c>
      <c r="J1451">
        <v>17.04</v>
      </c>
      <c r="K1451" s="133">
        <v>8.0318578929793397E-2</v>
      </c>
      <c r="L1451" s="181">
        <v>-50</v>
      </c>
      <c r="M1451" s="133">
        <v>8.3600856105551596E-2</v>
      </c>
      <c r="N1451" s="73">
        <v>-1391.5</v>
      </c>
      <c r="O1451" s="73">
        <v>-80.954845750873105</v>
      </c>
      <c r="P1451" s="182">
        <v>4</v>
      </c>
      <c r="Q1451" s="182">
        <v>2500</v>
      </c>
      <c r="R1451" s="46">
        <v>17.728000000000002</v>
      </c>
      <c r="S1451" s="46">
        <v>0</v>
      </c>
      <c r="T1451" s="46">
        <v>0</v>
      </c>
      <c r="U1451" s="46">
        <v>0</v>
      </c>
      <c r="V1451" s="46" t="s">
        <v>62</v>
      </c>
      <c r="W1451" s="46">
        <v>2500</v>
      </c>
      <c r="X1451" s="46">
        <v>17.728000000000002</v>
      </c>
    </row>
    <row r="1452" spans="1:31" x14ac:dyDescent="0.25">
      <c r="A1452" s="136">
        <v>43054</v>
      </c>
      <c r="B1452" s="201" t="s">
        <v>65</v>
      </c>
      <c r="C1452" t="s">
        <v>127</v>
      </c>
      <c r="D1452">
        <v>11700</v>
      </c>
      <c r="E1452">
        <v>11700</v>
      </c>
      <c r="F1452">
        <v>10.396000000000001</v>
      </c>
      <c r="G1452">
        <v>9753.6299999999992</v>
      </c>
      <c r="H1452">
        <v>8.02</v>
      </c>
      <c r="I1452" s="309">
        <v>131391</v>
      </c>
      <c r="J1452">
        <v>11.23</v>
      </c>
      <c r="K1452" s="133">
        <v>0.24772625361888501</v>
      </c>
      <c r="L1452" s="181">
        <v>702</v>
      </c>
      <c r="M1452" s="133">
        <v>0.22933663622435399</v>
      </c>
      <c r="N1452" s="73">
        <v>3950.2040000000502</v>
      </c>
      <c r="O1452" s="73">
        <v>741.22897488737999</v>
      </c>
      <c r="P1452" s="182">
        <v>2</v>
      </c>
      <c r="Q1452" s="182">
        <v>800</v>
      </c>
      <c r="R1452" s="46">
        <v>11.13</v>
      </c>
      <c r="S1452" s="46">
        <v>14</v>
      </c>
      <c r="T1452" s="46">
        <v>6000</v>
      </c>
      <c r="U1452" s="46">
        <v>12.542999999999999</v>
      </c>
      <c r="V1452" s="46" t="s">
        <v>68</v>
      </c>
      <c r="W1452" s="46">
        <v>5200</v>
      </c>
      <c r="X1452" s="46">
        <v>12.76</v>
      </c>
      <c r="Y1452" s="193">
        <v>11.260999999999999</v>
      </c>
      <c r="Z1452" s="194">
        <v>11.529</v>
      </c>
      <c r="AA1452" s="194">
        <v>11.837999999999999</v>
      </c>
      <c r="AB1452" s="46">
        <v>11.13</v>
      </c>
      <c r="AC1452" s="46">
        <v>11.27</v>
      </c>
      <c r="AD1452" s="46">
        <v>11.09</v>
      </c>
      <c r="AE1452" s="46">
        <v>11.23</v>
      </c>
    </row>
    <row r="1453" spans="1:31" x14ac:dyDescent="0.25">
      <c r="A1453" s="136">
        <v>43054</v>
      </c>
      <c r="B1453" s="201" t="s">
        <v>77</v>
      </c>
      <c r="C1453" t="s">
        <v>128</v>
      </c>
      <c r="D1453">
        <v>3800</v>
      </c>
      <c r="E1453">
        <v>3800</v>
      </c>
      <c r="F1453">
        <v>6.024</v>
      </c>
      <c r="G1453">
        <v>1315.53</v>
      </c>
      <c r="H1453">
        <v>5.74</v>
      </c>
      <c r="I1453" s="309">
        <v>24206</v>
      </c>
      <c r="J1453">
        <v>6.37</v>
      </c>
      <c r="K1453" s="133">
        <v>4.5638298628511202E-2</v>
      </c>
      <c r="L1453" s="181">
        <v>-38</v>
      </c>
      <c r="M1453" s="133">
        <v>4.3157981723827898E-2</v>
      </c>
      <c r="N1453" s="73">
        <v>1380.586</v>
      </c>
      <c r="O1453" s="73">
        <v>288.28921886503002</v>
      </c>
      <c r="P1453" s="182">
        <v>6</v>
      </c>
      <c r="Q1453" s="182">
        <v>3000</v>
      </c>
      <c r="R1453" s="46">
        <v>6.798</v>
      </c>
      <c r="S1453" s="46">
        <v>0</v>
      </c>
      <c r="T1453" s="46">
        <v>0</v>
      </c>
      <c r="U1453" s="46">
        <v>0</v>
      </c>
      <c r="V1453" s="46" t="s">
        <v>62</v>
      </c>
      <c r="W1453" s="46">
        <v>3000</v>
      </c>
      <c r="X1453" s="46">
        <v>6.798</v>
      </c>
      <c r="Y1453" s="193">
        <v>6.4189999999999996</v>
      </c>
      <c r="Z1453" s="194">
        <v>6.3940000000000001</v>
      </c>
      <c r="AA1453" s="194">
        <v>6.7859999999999996</v>
      </c>
      <c r="AB1453" s="46">
        <v>6.38</v>
      </c>
      <c r="AC1453" s="46">
        <v>6.4</v>
      </c>
      <c r="AD1453" s="46">
        <v>6.34</v>
      </c>
      <c r="AE1453" s="46">
        <v>6.37</v>
      </c>
    </row>
    <row r="1454" spans="1:31" x14ac:dyDescent="0.25">
      <c r="A1454" s="136">
        <v>43054</v>
      </c>
      <c r="B1454" s="201" t="s">
        <v>67</v>
      </c>
      <c r="C1454" t="s">
        <v>129</v>
      </c>
      <c r="D1454">
        <v>10250</v>
      </c>
      <c r="E1454">
        <v>10250</v>
      </c>
      <c r="F1454">
        <v>8.7129999999999992</v>
      </c>
      <c r="G1454">
        <v>-7411.34</v>
      </c>
      <c r="H1454">
        <v>-8.3000000000000007</v>
      </c>
      <c r="I1454" s="309">
        <v>81897.5</v>
      </c>
      <c r="J1454">
        <v>7.99</v>
      </c>
      <c r="K1454" s="133">
        <v>0.154410582579877</v>
      </c>
      <c r="L1454" s="181">
        <v>0</v>
      </c>
      <c r="M1454" s="133">
        <v>0.16838401677625101</v>
      </c>
      <c r="N1454" s="73">
        <v>25361.802999999902</v>
      </c>
      <c r="O1454" s="73">
        <v>-927.39627015021904</v>
      </c>
      <c r="P1454" s="182">
        <v>13</v>
      </c>
      <c r="Q1454" s="182">
        <v>6300</v>
      </c>
      <c r="R1454" s="46">
        <v>7.2869999999999999</v>
      </c>
      <c r="S1454" s="46">
        <v>4</v>
      </c>
      <c r="T1454" s="46">
        <v>1600</v>
      </c>
      <c r="U1454" s="46">
        <v>8.9350000000000005</v>
      </c>
      <c r="V1454" s="46" t="s">
        <v>62</v>
      </c>
      <c r="W1454" s="46">
        <v>4700</v>
      </c>
      <c r="X1454" s="46">
        <v>6.726</v>
      </c>
      <c r="Y1454" s="194">
        <v>7.9329999999999998</v>
      </c>
      <c r="Z1454" s="194">
        <v>7.2560000000000002</v>
      </c>
      <c r="AA1454" s="194">
        <v>8.9239999999999995</v>
      </c>
      <c r="AB1454" s="46">
        <v>7.95</v>
      </c>
      <c r="AC1454" s="46">
        <v>8.0500000000000007</v>
      </c>
      <c r="AD1454" s="46">
        <v>7.94</v>
      </c>
      <c r="AE1454" s="46">
        <v>7.99</v>
      </c>
    </row>
    <row r="1455" spans="1:31" x14ac:dyDescent="0.25">
      <c r="A1455" s="136">
        <v>43054</v>
      </c>
      <c r="B1455" s="201" t="s">
        <v>78</v>
      </c>
      <c r="C1455" t="s">
        <v>142</v>
      </c>
      <c r="D1455">
        <v>100</v>
      </c>
      <c r="E1455">
        <v>100</v>
      </c>
      <c r="F1455">
        <v>10.987</v>
      </c>
      <c r="G1455">
        <v>54.3</v>
      </c>
      <c r="H1455">
        <v>4.9400000000000004</v>
      </c>
      <c r="I1455" s="309">
        <v>1153</v>
      </c>
      <c r="J1455">
        <v>11.53</v>
      </c>
      <c r="K1455" s="133">
        <v>2.1738807865270401E-3</v>
      </c>
      <c r="L1455" s="181">
        <v>0</v>
      </c>
      <c r="M1455" s="133">
        <v>2.0715028795813099E-3</v>
      </c>
      <c r="N1455" s="73">
        <v>75.304000000000102</v>
      </c>
      <c r="O1455" s="73">
        <v>6.41110289608178</v>
      </c>
      <c r="P1455" s="182">
        <v>1</v>
      </c>
      <c r="Q1455" s="182">
        <v>500</v>
      </c>
      <c r="R1455" s="46">
        <v>11.56</v>
      </c>
      <c r="S1455" s="46">
        <v>1</v>
      </c>
      <c r="T1455" s="46">
        <v>400</v>
      </c>
      <c r="U1455" s="46">
        <v>11.74</v>
      </c>
      <c r="V1455" s="46" t="s">
        <v>62</v>
      </c>
      <c r="W1455" s="46">
        <v>100</v>
      </c>
      <c r="X1455" s="46">
        <v>10.84</v>
      </c>
    </row>
    <row r="1456" spans="1:31" x14ac:dyDescent="0.25">
      <c r="A1456" s="136">
        <v>43054</v>
      </c>
      <c r="B1456" s="201" t="s">
        <v>72</v>
      </c>
      <c r="C1456" t="s">
        <v>130</v>
      </c>
      <c r="D1456">
        <v>1800</v>
      </c>
      <c r="E1456">
        <v>1800</v>
      </c>
      <c r="F1456">
        <v>8.0739999999999998</v>
      </c>
      <c r="G1456">
        <v>119.26</v>
      </c>
      <c r="H1456">
        <v>0.82</v>
      </c>
      <c r="I1456" s="309">
        <v>14652</v>
      </c>
      <c r="J1456">
        <v>8.14</v>
      </c>
      <c r="K1456" s="133">
        <v>2.7625066161486699E-2</v>
      </c>
      <c r="L1456" s="181">
        <v>-5</v>
      </c>
      <c r="M1456" s="133">
        <v>2.7400211848736301E-2</v>
      </c>
      <c r="N1456" s="73">
        <v>-336.44799999998997</v>
      </c>
      <c r="O1456" s="73">
        <v>-14.3171823970009</v>
      </c>
      <c r="P1456" s="182">
        <v>1</v>
      </c>
      <c r="Q1456" s="182">
        <v>500</v>
      </c>
      <c r="R1456" s="46">
        <v>8.01</v>
      </c>
      <c r="S1456" s="46">
        <v>12</v>
      </c>
      <c r="T1456" s="46">
        <v>5400</v>
      </c>
      <c r="U1456" s="46">
        <v>7.8070000000000004</v>
      </c>
      <c r="V1456" s="46" t="s">
        <v>68</v>
      </c>
      <c r="W1456" s="46">
        <v>4900</v>
      </c>
      <c r="X1456" s="46">
        <v>7.7859999999999996</v>
      </c>
    </row>
    <row r="1457" spans="1:31" x14ac:dyDescent="0.25">
      <c r="A1457" s="136">
        <v>43054</v>
      </c>
      <c r="B1457" s="201" t="s">
        <v>70</v>
      </c>
      <c r="C1457" t="s">
        <v>131</v>
      </c>
      <c r="D1457">
        <v>9400</v>
      </c>
      <c r="E1457">
        <v>9400</v>
      </c>
      <c r="F1457">
        <v>12.396000000000001</v>
      </c>
      <c r="G1457">
        <v>-7479.46</v>
      </c>
      <c r="H1457">
        <v>-6.42</v>
      </c>
      <c r="I1457" s="309">
        <v>109040</v>
      </c>
      <c r="J1457">
        <v>11.6</v>
      </c>
      <c r="K1457" s="133">
        <v>0.20558539545785601</v>
      </c>
      <c r="L1457" s="181">
        <v>-188</v>
      </c>
      <c r="M1457" s="133">
        <v>0.219687263964012</v>
      </c>
      <c r="N1457" s="73">
        <v>-7483.44200000002</v>
      </c>
      <c r="O1457" s="73">
        <v>-644.80174818965702</v>
      </c>
      <c r="P1457" s="182">
        <v>5</v>
      </c>
      <c r="Q1457" s="182">
        <v>2500</v>
      </c>
      <c r="R1457" s="46">
        <v>12.038</v>
      </c>
      <c r="S1457" s="46">
        <v>9</v>
      </c>
      <c r="T1457" s="46">
        <v>3600</v>
      </c>
      <c r="U1457" s="46">
        <v>13.278</v>
      </c>
      <c r="V1457" s="46" t="s">
        <v>68</v>
      </c>
      <c r="W1457" s="46">
        <v>1100</v>
      </c>
      <c r="X1457" s="46">
        <v>16.096</v>
      </c>
      <c r="Y1457" s="194">
        <v>11.6</v>
      </c>
      <c r="Z1457" s="194">
        <v>12.496</v>
      </c>
      <c r="AA1457" s="194">
        <v>12.552</v>
      </c>
      <c r="AB1457" s="46">
        <v>11.63</v>
      </c>
      <c r="AC1457" s="46">
        <v>11.68</v>
      </c>
      <c r="AD1457" s="46">
        <v>11.56</v>
      </c>
      <c r="AE1457" s="46">
        <v>11.6</v>
      </c>
    </row>
    <row r="1458" spans="1:31" x14ac:dyDescent="0.25">
      <c r="A1458" s="136">
        <v>43054</v>
      </c>
      <c r="B1458" s="201" t="s">
        <v>137</v>
      </c>
      <c r="C1458" t="s">
        <v>138</v>
      </c>
      <c r="D1458">
        <v>100</v>
      </c>
      <c r="E1458">
        <v>100</v>
      </c>
      <c r="F1458">
        <v>-130.48500000000001</v>
      </c>
      <c r="G1458">
        <v>17880.5</v>
      </c>
      <c r="H1458">
        <v>0</v>
      </c>
      <c r="I1458" s="309">
        <v>4832</v>
      </c>
      <c r="J1458">
        <v>48.32</v>
      </c>
      <c r="K1458" s="133">
        <v>9.1103139293136608E-3</v>
      </c>
      <c r="L1458" s="181">
        <v>-236</v>
      </c>
      <c r="M1458" s="133">
        <v>0</v>
      </c>
    </row>
    <row r="1459" spans="1:31" x14ac:dyDescent="0.25">
      <c r="A1459" s="136">
        <v>43054</v>
      </c>
      <c r="B1459" s="201" t="s">
        <v>835</v>
      </c>
      <c r="C1459" t="s">
        <v>839</v>
      </c>
      <c r="I1459" s="309">
        <v>24425.05</v>
      </c>
      <c r="K1459" s="133">
        <v>4.60512982696984E-2</v>
      </c>
      <c r="L1459" s="181">
        <v>0</v>
      </c>
      <c r="M1459" s="133">
        <v>0.14079011648588399</v>
      </c>
      <c r="AE1459" s="46">
        <f>COLUMN()</f>
        <v>31</v>
      </c>
    </row>
    <row r="1460" spans="1:31" x14ac:dyDescent="0.25">
      <c r="A1460" s="136">
        <v>43055</v>
      </c>
      <c r="B1460" s="201" t="s">
        <v>132</v>
      </c>
      <c r="C1460" t="s">
        <v>123</v>
      </c>
      <c r="D1460">
        <v>5025336</v>
      </c>
      <c r="E1460">
        <v>5025336</v>
      </c>
      <c r="F1460">
        <v>8.9999999999999993E-3</v>
      </c>
      <c r="G1460">
        <v>2722.85</v>
      </c>
      <c r="H1460">
        <v>11.11</v>
      </c>
      <c r="I1460" s="309">
        <v>50253.36</v>
      </c>
      <c r="J1460">
        <v>0.01</v>
      </c>
      <c r="K1460" s="133">
        <v>9.4682971171160799E-2</v>
      </c>
      <c r="L1460" s="181">
        <v>5.0399999999999601</v>
      </c>
      <c r="M1460" s="133">
        <v>0</v>
      </c>
    </row>
    <row r="1461" spans="1:31" x14ac:dyDescent="0.25">
      <c r="A1461" s="136">
        <v>43055</v>
      </c>
      <c r="B1461" s="201" t="s">
        <v>61</v>
      </c>
      <c r="C1461" t="s">
        <v>136</v>
      </c>
      <c r="D1461">
        <v>3000</v>
      </c>
      <c r="E1461">
        <v>3000</v>
      </c>
      <c r="F1461">
        <v>5.3330000000000002</v>
      </c>
      <c r="G1461">
        <v>-278.47000000000003</v>
      </c>
      <c r="H1461">
        <v>-1.74</v>
      </c>
      <c r="I1461" s="309">
        <v>15720</v>
      </c>
      <c r="J1461">
        <v>5.24</v>
      </c>
      <c r="K1461" s="133">
        <v>2.9618244567341301E-2</v>
      </c>
      <c r="L1461" s="181">
        <v>24.95</v>
      </c>
      <c r="M1461" s="133">
        <v>3.0142913305551699E-2</v>
      </c>
      <c r="N1461" s="73">
        <v>-311.96799999999701</v>
      </c>
      <c r="O1461" s="73">
        <v>-59.619888336519502</v>
      </c>
      <c r="P1461" s="182">
        <v>5</v>
      </c>
      <c r="Q1461" s="182">
        <v>2500</v>
      </c>
      <c r="R1461" s="46">
        <v>5.3440000000000003</v>
      </c>
      <c r="S1461" s="46">
        <v>0</v>
      </c>
      <c r="T1461" s="46">
        <v>0</v>
      </c>
      <c r="U1461" s="46">
        <v>0</v>
      </c>
      <c r="V1461" s="46" t="s">
        <v>62</v>
      </c>
      <c r="W1461" s="46">
        <v>2500</v>
      </c>
      <c r="X1461" s="46">
        <v>5.3440000000000003</v>
      </c>
    </row>
    <row r="1462" spans="1:31" x14ac:dyDescent="0.25">
      <c r="A1462" s="136">
        <v>43055</v>
      </c>
      <c r="B1462" s="201" t="s">
        <v>124</v>
      </c>
      <c r="C1462" t="s">
        <v>125</v>
      </c>
      <c r="D1462">
        <v>100</v>
      </c>
      <c r="E1462">
        <v>100</v>
      </c>
      <c r="F1462">
        <v>-53.579000000000001</v>
      </c>
      <c r="G1462">
        <v>5942.9</v>
      </c>
      <c r="H1462">
        <v>0</v>
      </c>
      <c r="I1462" s="309">
        <v>585</v>
      </c>
      <c r="J1462">
        <v>5.85</v>
      </c>
      <c r="K1462" s="133">
        <v>1.1022056661510601E-3</v>
      </c>
      <c r="L1462" s="181">
        <v>-6</v>
      </c>
      <c r="M1462" s="133">
        <v>0</v>
      </c>
      <c r="N1462" s="73">
        <v>5995.0890000000099</v>
      </c>
      <c r="O1462" s="73">
        <v>1102.4501845505599</v>
      </c>
      <c r="P1462" s="182">
        <v>0</v>
      </c>
      <c r="Q1462" s="182">
        <v>0</v>
      </c>
      <c r="R1462" s="46">
        <v>0</v>
      </c>
      <c r="S1462" s="46">
        <v>5</v>
      </c>
      <c r="T1462" s="46">
        <v>2300</v>
      </c>
      <c r="U1462" s="46">
        <v>4.99</v>
      </c>
      <c r="V1462" s="46" t="s">
        <v>68</v>
      </c>
      <c r="W1462" s="46">
        <v>2300</v>
      </c>
      <c r="X1462" s="46">
        <v>4.99</v>
      </c>
      <c r="Y1462" s="194">
        <v>5.827</v>
      </c>
      <c r="Z1462" s="193">
        <v>5.3140000000000001</v>
      </c>
      <c r="AA1462" s="193">
        <v>5.774</v>
      </c>
      <c r="AB1462" s="46">
        <v>5.89</v>
      </c>
      <c r="AC1462" s="46">
        <v>5.91</v>
      </c>
      <c r="AD1462" s="46">
        <v>5.82</v>
      </c>
      <c r="AE1462" s="46">
        <v>5.85</v>
      </c>
    </row>
    <row r="1463" spans="1:31" x14ac:dyDescent="0.25">
      <c r="A1463" s="136">
        <v>43055</v>
      </c>
      <c r="B1463" s="201" t="s">
        <v>71</v>
      </c>
      <c r="C1463" t="s">
        <v>126</v>
      </c>
      <c r="D1463">
        <v>5800</v>
      </c>
      <c r="E1463">
        <v>5800</v>
      </c>
      <c r="F1463">
        <v>6.1230000000000002</v>
      </c>
      <c r="G1463">
        <v>-655.29999999999995</v>
      </c>
      <c r="H1463">
        <v>-1.84</v>
      </c>
      <c r="I1463" s="309">
        <v>34858</v>
      </c>
      <c r="J1463">
        <v>6.01</v>
      </c>
      <c r="K1463" s="133">
        <v>6.5676384804604596E-2</v>
      </c>
      <c r="L1463" s="181">
        <v>-424.06</v>
      </c>
      <c r="M1463" s="133">
        <v>6.6911043561918696E-2</v>
      </c>
      <c r="N1463" s="73">
        <v>1709.2440000000099</v>
      </c>
      <c r="O1463" s="73">
        <v>-119.764754333333</v>
      </c>
      <c r="P1463" s="182">
        <v>7</v>
      </c>
      <c r="Q1463" s="182">
        <v>3500</v>
      </c>
      <c r="R1463" s="46">
        <v>6.2939999999999996</v>
      </c>
      <c r="S1463" s="46">
        <v>0</v>
      </c>
      <c r="T1463" s="46">
        <v>0</v>
      </c>
      <c r="U1463" s="46">
        <v>0</v>
      </c>
      <c r="V1463" s="46" t="s">
        <v>62</v>
      </c>
      <c r="W1463" s="46">
        <v>3500</v>
      </c>
      <c r="X1463" s="46">
        <v>6.2939999999999996</v>
      </c>
      <c r="Y1463" s="194">
        <v>6.0279999999999996</v>
      </c>
      <c r="Z1463" s="194">
        <v>6.2949999999999999</v>
      </c>
      <c r="AA1463" s="194">
        <v>6.5940000000000003</v>
      </c>
      <c r="AB1463" s="46">
        <v>6.06</v>
      </c>
      <c r="AC1463" s="46">
        <v>6.08</v>
      </c>
      <c r="AD1463" s="46">
        <v>5.99</v>
      </c>
      <c r="AE1463" s="46">
        <v>6.01</v>
      </c>
    </row>
    <row r="1464" spans="1:31" x14ac:dyDescent="0.25">
      <c r="A1464" s="136">
        <v>43055</v>
      </c>
      <c r="B1464" s="201" t="s">
        <v>79</v>
      </c>
      <c r="C1464" t="s">
        <v>143</v>
      </c>
      <c r="D1464">
        <v>3000</v>
      </c>
      <c r="E1464">
        <v>3000</v>
      </c>
      <c r="F1464">
        <v>17.605</v>
      </c>
      <c r="G1464">
        <v>-1906.05</v>
      </c>
      <c r="H1464">
        <v>-3.61</v>
      </c>
      <c r="I1464" s="309">
        <v>50910</v>
      </c>
      <c r="J1464">
        <v>16.97</v>
      </c>
      <c r="K1464" s="133">
        <v>9.5920154638889699E-2</v>
      </c>
      <c r="L1464" s="181">
        <v>-165.17</v>
      </c>
      <c r="M1464" s="133">
        <v>9.9511366792679898E-2</v>
      </c>
      <c r="N1464" s="73">
        <v>-1996.8</v>
      </c>
      <c r="O1464" s="73">
        <v>-117.815914994097</v>
      </c>
      <c r="P1464" s="182">
        <v>5</v>
      </c>
      <c r="Q1464" s="182">
        <v>3000</v>
      </c>
      <c r="R1464" s="46">
        <v>17.597000000000001</v>
      </c>
      <c r="S1464" s="46">
        <v>0</v>
      </c>
      <c r="T1464" s="46">
        <v>0</v>
      </c>
      <c r="U1464" s="46">
        <v>0</v>
      </c>
      <c r="V1464" s="46" t="s">
        <v>62</v>
      </c>
      <c r="W1464" s="46">
        <v>3000</v>
      </c>
      <c r="X1464" s="46">
        <v>17.597000000000001</v>
      </c>
    </row>
    <row r="1465" spans="1:31" x14ac:dyDescent="0.25">
      <c r="A1465" s="136">
        <v>43055</v>
      </c>
      <c r="B1465" s="201" t="s">
        <v>65</v>
      </c>
      <c r="C1465" t="s">
        <v>127</v>
      </c>
      <c r="D1465">
        <v>10900</v>
      </c>
      <c r="E1465">
        <v>10900</v>
      </c>
      <c r="F1465">
        <v>10.33</v>
      </c>
      <c r="G1465">
        <v>11005.58</v>
      </c>
      <c r="H1465">
        <v>9.7799999999999994</v>
      </c>
      <c r="I1465" s="309">
        <v>123606</v>
      </c>
      <c r="J1465">
        <v>11.34</v>
      </c>
      <c r="K1465" s="133">
        <v>0.232887578752595</v>
      </c>
      <c r="L1465" s="181">
        <v>1251.95</v>
      </c>
      <c r="M1465" s="133">
        <v>0.212151830658101</v>
      </c>
      <c r="N1465" s="73">
        <v>6941.1480000000502</v>
      </c>
      <c r="O1465" s="73">
        <v>987.41990750439504</v>
      </c>
      <c r="P1465" s="182">
        <v>2</v>
      </c>
      <c r="Q1465" s="182">
        <v>800</v>
      </c>
      <c r="R1465" s="46">
        <v>11.13</v>
      </c>
      <c r="S1465" s="46">
        <v>16</v>
      </c>
      <c r="T1465" s="46">
        <v>6800</v>
      </c>
      <c r="U1465" s="46">
        <v>12.398999999999999</v>
      </c>
      <c r="V1465" s="46" t="s">
        <v>68</v>
      </c>
      <c r="W1465" s="46">
        <v>6000</v>
      </c>
      <c r="X1465" s="46">
        <v>12.568</v>
      </c>
      <c r="Y1465" s="193">
        <v>11.589</v>
      </c>
      <c r="Z1465" s="194">
        <v>11.529</v>
      </c>
      <c r="AA1465" s="194">
        <v>11.83</v>
      </c>
      <c r="AB1465" s="46">
        <v>11.23</v>
      </c>
      <c r="AC1465" s="46">
        <v>11.44</v>
      </c>
      <c r="AD1465" s="46">
        <v>11.2</v>
      </c>
      <c r="AE1465" s="46">
        <v>11.34</v>
      </c>
    </row>
    <row r="1466" spans="1:31" x14ac:dyDescent="0.25">
      <c r="A1466" s="136">
        <v>43055</v>
      </c>
      <c r="B1466" s="201" t="s">
        <v>77</v>
      </c>
      <c r="C1466" t="s">
        <v>128</v>
      </c>
      <c r="D1466">
        <v>3800</v>
      </c>
      <c r="E1466">
        <v>3800</v>
      </c>
      <c r="F1466">
        <v>6.024</v>
      </c>
      <c r="G1466">
        <v>1087.53</v>
      </c>
      <c r="H1466">
        <v>4.75</v>
      </c>
      <c r="I1466" s="309">
        <v>23978</v>
      </c>
      <c r="J1466">
        <v>6.31</v>
      </c>
      <c r="K1466" s="133">
        <v>4.5177243526444699E-2</v>
      </c>
      <c r="L1466" s="181">
        <v>-228</v>
      </c>
      <c r="M1466" s="133">
        <v>4.3128214931386098E-2</v>
      </c>
      <c r="N1466" s="73">
        <v>1380.586</v>
      </c>
      <c r="O1466" s="73">
        <v>288.28921886503002</v>
      </c>
      <c r="P1466" s="182">
        <v>6</v>
      </c>
      <c r="Q1466" s="182">
        <v>3000</v>
      </c>
      <c r="R1466" s="46">
        <v>6.798</v>
      </c>
      <c r="S1466" s="46">
        <v>0</v>
      </c>
      <c r="T1466" s="46">
        <v>0</v>
      </c>
      <c r="U1466" s="46">
        <v>0</v>
      </c>
      <c r="V1466" s="46" t="s">
        <v>62</v>
      </c>
      <c r="W1466" s="46">
        <v>3000</v>
      </c>
      <c r="X1466" s="46">
        <v>6.798</v>
      </c>
      <c r="Y1466" s="194">
        <v>6.3209999999999997</v>
      </c>
      <c r="Z1466" s="194">
        <v>6.3810000000000002</v>
      </c>
      <c r="AA1466" s="194">
        <v>6.7809999999999997</v>
      </c>
      <c r="AB1466" s="46">
        <v>6.36</v>
      </c>
      <c r="AC1466" s="46">
        <v>6.37</v>
      </c>
      <c r="AD1466" s="46">
        <v>6.31</v>
      </c>
      <c r="AE1466" s="46">
        <v>6.31</v>
      </c>
    </row>
    <row r="1467" spans="1:31" x14ac:dyDescent="0.25">
      <c r="A1467" s="136">
        <v>43055</v>
      </c>
      <c r="B1467" s="201" t="s">
        <v>67</v>
      </c>
      <c r="C1467" t="s">
        <v>129</v>
      </c>
      <c r="D1467">
        <v>10250</v>
      </c>
      <c r="E1467">
        <v>10250</v>
      </c>
      <c r="F1467">
        <v>8.7129999999999992</v>
      </c>
      <c r="G1467">
        <v>-7616.34</v>
      </c>
      <c r="H1467">
        <v>-8.5299999999999994</v>
      </c>
      <c r="I1467" s="309">
        <v>81692.5</v>
      </c>
      <c r="J1467">
        <v>7.97</v>
      </c>
      <c r="K1467" s="133">
        <v>0.15391783996930899</v>
      </c>
      <c r="L1467" s="181">
        <v>-205</v>
      </c>
      <c r="M1467" s="133">
        <v>0.16826787946218499</v>
      </c>
      <c r="N1467" s="73">
        <v>25361.802999999902</v>
      </c>
      <c r="O1467" s="73">
        <v>-927.39627015021904</v>
      </c>
      <c r="P1467" s="182">
        <v>12</v>
      </c>
      <c r="Q1467" s="182">
        <v>5900</v>
      </c>
      <c r="R1467" s="46">
        <v>7.234</v>
      </c>
      <c r="S1467" s="46">
        <v>3</v>
      </c>
      <c r="T1467" s="46">
        <v>1200</v>
      </c>
      <c r="U1467" s="46">
        <v>9.17</v>
      </c>
      <c r="V1467" s="46" t="s">
        <v>62</v>
      </c>
      <c r="W1467" s="46">
        <v>4700</v>
      </c>
      <c r="X1467" s="46">
        <v>6.74</v>
      </c>
      <c r="Y1467" s="194">
        <v>7.9260000000000002</v>
      </c>
      <c r="Z1467" s="194">
        <v>7.2770000000000001</v>
      </c>
      <c r="AA1467" s="194">
        <v>8.9169999999999998</v>
      </c>
      <c r="AB1467" s="46">
        <v>8</v>
      </c>
      <c r="AC1467" s="46">
        <v>8.0299999999999994</v>
      </c>
      <c r="AD1467" s="46">
        <v>7.94</v>
      </c>
      <c r="AE1467" s="46">
        <v>7.97</v>
      </c>
    </row>
    <row r="1468" spans="1:31" x14ac:dyDescent="0.25">
      <c r="A1468" s="136">
        <v>43055</v>
      </c>
      <c r="B1468" s="201" t="s">
        <v>78</v>
      </c>
      <c r="C1468" t="s">
        <v>142</v>
      </c>
      <c r="D1468">
        <v>100</v>
      </c>
      <c r="E1468">
        <v>100</v>
      </c>
      <c r="F1468">
        <v>10.987</v>
      </c>
      <c r="G1468">
        <v>54.3</v>
      </c>
      <c r="H1468">
        <v>4.9400000000000004</v>
      </c>
      <c r="I1468" s="309">
        <v>1153</v>
      </c>
      <c r="J1468">
        <v>11.53</v>
      </c>
      <c r="K1468" s="133">
        <v>2.172381424055E-3</v>
      </c>
      <c r="L1468" s="181">
        <v>0</v>
      </c>
      <c r="M1468" s="133">
        <v>2.07007412888918E-3</v>
      </c>
      <c r="N1468" s="73">
        <v>75.304000000000102</v>
      </c>
      <c r="O1468" s="73">
        <v>6.41110289608178</v>
      </c>
      <c r="P1468" s="182">
        <v>1</v>
      </c>
      <c r="Q1468" s="182">
        <v>500</v>
      </c>
      <c r="R1468" s="46">
        <v>11.56</v>
      </c>
      <c r="S1468" s="46">
        <v>1</v>
      </c>
      <c r="T1468" s="46">
        <v>400</v>
      </c>
      <c r="U1468" s="46">
        <v>11.74</v>
      </c>
      <c r="V1468" s="46" t="s">
        <v>62</v>
      </c>
      <c r="W1468" s="46">
        <v>100</v>
      </c>
      <c r="X1468" s="46">
        <v>10.84</v>
      </c>
    </row>
    <row r="1469" spans="1:31" x14ac:dyDescent="0.25">
      <c r="A1469" s="136">
        <v>43055</v>
      </c>
      <c r="B1469" s="201" t="s">
        <v>72</v>
      </c>
      <c r="C1469" t="s">
        <v>130</v>
      </c>
      <c r="D1469">
        <v>1000</v>
      </c>
      <c r="E1469">
        <v>1000</v>
      </c>
      <c r="F1469">
        <v>7.9089999999999998</v>
      </c>
      <c r="G1469">
        <v>520.62</v>
      </c>
      <c r="H1469">
        <v>6.59</v>
      </c>
      <c r="I1469" s="309">
        <v>8430</v>
      </c>
      <c r="J1469">
        <v>8.43</v>
      </c>
      <c r="K1469" s="133">
        <v>1.5883066266074299E-2</v>
      </c>
      <c r="L1469" s="181">
        <v>401.36</v>
      </c>
      <c r="M1469" s="133">
        <v>1.4902159746567299E-2</v>
      </c>
      <c r="N1469" s="73">
        <v>208.91200000000899</v>
      </c>
      <c r="O1469" s="73">
        <v>51.607516666669298</v>
      </c>
      <c r="P1469" s="182">
        <v>1</v>
      </c>
      <c r="Q1469" s="182">
        <v>500</v>
      </c>
      <c r="R1469" s="46">
        <v>8.01</v>
      </c>
      <c r="S1469" s="46">
        <v>14</v>
      </c>
      <c r="T1469" s="46">
        <v>6200</v>
      </c>
      <c r="U1469" s="46">
        <v>7.87</v>
      </c>
      <c r="V1469" s="46" t="s">
        <v>68</v>
      </c>
      <c r="W1469" s="46">
        <v>5700</v>
      </c>
      <c r="X1469" s="46">
        <v>7.8579999999999997</v>
      </c>
    </row>
    <row r="1470" spans="1:31" x14ac:dyDescent="0.25">
      <c r="A1470" s="136">
        <v>43055</v>
      </c>
      <c r="B1470" s="201" t="s">
        <v>70</v>
      </c>
      <c r="C1470" t="s">
        <v>131</v>
      </c>
      <c r="D1470">
        <v>9400</v>
      </c>
      <c r="E1470">
        <v>9400</v>
      </c>
      <c r="F1470">
        <v>12.396000000000001</v>
      </c>
      <c r="G1470">
        <v>-7479.46</v>
      </c>
      <c r="H1470">
        <v>-6.42</v>
      </c>
      <c r="I1470" s="309">
        <v>109040</v>
      </c>
      <c r="J1470">
        <v>11.6</v>
      </c>
      <c r="K1470" s="133">
        <v>0.20544359972155801</v>
      </c>
      <c r="L1470" s="181">
        <v>0</v>
      </c>
      <c r="M1470" s="133">
        <v>0.21953574192967801</v>
      </c>
      <c r="N1470" s="73">
        <v>-7483.44200000002</v>
      </c>
      <c r="O1470" s="73">
        <v>-644.80174818965702</v>
      </c>
      <c r="P1470" s="182">
        <v>5</v>
      </c>
      <c r="Q1470" s="182">
        <v>2500</v>
      </c>
      <c r="R1470" s="46">
        <v>12.038</v>
      </c>
      <c r="S1470" s="46">
        <v>9</v>
      </c>
      <c r="T1470" s="46">
        <v>3600</v>
      </c>
      <c r="U1470" s="46">
        <v>13.278</v>
      </c>
      <c r="V1470" s="46" t="s">
        <v>68</v>
      </c>
      <c r="W1470" s="46">
        <v>1100</v>
      </c>
      <c r="X1470" s="46">
        <v>16.096</v>
      </c>
      <c r="Y1470" s="193">
        <v>11.696</v>
      </c>
      <c r="Z1470" s="194">
        <v>12.499000000000001</v>
      </c>
      <c r="AA1470" s="194">
        <v>12.545999999999999</v>
      </c>
      <c r="AB1470" s="46">
        <v>11.54</v>
      </c>
      <c r="AC1470" s="46">
        <v>11.72</v>
      </c>
      <c r="AD1470" s="46">
        <v>11.54</v>
      </c>
      <c r="AE1470" s="46">
        <v>11.6</v>
      </c>
    </row>
    <row r="1471" spans="1:31" x14ac:dyDescent="0.25">
      <c r="A1471" s="136">
        <v>43055</v>
      </c>
      <c r="B1471" s="201" t="s">
        <v>137</v>
      </c>
      <c r="C1471" t="s">
        <v>138</v>
      </c>
      <c r="D1471">
        <v>100</v>
      </c>
      <c r="E1471">
        <v>100</v>
      </c>
      <c r="F1471">
        <v>-130.48500000000001</v>
      </c>
      <c r="G1471">
        <v>17591.5</v>
      </c>
      <c r="H1471">
        <v>0</v>
      </c>
      <c r="I1471" s="309">
        <v>4543</v>
      </c>
      <c r="J1471">
        <v>45.43</v>
      </c>
      <c r="K1471" s="133">
        <v>8.5595219509816602E-3</v>
      </c>
      <c r="L1471" s="181">
        <v>-289</v>
      </c>
      <c r="M1471" s="133">
        <v>0</v>
      </c>
    </row>
    <row r="1472" spans="1:31" x14ac:dyDescent="0.25">
      <c r="A1472" s="136">
        <v>43055</v>
      </c>
      <c r="B1472" s="201" t="s">
        <v>835</v>
      </c>
      <c r="C1472" s="1" t="s">
        <v>839</v>
      </c>
      <c r="I1472" s="309">
        <v>25985.08</v>
      </c>
      <c r="K1472" s="133">
        <v>4.8958807540835203E-2</v>
      </c>
      <c r="L1472" s="181">
        <v>0</v>
      </c>
      <c r="M1472" s="133">
        <v>0.14364177871199599</v>
      </c>
    </row>
    <row r="1473" spans="1:31" x14ac:dyDescent="0.25">
      <c r="A1473" s="136">
        <v>43056</v>
      </c>
      <c r="B1473" s="201" t="s">
        <v>132</v>
      </c>
      <c r="C1473" t="s">
        <v>123</v>
      </c>
      <c r="D1473">
        <v>3025748</v>
      </c>
      <c r="E1473">
        <v>3025748</v>
      </c>
      <c r="F1473">
        <v>8.9999999999999993E-3</v>
      </c>
      <c r="G1473">
        <v>2726.97</v>
      </c>
      <c r="H1473">
        <v>11.11</v>
      </c>
      <c r="I1473" s="309">
        <v>30257.48</v>
      </c>
      <c r="J1473">
        <v>0.01</v>
      </c>
      <c r="K1473" s="133">
        <v>5.8159333671490301E-2</v>
      </c>
      <c r="L1473" s="181">
        <v>4.11999999999989</v>
      </c>
      <c r="M1473" s="133">
        <v>0</v>
      </c>
    </row>
    <row r="1474" spans="1:31" x14ac:dyDescent="0.25">
      <c r="A1474" s="136">
        <v>43056</v>
      </c>
      <c r="B1474" s="201" t="s">
        <v>61</v>
      </c>
      <c r="C1474" t="s">
        <v>136</v>
      </c>
      <c r="D1474">
        <v>3000</v>
      </c>
      <c r="E1474">
        <v>3000</v>
      </c>
      <c r="F1474">
        <v>5.3330000000000002</v>
      </c>
      <c r="G1474">
        <v>-488.47</v>
      </c>
      <c r="H1474">
        <v>-3.06</v>
      </c>
      <c r="I1474" s="309">
        <v>15510</v>
      </c>
      <c r="J1474">
        <v>5.17</v>
      </c>
      <c r="K1474" s="133">
        <v>2.9812504717670298E-2</v>
      </c>
      <c r="L1474" s="181">
        <v>-210</v>
      </c>
      <c r="M1474" s="133">
        <v>3.07514160122828E-2</v>
      </c>
      <c r="N1474" s="73">
        <v>-311.96799999999701</v>
      </c>
      <c r="O1474" s="73">
        <v>-59.619888336519502</v>
      </c>
      <c r="P1474" s="182">
        <v>5</v>
      </c>
      <c r="Q1474" s="182">
        <v>2500</v>
      </c>
      <c r="R1474" s="46">
        <v>5.3440000000000003</v>
      </c>
      <c r="S1474" s="46">
        <v>0</v>
      </c>
      <c r="T1474" s="46">
        <v>0</v>
      </c>
      <c r="U1474" s="46">
        <v>0</v>
      </c>
      <c r="V1474" s="46" t="s">
        <v>62</v>
      </c>
      <c r="W1474" s="46">
        <v>2500</v>
      </c>
      <c r="X1474" s="46">
        <v>5.3440000000000003</v>
      </c>
    </row>
    <row r="1475" spans="1:31" x14ac:dyDescent="0.25">
      <c r="A1475" s="136">
        <v>43056</v>
      </c>
      <c r="B1475" s="201" t="s">
        <v>124</v>
      </c>
      <c r="C1475" t="s">
        <v>125</v>
      </c>
      <c r="D1475">
        <v>100</v>
      </c>
      <c r="E1475">
        <v>100</v>
      </c>
      <c r="F1475">
        <v>-53.579000000000001</v>
      </c>
      <c r="G1475">
        <v>5960.9</v>
      </c>
      <c r="H1475">
        <v>0</v>
      </c>
      <c r="I1475" s="309">
        <v>603</v>
      </c>
      <c r="J1475">
        <v>6.03</v>
      </c>
      <c r="K1475" s="133">
        <v>1.15905482558061E-3</v>
      </c>
      <c r="L1475" s="181">
        <v>18</v>
      </c>
      <c r="M1475" s="133">
        <v>0</v>
      </c>
      <c r="N1475" s="73">
        <v>5995.0890000000099</v>
      </c>
      <c r="O1475" s="73">
        <v>1102.4501845505599</v>
      </c>
      <c r="P1475" s="182">
        <v>0</v>
      </c>
      <c r="Q1475" s="182">
        <v>0</v>
      </c>
      <c r="R1475" s="46">
        <v>0</v>
      </c>
      <c r="S1475" s="46">
        <v>5</v>
      </c>
      <c r="T1475" s="46">
        <v>2300</v>
      </c>
      <c r="U1475" s="46">
        <v>4.99</v>
      </c>
      <c r="V1475" s="46" t="s">
        <v>68</v>
      </c>
      <c r="W1475" s="46">
        <v>2300</v>
      </c>
      <c r="X1475" s="46">
        <v>4.99</v>
      </c>
      <c r="Y1475" s="194">
        <v>5.984</v>
      </c>
      <c r="Z1475" s="193">
        <v>5.3010000000000002</v>
      </c>
      <c r="AA1475" s="193">
        <v>5.7809999999999997</v>
      </c>
      <c r="AB1475" s="46">
        <v>5.86</v>
      </c>
      <c r="AC1475" s="46">
        <v>6.04</v>
      </c>
      <c r="AD1475" s="46">
        <v>5.86</v>
      </c>
      <c r="AE1475" s="46">
        <v>6.03</v>
      </c>
    </row>
    <row r="1476" spans="1:31" x14ac:dyDescent="0.25">
      <c r="A1476" s="136">
        <v>43056</v>
      </c>
      <c r="B1476" s="201" t="s">
        <v>71</v>
      </c>
      <c r="C1476" t="s">
        <v>126</v>
      </c>
      <c r="D1476">
        <v>4900</v>
      </c>
      <c r="E1476">
        <v>4900</v>
      </c>
      <c r="F1476">
        <v>6.1289999999999996</v>
      </c>
      <c r="G1476">
        <v>5.09</v>
      </c>
      <c r="H1476">
        <v>0.02</v>
      </c>
      <c r="I1476" s="309">
        <v>30037</v>
      </c>
      <c r="J1476">
        <v>6.13</v>
      </c>
      <c r="K1476" s="133">
        <v>5.7735538633440497E-2</v>
      </c>
      <c r="L1476" s="181">
        <v>660.39</v>
      </c>
      <c r="M1476" s="133">
        <v>5.7725754903652497E-2</v>
      </c>
      <c r="N1476" s="73">
        <v>2490.1190000000001</v>
      </c>
      <c r="O1476" s="73">
        <v>-0.16060481239754401</v>
      </c>
      <c r="P1476" s="182">
        <v>7</v>
      </c>
      <c r="Q1476" s="182">
        <v>3500</v>
      </c>
      <c r="R1476" s="46">
        <v>6.2939999999999996</v>
      </c>
      <c r="S1476" s="46">
        <v>2</v>
      </c>
      <c r="T1476" s="46">
        <v>900</v>
      </c>
      <c r="U1476" s="46">
        <v>6.1079999999999997</v>
      </c>
      <c r="V1476" s="46" t="s">
        <v>62</v>
      </c>
      <c r="W1476" s="46">
        <v>2600</v>
      </c>
      <c r="X1476" s="46">
        <v>6.3579999999999997</v>
      </c>
      <c r="Y1476" s="193">
        <v>6.1029999999999998</v>
      </c>
      <c r="Z1476" s="194">
        <v>6.3120000000000003</v>
      </c>
      <c r="AA1476" s="194">
        <v>6.5810000000000004</v>
      </c>
      <c r="AB1476" s="46">
        <v>6</v>
      </c>
      <c r="AC1476" s="46">
        <v>6.15</v>
      </c>
      <c r="AD1476" s="46">
        <v>5.99</v>
      </c>
      <c r="AE1476" s="46">
        <v>6.13</v>
      </c>
    </row>
    <row r="1477" spans="1:31" x14ac:dyDescent="0.25">
      <c r="A1477" s="136">
        <v>43056</v>
      </c>
      <c r="B1477" s="201" t="s">
        <v>79</v>
      </c>
      <c r="C1477" t="s">
        <v>143</v>
      </c>
      <c r="D1477">
        <v>4000</v>
      </c>
      <c r="E1477">
        <v>4000</v>
      </c>
      <c r="F1477">
        <v>17.338000000000001</v>
      </c>
      <c r="G1477">
        <v>-4031.38</v>
      </c>
      <c r="H1477">
        <v>-5.81</v>
      </c>
      <c r="I1477" s="309">
        <v>65320</v>
      </c>
      <c r="J1477">
        <v>16.329999999999998</v>
      </c>
      <c r="K1477" s="133">
        <v>0.125554662034702</v>
      </c>
      <c r="L1477" s="181">
        <v>-2125.33</v>
      </c>
      <c r="M1477" s="133">
        <v>0.13330356824158299</v>
      </c>
      <c r="N1477" s="73">
        <v>-3632.4000000000101</v>
      </c>
      <c r="O1477" s="73">
        <v>-220.97284236153399</v>
      </c>
      <c r="P1477" s="182">
        <v>7</v>
      </c>
      <c r="Q1477" s="182">
        <v>4000</v>
      </c>
      <c r="R1477" s="46">
        <v>17.329000000000001</v>
      </c>
      <c r="S1477" s="46">
        <v>0</v>
      </c>
      <c r="T1477" s="46">
        <v>0</v>
      </c>
      <c r="U1477" s="46">
        <v>0</v>
      </c>
      <c r="V1477" s="46" t="s">
        <v>62</v>
      </c>
      <c r="W1477" s="46">
        <v>4000</v>
      </c>
      <c r="X1477" s="46">
        <v>17.329000000000001</v>
      </c>
    </row>
    <row r="1478" spans="1:31" x14ac:dyDescent="0.25">
      <c r="A1478" s="136">
        <v>43056</v>
      </c>
      <c r="B1478" s="201" t="s">
        <v>65</v>
      </c>
      <c r="C1478" t="s">
        <v>127</v>
      </c>
      <c r="D1478">
        <v>11900</v>
      </c>
      <c r="E1478">
        <v>11900</v>
      </c>
      <c r="F1478">
        <v>10.391999999999999</v>
      </c>
      <c r="G1478">
        <v>8900.1200000000008</v>
      </c>
      <c r="H1478">
        <v>7.2</v>
      </c>
      <c r="I1478" s="309">
        <v>132566</v>
      </c>
      <c r="J1478">
        <v>11.14</v>
      </c>
      <c r="K1478" s="133">
        <v>0.25481137978095902</v>
      </c>
      <c r="L1478" s="181">
        <v>-2105.46</v>
      </c>
      <c r="M1478" s="133">
        <v>0.23770403809895899</v>
      </c>
      <c r="N1478" s="73">
        <v>4617.69200000005</v>
      </c>
      <c r="O1478" s="73">
        <v>798.45564427737099</v>
      </c>
      <c r="P1478" s="182">
        <v>3</v>
      </c>
      <c r="Q1478" s="182">
        <v>1300</v>
      </c>
      <c r="R1478" s="46">
        <v>11.048</v>
      </c>
      <c r="S1478" s="46">
        <v>15</v>
      </c>
      <c r="T1478" s="46">
        <v>6400</v>
      </c>
      <c r="U1478" s="46">
        <v>12.468999999999999</v>
      </c>
      <c r="V1478" s="46" t="s">
        <v>68</v>
      </c>
      <c r="W1478" s="46">
        <v>5100</v>
      </c>
      <c r="X1478" s="46">
        <v>12.831</v>
      </c>
      <c r="Y1478" s="194">
        <v>11.048999999999999</v>
      </c>
      <c r="Z1478" s="194">
        <v>11.472</v>
      </c>
      <c r="AA1478" s="194">
        <v>11.813000000000001</v>
      </c>
      <c r="AB1478" s="46">
        <v>11.35</v>
      </c>
      <c r="AC1478" s="46">
        <v>11.36</v>
      </c>
      <c r="AD1478" s="46">
        <v>10.95</v>
      </c>
      <c r="AE1478" s="46">
        <v>11.14</v>
      </c>
    </row>
    <row r="1479" spans="1:31" x14ac:dyDescent="0.25">
      <c r="A1479" s="136">
        <v>43056</v>
      </c>
      <c r="B1479" s="201" t="s">
        <v>77</v>
      </c>
      <c r="C1479" t="s">
        <v>128</v>
      </c>
      <c r="D1479">
        <v>3800</v>
      </c>
      <c r="E1479">
        <v>3800</v>
      </c>
      <c r="F1479">
        <v>6.024</v>
      </c>
      <c r="G1479">
        <v>973.53</v>
      </c>
      <c r="H1479">
        <v>4.25</v>
      </c>
      <c r="I1479" s="309">
        <v>23864</v>
      </c>
      <c r="J1479">
        <v>6.28</v>
      </c>
      <c r="K1479" s="133">
        <v>4.5870123312861603E-2</v>
      </c>
      <c r="L1479" s="181">
        <v>-114</v>
      </c>
      <c r="M1479" s="133">
        <v>4.3998855245950402E-2</v>
      </c>
      <c r="N1479" s="73">
        <v>1380.586</v>
      </c>
      <c r="O1479" s="73">
        <v>288.28921886503002</v>
      </c>
      <c r="P1479" s="182">
        <v>6</v>
      </c>
      <c r="Q1479" s="182">
        <v>3000</v>
      </c>
      <c r="R1479" s="46">
        <v>6.798</v>
      </c>
      <c r="S1479" s="46">
        <v>0</v>
      </c>
      <c r="T1479" s="46">
        <v>0</v>
      </c>
      <c r="U1479" s="46">
        <v>0</v>
      </c>
      <c r="V1479" s="46" t="s">
        <v>62</v>
      </c>
      <c r="W1479" s="46">
        <v>3000</v>
      </c>
      <c r="X1479" s="46">
        <v>6.798</v>
      </c>
      <c r="Y1479" s="193">
        <v>6.7809999999999997</v>
      </c>
      <c r="Z1479" s="194">
        <v>6.3739999999999997</v>
      </c>
      <c r="AA1479" s="194">
        <v>6.7720000000000002</v>
      </c>
      <c r="AB1479" s="46">
        <v>6.31</v>
      </c>
      <c r="AC1479" s="46">
        <v>6.37</v>
      </c>
      <c r="AD1479" s="46">
        <v>6.25</v>
      </c>
      <c r="AE1479" s="46">
        <v>6.28</v>
      </c>
    </row>
    <row r="1480" spans="1:31" x14ac:dyDescent="0.25">
      <c r="A1480" s="136">
        <v>43056</v>
      </c>
      <c r="B1480" s="201" t="s">
        <v>67</v>
      </c>
      <c r="C1480" t="s">
        <v>129</v>
      </c>
      <c r="D1480">
        <v>10750</v>
      </c>
      <c r="E1480">
        <v>10750</v>
      </c>
      <c r="F1480">
        <v>8.673</v>
      </c>
      <c r="G1480">
        <v>-9496.34</v>
      </c>
      <c r="H1480">
        <v>-10.18</v>
      </c>
      <c r="I1480" s="309">
        <v>83742.5</v>
      </c>
      <c r="J1480">
        <v>7.79</v>
      </c>
      <c r="K1480" s="133">
        <v>0.160965420781399</v>
      </c>
      <c r="L1480" s="181">
        <v>-1880</v>
      </c>
      <c r="M1480" s="133">
        <v>0.179218785130245</v>
      </c>
      <c r="N1480" s="73">
        <v>23921.802999999902</v>
      </c>
      <c r="O1480" s="73">
        <v>-1127.2835921656399</v>
      </c>
      <c r="P1480" s="182">
        <v>13</v>
      </c>
      <c r="Q1480" s="182">
        <v>6400</v>
      </c>
      <c r="R1480" s="46">
        <v>7.282</v>
      </c>
      <c r="S1480" s="46">
        <v>3</v>
      </c>
      <c r="T1480" s="46">
        <v>1200</v>
      </c>
      <c r="U1480" s="46">
        <v>9.17</v>
      </c>
      <c r="V1480" s="46" t="s">
        <v>62</v>
      </c>
      <c r="W1480" s="46">
        <v>5200</v>
      </c>
      <c r="X1480" s="46">
        <v>6.8460000000000001</v>
      </c>
      <c r="Y1480" s="194">
        <v>7.8129999999999997</v>
      </c>
      <c r="Z1480" s="194">
        <v>7.35</v>
      </c>
      <c r="AA1480" s="194">
        <v>8.9030000000000005</v>
      </c>
      <c r="AB1480" s="46">
        <v>7.96</v>
      </c>
      <c r="AC1480" s="46">
        <v>8</v>
      </c>
      <c r="AD1480" s="46">
        <v>7.78</v>
      </c>
      <c r="AE1480" s="46">
        <v>7.79</v>
      </c>
    </row>
    <row r="1481" spans="1:31" x14ac:dyDescent="0.25">
      <c r="A1481" s="136">
        <v>43056</v>
      </c>
      <c r="B1481" s="201" t="s">
        <v>78</v>
      </c>
      <c r="C1481" t="s">
        <v>142</v>
      </c>
      <c r="D1481">
        <v>100</v>
      </c>
      <c r="E1481">
        <v>100</v>
      </c>
      <c r="F1481">
        <v>10.987</v>
      </c>
      <c r="G1481">
        <v>54.3</v>
      </c>
      <c r="H1481">
        <v>4.9400000000000004</v>
      </c>
      <c r="I1481" s="309">
        <v>1153</v>
      </c>
      <c r="J1481">
        <v>11.53</v>
      </c>
      <c r="K1481" s="133">
        <v>2.2162358439377101E-3</v>
      </c>
      <c r="L1481" s="181">
        <v>0</v>
      </c>
      <c r="M1481" s="133">
        <v>2.1118632452162699E-3</v>
      </c>
      <c r="N1481" s="73">
        <v>75.304000000000102</v>
      </c>
      <c r="O1481" s="73">
        <v>6.41110289608178</v>
      </c>
      <c r="P1481" s="182">
        <v>1</v>
      </c>
      <c r="Q1481" s="182">
        <v>500</v>
      </c>
      <c r="R1481" s="46">
        <v>11.56</v>
      </c>
      <c r="S1481" s="46">
        <v>1</v>
      </c>
      <c r="T1481" s="46">
        <v>400</v>
      </c>
      <c r="U1481" s="46">
        <v>11.74</v>
      </c>
      <c r="V1481" s="46" t="s">
        <v>62</v>
      </c>
      <c r="W1481" s="46">
        <v>100</v>
      </c>
      <c r="X1481" s="46">
        <v>10.84</v>
      </c>
    </row>
    <row r="1482" spans="1:31" x14ac:dyDescent="0.25">
      <c r="A1482" s="136">
        <v>43056</v>
      </c>
      <c r="B1482" s="201" t="s">
        <v>72</v>
      </c>
      <c r="C1482" t="s">
        <v>130</v>
      </c>
      <c r="D1482">
        <v>1100</v>
      </c>
      <c r="E1482">
        <v>1100</v>
      </c>
      <c r="F1482">
        <v>7.7809999999999997</v>
      </c>
      <c r="G1482">
        <v>31.45</v>
      </c>
      <c r="H1482">
        <v>0.37</v>
      </c>
      <c r="I1482" s="309">
        <v>8591</v>
      </c>
      <c r="J1482">
        <v>7.81</v>
      </c>
      <c r="K1482" s="133">
        <v>1.65131675067379E-2</v>
      </c>
      <c r="L1482" s="181">
        <v>-489.17</v>
      </c>
      <c r="M1482" s="133">
        <v>1.6452715973960998E-2</v>
      </c>
      <c r="N1482" s="73">
        <v>-69.255999999991204</v>
      </c>
      <c r="O1482" s="73">
        <v>19.239617803032999</v>
      </c>
      <c r="P1482" s="182">
        <v>0</v>
      </c>
      <c r="Q1482" s="182">
        <v>0</v>
      </c>
      <c r="R1482" s="46">
        <v>0</v>
      </c>
      <c r="S1482" s="46">
        <v>13</v>
      </c>
      <c r="T1482" s="46">
        <v>5700</v>
      </c>
      <c r="U1482" s="46">
        <v>7.9989999999999997</v>
      </c>
      <c r="V1482" s="46" t="s">
        <v>68</v>
      </c>
      <c r="W1482" s="46">
        <v>5700</v>
      </c>
      <c r="X1482" s="46">
        <v>7.9989999999999997</v>
      </c>
    </row>
    <row r="1483" spans="1:31" x14ac:dyDescent="0.25">
      <c r="A1483" s="136">
        <v>43056</v>
      </c>
      <c r="B1483" s="201" t="s">
        <v>70</v>
      </c>
      <c r="C1483" t="s">
        <v>131</v>
      </c>
      <c r="D1483">
        <v>9900</v>
      </c>
      <c r="E1483">
        <v>9900</v>
      </c>
      <c r="F1483">
        <v>12.346</v>
      </c>
      <c r="G1483">
        <v>-11542.46</v>
      </c>
      <c r="H1483">
        <v>-9.44</v>
      </c>
      <c r="I1483" s="309">
        <v>110682</v>
      </c>
      <c r="J1483">
        <v>11.18</v>
      </c>
      <c r="K1483" s="133">
        <v>0.21274710813418299</v>
      </c>
      <c r="L1483" s="181">
        <v>-4063</v>
      </c>
      <c r="M1483" s="133">
        <v>0.23493341652899399</v>
      </c>
      <c r="N1483" s="73">
        <v>-9368.4420000000191</v>
      </c>
      <c r="O1483" s="73">
        <v>-821.38226131579199</v>
      </c>
      <c r="P1483" s="182">
        <v>6</v>
      </c>
      <c r="Q1483" s="182">
        <v>3000</v>
      </c>
      <c r="R1483" s="46">
        <v>11.932</v>
      </c>
      <c r="S1483" s="46">
        <v>9</v>
      </c>
      <c r="T1483" s="46">
        <v>3600</v>
      </c>
      <c r="U1483" s="46">
        <v>13.278</v>
      </c>
      <c r="V1483" s="46" t="s">
        <v>68</v>
      </c>
      <c r="W1483" s="46">
        <v>600</v>
      </c>
      <c r="X1483" s="46">
        <v>20.007999999999999</v>
      </c>
      <c r="Y1483" s="194">
        <v>11.423</v>
      </c>
      <c r="Z1483" s="194">
        <v>12.462</v>
      </c>
      <c r="AA1483" s="194">
        <v>12.523</v>
      </c>
      <c r="AB1483" s="46">
        <v>11.64</v>
      </c>
      <c r="AC1483" s="46">
        <v>11.74</v>
      </c>
      <c r="AD1483" s="46">
        <v>11.03</v>
      </c>
      <c r="AE1483" s="46">
        <v>11.18</v>
      </c>
    </row>
    <row r="1484" spans="1:31" x14ac:dyDescent="0.25">
      <c r="A1484" s="136">
        <v>43056</v>
      </c>
      <c r="B1484" s="201" t="s">
        <v>137</v>
      </c>
      <c r="C1484" t="s">
        <v>138</v>
      </c>
      <c r="D1484">
        <v>100</v>
      </c>
      <c r="E1484">
        <v>100</v>
      </c>
      <c r="F1484">
        <v>-130.48500000000001</v>
      </c>
      <c r="G1484">
        <v>17393.5</v>
      </c>
      <c r="H1484">
        <v>0</v>
      </c>
      <c r="I1484" s="309">
        <v>4345</v>
      </c>
      <c r="J1484">
        <v>43.45</v>
      </c>
      <c r="K1484" s="133">
        <v>8.35173004502111E-3</v>
      </c>
      <c r="L1484" s="181">
        <v>-198</v>
      </c>
      <c r="M1484" s="133">
        <v>0</v>
      </c>
    </row>
    <row r="1485" spans="1:31" x14ac:dyDescent="0.25">
      <c r="A1485" s="136">
        <v>43056</v>
      </c>
      <c r="B1485" s="201" t="s">
        <v>835</v>
      </c>
      <c r="C1485" s="1" t="s">
        <v>839</v>
      </c>
      <c r="I1485" s="309">
        <v>13580.51</v>
      </c>
      <c r="K1485" s="133">
        <v>2.6103740712015999E-2</v>
      </c>
      <c r="L1485" s="181">
        <v>0</v>
      </c>
      <c r="M1485" s="133">
        <v>8.4263074383506303E-2</v>
      </c>
    </row>
    <row r="1486" spans="1:31" x14ac:dyDescent="0.25">
      <c r="A1486" s="136">
        <v>43059</v>
      </c>
      <c r="B1486" s="201" t="s">
        <v>132</v>
      </c>
      <c r="C1486" t="s">
        <v>123</v>
      </c>
      <c r="D1486">
        <v>25748</v>
      </c>
      <c r="E1486">
        <v>25748</v>
      </c>
      <c r="F1486">
        <v>-9.6000000000000002E-2</v>
      </c>
      <c r="G1486">
        <v>2729.288</v>
      </c>
      <c r="H1486">
        <v>0</v>
      </c>
      <c r="I1486" s="309">
        <v>257.48</v>
      </c>
      <c r="J1486">
        <v>0.01</v>
      </c>
      <c r="K1486" s="133">
        <v>4.9561774436257002E-4</v>
      </c>
      <c r="L1486" s="181">
        <v>2.3180000000002101</v>
      </c>
      <c r="M1486" s="133">
        <v>0</v>
      </c>
    </row>
    <row r="1487" spans="1:31" x14ac:dyDescent="0.25">
      <c r="A1487" s="136">
        <v>43059</v>
      </c>
      <c r="B1487" s="201" t="s">
        <v>61</v>
      </c>
      <c r="C1487" t="s">
        <v>136</v>
      </c>
      <c r="D1487">
        <v>3500</v>
      </c>
      <c r="E1487">
        <v>3000</v>
      </c>
      <c r="F1487">
        <v>5.3070000000000004</v>
      </c>
      <c r="G1487">
        <v>-548.52</v>
      </c>
      <c r="H1487">
        <v>-2.96</v>
      </c>
      <c r="I1487" s="309">
        <v>18025</v>
      </c>
      <c r="J1487">
        <v>5.15</v>
      </c>
      <c r="K1487" s="133">
        <v>3.4695936935433103E-2</v>
      </c>
      <c r="L1487" s="181">
        <v>-60.05</v>
      </c>
      <c r="M1487" s="133">
        <v>3.5751771350291603E-2</v>
      </c>
      <c r="N1487" s="73">
        <v>-587.26800000000003</v>
      </c>
      <c r="O1487" s="73">
        <v>-114.19734747081699</v>
      </c>
      <c r="P1487" s="182">
        <v>6</v>
      </c>
      <c r="Q1487" s="182">
        <v>3000</v>
      </c>
      <c r="R1487" s="46">
        <v>5.31</v>
      </c>
      <c r="S1487" s="46">
        <v>0</v>
      </c>
      <c r="T1487" s="46">
        <v>0</v>
      </c>
      <c r="U1487" s="46">
        <v>0</v>
      </c>
      <c r="V1487" s="46" t="s">
        <v>62</v>
      </c>
      <c r="W1487" s="46">
        <v>3000</v>
      </c>
      <c r="X1487" s="46">
        <v>5.31</v>
      </c>
    </row>
    <row r="1488" spans="1:31" x14ac:dyDescent="0.25">
      <c r="A1488" s="136">
        <v>43059</v>
      </c>
      <c r="B1488" s="201" t="s">
        <v>124</v>
      </c>
      <c r="C1488" t="s">
        <v>125</v>
      </c>
      <c r="D1488">
        <v>100</v>
      </c>
      <c r="E1488">
        <v>100</v>
      </c>
      <c r="F1488">
        <v>-53.579000000000001</v>
      </c>
      <c r="G1488">
        <v>5969.9</v>
      </c>
      <c r="H1488">
        <v>0</v>
      </c>
      <c r="I1488" s="309">
        <v>612</v>
      </c>
      <c r="J1488">
        <v>6.12</v>
      </c>
      <c r="K1488" s="133">
        <v>1.17802570898669E-3</v>
      </c>
      <c r="L1488" s="181">
        <v>9</v>
      </c>
      <c r="M1488" s="133">
        <v>0</v>
      </c>
      <c r="N1488" s="73">
        <v>5995.0890000000099</v>
      </c>
      <c r="O1488" s="73">
        <v>1102.4501845505599</v>
      </c>
      <c r="P1488" s="182">
        <v>0</v>
      </c>
      <c r="Q1488" s="182">
        <v>0</v>
      </c>
      <c r="R1488" s="46">
        <v>0</v>
      </c>
      <c r="S1488" s="46">
        <v>5</v>
      </c>
      <c r="T1488" s="46">
        <v>2300</v>
      </c>
      <c r="U1488" s="46">
        <v>4.99</v>
      </c>
      <c r="V1488" s="46" t="s">
        <v>68</v>
      </c>
      <c r="W1488" s="46">
        <v>2300</v>
      </c>
      <c r="X1488" s="46">
        <v>4.99</v>
      </c>
      <c r="Y1488" s="193">
        <v>6.0250000000000004</v>
      </c>
      <c r="Z1488" s="193">
        <v>5.335</v>
      </c>
      <c r="AA1488" s="193">
        <v>5.7889999999999997</v>
      </c>
      <c r="AB1488" s="46">
        <v>6.01</v>
      </c>
      <c r="AC1488" s="46">
        <v>6.14</v>
      </c>
      <c r="AD1488" s="46">
        <v>5.98</v>
      </c>
      <c r="AE1488" s="46">
        <v>6.12</v>
      </c>
    </row>
    <row r="1489" spans="1:31" x14ac:dyDescent="0.25">
      <c r="A1489" s="136">
        <v>43059</v>
      </c>
      <c r="B1489" s="201" t="s">
        <v>71</v>
      </c>
      <c r="C1489" t="s">
        <v>126</v>
      </c>
      <c r="D1489">
        <v>4900</v>
      </c>
      <c r="E1489">
        <v>4900</v>
      </c>
      <c r="F1489">
        <v>6.1289999999999996</v>
      </c>
      <c r="G1489">
        <v>740.09</v>
      </c>
      <c r="H1489">
        <v>2.46</v>
      </c>
      <c r="I1489" s="309">
        <v>30772</v>
      </c>
      <c r="J1489">
        <v>6.28</v>
      </c>
      <c r="K1489" s="133">
        <v>5.9232364570160699E-2</v>
      </c>
      <c r="L1489" s="181">
        <v>735</v>
      </c>
      <c r="M1489" s="133">
        <v>5.7807781160088903E-2</v>
      </c>
      <c r="N1489" s="73">
        <v>2490.1190000000001</v>
      </c>
      <c r="O1489" s="73">
        <v>-0.16060481239754401</v>
      </c>
      <c r="P1489" s="182">
        <v>7</v>
      </c>
      <c r="Q1489" s="182">
        <v>3500</v>
      </c>
      <c r="R1489" s="46">
        <v>6.2939999999999996</v>
      </c>
      <c r="S1489" s="46">
        <v>2</v>
      </c>
      <c r="T1489" s="46">
        <v>900</v>
      </c>
      <c r="U1489" s="46">
        <v>6.1079999999999997</v>
      </c>
      <c r="V1489" s="46" t="s">
        <v>62</v>
      </c>
      <c r="W1489" s="46">
        <v>2600</v>
      </c>
      <c r="X1489" s="46">
        <v>6.3579999999999997</v>
      </c>
      <c r="Y1489" s="193">
        <v>6.2450000000000001</v>
      </c>
      <c r="Z1489" s="194">
        <v>6.319</v>
      </c>
      <c r="AA1489" s="194">
        <v>6.5739999999999998</v>
      </c>
      <c r="AB1489" s="46">
        <v>6.09</v>
      </c>
      <c r="AC1489" s="46">
        <v>6.35</v>
      </c>
      <c r="AD1489" s="46">
        <v>6.07</v>
      </c>
      <c r="AE1489" s="46">
        <v>6.28</v>
      </c>
    </row>
    <row r="1490" spans="1:31" x14ac:dyDescent="0.25">
      <c r="A1490" s="136">
        <v>43059</v>
      </c>
      <c r="B1490" s="201" t="s">
        <v>79</v>
      </c>
      <c r="C1490" t="s">
        <v>143</v>
      </c>
      <c r="D1490">
        <v>4500</v>
      </c>
      <c r="E1490">
        <v>4000</v>
      </c>
      <c r="F1490">
        <v>17.189</v>
      </c>
      <c r="G1490">
        <v>-4226.54</v>
      </c>
      <c r="H1490">
        <v>-5.46</v>
      </c>
      <c r="I1490" s="309">
        <v>73125</v>
      </c>
      <c r="J1490">
        <v>16.25</v>
      </c>
      <c r="K1490" s="133">
        <v>0.14075674831642401</v>
      </c>
      <c r="L1490" s="181">
        <v>-195.16</v>
      </c>
      <c r="M1490" s="133">
        <v>0.14889232475443201</v>
      </c>
      <c r="N1490" s="73">
        <v>-5397.7000000000098</v>
      </c>
      <c r="O1490" s="73">
        <v>-337.39844590369103</v>
      </c>
      <c r="P1490" s="182">
        <v>8</v>
      </c>
      <c r="Q1490" s="182">
        <v>4500</v>
      </c>
      <c r="R1490" s="46">
        <v>17.18</v>
      </c>
      <c r="S1490" s="46">
        <v>0</v>
      </c>
      <c r="T1490" s="46">
        <v>0</v>
      </c>
      <c r="U1490" s="46">
        <v>0</v>
      </c>
      <c r="V1490" s="46" t="s">
        <v>62</v>
      </c>
      <c r="W1490" s="46">
        <v>4500</v>
      </c>
      <c r="X1490" s="46">
        <v>17.18</v>
      </c>
    </row>
    <row r="1491" spans="1:31" x14ac:dyDescent="0.25">
      <c r="A1491" s="136">
        <v>43059</v>
      </c>
      <c r="B1491" s="201" t="s">
        <v>65</v>
      </c>
      <c r="C1491" t="s">
        <v>127</v>
      </c>
      <c r="D1491">
        <v>13000</v>
      </c>
      <c r="E1491">
        <v>11500</v>
      </c>
      <c r="F1491">
        <v>10.429</v>
      </c>
      <c r="G1491">
        <v>6386.77</v>
      </c>
      <c r="H1491">
        <v>4.71</v>
      </c>
      <c r="I1491" s="309">
        <v>141960</v>
      </c>
      <c r="J1491">
        <v>10.92</v>
      </c>
      <c r="K1491" s="133">
        <v>0.273255767398285</v>
      </c>
      <c r="L1491" s="181">
        <v>-2513.35</v>
      </c>
      <c r="M1491" s="133">
        <v>0.26096201044177397</v>
      </c>
      <c r="N1491" s="73">
        <v>1584.3400000000199</v>
      </c>
      <c r="O1491" s="73">
        <v>538.87505085017403</v>
      </c>
      <c r="P1491" s="182">
        <v>5</v>
      </c>
      <c r="Q1491" s="182">
        <v>2300</v>
      </c>
      <c r="R1491" s="46">
        <v>10.930999999999999</v>
      </c>
      <c r="S1491" s="46">
        <v>15</v>
      </c>
      <c r="T1491" s="46">
        <v>6400</v>
      </c>
      <c r="U1491" s="46">
        <v>12.468999999999999</v>
      </c>
      <c r="V1491" s="46" t="s">
        <v>68</v>
      </c>
      <c r="W1491" s="46">
        <v>4100</v>
      </c>
      <c r="X1491" s="46">
        <v>13.332000000000001</v>
      </c>
      <c r="Y1491" s="194">
        <v>10.795</v>
      </c>
      <c r="Z1491" s="194">
        <v>11.442</v>
      </c>
      <c r="AA1491" s="194">
        <v>11.798</v>
      </c>
      <c r="AB1491" s="46">
        <v>11.1</v>
      </c>
      <c r="AC1491" s="46">
        <v>11.11</v>
      </c>
      <c r="AD1491" s="46">
        <v>10.72</v>
      </c>
      <c r="AE1491" s="46">
        <v>10.92</v>
      </c>
    </row>
    <row r="1492" spans="1:31" x14ac:dyDescent="0.25">
      <c r="A1492" s="136">
        <v>43059</v>
      </c>
      <c r="B1492" s="201" t="s">
        <v>77</v>
      </c>
      <c r="C1492" t="s">
        <v>128</v>
      </c>
      <c r="D1492">
        <v>3800</v>
      </c>
      <c r="E1492">
        <v>3800</v>
      </c>
      <c r="F1492">
        <v>6.024</v>
      </c>
      <c r="G1492">
        <v>707.53</v>
      </c>
      <c r="H1492">
        <v>3.09</v>
      </c>
      <c r="I1492" s="309">
        <v>23598</v>
      </c>
      <c r="J1492">
        <v>6.21</v>
      </c>
      <c r="K1492" s="133">
        <v>4.5423285425927898E-2</v>
      </c>
      <c r="L1492" s="181">
        <v>-266</v>
      </c>
      <c r="M1492" s="133">
        <v>4.4061376063379898E-2</v>
      </c>
      <c r="N1492" s="73">
        <v>1380.586</v>
      </c>
      <c r="O1492" s="73">
        <v>288.28921886503002</v>
      </c>
      <c r="P1492" s="182">
        <v>6</v>
      </c>
      <c r="Q1492" s="182">
        <v>3000</v>
      </c>
      <c r="R1492" s="46">
        <v>6.798</v>
      </c>
      <c r="S1492" s="46">
        <v>0</v>
      </c>
      <c r="T1492" s="46">
        <v>0</v>
      </c>
      <c r="U1492" s="46">
        <v>0</v>
      </c>
      <c r="V1492" s="46" t="s">
        <v>62</v>
      </c>
      <c r="W1492" s="46">
        <v>3000</v>
      </c>
      <c r="X1492" s="46">
        <v>6.798</v>
      </c>
      <c r="Y1492" s="194">
        <v>6.125</v>
      </c>
      <c r="Z1492" s="194">
        <v>6.3479999999999999</v>
      </c>
      <c r="AA1492" s="194">
        <v>6.7619999999999996</v>
      </c>
      <c r="AB1492" s="46">
        <v>6.29</v>
      </c>
      <c r="AC1492" s="46">
        <v>6.32</v>
      </c>
      <c r="AD1492" s="46">
        <v>6.14</v>
      </c>
      <c r="AE1492" s="46">
        <v>6.21</v>
      </c>
    </row>
    <row r="1493" spans="1:31" x14ac:dyDescent="0.25">
      <c r="A1493" s="136">
        <v>43059</v>
      </c>
      <c r="B1493" s="201" t="s">
        <v>67</v>
      </c>
      <c r="C1493" t="s">
        <v>129</v>
      </c>
      <c r="D1493">
        <v>10850</v>
      </c>
      <c r="E1493">
        <v>10350</v>
      </c>
      <c r="F1493">
        <v>8.6620000000000008</v>
      </c>
      <c r="G1493">
        <v>-8697.99</v>
      </c>
      <c r="H1493">
        <v>-9.26</v>
      </c>
      <c r="I1493" s="309">
        <v>85281</v>
      </c>
      <c r="J1493">
        <v>7.86</v>
      </c>
      <c r="K1493" s="133">
        <v>0.16415557269296399</v>
      </c>
      <c r="L1493" s="181">
        <v>798.35</v>
      </c>
      <c r="M1493" s="133">
        <v>0.18089814758921999</v>
      </c>
      <c r="N1493" s="73">
        <v>24183.654999999901</v>
      </c>
      <c r="O1493" s="73">
        <v>-1091.1632940915199</v>
      </c>
      <c r="P1493" s="182">
        <v>13</v>
      </c>
      <c r="Q1493" s="182">
        <v>6400</v>
      </c>
      <c r="R1493" s="46">
        <v>7.274</v>
      </c>
      <c r="S1493" s="46">
        <v>3</v>
      </c>
      <c r="T1493" s="46">
        <v>1200</v>
      </c>
      <c r="U1493" s="46">
        <v>9.17</v>
      </c>
      <c r="V1493" s="46" t="s">
        <v>62</v>
      </c>
      <c r="W1493" s="46">
        <v>5200</v>
      </c>
      <c r="X1493" s="46">
        <v>6.8360000000000003</v>
      </c>
      <c r="Y1493" s="194">
        <v>7.7359999999999998</v>
      </c>
      <c r="Z1493" s="194">
        <v>7.3769999999999998</v>
      </c>
      <c r="AA1493" s="194">
        <v>8.8930000000000007</v>
      </c>
      <c r="AB1493" s="46">
        <v>7.74</v>
      </c>
      <c r="AC1493" s="46">
        <v>7.88</v>
      </c>
      <c r="AD1493" s="46">
        <v>7.72</v>
      </c>
      <c r="AE1493" s="46">
        <v>7.86</v>
      </c>
    </row>
    <row r="1494" spans="1:31" x14ac:dyDescent="0.25">
      <c r="A1494" s="136">
        <v>43059</v>
      </c>
      <c r="B1494" s="201" t="s">
        <v>78</v>
      </c>
      <c r="C1494" t="s">
        <v>142</v>
      </c>
      <c r="D1494">
        <v>100</v>
      </c>
      <c r="E1494">
        <v>100</v>
      </c>
      <c r="F1494">
        <v>10.987</v>
      </c>
      <c r="G1494">
        <v>67.3</v>
      </c>
      <c r="H1494">
        <v>6.13</v>
      </c>
      <c r="I1494" s="309">
        <v>1166</v>
      </c>
      <c r="J1494">
        <v>11.66</v>
      </c>
      <c r="K1494" s="133">
        <v>2.2444084586249699E-3</v>
      </c>
      <c r="L1494" s="181">
        <v>13</v>
      </c>
      <c r="M1494" s="133">
        <v>2.1148641282086201E-3</v>
      </c>
      <c r="N1494" s="73">
        <v>75.304000000000102</v>
      </c>
      <c r="O1494" s="73">
        <v>6.41110289608178</v>
      </c>
      <c r="P1494" s="182">
        <v>1</v>
      </c>
      <c r="Q1494" s="182">
        <v>500</v>
      </c>
      <c r="R1494" s="46">
        <v>11.56</v>
      </c>
      <c r="S1494" s="46">
        <v>1</v>
      </c>
      <c r="T1494" s="46">
        <v>400</v>
      </c>
      <c r="U1494" s="46">
        <v>11.74</v>
      </c>
      <c r="V1494" s="46" t="s">
        <v>62</v>
      </c>
      <c r="W1494" s="46">
        <v>100</v>
      </c>
      <c r="X1494" s="46">
        <v>10.84</v>
      </c>
    </row>
    <row r="1495" spans="1:31" x14ac:dyDescent="0.25">
      <c r="A1495" s="136">
        <v>43059</v>
      </c>
      <c r="B1495" s="201" t="s">
        <v>72</v>
      </c>
      <c r="C1495" t="s">
        <v>130</v>
      </c>
      <c r="D1495">
        <v>1600</v>
      </c>
      <c r="E1495">
        <v>1100</v>
      </c>
      <c r="F1495">
        <v>7.6280000000000001</v>
      </c>
      <c r="G1495">
        <v>-252.55</v>
      </c>
      <c r="H1495">
        <v>-2.0699999999999998</v>
      </c>
      <c r="I1495" s="309">
        <v>11952</v>
      </c>
      <c r="J1495">
        <v>7.47</v>
      </c>
      <c r="K1495" s="133">
        <v>2.30061491402106E-2</v>
      </c>
      <c r="L1495" s="181">
        <v>-284</v>
      </c>
      <c r="M1495" s="133">
        <v>2.3492277233028599E-2</v>
      </c>
      <c r="N1495" s="73">
        <v>-778.25599999999099</v>
      </c>
      <c r="O1495" s="73">
        <v>-76.410402060436596</v>
      </c>
      <c r="P1495" s="182">
        <v>0</v>
      </c>
      <c r="Q1495" s="182">
        <v>0</v>
      </c>
      <c r="R1495" s="46">
        <v>0</v>
      </c>
      <c r="S1495" s="46">
        <v>12</v>
      </c>
      <c r="T1495" s="46">
        <v>5200</v>
      </c>
      <c r="U1495" s="46">
        <v>8.0709999999999997</v>
      </c>
      <c r="V1495" s="46" t="s">
        <v>68</v>
      </c>
      <c r="W1495" s="46">
        <v>5200</v>
      </c>
      <c r="X1495" s="46">
        <v>8.0709999999999997</v>
      </c>
    </row>
    <row r="1496" spans="1:31" x14ac:dyDescent="0.25">
      <c r="A1496" s="136">
        <v>43059</v>
      </c>
      <c r="B1496" s="201" t="s">
        <v>70</v>
      </c>
      <c r="C1496" t="s">
        <v>131</v>
      </c>
      <c r="D1496">
        <v>10400</v>
      </c>
      <c r="E1496">
        <v>9900</v>
      </c>
      <c r="F1496">
        <v>12.282999999999999</v>
      </c>
      <c r="G1496">
        <v>-10635.46</v>
      </c>
      <c r="H1496">
        <v>-8.33</v>
      </c>
      <c r="I1496" s="309">
        <v>117104</v>
      </c>
      <c r="J1496">
        <v>11.26</v>
      </c>
      <c r="K1496" s="133">
        <v>0.22541098468166201</v>
      </c>
      <c r="L1496" s="181">
        <v>907</v>
      </c>
      <c r="M1496" s="133">
        <v>0.24588295413738001</v>
      </c>
      <c r="N1496" s="73">
        <v>-13234.441999999999</v>
      </c>
      <c r="O1496" s="73">
        <v>-1201.4373096276099</v>
      </c>
      <c r="P1496" s="182">
        <v>7</v>
      </c>
      <c r="Q1496" s="182">
        <v>3500</v>
      </c>
      <c r="R1496" s="46">
        <v>11.8</v>
      </c>
      <c r="S1496" s="46">
        <v>9</v>
      </c>
      <c r="T1496" s="46">
        <v>3600</v>
      </c>
      <c r="U1496" s="46">
        <v>13.278</v>
      </c>
      <c r="V1496" s="46" t="s">
        <v>68</v>
      </c>
      <c r="W1496" s="46">
        <v>100</v>
      </c>
      <c r="X1496" s="46">
        <v>65.007999999999996</v>
      </c>
      <c r="Y1496" s="193">
        <v>11.958</v>
      </c>
      <c r="Z1496" s="194">
        <v>12.462999999999999</v>
      </c>
      <c r="AA1496" s="194">
        <v>12.512</v>
      </c>
      <c r="AB1496" s="46">
        <v>11.18</v>
      </c>
      <c r="AC1496" s="46">
        <v>11.27</v>
      </c>
      <c r="AD1496" s="46">
        <v>11</v>
      </c>
      <c r="AE1496" s="46">
        <v>11.26</v>
      </c>
    </row>
    <row r="1497" spans="1:31" x14ac:dyDescent="0.25">
      <c r="A1497" s="136">
        <v>43059</v>
      </c>
      <c r="B1497" s="201" t="s">
        <v>137</v>
      </c>
      <c r="C1497" t="s">
        <v>138</v>
      </c>
      <c r="D1497">
        <v>100</v>
      </c>
      <c r="E1497">
        <v>100</v>
      </c>
      <c r="F1497">
        <v>-130.48500000000001</v>
      </c>
      <c r="G1497">
        <v>17511.5</v>
      </c>
      <c r="H1497">
        <v>0</v>
      </c>
      <c r="I1497" s="309">
        <v>4463</v>
      </c>
      <c r="J1497">
        <v>44.63</v>
      </c>
      <c r="K1497" s="133">
        <v>8.59073323399933E-3</v>
      </c>
      <c r="L1497" s="181">
        <v>118</v>
      </c>
      <c r="M1497" s="133">
        <v>0</v>
      </c>
    </row>
    <row r="1498" spans="1:31" x14ac:dyDescent="0.25">
      <c r="A1498" s="136">
        <v>43059</v>
      </c>
      <c r="B1498" s="201" t="s">
        <v>835</v>
      </c>
      <c r="C1498" t="s">
        <v>839</v>
      </c>
      <c r="I1498" s="309">
        <v>11197.8</v>
      </c>
      <c r="K1498" s="133">
        <v>2.15544056929594E-2</v>
      </c>
      <c r="L1498" s="181">
        <v>0</v>
      </c>
      <c r="M1498" s="133">
        <v>2.2050023437321899E-2</v>
      </c>
    </row>
    <row r="1499" spans="1:31" x14ac:dyDescent="0.25">
      <c r="A1499" s="136">
        <v>43060</v>
      </c>
      <c r="B1499" s="201" t="s">
        <v>132</v>
      </c>
      <c r="C1499" t="s">
        <v>123</v>
      </c>
      <c r="D1499">
        <v>26462</v>
      </c>
      <c r="E1499">
        <v>26462</v>
      </c>
      <c r="F1499">
        <v>-9.2999999999999999E-2</v>
      </c>
      <c r="G1499">
        <v>2725.5859999999998</v>
      </c>
      <c r="H1499">
        <v>0</v>
      </c>
      <c r="I1499" s="309">
        <v>264.62</v>
      </c>
      <c r="J1499">
        <v>0.01</v>
      </c>
      <c r="K1499" s="133">
        <v>5.0604173132744797E-4</v>
      </c>
      <c r="L1499" s="181">
        <v>-3.70200000000023</v>
      </c>
      <c r="M1499" s="133">
        <v>0</v>
      </c>
    </row>
    <row r="1500" spans="1:31" x14ac:dyDescent="0.25">
      <c r="A1500" s="136">
        <v>43060</v>
      </c>
      <c r="B1500" s="201" t="s">
        <v>61</v>
      </c>
      <c r="C1500" t="s">
        <v>136</v>
      </c>
      <c r="D1500">
        <v>3500</v>
      </c>
      <c r="E1500">
        <v>3500</v>
      </c>
      <c r="F1500">
        <v>5.3070000000000004</v>
      </c>
      <c r="G1500">
        <v>-408.52</v>
      </c>
      <c r="H1500">
        <v>-2.2000000000000002</v>
      </c>
      <c r="I1500" s="309">
        <v>18165</v>
      </c>
      <c r="J1500">
        <v>5.19</v>
      </c>
      <c r="K1500" s="133">
        <v>3.4737540811590598E-2</v>
      </c>
      <c r="L1500" s="181">
        <v>140</v>
      </c>
      <c r="M1500" s="133">
        <v>3.55187673556231E-2</v>
      </c>
      <c r="N1500" s="73">
        <v>-587.26800000000003</v>
      </c>
      <c r="O1500" s="73">
        <v>-114.19734747081699</v>
      </c>
      <c r="P1500" s="182">
        <v>6</v>
      </c>
      <c r="Q1500" s="182">
        <v>3000</v>
      </c>
      <c r="R1500" s="46">
        <v>5.31</v>
      </c>
      <c r="S1500" s="46">
        <v>0</v>
      </c>
      <c r="T1500" s="46">
        <v>0</v>
      </c>
      <c r="U1500" s="46">
        <v>0</v>
      </c>
      <c r="V1500" s="46" t="s">
        <v>62</v>
      </c>
      <c r="W1500" s="46">
        <v>3000</v>
      </c>
      <c r="X1500" s="46">
        <v>5.31</v>
      </c>
    </row>
    <row r="1501" spans="1:31" x14ac:dyDescent="0.25">
      <c r="A1501" s="136">
        <v>43060</v>
      </c>
      <c r="B1501" s="201" t="s">
        <v>124</v>
      </c>
      <c r="C1501" t="s">
        <v>125</v>
      </c>
      <c r="D1501">
        <v>100</v>
      </c>
      <c r="E1501">
        <v>100</v>
      </c>
      <c r="F1501">
        <v>-53.579000000000001</v>
      </c>
      <c r="G1501">
        <v>5969.9</v>
      </c>
      <c r="H1501">
        <v>0</v>
      </c>
      <c r="I1501" s="309">
        <v>612</v>
      </c>
      <c r="J1501">
        <v>6.12</v>
      </c>
      <c r="K1501" s="133">
        <v>1.17034819579925E-3</v>
      </c>
      <c r="L1501" s="181">
        <v>0</v>
      </c>
      <c r="M1501" s="133">
        <v>0</v>
      </c>
      <c r="N1501" s="73">
        <v>5995.0890000000099</v>
      </c>
      <c r="O1501" s="73">
        <v>1102.4501845505599</v>
      </c>
      <c r="P1501" s="182">
        <v>0</v>
      </c>
      <c r="Q1501" s="182">
        <v>0</v>
      </c>
      <c r="R1501" s="46">
        <v>0</v>
      </c>
      <c r="S1501" s="46">
        <v>5</v>
      </c>
      <c r="T1501" s="46">
        <v>2300</v>
      </c>
      <c r="U1501" s="46">
        <v>4.99</v>
      </c>
      <c r="V1501" s="46" t="s">
        <v>68</v>
      </c>
      <c r="W1501" s="46">
        <v>2300</v>
      </c>
      <c r="X1501" s="46">
        <v>4.99</v>
      </c>
      <c r="Y1501" s="193">
        <v>6.3579999999999997</v>
      </c>
      <c r="Z1501" s="193">
        <v>5.3490000000000002</v>
      </c>
      <c r="AA1501" s="193">
        <v>5.798</v>
      </c>
      <c r="AB1501" s="46">
        <v>6.08</v>
      </c>
      <c r="AC1501" s="46">
        <v>6.17</v>
      </c>
      <c r="AD1501" s="46">
        <v>6.04</v>
      </c>
      <c r="AE1501" s="46">
        <v>6.12</v>
      </c>
    </row>
    <row r="1502" spans="1:31" x14ac:dyDescent="0.25">
      <c r="A1502" s="136">
        <v>43060</v>
      </c>
      <c r="B1502" s="201" t="s">
        <v>71</v>
      </c>
      <c r="C1502" t="s">
        <v>126</v>
      </c>
      <c r="D1502">
        <v>4100</v>
      </c>
      <c r="E1502">
        <v>4100</v>
      </c>
      <c r="F1502">
        <v>6.09</v>
      </c>
      <c r="G1502">
        <v>944.91</v>
      </c>
      <c r="H1502">
        <v>3.78</v>
      </c>
      <c r="I1502" s="309">
        <v>25912</v>
      </c>
      <c r="J1502">
        <v>6.32</v>
      </c>
      <c r="K1502" s="133">
        <v>4.9552389623448101E-2</v>
      </c>
      <c r="L1502" s="181">
        <v>204.82</v>
      </c>
      <c r="M1502" s="133">
        <v>4.7745406431139802E-2</v>
      </c>
      <c r="N1502" s="73">
        <v>1143.4549999999999</v>
      </c>
      <c r="O1502" s="73">
        <v>179.41652629513399</v>
      </c>
      <c r="P1502" s="182">
        <v>4</v>
      </c>
      <c r="Q1502" s="182">
        <v>2000</v>
      </c>
      <c r="R1502" s="46">
        <v>6.35</v>
      </c>
      <c r="S1502" s="46">
        <v>1</v>
      </c>
      <c r="T1502" s="46">
        <v>400</v>
      </c>
      <c r="U1502" s="46">
        <v>6.13</v>
      </c>
      <c r="V1502" s="46" t="s">
        <v>62</v>
      </c>
      <c r="W1502" s="46">
        <v>1600</v>
      </c>
      <c r="X1502" s="46">
        <v>6.4050000000000002</v>
      </c>
      <c r="Y1502" s="194">
        <v>6.2649999999999997</v>
      </c>
      <c r="Z1502" s="194">
        <v>6.3150000000000004</v>
      </c>
      <c r="AA1502" s="194">
        <v>6.5679999999999996</v>
      </c>
      <c r="AB1502" s="46">
        <v>6.25</v>
      </c>
      <c r="AC1502" s="46">
        <v>6.38</v>
      </c>
      <c r="AD1502" s="46">
        <v>6.22</v>
      </c>
      <c r="AE1502" s="46">
        <v>6.32</v>
      </c>
    </row>
    <row r="1503" spans="1:31" x14ac:dyDescent="0.25">
      <c r="A1503" s="136">
        <v>43060</v>
      </c>
      <c r="B1503" s="201" t="s">
        <v>79</v>
      </c>
      <c r="C1503" t="s">
        <v>143</v>
      </c>
      <c r="D1503">
        <v>4500</v>
      </c>
      <c r="E1503">
        <v>4500</v>
      </c>
      <c r="F1503">
        <v>17.189</v>
      </c>
      <c r="G1503">
        <v>-4226.54</v>
      </c>
      <c r="H1503">
        <v>-5.46</v>
      </c>
      <c r="I1503" s="309">
        <v>73125</v>
      </c>
      <c r="J1503">
        <v>16.25</v>
      </c>
      <c r="K1503" s="133">
        <v>0.13983939839513099</v>
      </c>
      <c r="L1503" s="181">
        <v>0</v>
      </c>
      <c r="M1503" s="133">
        <v>0.14792195307400899</v>
      </c>
      <c r="N1503" s="73">
        <v>-5397.7000000000098</v>
      </c>
      <c r="O1503" s="73">
        <v>-337.39844590369103</v>
      </c>
      <c r="P1503" s="182">
        <v>8</v>
      </c>
      <c r="Q1503" s="182">
        <v>4500</v>
      </c>
      <c r="R1503" s="46">
        <v>17.18</v>
      </c>
      <c r="S1503" s="46">
        <v>0</v>
      </c>
      <c r="T1503" s="46">
        <v>0</v>
      </c>
      <c r="U1503" s="46">
        <v>0</v>
      </c>
      <c r="V1503" s="46" t="s">
        <v>62</v>
      </c>
      <c r="W1503" s="46">
        <v>4500</v>
      </c>
      <c r="X1503" s="46">
        <v>17.18</v>
      </c>
    </row>
    <row r="1504" spans="1:31" x14ac:dyDescent="0.25">
      <c r="A1504" s="136">
        <v>43060</v>
      </c>
      <c r="B1504" s="201" t="s">
        <v>65</v>
      </c>
      <c r="C1504" t="s">
        <v>127</v>
      </c>
      <c r="D1504">
        <v>12600</v>
      </c>
      <c r="E1504">
        <v>12600</v>
      </c>
      <c r="F1504">
        <v>10.407999999999999</v>
      </c>
      <c r="G1504">
        <v>9221.33</v>
      </c>
      <c r="H1504">
        <v>7.03</v>
      </c>
      <c r="I1504" s="309">
        <v>140364</v>
      </c>
      <c r="J1504">
        <v>11.14</v>
      </c>
      <c r="K1504" s="133">
        <v>0.268422800907135</v>
      </c>
      <c r="L1504" s="181">
        <v>2834.56</v>
      </c>
      <c r="M1504" s="133">
        <v>0.25078854122025601</v>
      </c>
      <c r="N1504" s="73">
        <v>4434.9000000000497</v>
      </c>
      <c r="O1504" s="73">
        <v>784.87344804053305</v>
      </c>
      <c r="P1504" s="182">
        <v>4</v>
      </c>
      <c r="Q1504" s="182">
        <v>1900</v>
      </c>
      <c r="R1504" s="46">
        <v>10.896000000000001</v>
      </c>
      <c r="S1504" s="46">
        <v>15</v>
      </c>
      <c r="T1504" s="46">
        <v>6400</v>
      </c>
      <c r="U1504" s="46">
        <v>12.468999999999999</v>
      </c>
      <c r="V1504" s="46" t="s">
        <v>68</v>
      </c>
      <c r="W1504" s="46">
        <v>4500</v>
      </c>
      <c r="X1504" s="46">
        <v>13.132999999999999</v>
      </c>
      <c r="Y1504" s="193">
        <v>11.117000000000001</v>
      </c>
      <c r="Z1504" s="194">
        <v>11.452</v>
      </c>
      <c r="AA1504" s="194">
        <v>11.785</v>
      </c>
      <c r="AB1504" s="46">
        <v>10.85</v>
      </c>
      <c r="AC1504" s="46">
        <v>11.26</v>
      </c>
      <c r="AD1504" s="46">
        <v>10.85</v>
      </c>
      <c r="AE1504" s="46">
        <v>11.14</v>
      </c>
    </row>
    <row r="1505" spans="1:31" x14ac:dyDescent="0.25">
      <c r="A1505" s="136">
        <v>43060</v>
      </c>
      <c r="B1505" s="201" t="s">
        <v>77</v>
      </c>
      <c r="C1505" t="s">
        <v>128</v>
      </c>
      <c r="D1505">
        <v>3800</v>
      </c>
      <c r="E1505">
        <v>3800</v>
      </c>
      <c r="F1505">
        <v>6.024</v>
      </c>
      <c r="G1505">
        <v>821.53</v>
      </c>
      <c r="H1505">
        <v>3.59</v>
      </c>
      <c r="I1505" s="309">
        <v>23712</v>
      </c>
      <c r="J1505">
        <v>6.24</v>
      </c>
      <c r="K1505" s="133">
        <v>4.5345255586261297E-2</v>
      </c>
      <c r="L1505" s="181">
        <v>114</v>
      </c>
      <c r="M1505" s="133">
        <v>4.3774216120093003E-2</v>
      </c>
      <c r="N1505" s="73">
        <v>1380.586</v>
      </c>
      <c r="O1505" s="73">
        <v>288.28921886503002</v>
      </c>
      <c r="P1505" s="182">
        <v>6</v>
      </c>
      <c r="Q1505" s="182">
        <v>3000</v>
      </c>
      <c r="R1505" s="46">
        <v>6.798</v>
      </c>
      <c r="S1505" s="46">
        <v>0</v>
      </c>
      <c r="T1505" s="46">
        <v>0</v>
      </c>
      <c r="U1505" s="46">
        <v>0</v>
      </c>
      <c r="V1505" s="46" t="s">
        <v>62</v>
      </c>
      <c r="W1505" s="46">
        <v>3000</v>
      </c>
      <c r="X1505" s="46">
        <v>6.798</v>
      </c>
      <c r="Y1505" s="194">
        <v>5.1020000000000003</v>
      </c>
      <c r="Z1505" s="194">
        <v>6.3360000000000003</v>
      </c>
      <c r="AA1505" s="194">
        <v>6.75</v>
      </c>
      <c r="AB1505" s="46">
        <v>6.22</v>
      </c>
      <c r="AC1505" s="46">
        <v>6.32</v>
      </c>
      <c r="AD1505" s="46">
        <v>6.18</v>
      </c>
      <c r="AE1505" s="46">
        <v>6.24</v>
      </c>
    </row>
    <row r="1506" spans="1:31" x14ac:dyDescent="0.25">
      <c r="A1506" s="136">
        <v>43060</v>
      </c>
      <c r="B1506" s="201" t="s">
        <v>67</v>
      </c>
      <c r="C1506" t="s">
        <v>129</v>
      </c>
      <c r="D1506">
        <v>10850</v>
      </c>
      <c r="E1506">
        <v>10850</v>
      </c>
      <c r="F1506">
        <v>8.6620000000000008</v>
      </c>
      <c r="G1506">
        <v>-7938.49</v>
      </c>
      <c r="H1506">
        <v>-8.4499999999999993</v>
      </c>
      <c r="I1506" s="309">
        <v>86040.5</v>
      </c>
      <c r="J1506">
        <v>7.93</v>
      </c>
      <c r="K1506" s="133">
        <v>0.16453814369389799</v>
      </c>
      <c r="L1506" s="181">
        <v>759.5</v>
      </c>
      <c r="M1506" s="133">
        <v>0.17971918527701999</v>
      </c>
      <c r="N1506" s="73">
        <v>24183.654999999901</v>
      </c>
      <c r="O1506" s="73">
        <v>-1091.1632940915199</v>
      </c>
      <c r="P1506" s="182">
        <v>13</v>
      </c>
      <c r="Q1506" s="182">
        <v>6400</v>
      </c>
      <c r="R1506" s="46">
        <v>7.274</v>
      </c>
      <c r="S1506" s="46">
        <v>3</v>
      </c>
      <c r="T1506" s="46">
        <v>1200</v>
      </c>
      <c r="U1506" s="46">
        <v>9.17</v>
      </c>
      <c r="V1506" s="46" t="s">
        <v>62</v>
      </c>
      <c r="W1506" s="46">
        <v>5200</v>
      </c>
      <c r="X1506" s="46">
        <v>6.8360000000000003</v>
      </c>
      <c r="Y1506" s="194">
        <v>7.1070000000000002</v>
      </c>
      <c r="Z1506" s="194">
        <v>7.375</v>
      </c>
      <c r="AA1506" s="194">
        <v>8.8819999999999997</v>
      </c>
      <c r="AB1506" s="46">
        <v>7.87</v>
      </c>
      <c r="AC1506" s="46">
        <v>7.93</v>
      </c>
      <c r="AD1506" s="46">
        <v>7.81</v>
      </c>
      <c r="AE1506" s="46">
        <v>7.93</v>
      </c>
    </row>
    <row r="1507" spans="1:31" x14ac:dyDescent="0.25">
      <c r="A1507" s="136">
        <v>43060</v>
      </c>
      <c r="B1507" s="201" t="s">
        <v>78</v>
      </c>
      <c r="C1507" t="s">
        <v>142</v>
      </c>
      <c r="D1507">
        <v>100</v>
      </c>
      <c r="E1507">
        <v>100</v>
      </c>
      <c r="F1507">
        <v>10.987</v>
      </c>
      <c r="G1507">
        <v>118.3</v>
      </c>
      <c r="H1507">
        <v>10.77</v>
      </c>
      <c r="I1507" s="309">
        <v>1217</v>
      </c>
      <c r="J1507">
        <v>12.17</v>
      </c>
      <c r="K1507" s="133">
        <v>2.3273100560256398E-3</v>
      </c>
      <c r="L1507" s="181">
        <v>51</v>
      </c>
      <c r="M1507" s="133">
        <v>2.1010809848441801E-3</v>
      </c>
      <c r="N1507" s="73">
        <v>75.304000000000102</v>
      </c>
      <c r="O1507" s="73">
        <v>6.41110289608178</v>
      </c>
      <c r="P1507" s="182">
        <v>1</v>
      </c>
      <c r="Q1507" s="182">
        <v>500</v>
      </c>
      <c r="R1507" s="46">
        <v>11.56</v>
      </c>
      <c r="S1507" s="46">
        <v>1</v>
      </c>
      <c r="T1507" s="46">
        <v>400</v>
      </c>
      <c r="U1507" s="46">
        <v>11.74</v>
      </c>
      <c r="V1507" s="46" t="s">
        <v>62</v>
      </c>
      <c r="W1507" s="46">
        <v>100</v>
      </c>
      <c r="X1507" s="46">
        <v>10.84</v>
      </c>
    </row>
    <row r="1508" spans="1:31" x14ac:dyDescent="0.25">
      <c r="A1508" s="136">
        <v>43060</v>
      </c>
      <c r="B1508" s="201" t="s">
        <v>72</v>
      </c>
      <c r="C1508" t="s">
        <v>130</v>
      </c>
      <c r="D1508">
        <v>2100</v>
      </c>
      <c r="E1508">
        <v>2100</v>
      </c>
      <c r="F1508">
        <v>7.4969999999999999</v>
      </c>
      <c r="G1508">
        <v>-960.55</v>
      </c>
      <c r="H1508">
        <v>-6.09</v>
      </c>
      <c r="I1508" s="309">
        <v>14784</v>
      </c>
      <c r="J1508">
        <v>7.04</v>
      </c>
      <c r="K1508" s="133">
        <v>2.8271940729895698E-2</v>
      </c>
      <c r="L1508" s="181">
        <v>-708</v>
      </c>
      <c r="M1508" s="133">
        <v>3.0108832820541099E-2</v>
      </c>
      <c r="N1508" s="73">
        <v>-1119.2559999999901</v>
      </c>
      <c r="O1508" s="73">
        <v>-126.88786803394299</v>
      </c>
      <c r="P1508" s="182">
        <v>0</v>
      </c>
      <c r="Q1508" s="182">
        <v>0</v>
      </c>
      <c r="R1508" s="46">
        <v>0</v>
      </c>
      <c r="S1508" s="46">
        <v>11</v>
      </c>
      <c r="T1508" s="46">
        <v>4700</v>
      </c>
      <c r="U1508" s="46">
        <v>8.1720000000000006</v>
      </c>
      <c r="V1508" s="46" t="s">
        <v>68</v>
      </c>
      <c r="W1508" s="46">
        <v>4700</v>
      </c>
      <c r="X1508" s="46">
        <v>8.1720000000000006</v>
      </c>
    </row>
    <row r="1509" spans="1:31" x14ac:dyDescent="0.25">
      <c r="A1509" s="136">
        <v>43060</v>
      </c>
      <c r="B1509" s="201" t="s">
        <v>70</v>
      </c>
      <c r="C1509" t="s">
        <v>131</v>
      </c>
      <c r="D1509">
        <v>10400</v>
      </c>
      <c r="E1509">
        <v>10400</v>
      </c>
      <c r="F1509">
        <v>12.282999999999999</v>
      </c>
      <c r="G1509">
        <v>-10427.459999999999</v>
      </c>
      <c r="H1509">
        <v>-8.16</v>
      </c>
      <c r="I1509" s="309">
        <v>117312</v>
      </c>
      <c r="J1509">
        <v>11.28</v>
      </c>
      <c r="K1509" s="133">
        <v>0.22433968553202899</v>
      </c>
      <c r="L1509" s="181">
        <v>208</v>
      </c>
      <c r="M1509" s="133">
        <v>0.24428046820812199</v>
      </c>
      <c r="N1509" s="73">
        <v>-13234.441999999999</v>
      </c>
      <c r="O1509" s="73">
        <v>-1201.4373096276099</v>
      </c>
      <c r="P1509" s="182">
        <v>7</v>
      </c>
      <c r="Q1509" s="182">
        <v>3500</v>
      </c>
      <c r="R1509" s="46">
        <v>11.8</v>
      </c>
      <c r="S1509" s="46">
        <v>9</v>
      </c>
      <c r="T1509" s="46">
        <v>3600</v>
      </c>
      <c r="U1509" s="46">
        <v>13.278</v>
      </c>
      <c r="V1509" s="46" t="s">
        <v>68</v>
      </c>
      <c r="W1509" s="46">
        <v>100</v>
      </c>
      <c r="X1509" s="46">
        <v>65.007999999999996</v>
      </c>
      <c r="Y1509" s="194">
        <v>11.288</v>
      </c>
      <c r="Z1509" s="194">
        <v>12.46</v>
      </c>
      <c r="AA1509" s="194">
        <v>12.503</v>
      </c>
      <c r="AB1509" s="46">
        <v>11.19</v>
      </c>
      <c r="AC1509" s="46">
        <v>11.33</v>
      </c>
      <c r="AD1509" s="46">
        <v>11.19</v>
      </c>
      <c r="AE1509" s="46">
        <v>11.28</v>
      </c>
    </row>
    <row r="1510" spans="1:31" x14ac:dyDescent="0.25">
      <c r="A1510" s="136">
        <v>43060</v>
      </c>
      <c r="B1510" s="201" t="s">
        <v>137</v>
      </c>
      <c r="C1510" t="s">
        <v>138</v>
      </c>
      <c r="D1510">
        <v>100</v>
      </c>
      <c r="E1510">
        <v>100</v>
      </c>
      <c r="F1510">
        <v>-130.48500000000001</v>
      </c>
      <c r="G1510">
        <v>17308.5</v>
      </c>
      <c r="H1510">
        <v>0</v>
      </c>
      <c r="I1510" s="309">
        <v>4260</v>
      </c>
      <c r="J1510">
        <v>42.6</v>
      </c>
      <c r="K1510" s="133">
        <v>8.1465413629163708E-3</v>
      </c>
      <c r="L1510" s="181">
        <v>-203</v>
      </c>
      <c r="M1510" s="133">
        <v>0</v>
      </c>
    </row>
    <row r="1511" spans="1:31" x14ac:dyDescent="0.25">
      <c r="A1511" s="136">
        <v>43060</v>
      </c>
      <c r="B1511" s="201" t="s">
        <v>835</v>
      </c>
      <c r="C1511" t="s">
        <v>839</v>
      </c>
      <c r="I1511" s="309">
        <v>17153.18</v>
      </c>
      <c r="K1511" s="133">
        <v>3.2802603374542202E-2</v>
      </c>
      <c r="L1511" s="181">
        <v>0</v>
      </c>
      <c r="M1511" s="133">
        <v>3.33086451058697E-2</v>
      </c>
    </row>
    <row r="1512" spans="1:31" x14ac:dyDescent="0.25">
      <c r="A1512" s="136">
        <v>43061</v>
      </c>
      <c r="B1512" s="201" t="s">
        <v>132</v>
      </c>
      <c r="C1512" t="s">
        <v>123</v>
      </c>
      <c r="D1512">
        <v>26462</v>
      </c>
      <c r="E1512">
        <v>26462</v>
      </c>
      <c r="F1512">
        <v>-9.2999999999999999E-2</v>
      </c>
      <c r="G1512">
        <v>2725.5859999999998</v>
      </c>
      <c r="H1512">
        <v>0</v>
      </c>
      <c r="I1512" s="309">
        <v>264.62</v>
      </c>
      <c r="J1512">
        <v>0.01</v>
      </c>
      <c r="K1512" s="133">
        <v>5.0530845030709E-4</v>
      </c>
      <c r="L1512" s="181">
        <v>0</v>
      </c>
      <c r="M1512" s="133">
        <v>0</v>
      </c>
    </row>
    <row r="1513" spans="1:31" x14ac:dyDescent="0.25">
      <c r="A1513" s="136">
        <v>43061</v>
      </c>
      <c r="B1513" s="201" t="s">
        <v>61</v>
      </c>
      <c r="C1513" t="s">
        <v>136</v>
      </c>
      <c r="D1513">
        <v>3500</v>
      </c>
      <c r="E1513">
        <v>3500</v>
      </c>
      <c r="F1513">
        <v>5.3070000000000004</v>
      </c>
      <c r="G1513">
        <v>-268.52</v>
      </c>
      <c r="H1513">
        <v>-1.45</v>
      </c>
      <c r="I1513" s="309">
        <v>18305</v>
      </c>
      <c r="J1513">
        <v>5.23</v>
      </c>
      <c r="K1513" s="133">
        <v>3.4954543053704497E-2</v>
      </c>
      <c r="L1513" s="181">
        <v>140</v>
      </c>
      <c r="M1513" s="133">
        <v>3.5467298798079298E-2</v>
      </c>
      <c r="N1513" s="73">
        <v>-587.26800000000003</v>
      </c>
      <c r="O1513" s="73">
        <v>-114.19734747081699</v>
      </c>
      <c r="P1513" s="182">
        <v>6</v>
      </c>
      <c r="Q1513" s="182">
        <v>3000</v>
      </c>
      <c r="R1513" s="46">
        <v>5.31</v>
      </c>
      <c r="S1513" s="46">
        <v>0</v>
      </c>
      <c r="T1513" s="46">
        <v>0</v>
      </c>
      <c r="U1513" s="46">
        <v>0</v>
      </c>
      <c r="V1513" s="46" t="s">
        <v>62</v>
      </c>
      <c r="W1513" s="46">
        <v>3000</v>
      </c>
      <c r="X1513" s="46">
        <v>5.31</v>
      </c>
      <c r="Y1513" s="193">
        <v>5.2510000000000003</v>
      </c>
      <c r="Z1513" s="193">
        <v>5.2510000000000003</v>
      </c>
      <c r="AA1513" s="193">
        <v>5.2169999999999996</v>
      </c>
      <c r="AB1513" s="46">
        <v>5.19</v>
      </c>
      <c r="AC1513" s="46">
        <v>5.26</v>
      </c>
      <c r="AD1513" s="46">
        <v>5.18</v>
      </c>
      <c r="AE1513" s="46">
        <v>5.23</v>
      </c>
    </row>
    <row r="1514" spans="1:31" x14ac:dyDescent="0.25">
      <c r="A1514" s="136">
        <v>43061</v>
      </c>
      <c r="B1514" s="201" t="s">
        <v>124</v>
      </c>
      <c r="C1514" t="s">
        <v>125</v>
      </c>
      <c r="D1514">
        <v>100</v>
      </c>
      <c r="E1514">
        <v>100</v>
      </c>
      <c r="F1514">
        <v>-53.579000000000001</v>
      </c>
      <c r="G1514">
        <v>5982.9</v>
      </c>
      <c r="H1514">
        <v>0</v>
      </c>
      <c r="I1514" s="309">
        <v>625</v>
      </c>
      <c r="J1514">
        <v>6.25</v>
      </c>
      <c r="K1514" s="133">
        <v>1.1934766134152001E-3</v>
      </c>
      <c r="L1514" s="181">
        <v>13</v>
      </c>
      <c r="M1514" s="133">
        <v>0</v>
      </c>
      <c r="N1514" s="73">
        <v>5995.0890000000099</v>
      </c>
      <c r="O1514" s="73">
        <v>1102.4501845505599</v>
      </c>
      <c r="P1514" s="182">
        <v>0</v>
      </c>
      <c r="Q1514" s="182">
        <v>0</v>
      </c>
      <c r="R1514" s="46">
        <v>0</v>
      </c>
      <c r="S1514" s="46">
        <v>5</v>
      </c>
      <c r="T1514" s="46">
        <v>2300</v>
      </c>
      <c r="U1514" s="46">
        <v>4.99</v>
      </c>
      <c r="V1514" s="46" t="s">
        <v>68</v>
      </c>
      <c r="W1514" s="46">
        <v>2300</v>
      </c>
      <c r="X1514" s="46">
        <v>4.99</v>
      </c>
      <c r="Y1514" s="194">
        <v>6.1230000000000002</v>
      </c>
      <c r="Z1514" s="193">
        <v>5.3259999999999996</v>
      </c>
      <c r="AA1514" s="193">
        <v>5.8109999999999999</v>
      </c>
      <c r="AB1514" s="46">
        <v>6.14</v>
      </c>
      <c r="AC1514" s="46">
        <v>6.29</v>
      </c>
      <c r="AD1514" s="46">
        <v>6.14</v>
      </c>
      <c r="AE1514" s="46">
        <v>6.25</v>
      </c>
    </row>
    <row r="1515" spans="1:31" x14ac:dyDescent="0.25">
      <c r="A1515" s="136">
        <v>43061</v>
      </c>
      <c r="B1515" s="201" t="s">
        <v>71</v>
      </c>
      <c r="C1515" t="s">
        <v>126</v>
      </c>
      <c r="D1515">
        <v>3700</v>
      </c>
      <c r="E1515">
        <v>3700</v>
      </c>
      <c r="F1515">
        <v>6.0449999999999999</v>
      </c>
      <c r="G1515">
        <v>1683.25</v>
      </c>
      <c r="H1515">
        <v>7.53</v>
      </c>
      <c r="I1515" s="309">
        <v>24050</v>
      </c>
      <c r="J1515">
        <v>6.5</v>
      </c>
      <c r="K1515" s="133">
        <v>4.5924980084217103E-2</v>
      </c>
      <c r="L1515" s="181">
        <v>738.34</v>
      </c>
      <c r="M1515" s="133">
        <v>4.2710708868967197E-2</v>
      </c>
      <c r="N1515" s="73">
        <v>3350.6350000000002</v>
      </c>
      <c r="O1515" s="73">
        <v>268.36375713190199</v>
      </c>
      <c r="P1515" s="182">
        <v>2</v>
      </c>
      <c r="Q1515" s="182">
        <v>1000</v>
      </c>
      <c r="R1515" s="46">
        <v>6.45</v>
      </c>
      <c r="S1515" s="46">
        <v>0</v>
      </c>
      <c r="T1515" s="46">
        <v>0</v>
      </c>
      <c r="U1515" s="46">
        <v>0</v>
      </c>
      <c r="V1515" s="46" t="s">
        <v>62</v>
      </c>
      <c r="W1515" s="46">
        <v>1000</v>
      </c>
      <c r="X1515" s="46">
        <v>6.45</v>
      </c>
      <c r="Y1515" s="193">
        <v>6.51</v>
      </c>
      <c r="Z1515" s="194">
        <v>6.2880000000000003</v>
      </c>
      <c r="AA1515" s="194">
        <v>6.5640000000000001</v>
      </c>
      <c r="AB1515" s="46">
        <v>6.35</v>
      </c>
      <c r="AC1515" s="46">
        <v>6.56</v>
      </c>
      <c r="AD1515" s="46">
        <v>6.31</v>
      </c>
      <c r="AE1515" s="46">
        <v>6.5</v>
      </c>
    </row>
    <row r="1516" spans="1:31" x14ac:dyDescent="0.25">
      <c r="A1516" s="136">
        <v>43061</v>
      </c>
      <c r="B1516" s="201" t="s">
        <v>79</v>
      </c>
      <c r="C1516" t="s">
        <v>143</v>
      </c>
      <c r="D1516">
        <v>4500</v>
      </c>
      <c r="E1516">
        <v>4500</v>
      </c>
      <c r="F1516">
        <v>17.189</v>
      </c>
      <c r="G1516">
        <v>-4316.54</v>
      </c>
      <c r="H1516">
        <v>-5.58</v>
      </c>
      <c r="I1516" s="309">
        <v>73035</v>
      </c>
      <c r="J1516">
        <v>16.23</v>
      </c>
      <c r="K1516" s="133">
        <v>0.13946490313724699</v>
      </c>
      <c r="L1516" s="181">
        <v>-90</v>
      </c>
      <c r="M1516" s="133">
        <v>0.147707606402641</v>
      </c>
      <c r="N1516" s="73">
        <v>-5397.7000000000098</v>
      </c>
      <c r="O1516" s="73">
        <v>-337.39844590369103</v>
      </c>
      <c r="P1516" s="182">
        <v>8</v>
      </c>
      <c r="Q1516" s="182">
        <v>4500</v>
      </c>
      <c r="R1516" s="46">
        <v>17.18</v>
      </c>
      <c r="S1516" s="46">
        <v>0</v>
      </c>
      <c r="T1516" s="46">
        <v>0</v>
      </c>
      <c r="U1516" s="46">
        <v>0</v>
      </c>
      <c r="V1516" s="46" t="s">
        <v>62</v>
      </c>
      <c r="W1516" s="46">
        <v>4500</v>
      </c>
      <c r="X1516" s="46">
        <v>17.18</v>
      </c>
      <c r="Y1516" s="194">
        <v>16.164000000000001</v>
      </c>
      <c r="Z1516" s="194">
        <v>16.164000000000001</v>
      </c>
      <c r="AA1516" s="194">
        <v>16.207999999999998</v>
      </c>
      <c r="AB1516" s="46">
        <v>16.23</v>
      </c>
      <c r="AC1516" s="46">
        <v>16.3</v>
      </c>
      <c r="AD1516" s="46">
        <v>16.100000000000001</v>
      </c>
      <c r="AE1516" s="46">
        <v>16.23</v>
      </c>
    </row>
    <row r="1517" spans="1:31" x14ac:dyDescent="0.25">
      <c r="A1517" s="136">
        <v>43061</v>
      </c>
      <c r="B1517" s="201" t="s">
        <v>65</v>
      </c>
      <c r="C1517" t="s">
        <v>127</v>
      </c>
      <c r="D1517">
        <v>12600</v>
      </c>
      <c r="E1517">
        <v>12200</v>
      </c>
      <c r="F1517">
        <v>10.407999999999999</v>
      </c>
      <c r="G1517">
        <v>10481.33</v>
      </c>
      <c r="H1517">
        <v>7.99</v>
      </c>
      <c r="I1517" s="309">
        <v>141624</v>
      </c>
      <c r="J1517">
        <v>11.24</v>
      </c>
      <c r="K1517" s="133">
        <v>0.27043989103730398</v>
      </c>
      <c r="L1517" s="181">
        <v>1260</v>
      </c>
      <c r="M1517" s="133">
        <v>0.25042513546532402</v>
      </c>
      <c r="N1517" s="73">
        <v>4434.9000000000497</v>
      </c>
      <c r="O1517" s="73">
        <v>784.87344804053305</v>
      </c>
      <c r="P1517" s="182">
        <v>4</v>
      </c>
      <c r="Q1517" s="182">
        <v>1900</v>
      </c>
      <c r="R1517" s="46">
        <v>10.896000000000001</v>
      </c>
      <c r="S1517" s="46">
        <v>15</v>
      </c>
      <c r="T1517" s="46">
        <v>6400</v>
      </c>
      <c r="U1517" s="46">
        <v>12.468999999999999</v>
      </c>
      <c r="V1517" s="46" t="s">
        <v>68</v>
      </c>
      <c r="W1517" s="46">
        <v>4500</v>
      </c>
      <c r="X1517" s="46">
        <v>13.132999999999999</v>
      </c>
      <c r="Y1517" s="193">
        <v>11.314</v>
      </c>
      <c r="Z1517" s="194">
        <v>11.455</v>
      </c>
      <c r="AA1517" s="194">
        <v>11.775</v>
      </c>
      <c r="AB1517" s="46">
        <v>11.16</v>
      </c>
      <c r="AC1517" s="46">
        <v>11.29</v>
      </c>
      <c r="AD1517" s="46">
        <v>11.1</v>
      </c>
      <c r="AE1517" s="46">
        <v>11.24</v>
      </c>
    </row>
    <row r="1518" spans="1:31" x14ac:dyDescent="0.25">
      <c r="A1518" s="136">
        <v>43061</v>
      </c>
      <c r="B1518" s="201" t="s">
        <v>77</v>
      </c>
      <c r="C1518" t="s">
        <v>128</v>
      </c>
      <c r="D1518">
        <v>4300</v>
      </c>
      <c r="E1518">
        <v>3800</v>
      </c>
      <c r="F1518">
        <v>6.0469999999999997</v>
      </c>
      <c r="G1518">
        <v>616.53</v>
      </c>
      <c r="H1518">
        <v>2.37</v>
      </c>
      <c r="I1518" s="309">
        <v>26617</v>
      </c>
      <c r="J1518">
        <v>6.19</v>
      </c>
      <c r="K1518" s="133">
        <v>5.0826827230836001E-2</v>
      </c>
      <c r="L1518" s="181">
        <v>-205</v>
      </c>
      <c r="M1518" s="133">
        <v>4.9649524612485799E-2</v>
      </c>
      <c r="N1518" s="73">
        <v>197.58599999999601</v>
      </c>
      <c r="O1518" s="73">
        <v>112.276522866344</v>
      </c>
      <c r="P1518" s="182">
        <v>7</v>
      </c>
      <c r="Q1518" s="182">
        <v>3500</v>
      </c>
      <c r="R1518" s="46">
        <v>6.7140000000000004</v>
      </c>
      <c r="S1518" s="46">
        <v>0</v>
      </c>
      <c r="T1518" s="46">
        <v>0</v>
      </c>
      <c r="U1518" s="46">
        <v>0</v>
      </c>
      <c r="V1518" s="46" t="s">
        <v>62</v>
      </c>
      <c r="W1518" s="46">
        <v>3500</v>
      </c>
      <c r="X1518" s="46">
        <v>6.7140000000000004</v>
      </c>
      <c r="Y1518" s="194">
        <v>6.0720000000000001</v>
      </c>
      <c r="Z1518" s="194">
        <v>6.2670000000000003</v>
      </c>
      <c r="AA1518" s="194">
        <v>6.7359999999999998</v>
      </c>
      <c r="AB1518" s="46">
        <v>6.24</v>
      </c>
      <c r="AC1518" s="46">
        <v>6.27</v>
      </c>
      <c r="AD1518" s="46">
        <v>6.09</v>
      </c>
      <c r="AE1518" s="46">
        <v>6.19</v>
      </c>
    </row>
    <row r="1519" spans="1:31" x14ac:dyDescent="0.25">
      <c r="A1519" s="136">
        <v>43061</v>
      </c>
      <c r="B1519" s="201" t="s">
        <v>67</v>
      </c>
      <c r="C1519" t="s">
        <v>129</v>
      </c>
      <c r="D1519">
        <v>10850</v>
      </c>
      <c r="E1519">
        <v>10450</v>
      </c>
      <c r="F1519">
        <v>8.6620000000000008</v>
      </c>
      <c r="G1519">
        <v>-8480.99</v>
      </c>
      <c r="H1519">
        <v>-9.0299999999999994</v>
      </c>
      <c r="I1519" s="309">
        <v>85498</v>
      </c>
      <c r="J1519">
        <v>7.88</v>
      </c>
      <c r="K1519" s="133">
        <v>0.16326378159003699</v>
      </c>
      <c r="L1519" s="181">
        <v>-542.5</v>
      </c>
      <c r="M1519" s="133">
        <v>0.17945876274781</v>
      </c>
      <c r="N1519" s="73">
        <v>24183.654999999901</v>
      </c>
      <c r="O1519" s="73">
        <v>-1091.1632940915199</v>
      </c>
      <c r="P1519" s="182">
        <v>13</v>
      </c>
      <c r="Q1519" s="182">
        <v>6400</v>
      </c>
      <c r="R1519" s="46">
        <v>7.274</v>
      </c>
      <c r="S1519" s="46">
        <v>3</v>
      </c>
      <c r="T1519" s="46">
        <v>1200</v>
      </c>
      <c r="U1519" s="46">
        <v>9.17</v>
      </c>
      <c r="V1519" s="46" t="s">
        <v>62</v>
      </c>
      <c r="W1519" s="46">
        <v>5200</v>
      </c>
      <c r="X1519" s="46">
        <v>6.8360000000000003</v>
      </c>
      <c r="Y1519" s="194">
        <v>7.85</v>
      </c>
      <c r="Z1519" s="194">
        <v>7.4279999999999999</v>
      </c>
      <c r="AA1519" s="194">
        <v>8.8719999999999999</v>
      </c>
      <c r="AB1519" s="46">
        <v>7.92</v>
      </c>
      <c r="AC1519" s="46">
        <v>7.94</v>
      </c>
      <c r="AD1519" s="46">
        <v>7.81</v>
      </c>
      <c r="AE1519" s="46">
        <v>7.88</v>
      </c>
    </row>
    <row r="1520" spans="1:31" x14ac:dyDescent="0.25">
      <c r="A1520" s="136">
        <v>43061</v>
      </c>
      <c r="B1520" s="201" t="s">
        <v>78</v>
      </c>
      <c r="C1520" t="s">
        <v>142</v>
      </c>
      <c r="D1520">
        <v>100</v>
      </c>
      <c r="E1520">
        <v>100</v>
      </c>
      <c r="F1520">
        <v>10.987</v>
      </c>
      <c r="G1520">
        <v>110.3</v>
      </c>
      <c r="H1520">
        <v>10.039999999999999</v>
      </c>
      <c r="I1520" s="309">
        <v>1209</v>
      </c>
      <c r="J1520">
        <v>12.09</v>
      </c>
      <c r="K1520" s="133">
        <v>2.30866116099037E-3</v>
      </c>
      <c r="L1520" s="181">
        <v>-8</v>
      </c>
      <c r="M1520" s="133">
        <v>2.0980364082548602E-3</v>
      </c>
      <c r="N1520" s="73">
        <v>75.304000000000102</v>
      </c>
      <c r="O1520" s="73">
        <v>6.41110289608178</v>
      </c>
      <c r="P1520" s="182">
        <v>1</v>
      </c>
      <c r="Q1520" s="182">
        <v>500</v>
      </c>
      <c r="R1520" s="46">
        <v>11.56</v>
      </c>
      <c r="S1520" s="46">
        <v>1</v>
      </c>
      <c r="T1520" s="46">
        <v>400</v>
      </c>
      <c r="U1520" s="46">
        <v>11.74</v>
      </c>
      <c r="V1520" s="46" t="s">
        <v>62</v>
      </c>
      <c r="W1520" s="46">
        <v>100</v>
      </c>
      <c r="X1520" s="46">
        <v>10.84</v>
      </c>
      <c r="Y1520" s="194">
        <v>11.686</v>
      </c>
      <c r="Z1520" s="194">
        <v>11.686</v>
      </c>
      <c r="AA1520" s="194">
        <v>11.974</v>
      </c>
      <c r="AB1520" s="46">
        <v>12</v>
      </c>
      <c r="AC1520" s="46">
        <v>12.25</v>
      </c>
      <c r="AD1520" s="46">
        <v>11.86</v>
      </c>
      <c r="AE1520" s="46">
        <v>12.09</v>
      </c>
    </row>
    <row r="1521" spans="1:31" x14ac:dyDescent="0.25">
      <c r="A1521" s="136">
        <v>43061</v>
      </c>
      <c r="B1521" s="201" t="s">
        <v>72</v>
      </c>
      <c r="C1521" t="s">
        <v>130</v>
      </c>
      <c r="D1521">
        <v>2100</v>
      </c>
      <c r="E1521">
        <v>2100</v>
      </c>
      <c r="F1521">
        <v>7.4969999999999999</v>
      </c>
      <c r="G1521">
        <v>-960.55</v>
      </c>
      <c r="H1521">
        <v>-6.09</v>
      </c>
      <c r="I1521" s="309">
        <v>14784</v>
      </c>
      <c r="J1521">
        <v>7.04</v>
      </c>
      <c r="K1521" s="133">
        <v>2.8230973204368601E-2</v>
      </c>
      <c r="L1521" s="181">
        <v>0</v>
      </c>
      <c r="M1521" s="133">
        <v>3.0065203541994202E-2</v>
      </c>
      <c r="N1521" s="73">
        <v>-1119.2559999999901</v>
      </c>
      <c r="O1521" s="73">
        <v>-126.88786803394299</v>
      </c>
      <c r="P1521" s="182">
        <v>0</v>
      </c>
      <c r="Q1521" s="182">
        <v>0</v>
      </c>
      <c r="R1521" s="46">
        <v>0</v>
      </c>
      <c r="S1521" s="46">
        <v>11</v>
      </c>
      <c r="T1521" s="46">
        <v>4700</v>
      </c>
      <c r="U1521" s="46">
        <v>8.1720000000000006</v>
      </c>
      <c r="V1521" s="46" t="s">
        <v>68</v>
      </c>
      <c r="W1521" s="46">
        <v>4700</v>
      </c>
      <c r="X1521" s="46">
        <v>8.1720000000000006</v>
      </c>
      <c r="Y1521" s="194">
        <v>6.9669999999999996</v>
      </c>
      <c r="Z1521" s="194">
        <v>6.9669999999999996</v>
      </c>
      <c r="AA1521" s="194">
        <v>6.9859999999999998</v>
      </c>
      <c r="AB1521" s="46">
        <v>7.05</v>
      </c>
      <c r="AC1521" s="46">
        <v>7.12</v>
      </c>
      <c r="AD1521" s="46">
        <v>6.86</v>
      </c>
      <c r="AE1521" s="46">
        <v>7.04</v>
      </c>
    </row>
    <row r="1522" spans="1:31" x14ac:dyDescent="0.25">
      <c r="A1522" s="136">
        <v>43061</v>
      </c>
      <c r="B1522" s="201" t="s">
        <v>70</v>
      </c>
      <c r="C1522" t="s">
        <v>131</v>
      </c>
      <c r="D1522">
        <v>10400</v>
      </c>
      <c r="E1522">
        <v>10000</v>
      </c>
      <c r="F1522">
        <v>12.282999999999999</v>
      </c>
      <c r="G1522">
        <v>-10947.46</v>
      </c>
      <c r="H1522">
        <v>-8.57</v>
      </c>
      <c r="I1522" s="309">
        <v>116792</v>
      </c>
      <c r="J1522">
        <v>11.23</v>
      </c>
      <c r="K1522" s="133">
        <v>0.22302163301438199</v>
      </c>
      <c r="L1522" s="181">
        <v>-520</v>
      </c>
      <c r="M1522" s="133">
        <v>0.243926492992459</v>
      </c>
      <c r="N1522" s="73">
        <v>-13234.441999999999</v>
      </c>
      <c r="O1522" s="73">
        <v>-1201.4373096276099</v>
      </c>
      <c r="P1522" s="182">
        <v>7</v>
      </c>
      <c r="Q1522" s="182">
        <v>3500</v>
      </c>
      <c r="R1522" s="46">
        <v>11.8</v>
      </c>
      <c r="S1522" s="46">
        <v>9</v>
      </c>
      <c r="T1522" s="46">
        <v>3600</v>
      </c>
      <c r="U1522" s="46">
        <v>13.278</v>
      </c>
      <c r="V1522" s="46" t="s">
        <v>68</v>
      </c>
      <c r="W1522" s="46">
        <v>100</v>
      </c>
      <c r="X1522" s="46">
        <v>65.007999999999996</v>
      </c>
      <c r="Y1522" s="194">
        <v>11.177</v>
      </c>
      <c r="Z1522" s="194">
        <v>12.420999999999999</v>
      </c>
      <c r="AA1522" s="194">
        <v>12.493</v>
      </c>
      <c r="AB1522" s="46">
        <v>11.29</v>
      </c>
      <c r="AC1522" s="46">
        <v>11.34</v>
      </c>
      <c r="AD1522" s="46">
        <v>11.15</v>
      </c>
      <c r="AE1522" s="46">
        <v>11.23</v>
      </c>
    </row>
    <row r="1523" spans="1:31" x14ac:dyDescent="0.25">
      <c r="A1523" s="136">
        <v>43061</v>
      </c>
      <c r="B1523" s="201" t="s">
        <v>137</v>
      </c>
      <c r="C1523" t="s">
        <v>138</v>
      </c>
      <c r="D1523">
        <v>100</v>
      </c>
      <c r="E1523">
        <v>100</v>
      </c>
      <c r="F1523">
        <v>-130.48500000000001</v>
      </c>
      <c r="G1523">
        <v>17281.5</v>
      </c>
      <c r="H1523">
        <v>0</v>
      </c>
      <c r="I1523" s="309">
        <v>4233</v>
      </c>
      <c r="J1523">
        <v>42.33</v>
      </c>
      <c r="K1523" s="133">
        <v>8.0831784073384892E-3</v>
      </c>
      <c r="L1523" s="181">
        <v>-27</v>
      </c>
      <c r="M1523" s="133">
        <v>0</v>
      </c>
    </row>
    <row r="1524" spans="1:31" x14ac:dyDescent="0.25">
      <c r="A1524" s="136">
        <v>43061</v>
      </c>
      <c r="B1524" s="201" t="s">
        <v>835</v>
      </c>
      <c r="C1524" t="s">
        <v>839</v>
      </c>
      <c r="I1524" s="309">
        <v>16643.52</v>
      </c>
      <c r="K1524" s="133">
        <v>3.1781843015853101E-2</v>
      </c>
      <c r="L1524" s="181">
        <v>0</v>
      </c>
      <c r="M1524" s="133">
        <v>3.2287151466160201E-2</v>
      </c>
    </row>
    <row r="1525" spans="1:31" x14ac:dyDescent="0.25">
      <c r="A1525" s="136">
        <v>43062</v>
      </c>
      <c r="B1525" s="201" t="s">
        <v>132</v>
      </c>
      <c r="C1525" t="s">
        <v>123</v>
      </c>
      <c r="D1525">
        <v>26465</v>
      </c>
      <c r="E1525">
        <v>26465</v>
      </c>
      <c r="F1525">
        <v>-9.2999999999999999E-2</v>
      </c>
      <c r="G1525">
        <v>2725.895</v>
      </c>
      <c r="H1525">
        <v>0</v>
      </c>
      <c r="I1525" s="309">
        <v>264.64999999999998</v>
      </c>
      <c r="J1525">
        <v>0.01</v>
      </c>
      <c r="K1525" s="133">
        <v>5.1574400911154903E-4</v>
      </c>
      <c r="L1525" s="181">
        <v>0.30900000000019601</v>
      </c>
      <c r="M1525" s="133">
        <v>0</v>
      </c>
    </row>
    <row r="1526" spans="1:31" x14ac:dyDescent="0.25">
      <c r="A1526" s="136">
        <v>43062</v>
      </c>
      <c r="B1526" s="201" t="s">
        <v>61</v>
      </c>
      <c r="C1526" t="s">
        <v>136</v>
      </c>
      <c r="D1526">
        <v>3500</v>
      </c>
      <c r="E1526">
        <v>3500</v>
      </c>
      <c r="F1526">
        <v>5.3070000000000004</v>
      </c>
      <c r="G1526">
        <v>-408.52</v>
      </c>
      <c r="H1526">
        <v>-2.2000000000000002</v>
      </c>
      <c r="I1526" s="309">
        <v>18165</v>
      </c>
      <c r="J1526">
        <v>5.19</v>
      </c>
      <c r="K1526" s="133">
        <v>3.5399546289481498E-2</v>
      </c>
      <c r="L1526" s="181">
        <v>-140</v>
      </c>
      <c r="M1526" s="133">
        <v>3.6195660941294297E-2</v>
      </c>
      <c r="N1526" s="73">
        <v>-587.26800000000003</v>
      </c>
      <c r="O1526" s="73">
        <v>-114.19734747081699</v>
      </c>
      <c r="P1526" s="182">
        <v>6</v>
      </c>
      <c r="Q1526" s="182">
        <v>3000</v>
      </c>
      <c r="R1526" s="46">
        <v>5.31</v>
      </c>
      <c r="S1526" s="46">
        <v>0</v>
      </c>
      <c r="T1526" s="46">
        <v>0</v>
      </c>
      <c r="U1526" s="46">
        <v>0</v>
      </c>
      <c r="V1526" s="46" t="s">
        <v>62</v>
      </c>
      <c r="W1526" s="46">
        <v>3000</v>
      </c>
      <c r="X1526" s="46">
        <v>5.31</v>
      </c>
      <c r="Y1526" s="194">
        <v>5.181</v>
      </c>
      <c r="Z1526" s="194">
        <v>5.1100000000000003</v>
      </c>
      <c r="AA1526" s="194">
        <v>5.2060000000000004</v>
      </c>
      <c r="AB1526" s="46">
        <v>5.23</v>
      </c>
      <c r="AC1526" s="46">
        <v>5.25</v>
      </c>
      <c r="AD1526" s="46">
        <v>5.15</v>
      </c>
      <c r="AE1526" s="46">
        <v>5.19</v>
      </c>
    </row>
    <row r="1527" spans="1:31" x14ac:dyDescent="0.25">
      <c r="A1527" s="136">
        <v>43062</v>
      </c>
      <c r="B1527" s="201" t="s">
        <v>124</v>
      </c>
      <c r="C1527" t="s">
        <v>125</v>
      </c>
      <c r="D1527">
        <v>100</v>
      </c>
      <c r="E1527">
        <v>100</v>
      </c>
      <c r="F1527">
        <v>-53.579000000000001</v>
      </c>
      <c r="G1527">
        <v>5969.9</v>
      </c>
      <c r="H1527">
        <v>0</v>
      </c>
      <c r="I1527" s="309">
        <v>612</v>
      </c>
      <c r="J1527">
        <v>6.12</v>
      </c>
      <c r="K1527" s="133">
        <v>1.1926519311402501E-3</v>
      </c>
      <c r="L1527" s="181">
        <v>-13</v>
      </c>
      <c r="M1527" s="133">
        <v>0</v>
      </c>
      <c r="N1527" s="73">
        <v>5995.0890000000099</v>
      </c>
      <c r="O1527" s="73">
        <v>1102.4501845505599</v>
      </c>
      <c r="P1527" s="182">
        <v>0</v>
      </c>
      <c r="Q1527" s="182">
        <v>0</v>
      </c>
      <c r="R1527" s="46">
        <v>0</v>
      </c>
      <c r="S1527" s="46">
        <v>5</v>
      </c>
      <c r="T1527" s="46">
        <v>2300</v>
      </c>
      <c r="U1527" s="46">
        <v>4.99</v>
      </c>
      <c r="V1527" s="46" t="s">
        <v>68</v>
      </c>
      <c r="W1527" s="46">
        <v>2300</v>
      </c>
      <c r="X1527" s="46">
        <v>4.99</v>
      </c>
      <c r="Y1527" s="194">
        <v>6.1609999999999996</v>
      </c>
      <c r="Z1527" s="193">
        <v>5.2359999999999998</v>
      </c>
      <c r="AA1527" s="193">
        <v>5.8209999999999997</v>
      </c>
      <c r="AB1527" s="46">
        <v>6.23</v>
      </c>
      <c r="AC1527" s="46">
        <v>6.31</v>
      </c>
      <c r="AD1527" s="46">
        <v>6.06</v>
      </c>
      <c r="AE1527" s="46">
        <v>6.12</v>
      </c>
    </row>
    <row r="1528" spans="1:31" x14ac:dyDescent="0.25">
      <c r="A1528" s="136">
        <v>43062</v>
      </c>
      <c r="B1528" s="201" t="s">
        <v>71</v>
      </c>
      <c r="C1528" t="s">
        <v>126</v>
      </c>
      <c r="D1528">
        <v>3700</v>
      </c>
      <c r="E1528">
        <v>3700</v>
      </c>
      <c r="F1528">
        <v>6.0449999999999999</v>
      </c>
      <c r="G1528">
        <v>1017.25</v>
      </c>
      <c r="H1528">
        <v>4.55</v>
      </c>
      <c r="I1528" s="309">
        <v>23384</v>
      </c>
      <c r="J1528">
        <v>6.32</v>
      </c>
      <c r="K1528" s="133">
        <v>4.5570216924483098E-2</v>
      </c>
      <c r="L1528" s="181">
        <v>-666</v>
      </c>
      <c r="M1528" s="133">
        <v>4.35878228444955E-2</v>
      </c>
      <c r="N1528" s="73">
        <v>3350.6350000000002</v>
      </c>
      <c r="O1528" s="73">
        <v>268.36375713190199</v>
      </c>
      <c r="P1528" s="182">
        <v>2</v>
      </c>
      <c r="Q1528" s="182">
        <v>1000</v>
      </c>
      <c r="R1528" s="46">
        <v>6.45</v>
      </c>
      <c r="S1528" s="46">
        <v>0</v>
      </c>
      <c r="T1528" s="46">
        <v>0</v>
      </c>
      <c r="U1528" s="46">
        <v>0</v>
      </c>
      <c r="V1528" s="46" t="s">
        <v>62</v>
      </c>
      <c r="W1528" s="46">
        <v>1000</v>
      </c>
      <c r="X1528" s="46">
        <v>6.45</v>
      </c>
      <c r="Y1528" s="194">
        <v>6.4</v>
      </c>
      <c r="Z1528" s="194">
        <v>6.3109999999999999</v>
      </c>
      <c r="AA1528" s="194">
        <v>6.5609999999999999</v>
      </c>
      <c r="AB1528" s="46">
        <v>6.46</v>
      </c>
      <c r="AC1528" s="46">
        <v>6.56</v>
      </c>
      <c r="AD1528" s="46">
        <v>6.28</v>
      </c>
      <c r="AE1528" s="46">
        <v>6.32</v>
      </c>
    </row>
    <row r="1529" spans="1:31" x14ac:dyDescent="0.25">
      <c r="A1529" s="136">
        <v>43062</v>
      </c>
      <c r="B1529" s="201" t="s">
        <v>79</v>
      </c>
      <c r="C1529" t="s">
        <v>143</v>
      </c>
      <c r="D1529">
        <v>4500</v>
      </c>
      <c r="E1529">
        <v>4500</v>
      </c>
      <c r="F1529">
        <v>17.189</v>
      </c>
      <c r="G1529">
        <v>-5711.54</v>
      </c>
      <c r="H1529">
        <v>-7.38</v>
      </c>
      <c r="I1529" s="309">
        <v>71640</v>
      </c>
      <c r="J1529">
        <v>15.92</v>
      </c>
      <c r="K1529" s="133">
        <v>0.13961043193935899</v>
      </c>
      <c r="L1529" s="181">
        <v>-1395</v>
      </c>
      <c r="M1529" s="133">
        <v>0.15074095352560901</v>
      </c>
      <c r="N1529" s="73">
        <v>-5397.7000000000098</v>
      </c>
      <c r="O1529" s="73">
        <v>-337.39844590369103</v>
      </c>
      <c r="P1529" s="182">
        <v>8</v>
      </c>
      <c r="Q1529" s="182">
        <v>4500</v>
      </c>
      <c r="R1529" s="46">
        <v>17.18</v>
      </c>
      <c r="S1529" s="46">
        <v>0</v>
      </c>
      <c r="T1529" s="46">
        <v>0</v>
      </c>
      <c r="U1529" s="46">
        <v>0</v>
      </c>
      <c r="V1529" s="46" t="s">
        <v>62</v>
      </c>
      <c r="W1529" s="46">
        <v>4500</v>
      </c>
      <c r="X1529" s="46">
        <v>17.18</v>
      </c>
      <c r="Y1529" s="194">
        <v>16.021999999999998</v>
      </c>
      <c r="Z1529" s="194">
        <v>16.071999999999999</v>
      </c>
      <c r="AA1529" s="194">
        <v>16.097999999999999</v>
      </c>
      <c r="AB1529" s="46">
        <v>16.18</v>
      </c>
      <c r="AC1529" s="46">
        <v>16.18</v>
      </c>
      <c r="AD1529" s="46">
        <v>15.82</v>
      </c>
      <c r="AE1529" s="46">
        <v>15.92</v>
      </c>
    </row>
    <row r="1530" spans="1:31" x14ac:dyDescent="0.25">
      <c r="A1530" s="136">
        <v>43062</v>
      </c>
      <c r="B1530" s="201" t="s">
        <v>65</v>
      </c>
      <c r="C1530" t="s">
        <v>127</v>
      </c>
      <c r="D1530">
        <v>12600</v>
      </c>
      <c r="E1530">
        <v>12600</v>
      </c>
      <c r="F1530">
        <v>10.407999999999999</v>
      </c>
      <c r="G1530">
        <v>7961.33</v>
      </c>
      <c r="H1530">
        <v>6.07</v>
      </c>
      <c r="I1530" s="309">
        <v>139104</v>
      </c>
      <c r="J1530">
        <v>11.04</v>
      </c>
      <c r="K1530" s="133">
        <v>0.27108276834858502</v>
      </c>
      <c r="L1530" s="181">
        <v>-2520</v>
      </c>
      <c r="M1530" s="133">
        <v>0.25556790625880499</v>
      </c>
      <c r="N1530" s="73">
        <v>4434.9000000000497</v>
      </c>
      <c r="O1530" s="73">
        <v>784.87344804053305</v>
      </c>
      <c r="P1530" s="182">
        <v>4</v>
      </c>
      <c r="Q1530" s="182">
        <v>1900</v>
      </c>
      <c r="R1530" s="46">
        <v>10.896000000000001</v>
      </c>
      <c r="S1530" s="46">
        <v>15</v>
      </c>
      <c r="T1530" s="46">
        <v>6400</v>
      </c>
      <c r="U1530" s="46">
        <v>12.468999999999999</v>
      </c>
      <c r="V1530" s="46" t="s">
        <v>68</v>
      </c>
      <c r="W1530" s="46">
        <v>4500</v>
      </c>
      <c r="X1530" s="46">
        <v>13.132999999999999</v>
      </c>
      <c r="Y1530" s="194">
        <v>11.006</v>
      </c>
      <c r="Z1530" s="194">
        <v>11.433</v>
      </c>
      <c r="AA1530" s="194">
        <v>11.765000000000001</v>
      </c>
      <c r="AB1530" s="46">
        <v>11.21</v>
      </c>
      <c r="AC1530" s="46">
        <v>11.25</v>
      </c>
      <c r="AD1530" s="46">
        <v>10.96</v>
      </c>
      <c r="AE1530" s="46">
        <v>11.04</v>
      </c>
    </row>
    <row r="1531" spans="1:31" x14ac:dyDescent="0.25">
      <c r="A1531" s="136">
        <v>43062</v>
      </c>
      <c r="B1531" s="201" t="s">
        <v>77</v>
      </c>
      <c r="C1531" t="s">
        <v>128</v>
      </c>
      <c r="D1531">
        <v>4300</v>
      </c>
      <c r="E1531">
        <v>4300</v>
      </c>
      <c r="F1531">
        <v>6.0469999999999997</v>
      </c>
      <c r="G1531">
        <v>-28.47</v>
      </c>
      <c r="H1531">
        <v>-0.11</v>
      </c>
      <c r="I1531" s="309">
        <v>25972</v>
      </c>
      <c r="J1531">
        <v>6.04</v>
      </c>
      <c r="K1531" s="133">
        <v>5.06136535221808E-2</v>
      </c>
      <c r="L1531" s="181">
        <v>-645</v>
      </c>
      <c r="M1531" s="133">
        <v>5.0669135222310799E-2</v>
      </c>
      <c r="N1531" s="73">
        <v>197.58599999999601</v>
      </c>
      <c r="O1531" s="73">
        <v>112.276522866344</v>
      </c>
      <c r="P1531" s="182">
        <v>7</v>
      </c>
      <c r="Q1531" s="182">
        <v>3500</v>
      </c>
      <c r="R1531" s="46">
        <v>6.7140000000000004</v>
      </c>
      <c r="S1531" s="46">
        <v>0</v>
      </c>
      <c r="T1531" s="46">
        <v>0</v>
      </c>
      <c r="U1531" s="46">
        <v>0</v>
      </c>
      <c r="V1531" s="46" t="s">
        <v>62</v>
      </c>
      <c r="W1531" s="46">
        <v>3500</v>
      </c>
      <c r="X1531" s="46">
        <v>6.7140000000000004</v>
      </c>
      <c r="Y1531" s="194">
        <v>6.0339999999999998</v>
      </c>
      <c r="Z1531" s="194">
        <v>6.2430000000000003</v>
      </c>
      <c r="AA1531" s="194">
        <v>6.7220000000000004</v>
      </c>
      <c r="AB1531" s="46">
        <v>6.1</v>
      </c>
      <c r="AC1531" s="46">
        <v>6.17</v>
      </c>
      <c r="AD1531" s="46">
        <v>6</v>
      </c>
      <c r="AE1531" s="46">
        <v>6.04</v>
      </c>
    </row>
    <row r="1532" spans="1:31" x14ac:dyDescent="0.25">
      <c r="A1532" s="136">
        <v>43062</v>
      </c>
      <c r="B1532" s="201" t="s">
        <v>67</v>
      </c>
      <c r="C1532" t="s">
        <v>129</v>
      </c>
      <c r="D1532">
        <v>10850</v>
      </c>
      <c r="E1532">
        <v>10850</v>
      </c>
      <c r="F1532">
        <v>8.6620000000000008</v>
      </c>
      <c r="G1532">
        <v>-9565.99</v>
      </c>
      <c r="H1532">
        <v>-10.18</v>
      </c>
      <c r="I1532" s="309">
        <v>84413</v>
      </c>
      <c r="J1532">
        <v>7.78</v>
      </c>
      <c r="K1532" s="133">
        <v>0.164502169057749</v>
      </c>
      <c r="L1532" s="181">
        <v>-1085</v>
      </c>
      <c r="M1532" s="133">
        <v>0.18314415671586701</v>
      </c>
      <c r="N1532" s="73">
        <v>24183.654999999901</v>
      </c>
      <c r="O1532" s="73">
        <v>-1091.1632940915199</v>
      </c>
      <c r="P1532" s="182">
        <v>13</v>
      </c>
      <c r="Q1532" s="182">
        <v>6400</v>
      </c>
      <c r="R1532" s="46">
        <v>7.274</v>
      </c>
      <c r="S1532" s="46">
        <v>3</v>
      </c>
      <c r="T1532" s="46">
        <v>1200</v>
      </c>
      <c r="U1532" s="46">
        <v>9.17</v>
      </c>
      <c r="V1532" s="46" t="s">
        <v>62</v>
      </c>
      <c r="W1532" s="46">
        <v>5200</v>
      </c>
      <c r="X1532" s="46">
        <v>6.8360000000000003</v>
      </c>
      <c r="Y1532" s="194">
        <v>7.7969999999999997</v>
      </c>
      <c r="Z1532" s="194">
        <v>7.452</v>
      </c>
      <c r="AA1532" s="194">
        <v>8.86</v>
      </c>
      <c r="AB1532" s="46">
        <v>7.85</v>
      </c>
      <c r="AC1532" s="46">
        <v>7.97</v>
      </c>
      <c r="AD1532" s="46">
        <v>7.78</v>
      </c>
      <c r="AE1532" s="46">
        <v>7.78</v>
      </c>
    </row>
    <row r="1533" spans="1:31" x14ac:dyDescent="0.25">
      <c r="A1533" s="136">
        <v>43062</v>
      </c>
      <c r="B1533" s="201" t="s">
        <v>78</v>
      </c>
      <c r="C1533" t="s">
        <v>142</v>
      </c>
      <c r="D1533">
        <v>100</v>
      </c>
      <c r="E1533">
        <v>100</v>
      </c>
      <c r="F1533">
        <v>10.987</v>
      </c>
      <c r="G1533">
        <v>51.3</v>
      </c>
      <c r="H1533">
        <v>4.67</v>
      </c>
      <c r="I1533" s="309">
        <v>1150</v>
      </c>
      <c r="J1533">
        <v>11.5</v>
      </c>
      <c r="K1533" s="133">
        <v>2.24109431505113E-3</v>
      </c>
      <c r="L1533" s="181">
        <v>-59</v>
      </c>
      <c r="M1533" s="133">
        <v>2.1411220208232E-3</v>
      </c>
      <c r="N1533" s="73">
        <v>75.304000000000102</v>
      </c>
      <c r="O1533" s="73">
        <v>6.41110289608178</v>
      </c>
      <c r="P1533" s="182">
        <v>1</v>
      </c>
      <c r="Q1533" s="182">
        <v>500</v>
      </c>
      <c r="R1533" s="46">
        <v>11.56</v>
      </c>
      <c r="S1533" s="46">
        <v>1</v>
      </c>
      <c r="T1533" s="46">
        <v>400</v>
      </c>
      <c r="U1533" s="46">
        <v>11.74</v>
      </c>
      <c r="V1533" s="46" t="s">
        <v>62</v>
      </c>
      <c r="W1533" s="46">
        <v>100</v>
      </c>
      <c r="X1533" s="46">
        <v>10.84</v>
      </c>
      <c r="Y1533" s="194">
        <v>11.853999999999999</v>
      </c>
      <c r="Z1533" s="194">
        <v>11.763999999999999</v>
      </c>
      <c r="AA1533" s="194">
        <v>11.923999999999999</v>
      </c>
      <c r="AB1533" s="46">
        <v>11.95</v>
      </c>
      <c r="AC1533" s="46">
        <v>12.11</v>
      </c>
      <c r="AD1533" s="46">
        <v>11.42</v>
      </c>
      <c r="AE1533" s="46">
        <v>11.5</v>
      </c>
    </row>
    <row r="1534" spans="1:31" x14ac:dyDescent="0.25">
      <c r="A1534" s="136">
        <v>43062</v>
      </c>
      <c r="B1534" s="201" t="s">
        <v>72</v>
      </c>
      <c r="C1534" t="s">
        <v>130</v>
      </c>
      <c r="D1534">
        <v>3100</v>
      </c>
      <c r="E1534">
        <v>2100</v>
      </c>
      <c r="F1534">
        <v>7.2480000000000002</v>
      </c>
      <c r="G1534">
        <v>-1792.55</v>
      </c>
      <c r="H1534">
        <v>-7.97</v>
      </c>
      <c r="I1534" s="309">
        <v>20677</v>
      </c>
      <c r="J1534">
        <v>6.67</v>
      </c>
      <c r="K1534" s="133">
        <v>4.0294875784619301E-2</v>
      </c>
      <c r="L1534" s="181">
        <v>-832</v>
      </c>
      <c r="M1534" s="133">
        <v>4.3788157188484403E-2</v>
      </c>
      <c r="N1534" s="73">
        <v>-2231.2559999999899</v>
      </c>
      <c r="O1534" s="73">
        <v>-304.32442833332999</v>
      </c>
      <c r="P1534" s="182">
        <v>1</v>
      </c>
      <c r="Q1534" s="182">
        <v>500</v>
      </c>
      <c r="R1534" s="46">
        <v>6.83</v>
      </c>
      <c r="S1534" s="46">
        <v>10</v>
      </c>
      <c r="T1534" s="46">
        <v>4200</v>
      </c>
      <c r="U1534" s="46">
        <v>8.36</v>
      </c>
      <c r="V1534" s="46" t="s">
        <v>68</v>
      </c>
      <c r="W1534" s="46">
        <v>3700</v>
      </c>
      <c r="X1534" s="46">
        <v>8.5670000000000002</v>
      </c>
      <c r="Y1534" s="194">
        <v>6.8639999999999999</v>
      </c>
      <c r="Z1534" s="194">
        <v>6.9080000000000004</v>
      </c>
      <c r="AA1534" s="194">
        <v>6.875</v>
      </c>
      <c r="AB1534" s="46">
        <v>6.99</v>
      </c>
      <c r="AC1534" s="46">
        <v>6.99</v>
      </c>
      <c r="AD1534" s="46">
        <v>6.56</v>
      </c>
      <c r="AE1534" s="46">
        <v>6.67</v>
      </c>
    </row>
    <row r="1535" spans="1:31" x14ac:dyDescent="0.25">
      <c r="A1535" s="136">
        <v>43062</v>
      </c>
      <c r="B1535" s="201" t="s">
        <v>70</v>
      </c>
      <c r="C1535" t="s">
        <v>131</v>
      </c>
      <c r="D1535">
        <v>10400</v>
      </c>
      <c r="E1535">
        <v>10400</v>
      </c>
      <c r="F1535">
        <v>12.282999999999999</v>
      </c>
      <c r="G1535">
        <v>-13963.46</v>
      </c>
      <c r="H1535">
        <v>-10.93</v>
      </c>
      <c r="I1535" s="309">
        <v>113776</v>
      </c>
      <c r="J1535">
        <v>10.94</v>
      </c>
      <c r="K1535" s="133">
        <v>0.221724127642832</v>
      </c>
      <c r="L1535" s="181">
        <v>-3016</v>
      </c>
      <c r="M1535" s="133">
        <v>0.24893580662060999</v>
      </c>
      <c r="N1535" s="73">
        <v>-13234.441999999999</v>
      </c>
      <c r="O1535" s="73">
        <v>-1201.4373096276099</v>
      </c>
      <c r="P1535" s="182">
        <v>7</v>
      </c>
      <c r="Q1535" s="182">
        <v>3500</v>
      </c>
      <c r="R1535" s="46">
        <v>11.8</v>
      </c>
      <c r="S1535" s="46">
        <v>9</v>
      </c>
      <c r="T1535" s="46">
        <v>3600</v>
      </c>
      <c r="U1535" s="46">
        <v>13.278</v>
      </c>
      <c r="V1535" s="46" t="s">
        <v>68</v>
      </c>
      <c r="W1535" s="46">
        <v>100</v>
      </c>
      <c r="X1535" s="46">
        <v>65.007999999999996</v>
      </c>
      <c r="Y1535" s="194">
        <v>10.992000000000001</v>
      </c>
      <c r="Z1535" s="194">
        <v>12.372999999999999</v>
      </c>
      <c r="AA1535" s="194">
        <v>12.475</v>
      </c>
      <c r="AB1535" s="46">
        <v>11.22</v>
      </c>
      <c r="AC1535" s="46">
        <v>11.22</v>
      </c>
      <c r="AD1535" s="46">
        <v>10.9</v>
      </c>
      <c r="AE1535" s="46">
        <v>10.94</v>
      </c>
    </row>
    <row r="1536" spans="1:31" x14ac:dyDescent="0.25">
      <c r="A1536" s="136">
        <v>43062</v>
      </c>
      <c r="B1536" s="201" t="s">
        <v>137</v>
      </c>
      <c r="C1536" t="s">
        <v>138</v>
      </c>
      <c r="D1536">
        <v>100</v>
      </c>
      <c r="E1536">
        <v>100</v>
      </c>
      <c r="F1536">
        <v>-130.48500000000001</v>
      </c>
      <c r="G1536">
        <v>17114.5</v>
      </c>
      <c r="H1536">
        <v>0</v>
      </c>
      <c r="I1536" s="309">
        <v>4066</v>
      </c>
      <c r="J1536">
        <v>40.659999999999997</v>
      </c>
      <c r="K1536" s="133">
        <v>7.9237299869546907E-3</v>
      </c>
      <c r="L1536" s="181">
        <v>-167</v>
      </c>
      <c r="M1536" s="133">
        <v>0</v>
      </c>
    </row>
    <row r="1537" spans="1:31" x14ac:dyDescent="0.25">
      <c r="A1537" s="136">
        <v>43062</v>
      </c>
      <c r="B1537" s="201" t="s">
        <v>835</v>
      </c>
      <c r="C1537" t="s">
        <v>839</v>
      </c>
      <c r="I1537" s="309">
        <v>9918.52</v>
      </c>
      <c r="K1537" s="133">
        <v>1.9328990248452999E-2</v>
      </c>
      <c r="L1537" s="181">
        <v>0</v>
      </c>
      <c r="M1537" s="133">
        <v>1.98447342575645E-2</v>
      </c>
    </row>
    <row r="1538" spans="1:31" x14ac:dyDescent="0.25">
      <c r="A1538" s="136">
        <v>43063</v>
      </c>
      <c r="B1538" s="201" t="s">
        <v>132</v>
      </c>
      <c r="C1538" t="s">
        <v>123</v>
      </c>
      <c r="D1538">
        <v>26468</v>
      </c>
      <c r="E1538">
        <v>26468</v>
      </c>
      <c r="F1538">
        <v>-9.2999999999999999E-2</v>
      </c>
      <c r="G1538">
        <v>2726.2040000000002</v>
      </c>
      <c r="H1538">
        <v>0</v>
      </c>
      <c r="I1538" s="309">
        <v>264.68</v>
      </c>
      <c r="J1538">
        <v>0.01</v>
      </c>
      <c r="K1538" s="133">
        <v>5.1587958160583295E-4</v>
      </c>
      <c r="L1538" s="181">
        <v>0.30900000000019601</v>
      </c>
      <c r="M1538" s="133">
        <v>0</v>
      </c>
    </row>
    <row r="1539" spans="1:31" x14ac:dyDescent="0.25">
      <c r="A1539" s="136">
        <v>43063</v>
      </c>
      <c r="B1539" s="201" t="s">
        <v>61</v>
      </c>
      <c r="C1539" t="s">
        <v>136</v>
      </c>
      <c r="D1539">
        <v>3500</v>
      </c>
      <c r="E1539">
        <v>3500</v>
      </c>
      <c r="F1539">
        <v>5.3070000000000004</v>
      </c>
      <c r="G1539">
        <v>-443.52</v>
      </c>
      <c r="H1539">
        <v>-2.39</v>
      </c>
      <c r="I1539" s="309">
        <v>18130</v>
      </c>
      <c r="J1539">
        <v>5.18</v>
      </c>
      <c r="K1539" s="133">
        <v>3.5336620879982399E-2</v>
      </c>
      <c r="L1539" s="181">
        <v>-35</v>
      </c>
      <c r="M1539" s="133">
        <v>3.6201071960660303E-2</v>
      </c>
      <c r="N1539" s="73">
        <v>-587.26800000000003</v>
      </c>
      <c r="O1539" s="73">
        <v>-114.19734747081699</v>
      </c>
      <c r="P1539" s="182">
        <v>6</v>
      </c>
      <c r="Q1539" s="182">
        <v>3000</v>
      </c>
      <c r="R1539" s="46">
        <v>5.31</v>
      </c>
      <c r="S1539" s="46">
        <v>0</v>
      </c>
      <c r="T1539" s="46">
        <v>0</v>
      </c>
      <c r="U1539" s="46">
        <v>0</v>
      </c>
      <c r="V1539" s="46" t="s">
        <v>62</v>
      </c>
      <c r="W1539" s="46">
        <v>3000</v>
      </c>
      <c r="X1539" s="46">
        <v>5.31</v>
      </c>
      <c r="Y1539" s="194">
        <v>5.0640000000000001</v>
      </c>
      <c r="Z1539" s="194">
        <v>5.101</v>
      </c>
      <c r="AA1539" s="194">
        <v>5.1970000000000001</v>
      </c>
      <c r="AB1539" s="46">
        <v>5.17</v>
      </c>
      <c r="AC1539" s="46">
        <v>5.19</v>
      </c>
      <c r="AD1539" s="46">
        <v>5.14</v>
      </c>
      <c r="AE1539" s="46">
        <v>5.18</v>
      </c>
    </row>
    <row r="1540" spans="1:31" x14ac:dyDescent="0.25">
      <c r="A1540" s="136">
        <v>43063</v>
      </c>
      <c r="B1540" s="201" t="s">
        <v>124</v>
      </c>
      <c r="C1540" t="s">
        <v>125</v>
      </c>
      <c r="D1540">
        <v>100</v>
      </c>
      <c r="E1540">
        <v>100</v>
      </c>
      <c r="F1540">
        <v>-53.579000000000001</v>
      </c>
      <c r="G1540">
        <v>5964.9</v>
      </c>
      <c r="H1540">
        <v>0</v>
      </c>
      <c r="I1540" s="309">
        <v>607</v>
      </c>
      <c r="J1540">
        <v>6.07</v>
      </c>
      <c r="K1540" s="133">
        <v>1.1830848799861699E-3</v>
      </c>
      <c r="L1540" s="181">
        <v>-5</v>
      </c>
      <c r="M1540" s="133">
        <v>0</v>
      </c>
      <c r="N1540" s="73">
        <v>5995.0890000000099</v>
      </c>
      <c r="O1540" s="73">
        <v>1102.4501845505599</v>
      </c>
      <c r="P1540" s="182">
        <v>0</v>
      </c>
      <c r="Q1540" s="182">
        <v>0</v>
      </c>
      <c r="R1540" s="46">
        <v>0</v>
      </c>
      <c r="S1540" s="46">
        <v>5</v>
      </c>
      <c r="T1540" s="46">
        <v>2300</v>
      </c>
      <c r="U1540" s="46">
        <v>4.99</v>
      </c>
      <c r="V1540" s="46" t="s">
        <v>68</v>
      </c>
      <c r="W1540" s="46">
        <v>2300</v>
      </c>
      <c r="X1540" s="46">
        <v>4.99</v>
      </c>
      <c r="Y1540" s="194">
        <v>5.7629999999999999</v>
      </c>
      <c r="Z1540" s="193">
        <v>5.2309999999999999</v>
      </c>
      <c r="AA1540" s="193">
        <v>5.8250000000000002</v>
      </c>
      <c r="AB1540" s="46">
        <v>6.11</v>
      </c>
      <c r="AC1540" s="46">
        <v>6.13</v>
      </c>
      <c r="AD1540" s="46">
        <v>5.98</v>
      </c>
      <c r="AE1540" s="46">
        <v>6.07</v>
      </c>
    </row>
    <row r="1541" spans="1:31" x14ac:dyDescent="0.25">
      <c r="A1541" s="136">
        <v>43063</v>
      </c>
      <c r="B1541" s="201" t="s">
        <v>71</v>
      </c>
      <c r="C1541" t="s">
        <v>126</v>
      </c>
      <c r="D1541">
        <v>3200</v>
      </c>
      <c r="E1541">
        <v>3200</v>
      </c>
      <c r="F1541">
        <v>6.0030000000000001</v>
      </c>
      <c r="G1541">
        <v>1046.02</v>
      </c>
      <c r="H1541">
        <v>5.45</v>
      </c>
      <c r="I1541" s="309">
        <v>20256</v>
      </c>
      <c r="J1541">
        <v>6.33</v>
      </c>
      <c r="K1541" s="133">
        <v>3.9480341563426599E-2</v>
      </c>
      <c r="L1541" s="181">
        <v>28.77</v>
      </c>
      <c r="M1541" s="133">
        <v>3.7441576413240203E-2</v>
      </c>
      <c r="N1541" s="73">
        <v>2832.0940000000001</v>
      </c>
      <c r="O1541" s="73">
        <v>164.079372669826</v>
      </c>
      <c r="P1541" s="182">
        <v>2</v>
      </c>
      <c r="Q1541" s="182">
        <v>1000</v>
      </c>
      <c r="R1541" s="46">
        <v>6.45</v>
      </c>
      <c r="S1541" s="46">
        <v>1</v>
      </c>
      <c r="T1541" s="46">
        <v>500</v>
      </c>
      <c r="U1541" s="46">
        <v>6.33</v>
      </c>
      <c r="V1541" s="46" t="s">
        <v>62</v>
      </c>
      <c r="W1541" s="46">
        <v>500</v>
      </c>
      <c r="X1541" s="46">
        <v>6.57</v>
      </c>
      <c r="Y1541" s="194">
        <v>6.1929999999999996</v>
      </c>
      <c r="Z1541" s="194">
        <v>6.3090000000000002</v>
      </c>
      <c r="AA1541" s="194">
        <v>6.5579999999999998</v>
      </c>
      <c r="AB1541" s="46">
        <v>6.34</v>
      </c>
      <c r="AC1541" s="46">
        <v>6.39</v>
      </c>
      <c r="AD1541" s="46">
        <v>6.31</v>
      </c>
      <c r="AE1541" s="46">
        <v>6.33</v>
      </c>
    </row>
    <row r="1542" spans="1:31" x14ac:dyDescent="0.25">
      <c r="A1542" s="136">
        <v>43063</v>
      </c>
      <c r="B1542" s="201" t="s">
        <v>79</v>
      </c>
      <c r="C1542" t="s">
        <v>143</v>
      </c>
      <c r="D1542">
        <v>4500</v>
      </c>
      <c r="E1542">
        <v>4500</v>
      </c>
      <c r="F1542">
        <v>17.189</v>
      </c>
      <c r="G1542">
        <v>-5711.54</v>
      </c>
      <c r="H1542">
        <v>-7.38</v>
      </c>
      <c r="I1542" s="309">
        <v>71640</v>
      </c>
      <c r="J1542">
        <v>15.92</v>
      </c>
      <c r="K1542" s="133">
        <v>0.139631302804299</v>
      </c>
      <c r="L1542" s="181">
        <v>0</v>
      </c>
      <c r="M1542" s="133">
        <v>0.15076348833220099</v>
      </c>
      <c r="N1542" s="73">
        <v>-5397.7000000000098</v>
      </c>
      <c r="O1542" s="73">
        <v>-337.39844590369103</v>
      </c>
      <c r="P1542" s="182">
        <v>8</v>
      </c>
      <c r="Q1542" s="182">
        <v>4500</v>
      </c>
      <c r="R1542" s="46">
        <v>17.18</v>
      </c>
      <c r="S1542" s="46">
        <v>0</v>
      </c>
      <c r="T1542" s="46">
        <v>0</v>
      </c>
      <c r="U1542" s="46">
        <v>0</v>
      </c>
      <c r="V1542" s="46" t="s">
        <v>62</v>
      </c>
      <c r="W1542" s="46">
        <v>4500</v>
      </c>
      <c r="X1542" s="46">
        <v>17.18</v>
      </c>
      <c r="Y1542" s="194">
        <v>15.718</v>
      </c>
      <c r="Z1542" s="194">
        <v>16.068000000000001</v>
      </c>
      <c r="AA1542" s="194">
        <v>16.065000000000001</v>
      </c>
      <c r="AB1542" s="46">
        <v>15.83</v>
      </c>
      <c r="AC1542" s="46">
        <v>15.98</v>
      </c>
      <c r="AD1542" s="46">
        <v>15.82</v>
      </c>
      <c r="AE1542" s="46">
        <v>15.92</v>
      </c>
    </row>
    <row r="1543" spans="1:31" x14ac:dyDescent="0.25">
      <c r="A1543" s="136">
        <v>43063</v>
      </c>
      <c r="B1543" s="201" t="s">
        <v>65</v>
      </c>
      <c r="C1543" t="s">
        <v>127</v>
      </c>
      <c r="D1543">
        <v>12600</v>
      </c>
      <c r="E1543">
        <v>12600</v>
      </c>
      <c r="F1543">
        <v>10.407999999999999</v>
      </c>
      <c r="G1543">
        <v>9599.33</v>
      </c>
      <c r="H1543">
        <v>7.32</v>
      </c>
      <c r="I1543" s="309">
        <v>140742</v>
      </c>
      <c r="J1543">
        <v>11.17</v>
      </c>
      <c r="K1543" s="133">
        <v>0.27431586849919998</v>
      </c>
      <c r="L1543" s="181">
        <v>1638</v>
      </c>
      <c r="M1543" s="133">
        <v>0.25560611202309103</v>
      </c>
      <c r="N1543" s="73">
        <v>4434.9000000000497</v>
      </c>
      <c r="O1543" s="73">
        <v>784.87344804053305</v>
      </c>
      <c r="P1543" s="182">
        <v>4</v>
      </c>
      <c r="Q1543" s="182">
        <v>1900</v>
      </c>
      <c r="R1543" s="46">
        <v>10.896000000000001</v>
      </c>
      <c r="S1543" s="46">
        <v>15</v>
      </c>
      <c r="T1543" s="46">
        <v>6400</v>
      </c>
      <c r="U1543" s="46">
        <v>12.468999999999999</v>
      </c>
      <c r="V1543" s="46" t="s">
        <v>68</v>
      </c>
      <c r="W1543" s="46">
        <v>4500</v>
      </c>
      <c r="X1543" s="46">
        <v>13.132999999999999</v>
      </c>
      <c r="Y1543" s="193">
        <v>11.151999999999999</v>
      </c>
      <c r="Z1543" s="194">
        <v>11.439</v>
      </c>
      <c r="AA1543" s="194">
        <v>11.759</v>
      </c>
      <c r="AB1543" s="46">
        <v>11</v>
      </c>
      <c r="AC1543" s="46">
        <v>11.19</v>
      </c>
      <c r="AD1543" s="46">
        <v>10.95</v>
      </c>
      <c r="AE1543" s="46">
        <v>11.17</v>
      </c>
    </row>
    <row r="1544" spans="1:31" x14ac:dyDescent="0.25">
      <c r="A1544" s="136">
        <v>43063</v>
      </c>
      <c r="B1544" s="201" t="s">
        <v>77</v>
      </c>
      <c r="C1544" t="s">
        <v>128</v>
      </c>
      <c r="D1544">
        <v>4800</v>
      </c>
      <c r="E1544">
        <v>4300</v>
      </c>
      <c r="F1544">
        <v>6.0410000000000004</v>
      </c>
      <c r="G1544">
        <v>-339.47</v>
      </c>
      <c r="H1544">
        <v>-1.17</v>
      </c>
      <c r="I1544" s="309">
        <v>28656</v>
      </c>
      <c r="J1544">
        <v>5.97</v>
      </c>
      <c r="K1544" s="133">
        <v>5.5852521121719602E-2</v>
      </c>
      <c r="L1544" s="181">
        <v>-311</v>
      </c>
      <c r="M1544" s="133">
        <v>5.6514171573464098E-2</v>
      </c>
      <c r="N1544" s="73">
        <v>-796.41400000000101</v>
      </c>
      <c r="O1544" s="73">
        <v>-49.542774749164003</v>
      </c>
      <c r="P1544" s="182">
        <v>8</v>
      </c>
      <c r="Q1544" s="182">
        <v>4000</v>
      </c>
      <c r="R1544" s="46">
        <v>6.6230000000000002</v>
      </c>
      <c r="S1544" s="46">
        <v>0</v>
      </c>
      <c r="T1544" s="46">
        <v>0</v>
      </c>
      <c r="U1544" s="46">
        <v>0</v>
      </c>
      <c r="V1544" s="46" t="s">
        <v>62</v>
      </c>
      <c r="W1544" s="46">
        <v>4000</v>
      </c>
      <c r="X1544" s="46">
        <v>6.6230000000000002</v>
      </c>
      <c r="Y1544" s="194">
        <v>5.8479999999999999</v>
      </c>
      <c r="Z1544" s="194">
        <v>6.2359999999999998</v>
      </c>
      <c r="AA1544" s="194">
        <v>6.7119999999999997</v>
      </c>
      <c r="AB1544" s="46">
        <v>6.02</v>
      </c>
      <c r="AC1544" s="46">
        <v>6.06</v>
      </c>
      <c r="AD1544" s="46">
        <v>5.96</v>
      </c>
      <c r="AE1544" s="46">
        <v>5.97</v>
      </c>
    </row>
    <row r="1545" spans="1:31" x14ac:dyDescent="0.25">
      <c r="A1545" s="136">
        <v>43063</v>
      </c>
      <c r="B1545" s="201" t="s">
        <v>67</v>
      </c>
      <c r="C1545" t="s">
        <v>129</v>
      </c>
      <c r="D1545">
        <v>11350</v>
      </c>
      <c r="E1545">
        <v>10850</v>
      </c>
      <c r="F1545">
        <v>8.6189999999999998</v>
      </c>
      <c r="G1545">
        <v>-10320.49</v>
      </c>
      <c r="H1545">
        <v>-10.55</v>
      </c>
      <c r="I1545" s="309">
        <v>87508.5</v>
      </c>
      <c r="J1545">
        <v>7.71</v>
      </c>
      <c r="K1545" s="133">
        <v>0.17056010415201001</v>
      </c>
      <c r="L1545" s="181">
        <v>-754.5</v>
      </c>
      <c r="M1545" s="133">
        <v>0.19067545122457799</v>
      </c>
      <c r="N1545" s="73">
        <v>46210.694999999898</v>
      </c>
      <c r="O1545" s="73">
        <v>-1371.19325416128</v>
      </c>
      <c r="P1545" s="182">
        <v>14</v>
      </c>
      <c r="Q1545" s="182">
        <v>6900</v>
      </c>
      <c r="R1545" s="46">
        <v>7.3040000000000003</v>
      </c>
      <c r="S1545" s="46">
        <v>3</v>
      </c>
      <c r="T1545" s="46">
        <v>1200</v>
      </c>
      <c r="U1545" s="46">
        <v>9.17</v>
      </c>
      <c r="V1545" s="46" t="s">
        <v>62</v>
      </c>
      <c r="W1545" s="46">
        <v>5700</v>
      </c>
      <c r="X1545" s="46">
        <v>6.9109999999999996</v>
      </c>
      <c r="Y1545" s="194">
        <v>7.6790000000000003</v>
      </c>
      <c r="Z1545" s="194">
        <v>7.468</v>
      </c>
      <c r="AA1545" s="194">
        <v>8.85</v>
      </c>
      <c r="AB1545" s="46">
        <v>7.75</v>
      </c>
      <c r="AC1545" s="46">
        <v>7.75</v>
      </c>
      <c r="AD1545" s="46">
        <v>7.63</v>
      </c>
      <c r="AE1545" s="46">
        <v>7.71</v>
      </c>
    </row>
    <row r="1546" spans="1:31" x14ac:dyDescent="0.25">
      <c r="A1546" s="136">
        <v>43063</v>
      </c>
      <c r="B1546" s="201" t="s">
        <v>78</v>
      </c>
      <c r="C1546" t="s">
        <v>142</v>
      </c>
      <c r="D1546">
        <v>100</v>
      </c>
      <c r="E1546">
        <v>100</v>
      </c>
      <c r="F1546">
        <v>10.987</v>
      </c>
      <c r="G1546">
        <v>17.3</v>
      </c>
      <c r="H1546">
        <v>1.58</v>
      </c>
      <c r="I1546" s="309">
        <v>1116</v>
      </c>
      <c r="J1546">
        <v>11.16</v>
      </c>
      <c r="K1546" s="133">
        <v>2.1751609984589299E-3</v>
      </c>
      <c r="L1546" s="181">
        <v>-34</v>
      </c>
      <c r="M1546" s="133">
        <v>2.1414421048448302E-3</v>
      </c>
      <c r="N1546" s="73">
        <v>75.304000000000102</v>
      </c>
      <c r="O1546" s="73">
        <v>6.41110289608178</v>
      </c>
      <c r="P1546" s="182">
        <v>1</v>
      </c>
      <c r="Q1546" s="182">
        <v>500</v>
      </c>
      <c r="R1546" s="46">
        <v>11.56</v>
      </c>
      <c r="S1546" s="46">
        <v>1</v>
      </c>
      <c r="T1546" s="46">
        <v>400</v>
      </c>
      <c r="U1546" s="46">
        <v>11.74</v>
      </c>
      <c r="V1546" s="46" t="s">
        <v>62</v>
      </c>
      <c r="W1546" s="46">
        <v>100</v>
      </c>
      <c r="X1546" s="46">
        <v>10.84</v>
      </c>
      <c r="Y1546" s="194">
        <v>11.151</v>
      </c>
      <c r="Z1546" s="194">
        <v>11.59</v>
      </c>
      <c r="AA1546" s="194">
        <v>11.723000000000001</v>
      </c>
      <c r="AB1546" s="46">
        <v>11.33</v>
      </c>
      <c r="AC1546" s="46">
        <v>11.43</v>
      </c>
      <c r="AD1546" s="46">
        <v>11.02</v>
      </c>
      <c r="AE1546" s="46">
        <v>11.16</v>
      </c>
    </row>
    <row r="1547" spans="1:31" x14ac:dyDescent="0.25">
      <c r="A1547" s="136">
        <v>43063</v>
      </c>
      <c r="B1547" s="201" t="s">
        <v>72</v>
      </c>
      <c r="C1547" t="s">
        <v>130</v>
      </c>
      <c r="D1547">
        <v>3100</v>
      </c>
      <c r="E1547">
        <v>2700</v>
      </c>
      <c r="F1547">
        <v>7.2480000000000002</v>
      </c>
      <c r="G1547">
        <v>-1606.55</v>
      </c>
      <c r="H1547">
        <v>-7.15</v>
      </c>
      <c r="I1547" s="309">
        <v>20863</v>
      </c>
      <c r="J1547">
        <v>6.73</v>
      </c>
      <c r="K1547" s="133">
        <v>4.0663426443412802E-2</v>
      </c>
      <c r="L1547" s="181">
        <v>186</v>
      </c>
      <c r="M1547" s="133">
        <v>4.3794703237386101E-2</v>
      </c>
      <c r="N1547" s="73">
        <v>-2231.2559999999899</v>
      </c>
      <c r="O1547" s="73">
        <v>-304.32442833332999</v>
      </c>
      <c r="P1547" s="182">
        <v>1</v>
      </c>
      <c r="Q1547" s="182">
        <v>500</v>
      </c>
      <c r="R1547" s="46">
        <v>6.83</v>
      </c>
      <c r="S1547" s="46">
        <v>10</v>
      </c>
      <c r="T1547" s="46">
        <v>4200</v>
      </c>
      <c r="U1547" s="46">
        <v>8.36</v>
      </c>
      <c r="V1547" s="46" t="s">
        <v>68</v>
      </c>
      <c r="W1547" s="46">
        <v>3700</v>
      </c>
      <c r="X1547" s="46">
        <v>8.5670000000000002</v>
      </c>
      <c r="Y1547" s="193">
        <v>9.2140000000000004</v>
      </c>
      <c r="Z1547" s="194">
        <v>6.8970000000000002</v>
      </c>
      <c r="AA1547" s="194">
        <v>6.8360000000000003</v>
      </c>
      <c r="AB1547" s="46">
        <v>6.66</v>
      </c>
      <c r="AC1547" s="46">
        <v>6.75</v>
      </c>
      <c r="AD1547" s="46">
        <v>6.6</v>
      </c>
      <c r="AE1547" s="46">
        <v>6.73</v>
      </c>
    </row>
    <row r="1548" spans="1:31" x14ac:dyDescent="0.25">
      <c r="A1548" s="136">
        <v>43063</v>
      </c>
      <c r="B1548" s="201" t="s">
        <v>70</v>
      </c>
      <c r="C1548" t="s">
        <v>131</v>
      </c>
      <c r="D1548">
        <v>10900</v>
      </c>
      <c r="E1548">
        <v>10400</v>
      </c>
      <c r="F1548">
        <v>12.218</v>
      </c>
      <c r="G1548">
        <v>-14582.46</v>
      </c>
      <c r="H1548">
        <v>-10.95</v>
      </c>
      <c r="I1548" s="309">
        <v>118592</v>
      </c>
      <c r="J1548">
        <v>10.88</v>
      </c>
      <c r="K1548" s="133">
        <v>0.23114399025917701</v>
      </c>
      <c r="L1548" s="181">
        <v>-619</v>
      </c>
      <c r="M1548" s="133">
        <v>0.259566210916513</v>
      </c>
      <c r="N1548" s="73">
        <v>-14799.441999999999</v>
      </c>
      <c r="O1548" s="73">
        <v>-1362.06650819522</v>
      </c>
      <c r="P1548" s="182">
        <v>8</v>
      </c>
      <c r="Q1548" s="182">
        <v>4000</v>
      </c>
      <c r="R1548" s="46">
        <v>11.683</v>
      </c>
      <c r="S1548" s="46">
        <v>9</v>
      </c>
      <c r="T1548" s="46">
        <v>3600</v>
      </c>
      <c r="U1548" s="46">
        <v>13.278</v>
      </c>
      <c r="V1548" s="46" t="s">
        <v>62</v>
      </c>
      <c r="W1548" s="46">
        <v>400</v>
      </c>
      <c r="X1548" s="46">
        <v>-2.6720000000000002</v>
      </c>
      <c r="Y1548" s="194">
        <v>10.683</v>
      </c>
      <c r="Z1548" s="194">
        <v>12.37</v>
      </c>
      <c r="AA1548" s="194">
        <v>12.464</v>
      </c>
      <c r="AB1548" s="46">
        <v>10.93</v>
      </c>
      <c r="AC1548" s="46">
        <v>11</v>
      </c>
      <c r="AD1548" s="46">
        <v>10.81</v>
      </c>
      <c r="AE1548" s="46">
        <v>10.88</v>
      </c>
    </row>
    <row r="1549" spans="1:31" x14ac:dyDescent="0.25">
      <c r="A1549" s="136">
        <v>43063</v>
      </c>
      <c r="B1549" s="201" t="s">
        <v>137</v>
      </c>
      <c r="C1549" t="s">
        <v>138</v>
      </c>
      <c r="D1549">
        <v>100</v>
      </c>
      <c r="E1549">
        <v>100</v>
      </c>
      <c r="F1549">
        <v>-130.48500000000001</v>
      </c>
      <c r="G1549">
        <v>16943.5</v>
      </c>
      <c r="H1549">
        <v>0</v>
      </c>
      <c r="I1549" s="309">
        <v>3895</v>
      </c>
      <c r="J1549">
        <v>38.950000000000003</v>
      </c>
      <c r="K1549" s="133">
        <v>7.5916237356608704E-3</v>
      </c>
      <c r="L1549" s="181">
        <v>-171</v>
      </c>
      <c r="M1549" s="133">
        <v>0</v>
      </c>
    </row>
    <row r="1550" spans="1:31" x14ac:dyDescent="0.25">
      <c r="A1550" s="136">
        <v>43063</v>
      </c>
      <c r="B1550" s="201" t="s">
        <v>835</v>
      </c>
      <c r="C1550" t="s">
        <v>839</v>
      </c>
      <c r="I1550" s="309">
        <v>795.29</v>
      </c>
      <c r="K1550" s="133">
        <v>1.55007508106129E-3</v>
      </c>
      <c r="L1550" s="181">
        <v>0</v>
      </c>
      <c r="M1550" s="133">
        <v>2.06595466266713E-3</v>
      </c>
    </row>
    <row r="1551" spans="1:31" x14ac:dyDescent="0.25">
      <c r="A1551" s="136">
        <v>43066</v>
      </c>
      <c r="B1551" s="201" t="s">
        <v>132</v>
      </c>
      <c r="C1551" t="s">
        <v>123</v>
      </c>
      <c r="D1551">
        <v>26477</v>
      </c>
      <c r="E1551">
        <v>26477</v>
      </c>
      <c r="F1551">
        <v>-9.2999999999999999E-2</v>
      </c>
      <c r="G1551">
        <v>2727.1309999999999</v>
      </c>
      <c r="H1551">
        <v>0</v>
      </c>
      <c r="I1551" s="309">
        <v>264.77</v>
      </c>
      <c r="J1551">
        <v>0.01</v>
      </c>
      <c r="K1551" s="133">
        <v>5.1636841256800603E-4</v>
      </c>
      <c r="L1551" s="181">
        <v>0.92699999999967997</v>
      </c>
      <c r="M1551" s="133">
        <v>0</v>
      </c>
    </row>
    <row r="1552" spans="1:31" x14ac:dyDescent="0.25">
      <c r="A1552" s="136">
        <v>43066</v>
      </c>
      <c r="B1552" s="201" t="s">
        <v>61</v>
      </c>
      <c r="C1552" t="s">
        <v>136</v>
      </c>
      <c r="D1552">
        <v>3500</v>
      </c>
      <c r="E1552">
        <v>3500</v>
      </c>
      <c r="F1552">
        <v>5.3070000000000004</v>
      </c>
      <c r="G1552">
        <v>-548.52</v>
      </c>
      <c r="H1552">
        <v>-2.96</v>
      </c>
      <c r="I1552" s="309">
        <v>18025</v>
      </c>
      <c r="J1552">
        <v>5.15</v>
      </c>
      <c r="K1552" s="133">
        <v>3.5153305270756899E-2</v>
      </c>
      <c r="L1552" s="181">
        <v>-105</v>
      </c>
      <c r="M1552" s="133">
        <v>3.6223057892510901E-2</v>
      </c>
      <c r="N1552" s="73">
        <v>-587.26800000000003</v>
      </c>
      <c r="O1552" s="73">
        <v>-114.19734747081699</v>
      </c>
      <c r="P1552" s="182">
        <v>6</v>
      </c>
      <c r="Q1552" s="182">
        <v>3000</v>
      </c>
      <c r="R1552" s="46">
        <v>5.31</v>
      </c>
      <c r="S1552" s="46">
        <v>0</v>
      </c>
      <c r="T1552" s="46">
        <v>0</v>
      </c>
      <c r="U1552" s="46">
        <v>0</v>
      </c>
      <c r="V1552" s="46" t="s">
        <v>62</v>
      </c>
      <c r="W1552" s="46">
        <v>3000</v>
      </c>
      <c r="X1552" s="46">
        <v>5.31</v>
      </c>
      <c r="Y1552" s="194">
        <v>5.1440000000000001</v>
      </c>
      <c r="Z1552" s="194">
        <v>5.1150000000000002</v>
      </c>
      <c r="AA1552" s="194">
        <v>5.1920000000000002</v>
      </c>
      <c r="AB1552" s="46">
        <v>5.17</v>
      </c>
      <c r="AC1552" s="46">
        <v>5.19</v>
      </c>
      <c r="AD1552" s="46">
        <v>5.14</v>
      </c>
      <c r="AE1552" s="46">
        <v>5.15</v>
      </c>
    </row>
    <row r="1553" spans="1:31" x14ac:dyDescent="0.25">
      <c r="A1553" s="136">
        <v>43066</v>
      </c>
      <c r="B1553" s="201" t="s">
        <v>124</v>
      </c>
      <c r="C1553" t="s">
        <v>125</v>
      </c>
      <c r="D1553">
        <v>100</v>
      </c>
      <c r="E1553">
        <v>100</v>
      </c>
      <c r="F1553">
        <v>-53.579000000000001</v>
      </c>
      <c r="G1553">
        <v>5955.9</v>
      </c>
      <c r="H1553">
        <v>0</v>
      </c>
      <c r="I1553" s="309">
        <v>598</v>
      </c>
      <c r="J1553">
        <v>5.98</v>
      </c>
      <c r="K1553" s="133">
        <v>1.1662511263197E-3</v>
      </c>
      <c r="L1553" s="181">
        <v>-9</v>
      </c>
      <c r="M1553" s="133">
        <v>0</v>
      </c>
      <c r="N1553" s="73">
        <v>5995.0890000000099</v>
      </c>
      <c r="O1553" s="73">
        <v>1102.4501845505599</v>
      </c>
      <c r="P1553" s="182">
        <v>0</v>
      </c>
      <c r="Q1553" s="182">
        <v>0</v>
      </c>
      <c r="R1553" s="46">
        <v>0</v>
      </c>
      <c r="S1553" s="46">
        <v>5</v>
      </c>
      <c r="T1553" s="46">
        <v>2300</v>
      </c>
      <c r="U1553" s="46">
        <v>4.99</v>
      </c>
      <c r="V1553" s="46" t="s">
        <v>68</v>
      </c>
      <c r="W1553" s="46">
        <v>2300</v>
      </c>
      <c r="X1553" s="46">
        <v>4.99</v>
      </c>
      <c r="Y1553" s="194">
        <v>5.9329999999999998</v>
      </c>
      <c r="Z1553" s="193">
        <v>5.1760000000000002</v>
      </c>
      <c r="AA1553" s="193">
        <v>5.8280000000000003</v>
      </c>
      <c r="AB1553" s="46">
        <v>6.04</v>
      </c>
      <c r="AC1553" s="46">
        <v>6.04</v>
      </c>
      <c r="AD1553" s="46">
        <v>5.92</v>
      </c>
      <c r="AE1553" s="46">
        <v>5.98</v>
      </c>
    </row>
    <row r="1554" spans="1:31" x14ac:dyDescent="0.25">
      <c r="A1554" s="136">
        <v>43066</v>
      </c>
      <c r="B1554" s="201" t="s">
        <v>71</v>
      </c>
      <c r="C1554" t="s">
        <v>126</v>
      </c>
      <c r="D1554">
        <v>3200</v>
      </c>
      <c r="E1554">
        <v>3200</v>
      </c>
      <c r="F1554">
        <v>6.0030000000000001</v>
      </c>
      <c r="G1554">
        <v>1078.02</v>
      </c>
      <c r="H1554">
        <v>5.61</v>
      </c>
      <c r="I1554" s="309">
        <v>20288</v>
      </c>
      <c r="J1554">
        <v>6.34</v>
      </c>
      <c r="K1554" s="133">
        <v>3.9566727175207497E-2</v>
      </c>
      <c r="L1554" s="181">
        <v>32</v>
      </c>
      <c r="M1554" s="133">
        <v>3.7464315738426297E-2</v>
      </c>
      <c r="N1554" s="73">
        <v>2832.0940000000001</v>
      </c>
      <c r="O1554" s="73">
        <v>164.079372669826</v>
      </c>
      <c r="P1554" s="182">
        <v>2</v>
      </c>
      <c r="Q1554" s="182">
        <v>1000</v>
      </c>
      <c r="R1554" s="46">
        <v>6.45</v>
      </c>
      <c r="S1554" s="46">
        <v>1</v>
      </c>
      <c r="T1554" s="46">
        <v>500</v>
      </c>
      <c r="U1554" s="46">
        <v>6.33</v>
      </c>
      <c r="V1554" s="46" t="s">
        <v>62</v>
      </c>
      <c r="W1554" s="46">
        <v>500</v>
      </c>
      <c r="X1554" s="46">
        <v>6.57</v>
      </c>
      <c r="Y1554" s="194">
        <v>6.2939999999999996</v>
      </c>
      <c r="Z1554" s="194">
        <v>6.3079999999999998</v>
      </c>
      <c r="AA1554" s="194">
        <v>6.5549999999999997</v>
      </c>
      <c r="AB1554" s="46">
        <v>6.32</v>
      </c>
      <c r="AC1554" s="46">
        <v>6.35</v>
      </c>
      <c r="AD1554" s="46">
        <v>6.26</v>
      </c>
      <c r="AE1554" s="46">
        <v>6.34</v>
      </c>
    </row>
    <row r="1555" spans="1:31" x14ac:dyDescent="0.25">
      <c r="A1555" s="136">
        <v>43066</v>
      </c>
      <c r="B1555" s="201" t="s">
        <v>79</v>
      </c>
      <c r="C1555" t="s">
        <v>143</v>
      </c>
      <c r="D1555">
        <v>4500</v>
      </c>
      <c r="E1555">
        <v>4500</v>
      </c>
      <c r="F1555">
        <v>17.189</v>
      </c>
      <c r="G1555">
        <v>-6026.54</v>
      </c>
      <c r="H1555">
        <v>-7.79</v>
      </c>
      <c r="I1555" s="309">
        <v>71325</v>
      </c>
      <c r="J1555">
        <v>15.85</v>
      </c>
      <c r="K1555" s="133">
        <v>0.13910177522533901</v>
      </c>
      <c r="L1555" s="181">
        <v>-315</v>
      </c>
      <c r="M1555" s="133">
        <v>0.15085505125010601</v>
      </c>
      <c r="N1555" s="73">
        <v>-5397.7000000000098</v>
      </c>
      <c r="O1555" s="73">
        <v>-337.39844590369103</v>
      </c>
      <c r="P1555" s="182">
        <v>8</v>
      </c>
      <c r="Q1555" s="182">
        <v>4500</v>
      </c>
      <c r="R1555" s="46">
        <v>17.18</v>
      </c>
      <c r="S1555" s="46">
        <v>0</v>
      </c>
      <c r="T1555" s="46">
        <v>0</v>
      </c>
      <c r="U1555" s="46">
        <v>0</v>
      </c>
      <c r="V1555" s="46" t="s">
        <v>62</v>
      </c>
      <c r="W1555" s="46">
        <v>4500</v>
      </c>
      <c r="X1555" s="46">
        <v>17.18</v>
      </c>
      <c r="Y1555" s="194">
        <v>15.871</v>
      </c>
      <c r="Z1555" s="194">
        <v>16.048999999999999</v>
      </c>
      <c r="AA1555" s="194">
        <v>16.004999999999999</v>
      </c>
      <c r="AB1555" s="46">
        <v>15.87</v>
      </c>
      <c r="AC1555" s="46">
        <v>15.97</v>
      </c>
      <c r="AD1555" s="46">
        <v>15.84</v>
      </c>
      <c r="AE1555" s="46">
        <v>15.85</v>
      </c>
    </row>
    <row r="1556" spans="1:31" x14ac:dyDescent="0.25">
      <c r="A1556" s="136">
        <v>43066</v>
      </c>
      <c r="B1556" s="201" t="s">
        <v>65</v>
      </c>
      <c r="C1556" t="s">
        <v>127</v>
      </c>
      <c r="D1556">
        <v>12600</v>
      </c>
      <c r="E1556">
        <v>12600</v>
      </c>
      <c r="F1556">
        <v>10.407999999999999</v>
      </c>
      <c r="G1556">
        <v>9977.33</v>
      </c>
      <c r="H1556">
        <v>7.61</v>
      </c>
      <c r="I1556" s="309">
        <v>141120</v>
      </c>
      <c r="J1556">
        <v>11.2</v>
      </c>
      <c r="K1556" s="133">
        <v>0.27521966378969298</v>
      </c>
      <c r="L1556" s="181">
        <v>378</v>
      </c>
      <c r="M1556" s="133">
        <v>0.255761348822865</v>
      </c>
      <c r="N1556" s="73">
        <v>4434.9000000000497</v>
      </c>
      <c r="O1556" s="73">
        <v>784.87344804053305</v>
      </c>
      <c r="P1556" s="182">
        <v>4</v>
      </c>
      <c r="Q1556" s="182">
        <v>1900</v>
      </c>
      <c r="R1556" s="46">
        <v>10.896000000000001</v>
      </c>
      <c r="S1556" s="46">
        <v>15</v>
      </c>
      <c r="T1556" s="46">
        <v>6400</v>
      </c>
      <c r="U1556" s="46">
        <v>12.468999999999999</v>
      </c>
      <c r="V1556" s="46" t="s">
        <v>68</v>
      </c>
      <c r="W1556" s="46">
        <v>4500</v>
      </c>
      <c r="X1556" s="46">
        <v>13.132999999999999</v>
      </c>
      <c r="Y1556" s="194">
        <v>11.125999999999999</v>
      </c>
      <c r="Z1556" s="194">
        <v>11.432</v>
      </c>
      <c r="AA1556" s="194">
        <v>11.752000000000001</v>
      </c>
      <c r="AB1556" s="46">
        <v>11.16</v>
      </c>
      <c r="AC1556" s="46">
        <v>11.24</v>
      </c>
      <c r="AD1556" s="46">
        <v>11.09</v>
      </c>
      <c r="AE1556" s="46">
        <v>11.2</v>
      </c>
    </row>
    <row r="1557" spans="1:31" x14ac:dyDescent="0.25">
      <c r="A1557" s="136">
        <v>43066</v>
      </c>
      <c r="B1557" s="201" t="s">
        <v>77</v>
      </c>
      <c r="C1557" t="s">
        <v>128</v>
      </c>
      <c r="D1557">
        <v>4800</v>
      </c>
      <c r="E1557">
        <v>4800</v>
      </c>
      <c r="F1557">
        <v>6.0410000000000004</v>
      </c>
      <c r="G1557">
        <v>-627.47</v>
      </c>
      <c r="H1557">
        <v>-2.17</v>
      </c>
      <c r="I1557" s="309">
        <v>28368</v>
      </c>
      <c r="J1557">
        <v>5.91</v>
      </c>
      <c r="K1557" s="133">
        <v>5.53247691495607E-2</v>
      </c>
      <c r="L1557" s="181">
        <v>-288</v>
      </c>
      <c r="M1557" s="133">
        <v>5.6548494223527E-2</v>
      </c>
      <c r="N1557" s="73">
        <v>-796.41400000000101</v>
      </c>
      <c r="O1557" s="73">
        <v>-49.542774749164003</v>
      </c>
      <c r="P1557" s="182">
        <v>8</v>
      </c>
      <c r="Q1557" s="182">
        <v>4000</v>
      </c>
      <c r="R1557" s="46">
        <v>6.6230000000000002</v>
      </c>
      <c r="S1557" s="46">
        <v>0</v>
      </c>
      <c r="T1557" s="46">
        <v>0</v>
      </c>
      <c r="U1557" s="46">
        <v>0</v>
      </c>
      <c r="V1557" s="46" t="s">
        <v>62</v>
      </c>
      <c r="W1557" s="46">
        <v>4000</v>
      </c>
      <c r="X1557" s="46">
        <v>6.6230000000000002</v>
      </c>
      <c r="Y1557" s="194">
        <v>5.6319999999999997</v>
      </c>
      <c r="Z1557" s="194">
        <v>6.2270000000000003</v>
      </c>
      <c r="AA1557" s="194">
        <v>6.702</v>
      </c>
      <c r="AB1557" s="46">
        <v>6</v>
      </c>
      <c r="AC1557" s="46">
        <v>6.02</v>
      </c>
      <c r="AD1557" s="46">
        <v>5.89</v>
      </c>
      <c r="AE1557" s="46">
        <v>5.91</v>
      </c>
    </row>
    <row r="1558" spans="1:31" x14ac:dyDescent="0.25">
      <c r="A1558" s="136">
        <v>43066</v>
      </c>
      <c r="B1558" s="201" t="s">
        <v>67</v>
      </c>
      <c r="C1558" t="s">
        <v>129</v>
      </c>
      <c r="D1558">
        <v>11350</v>
      </c>
      <c r="E1558">
        <v>11350</v>
      </c>
      <c r="F1558">
        <v>8.6189999999999998</v>
      </c>
      <c r="G1558">
        <v>-9979.99</v>
      </c>
      <c r="H1558">
        <v>-10.199999999999999</v>
      </c>
      <c r="I1558" s="309">
        <v>87849</v>
      </c>
      <c r="J1558">
        <v>7.74</v>
      </c>
      <c r="K1558" s="133">
        <v>0.171327751163979</v>
      </c>
      <c r="L1558" s="181">
        <v>340.5</v>
      </c>
      <c r="M1558" s="133">
        <v>0.19079125380304199</v>
      </c>
      <c r="N1558" s="73">
        <v>46210.694999999898</v>
      </c>
      <c r="O1558" s="73">
        <v>-1371.19325416128</v>
      </c>
      <c r="P1558" s="182">
        <v>14</v>
      </c>
      <c r="Q1558" s="182">
        <v>6900</v>
      </c>
      <c r="R1558" s="46">
        <v>7.3040000000000003</v>
      </c>
      <c r="S1558" s="46">
        <v>3</v>
      </c>
      <c r="T1558" s="46">
        <v>1200</v>
      </c>
      <c r="U1558" s="46">
        <v>9.17</v>
      </c>
      <c r="V1558" s="46" t="s">
        <v>62</v>
      </c>
      <c r="W1558" s="46">
        <v>5700</v>
      </c>
      <c r="X1558" s="46">
        <v>6.9109999999999996</v>
      </c>
      <c r="Y1558" s="193">
        <v>7.7969999999999997</v>
      </c>
      <c r="Z1558" s="194">
        <v>7.4560000000000004</v>
      </c>
      <c r="AA1558" s="194">
        <v>8.8420000000000005</v>
      </c>
      <c r="AB1558" s="46">
        <v>7.72</v>
      </c>
      <c r="AC1558" s="46">
        <v>7.82</v>
      </c>
      <c r="AD1558" s="46">
        <v>7.69</v>
      </c>
      <c r="AE1558" s="46">
        <v>7.74</v>
      </c>
    </row>
    <row r="1559" spans="1:31" x14ac:dyDescent="0.25">
      <c r="A1559" s="136">
        <v>43066</v>
      </c>
      <c r="B1559" s="201" t="s">
        <v>78</v>
      </c>
      <c r="C1559" t="s">
        <v>142</v>
      </c>
      <c r="D1559">
        <v>100</v>
      </c>
      <c r="E1559">
        <v>100</v>
      </c>
      <c r="F1559">
        <v>10.987</v>
      </c>
      <c r="G1559">
        <v>17.3</v>
      </c>
      <c r="H1559">
        <v>1.58</v>
      </c>
      <c r="I1559" s="309">
        <v>1116</v>
      </c>
      <c r="J1559">
        <v>11.16</v>
      </c>
      <c r="K1559" s="133">
        <v>2.1764820350715498E-3</v>
      </c>
      <c r="L1559" s="181">
        <v>0</v>
      </c>
      <c r="M1559" s="133">
        <v>2.1427426630225002E-3</v>
      </c>
      <c r="N1559" s="73">
        <v>75.304000000000102</v>
      </c>
      <c r="O1559" s="73">
        <v>6.41110289608178</v>
      </c>
      <c r="P1559" s="182">
        <v>1</v>
      </c>
      <c r="Q1559" s="182">
        <v>500</v>
      </c>
      <c r="R1559" s="46">
        <v>11.56</v>
      </c>
      <c r="S1559" s="46">
        <v>1</v>
      </c>
      <c r="T1559" s="46">
        <v>400</v>
      </c>
      <c r="U1559" s="46">
        <v>11.74</v>
      </c>
      <c r="V1559" s="46" t="s">
        <v>62</v>
      </c>
      <c r="W1559" s="46">
        <v>100</v>
      </c>
      <c r="X1559" s="46">
        <v>10.84</v>
      </c>
      <c r="Y1559" s="194">
        <v>10.363</v>
      </c>
      <c r="Z1559" s="194">
        <v>11.576000000000001</v>
      </c>
      <c r="AA1559" s="194">
        <v>11.664</v>
      </c>
      <c r="AB1559" s="46">
        <v>11.18</v>
      </c>
      <c r="AC1559" s="46">
        <v>11.29</v>
      </c>
      <c r="AD1559" s="46">
        <v>11.03</v>
      </c>
      <c r="AE1559" s="46">
        <v>11.16</v>
      </c>
    </row>
    <row r="1560" spans="1:31" x14ac:dyDescent="0.25">
      <c r="A1560" s="136">
        <v>43066</v>
      </c>
      <c r="B1560" s="201" t="s">
        <v>72</v>
      </c>
      <c r="C1560" t="s">
        <v>130</v>
      </c>
      <c r="D1560">
        <v>3100</v>
      </c>
      <c r="E1560">
        <v>3100</v>
      </c>
      <c r="F1560">
        <v>7.2480000000000002</v>
      </c>
      <c r="G1560">
        <v>-1420.55</v>
      </c>
      <c r="H1560">
        <v>-6.32</v>
      </c>
      <c r="I1560" s="309">
        <v>21049</v>
      </c>
      <c r="J1560">
        <v>6.79</v>
      </c>
      <c r="K1560" s="133">
        <v>4.1050869494821701E-2</v>
      </c>
      <c r="L1560" s="181">
        <v>186</v>
      </c>
      <c r="M1560" s="133">
        <v>4.3821300995646899E-2</v>
      </c>
      <c r="N1560" s="73">
        <v>-2231.2559999999899</v>
      </c>
      <c r="O1560" s="73">
        <v>-304.32442833332999</v>
      </c>
      <c r="P1560" s="182">
        <v>1</v>
      </c>
      <c r="Q1560" s="182">
        <v>500</v>
      </c>
      <c r="R1560" s="46">
        <v>6.83</v>
      </c>
      <c r="S1560" s="46">
        <v>10</v>
      </c>
      <c r="T1560" s="46">
        <v>4200</v>
      </c>
      <c r="U1560" s="46">
        <v>8.36</v>
      </c>
      <c r="V1560" s="46" t="s">
        <v>68</v>
      </c>
      <c r="W1560" s="46">
        <v>3700</v>
      </c>
      <c r="X1560" s="46">
        <v>8.5670000000000002</v>
      </c>
      <c r="Y1560" s="194">
        <v>6.66</v>
      </c>
      <c r="Z1560" s="194">
        <v>6.8550000000000004</v>
      </c>
      <c r="AA1560" s="194">
        <v>6.8120000000000003</v>
      </c>
      <c r="AB1560" s="46">
        <v>6.74</v>
      </c>
      <c r="AC1560" s="46">
        <v>6.82</v>
      </c>
      <c r="AD1560" s="46">
        <v>6.61</v>
      </c>
      <c r="AE1560" s="46">
        <v>6.79</v>
      </c>
    </row>
    <row r="1561" spans="1:31" x14ac:dyDescent="0.25">
      <c r="A1561" s="136">
        <v>43066</v>
      </c>
      <c r="B1561" s="201" t="s">
        <v>70</v>
      </c>
      <c r="C1561" t="s">
        <v>131</v>
      </c>
      <c r="D1561">
        <v>10900</v>
      </c>
      <c r="E1561">
        <v>10900</v>
      </c>
      <c r="F1561">
        <v>12.218</v>
      </c>
      <c r="G1561">
        <v>-14909.46</v>
      </c>
      <c r="H1561">
        <v>-11.2</v>
      </c>
      <c r="I1561" s="309">
        <v>118265</v>
      </c>
      <c r="J1561">
        <v>10.85</v>
      </c>
      <c r="K1561" s="133">
        <v>0.23064663788327699</v>
      </c>
      <c r="L1561" s="181">
        <v>-327</v>
      </c>
      <c r="M1561" s="133">
        <v>0.25972385279601701</v>
      </c>
      <c r="N1561" s="73">
        <v>-14799.441999999999</v>
      </c>
      <c r="O1561" s="73">
        <v>-1362.06650819522</v>
      </c>
      <c r="P1561" s="182">
        <v>8</v>
      </c>
      <c r="Q1561" s="182">
        <v>4000</v>
      </c>
      <c r="R1561" s="46">
        <v>11.683</v>
      </c>
      <c r="S1561" s="46">
        <v>9</v>
      </c>
      <c r="T1561" s="46">
        <v>3600</v>
      </c>
      <c r="U1561" s="46">
        <v>13.278</v>
      </c>
      <c r="V1561" s="46" t="s">
        <v>62</v>
      </c>
      <c r="W1561" s="46">
        <v>400</v>
      </c>
      <c r="X1561" s="46">
        <v>-2.6720000000000002</v>
      </c>
      <c r="Y1561" s="194">
        <v>10.818</v>
      </c>
      <c r="Z1561" s="194">
        <v>12.365</v>
      </c>
      <c r="AA1561" s="194">
        <v>12.455</v>
      </c>
      <c r="AB1561" s="46">
        <v>10.93</v>
      </c>
      <c r="AC1561" s="46">
        <v>10.95</v>
      </c>
      <c r="AD1561" s="46">
        <v>10.82</v>
      </c>
      <c r="AE1561" s="46">
        <v>10.85</v>
      </c>
    </row>
    <row r="1562" spans="1:31" x14ac:dyDescent="0.25">
      <c r="A1562" s="136">
        <v>43066</v>
      </c>
      <c r="B1562" s="201" t="s">
        <v>137</v>
      </c>
      <c r="C1562" t="s">
        <v>138</v>
      </c>
      <c r="D1562">
        <v>100</v>
      </c>
      <c r="E1562">
        <v>100</v>
      </c>
      <c r="F1562">
        <v>-130.48500000000001</v>
      </c>
      <c r="G1562">
        <v>16739.5</v>
      </c>
      <c r="H1562">
        <v>0</v>
      </c>
      <c r="I1562" s="309">
        <v>3691</v>
      </c>
      <c r="J1562">
        <v>36.909999999999997</v>
      </c>
      <c r="K1562" s="133">
        <v>7.1983827880368204E-3</v>
      </c>
      <c r="L1562" s="181">
        <v>-204</v>
      </c>
      <c r="M1562" s="133">
        <v>0</v>
      </c>
    </row>
    <row r="1563" spans="1:31" x14ac:dyDescent="0.25">
      <c r="A1563" s="136">
        <v>43066</v>
      </c>
      <c r="B1563" s="201" t="s">
        <v>835</v>
      </c>
      <c r="C1563" t="s">
        <v>839</v>
      </c>
      <c r="I1563" s="309">
        <v>795.29</v>
      </c>
      <c r="K1563" s="133">
        <v>1.55101648536922E-3</v>
      </c>
      <c r="L1563" s="181">
        <v>0</v>
      </c>
      <c r="M1563" s="133">
        <v>2.06738489793723E-3</v>
      </c>
    </row>
    <row r="1564" spans="1:31" x14ac:dyDescent="0.25">
      <c r="A1564" s="136">
        <v>43067</v>
      </c>
      <c r="B1564" s="201" t="s">
        <v>132</v>
      </c>
      <c r="C1564" t="s">
        <v>123</v>
      </c>
      <c r="D1564">
        <v>26477</v>
      </c>
      <c r="E1564">
        <v>26477</v>
      </c>
      <c r="F1564">
        <v>-9.2999999999999999E-2</v>
      </c>
      <c r="G1564">
        <v>2727.1309999999999</v>
      </c>
      <c r="H1564">
        <v>0</v>
      </c>
      <c r="I1564" s="309">
        <v>264.77</v>
      </c>
      <c r="J1564">
        <v>0.01</v>
      </c>
      <c r="K1564" s="133">
        <v>5.1351831086397402E-4</v>
      </c>
      <c r="L1564" s="181">
        <v>0</v>
      </c>
      <c r="M1564" s="133">
        <v>0</v>
      </c>
    </row>
    <row r="1565" spans="1:31" x14ac:dyDescent="0.25">
      <c r="A1565" s="136">
        <v>43067</v>
      </c>
      <c r="B1565" s="201" t="s">
        <v>61</v>
      </c>
      <c r="C1565" t="s">
        <v>136</v>
      </c>
      <c r="D1565">
        <v>3500</v>
      </c>
      <c r="E1565">
        <v>3500</v>
      </c>
      <c r="F1565">
        <v>5.3070000000000004</v>
      </c>
      <c r="G1565">
        <v>-408.52</v>
      </c>
      <c r="H1565">
        <v>-2.2000000000000002</v>
      </c>
      <c r="I1565" s="309">
        <v>18165</v>
      </c>
      <c r="J1565">
        <v>5.19</v>
      </c>
      <c r="K1565" s="133">
        <v>3.5230804535423502E-2</v>
      </c>
      <c r="L1565" s="181">
        <v>140</v>
      </c>
      <c r="M1565" s="133">
        <v>3.6023124285977398E-2</v>
      </c>
      <c r="N1565" s="73">
        <v>-587.26800000000003</v>
      </c>
      <c r="O1565" s="73">
        <v>-114.19734747081699</v>
      </c>
      <c r="P1565" s="182">
        <v>6</v>
      </c>
      <c r="Q1565" s="182">
        <v>3000</v>
      </c>
      <c r="R1565" s="46">
        <v>5.31</v>
      </c>
      <c r="S1565" s="46">
        <v>0</v>
      </c>
      <c r="T1565" s="46">
        <v>0</v>
      </c>
      <c r="U1565" s="46">
        <v>0</v>
      </c>
      <c r="V1565" s="46" t="s">
        <v>62</v>
      </c>
      <c r="W1565" s="46">
        <v>3000</v>
      </c>
      <c r="X1565" s="46">
        <v>5.31</v>
      </c>
      <c r="Y1565" s="193">
        <v>5.1959999999999997</v>
      </c>
      <c r="Z1565" s="194">
        <v>5.0670000000000002</v>
      </c>
      <c r="AA1565" s="194">
        <v>5.1879999999999997</v>
      </c>
      <c r="AB1565" s="46">
        <v>5.16</v>
      </c>
      <c r="AC1565" s="46">
        <v>5.19</v>
      </c>
      <c r="AD1565" s="46">
        <v>5.14</v>
      </c>
      <c r="AE1565" s="46">
        <v>5.19</v>
      </c>
    </row>
    <row r="1566" spans="1:31" x14ac:dyDescent="0.25">
      <c r="A1566" s="136">
        <v>43067</v>
      </c>
      <c r="B1566" s="201" t="s">
        <v>124</v>
      </c>
      <c r="C1566" t="s">
        <v>125</v>
      </c>
      <c r="D1566">
        <v>100</v>
      </c>
      <c r="E1566">
        <v>100</v>
      </c>
      <c r="F1566">
        <v>-53.579000000000001</v>
      </c>
      <c r="G1566">
        <v>5948.9</v>
      </c>
      <c r="H1566">
        <v>0</v>
      </c>
      <c r="I1566" s="309">
        <v>591</v>
      </c>
      <c r="J1566">
        <v>5.91</v>
      </c>
      <c r="K1566" s="133">
        <v>1.14623757117728E-3</v>
      </c>
      <c r="L1566" s="181">
        <v>-7</v>
      </c>
      <c r="M1566" s="133">
        <v>0</v>
      </c>
      <c r="N1566" s="73">
        <v>5995.0890000000099</v>
      </c>
      <c r="O1566" s="73">
        <v>1102.4501845505599</v>
      </c>
      <c r="P1566" s="182">
        <v>0</v>
      </c>
      <c r="Q1566" s="182">
        <v>0</v>
      </c>
      <c r="R1566" s="46">
        <v>0</v>
      </c>
      <c r="S1566" s="46">
        <v>5</v>
      </c>
      <c r="T1566" s="46">
        <v>2300</v>
      </c>
      <c r="U1566" s="46">
        <v>4.99</v>
      </c>
      <c r="V1566" s="46" t="s">
        <v>68</v>
      </c>
      <c r="W1566" s="46">
        <v>2300</v>
      </c>
      <c r="X1566" s="46">
        <v>4.99</v>
      </c>
      <c r="Y1566" s="194">
        <v>5.8879999999999999</v>
      </c>
      <c r="Z1566" s="193">
        <v>5.1520000000000001</v>
      </c>
      <c r="AA1566" s="193">
        <v>5.8289999999999997</v>
      </c>
      <c r="AB1566" s="46">
        <v>5.95</v>
      </c>
      <c r="AC1566" s="46">
        <v>5.97</v>
      </c>
      <c r="AD1566" s="46">
        <v>5.89</v>
      </c>
      <c r="AE1566" s="46">
        <v>5.91</v>
      </c>
    </row>
    <row r="1567" spans="1:31" x14ac:dyDescent="0.25">
      <c r="A1567" s="136">
        <v>43067</v>
      </c>
      <c r="B1567" s="201" t="s">
        <v>71</v>
      </c>
      <c r="C1567" t="s">
        <v>126</v>
      </c>
      <c r="D1567">
        <v>3200</v>
      </c>
      <c r="E1567">
        <v>3200</v>
      </c>
      <c r="F1567">
        <v>6.0030000000000001</v>
      </c>
      <c r="G1567">
        <v>854.02</v>
      </c>
      <c r="H1567">
        <v>4.45</v>
      </c>
      <c r="I1567" s="309">
        <v>20064</v>
      </c>
      <c r="J1567">
        <v>6.27</v>
      </c>
      <c r="K1567" s="133">
        <v>3.8913892771744403E-2</v>
      </c>
      <c r="L1567" s="181">
        <v>-224</v>
      </c>
      <c r="M1567" s="133">
        <v>3.72575309941863E-2</v>
      </c>
      <c r="N1567" s="73">
        <v>2832.0940000000001</v>
      </c>
      <c r="O1567" s="73">
        <v>164.079372669826</v>
      </c>
      <c r="P1567" s="182">
        <v>2</v>
      </c>
      <c r="Q1567" s="182">
        <v>1000</v>
      </c>
      <c r="R1567" s="46">
        <v>6.45</v>
      </c>
      <c r="S1567" s="46">
        <v>1</v>
      </c>
      <c r="T1567" s="46">
        <v>500</v>
      </c>
      <c r="U1567" s="46">
        <v>6.33</v>
      </c>
      <c r="V1567" s="46" t="s">
        <v>62</v>
      </c>
      <c r="W1567" s="46">
        <v>500</v>
      </c>
      <c r="X1567" s="46">
        <v>6.57</v>
      </c>
      <c r="Y1567" s="194">
        <v>6.2629999999999999</v>
      </c>
      <c r="Z1567" s="194">
        <v>6.306</v>
      </c>
      <c r="AA1567" s="194">
        <v>6.5529999999999999</v>
      </c>
      <c r="AB1567" s="46">
        <v>6.33</v>
      </c>
      <c r="AC1567" s="46">
        <v>6.34</v>
      </c>
      <c r="AD1567" s="46">
        <v>6.25</v>
      </c>
      <c r="AE1567" s="46">
        <v>6.27</v>
      </c>
    </row>
    <row r="1568" spans="1:31" x14ac:dyDescent="0.25">
      <c r="A1568" s="136">
        <v>43067</v>
      </c>
      <c r="B1568" s="201" t="s">
        <v>79</v>
      </c>
      <c r="C1568" t="s">
        <v>143</v>
      </c>
      <c r="D1568">
        <v>4500</v>
      </c>
      <c r="E1568">
        <v>4500</v>
      </c>
      <c r="F1568">
        <v>17.189</v>
      </c>
      <c r="G1568">
        <v>-4991.54</v>
      </c>
      <c r="H1568">
        <v>-6.45</v>
      </c>
      <c r="I1568" s="309">
        <v>72360</v>
      </c>
      <c r="J1568">
        <v>16.079999999999998</v>
      </c>
      <c r="K1568" s="133">
        <v>0.14034137165886301</v>
      </c>
      <c r="L1568" s="181">
        <v>1035</v>
      </c>
      <c r="M1568" s="133">
        <v>0.150022404968566</v>
      </c>
      <c r="N1568" s="73">
        <v>-5397.7000000000098</v>
      </c>
      <c r="O1568" s="73">
        <v>-337.39844590369103</v>
      </c>
      <c r="P1568" s="182">
        <v>8</v>
      </c>
      <c r="Q1568" s="182">
        <v>4500</v>
      </c>
      <c r="R1568" s="46">
        <v>17.18</v>
      </c>
      <c r="S1568" s="46">
        <v>0</v>
      </c>
      <c r="T1568" s="46">
        <v>0</v>
      </c>
      <c r="U1568" s="46">
        <v>0</v>
      </c>
      <c r="V1568" s="46" t="s">
        <v>62</v>
      </c>
      <c r="W1568" s="46">
        <v>4500</v>
      </c>
      <c r="X1568" s="46">
        <v>17.18</v>
      </c>
      <c r="Y1568" s="193">
        <v>16.154</v>
      </c>
      <c r="Z1568" s="194">
        <v>16.042999999999999</v>
      </c>
      <c r="AA1568" s="194">
        <v>16.015000000000001</v>
      </c>
      <c r="AB1568" s="46">
        <v>15.88</v>
      </c>
      <c r="AC1568" s="46">
        <v>16.16</v>
      </c>
      <c r="AD1568" s="46">
        <v>15.88</v>
      </c>
      <c r="AE1568" s="46">
        <v>16.079999999999998</v>
      </c>
    </row>
    <row r="1569" spans="1:31" x14ac:dyDescent="0.25">
      <c r="A1569" s="136">
        <v>43067</v>
      </c>
      <c r="B1569" s="201" t="s">
        <v>65</v>
      </c>
      <c r="C1569" t="s">
        <v>127</v>
      </c>
      <c r="D1569">
        <v>12600</v>
      </c>
      <c r="E1569">
        <v>12600</v>
      </c>
      <c r="F1569">
        <v>10.407999999999999</v>
      </c>
      <c r="G1569">
        <v>8717.33</v>
      </c>
      <c r="H1569">
        <v>6.65</v>
      </c>
      <c r="I1569" s="309">
        <v>139860</v>
      </c>
      <c r="J1569">
        <v>11.1</v>
      </c>
      <c r="K1569" s="133">
        <v>0.27125683029586201</v>
      </c>
      <c r="L1569" s="181">
        <v>-1260</v>
      </c>
      <c r="M1569" s="133">
        <v>0.254349670961935</v>
      </c>
      <c r="N1569" s="73">
        <v>4434.9000000000497</v>
      </c>
      <c r="O1569" s="73">
        <v>784.87344804053305</v>
      </c>
      <c r="P1569" s="182">
        <v>4</v>
      </c>
      <c r="Q1569" s="182">
        <v>1900</v>
      </c>
      <c r="R1569" s="46">
        <v>10.896000000000001</v>
      </c>
      <c r="S1569" s="46">
        <v>15</v>
      </c>
      <c r="T1569" s="46">
        <v>6400</v>
      </c>
      <c r="U1569" s="46">
        <v>12.468999999999999</v>
      </c>
      <c r="V1569" s="46" t="s">
        <v>68</v>
      </c>
      <c r="W1569" s="46">
        <v>4500</v>
      </c>
      <c r="X1569" s="46">
        <v>13.132999999999999</v>
      </c>
      <c r="Y1569" s="194">
        <v>11.077</v>
      </c>
      <c r="Z1569" s="194">
        <v>11.419</v>
      </c>
      <c r="AA1569" s="194">
        <v>11.747999999999999</v>
      </c>
      <c r="AB1569" s="46">
        <v>11.2</v>
      </c>
      <c r="AC1569" s="46">
        <v>11.22</v>
      </c>
      <c r="AD1569" s="46">
        <v>10.99</v>
      </c>
      <c r="AE1569" s="46">
        <v>11.1</v>
      </c>
    </row>
    <row r="1570" spans="1:31" x14ac:dyDescent="0.25">
      <c r="A1570" s="136">
        <v>43067</v>
      </c>
      <c r="B1570" s="201" t="s">
        <v>77</v>
      </c>
      <c r="C1570" t="s">
        <v>128</v>
      </c>
      <c r="D1570">
        <v>4800</v>
      </c>
      <c r="E1570">
        <v>4800</v>
      </c>
      <c r="F1570">
        <v>6.0410000000000004</v>
      </c>
      <c r="G1570">
        <v>-531.47</v>
      </c>
      <c r="H1570">
        <v>-1.84</v>
      </c>
      <c r="I1570" s="309">
        <v>28464</v>
      </c>
      <c r="J1570">
        <v>5.93</v>
      </c>
      <c r="K1570" s="133">
        <v>5.5205594291015403E-2</v>
      </c>
      <c r="L1570" s="181">
        <v>96</v>
      </c>
      <c r="M1570" s="133">
        <v>5.6236374125116201E-2</v>
      </c>
      <c r="N1570" s="73">
        <v>-796.41400000000101</v>
      </c>
      <c r="O1570" s="73">
        <v>-49.542774749164003</v>
      </c>
      <c r="P1570" s="182">
        <v>8</v>
      </c>
      <c r="Q1570" s="182">
        <v>4000</v>
      </c>
      <c r="R1570" s="46">
        <v>6.6230000000000002</v>
      </c>
      <c r="S1570" s="46">
        <v>0</v>
      </c>
      <c r="T1570" s="46">
        <v>0</v>
      </c>
      <c r="U1570" s="46">
        <v>0</v>
      </c>
      <c r="V1570" s="46" t="s">
        <v>62</v>
      </c>
      <c r="W1570" s="46">
        <v>4000</v>
      </c>
      <c r="X1570" s="46">
        <v>6.6230000000000002</v>
      </c>
      <c r="Y1570" s="194">
        <v>5.7270000000000003</v>
      </c>
      <c r="Z1570" s="194">
        <v>6.2160000000000002</v>
      </c>
      <c r="AA1570" s="194">
        <v>6.69</v>
      </c>
      <c r="AB1570" s="46">
        <v>5.91</v>
      </c>
      <c r="AC1570" s="46">
        <v>5.95</v>
      </c>
      <c r="AD1570" s="46">
        <v>5.87</v>
      </c>
      <c r="AE1570" s="46">
        <v>5.93</v>
      </c>
    </row>
    <row r="1571" spans="1:31" x14ac:dyDescent="0.25">
      <c r="A1571" s="136">
        <v>43067</v>
      </c>
      <c r="B1571" s="201" t="s">
        <v>67</v>
      </c>
      <c r="C1571" t="s">
        <v>129</v>
      </c>
      <c r="D1571">
        <v>10950</v>
      </c>
      <c r="E1571">
        <v>10950</v>
      </c>
      <c r="F1571">
        <v>8.6489999999999991</v>
      </c>
      <c r="G1571">
        <v>-8853.1299999999992</v>
      </c>
      <c r="H1571">
        <v>-9.35</v>
      </c>
      <c r="I1571" s="309">
        <v>85848</v>
      </c>
      <c r="J1571">
        <v>7.84</v>
      </c>
      <c r="K1571" s="133">
        <v>0.16650118952694901</v>
      </c>
      <c r="L1571" s="181">
        <v>1126.8599999999999</v>
      </c>
      <c r="M1571" s="133">
        <v>0.18367173136877099</v>
      </c>
      <c r="N1571" s="73">
        <v>46097.2749999999</v>
      </c>
      <c r="O1571" s="73">
        <v>-1128.94889113524</v>
      </c>
      <c r="P1571" s="182">
        <v>14</v>
      </c>
      <c r="Q1571" s="182">
        <v>6900</v>
      </c>
      <c r="R1571" s="46">
        <v>7.3040000000000003</v>
      </c>
      <c r="S1571" s="46">
        <v>4</v>
      </c>
      <c r="T1571" s="46">
        <v>1600</v>
      </c>
      <c r="U1571" s="46">
        <v>8.8379999999999992</v>
      </c>
      <c r="V1571" s="46" t="s">
        <v>62</v>
      </c>
      <c r="W1571" s="46">
        <v>5300</v>
      </c>
      <c r="X1571" s="46">
        <v>6.8410000000000002</v>
      </c>
      <c r="Y1571" s="193">
        <v>7.8250000000000002</v>
      </c>
      <c r="Z1571" s="194">
        <v>7.42</v>
      </c>
      <c r="AA1571" s="194">
        <v>8.8360000000000003</v>
      </c>
      <c r="AB1571" s="46">
        <v>7.71</v>
      </c>
      <c r="AC1571" s="46">
        <v>7.88</v>
      </c>
      <c r="AD1571" s="46">
        <v>7.71</v>
      </c>
      <c r="AE1571" s="46">
        <v>7.84</v>
      </c>
    </row>
    <row r="1572" spans="1:31" x14ac:dyDescent="0.25">
      <c r="A1572" s="136">
        <v>43067</v>
      </c>
      <c r="B1572" s="201" t="s">
        <v>78</v>
      </c>
      <c r="C1572" t="s">
        <v>142</v>
      </c>
      <c r="D1572">
        <v>100</v>
      </c>
      <c r="E1572">
        <v>100</v>
      </c>
      <c r="F1572">
        <v>10.987</v>
      </c>
      <c r="G1572">
        <v>29.3</v>
      </c>
      <c r="H1572">
        <v>2.67</v>
      </c>
      <c r="I1572" s="309">
        <v>1128</v>
      </c>
      <c r="J1572">
        <v>11.28</v>
      </c>
      <c r="K1572" s="133">
        <v>2.1877427754449599E-3</v>
      </c>
      <c r="L1572" s="181">
        <v>12</v>
      </c>
      <c r="M1572" s="133">
        <v>2.1309157689551198E-3</v>
      </c>
      <c r="N1572" s="73">
        <v>75.304000000000102</v>
      </c>
      <c r="O1572" s="73">
        <v>6.41110289608178</v>
      </c>
      <c r="P1572" s="182">
        <v>1</v>
      </c>
      <c r="Q1572" s="182">
        <v>500</v>
      </c>
      <c r="R1572" s="46">
        <v>11.56</v>
      </c>
      <c r="S1572" s="46">
        <v>1</v>
      </c>
      <c r="T1572" s="46">
        <v>400</v>
      </c>
      <c r="U1572" s="46">
        <v>11.74</v>
      </c>
      <c r="V1572" s="46" t="s">
        <v>62</v>
      </c>
      <c r="W1572" s="46">
        <v>100</v>
      </c>
      <c r="X1572" s="46">
        <v>10.84</v>
      </c>
      <c r="Y1572" s="193">
        <v>11.311</v>
      </c>
      <c r="Z1572" s="194">
        <v>11.616</v>
      </c>
      <c r="AA1572" s="194">
        <v>11.627000000000001</v>
      </c>
      <c r="AB1572" s="46">
        <v>11.18</v>
      </c>
      <c r="AC1572" s="46">
        <v>11.45</v>
      </c>
      <c r="AD1572" s="46">
        <v>11.16</v>
      </c>
      <c r="AE1572" s="46">
        <v>11.28</v>
      </c>
    </row>
    <row r="1573" spans="1:31" x14ac:dyDescent="0.25">
      <c r="A1573" s="136">
        <v>43067</v>
      </c>
      <c r="B1573" s="201" t="s">
        <v>72</v>
      </c>
      <c r="C1573" t="s">
        <v>130</v>
      </c>
      <c r="D1573">
        <v>3100</v>
      </c>
      <c r="E1573">
        <v>3100</v>
      </c>
      <c r="F1573">
        <v>7.2480000000000002</v>
      </c>
      <c r="G1573">
        <v>-1234.55</v>
      </c>
      <c r="H1573">
        <v>-5.49</v>
      </c>
      <c r="I1573" s="309">
        <v>21235</v>
      </c>
      <c r="J1573">
        <v>6.85</v>
      </c>
      <c r="K1573" s="133">
        <v>4.11850335430618E-2</v>
      </c>
      <c r="L1573" s="181">
        <v>186</v>
      </c>
      <c r="M1573" s="133">
        <v>4.3579428794325602E-2</v>
      </c>
      <c r="N1573" s="73">
        <v>-2231.2559999999899</v>
      </c>
      <c r="O1573" s="73">
        <v>-304.32442833332999</v>
      </c>
      <c r="P1573" s="182">
        <v>1</v>
      </c>
      <c r="Q1573" s="182">
        <v>500</v>
      </c>
      <c r="R1573" s="46">
        <v>6.83</v>
      </c>
      <c r="S1573" s="46">
        <v>10</v>
      </c>
      <c r="T1573" s="46">
        <v>4200</v>
      </c>
      <c r="U1573" s="46">
        <v>8.36</v>
      </c>
      <c r="V1573" s="46" t="s">
        <v>68</v>
      </c>
      <c r="W1573" s="46">
        <v>3700</v>
      </c>
      <c r="X1573" s="46">
        <v>8.5670000000000002</v>
      </c>
      <c r="Y1573" s="194">
        <v>6.6870000000000003</v>
      </c>
      <c r="Z1573" s="194">
        <v>6.8470000000000004</v>
      </c>
      <c r="AA1573" s="194">
        <v>6.8140000000000001</v>
      </c>
      <c r="AB1573" s="46">
        <v>6.75</v>
      </c>
      <c r="AC1573" s="46">
        <v>6.86</v>
      </c>
      <c r="AD1573" s="46">
        <v>6.71</v>
      </c>
      <c r="AE1573" s="46">
        <v>6.85</v>
      </c>
    </row>
    <row r="1574" spans="1:31" x14ac:dyDescent="0.25">
      <c r="A1574" s="136">
        <v>43067</v>
      </c>
      <c r="B1574" s="201" t="s">
        <v>70</v>
      </c>
      <c r="C1574" t="s">
        <v>131</v>
      </c>
      <c r="D1574">
        <v>10900</v>
      </c>
      <c r="E1574">
        <v>10900</v>
      </c>
      <c r="F1574">
        <v>12.218</v>
      </c>
      <c r="G1574">
        <v>-13274.46</v>
      </c>
      <c r="H1574">
        <v>-9.9700000000000006</v>
      </c>
      <c r="I1574" s="309">
        <v>119900</v>
      </c>
      <c r="J1574">
        <v>11</v>
      </c>
      <c r="K1574" s="133">
        <v>0.23254464430483199</v>
      </c>
      <c r="L1574" s="181">
        <v>1635</v>
      </c>
      <c r="M1574" s="133">
        <v>0.25829030384643997</v>
      </c>
      <c r="N1574" s="73">
        <v>-14799.441999999999</v>
      </c>
      <c r="O1574" s="73">
        <v>-1362.06650819522</v>
      </c>
      <c r="P1574" s="182">
        <v>8</v>
      </c>
      <c r="Q1574" s="182">
        <v>4000</v>
      </c>
      <c r="R1574" s="46">
        <v>11.683</v>
      </c>
      <c r="S1574" s="46">
        <v>9</v>
      </c>
      <c r="T1574" s="46">
        <v>3600</v>
      </c>
      <c r="U1574" s="46">
        <v>13.278</v>
      </c>
      <c r="V1574" s="46" t="s">
        <v>62</v>
      </c>
      <c r="W1574" s="46">
        <v>400</v>
      </c>
      <c r="X1574" s="46">
        <v>-2.6720000000000002</v>
      </c>
      <c r="Y1574" s="193">
        <v>11.103999999999999</v>
      </c>
      <c r="Z1574" s="194">
        <v>12.37</v>
      </c>
      <c r="AA1574" s="194">
        <v>12.444000000000001</v>
      </c>
      <c r="AB1574" s="46">
        <v>10.93</v>
      </c>
      <c r="AC1574" s="46">
        <v>11.05</v>
      </c>
      <c r="AD1574" s="46">
        <v>10.87</v>
      </c>
      <c r="AE1574" s="46">
        <v>11</v>
      </c>
    </row>
    <row r="1575" spans="1:31" x14ac:dyDescent="0.25">
      <c r="A1575" s="136">
        <v>43067</v>
      </c>
      <c r="B1575" s="201" t="s">
        <v>137</v>
      </c>
      <c r="C1575" t="s">
        <v>138</v>
      </c>
      <c r="D1575">
        <v>100</v>
      </c>
      <c r="E1575">
        <v>100</v>
      </c>
      <c r="F1575">
        <v>-130.48500000000001</v>
      </c>
      <c r="G1575">
        <v>16845.5</v>
      </c>
      <c r="H1575">
        <v>0</v>
      </c>
      <c r="I1575" s="309">
        <v>3797</v>
      </c>
      <c r="J1575">
        <v>37.97</v>
      </c>
      <c r="K1575" s="133">
        <v>7.3642369843657102E-3</v>
      </c>
      <c r="L1575" s="181">
        <v>106</v>
      </c>
      <c r="M1575" s="133">
        <v>0</v>
      </c>
    </row>
    <row r="1576" spans="1:31" x14ac:dyDescent="0.25">
      <c r="A1576" s="136">
        <v>43067</v>
      </c>
      <c r="B1576" s="201" t="s">
        <v>835</v>
      </c>
      <c r="C1576" t="s">
        <v>839</v>
      </c>
      <c r="I1576" s="309">
        <v>3923.15</v>
      </c>
      <c r="K1576" s="133">
        <v>7.6089034303961902E-3</v>
      </c>
      <c r="L1576" s="181">
        <v>0</v>
      </c>
      <c r="M1576" s="133">
        <v>8.1224217412601604E-3</v>
      </c>
    </row>
    <row r="1577" spans="1:31" x14ac:dyDescent="0.25">
      <c r="A1577" s="136">
        <v>43068</v>
      </c>
      <c r="B1577" s="201" t="s">
        <v>132</v>
      </c>
      <c r="C1577" t="s">
        <v>123</v>
      </c>
      <c r="D1577">
        <v>26482</v>
      </c>
      <c r="E1577">
        <v>26482</v>
      </c>
      <c r="F1577">
        <v>-9.2999999999999999E-2</v>
      </c>
      <c r="G1577">
        <v>2727.6460000000002</v>
      </c>
      <c r="H1577">
        <v>0</v>
      </c>
      <c r="I1577" s="309">
        <v>264.82</v>
      </c>
      <c r="J1577">
        <v>0.01</v>
      </c>
      <c r="K1577" s="133">
        <v>5.0805849805729303E-4</v>
      </c>
      <c r="L1577" s="181">
        <v>0.51500000000032697</v>
      </c>
      <c r="M1577" s="133">
        <v>0</v>
      </c>
    </row>
    <row r="1578" spans="1:31" x14ac:dyDescent="0.25">
      <c r="A1578" s="136">
        <v>43068</v>
      </c>
      <c r="B1578" s="201" t="s">
        <v>61</v>
      </c>
      <c r="C1578" t="s">
        <v>136</v>
      </c>
      <c r="D1578">
        <v>3500</v>
      </c>
      <c r="E1578">
        <v>3500</v>
      </c>
      <c r="F1578">
        <v>5.3070000000000004</v>
      </c>
      <c r="G1578">
        <v>-408.52</v>
      </c>
      <c r="H1578">
        <v>-2.2000000000000002</v>
      </c>
      <c r="I1578" s="309">
        <v>18165</v>
      </c>
      <c r="J1578">
        <v>5.19</v>
      </c>
      <c r="K1578" s="133">
        <v>3.4849643596445601E-2</v>
      </c>
      <c r="L1578" s="181">
        <v>0</v>
      </c>
      <c r="M1578" s="133">
        <v>3.5633391265150298E-2</v>
      </c>
      <c r="N1578" s="73">
        <v>-587.26800000000003</v>
      </c>
      <c r="O1578" s="73">
        <v>-114.19734747081699</v>
      </c>
      <c r="P1578" s="182">
        <v>6</v>
      </c>
      <c r="Q1578" s="182">
        <v>3000</v>
      </c>
      <c r="R1578" s="46">
        <v>5.31</v>
      </c>
      <c r="S1578" s="46">
        <v>0</v>
      </c>
      <c r="T1578" s="46">
        <v>0</v>
      </c>
      <c r="U1578" s="46">
        <v>0</v>
      </c>
      <c r="V1578" s="46" t="s">
        <v>62</v>
      </c>
      <c r="W1578" s="46">
        <v>3000</v>
      </c>
      <c r="X1578" s="46">
        <v>5.31</v>
      </c>
      <c r="Y1578" s="194">
        <v>5.1479999999999997</v>
      </c>
      <c r="Z1578" s="194">
        <v>5.1109999999999998</v>
      </c>
      <c r="AA1578" s="194">
        <v>5.1849999999999996</v>
      </c>
      <c r="AB1578" s="46">
        <v>5.19</v>
      </c>
      <c r="AC1578" s="46">
        <v>5.2</v>
      </c>
      <c r="AD1578" s="46">
        <v>5.15</v>
      </c>
      <c r="AE1578" s="46">
        <v>5.19</v>
      </c>
    </row>
    <row r="1579" spans="1:31" x14ac:dyDescent="0.25">
      <c r="A1579" s="136">
        <v>43068</v>
      </c>
      <c r="B1579" s="201" t="s">
        <v>124</v>
      </c>
      <c r="C1579" t="s">
        <v>125</v>
      </c>
      <c r="D1579">
        <v>100</v>
      </c>
      <c r="E1579">
        <v>100</v>
      </c>
      <c r="F1579">
        <v>-53.579000000000001</v>
      </c>
      <c r="G1579">
        <v>5949.9</v>
      </c>
      <c r="H1579">
        <v>0</v>
      </c>
      <c r="I1579" s="309">
        <v>592</v>
      </c>
      <c r="J1579">
        <v>5.92</v>
      </c>
      <c r="K1579" s="133">
        <v>1.13575496884645E-3</v>
      </c>
      <c r="L1579" s="181">
        <v>1</v>
      </c>
      <c r="M1579" s="133">
        <v>0</v>
      </c>
      <c r="N1579" s="73">
        <v>5995.0890000000099</v>
      </c>
      <c r="O1579" s="73">
        <v>1102.4501845505599</v>
      </c>
      <c r="P1579" s="182">
        <v>0</v>
      </c>
      <c r="Q1579" s="182">
        <v>0</v>
      </c>
      <c r="R1579" s="46">
        <v>0</v>
      </c>
      <c r="S1579" s="46">
        <v>5</v>
      </c>
      <c r="T1579" s="46">
        <v>2300</v>
      </c>
      <c r="U1579" s="46">
        <v>4.99</v>
      </c>
      <c r="V1579" s="46" t="s">
        <v>68</v>
      </c>
      <c r="W1579" s="46">
        <v>2300</v>
      </c>
      <c r="X1579" s="46">
        <v>4.99</v>
      </c>
      <c r="Y1579" s="194">
        <v>5.8440000000000003</v>
      </c>
      <c r="Z1579" s="193">
        <v>5.13</v>
      </c>
      <c r="AA1579" s="193">
        <v>5.8310000000000004</v>
      </c>
      <c r="AB1579" s="46">
        <v>5.94</v>
      </c>
      <c r="AC1579" s="46">
        <v>5.99</v>
      </c>
      <c r="AD1579" s="46">
        <v>5.88</v>
      </c>
      <c r="AE1579" s="46">
        <v>5.92</v>
      </c>
    </row>
    <row r="1580" spans="1:31" x14ac:dyDescent="0.25">
      <c r="A1580" s="136">
        <v>43068</v>
      </c>
      <c r="B1580" s="201" t="s">
        <v>71</v>
      </c>
      <c r="C1580" t="s">
        <v>126</v>
      </c>
      <c r="D1580">
        <v>3200</v>
      </c>
      <c r="E1580">
        <v>3200</v>
      </c>
      <c r="F1580">
        <v>6.0030000000000001</v>
      </c>
      <c r="G1580">
        <v>726.02</v>
      </c>
      <c r="H1580">
        <v>3.78</v>
      </c>
      <c r="I1580" s="309">
        <v>19936</v>
      </c>
      <c r="J1580">
        <v>6.23</v>
      </c>
      <c r="K1580" s="133">
        <v>3.8247315977910298E-2</v>
      </c>
      <c r="L1580" s="181">
        <v>-128</v>
      </c>
      <c r="M1580" s="133">
        <v>3.6854442966961103E-2</v>
      </c>
      <c r="N1580" s="73">
        <v>2832.0940000000001</v>
      </c>
      <c r="O1580" s="73">
        <v>164.079372669826</v>
      </c>
      <c r="P1580" s="182">
        <v>2</v>
      </c>
      <c r="Q1580" s="182">
        <v>1000</v>
      </c>
      <c r="R1580" s="46">
        <v>6.45</v>
      </c>
      <c r="S1580" s="46">
        <v>1</v>
      </c>
      <c r="T1580" s="46">
        <v>500</v>
      </c>
      <c r="U1580" s="46">
        <v>6.33</v>
      </c>
      <c r="V1580" s="46" t="s">
        <v>62</v>
      </c>
      <c r="W1580" s="46">
        <v>500</v>
      </c>
      <c r="X1580" s="46">
        <v>6.57</v>
      </c>
      <c r="Y1580" s="194">
        <v>6.2110000000000003</v>
      </c>
      <c r="Z1580" s="194">
        <v>6.298</v>
      </c>
      <c r="AA1580" s="194">
        <v>6.5490000000000004</v>
      </c>
      <c r="AB1580" s="46">
        <v>6.29</v>
      </c>
      <c r="AC1580" s="46">
        <v>6.3</v>
      </c>
      <c r="AD1580" s="46">
        <v>6.14</v>
      </c>
      <c r="AE1580" s="46">
        <v>6.23</v>
      </c>
    </row>
    <row r="1581" spans="1:31" x14ac:dyDescent="0.25">
      <c r="A1581" s="136">
        <v>43068</v>
      </c>
      <c r="B1581" s="201" t="s">
        <v>79</v>
      </c>
      <c r="C1581" t="s">
        <v>143</v>
      </c>
      <c r="D1581">
        <v>4500</v>
      </c>
      <c r="E1581">
        <v>4500</v>
      </c>
      <c r="F1581">
        <v>17.189</v>
      </c>
      <c r="G1581">
        <v>-5396.54</v>
      </c>
      <c r="H1581">
        <v>-6.97</v>
      </c>
      <c r="I1581" s="309">
        <v>71955</v>
      </c>
      <c r="J1581">
        <v>15.99</v>
      </c>
      <c r="K1581" s="133">
        <v>0.13804602835024701</v>
      </c>
      <c r="L1581" s="181">
        <v>-405</v>
      </c>
      <c r="M1581" s="133">
        <v>0.14839931740359</v>
      </c>
      <c r="N1581" s="73">
        <v>-5397.7000000000098</v>
      </c>
      <c r="O1581" s="73">
        <v>-337.39844590369103</v>
      </c>
      <c r="P1581" s="182">
        <v>8</v>
      </c>
      <c r="Q1581" s="182">
        <v>4500</v>
      </c>
      <c r="R1581" s="46">
        <v>17.18</v>
      </c>
      <c r="S1581" s="46">
        <v>0</v>
      </c>
      <c r="T1581" s="46">
        <v>0</v>
      </c>
      <c r="U1581" s="46">
        <v>0</v>
      </c>
      <c r="V1581" s="46" t="s">
        <v>62</v>
      </c>
      <c r="W1581" s="46">
        <v>4500</v>
      </c>
      <c r="X1581" s="46">
        <v>17.18</v>
      </c>
      <c r="Y1581" s="194">
        <v>15.914</v>
      </c>
      <c r="Z1581" s="194">
        <v>16.021000000000001</v>
      </c>
      <c r="AA1581" s="194">
        <v>15.997999999999999</v>
      </c>
      <c r="AB1581" s="46">
        <v>16.079999999999998</v>
      </c>
      <c r="AC1581" s="46">
        <v>16.079999999999998</v>
      </c>
      <c r="AD1581" s="46">
        <v>15.83</v>
      </c>
      <c r="AE1581" s="46">
        <v>15.99</v>
      </c>
    </row>
    <row r="1582" spans="1:31" x14ac:dyDescent="0.25">
      <c r="A1582" s="136">
        <v>43068</v>
      </c>
      <c r="B1582" s="201" t="s">
        <v>65</v>
      </c>
      <c r="C1582" t="s">
        <v>127</v>
      </c>
      <c r="D1582">
        <v>12200</v>
      </c>
      <c r="E1582">
        <v>12200</v>
      </c>
      <c r="F1582">
        <v>10.375999999999999</v>
      </c>
      <c r="G1582">
        <v>13223.77</v>
      </c>
      <c r="H1582">
        <v>10.45</v>
      </c>
      <c r="I1582" s="309">
        <v>139812</v>
      </c>
      <c r="J1582">
        <v>11.46</v>
      </c>
      <c r="K1582" s="133">
        <v>0.26823002314925698</v>
      </c>
      <c r="L1582" s="181">
        <v>4506.4399999999996</v>
      </c>
      <c r="M1582" s="133">
        <v>0.24286015408780001</v>
      </c>
      <c r="N1582" s="73">
        <v>8331.3360000000193</v>
      </c>
      <c r="O1582" s="73">
        <v>1104.87143341366</v>
      </c>
      <c r="P1582" s="182">
        <v>4</v>
      </c>
      <c r="Q1582" s="182">
        <v>1900</v>
      </c>
      <c r="R1582" s="46">
        <v>10.896000000000001</v>
      </c>
      <c r="S1582" s="46">
        <v>16</v>
      </c>
      <c r="T1582" s="46">
        <v>6800</v>
      </c>
      <c r="U1582" s="46">
        <v>12.407</v>
      </c>
      <c r="V1582" s="46" t="s">
        <v>68</v>
      </c>
      <c r="W1582" s="46">
        <v>4900</v>
      </c>
      <c r="X1582" s="46">
        <v>12.993</v>
      </c>
      <c r="Y1582" s="193">
        <v>11.433999999999999</v>
      </c>
      <c r="Z1582" s="194">
        <v>11.417999999999999</v>
      </c>
      <c r="AA1582" s="194">
        <v>11.737</v>
      </c>
      <c r="AB1582" s="46">
        <v>11.12</v>
      </c>
      <c r="AC1582" s="46">
        <v>11.5</v>
      </c>
      <c r="AD1582" s="46">
        <v>11.02</v>
      </c>
      <c r="AE1582" s="46">
        <v>11.46</v>
      </c>
    </row>
    <row r="1583" spans="1:31" x14ac:dyDescent="0.25">
      <c r="A1583" s="136">
        <v>43068</v>
      </c>
      <c r="B1583" s="201" t="s">
        <v>77</v>
      </c>
      <c r="C1583" t="s">
        <v>128</v>
      </c>
      <c r="D1583">
        <v>4800</v>
      </c>
      <c r="E1583">
        <v>4800</v>
      </c>
      <c r="F1583">
        <v>6.0410000000000004</v>
      </c>
      <c r="G1583">
        <v>-819.47</v>
      </c>
      <c r="H1583">
        <v>-2.83</v>
      </c>
      <c r="I1583" s="309">
        <v>28176</v>
      </c>
      <c r="J1583">
        <v>5.87</v>
      </c>
      <c r="K1583" s="133">
        <v>5.4055797301043297E-2</v>
      </c>
      <c r="L1583" s="181">
        <v>-288</v>
      </c>
      <c r="M1583" s="133">
        <v>5.56279546056389E-2</v>
      </c>
      <c r="N1583" s="73">
        <v>-796.41400000000101</v>
      </c>
      <c r="O1583" s="73">
        <v>-49.542774749164003</v>
      </c>
      <c r="P1583" s="182">
        <v>8</v>
      </c>
      <c r="Q1583" s="182">
        <v>4000</v>
      </c>
      <c r="R1583" s="46">
        <v>6.6230000000000002</v>
      </c>
      <c r="S1583" s="46">
        <v>0</v>
      </c>
      <c r="T1583" s="46">
        <v>0</v>
      </c>
      <c r="U1583" s="46">
        <v>0</v>
      </c>
      <c r="V1583" s="46" t="s">
        <v>62</v>
      </c>
      <c r="W1583" s="46">
        <v>4000</v>
      </c>
      <c r="X1583" s="46">
        <v>6.6230000000000002</v>
      </c>
      <c r="Y1583" s="194">
        <v>5.8840000000000003</v>
      </c>
      <c r="Z1583" s="194">
        <v>6.18</v>
      </c>
      <c r="AA1583" s="194">
        <v>6.6779999999999999</v>
      </c>
      <c r="AB1583" s="46">
        <v>5.92</v>
      </c>
      <c r="AC1583" s="46">
        <v>5.96</v>
      </c>
      <c r="AD1583" s="46">
        <v>5.86</v>
      </c>
      <c r="AE1583" s="46">
        <v>5.87</v>
      </c>
    </row>
    <row r="1584" spans="1:31" x14ac:dyDescent="0.25">
      <c r="A1584" s="136">
        <v>43068</v>
      </c>
      <c r="B1584" s="201" t="s">
        <v>67</v>
      </c>
      <c r="C1584" t="s">
        <v>129</v>
      </c>
      <c r="D1584">
        <v>10550</v>
      </c>
      <c r="E1584">
        <v>10550</v>
      </c>
      <c r="F1584">
        <v>8.6720000000000006</v>
      </c>
      <c r="G1584">
        <v>-6245.35</v>
      </c>
      <c r="H1584">
        <v>-6.83</v>
      </c>
      <c r="I1584" s="309">
        <v>85244</v>
      </c>
      <c r="J1584">
        <v>8.08</v>
      </c>
      <c r="K1584" s="133">
        <v>0.163541041493829</v>
      </c>
      <c r="L1584" s="181">
        <v>2607.7800000000002</v>
      </c>
      <c r="M1584" s="133">
        <v>0.17552277678890599</v>
      </c>
      <c r="N1584" s="73">
        <v>46644.394999999902</v>
      </c>
      <c r="O1584" s="73">
        <v>-815.00931012425303</v>
      </c>
      <c r="P1584" s="182">
        <v>14</v>
      </c>
      <c r="Q1584" s="182">
        <v>6900</v>
      </c>
      <c r="R1584" s="46">
        <v>7.3040000000000003</v>
      </c>
      <c r="S1584" s="46">
        <v>5</v>
      </c>
      <c r="T1584" s="46">
        <v>2000</v>
      </c>
      <c r="U1584" s="46">
        <v>8.68</v>
      </c>
      <c r="V1584" s="46" t="s">
        <v>62</v>
      </c>
      <c r="W1584" s="46">
        <v>4900</v>
      </c>
      <c r="X1584" s="46">
        <v>6.742</v>
      </c>
      <c r="Y1584" s="193">
        <v>7.9880000000000004</v>
      </c>
      <c r="Z1584" s="194">
        <v>7.3159999999999998</v>
      </c>
      <c r="AA1584" s="194">
        <v>8.8239999999999998</v>
      </c>
      <c r="AB1584" s="46">
        <v>7.85</v>
      </c>
      <c r="AC1584" s="46">
        <v>8.09</v>
      </c>
      <c r="AD1584" s="46">
        <v>7.83</v>
      </c>
      <c r="AE1584" s="46">
        <v>8.08</v>
      </c>
    </row>
    <row r="1585" spans="1:31" x14ac:dyDescent="0.25">
      <c r="A1585" s="136">
        <v>43068</v>
      </c>
      <c r="B1585" s="201" t="s">
        <v>78</v>
      </c>
      <c r="C1585" t="s">
        <v>142</v>
      </c>
      <c r="D1585">
        <v>100</v>
      </c>
      <c r="E1585">
        <v>100</v>
      </c>
      <c r="F1585">
        <v>10.987</v>
      </c>
      <c r="G1585">
        <v>30.3</v>
      </c>
      <c r="H1585">
        <v>2.76</v>
      </c>
      <c r="I1585" s="309">
        <v>1129</v>
      </c>
      <c r="J1585">
        <v>11.29</v>
      </c>
      <c r="K1585" s="133">
        <v>2.1659921618710199E-3</v>
      </c>
      <c r="L1585" s="181">
        <v>1</v>
      </c>
      <c r="M1585" s="133">
        <v>2.1078614599182401E-3</v>
      </c>
      <c r="N1585" s="73">
        <v>75.304000000000102</v>
      </c>
      <c r="O1585" s="73">
        <v>6.41110289608178</v>
      </c>
      <c r="P1585" s="182">
        <v>1</v>
      </c>
      <c r="Q1585" s="182">
        <v>500</v>
      </c>
      <c r="R1585" s="46">
        <v>11.56</v>
      </c>
      <c r="S1585" s="46">
        <v>1</v>
      </c>
      <c r="T1585" s="46">
        <v>400</v>
      </c>
      <c r="U1585" s="46">
        <v>11.74</v>
      </c>
      <c r="V1585" s="46" t="s">
        <v>62</v>
      </c>
      <c r="W1585" s="46">
        <v>100</v>
      </c>
      <c r="X1585" s="46">
        <v>10.84</v>
      </c>
      <c r="Y1585" s="194">
        <v>11.103999999999999</v>
      </c>
      <c r="Z1585" s="194">
        <v>11.577</v>
      </c>
      <c r="AA1585" s="194">
        <v>11.582000000000001</v>
      </c>
      <c r="AB1585" s="46">
        <v>11.28</v>
      </c>
      <c r="AC1585" s="46">
        <v>11.34</v>
      </c>
      <c r="AD1585" s="46">
        <v>11.1</v>
      </c>
      <c r="AE1585" s="46">
        <v>11.29</v>
      </c>
    </row>
    <row r="1586" spans="1:31" x14ac:dyDescent="0.25">
      <c r="A1586" s="136">
        <v>43068</v>
      </c>
      <c r="B1586" s="201" t="s">
        <v>72</v>
      </c>
      <c r="C1586" t="s">
        <v>130</v>
      </c>
      <c r="D1586">
        <v>3100</v>
      </c>
      <c r="E1586">
        <v>3100</v>
      </c>
      <c r="F1586">
        <v>7.2480000000000002</v>
      </c>
      <c r="G1586">
        <v>-1048.55</v>
      </c>
      <c r="H1586">
        <v>-4.66</v>
      </c>
      <c r="I1586" s="309">
        <v>21421</v>
      </c>
      <c r="J1586">
        <v>6.91</v>
      </c>
      <c r="K1586" s="133">
        <v>4.1096295925101098E-2</v>
      </c>
      <c r="L1586" s="181">
        <v>186</v>
      </c>
      <c r="M1586" s="133">
        <v>4.3107944358519897E-2</v>
      </c>
      <c r="N1586" s="73">
        <v>-2231.2559999999899</v>
      </c>
      <c r="O1586" s="73">
        <v>-304.32442833332999</v>
      </c>
      <c r="P1586" s="182">
        <v>1</v>
      </c>
      <c r="Q1586" s="182">
        <v>500</v>
      </c>
      <c r="R1586" s="46">
        <v>6.83</v>
      </c>
      <c r="S1586" s="46">
        <v>10</v>
      </c>
      <c r="T1586" s="46">
        <v>4200</v>
      </c>
      <c r="U1586" s="46">
        <v>8.36</v>
      </c>
      <c r="V1586" s="46" t="s">
        <v>68</v>
      </c>
      <c r="W1586" s="46">
        <v>3700</v>
      </c>
      <c r="X1586" s="46">
        <v>8.5670000000000002</v>
      </c>
      <c r="Y1586" s="193">
        <v>12.994999999999999</v>
      </c>
      <c r="Z1586" s="194">
        <v>6.8259999999999996</v>
      </c>
      <c r="AA1586" s="194">
        <v>6.8170000000000002</v>
      </c>
      <c r="AB1586" s="46">
        <v>6.88</v>
      </c>
      <c r="AC1586" s="46">
        <v>6.93</v>
      </c>
      <c r="AD1586" s="46">
        <v>6.73</v>
      </c>
      <c r="AE1586" s="46">
        <v>6.91</v>
      </c>
    </row>
    <row r="1587" spans="1:31" x14ac:dyDescent="0.25">
      <c r="A1587" s="136">
        <v>43068</v>
      </c>
      <c r="B1587" s="201" t="s">
        <v>70</v>
      </c>
      <c r="C1587" t="s">
        <v>131</v>
      </c>
      <c r="D1587">
        <v>10900</v>
      </c>
      <c r="E1587">
        <v>10900</v>
      </c>
      <c r="F1587">
        <v>12.218</v>
      </c>
      <c r="G1587">
        <v>-14037.46</v>
      </c>
      <c r="H1587">
        <v>-10.54</v>
      </c>
      <c r="I1587" s="309">
        <v>119137</v>
      </c>
      <c r="J1587">
        <v>10.93</v>
      </c>
      <c r="K1587" s="133">
        <v>0.228564931965304</v>
      </c>
      <c r="L1587" s="181">
        <v>-763</v>
      </c>
      <c r="M1587" s="133">
        <v>0.25549586937237001</v>
      </c>
      <c r="N1587" s="73">
        <v>-14799.441999999999</v>
      </c>
      <c r="O1587" s="73">
        <v>-1362.06650819522</v>
      </c>
      <c r="P1587" s="182">
        <v>8</v>
      </c>
      <c r="Q1587" s="182">
        <v>4000</v>
      </c>
      <c r="R1587" s="46">
        <v>11.683</v>
      </c>
      <c r="S1587" s="46">
        <v>9</v>
      </c>
      <c r="T1587" s="46">
        <v>3600</v>
      </c>
      <c r="U1587" s="46">
        <v>13.278</v>
      </c>
      <c r="V1587" s="46" t="s">
        <v>62</v>
      </c>
      <c r="W1587" s="46">
        <v>400</v>
      </c>
      <c r="X1587" s="46">
        <v>-2.6720000000000002</v>
      </c>
      <c r="Y1587" s="194">
        <v>10.903</v>
      </c>
      <c r="Z1587" s="194">
        <v>12.347</v>
      </c>
      <c r="AA1587" s="194">
        <v>12.433999999999999</v>
      </c>
      <c r="AB1587" s="46">
        <v>11</v>
      </c>
      <c r="AC1587" s="46">
        <v>11</v>
      </c>
      <c r="AD1587" s="46">
        <v>10.82</v>
      </c>
      <c r="AE1587" s="46">
        <v>10.93</v>
      </c>
    </row>
    <row r="1588" spans="1:31" x14ac:dyDescent="0.25">
      <c r="A1588" s="136">
        <v>43068</v>
      </c>
      <c r="B1588" s="201" t="s">
        <v>137</v>
      </c>
      <c r="C1588" t="s">
        <v>138</v>
      </c>
      <c r="D1588">
        <v>100</v>
      </c>
      <c r="E1588">
        <v>100</v>
      </c>
      <c r="F1588">
        <v>-130.48500000000001</v>
      </c>
      <c r="G1588">
        <v>16766.5</v>
      </c>
      <c r="H1588">
        <v>0</v>
      </c>
      <c r="I1588" s="309">
        <v>3718</v>
      </c>
      <c r="J1588">
        <v>37.18</v>
      </c>
      <c r="K1588" s="133">
        <v>7.1330016455593099E-3</v>
      </c>
      <c r="L1588" s="181">
        <v>-79</v>
      </c>
      <c r="M1588" s="133">
        <v>0</v>
      </c>
    </row>
    <row r="1589" spans="1:31" x14ac:dyDescent="0.25">
      <c r="A1589" s="136">
        <v>43068</v>
      </c>
      <c r="B1589" s="201" t="s">
        <v>835</v>
      </c>
      <c r="C1589" t="s">
        <v>839</v>
      </c>
      <c r="I1589" s="309">
        <v>11689.37</v>
      </c>
      <c r="K1589" s="133">
        <v>2.2426114966528101E-2</v>
      </c>
      <c r="L1589" s="181">
        <v>0</v>
      </c>
      <c r="M1589" s="133">
        <v>2.29341734645854E-2</v>
      </c>
    </row>
    <row r="1590" spans="1:31" x14ac:dyDescent="0.25">
      <c r="A1590" s="136">
        <v>43069</v>
      </c>
      <c r="B1590" s="201" t="s">
        <v>132</v>
      </c>
      <c r="C1590" t="s">
        <v>123</v>
      </c>
      <c r="D1590">
        <v>26482</v>
      </c>
      <c r="E1590">
        <v>26482</v>
      </c>
      <c r="F1590">
        <v>-9.2999999999999999E-2</v>
      </c>
      <c r="G1590">
        <v>2727.6460000000002</v>
      </c>
      <c r="H1590">
        <v>0</v>
      </c>
      <c r="I1590" s="309">
        <v>264.82</v>
      </c>
      <c r="J1590">
        <v>0.01</v>
      </c>
      <c r="K1590" s="133">
        <v>5.0837136872108901E-4</v>
      </c>
      <c r="L1590" s="181">
        <v>0</v>
      </c>
      <c r="M1590" s="133">
        <v>0</v>
      </c>
    </row>
    <row r="1591" spans="1:31" x14ac:dyDescent="0.25">
      <c r="A1591" s="136">
        <v>43069</v>
      </c>
      <c r="B1591" s="201" t="s">
        <v>61</v>
      </c>
      <c r="C1591" t="s">
        <v>136</v>
      </c>
      <c r="D1591">
        <v>3500</v>
      </c>
      <c r="E1591">
        <v>3500</v>
      </c>
      <c r="F1591">
        <v>5.3070000000000004</v>
      </c>
      <c r="G1591">
        <v>-443.52</v>
      </c>
      <c r="H1591">
        <v>-2.39</v>
      </c>
      <c r="I1591" s="309">
        <v>18130</v>
      </c>
      <c r="J1591">
        <v>5.18</v>
      </c>
      <c r="K1591" s="133">
        <v>3.4803915546081698E-2</v>
      </c>
      <c r="L1591" s="181">
        <v>-35</v>
      </c>
      <c r="M1591" s="133">
        <v>3.5655334885463803E-2</v>
      </c>
      <c r="N1591" s="73">
        <v>-587.26800000000003</v>
      </c>
      <c r="O1591" s="73">
        <v>-114.19734747081699</v>
      </c>
      <c r="P1591" s="182">
        <v>6</v>
      </c>
      <c r="Q1591" s="182">
        <v>3000</v>
      </c>
      <c r="R1591" s="46">
        <v>5.31</v>
      </c>
      <c r="S1591" s="46">
        <v>0</v>
      </c>
      <c r="T1591" s="46">
        <v>0</v>
      </c>
      <c r="U1591" s="46">
        <v>0</v>
      </c>
      <c r="V1591" s="46" t="s">
        <v>62</v>
      </c>
      <c r="W1591" s="46">
        <v>3000</v>
      </c>
      <c r="X1591" s="46">
        <v>5.31</v>
      </c>
      <c r="Y1591" s="193">
        <v>5.3330000000000002</v>
      </c>
      <c r="Z1591" s="194">
        <v>5.1020000000000003</v>
      </c>
      <c r="AA1591" s="194">
        <v>5.1859999999999999</v>
      </c>
      <c r="AB1591" s="46">
        <v>5.18</v>
      </c>
      <c r="AC1591" s="46">
        <v>5.21</v>
      </c>
      <c r="AD1591" s="46">
        <v>5.17</v>
      </c>
      <c r="AE1591" s="46">
        <v>5.18</v>
      </c>
    </row>
    <row r="1592" spans="1:31" x14ac:dyDescent="0.25">
      <c r="A1592" s="136">
        <v>43069</v>
      </c>
      <c r="B1592" s="201" t="s">
        <v>124</v>
      </c>
      <c r="C1592" t="s">
        <v>125</v>
      </c>
      <c r="D1592">
        <v>100</v>
      </c>
      <c r="E1592">
        <v>100</v>
      </c>
      <c r="F1592">
        <v>-53.579000000000001</v>
      </c>
      <c r="G1592">
        <v>5949.9</v>
      </c>
      <c r="H1592">
        <v>0</v>
      </c>
      <c r="I1592" s="309">
        <v>592</v>
      </c>
      <c r="J1592">
        <v>5.92</v>
      </c>
      <c r="K1592" s="133">
        <v>1.13645438517818E-3</v>
      </c>
      <c r="L1592" s="181">
        <v>0</v>
      </c>
      <c r="M1592" s="133">
        <v>0</v>
      </c>
      <c r="N1592" s="73">
        <v>5995.0890000000099</v>
      </c>
      <c r="O1592" s="73">
        <v>1102.4501845505599</v>
      </c>
      <c r="P1592" s="182">
        <v>0</v>
      </c>
      <c r="Q1592" s="182">
        <v>0</v>
      </c>
      <c r="R1592" s="46">
        <v>0</v>
      </c>
      <c r="S1592" s="46">
        <v>5</v>
      </c>
      <c r="T1592" s="46">
        <v>2300</v>
      </c>
      <c r="U1592" s="46">
        <v>4.99</v>
      </c>
      <c r="V1592" s="46" t="s">
        <v>68</v>
      </c>
      <c r="W1592" s="46">
        <v>2300</v>
      </c>
      <c r="X1592" s="46">
        <v>4.99</v>
      </c>
      <c r="Y1592" s="194">
        <v>5.8540000000000001</v>
      </c>
      <c r="Z1592" s="193">
        <v>5.1020000000000003</v>
      </c>
      <c r="AA1592" s="193">
        <v>5.8310000000000004</v>
      </c>
      <c r="AB1592" s="46">
        <v>5.92</v>
      </c>
      <c r="AC1592" s="46">
        <v>5.93</v>
      </c>
      <c r="AD1592" s="46">
        <v>5.87</v>
      </c>
      <c r="AE1592" s="46">
        <v>5.92</v>
      </c>
    </row>
    <row r="1593" spans="1:31" x14ac:dyDescent="0.25">
      <c r="A1593" s="136">
        <v>43069</v>
      </c>
      <c r="B1593" s="201" t="s">
        <v>71</v>
      </c>
      <c r="C1593" t="s">
        <v>126</v>
      </c>
      <c r="D1593">
        <v>3200</v>
      </c>
      <c r="E1593">
        <v>2800</v>
      </c>
      <c r="F1593">
        <v>6.0030000000000001</v>
      </c>
      <c r="G1593">
        <v>1142.02</v>
      </c>
      <c r="H1593">
        <v>5.95</v>
      </c>
      <c r="I1593" s="309">
        <v>20352</v>
      </c>
      <c r="J1593">
        <v>6.36</v>
      </c>
      <c r="K1593" s="133">
        <v>3.90694588634228E-2</v>
      </c>
      <c r="L1593" s="181">
        <v>416</v>
      </c>
      <c r="M1593" s="133">
        <v>3.6877138530718001E-2</v>
      </c>
      <c r="N1593" s="73">
        <v>2832.0940000000001</v>
      </c>
      <c r="O1593" s="73">
        <v>164.079372669826</v>
      </c>
      <c r="P1593" s="182">
        <v>2</v>
      </c>
      <c r="Q1593" s="182">
        <v>1000</v>
      </c>
      <c r="R1593" s="46">
        <v>6.45</v>
      </c>
      <c r="S1593" s="46">
        <v>1</v>
      </c>
      <c r="T1593" s="46">
        <v>500</v>
      </c>
      <c r="U1593" s="46">
        <v>6.33</v>
      </c>
      <c r="V1593" s="46" t="s">
        <v>62</v>
      </c>
      <c r="W1593" s="46">
        <v>500</v>
      </c>
      <c r="X1593" s="46">
        <v>6.57</v>
      </c>
      <c r="Y1593" s="193">
        <v>6.3719999999999999</v>
      </c>
      <c r="Z1593" s="194">
        <v>6.298</v>
      </c>
      <c r="AA1593" s="194">
        <v>6.5449999999999999</v>
      </c>
      <c r="AB1593" s="46">
        <v>6.2</v>
      </c>
      <c r="AC1593" s="46">
        <v>6.55</v>
      </c>
      <c r="AD1593" s="46">
        <v>6.2</v>
      </c>
      <c r="AE1593" s="46">
        <v>6.36</v>
      </c>
    </row>
    <row r="1594" spans="1:31" x14ac:dyDescent="0.25">
      <c r="A1594" s="136">
        <v>43069</v>
      </c>
      <c r="B1594" s="201" t="s">
        <v>79</v>
      </c>
      <c r="C1594" t="s">
        <v>143</v>
      </c>
      <c r="D1594">
        <v>4500</v>
      </c>
      <c r="E1594">
        <v>4500</v>
      </c>
      <c r="F1594">
        <v>17.189</v>
      </c>
      <c r="G1594">
        <v>-5486.54</v>
      </c>
      <c r="H1594">
        <v>-7.09</v>
      </c>
      <c r="I1594" s="309">
        <v>71865</v>
      </c>
      <c r="J1594">
        <v>15.97</v>
      </c>
      <c r="K1594" s="133">
        <v>0.13795826755207699</v>
      </c>
      <c r="L1594" s="181">
        <v>-90</v>
      </c>
      <c r="M1594" s="133">
        <v>0.14849070411027901</v>
      </c>
      <c r="N1594" s="73">
        <v>-5397.7000000000098</v>
      </c>
      <c r="O1594" s="73">
        <v>-337.39844590369103</v>
      </c>
      <c r="P1594" s="182">
        <v>8</v>
      </c>
      <c r="Q1594" s="182">
        <v>4500</v>
      </c>
      <c r="R1594" s="46">
        <v>17.18</v>
      </c>
      <c r="S1594" s="46">
        <v>0</v>
      </c>
      <c r="T1594" s="46">
        <v>0</v>
      </c>
      <c r="U1594" s="46">
        <v>0</v>
      </c>
      <c r="V1594" s="46" t="s">
        <v>62</v>
      </c>
      <c r="W1594" s="46">
        <v>4500</v>
      </c>
      <c r="X1594" s="46">
        <v>17.18</v>
      </c>
      <c r="Y1594" s="194">
        <v>15.782999999999999</v>
      </c>
      <c r="Z1594" s="194">
        <v>16.007999999999999</v>
      </c>
      <c r="AA1594" s="194">
        <v>16.013000000000002</v>
      </c>
      <c r="AB1594" s="46">
        <v>15.92</v>
      </c>
      <c r="AC1594" s="46">
        <v>16.09</v>
      </c>
      <c r="AD1594" s="46">
        <v>15.9</v>
      </c>
      <c r="AE1594" s="46">
        <v>15.97</v>
      </c>
    </row>
    <row r="1595" spans="1:31" x14ac:dyDescent="0.25">
      <c r="A1595" s="136">
        <v>43069</v>
      </c>
      <c r="B1595" s="201" t="s">
        <v>65</v>
      </c>
      <c r="C1595" t="s">
        <v>127</v>
      </c>
      <c r="D1595">
        <v>12200</v>
      </c>
      <c r="E1595">
        <v>12200</v>
      </c>
      <c r="F1595">
        <v>10.375999999999999</v>
      </c>
      <c r="G1595">
        <v>9807.77</v>
      </c>
      <c r="H1595">
        <v>7.75</v>
      </c>
      <c r="I1595" s="309">
        <v>136396</v>
      </c>
      <c r="J1595">
        <v>11.18</v>
      </c>
      <c r="K1595" s="133">
        <v>0.26183755459588298</v>
      </c>
      <c r="L1595" s="181">
        <v>-3416</v>
      </c>
      <c r="M1595" s="133">
        <v>0.24300971130987101</v>
      </c>
      <c r="N1595" s="73">
        <v>8331.3360000000193</v>
      </c>
      <c r="O1595" s="73">
        <v>1104.87143341366</v>
      </c>
      <c r="P1595" s="182">
        <v>4</v>
      </c>
      <c r="Q1595" s="182">
        <v>1900</v>
      </c>
      <c r="R1595" s="46">
        <v>10.896000000000001</v>
      </c>
      <c r="S1595" s="46">
        <v>15</v>
      </c>
      <c r="T1595" s="46">
        <v>6400</v>
      </c>
      <c r="U1595" s="46">
        <v>12.468999999999999</v>
      </c>
      <c r="V1595" s="46" t="s">
        <v>68</v>
      </c>
      <c r="W1595" s="46">
        <v>4500</v>
      </c>
      <c r="X1595" s="46">
        <v>13.132999999999999</v>
      </c>
      <c r="Y1595" s="194">
        <v>11.179</v>
      </c>
      <c r="Z1595" s="194">
        <v>11.406000000000001</v>
      </c>
      <c r="AA1595" s="194">
        <v>11.727</v>
      </c>
      <c r="AB1595" s="46">
        <v>11.45</v>
      </c>
      <c r="AC1595" s="46">
        <v>11.45</v>
      </c>
      <c r="AD1595" s="46">
        <v>11.12</v>
      </c>
      <c r="AE1595" s="46">
        <v>11.18</v>
      </c>
    </row>
    <row r="1596" spans="1:31" x14ac:dyDescent="0.25">
      <c r="A1596" s="136">
        <v>43069</v>
      </c>
      <c r="B1596" s="201" t="s">
        <v>77</v>
      </c>
      <c r="C1596" t="s">
        <v>128</v>
      </c>
      <c r="D1596">
        <v>4800</v>
      </c>
      <c r="E1596">
        <v>4800</v>
      </c>
      <c r="F1596">
        <v>6.0410000000000004</v>
      </c>
      <c r="G1596">
        <v>-771.47</v>
      </c>
      <c r="H1596">
        <v>-2.66</v>
      </c>
      <c r="I1596" s="309">
        <v>28224</v>
      </c>
      <c r="J1596">
        <v>5.88</v>
      </c>
      <c r="K1596" s="133">
        <v>5.4181230687954197E-2</v>
      </c>
      <c r="L1596" s="181">
        <v>48</v>
      </c>
      <c r="M1596" s="133">
        <v>5.5662211202368701E-2</v>
      </c>
      <c r="N1596" s="73">
        <v>-796.41400000000101</v>
      </c>
      <c r="O1596" s="73">
        <v>-49.542774749164003</v>
      </c>
      <c r="P1596" s="182">
        <v>8</v>
      </c>
      <c r="Q1596" s="182">
        <v>4000</v>
      </c>
      <c r="R1596" s="46">
        <v>6.6230000000000002</v>
      </c>
      <c r="S1596" s="46">
        <v>0</v>
      </c>
      <c r="T1596" s="46">
        <v>0</v>
      </c>
      <c r="U1596" s="46">
        <v>0</v>
      </c>
      <c r="V1596" s="46" t="s">
        <v>62</v>
      </c>
      <c r="W1596" s="46">
        <v>4000</v>
      </c>
      <c r="X1596" s="46">
        <v>6.6230000000000002</v>
      </c>
      <c r="Y1596" s="193">
        <v>6.2130000000000001</v>
      </c>
      <c r="Z1596" s="194">
        <v>6.18</v>
      </c>
      <c r="AA1596" s="194">
        <v>6.6680000000000001</v>
      </c>
      <c r="AB1596" s="46">
        <v>5.89</v>
      </c>
      <c r="AC1596" s="46">
        <v>5.95</v>
      </c>
      <c r="AD1596" s="46">
        <v>5.87</v>
      </c>
      <c r="AE1596" s="46">
        <v>5.88</v>
      </c>
    </row>
    <row r="1597" spans="1:31" x14ac:dyDescent="0.25">
      <c r="A1597" s="136">
        <v>43069</v>
      </c>
      <c r="B1597" s="201" t="s">
        <v>67</v>
      </c>
      <c r="C1597" t="s">
        <v>129</v>
      </c>
      <c r="D1597">
        <v>10550</v>
      </c>
      <c r="E1597">
        <v>10550</v>
      </c>
      <c r="F1597">
        <v>8.6720000000000006</v>
      </c>
      <c r="G1597">
        <v>-7089.35</v>
      </c>
      <c r="H1597">
        <v>-7.75</v>
      </c>
      <c r="I1597" s="309">
        <v>84400</v>
      </c>
      <c r="J1597">
        <v>8</v>
      </c>
      <c r="K1597" s="133">
        <v>0.162021537346348</v>
      </c>
      <c r="L1597" s="181">
        <v>-844</v>
      </c>
      <c r="M1597" s="133">
        <v>0.175630866561826</v>
      </c>
      <c r="N1597" s="73">
        <v>46644.394999999902</v>
      </c>
      <c r="O1597" s="73">
        <v>-815.00931012425303</v>
      </c>
      <c r="P1597" s="182">
        <v>13</v>
      </c>
      <c r="Q1597" s="182">
        <v>6400</v>
      </c>
      <c r="R1597" s="46">
        <v>7.2469999999999999</v>
      </c>
      <c r="S1597" s="46">
        <v>4</v>
      </c>
      <c r="T1597" s="46">
        <v>1600</v>
      </c>
      <c r="U1597" s="46">
        <v>8.8379999999999992</v>
      </c>
      <c r="V1597" s="46" t="s">
        <v>62</v>
      </c>
      <c r="W1597" s="46">
        <v>4800</v>
      </c>
      <c r="X1597" s="46">
        <v>6.7169999999999996</v>
      </c>
      <c r="Y1597" s="193">
        <v>8.23</v>
      </c>
      <c r="Z1597" s="194">
        <v>7.2990000000000004</v>
      </c>
      <c r="AA1597" s="194">
        <v>8.8170000000000002</v>
      </c>
      <c r="AB1597" s="46">
        <v>8.0500000000000007</v>
      </c>
      <c r="AC1597" s="46">
        <v>8.1199999999999992</v>
      </c>
      <c r="AD1597" s="46">
        <v>7.98</v>
      </c>
      <c r="AE1597" s="46">
        <v>8</v>
      </c>
    </row>
    <row r="1598" spans="1:31" x14ac:dyDescent="0.25">
      <c r="A1598" s="136">
        <v>43069</v>
      </c>
      <c r="B1598" s="201" t="s">
        <v>78</v>
      </c>
      <c r="C1598" t="s">
        <v>142</v>
      </c>
      <c r="D1598">
        <v>100</v>
      </c>
      <c r="E1598">
        <v>100</v>
      </c>
      <c r="F1598">
        <v>10.987</v>
      </c>
      <c r="G1598">
        <v>29.3</v>
      </c>
      <c r="H1598">
        <v>2.67</v>
      </c>
      <c r="I1598" s="309">
        <v>1128</v>
      </c>
      <c r="J1598">
        <v>11.28</v>
      </c>
      <c r="K1598" s="133">
        <v>2.1654063285151798E-3</v>
      </c>
      <c r="L1598" s="181">
        <v>-1</v>
      </c>
      <c r="M1598" s="133">
        <v>2.1091595151947E-3</v>
      </c>
      <c r="N1598" s="73">
        <v>75.304000000000102</v>
      </c>
      <c r="O1598" s="73">
        <v>6.41110289608178</v>
      </c>
      <c r="P1598" s="182">
        <v>1</v>
      </c>
      <c r="Q1598" s="182">
        <v>500</v>
      </c>
      <c r="R1598" s="46">
        <v>11.56</v>
      </c>
      <c r="S1598" s="46">
        <v>1</v>
      </c>
      <c r="T1598" s="46">
        <v>400</v>
      </c>
      <c r="U1598" s="46">
        <v>11.74</v>
      </c>
      <c r="V1598" s="46" t="s">
        <v>62</v>
      </c>
      <c r="W1598" s="46">
        <v>100</v>
      </c>
      <c r="X1598" s="46">
        <v>10.84</v>
      </c>
      <c r="Y1598" s="193">
        <v>11.462999999999999</v>
      </c>
      <c r="Z1598" s="194">
        <v>11.587</v>
      </c>
      <c r="AA1598" s="194">
        <v>11.564</v>
      </c>
      <c r="AB1598" s="46">
        <v>11.28</v>
      </c>
      <c r="AC1598" s="46">
        <v>11.46</v>
      </c>
      <c r="AD1598" s="46">
        <v>11.15</v>
      </c>
      <c r="AE1598" s="46">
        <v>11.28</v>
      </c>
    </row>
    <row r="1599" spans="1:31" x14ac:dyDescent="0.25">
      <c r="A1599" s="136">
        <v>43069</v>
      </c>
      <c r="B1599" s="201" t="s">
        <v>72</v>
      </c>
      <c r="C1599" t="s">
        <v>130</v>
      </c>
      <c r="D1599">
        <v>2700</v>
      </c>
      <c r="E1599">
        <v>2700</v>
      </c>
      <c r="F1599">
        <v>7.298</v>
      </c>
      <c r="G1599">
        <v>-994.32</v>
      </c>
      <c r="H1599">
        <v>-5.04</v>
      </c>
      <c r="I1599" s="309">
        <v>18711</v>
      </c>
      <c r="J1599">
        <v>6.93</v>
      </c>
      <c r="K1599" s="133">
        <v>3.5919253380183903E-2</v>
      </c>
      <c r="L1599" s="181">
        <v>54.229999999999897</v>
      </c>
      <c r="M1599" s="133">
        <v>3.7828036022532499E-2</v>
      </c>
      <c r="N1599" s="73">
        <v>-1216.02799999999</v>
      </c>
      <c r="O1599" s="73">
        <v>-143.40849076478801</v>
      </c>
      <c r="P1599" s="182">
        <v>1</v>
      </c>
      <c r="Q1599" s="182">
        <v>500</v>
      </c>
      <c r="R1599" s="46">
        <v>6.83</v>
      </c>
      <c r="S1599" s="46">
        <v>11</v>
      </c>
      <c r="T1599" s="46">
        <v>4600</v>
      </c>
      <c r="U1599" s="46">
        <v>8.2349999999999994</v>
      </c>
      <c r="V1599" s="46" t="s">
        <v>68</v>
      </c>
      <c r="W1599" s="46">
        <v>4100</v>
      </c>
      <c r="X1599" s="46">
        <v>8.4060000000000006</v>
      </c>
      <c r="Y1599" s="194">
        <v>6.8760000000000003</v>
      </c>
      <c r="Z1599" s="194">
        <v>6.8360000000000003</v>
      </c>
      <c r="AA1599" s="194">
        <v>6.8259999999999996</v>
      </c>
      <c r="AB1599" s="46">
        <v>6.9</v>
      </c>
      <c r="AC1599" s="46">
        <v>6.95</v>
      </c>
      <c r="AD1599" s="46">
        <v>6.83</v>
      </c>
      <c r="AE1599" s="46">
        <v>6.93</v>
      </c>
    </row>
    <row r="1600" spans="1:31" x14ac:dyDescent="0.25">
      <c r="A1600" s="136">
        <v>43069</v>
      </c>
      <c r="B1600" s="201" t="s">
        <v>70</v>
      </c>
      <c r="C1600" t="s">
        <v>131</v>
      </c>
      <c r="D1600">
        <v>10100</v>
      </c>
      <c r="E1600">
        <v>10100</v>
      </c>
      <c r="F1600">
        <v>12.294</v>
      </c>
      <c r="G1600">
        <v>-10540.48</v>
      </c>
      <c r="H1600">
        <v>-8.49</v>
      </c>
      <c r="I1600" s="309">
        <v>113625</v>
      </c>
      <c r="J1600">
        <v>11.25</v>
      </c>
      <c r="K1600" s="133">
        <v>0.218124374182214</v>
      </c>
      <c r="L1600" s="181">
        <v>3496.98</v>
      </c>
      <c r="M1600" s="133">
        <v>0.238358790935394</v>
      </c>
      <c r="N1600" s="73">
        <v>-8923.4700000000394</v>
      </c>
      <c r="O1600" s="73">
        <v>-781.68345880806703</v>
      </c>
      <c r="P1600" s="182">
        <v>6</v>
      </c>
      <c r="Q1600" s="182">
        <v>3000</v>
      </c>
      <c r="R1600" s="46">
        <v>11.842000000000001</v>
      </c>
      <c r="S1600" s="46">
        <v>9</v>
      </c>
      <c r="T1600" s="46">
        <v>3600</v>
      </c>
      <c r="U1600" s="46">
        <v>13.278</v>
      </c>
      <c r="V1600" s="46" t="s">
        <v>68</v>
      </c>
      <c r="W1600" s="46">
        <v>600</v>
      </c>
      <c r="X1600" s="46">
        <v>20.457999999999998</v>
      </c>
      <c r="Y1600" s="193">
        <v>11.488</v>
      </c>
      <c r="Z1600" s="194">
        <v>12.365</v>
      </c>
      <c r="AA1600" s="194">
        <v>12.411</v>
      </c>
      <c r="AB1600" s="46">
        <v>11.11</v>
      </c>
      <c r="AC1600" s="46">
        <v>11.63</v>
      </c>
      <c r="AD1600" s="46">
        <v>11.1</v>
      </c>
      <c r="AE1600" s="46">
        <v>11.25</v>
      </c>
    </row>
    <row r="1601" spans="1:31" x14ac:dyDescent="0.25">
      <c r="A1601" s="136">
        <v>43069</v>
      </c>
      <c r="B1601" s="201" t="s">
        <v>137</v>
      </c>
      <c r="C1601" t="s">
        <v>138</v>
      </c>
      <c r="D1601">
        <v>100</v>
      </c>
      <c r="E1601">
        <v>100</v>
      </c>
      <c r="F1601">
        <v>-130.48500000000001</v>
      </c>
      <c r="G1601">
        <v>16816.5</v>
      </c>
      <c r="H1601">
        <v>0</v>
      </c>
      <c r="I1601" s="309">
        <v>3768</v>
      </c>
      <c r="J1601">
        <v>37.68</v>
      </c>
      <c r="K1601" s="133">
        <v>7.2333785867421804E-3</v>
      </c>
      <c r="L1601" s="181">
        <v>50</v>
      </c>
      <c r="M1601" s="133">
        <v>0</v>
      </c>
    </row>
    <row r="1602" spans="1:31" x14ac:dyDescent="0.25">
      <c r="A1602" s="136">
        <v>43069</v>
      </c>
      <c r="B1602" s="201" t="s">
        <v>835</v>
      </c>
      <c r="C1602" t="s">
        <v>839</v>
      </c>
      <c r="I1602" s="309">
        <v>23462.58</v>
      </c>
      <c r="K1602" s="133">
        <v>4.50407971766787E-2</v>
      </c>
      <c r="L1602" s="181">
        <v>0</v>
      </c>
      <c r="M1602" s="133">
        <v>4.5549168545399803E-2</v>
      </c>
    </row>
    <row r="1603" spans="1:31" x14ac:dyDescent="0.25">
      <c r="A1603" s="136">
        <v>43070</v>
      </c>
      <c r="B1603" s="201" t="s">
        <v>132</v>
      </c>
      <c r="C1603" t="s">
        <v>123</v>
      </c>
      <c r="D1603">
        <v>26485</v>
      </c>
      <c r="E1603">
        <v>26485</v>
      </c>
      <c r="F1603">
        <v>-9.2999999999999999E-2</v>
      </c>
      <c r="G1603">
        <v>2727.9549999999999</v>
      </c>
      <c r="H1603">
        <v>0</v>
      </c>
      <c r="I1603" s="309">
        <v>264.85000000000002</v>
      </c>
      <c r="J1603">
        <v>0.01</v>
      </c>
      <c r="K1603" s="133">
        <v>5.06359432833845E-4</v>
      </c>
      <c r="L1603" s="181">
        <v>0.30899999999974198</v>
      </c>
      <c r="M1603" s="133">
        <v>0</v>
      </c>
    </row>
    <row r="1604" spans="1:31" x14ac:dyDescent="0.25">
      <c r="A1604" s="136">
        <v>43070</v>
      </c>
      <c r="B1604" s="201" t="s">
        <v>61</v>
      </c>
      <c r="C1604" t="s">
        <v>136</v>
      </c>
      <c r="D1604">
        <v>3500</v>
      </c>
      <c r="E1604">
        <v>3500</v>
      </c>
      <c r="F1604">
        <v>5.3070000000000004</v>
      </c>
      <c r="G1604">
        <v>-443.52</v>
      </c>
      <c r="H1604">
        <v>-2.39</v>
      </c>
      <c r="I1604" s="309">
        <v>18130</v>
      </c>
      <c r="J1604">
        <v>5.18</v>
      </c>
      <c r="K1604" s="133">
        <v>3.4662248507750099E-2</v>
      </c>
      <c r="L1604" s="181">
        <v>0</v>
      </c>
      <c r="M1604" s="133">
        <v>3.5510202200974401E-2</v>
      </c>
      <c r="N1604" s="73">
        <v>-587.26800000000003</v>
      </c>
      <c r="O1604" s="73">
        <v>-114.19734747081699</v>
      </c>
      <c r="P1604" s="182">
        <v>6</v>
      </c>
      <c r="Q1604" s="182">
        <v>3000</v>
      </c>
      <c r="R1604" s="46">
        <v>5.31</v>
      </c>
      <c r="S1604" s="46">
        <v>0</v>
      </c>
      <c r="T1604" s="46">
        <v>0</v>
      </c>
      <c r="U1604" s="46">
        <v>0</v>
      </c>
      <c r="V1604" s="46" t="s">
        <v>62</v>
      </c>
      <c r="W1604" s="46">
        <v>3000</v>
      </c>
      <c r="X1604" s="46">
        <v>5.31</v>
      </c>
      <c r="Y1604" s="193">
        <v>5.6639999999999997</v>
      </c>
      <c r="Z1604" s="194">
        <v>5.0979999999999999</v>
      </c>
      <c r="AA1604" s="194">
        <v>5.1849999999999996</v>
      </c>
      <c r="AB1604" s="46">
        <v>5.17</v>
      </c>
      <c r="AC1604" s="46">
        <v>5.2</v>
      </c>
      <c r="AD1604" s="46">
        <v>5.16</v>
      </c>
      <c r="AE1604" s="46">
        <v>5.18</v>
      </c>
    </row>
    <row r="1605" spans="1:31" x14ac:dyDescent="0.25">
      <c r="A1605" s="136">
        <v>43070</v>
      </c>
      <c r="B1605" s="201" t="s">
        <v>124</v>
      </c>
      <c r="C1605" t="s">
        <v>125</v>
      </c>
      <c r="D1605">
        <v>100</v>
      </c>
      <c r="E1605">
        <v>100</v>
      </c>
      <c r="F1605">
        <v>-53.579000000000001</v>
      </c>
      <c r="G1605">
        <v>5946.9</v>
      </c>
      <c r="H1605">
        <v>0</v>
      </c>
      <c r="I1605" s="309">
        <v>589</v>
      </c>
      <c r="J1605">
        <v>5.89</v>
      </c>
      <c r="K1605" s="133">
        <v>1.12609290518835E-3</v>
      </c>
      <c r="L1605" s="181">
        <v>-3</v>
      </c>
      <c r="M1605" s="133">
        <v>0</v>
      </c>
      <c r="N1605" s="73">
        <v>5995.0890000000099</v>
      </c>
      <c r="O1605" s="73">
        <v>1102.4501845505599</v>
      </c>
      <c r="P1605" s="182">
        <v>0</v>
      </c>
      <c r="Q1605" s="182">
        <v>0</v>
      </c>
      <c r="R1605" s="46">
        <v>0</v>
      </c>
      <c r="S1605" s="46">
        <v>5</v>
      </c>
      <c r="T1605" s="46">
        <v>2300</v>
      </c>
      <c r="U1605" s="46">
        <v>4.99</v>
      </c>
      <c r="V1605" s="46" t="s">
        <v>68</v>
      </c>
      <c r="W1605" s="46">
        <v>2300</v>
      </c>
      <c r="X1605" s="46">
        <v>4.99</v>
      </c>
      <c r="Y1605" s="194">
        <v>5.85</v>
      </c>
      <c r="Z1605" s="193">
        <v>5.0549999999999997</v>
      </c>
      <c r="AA1605" s="193">
        <v>5.8319999999999999</v>
      </c>
      <c r="AB1605" s="46">
        <v>5.91</v>
      </c>
      <c r="AC1605" s="46">
        <v>5.91</v>
      </c>
      <c r="AD1605" s="46">
        <v>5.86</v>
      </c>
      <c r="AE1605" s="46">
        <v>5.89</v>
      </c>
    </row>
    <row r="1606" spans="1:31" x14ac:dyDescent="0.25">
      <c r="A1606" s="136">
        <v>43070</v>
      </c>
      <c r="B1606" s="201" t="s">
        <v>71</v>
      </c>
      <c r="C1606" t="s">
        <v>126</v>
      </c>
      <c r="D1606">
        <v>3200</v>
      </c>
      <c r="E1606">
        <v>3200</v>
      </c>
      <c r="F1606">
        <v>6.0030000000000001</v>
      </c>
      <c r="G1606">
        <v>1238.02</v>
      </c>
      <c r="H1606">
        <v>6.45</v>
      </c>
      <c r="I1606" s="309">
        <v>20448</v>
      </c>
      <c r="J1606">
        <v>6.39</v>
      </c>
      <c r="K1606" s="133">
        <v>3.909396897333E-2</v>
      </c>
      <c r="L1606" s="181">
        <v>96</v>
      </c>
      <c r="M1606" s="133">
        <v>3.6727032575229399E-2</v>
      </c>
      <c r="N1606" s="73">
        <v>2832.0940000000001</v>
      </c>
      <c r="O1606" s="73">
        <v>164.079372669826</v>
      </c>
      <c r="P1606" s="182">
        <v>2</v>
      </c>
      <c r="Q1606" s="182">
        <v>1000</v>
      </c>
      <c r="R1606" s="46">
        <v>6.45</v>
      </c>
      <c r="S1606" s="46">
        <v>1</v>
      </c>
      <c r="T1606" s="46">
        <v>500</v>
      </c>
      <c r="U1606" s="46">
        <v>6.33</v>
      </c>
      <c r="V1606" s="46" t="s">
        <v>62</v>
      </c>
      <c r="W1606" s="46">
        <v>500</v>
      </c>
      <c r="X1606" s="46">
        <v>6.57</v>
      </c>
      <c r="Y1606" s="194">
        <v>6.2510000000000003</v>
      </c>
      <c r="Z1606" s="194">
        <v>6.2969999999999997</v>
      </c>
      <c r="AA1606" s="194">
        <v>6.5410000000000004</v>
      </c>
      <c r="AB1606" s="46">
        <v>6.37</v>
      </c>
      <c r="AC1606" s="46">
        <v>6.48</v>
      </c>
      <c r="AD1606" s="46">
        <v>6.33</v>
      </c>
      <c r="AE1606" s="46">
        <v>6.39</v>
      </c>
    </row>
    <row r="1607" spans="1:31" x14ac:dyDescent="0.25">
      <c r="A1607" s="136">
        <v>43070</v>
      </c>
      <c r="B1607" s="201" t="s">
        <v>79</v>
      </c>
      <c r="C1607" t="s">
        <v>143</v>
      </c>
      <c r="D1607">
        <v>4500</v>
      </c>
      <c r="E1607">
        <v>4500</v>
      </c>
      <c r="F1607">
        <v>17.189</v>
      </c>
      <c r="G1607">
        <v>-5081.54</v>
      </c>
      <c r="H1607">
        <v>-6.57</v>
      </c>
      <c r="I1607" s="309">
        <v>72270</v>
      </c>
      <c r="J1607">
        <v>16.059999999999999</v>
      </c>
      <c r="K1607" s="133">
        <v>0.138171025904859</v>
      </c>
      <c r="L1607" s="181">
        <v>405</v>
      </c>
      <c r="M1607" s="133">
        <v>0.14788628251170299</v>
      </c>
      <c r="N1607" s="73">
        <v>-5397.7000000000098</v>
      </c>
      <c r="O1607" s="73">
        <v>-337.39844590369103</v>
      </c>
      <c r="P1607" s="182">
        <v>8</v>
      </c>
      <c r="Q1607" s="182">
        <v>4500</v>
      </c>
      <c r="R1607" s="46">
        <v>17.18</v>
      </c>
      <c r="S1607" s="46">
        <v>0</v>
      </c>
      <c r="T1607" s="46">
        <v>0</v>
      </c>
      <c r="U1607" s="46">
        <v>0</v>
      </c>
      <c r="V1607" s="46" t="s">
        <v>62</v>
      </c>
      <c r="W1607" s="46">
        <v>4500</v>
      </c>
      <c r="X1607" s="46">
        <v>17.18</v>
      </c>
      <c r="Y1607" s="193">
        <v>16.062000000000001</v>
      </c>
      <c r="Z1607" s="194">
        <v>16.001999999999999</v>
      </c>
      <c r="AA1607" s="194">
        <v>15.997</v>
      </c>
      <c r="AB1607" s="46">
        <v>15.9</v>
      </c>
      <c r="AC1607" s="46">
        <v>16.07</v>
      </c>
      <c r="AD1607" s="46">
        <v>15.89</v>
      </c>
      <c r="AE1607" s="46">
        <v>16.059999999999999</v>
      </c>
    </row>
    <row r="1608" spans="1:31" x14ac:dyDescent="0.25">
      <c r="A1608" s="136">
        <v>43070</v>
      </c>
      <c r="B1608" s="201" t="s">
        <v>65</v>
      </c>
      <c r="C1608" t="s">
        <v>127</v>
      </c>
      <c r="D1608">
        <v>12200</v>
      </c>
      <c r="E1608">
        <v>12200</v>
      </c>
      <c r="F1608">
        <v>10.375999999999999</v>
      </c>
      <c r="G1608">
        <v>10173.77</v>
      </c>
      <c r="H1608">
        <v>8.0399999999999991</v>
      </c>
      <c r="I1608" s="309">
        <v>136762</v>
      </c>
      <c r="J1608">
        <v>11.21</v>
      </c>
      <c r="K1608" s="133">
        <v>0.26147150746921699</v>
      </c>
      <c r="L1608" s="181">
        <v>366</v>
      </c>
      <c r="M1608" s="133">
        <v>0.24202055633845701</v>
      </c>
      <c r="N1608" s="73">
        <v>8331.3360000000193</v>
      </c>
      <c r="O1608" s="73">
        <v>1104.87143341366</v>
      </c>
      <c r="P1608" s="182">
        <v>4</v>
      </c>
      <c r="Q1608" s="182">
        <v>1900</v>
      </c>
      <c r="R1608" s="46">
        <v>10.896000000000001</v>
      </c>
      <c r="S1608" s="46">
        <v>15</v>
      </c>
      <c r="T1608" s="46">
        <v>6400</v>
      </c>
      <c r="U1608" s="46">
        <v>12.468999999999999</v>
      </c>
      <c r="V1608" s="46" t="s">
        <v>68</v>
      </c>
      <c r="W1608" s="46">
        <v>4500</v>
      </c>
      <c r="X1608" s="46">
        <v>13.132999999999999</v>
      </c>
      <c r="Y1608" s="194">
        <v>11.151</v>
      </c>
      <c r="Z1608" s="194">
        <v>11.401999999999999</v>
      </c>
      <c r="AA1608" s="194">
        <v>11.724</v>
      </c>
      <c r="AB1608" s="46">
        <v>11.16</v>
      </c>
      <c r="AC1608" s="46">
        <v>11.3</v>
      </c>
      <c r="AD1608" s="46">
        <v>11.14</v>
      </c>
      <c r="AE1608" s="46">
        <v>11.21</v>
      </c>
    </row>
    <row r="1609" spans="1:31" x14ac:dyDescent="0.25">
      <c r="A1609" s="136">
        <v>43070</v>
      </c>
      <c r="B1609" s="201" t="s">
        <v>77</v>
      </c>
      <c r="C1609" t="s">
        <v>128</v>
      </c>
      <c r="D1609">
        <v>4800</v>
      </c>
      <c r="E1609">
        <v>4800</v>
      </c>
      <c r="F1609">
        <v>6.0410000000000004</v>
      </c>
      <c r="G1609">
        <v>-483.47</v>
      </c>
      <c r="H1609">
        <v>-1.67</v>
      </c>
      <c r="I1609" s="309">
        <v>28512</v>
      </c>
      <c r="J1609">
        <v>5.94</v>
      </c>
      <c r="K1609" s="133">
        <v>5.4511308850136199E-2</v>
      </c>
      <c r="L1609" s="181">
        <v>288</v>
      </c>
      <c r="M1609" s="133">
        <v>5.5435641849917901E-2</v>
      </c>
      <c r="N1609" s="73">
        <v>-796.41400000000101</v>
      </c>
      <c r="O1609" s="73">
        <v>-49.542774749164003</v>
      </c>
      <c r="P1609" s="182">
        <v>8</v>
      </c>
      <c r="Q1609" s="182">
        <v>4000</v>
      </c>
      <c r="R1609" s="46">
        <v>6.6230000000000002</v>
      </c>
      <c r="S1609" s="46">
        <v>0</v>
      </c>
      <c r="T1609" s="46">
        <v>0</v>
      </c>
      <c r="U1609" s="46">
        <v>0</v>
      </c>
      <c r="V1609" s="46" t="s">
        <v>62</v>
      </c>
      <c r="W1609" s="46">
        <v>4000</v>
      </c>
      <c r="X1609" s="46">
        <v>6.6230000000000002</v>
      </c>
      <c r="Y1609" s="193">
        <v>5.952</v>
      </c>
      <c r="Z1609" s="194">
        <v>6.202</v>
      </c>
      <c r="AA1609" s="194">
        <v>6.6559999999999997</v>
      </c>
      <c r="AB1609" s="46">
        <v>5.89</v>
      </c>
      <c r="AC1609" s="46">
        <v>5.95</v>
      </c>
      <c r="AD1609" s="46">
        <v>5.88</v>
      </c>
      <c r="AE1609" s="46">
        <v>5.94</v>
      </c>
    </row>
    <row r="1610" spans="1:31" x14ac:dyDescent="0.25">
      <c r="A1610" s="136">
        <v>43070</v>
      </c>
      <c r="B1610" s="201" t="s">
        <v>67</v>
      </c>
      <c r="C1610" t="s">
        <v>129</v>
      </c>
      <c r="D1610">
        <v>10550</v>
      </c>
      <c r="E1610">
        <v>10550</v>
      </c>
      <c r="F1610">
        <v>8.6720000000000006</v>
      </c>
      <c r="G1610">
        <v>-6245.35</v>
      </c>
      <c r="H1610">
        <v>-6.83</v>
      </c>
      <c r="I1610" s="309">
        <v>85244</v>
      </c>
      <c r="J1610">
        <v>8.08</v>
      </c>
      <c r="K1610" s="133">
        <v>0.16297565977907599</v>
      </c>
      <c r="L1610" s="181">
        <v>844</v>
      </c>
      <c r="M1610" s="133">
        <v>0.174915972725456</v>
      </c>
      <c r="N1610" s="73">
        <v>46644.394999999902</v>
      </c>
      <c r="O1610" s="73">
        <v>-815.00931012425303</v>
      </c>
      <c r="P1610" s="182">
        <v>13</v>
      </c>
      <c r="Q1610" s="182">
        <v>6400</v>
      </c>
      <c r="R1610" s="46">
        <v>7.2469999999999999</v>
      </c>
      <c r="S1610" s="46">
        <v>4</v>
      </c>
      <c r="T1610" s="46">
        <v>1600</v>
      </c>
      <c r="U1610" s="46">
        <v>8.8379999999999992</v>
      </c>
      <c r="V1610" s="46" t="s">
        <v>62</v>
      </c>
      <c r="W1610" s="46">
        <v>4800</v>
      </c>
      <c r="X1610" s="46">
        <v>6.7169999999999996</v>
      </c>
      <c r="Y1610" s="193">
        <v>10.039</v>
      </c>
      <c r="Z1610" s="194">
        <v>7.2939999999999996</v>
      </c>
      <c r="AA1610" s="194">
        <v>8.8109999999999999</v>
      </c>
      <c r="AB1610" s="46">
        <v>8.01</v>
      </c>
      <c r="AC1610" s="46">
        <v>8.18</v>
      </c>
      <c r="AD1610" s="46">
        <v>8</v>
      </c>
      <c r="AE1610" s="46">
        <v>8.08</v>
      </c>
    </row>
    <row r="1611" spans="1:31" x14ac:dyDescent="0.25">
      <c r="A1611" s="136">
        <v>43070</v>
      </c>
      <c r="B1611" s="201" t="s">
        <v>78</v>
      </c>
      <c r="C1611" t="s">
        <v>142</v>
      </c>
      <c r="D1611">
        <v>100</v>
      </c>
      <c r="E1611">
        <v>100</v>
      </c>
      <c r="F1611">
        <v>10.987</v>
      </c>
      <c r="G1611">
        <v>39.299999999999997</v>
      </c>
      <c r="H1611">
        <v>3.58</v>
      </c>
      <c r="I1611" s="309">
        <v>1138</v>
      </c>
      <c r="J1611">
        <v>11.38</v>
      </c>
      <c r="K1611" s="133">
        <v>2.1757109101941301E-3</v>
      </c>
      <c r="L1611" s="181">
        <v>10</v>
      </c>
      <c r="M1611" s="133">
        <v>2.1005743207647498E-3</v>
      </c>
      <c r="N1611" s="73">
        <v>75.304000000000102</v>
      </c>
      <c r="O1611" s="73">
        <v>6.41110289608178</v>
      </c>
      <c r="P1611" s="182">
        <v>1</v>
      </c>
      <c r="Q1611" s="182">
        <v>500</v>
      </c>
      <c r="R1611" s="46">
        <v>11.56</v>
      </c>
      <c r="S1611" s="46">
        <v>1</v>
      </c>
      <c r="T1611" s="46">
        <v>400</v>
      </c>
      <c r="U1611" s="46">
        <v>11.74</v>
      </c>
      <c r="V1611" s="46" t="s">
        <v>62</v>
      </c>
      <c r="W1611" s="46">
        <v>100</v>
      </c>
      <c r="X1611" s="46">
        <v>10.84</v>
      </c>
      <c r="Y1611" s="193">
        <v>12.19</v>
      </c>
      <c r="Z1611" s="194">
        <v>11.584</v>
      </c>
      <c r="AA1611" s="194">
        <v>11.544</v>
      </c>
      <c r="AB1611" s="46">
        <v>11.3</v>
      </c>
      <c r="AC1611" s="46">
        <v>11.41</v>
      </c>
      <c r="AD1611" s="46">
        <v>11.25</v>
      </c>
      <c r="AE1611" s="46">
        <v>11.38</v>
      </c>
    </row>
    <row r="1612" spans="1:31" x14ac:dyDescent="0.25">
      <c r="A1612" s="136">
        <v>43070</v>
      </c>
      <c r="B1612" s="201" t="s">
        <v>72</v>
      </c>
      <c r="C1612" t="s">
        <v>130</v>
      </c>
      <c r="D1612">
        <v>2700</v>
      </c>
      <c r="E1612">
        <v>2700</v>
      </c>
      <c r="F1612">
        <v>7.298</v>
      </c>
      <c r="G1612">
        <v>-805.32</v>
      </c>
      <c r="H1612">
        <v>-4.08</v>
      </c>
      <c r="I1612" s="309">
        <v>18900</v>
      </c>
      <c r="J1612">
        <v>7</v>
      </c>
      <c r="K1612" s="133">
        <v>3.6134390336264498E-2</v>
      </c>
      <c r="L1612" s="181">
        <v>189</v>
      </c>
      <c r="M1612" s="133">
        <v>3.7674059501640197E-2</v>
      </c>
      <c r="N1612" s="73">
        <v>-1216.02799999999</v>
      </c>
      <c r="O1612" s="73">
        <v>-143.40849076478801</v>
      </c>
      <c r="P1612" s="182">
        <v>0</v>
      </c>
      <c r="Q1612" s="182">
        <v>0</v>
      </c>
      <c r="R1612" s="46">
        <v>0</v>
      </c>
      <c r="S1612" s="46">
        <v>10</v>
      </c>
      <c r="T1612" s="46">
        <v>4200</v>
      </c>
      <c r="U1612" s="46">
        <v>8.36</v>
      </c>
      <c r="V1612" s="46" t="s">
        <v>68</v>
      </c>
      <c r="W1612" s="46">
        <v>4200</v>
      </c>
      <c r="X1612" s="46">
        <v>8.36</v>
      </c>
      <c r="Y1612" s="193">
        <v>7.5170000000000003</v>
      </c>
      <c r="Z1612" s="194">
        <v>6.8209999999999997</v>
      </c>
      <c r="AA1612" s="194">
        <v>6.835</v>
      </c>
      <c r="AB1612" s="46">
        <v>6.88</v>
      </c>
      <c r="AC1612" s="46">
        <v>7.01</v>
      </c>
      <c r="AD1612" s="46">
        <v>6.86</v>
      </c>
      <c r="AE1612" s="46">
        <v>7</v>
      </c>
    </row>
    <row r="1613" spans="1:31" x14ac:dyDescent="0.25">
      <c r="A1613" s="136">
        <v>43070</v>
      </c>
      <c r="B1613" s="201" t="s">
        <v>70</v>
      </c>
      <c r="C1613" t="s">
        <v>131</v>
      </c>
      <c r="D1613">
        <v>10100</v>
      </c>
      <c r="E1613">
        <v>10100</v>
      </c>
      <c r="F1613">
        <v>12.294</v>
      </c>
      <c r="G1613">
        <v>-10641.48</v>
      </c>
      <c r="H1613">
        <v>-8.57</v>
      </c>
      <c r="I1613" s="309">
        <v>113524</v>
      </c>
      <c r="J1613">
        <v>11.24</v>
      </c>
      <c r="K1613" s="133">
        <v>0.21704341420815301</v>
      </c>
      <c r="L1613" s="181">
        <v>-101</v>
      </c>
      <c r="M1613" s="133">
        <v>0.23738856722802401</v>
      </c>
      <c r="N1613" s="73">
        <v>-8923.4700000000394</v>
      </c>
      <c r="O1613" s="73">
        <v>-781.68345880806703</v>
      </c>
      <c r="P1613" s="182">
        <v>6</v>
      </c>
      <c r="Q1613" s="182">
        <v>3000</v>
      </c>
      <c r="R1613" s="46">
        <v>11.842000000000001</v>
      </c>
      <c r="S1613" s="46">
        <v>9</v>
      </c>
      <c r="T1613" s="46">
        <v>3600</v>
      </c>
      <c r="U1613" s="46">
        <v>13.278</v>
      </c>
      <c r="V1613" s="46" t="s">
        <v>68</v>
      </c>
      <c r="W1613" s="46">
        <v>600</v>
      </c>
      <c r="X1613" s="46">
        <v>20.457999999999998</v>
      </c>
      <c r="Y1613" s="194">
        <v>11.132999999999999</v>
      </c>
      <c r="Z1613" s="194">
        <v>12.351000000000001</v>
      </c>
      <c r="AA1613" s="194">
        <v>12.398999999999999</v>
      </c>
      <c r="AB1613" s="46">
        <v>11.12</v>
      </c>
      <c r="AC1613" s="46">
        <v>11.3</v>
      </c>
      <c r="AD1613" s="46">
        <v>11.11</v>
      </c>
      <c r="AE1613" s="46">
        <v>11.24</v>
      </c>
    </row>
    <row r="1614" spans="1:31" x14ac:dyDescent="0.25">
      <c r="A1614" s="136">
        <v>43070</v>
      </c>
      <c r="B1614" s="201" t="s">
        <v>137</v>
      </c>
      <c r="C1614" t="s">
        <v>138</v>
      </c>
      <c r="D1614">
        <v>100</v>
      </c>
      <c r="E1614">
        <v>100</v>
      </c>
      <c r="F1614">
        <v>-130.48500000000001</v>
      </c>
      <c r="G1614">
        <v>16851.5</v>
      </c>
      <c r="H1614">
        <v>0</v>
      </c>
      <c r="I1614" s="309">
        <v>3803</v>
      </c>
      <c r="J1614">
        <v>38.03</v>
      </c>
      <c r="K1614" s="133">
        <v>7.2708511348578801E-3</v>
      </c>
      <c r="L1614" s="181">
        <v>35</v>
      </c>
      <c r="M1614" s="133">
        <v>0</v>
      </c>
    </row>
    <row r="1615" spans="1:31" x14ac:dyDescent="0.25">
      <c r="A1615" s="136">
        <v>43070</v>
      </c>
      <c r="B1615" s="201" t="s">
        <v>835</v>
      </c>
      <c r="C1615" t="s">
        <v>839</v>
      </c>
      <c r="I1615" s="309">
        <v>23462.58</v>
      </c>
      <c r="K1615" s="133">
        <v>4.4857461588139302E-2</v>
      </c>
      <c r="L1615" s="181">
        <v>0</v>
      </c>
      <c r="M1615" s="133">
        <v>4.5363821020973201E-2</v>
      </c>
    </row>
    <row r="1616" spans="1:31" x14ac:dyDescent="0.25">
      <c r="A1616" s="136">
        <v>43073</v>
      </c>
      <c r="B1616" s="201" t="s">
        <v>132</v>
      </c>
      <c r="C1616" t="s">
        <v>123</v>
      </c>
      <c r="D1616">
        <v>26487</v>
      </c>
      <c r="E1616">
        <v>26487</v>
      </c>
      <c r="F1616">
        <v>-9.2999999999999999E-2</v>
      </c>
      <c r="G1616">
        <v>2728.1610000000001</v>
      </c>
      <c r="H1616">
        <v>0</v>
      </c>
      <c r="I1616" s="309">
        <v>264.87</v>
      </c>
      <c r="J1616">
        <v>0.01</v>
      </c>
      <c r="K1616" s="133">
        <v>5.1153409242337799E-4</v>
      </c>
      <c r="L1616" s="181">
        <v>0.20600000000013099</v>
      </c>
      <c r="M1616" s="133">
        <v>0</v>
      </c>
    </row>
    <row r="1617" spans="1:31" x14ac:dyDescent="0.25">
      <c r="A1617" s="136">
        <v>43073</v>
      </c>
      <c r="B1617" s="201" t="s">
        <v>61</v>
      </c>
      <c r="C1617" t="s">
        <v>136</v>
      </c>
      <c r="D1617">
        <v>3500</v>
      </c>
      <c r="E1617">
        <v>3500</v>
      </c>
      <c r="F1617">
        <v>5.3070000000000004</v>
      </c>
      <c r="G1617">
        <v>-478.52</v>
      </c>
      <c r="H1617">
        <v>-2.58</v>
      </c>
      <c r="I1617" s="309">
        <v>18095</v>
      </c>
      <c r="J1617">
        <v>5.17</v>
      </c>
      <c r="K1617" s="133">
        <v>3.4946235520825403E-2</v>
      </c>
      <c r="L1617" s="181">
        <v>-35</v>
      </c>
      <c r="M1617" s="133">
        <v>3.5870384325546303E-2</v>
      </c>
      <c r="N1617" s="73">
        <v>-587.26800000000003</v>
      </c>
      <c r="O1617" s="73">
        <v>-114.19734747081699</v>
      </c>
      <c r="P1617" s="182">
        <v>6</v>
      </c>
      <c r="Q1617" s="182">
        <v>3000</v>
      </c>
      <c r="R1617" s="46">
        <v>5.31</v>
      </c>
      <c r="S1617" s="46">
        <v>0</v>
      </c>
      <c r="T1617" s="46">
        <v>0</v>
      </c>
      <c r="U1617" s="46">
        <v>0</v>
      </c>
      <c r="V1617" s="46" t="s">
        <v>62</v>
      </c>
      <c r="W1617" s="46">
        <v>3000</v>
      </c>
      <c r="X1617" s="46">
        <v>5.31</v>
      </c>
      <c r="Y1617" s="194">
        <v>5.1319999999999997</v>
      </c>
      <c r="Z1617" s="194">
        <v>5.101</v>
      </c>
      <c r="AA1617" s="194">
        <v>5.1849999999999996</v>
      </c>
      <c r="AB1617" s="46">
        <v>5.18</v>
      </c>
      <c r="AC1617" s="46">
        <v>5.2</v>
      </c>
      <c r="AD1617" s="46">
        <v>5.16</v>
      </c>
      <c r="AE1617" s="46">
        <v>5.17</v>
      </c>
    </row>
    <row r="1618" spans="1:31" x14ac:dyDescent="0.25">
      <c r="A1618" s="136">
        <v>43073</v>
      </c>
      <c r="B1618" s="201" t="s">
        <v>124</v>
      </c>
      <c r="C1618" t="s">
        <v>125</v>
      </c>
      <c r="D1618">
        <v>100</v>
      </c>
      <c r="E1618">
        <v>100</v>
      </c>
      <c r="F1618">
        <v>-53.579000000000001</v>
      </c>
      <c r="G1618">
        <v>5946.9</v>
      </c>
      <c r="H1618">
        <v>0</v>
      </c>
      <c r="I1618" s="309">
        <v>589</v>
      </c>
      <c r="J1618">
        <v>5.89</v>
      </c>
      <c r="K1618" s="133">
        <v>1.13751493350462E-3</v>
      </c>
      <c r="L1618" s="181">
        <v>0</v>
      </c>
      <c r="M1618" s="133">
        <v>0</v>
      </c>
      <c r="N1618" s="73">
        <v>5995.0890000000099</v>
      </c>
      <c r="O1618" s="73">
        <v>1102.4501845505599</v>
      </c>
      <c r="P1618" s="182">
        <v>0</v>
      </c>
      <c r="Q1618" s="182">
        <v>0</v>
      </c>
      <c r="R1618" s="46">
        <v>0</v>
      </c>
      <c r="S1618" s="46">
        <v>5</v>
      </c>
      <c r="T1618" s="46">
        <v>2300</v>
      </c>
      <c r="U1618" s="46">
        <v>4.99</v>
      </c>
      <c r="V1618" s="46" t="s">
        <v>68</v>
      </c>
      <c r="W1618" s="46">
        <v>2300</v>
      </c>
      <c r="X1618" s="46">
        <v>4.99</v>
      </c>
      <c r="Y1618" s="193">
        <v>6.0039999999999996</v>
      </c>
      <c r="Z1618" s="193">
        <v>5.069</v>
      </c>
      <c r="AA1618" s="193">
        <v>5.8319999999999999</v>
      </c>
      <c r="AB1618" s="46">
        <v>5.87</v>
      </c>
      <c r="AC1618" s="46">
        <v>5.92</v>
      </c>
      <c r="AD1618" s="46">
        <v>5.84</v>
      </c>
      <c r="AE1618" s="46">
        <v>5.89</v>
      </c>
    </row>
    <row r="1619" spans="1:31" x14ac:dyDescent="0.25">
      <c r="A1619" s="136">
        <v>43073</v>
      </c>
      <c r="B1619" s="201" t="s">
        <v>71</v>
      </c>
      <c r="C1619" t="s">
        <v>126</v>
      </c>
      <c r="D1619">
        <v>2800</v>
      </c>
      <c r="E1619">
        <v>2800</v>
      </c>
      <c r="F1619">
        <v>5.9390000000000001</v>
      </c>
      <c r="G1619">
        <v>1402.38</v>
      </c>
      <c r="H1619">
        <v>8.44</v>
      </c>
      <c r="I1619" s="309">
        <v>18032</v>
      </c>
      <c r="J1619">
        <v>6.44</v>
      </c>
      <c r="K1619" s="133">
        <v>3.4824565842029503E-2</v>
      </c>
      <c r="L1619" s="181">
        <v>164.36</v>
      </c>
      <c r="M1619" s="133">
        <v>3.2116198792032501E-2</v>
      </c>
      <c r="N1619" s="73">
        <v>2864.0619999999999</v>
      </c>
      <c r="O1619" s="73">
        <v>228.52771916537799</v>
      </c>
      <c r="P1619" s="182">
        <v>2</v>
      </c>
      <c r="Q1619" s="182">
        <v>1000</v>
      </c>
      <c r="R1619" s="46">
        <v>6.45</v>
      </c>
      <c r="S1619" s="46">
        <v>2</v>
      </c>
      <c r="T1619" s="46">
        <v>900</v>
      </c>
      <c r="U1619" s="46">
        <v>6.3920000000000003</v>
      </c>
      <c r="V1619" s="46" t="s">
        <v>62</v>
      </c>
      <c r="W1619" s="46">
        <v>100</v>
      </c>
      <c r="X1619" s="46">
        <v>6.9720000000000004</v>
      </c>
      <c r="Y1619" s="194">
        <v>6.1609999999999996</v>
      </c>
      <c r="Z1619" s="194">
        <v>6.2949999999999999</v>
      </c>
      <c r="AA1619" s="194">
        <v>6.54</v>
      </c>
      <c r="AB1619" s="46">
        <v>6.37</v>
      </c>
      <c r="AC1619" s="46">
        <v>6.49</v>
      </c>
      <c r="AD1619" s="46">
        <v>6.36</v>
      </c>
      <c r="AE1619" s="46">
        <v>6.44</v>
      </c>
    </row>
    <row r="1620" spans="1:31" x14ac:dyDescent="0.25">
      <c r="A1620" s="136">
        <v>43073</v>
      </c>
      <c r="B1620" s="201" t="s">
        <v>79</v>
      </c>
      <c r="C1620" t="s">
        <v>143</v>
      </c>
      <c r="D1620">
        <v>4500</v>
      </c>
      <c r="E1620">
        <v>4500</v>
      </c>
      <c r="F1620">
        <v>17.189</v>
      </c>
      <c r="G1620">
        <v>-6116.54</v>
      </c>
      <c r="H1620">
        <v>-7.91</v>
      </c>
      <c r="I1620" s="309">
        <v>71235</v>
      </c>
      <c r="J1620">
        <v>15.83</v>
      </c>
      <c r="K1620" s="133">
        <v>0.137573643952805</v>
      </c>
      <c r="L1620" s="181">
        <v>-1035</v>
      </c>
      <c r="M1620" s="133">
        <v>0.14938630200268299</v>
      </c>
      <c r="N1620" s="73">
        <v>-5397.7000000000098</v>
      </c>
      <c r="O1620" s="73">
        <v>-337.39844590369103</v>
      </c>
      <c r="P1620" s="182">
        <v>8</v>
      </c>
      <c r="Q1620" s="182">
        <v>4500</v>
      </c>
      <c r="R1620" s="46">
        <v>17.18</v>
      </c>
      <c r="S1620" s="46">
        <v>0</v>
      </c>
      <c r="T1620" s="46">
        <v>0</v>
      </c>
      <c r="U1620" s="46">
        <v>0</v>
      </c>
      <c r="V1620" s="46" t="s">
        <v>62</v>
      </c>
      <c r="W1620" s="46">
        <v>4500</v>
      </c>
      <c r="X1620" s="46">
        <v>17.18</v>
      </c>
      <c r="Y1620" s="194">
        <v>15.891</v>
      </c>
      <c r="Z1620" s="194">
        <v>15.968</v>
      </c>
      <c r="AA1620" s="194">
        <v>16.010000000000002</v>
      </c>
      <c r="AB1620" s="46">
        <v>16.059999999999999</v>
      </c>
      <c r="AC1620" s="46">
        <v>16.059999999999999</v>
      </c>
      <c r="AD1620" s="46">
        <v>15.82</v>
      </c>
      <c r="AE1620" s="46">
        <v>15.83</v>
      </c>
    </row>
    <row r="1621" spans="1:31" x14ac:dyDescent="0.25">
      <c r="A1621" s="136">
        <v>43073</v>
      </c>
      <c r="B1621" s="201" t="s">
        <v>65</v>
      </c>
      <c r="C1621" t="s">
        <v>127</v>
      </c>
      <c r="D1621">
        <v>12600</v>
      </c>
      <c r="E1621">
        <v>12200</v>
      </c>
      <c r="F1621">
        <v>10.398999999999999</v>
      </c>
      <c r="G1621">
        <v>8834.77</v>
      </c>
      <c r="H1621">
        <v>6.74</v>
      </c>
      <c r="I1621" s="309">
        <v>139860</v>
      </c>
      <c r="J1621">
        <v>11.1</v>
      </c>
      <c r="K1621" s="133">
        <v>0.27010668692692102</v>
      </c>
      <c r="L1621" s="181">
        <v>-1339</v>
      </c>
      <c r="M1621" s="133">
        <v>0.25304440711524301</v>
      </c>
      <c r="N1621" s="73">
        <v>4300.3360000000202</v>
      </c>
      <c r="O1621" s="73">
        <v>774.151494156127</v>
      </c>
      <c r="P1621" s="182">
        <v>4</v>
      </c>
      <c r="Q1621" s="182">
        <v>1900</v>
      </c>
      <c r="R1621" s="46">
        <v>10.896000000000001</v>
      </c>
      <c r="S1621" s="46">
        <v>14</v>
      </c>
      <c r="T1621" s="46">
        <v>6000</v>
      </c>
      <c r="U1621" s="46">
        <v>12.471</v>
      </c>
      <c r="V1621" s="46" t="s">
        <v>68</v>
      </c>
      <c r="W1621" s="46">
        <v>4100</v>
      </c>
      <c r="X1621" s="46">
        <v>13.201000000000001</v>
      </c>
      <c r="Y1621" s="193">
        <v>11.282999999999999</v>
      </c>
      <c r="Z1621" s="194">
        <v>11.403</v>
      </c>
      <c r="AA1621" s="194">
        <v>11.718999999999999</v>
      </c>
      <c r="AB1621" s="46">
        <v>11.15</v>
      </c>
      <c r="AC1621" s="46">
        <v>11.18</v>
      </c>
      <c r="AD1621" s="46">
        <v>11.05</v>
      </c>
      <c r="AE1621" s="46">
        <v>11.1</v>
      </c>
    </row>
    <row r="1622" spans="1:31" x14ac:dyDescent="0.25">
      <c r="A1622" s="136">
        <v>43073</v>
      </c>
      <c r="B1622" s="201" t="s">
        <v>77</v>
      </c>
      <c r="C1622" t="s">
        <v>128</v>
      </c>
      <c r="D1622">
        <v>4800</v>
      </c>
      <c r="E1622">
        <v>4800</v>
      </c>
      <c r="F1622">
        <v>6.0410000000000004</v>
      </c>
      <c r="G1622">
        <v>-1539.47</v>
      </c>
      <c r="H1622">
        <v>-5.31</v>
      </c>
      <c r="I1622" s="309">
        <v>27456</v>
      </c>
      <c r="J1622">
        <v>5.72</v>
      </c>
      <c r="K1622" s="133">
        <v>5.30248047781035E-2</v>
      </c>
      <c r="L1622" s="181">
        <v>-1056</v>
      </c>
      <c r="M1622" s="133">
        <v>5.5997928911689802E-2</v>
      </c>
      <c r="N1622" s="73">
        <v>-796.41400000000101</v>
      </c>
      <c r="O1622" s="73">
        <v>-49.542774749164003</v>
      </c>
      <c r="P1622" s="182">
        <v>8</v>
      </c>
      <c r="Q1622" s="182">
        <v>4000</v>
      </c>
      <c r="R1622" s="46">
        <v>6.6230000000000002</v>
      </c>
      <c r="S1622" s="46">
        <v>0</v>
      </c>
      <c r="T1622" s="46">
        <v>0</v>
      </c>
      <c r="U1622" s="46">
        <v>0</v>
      </c>
      <c r="V1622" s="46" t="s">
        <v>62</v>
      </c>
      <c r="W1622" s="46">
        <v>4000</v>
      </c>
      <c r="X1622" s="46">
        <v>6.6230000000000002</v>
      </c>
      <c r="Y1622" s="194">
        <v>5.8109999999999999</v>
      </c>
      <c r="Z1622" s="194">
        <v>6.1369999999999996</v>
      </c>
      <c r="AA1622" s="194">
        <v>6.6390000000000002</v>
      </c>
      <c r="AB1622" s="46">
        <v>5.94</v>
      </c>
      <c r="AC1622" s="46">
        <v>5.94</v>
      </c>
      <c r="AD1622" s="46">
        <v>5.57</v>
      </c>
      <c r="AE1622" s="46">
        <v>5.72</v>
      </c>
    </row>
    <row r="1623" spans="1:31" x14ac:dyDescent="0.25">
      <c r="A1623" s="136">
        <v>43073</v>
      </c>
      <c r="B1623" s="201" t="s">
        <v>67</v>
      </c>
      <c r="C1623" t="s">
        <v>129</v>
      </c>
      <c r="D1623">
        <v>10550</v>
      </c>
      <c r="E1623">
        <v>10550</v>
      </c>
      <c r="F1623">
        <v>8.6720000000000006</v>
      </c>
      <c r="G1623">
        <v>-6561.85</v>
      </c>
      <c r="H1623">
        <v>-7.17</v>
      </c>
      <c r="I1623" s="309">
        <v>84927.5</v>
      </c>
      <c r="J1623">
        <v>8.0500000000000007</v>
      </c>
      <c r="K1623" s="133">
        <v>0.16401748644348699</v>
      </c>
      <c r="L1623" s="181">
        <v>-316.5</v>
      </c>
      <c r="M1623" s="133">
        <v>0.17669015599597801</v>
      </c>
      <c r="N1623" s="73">
        <v>46644.394999999902</v>
      </c>
      <c r="O1623" s="73">
        <v>-815.00931012425303</v>
      </c>
      <c r="P1623" s="182">
        <v>13</v>
      </c>
      <c r="Q1623" s="182">
        <v>6400</v>
      </c>
      <c r="R1623" s="46">
        <v>7.2469999999999999</v>
      </c>
      <c r="S1623" s="46">
        <v>4</v>
      </c>
      <c r="T1623" s="46">
        <v>1600</v>
      </c>
      <c r="U1623" s="46">
        <v>8.8379999999999992</v>
      </c>
      <c r="V1623" s="46" t="s">
        <v>62</v>
      </c>
      <c r="W1623" s="46">
        <v>4800</v>
      </c>
      <c r="X1623" s="46">
        <v>6.7169999999999996</v>
      </c>
      <c r="Y1623" s="193">
        <v>8.1739999999999995</v>
      </c>
      <c r="Z1623" s="194">
        <v>7.27</v>
      </c>
      <c r="AA1623" s="194">
        <v>8.8049999999999997</v>
      </c>
      <c r="AB1623" s="46">
        <v>8.0500000000000007</v>
      </c>
      <c r="AC1623" s="46">
        <v>8.1300000000000008</v>
      </c>
      <c r="AD1623" s="46">
        <v>8.01</v>
      </c>
      <c r="AE1623" s="46">
        <v>8.0500000000000007</v>
      </c>
    </row>
    <row r="1624" spans="1:31" x14ac:dyDescent="0.25">
      <c r="A1624" s="136">
        <v>43073</v>
      </c>
      <c r="B1624" s="201" t="s">
        <v>78</v>
      </c>
      <c r="C1624" t="s">
        <v>142</v>
      </c>
      <c r="D1624">
        <v>100</v>
      </c>
      <c r="E1624">
        <v>100</v>
      </c>
      <c r="F1624">
        <v>10.987</v>
      </c>
      <c r="G1624">
        <v>17.3</v>
      </c>
      <c r="H1624">
        <v>1.58</v>
      </c>
      <c r="I1624" s="309">
        <v>1116</v>
      </c>
      <c r="J1624">
        <v>11.16</v>
      </c>
      <c r="K1624" s="133">
        <v>2.1552914529561298E-3</v>
      </c>
      <c r="L1624" s="181">
        <v>-22</v>
      </c>
      <c r="M1624" s="133">
        <v>2.12188057290582E-3</v>
      </c>
      <c r="N1624" s="73">
        <v>75.304000000000102</v>
      </c>
      <c r="O1624" s="73">
        <v>6.41110289608178</v>
      </c>
      <c r="P1624" s="182">
        <v>1</v>
      </c>
      <c r="Q1624" s="182">
        <v>500</v>
      </c>
      <c r="R1624" s="46">
        <v>11.56</v>
      </c>
      <c r="S1624" s="46">
        <v>1</v>
      </c>
      <c r="T1624" s="46">
        <v>400</v>
      </c>
      <c r="U1624" s="46">
        <v>11.74</v>
      </c>
      <c r="V1624" s="46" t="s">
        <v>62</v>
      </c>
      <c r="W1624" s="46">
        <v>100</v>
      </c>
      <c r="X1624" s="46">
        <v>10.84</v>
      </c>
      <c r="Y1624" s="194">
        <v>11.225</v>
      </c>
      <c r="Z1624" s="194">
        <v>11.547000000000001</v>
      </c>
      <c r="AA1624" s="194">
        <v>11.532999999999999</v>
      </c>
      <c r="AB1624" s="46">
        <v>11.29</v>
      </c>
      <c r="AC1624" s="46">
        <v>11.39</v>
      </c>
      <c r="AD1624" s="46">
        <v>11.08</v>
      </c>
      <c r="AE1624" s="46">
        <v>11.16</v>
      </c>
    </row>
    <row r="1625" spans="1:31" x14ac:dyDescent="0.25">
      <c r="A1625" s="136">
        <v>43073</v>
      </c>
      <c r="B1625" s="201" t="s">
        <v>72</v>
      </c>
      <c r="C1625" t="s">
        <v>130</v>
      </c>
      <c r="D1625">
        <v>2300</v>
      </c>
      <c r="E1625">
        <v>2300</v>
      </c>
      <c r="F1625">
        <v>7.3049999999999997</v>
      </c>
      <c r="G1625">
        <v>-57.23</v>
      </c>
      <c r="H1625">
        <v>-0.34</v>
      </c>
      <c r="I1625" s="309">
        <v>16744</v>
      </c>
      <c r="J1625">
        <v>7.28</v>
      </c>
      <c r="K1625" s="133">
        <v>3.2337096853313103E-2</v>
      </c>
      <c r="L1625" s="181">
        <v>748.09</v>
      </c>
      <c r="M1625" s="133">
        <v>3.2447623134543101E-2</v>
      </c>
      <c r="N1625" s="73">
        <v>-278.93999999999397</v>
      </c>
      <c r="O1625" s="73">
        <v>-7.8573331043930503</v>
      </c>
      <c r="P1625" s="182">
        <v>0</v>
      </c>
      <c r="Q1625" s="182">
        <v>0</v>
      </c>
      <c r="R1625" s="46">
        <v>0</v>
      </c>
      <c r="S1625" s="46">
        <v>11</v>
      </c>
      <c r="T1625" s="46">
        <v>4600</v>
      </c>
      <c r="U1625" s="46">
        <v>8.266</v>
      </c>
      <c r="V1625" s="46" t="s">
        <v>68</v>
      </c>
      <c r="W1625" s="46">
        <v>4600</v>
      </c>
      <c r="X1625" s="46">
        <v>8.266</v>
      </c>
      <c r="Y1625" s="194">
        <v>6.7359999999999998</v>
      </c>
      <c r="Z1625" s="194">
        <v>6.819</v>
      </c>
      <c r="AA1625" s="194">
        <v>6.9039999999999999</v>
      </c>
      <c r="AB1625" s="46">
        <v>7.03</v>
      </c>
      <c r="AC1625" s="46">
        <v>7.37</v>
      </c>
      <c r="AD1625" s="46">
        <v>6.96</v>
      </c>
      <c r="AE1625" s="46">
        <v>7.28</v>
      </c>
    </row>
    <row r="1626" spans="1:31" x14ac:dyDescent="0.25">
      <c r="A1626" s="136">
        <v>43073</v>
      </c>
      <c r="B1626" s="201" t="s">
        <v>70</v>
      </c>
      <c r="C1626" t="s">
        <v>131</v>
      </c>
      <c r="D1626">
        <v>10100</v>
      </c>
      <c r="E1626">
        <v>10100</v>
      </c>
      <c r="F1626">
        <v>12.294</v>
      </c>
      <c r="G1626">
        <v>-12661.48</v>
      </c>
      <c r="H1626">
        <v>-10.199999999999999</v>
      </c>
      <c r="I1626" s="309">
        <v>111504</v>
      </c>
      <c r="J1626">
        <v>11.04</v>
      </c>
      <c r="K1626" s="133">
        <v>0.215343743880305</v>
      </c>
      <c r="L1626" s="181">
        <v>-2020</v>
      </c>
      <c r="M1626" s="133">
        <v>0.23979641379587399</v>
      </c>
      <c r="N1626" s="73">
        <v>-8923.4700000000394</v>
      </c>
      <c r="O1626" s="73">
        <v>-781.68345880806703</v>
      </c>
      <c r="P1626" s="182">
        <v>6</v>
      </c>
      <c r="Q1626" s="182">
        <v>3000</v>
      </c>
      <c r="R1626" s="46">
        <v>11.842000000000001</v>
      </c>
      <c r="S1626" s="46">
        <v>9</v>
      </c>
      <c r="T1626" s="46">
        <v>3600</v>
      </c>
      <c r="U1626" s="46">
        <v>13.278</v>
      </c>
      <c r="V1626" s="46" t="s">
        <v>68</v>
      </c>
      <c r="W1626" s="46">
        <v>600</v>
      </c>
      <c r="X1626" s="46">
        <v>20.457999999999998</v>
      </c>
      <c r="Y1626" s="194">
        <v>11.128</v>
      </c>
      <c r="Z1626" s="194">
        <v>12.315</v>
      </c>
      <c r="AA1626" s="194">
        <v>12.39</v>
      </c>
      <c r="AB1626" s="46">
        <v>11.24</v>
      </c>
      <c r="AC1626" s="46">
        <v>11.24</v>
      </c>
      <c r="AD1626" s="46">
        <v>11.01</v>
      </c>
      <c r="AE1626" s="46">
        <v>11.04</v>
      </c>
    </row>
    <row r="1627" spans="1:31" x14ac:dyDescent="0.25">
      <c r="A1627" s="136">
        <v>43073</v>
      </c>
      <c r="B1627" s="201" t="s">
        <v>137</v>
      </c>
      <c r="C1627" t="s">
        <v>138</v>
      </c>
      <c r="D1627">
        <v>100</v>
      </c>
      <c r="E1627">
        <v>100</v>
      </c>
      <c r="F1627">
        <v>-130.48500000000001</v>
      </c>
      <c r="G1627">
        <v>16510.5</v>
      </c>
      <c r="H1627">
        <v>0</v>
      </c>
      <c r="I1627" s="309">
        <v>3462</v>
      </c>
      <c r="J1627">
        <v>34.619999999999997</v>
      </c>
      <c r="K1627" s="133">
        <v>6.6860385395466999E-3</v>
      </c>
      <c r="L1627" s="181">
        <v>-341</v>
      </c>
      <c r="M1627" s="133">
        <v>0</v>
      </c>
    </row>
    <row r="1628" spans="1:31" x14ac:dyDescent="0.25">
      <c r="A1628" s="136">
        <v>43073</v>
      </c>
      <c r="B1628" s="201" t="s">
        <v>835</v>
      </c>
      <c r="C1628" t="s">
        <v>839</v>
      </c>
      <c r="I1628" s="309">
        <v>24510.03</v>
      </c>
      <c r="K1628" s="133">
        <v>4.73353567837798E-2</v>
      </c>
      <c r="L1628" s="181">
        <v>0</v>
      </c>
      <c r="M1628" s="133">
        <v>4.7846890876203203E-2</v>
      </c>
    </row>
    <row r="1629" spans="1:31" x14ac:dyDescent="0.25">
      <c r="A1629" s="136">
        <v>43074</v>
      </c>
      <c r="B1629" s="201" t="s">
        <v>132</v>
      </c>
      <c r="C1629" t="s">
        <v>123</v>
      </c>
      <c r="D1629">
        <v>26496</v>
      </c>
      <c r="E1629">
        <v>26496</v>
      </c>
      <c r="F1629">
        <v>-9.2999999999999999E-2</v>
      </c>
      <c r="G1629">
        <v>2729.0880000000002</v>
      </c>
      <c r="H1629">
        <v>0</v>
      </c>
      <c r="I1629" s="309">
        <v>264.95999999999998</v>
      </c>
      <c r="J1629">
        <v>0.01</v>
      </c>
      <c r="K1629" s="133">
        <v>5.2169422799561702E-4</v>
      </c>
      <c r="L1629" s="181">
        <v>0.92700000000013505</v>
      </c>
      <c r="M1629" s="133">
        <v>0</v>
      </c>
    </row>
    <row r="1630" spans="1:31" x14ac:dyDescent="0.25">
      <c r="A1630" s="136">
        <v>43074</v>
      </c>
      <c r="B1630" s="201" t="s">
        <v>61</v>
      </c>
      <c r="C1630" t="s">
        <v>136</v>
      </c>
      <c r="D1630">
        <v>3500</v>
      </c>
      <c r="E1630">
        <v>3500</v>
      </c>
      <c r="F1630">
        <v>5.3070000000000004</v>
      </c>
      <c r="G1630">
        <v>-583.52</v>
      </c>
      <c r="H1630">
        <v>-3.15</v>
      </c>
      <c r="I1630" s="309">
        <v>17990</v>
      </c>
      <c r="J1630">
        <v>5.14</v>
      </c>
      <c r="K1630" s="133">
        <v>3.5421494420445197E-2</v>
      </c>
      <c r="L1630" s="181">
        <v>-105</v>
      </c>
      <c r="M1630" s="133">
        <v>3.6570418846471803E-2</v>
      </c>
      <c r="N1630" s="73">
        <v>-587.26800000000003</v>
      </c>
      <c r="O1630" s="73">
        <v>-114.19734747081699</v>
      </c>
      <c r="P1630" s="182">
        <v>6</v>
      </c>
      <c r="Q1630" s="182">
        <v>3000</v>
      </c>
      <c r="R1630" s="46">
        <v>5.31</v>
      </c>
      <c r="S1630" s="46">
        <v>0</v>
      </c>
      <c r="T1630" s="46">
        <v>0</v>
      </c>
      <c r="U1630" s="46">
        <v>0</v>
      </c>
      <c r="V1630" s="46" t="s">
        <v>62</v>
      </c>
      <c r="W1630" s="46">
        <v>3000</v>
      </c>
      <c r="X1630" s="46">
        <v>5.31</v>
      </c>
      <c r="Y1630" s="194">
        <v>5.14</v>
      </c>
      <c r="Z1630" s="194">
        <v>5.1159999999999997</v>
      </c>
      <c r="AA1630" s="194">
        <v>5.181</v>
      </c>
      <c r="AB1630" s="46">
        <v>5.17</v>
      </c>
      <c r="AC1630" s="46">
        <v>5.18</v>
      </c>
      <c r="AD1630" s="46">
        <v>5.12</v>
      </c>
      <c r="AE1630" s="46">
        <v>5.14</v>
      </c>
    </row>
    <row r="1631" spans="1:31" x14ac:dyDescent="0.25">
      <c r="A1631" s="136">
        <v>43074</v>
      </c>
      <c r="B1631" s="201" t="s">
        <v>124</v>
      </c>
      <c r="C1631" t="s">
        <v>125</v>
      </c>
      <c r="D1631">
        <v>100</v>
      </c>
      <c r="E1631">
        <v>100</v>
      </c>
      <c r="F1631">
        <v>-53.579000000000001</v>
      </c>
      <c r="G1631">
        <v>5957.9</v>
      </c>
      <c r="H1631">
        <v>0</v>
      </c>
      <c r="I1631" s="309">
        <v>600</v>
      </c>
      <c r="J1631">
        <v>6</v>
      </c>
      <c r="K1631" s="133">
        <v>1.1813727989031201E-3</v>
      </c>
      <c r="L1631" s="181">
        <v>11</v>
      </c>
      <c r="M1631" s="133">
        <v>0</v>
      </c>
      <c r="N1631" s="73">
        <v>5995.0890000000099</v>
      </c>
      <c r="O1631" s="73">
        <v>1102.4501845505599</v>
      </c>
      <c r="P1631" s="182">
        <v>0</v>
      </c>
      <c r="Q1631" s="182">
        <v>0</v>
      </c>
      <c r="R1631" s="46">
        <v>0</v>
      </c>
      <c r="S1631" s="46">
        <v>5</v>
      </c>
      <c r="T1631" s="46">
        <v>2300</v>
      </c>
      <c r="U1631" s="46">
        <v>4.99</v>
      </c>
      <c r="V1631" s="46" t="s">
        <v>68</v>
      </c>
      <c r="W1631" s="46">
        <v>2300</v>
      </c>
      <c r="X1631" s="46">
        <v>4.99</v>
      </c>
      <c r="Y1631" s="193">
        <v>6.4569999999999999</v>
      </c>
      <c r="Z1631" s="193">
        <v>5.0750000000000002</v>
      </c>
      <c r="AA1631" s="193">
        <v>5.835</v>
      </c>
      <c r="AB1631" s="46">
        <v>5.89</v>
      </c>
      <c r="AC1631" s="46">
        <v>6.04</v>
      </c>
      <c r="AD1631" s="46">
        <v>5.87</v>
      </c>
      <c r="AE1631" s="46">
        <v>6</v>
      </c>
    </row>
    <row r="1632" spans="1:31" x14ac:dyDescent="0.25">
      <c r="A1632" s="136">
        <v>43074</v>
      </c>
      <c r="B1632" s="201" t="s">
        <v>71</v>
      </c>
      <c r="C1632" t="s">
        <v>126</v>
      </c>
      <c r="D1632">
        <v>2800</v>
      </c>
      <c r="E1632">
        <v>2800</v>
      </c>
      <c r="F1632">
        <v>5.9390000000000001</v>
      </c>
      <c r="G1632">
        <v>1598.38</v>
      </c>
      <c r="H1632">
        <v>9.6199999999999992</v>
      </c>
      <c r="I1632" s="309">
        <v>18228</v>
      </c>
      <c r="J1632">
        <v>6.51</v>
      </c>
      <c r="K1632" s="133">
        <v>3.5890105630676801E-2</v>
      </c>
      <c r="L1632" s="181">
        <v>196</v>
      </c>
      <c r="M1632" s="133">
        <v>3.2742967873492103E-2</v>
      </c>
      <c r="N1632" s="73">
        <v>2864.0619999999999</v>
      </c>
      <c r="O1632" s="73">
        <v>228.52771916537799</v>
      </c>
      <c r="P1632" s="182">
        <v>2</v>
      </c>
      <c r="Q1632" s="182">
        <v>1000</v>
      </c>
      <c r="R1632" s="46">
        <v>6.45</v>
      </c>
      <c r="S1632" s="46">
        <v>2</v>
      </c>
      <c r="T1632" s="46">
        <v>900</v>
      </c>
      <c r="U1632" s="46">
        <v>6.3920000000000003</v>
      </c>
      <c r="V1632" s="46" t="s">
        <v>62</v>
      </c>
      <c r="W1632" s="46">
        <v>100</v>
      </c>
      <c r="X1632" s="46">
        <v>6.9720000000000004</v>
      </c>
      <c r="Y1632" s="193">
        <v>6.58</v>
      </c>
      <c r="Z1632" s="194">
        <v>6.2690000000000001</v>
      </c>
      <c r="AA1632" s="194">
        <v>6.5389999999999997</v>
      </c>
      <c r="AB1632" s="46">
        <v>6.43</v>
      </c>
      <c r="AC1632" s="46">
        <v>6.56</v>
      </c>
      <c r="AD1632" s="46">
        <v>6.41</v>
      </c>
      <c r="AE1632" s="46">
        <v>6.51</v>
      </c>
    </row>
    <row r="1633" spans="1:31" x14ac:dyDescent="0.25">
      <c r="A1633" s="136">
        <v>43074</v>
      </c>
      <c r="B1633" s="201" t="s">
        <v>79</v>
      </c>
      <c r="C1633" t="s">
        <v>143</v>
      </c>
      <c r="D1633">
        <v>5500</v>
      </c>
      <c r="E1633">
        <v>5500</v>
      </c>
      <c r="F1633">
        <v>16.844999999999999</v>
      </c>
      <c r="G1633">
        <v>-9431.84</v>
      </c>
      <c r="H1633">
        <v>-10.18</v>
      </c>
      <c r="I1633" s="309">
        <v>83215</v>
      </c>
      <c r="J1633">
        <v>15.13</v>
      </c>
      <c r="K1633" s="133">
        <v>0.16384656243453799</v>
      </c>
      <c r="L1633" s="181">
        <v>-3315.3</v>
      </c>
      <c r="M1633" s="133">
        <v>0.18241742780054901</v>
      </c>
      <c r="N1633" s="73">
        <v>-9653.3000000000193</v>
      </c>
      <c r="O1633" s="73">
        <v>-639.39518555334803</v>
      </c>
      <c r="P1633" s="182">
        <v>10</v>
      </c>
      <c r="Q1633" s="182">
        <v>5500</v>
      </c>
      <c r="R1633" s="46">
        <v>16.835000000000001</v>
      </c>
      <c r="S1633" s="46">
        <v>0</v>
      </c>
      <c r="T1633" s="46">
        <v>0</v>
      </c>
      <c r="U1633" s="46">
        <v>0</v>
      </c>
      <c r="V1633" s="46" t="s">
        <v>62</v>
      </c>
      <c r="W1633" s="46">
        <v>5500</v>
      </c>
      <c r="X1633" s="46">
        <v>16.835000000000001</v>
      </c>
      <c r="Y1633" s="194">
        <v>15.509</v>
      </c>
      <c r="Z1633" s="194">
        <v>15.867000000000001</v>
      </c>
      <c r="AA1633" s="194">
        <v>15.887</v>
      </c>
      <c r="AB1633" s="46">
        <v>15.82</v>
      </c>
      <c r="AC1633" s="46">
        <v>15.85</v>
      </c>
      <c r="AD1633" s="46">
        <v>15.08</v>
      </c>
      <c r="AE1633" s="46">
        <v>15.13</v>
      </c>
    </row>
    <row r="1634" spans="1:31" x14ac:dyDescent="0.25">
      <c r="A1634" s="136">
        <v>43074</v>
      </c>
      <c r="B1634" s="201" t="s">
        <v>65</v>
      </c>
      <c r="C1634" t="s">
        <v>127</v>
      </c>
      <c r="D1634">
        <v>12200</v>
      </c>
      <c r="E1634">
        <v>12200</v>
      </c>
      <c r="F1634">
        <v>10.372999999999999</v>
      </c>
      <c r="G1634">
        <v>9845.2900000000009</v>
      </c>
      <c r="H1634">
        <v>7.78</v>
      </c>
      <c r="I1634" s="309">
        <v>136396</v>
      </c>
      <c r="J1634">
        <v>11.18</v>
      </c>
      <c r="K1634" s="133">
        <v>0.26855754046531599</v>
      </c>
      <c r="L1634" s="181">
        <v>1010.52</v>
      </c>
      <c r="M1634" s="133">
        <v>0.249172610793128</v>
      </c>
      <c r="N1634" s="73">
        <v>5928.8520000000199</v>
      </c>
      <c r="O1634" s="73">
        <v>910.37469199374596</v>
      </c>
      <c r="P1634" s="182">
        <v>4</v>
      </c>
      <c r="Q1634" s="182">
        <v>1900</v>
      </c>
      <c r="R1634" s="46">
        <v>10.896000000000001</v>
      </c>
      <c r="S1634" s="46">
        <v>15</v>
      </c>
      <c r="T1634" s="46">
        <v>6400</v>
      </c>
      <c r="U1634" s="46">
        <v>12.393000000000001</v>
      </c>
      <c r="V1634" s="46" t="s">
        <v>68</v>
      </c>
      <c r="W1634" s="46">
        <v>4500</v>
      </c>
      <c r="X1634" s="46">
        <v>13.025</v>
      </c>
      <c r="Y1634" s="193">
        <v>11.468999999999999</v>
      </c>
      <c r="Z1634" s="194">
        <v>11.401</v>
      </c>
      <c r="AA1634" s="194">
        <v>11.709</v>
      </c>
      <c r="AB1634" s="46">
        <v>11.06</v>
      </c>
      <c r="AC1634" s="46">
        <v>11.28</v>
      </c>
      <c r="AD1634" s="46">
        <v>11.01</v>
      </c>
      <c r="AE1634" s="46">
        <v>11.18</v>
      </c>
    </row>
    <row r="1635" spans="1:31" x14ac:dyDescent="0.25">
      <c r="A1635" s="136">
        <v>43074</v>
      </c>
      <c r="B1635" s="201" t="s">
        <v>77</v>
      </c>
      <c r="C1635" t="s">
        <v>128</v>
      </c>
      <c r="D1635">
        <v>5300</v>
      </c>
      <c r="E1635">
        <v>5300</v>
      </c>
      <c r="F1635">
        <v>6.0039999999999996</v>
      </c>
      <c r="G1635">
        <v>-2087.4699999999998</v>
      </c>
      <c r="H1635">
        <v>-6.56</v>
      </c>
      <c r="I1635" s="309">
        <v>29733</v>
      </c>
      <c r="J1635">
        <v>5.61</v>
      </c>
      <c r="K1635" s="133">
        <v>5.8542929049644102E-2</v>
      </c>
      <c r="L1635" s="181">
        <v>-548</v>
      </c>
      <c r="M1635" s="133">
        <v>6.2653062843854607E-2</v>
      </c>
      <c r="N1635" s="73">
        <v>-2433.4140000000002</v>
      </c>
      <c r="O1635" s="73">
        <v>-342.63249875886601</v>
      </c>
      <c r="P1635" s="182">
        <v>9</v>
      </c>
      <c r="Q1635" s="182">
        <v>4500</v>
      </c>
      <c r="R1635" s="46">
        <v>6.5129999999999999</v>
      </c>
      <c r="S1635" s="46">
        <v>0</v>
      </c>
      <c r="T1635" s="46">
        <v>0</v>
      </c>
      <c r="U1635" s="46">
        <v>0</v>
      </c>
      <c r="V1635" s="46" t="s">
        <v>62</v>
      </c>
      <c r="W1635" s="46">
        <v>4500</v>
      </c>
      <c r="X1635" s="46">
        <v>6.5129999999999999</v>
      </c>
      <c r="Y1635" s="194">
        <v>5.5389999999999997</v>
      </c>
      <c r="Z1635" s="194">
        <v>6.1139999999999999</v>
      </c>
      <c r="AA1635" s="194">
        <v>6.6210000000000004</v>
      </c>
      <c r="AB1635" s="46">
        <v>5.67</v>
      </c>
      <c r="AC1635" s="46">
        <v>5.71</v>
      </c>
      <c r="AD1635" s="46">
        <v>5.58</v>
      </c>
      <c r="AE1635" s="46">
        <v>5.61</v>
      </c>
    </row>
    <row r="1636" spans="1:31" x14ac:dyDescent="0.25">
      <c r="A1636" s="136">
        <v>43074</v>
      </c>
      <c r="B1636" s="201" t="s">
        <v>67</v>
      </c>
      <c r="C1636" t="s">
        <v>129</v>
      </c>
      <c r="D1636">
        <v>11050</v>
      </c>
      <c r="E1636">
        <v>11050</v>
      </c>
      <c r="F1636">
        <v>8.6340000000000003</v>
      </c>
      <c r="G1636">
        <v>-8882.85</v>
      </c>
      <c r="H1636">
        <v>-9.31</v>
      </c>
      <c r="I1636" s="309">
        <v>86521.5</v>
      </c>
      <c r="J1636">
        <v>7.83</v>
      </c>
      <c r="K1636" s="133">
        <v>0.170356911033827</v>
      </c>
      <c r="L1636" s="181">
        <v>-2321</v>
      </c>
      <c r="M1636" s="133">
        <v>0.187846839978388</v>
      </c>
      <c r="N1636" s="73">
        <v>44983.830999999896</v>
      </c>
      <c r="O1636" s="73">
        <v>-1149.75820927113</v>
      </c>
      <c r="P1636" s="182">
        <v>14</v>
      </c>
      <c r="Q1636" s="182">
        <v>6900</v>
      </c>
      <c r="R1636" s="46">
        <v>7.2889999999999997</v>
      </c>
      <c r="S1636" s="46">
        <v>4</v>
      </c>
      <c r="T1636" s="46">
        <v>1600</v>
      </c>
      <c r="U1636" s="46">
        <v>8.8379999999999992</v>
      </c>
      <c r="V1636" s="46" t="s">
        <v>62</v>
      </c>
      <c r="W1636" s="46">
        <v>5300</v>
      </c>
      <c r="X1636" s="46">
        <v>6.8209999999999997</v>
      </c>
      <c r="Y1636" s="194">
        <v>7.87</v>
      </c>
      <c r="Z1636" s="194">
        <v>7.3129999999999997</v>
      </c>
      <c r="AA1636" s="194">
        <v>8.798</v>
      </c>
      <c r="AB1636" s="46">
        <v>8.0500000000000007</v>
      </c>
      <c r="AC1636" s="46">
        <v>8.0500000000000007</v>
      </c>
      <c r="AD1636" s="46">
        <v>7.8</v>
      </c>
      <c r="AE1636" s="46">
        <v>7.83</v>
      </c>
    </row>
    <row r="1637" spans="1:31" x14ac:dyDescent="0.25">
      <c r="A1637" s="136">
        <v>43074</v>
      </c>
      <c r="B1637" s="201" t="s">
        <v>78</v>
      </c>
      <c r="C1637" t="s">
        <v>142</v>
      </c>
      <c r="D1637">
        <v>100</v>
      </c>
      <c r="E1637">
        <v>100</v>
      </c>
      <c r="F1637">
        <v>10.987</v>
      </c>
      <c r="G1637">
        <v>-13.7</v>
      </c>
      <c r="H1637">
        <v>-1.25</v>
      </c>
      <c r="I1637" s="309">
        <v>1085</v>
      </c>
      <c r="J1637">
        <v>10.85</v>
      </c>
      <c r="K1637" s="133">
        <v>2.13631581134981E-3</v>
      </c>
      <c r="L1637" s="181">
        <v>-31</v>
      </c>
      <c r="M1637" s="133">
        <v>2.1632904902580902E-3</v>
      </c>
      <c r="N1637" s="73">
        <v>75.304000000000102</v>
      </c>
      <c r="O1637" s="73">
        <v>6.41110289608178</v>
      </c>
      <c r="P1637" s="182">
        <v>1</v>
      </c>
      <c r="Q1637" s="182">
        <v>500</v>
      </c>
      <c r="R1637" s="46">
        <v>11.56</v>
      </c>
      <c r="S1637" s="46">
        <v>1</v>
      </c>
      <c r="T1637" s="46">
        <v>400</v>
      </c>
      <c r="U1637" s="46">
        <v>11.74</v>
      </c>
      <c r="V1637" s="46" t="s">
        <v>62</v>
      </c>
      <c r="W1637" s="46">
        <v>100</v>
      </c>
      <c r="X1637" s="46">
        <v>10.84</v>
      </c>
      <c r="Y1637" s="194">
        <v>10.96</v>
      </c>
      <c r="Z1637" s="194">
        <v>11.519</v>
      </c>
      <c r="AA1637" s="194">
        <v>11.497999999999999</v>
      </c>
      <c r="AB1637" s="46">
        <v>11.12</v>
      </c>
      <c r="AC1637" s="46">
        <v>11.23</v>
      </c>
      <c r="AD1637" s="46">
        <v>10.81</v>
      </c>
      <c r="AE1637" s="46">
        <v>10.85</v>
      </c>
    </row>
    <row r="1638" spans="1:31" x14ac:dyDescent="0.25">
      <c r="A1638" s="136">
        <v>43074</v>
      </c>
      <c r="B1638" s="201" t="s">
        <v>72</v>
      </c>
      <c r="C1638" t="s">
        <v>130</v>
      </c>
      <c r="D1638">
        <v>2300</v>
      </c>
      <c r="E1638">
        <v>2300</v>
      </c>
      <c r="F1638">
        <v>7.3049999999999997</v>
      </c>
      <c r="G1638">
        <v>-586.23</v>
      </c>
      <c r="H1638">
        <v>-3.49</v>
      </c>
      <c r="I1638" s="309">
        <v>16215</v>
      </c>
      <c r="J1638">
        <v>7.05</v>
      </c>
      <c r="K1638" s="133">
        <v>3.1926599890356802E-2</v>
      </c>
      <c r="L1638" s="181">
        <v>-529</v>
      </c>
      <c r="M1638" s="133">
        <v>3.3080860183525101E-2</v>
      </c>
      <c r="N1638" s="73">
        <v>-278.93999999999397</v>
      </c>
      <c r="O1638" s="73">
        <v>-7.8573331043930503</v>
      </c>
      <c r="P1638" s="182">
        <v>0</v>
      </c>
      <c r="Q1638" s="182">
        <v>0</v>
      </c>
      <c r="R1638" s="46">
        <v>0</v>
      </c>
      <c r="S1638" s="46">
        <v>11</v>
      </c>
      <c r="T1638" s="46">
        <v>4600</v>
      </c>
      <c r="U1638" s="46">
        <v>8.266</v>
      </c>
      <c r="V1638" s="46" t="s">
        <v>68</v>
      </c>
      <c r="W1638" s="46">
        <v>4600</v>
      </c>
      <c r="X1638" s="46">
        <v>8.266</v>
      </c>
      <c r="Y1638" s="194">
        <v>7.1139999999999999</v>
      </c>
      <c r="Z1638" s="194">
        <v>6.9139999999999997</v>
      </c>
      <c r="AA1638" s="194">
        <v>6.9269999999999996</v>
      </c>
      <c r="AB1638" s="46">
        <v>7.28</v>
      </c>
      <c r="AC1638" s="46">
        <v>7.28</v>
      </c>
      <c r="AD1638" s="46">
        <v>7.05</v>
      </c>
      <c r="AE1638" s="46">
        <v>7.05</v>
      </c>
    </row>
    <row r="1639" spans="1:31" x14ac:dyDescent="0.25">
      <c r="A1639" s="136">
        <v>43074</v>
      </c>
      <c r="B1639" s="201" t="s">
        <v>70</v>
      </c>
      <c r="C1639" t="s">
        <v>131</v>
      </c>
      <c r="D1639">
        <v>10600</v>
      </c>
      <c r="E1639">
        <v>10600</v>
      </c>
      <c r="F1639">
        <v>12.228999999999999</v>
      </c>
      <c r="G1639">
        <v>-16740.48</v>
      </c>
      <c r="H1639">
        <v>-12.91</v>
      </c>
      <c r="I1639" s="309">
        <v>112890</v>
      </c>
      <c r="J1639">
        <v>10.65</v>
      </c>
      <c r="K1639" s="133">
        <v>0.22227529211362199</v>
      </c>
      <c r="L1639" s="181">
        <v>-4079</v>
      </c>
      <c r="M1639" s="133">
        <v>0.25523653830125798</v>
      </c>
      <c r="N1639" s="73">
        <v>-13877.47</v>
      </c>
      <c r="O1639" s="73">
        <v>-1270.1951707875501</v>
      </c>
      <c r="P1639" s="182">
        <v>7</v>
      </c>
      <c r="Q1639" s="182">
        <v>3500</v>
      </c>
      <c r="R1639" s="46">
        <v>11.71</v>
      </c>
      <c r="S1639" s="46">
        <v>9</v>
      </c>
      <c r="T1639" s="46">
        <v>3600</v>
      </c>
      <c r="U1639" s="46">
        <v>13.278</v>
      </c>
      <c r="V1639" s="46" t="s">
        <v>68</v>
      </c>
      <c r="W1639" s="46">
        <v>100</v>
      </c>
      <c r="X1639" s="46">
        <v>68.158000000000001</v>
      </c>
      <c r="Y1639" s="194">
        <v>10.824</v>
      </c>
      <c r="Z1639" s="194">
        <v>12.273999999999999</v>
      </c>
      <c r="AA1639" s="194">
        <v>12.375999999999999</v>
      </c>
      <c r="AB1639" s="46">
        <v>11</v>
      </c>
      <c r="AC1639" s="46">
        <v>11.07</v>
      </c>
      <c r="AD1639" s="46">
        <v>10.58</v>
      </c>
      <c r="AE1639" s="46">
        <v>10.65</v>
      </c>
    </row>
    <row r="1640" spans="1:31" x14ac:dyDescent="0.25">
      <c r="A1640" s="136">
        <v>43074</v>
      </c>
      <c r="B1640" s="201" t="s">
        <v>137</v>
      </c>
      <c r="C1640" t="s">
        <v>138</v>
      </c>
      <c r="D1640">
        <v>100</v>
      </c>
      <c r="E1640">
        <v>100</v>
      </c>
      <c r="F1640">
        <v>-130.48500000000001</v>
      </c>
      <c r="G1640">
        <v>16309.5</v>
      </c>
      <c r="H1640">
        <v>0</v>
      </c>
      <c r="I1640" s="309">
        <v>3261</v>
      </c>
      <c r="J1640">
        <v>32.61</v>
      </c>
      <c r="K1640" s="133">
        <v>6.42076116203845E-3</v>
      </c>
      <c r="L1640" s="181">
        <v>-201</v>
      </c>
      <c r="M1640" s="133">
        <v>0</v>
      </c>
    </row>
    <row r="1641" spans="1:31" x14ac:dyDescent="0.25">
      <c r="A1641" s="136">
        <v>43074</v>
      </c>
      <c r="B1641" s="201" t="s">
        <v>835</v>
      </c>
      <c r="C1641" t="s">
        <v>839</v>
      </c>
      <c r="I1641" s="309">
        <v>1484.25</v>
      </c>
      <c r="K1641" s="133">
        <v>2.9224209612865901E-3</v>
      </c>
      <c r="L1641" s="181">
        <v>0</v>
      </c>
      <c r="M1641" s="133">
        <v>3.4441151892822099E-3</v>
      </c>
    </row>
    <row r="1642" spans="1:31" x14ac:dyDescent="0.25">
      <c r="A1642" s="136">
        <v>43075</v>
      </c>
      <c r="B1642" s="201" t="s">
        <v>132</v>
      </c>
      <c r="C1642" t="s">
        <v>123</v>
      </c>
      <c r="D1642">
        <v>26496</v>
      </c>
      <c r="E1642">
        <v>26496</v>
      </c>
      <c r="F1642">
        <v>-9.2999999999999999E-2</v>
      </c>
      <c r="G1642">
        <v>2729.0880000000002</v>
      </c>
      <c r="H1642">
        <v>0</v>
      </c>
      <c r="I1642" s="309">
        <v>264.95999999999998</v>
      </c>
      <c r="J1642">
        <v>0.01</v>
      </c>
      <c r="K1642" s="133">
        <v>4.7276657715874002E-4</v>
      </c>
      <c r="L1642" s="181">
        <v>0</v>
      </c>
      <c r="M1642" s="133">
        <v>0</v>
      </c>
    </row>
    <row r="1643" spans="1:31" x14ac:dyDescent="0.25">
      <c r="A1643" s="136">
        <v>43075</v>
      </c>
      <c r="B1643" s="201" t="s">
        <v>61</v>
      </c>
      <c r="C1643" t="s">
        <v>136</v>
      </c>
      <c r="D1643">
        <v>3500</v>
      </c>
      <c r="E1643">
        <v>3500</v>
      </c>
      <c r="F1643">
        <v>5.3070000000000004</v>
      </c>
      <c r="G1643">
        <v>-618.52</v>
      </c>
      <c r="H1643">
        <v>-3.33</v>
      </c>
      <c r="I1643" s="309">
        <v>17955</v>
      </c>
      <c r="J1643">
        <v>5.13</v>
      </c>
      <c r="K1643" s="133">
        <v>3.20370014073263E-2</v>
      </c>
      <c r="L1643" s="181">
        <v>-35</v>
      </c>
      <c r="M1643" s="133">
        <v>3.31406230230578E-2</v>
      </c>
      <c r="N1643" s="73">
        <v>-587.26800000000003</v>
      </c>
      <c r="O1643" s="73">
        <v>-114.19734747081699</v>
      </c>
      <c r="P1643" s="182">
        <v>6</v>
      </c>
      <c r="Q1643" s="182">
        <v>3000</v>
      </c>
      <c r="R1643" s="46">
        <v>5.31</v>
      </c>
      <c r="S1643" s="46">
        <v>0</v>
      </c>
      <c r="T1643" s="46">
        <v>0</v>
      </c>
      <c r="U1643" s="46">
        <v>0</v>
      </c>
      <c r="V1643" s="46" t="s">
        <v>62</v>
      </c>
      <c r="W1643" s="46">
        <v>3000</v>
      </c>
      <c r="X1643" s="46">
        <v>5.31</v>
      </c>
      <c r="Y1643" s="194">
        <v>5.1029999999999998</v>
      </c>
      <c r="Z1643" s="194">
        <v>5.1120000000000001</v>
      </c>
      <c r="AA1643" s="194">
        <v>5.1740000000000004</v>
      </c>
      <c r="AB1643" s="46">
        <v>5.14</v>
      </c>
      <c r="AC1643" s="46">
        <v>5.14</v>
      </c>
      <c r="AD1643" s="46">
        <v>5.0999999999999996</v>
      </c>
      <c r="AE1643" s="46">
        <v>5.13</v>
      </c>
    </row>
    <row r="1644" spans="1:31" x14ac:dyDescent="0.25">
      <c r="A1644" s="136">
        <v>43075</v>
      </c>
      <c r="B1644" s="201" t="s">
        <v>124</v>
      </c>
      <c r="C1644" t="s">
        <v>125</v>
      </c>
      <c r="D1644">
        <v>100</v>
      </c>
      <c r="E1644">
        <v>100</v>
      </c>
      <c r="F1644">
        <v>-53.579000000000001</v>
      </c>
      <c r="G1644">
        <v>5954.9</v>
      </c>
      <c r="H1644">
        <v>0</v>
      </c>
      <c r="I1644" s="309">
        <v>597</v>
      </c>
      <c r="J1644">
        <v>5.97</v>
      </c>
      <c r="K1644" s="133">
        <v>1.0652236056905499E-3</v>
      </c>
      <c r="L1644" s="181">
        <v>-3</v>
      </c>
      <c r="M1644" s="133">
        <v>0</v>
      </c>
      <c r="N1644" s="73">
        <v>5995.0890000000099</v>
      </c>
      <c r="O1644" s="73">
        <v>1102.4501845505599</v>
      </c>
      <c r="P1644" s="182">
        <v>0</v>
      </c>
      <c r="Q1644" s="182">
        <v>0</v>
      </c>
      <c r="R1644" s="46">
        <v>0</v>
      </c>
      <c r="S1644" s="46">
        <v>5</v>
      </c>
      <c r="T1644" s="46">
        <v>2300</v>
      </c>
      <c r="U1644" s="46">
        <v>4.99</v>
      </c>
      <c r="V1644" s="46" t="s">
        <v>68</v>
      </c>
      <c r="W1644" s="46">
        <v>2300</v>
      </c>
      <c r="X1644" s="46">
        <v>4.99</v>
      </c>
      <c r="Y1644" s="194">
        <v>5.9340000000000002</v>
      </c>
      <c r="Z1644" s="193">
        <v>5.0279999999999996</v>
      </c>
      <c r="AA1644" s="193">
        <v>5.8369999999999997</v>
      </c>
      <c r="AB1644" s="46">
        <v>5.98</v>
      </c>
      <c r="AC1644" s="46">
        <v>6</v>
      </c>
      <c r="AD1644" s="46">
        <v>5.91</v>
      </c>
      <c r="AE1644" s="46">
        <v>5.97</v>
      </c>
    </row>
    <row r="1645" spans="1:31" x14ac:dyDescent="0.25">
      <c r="A1645" s="136">
        <v>43075</v>
      </c>
      <c r="B1645" s="201" t="s">
        <v>71</v>
      </c>
      <c r="C1645" t="s">
        <v>126</v>
      </c>
      <c r="D1645">
        <v>2800</v>
      </c>
      <c r="E1645">
        <v>2800</v>
      </c>
      <c r="F1645">
        <v>5.9390000000000001</v>
      </c>
      <c r="G1645">
        <v>1290.3800000000001</v>
      </c>
      <c r="H1645">
        <v>7.76</v>
      </c>
      <c r="I1645" s="309">
        <v>17920</v>
      </c>
      <c r="J1645">
        <v>6.4</v>
      </c>
      <c r="K1645" s="133">
        <v>3.19745511121853E-2</v>
      </c>
      <c r="L1645" s="181">
        <v>-308</v>
      </c>
      <c r="M1645" s="133">
        <v>2.96721336309274E-2</v>
      </c>
      <c r="N1645" s="73">
        <v>2864.0619999999999</v>
      </c>
      <c r="O1645" s="73">
        <v>228.52771916537799</v>
      </c>
      <c r="P1645" s="182">
        <v>2</v>
      </c>
      <c r="Q1645" s="182">
        <v>1000</v>
      </c>
      <c r="R1645" s="46">
        <v>6.45</v>
      </c>
      <c r="S1645" s="46">
        <v>2</v>
      </c>
      <c r="T1645" s="46">
        <v>900</v>
      </c>
      <c r="U1645" s="46">
        <v>6.3920000000000003</v>
      </c>
      <c r="V1645" s="46" t="s">
        <v>62</v>
      </c>
      <c r="W1645" s="46">
        <v>100</v>
      </c>
      <c r="X1645" s="46">
        <v>6.9720000000000004</v>
      </c>
      <c r="Y1645" s="194">
        <v>6.4109999999999996</v>
      </c>
      <c r="Z1645" s="194">
        <v>6.2830000000000004</v>
      </c>
      <c r="AA1645" s="194">
        <v>6.5369999999999999</v>
      </c>
      <c r="AB1645" s="46">
        <v>6.49</v>
      </c>
      <c r="AC1645" s="46">
        <v>6.5</v>
      </c>
      <c r="AD1645" s="46">
        <v>6.36</v>
      </c>
      <c r="AE1645" s="46">
        <v>6.4</v>
      </c>
    </row>
    <row r="1646" spans="1:31" x14ac:dyDescent="0.25">
      <c r="A1646" s="136">
        <v>43075</v>
      </c>
      <c r="B1646" s="201" t="s">
        <v>79</v>
      </c>
      <c r="C1646" t="s">
        <v>143</v>
      </c>
      <c r="D1646">
        <v>5500</v>
      </c>
      <c r="E1646">
        <v>5500</v>
      </c>
      <c r="F1646">
        <v>16.844999999999999</v>
      </c>
      <c r="G1646">
        <v>-8936.84</v>
      </c>
      <c r="H1646">
        <v>-9.65</v>
      </c>
      <c r="I1646" s="309">
        <v>83710</v>
      </c>
      <c r="J1646">
        <v>15.22</v>
      </c>
      <c r="K1646" s="133">
        <v>0.14936326303577199</v>
      </c>
      <c r="L1646" s="181">
        <v>495</v>
      </c>
      <c r="M1646" s="133">
        <v>0.165309214339423</v>
      </c>
      <c r="N1646" s="73">
        <v>-9653.3000000000193</v>
      </c>
      <c r="O1646" s="73">
        <v>-639.39518555334803</v>
      </c>
      <c r="P1646" s="182">
        <v>10</v>
      </c>
      <c r="Q1646" s="182">
        <v>5500</v>
      </c>
      <c r="R1646" s="46">
        <v>16.835000000000001</v>
      </c>
      <c r="S1646" s="46">
        <v>0</v>
      </c>
      <c r="T1646" s="46">
        <v>0</v>
      </c>
      <c r="U1646" s="46">
        <v>0</v>
      </c>
      <c r="V1646" s="46" t="s">
        <v>62</v>
      </c>
      <c r="W1646" s="46">
        <v>5500</v>
      </c>
      <c r="X1646" s="46">
        <v>16.835000000000001</v>
      </c>
      <c r="Y1646" s="193">
        <v>15.462</v>
      </c>
      <c r="Z1646" s="194">
        <v>15.882999999999999</v>
      </c>
      <c r="AA1646" s="194">
        <v>15.778</v>
      </c>
      <c r="AB1646" s="46">
        <v>15.07</v>
      </c>
      <c r="AC1646" s="46">
        <v>15.23</v>
      </c>
      <c r="AD1646" s="46">
        <v>15.01</v>
      </c>
      <c r="AE1646" s="46">
        <v>15.22</v>
      </c>
    </row>
    <row r="1647" spans="1:31" x14ac:dyDescent="0.25">
      <c r="A1647" s="136">
        <v>43075</v>
      </c>
      <c r="B1647" s="201" t="s">
        <v>65</v>
      </c>
      <c r="C1647" t="s">
        <v>127</v>
      </c>
      <c r="D1647">
        <v>12200</v>
      </c>
      <c r="E1647">
        <v>12200</v>
      </c>
      <c r="F1647">
        <v>10.372999999999999</v>
      </c>
      <c r="G1647">
        <v>10089.290000000001</v>
      </c>
      <c r="H1647">
        <v>7.97</v>
      </c>
      <c r="I1647" s="309">
        <v>136640</v>
      </c>
      <c r="J1647">
        <v>11.2</v>
      </c>
      <c r="K1647" s="133">
        <v>0.24380595223041299</v>
      </c>
      <c r="L1647" s="181">
        <v>244</v>
      </c>
      <c r="M1647" s="133">
        <v>0.22580369113718399</v>
      </c>
      <c r="N1647" s="73">
        <v>5928.8520000000199</v>
      </c>
      <c r="O1647" s="73">
        <v>910.37469199374596</v>
      </c>
      <c r="P1647" s="182">
        <v>4</v>
      </c>
      <c r="Q1647" s="182">
        <v>1900</v>
      </c>
      <c r="R1647" s="46">
        <v>10.896000000000001</v>
      </c>
      <c r="S1647" s="46">
        <v>15</v>
      </c>
      <c r="T1647" s="46">
        <v>6400</v>
      </c>
      <c r="U1647" s="46">
        <v>12.393000000000001</v>
      </c>
      <c r="V1647" s="46" t="s">
        <v>68</v>
      </c>
      <c r="W1647" s="46">
        <v>4500</v>
      </c>
      <c r="X1647" s="46">
        <v>13.025</v>
      </c>
      <c r="Y1647" s="194">
        <v>10.93</v>
      </c>
      <c r="Z1647" s="194">
        <v>11.398999999999999</v>
      </c>
      <c r="AA1647" s="194">
        <v>11.705</v>
      </c>
      <c r="AB1647" s="46">
        <v>11.15</v>
      </c>
      <c r="AC1647" s="46">
        <v>11.25</v>
      </c>
      <c r="AD1647" s="46">
        <v>11.06</v>
      </c>
      <c r="AE1647" s="46">
        <v>11.2</v>
      </c>
    </row>
    <row r="1648" spans="1:31" x14ac:dyDescent="0.25">
      <c r="A1648" s="136">
        <v>43075</v>
      </c>
      <c r="B1648" s="201" t="s">
        <v>77</v>
      </c>
      <c r="C1648" t="s">
        <v>128</v>
      </c>
      <c r="D1648">
        <v>5300</v>
      </c>
      <c r="E1648">
        <v>5300</v>
      </c>
      <c r="F1648">
        <v>6.0039999999999996</v>
      </c>
      <c r="G1648">
        <v>-1822.47</v>
      </c>
      <c r="H1648">
        <v>-5.73</v>
      </c>
      <c r="I1648" s="309">
        <v>29998</v>
      </c>
      <c r="J1648">
        <v>5.66</v>
      </c>
      <c r="K1648" s="133">
        <v>5.3525255818266497E-2</v>
      </c>
      <c r="L1648" s="181">
        <v>265</v>
      </c>
      <c r="M1648" s="133">
        <v>5.6777078372140598E-2</v>
      </c>
      <c r="N1648" s="73">
        <v>-2433.4140000000002</v>
      </c>
      <c r="O1648" s="73">
        <v>-342.63249875886601</v>
      </c>
      <c r="P1648" s="182">
        <v>9</v>
      </c>
      <c r="Q1648" s="182">
        <v>4500</v>
      </c>
      <c r="R1648" s="46">
        <v>6.5129999999999999</v>
      </c>
      <c r="S1648" s="46">
        <v>0</v>
      </c>
      <c r="T1648" s="46">
        <v>0</v>
      </c>
      <c r="U1648" s="46">
        <v>0</v>
      </c>
      <c r="V1648" s="46" t="s">
        <v>62</v>
      </c>
      <c r="W1648" s="46">
        <v>4500</v>
      </c>
      <c r="X1648" s="46">
        <v>6.5129999999999999</v>
      </c>
      <c r="Y1648" s="193">
        <v>5.6870000000000003</v>
      </c>
      <c r="Z1648" s="194">
        <v>6.1289999999999996</v>
      </c>
      <c r="AA1648" s="194">
        <v>6.6109999999999998</v>
      </c>
      <c r="AB1648" s="46">
        <v>5.62</v>
      </c>
      <c r="AC1648" s="46">
        <v>5.66</v>
      </c>
      <c r="AD1648" s="46">
        <v>5.58</v>
      </c>
      <c r="AE1648" s="46">
        <v>5.66</v>
      </c>
    </row>
    <row r="1649" spans="1:31" x14ac:dyDescent="0.25">
      <c r="A1649" s="136">
        <v>43075</v>
      </c>
      <c r="B1649" s="201" t="s">
        <v>67</v>
      </c>
      <c r="C1649" t="s">
        <v>129</v>
      </c>
      <c r="D1649">
        <v>11050</v>
      </c>
      <c r="E1649">
        <v>11050</v>
      </c>
      <c r="F1649">
        <v>8.6340000000000003</v>
      </c>
      <c r="G1649">
        <v>-7998.85</v>
      </c>
      <c r="H1649">
        <v>-8.3800000000000008</v>
      </c>
      <c r="I1649" s="309">
        <v>87405.5</v>
      </c>
      <c r="J1649">
        <v>7.91</v>
      </c>
      <c r="K1649" s="133">
        <v>0.15595712205558701</v>
      </c>
      <c r="L1649" s="181">
        <v>884</v>
      </c>
      <c r="M1649" s="133">
        <v>0.17022942329240101</v>
      </c>
      <c r="N1649" s="73">
        <v>44983.830999999896</v>
      </c>
      <c r="O1649" s="73">
        <v>-1149.75820927113</v>
      </c>
      <c r="P1649" s="182">
        <v>13</v>
      </c>
      <c r="Q1649" s="182">
        <v>6400</v>
      </c>
      <c r="R1649" s="46">
        <v>7.2469999999999999</v>
      </c>
      <c r="S1649" s="46">
        <v>3</v>
      </c>
      <c r="T1649" s="46">
        <v>1200</v>
      </c>
      <c r="U1649" s="46">
        <v>9.17</v>
      </c>
      <c r="V1649" s="46" t="s">
        <v>62</v>
      </c>
      <c r="W1649" s="46">
        <v>5200</v>
      </c>
      <c r="X1649" s="46">
        <v>6.8029999999999999</v>
      </c>
      <c r="Y1649" s="194">
        <v>7.5620000000000003</v>
      </c>
      <c r="Z1649" s="194">
        <v>7.3159999999999998</v>
      </c>
      <c r="AA1649" s="194">
        <v>8.7910000000000004</v>
      </c>
      <c r="AB1649" s="46">
        <v>7.81</v>
      </c>
      <c r="AC1649" s="46">
        <v>7.95</v>
      </c>
      <c r="AD1649" s="46">
        <v>7.75</v>
      </c>
      <c r="AE1649" s="46">
        <v>7.91</v>
      </c>
    </row>
    <row r="1650" spans="1:31" x14ac:dyDescent="0.25">
      <c r="A1650" s="136">
        <v>43075</v>
      </c>
      <c r="B1650" s="201" t="s">
        <v>78</v>
      </c>
      <c r="C1650" t="s">
        <v>142</v>
      </c>
      <c r="D1650">
        <v>600</v>
      </c>
      <c r="E1650">
        <v>100</v>
      </c>
      <c r="F1650">
        <v>10.680999999999999</v>
      </c>
      <c r="G1650">
        <v>-0.7</v>
      </c>
      <c r="H1650">
        <v>-0.01</v>
      </c>
      <c r="I1650" s="309">
        <v>6408</v>
      </c>
      <c r="J1650">
        <v>10.68</v>
      </c>
      <c r="K1650" s="133">
        <v>1.14337568932413E-2</v>
      </c>
      <c r="L1650" s="181">
        <v>13</v>
      </c>
      <c r="M1650" s="133">
        <v>1.1435005899144099E-2</v>
      </c>
      <c r="N1650" s="73">
        <v>-42.695999999999898</v>
      </c>
      <c r="O1650" s="73">
        <v>-4.0221161168708699</v>
      </c>
      <c r="P1650" s="182">
        <v>2</v>
      </c>
      <c r="Q1650" s="182">
        <v>1000</v>
      </c>
      <c r="R1650" s="46">
        <v>11.085000000000001</v>
      </c>
      <c r="S1650" s="46">
        <v>1</v>
      </c>
      <c r="T1650" s="46">
        <v>400</v>
      </c>
      <c r="U1650" s="46">
        <v>11.74</v>
      </c>
      <c r="V1650" s="46" t="s">
        <v>62</v>
      </c>
      <c r="W1650" s="46">
        <v>600</v>
      </c>
      <c r="X1650" s="46">
        <v>10.648</v>
      </c>
      <c r="Y1650" s="194">
        <v>10.648</v>
      </c>
      <c r="Z1650" s="194">
        <v>11.412000000000001</v>
      </c>
      <c r="AA1650" s="194">
        <v>11.425000000000001</v>
      </c>
      <c r="AB1650" s="46">
        <v>10.75</v>
      </c>
      <c r="AC1650" s="46">
        <v>10.99</v>
      </c>
      <c r="AD1650" s="46">
        <v>10.4</v>
      </c>
      <c r="AE1650" s="46">
        <v>10.68</v>
      </c>
    </row>
    <row r="1651" spans="1:31" x14ac:dyDescent="0.25">
      <c r="A1651" s="136">
        <v>43075</v>
      </c>
      <c r="B1651" s="201" t="s">
        <v>72</v>
      </c>
      <c r="C1651" t="s">
        <v>130</v>
      </c>
      <c r="D1651">
        <v>2300</v>
      </c>
      <c r="E1651">
        <v>2300</v>
      </c>
      <c r="F1651">
        <v>7.3049999999999997</v>
      </c>
      <c r="G1651">
        <v>-333.23</v>
      </c>
      <c r="H1651">
        <v>-1.98</v>
      </c>
      <c r="I1651" s="309">
        <v>16468</v>
      </c>
      <c r="J1651">
        <v>7.16</v>
      </c>
      <c r="K1651" s="133">
        <v>2.9383756010907799E-2</v>
      </c>
      <c r="L1651" s="181">
        <v>253</v>
      </c>
      <c r="M1651" s="133">
        <v>2.9978336349474399E-2</v>
      </c>
      <c r="N1651" s="73">
        <v>-278.93999999999397</v>
      </c>
      <c r="O1651" s="73">
        <v>-7.8573331043930503</v>
      </c>
      <c r="P1651" s="182">
        <v>0</v>
      </c>
      <c r="Q1651" s="182">
        <v>0</v>
      </c>
      <c r="R1651" s="46">
        <v>0</v>
      </c>
      <c r="S1651" s="46">
        <v>11</v>
      </c>
      <c r="T1651" s="46">
        <v>4600</v>
      </c>
      <c r="U1651" s="46">
        <v>8.266</v>
      </c>
      <c r="V1651" s="46" t="s">
        <v>68</v>
      </c>
      <c r="W1651" s="46">
        <v>4600</v>
      </c>
      <c r="X1651" s="46">
        <v>8.266</v>
      </c>
      <c r="Y1651" s="193">
        <v>7.17</v>
      </c>
      <c r="Z1651" s="194">
        <v>6.875</v>
      </c>
      <c r="AA1651" s="194">
        <v>6.9429999999999996</v>
      </c>
      <c r="AB1651" s="46">
        <v>7.03</v>
      </c>
      <c r="AC1651" s="46">
        <v>7.29</v>
      </c>
      <c r="AD1651" s="46">
        <v>6.96</v>
      </c>
      <c r="AE1651" s="46">
        <v>7.16</v>
      </c>
    </row>
    <row r="1652" spans="1:31" x14ac:dyDescent="0.25">
      <c r="A1652" s="136">
        <v>43075</v>
      </c>
      <c r="B1652" s="201" t="s">
        <v>70</v>
      </c>
      <c r="C1652" t="s">
        <v>131</v>
      </c>
      <c r="D1652">
        <v>11100</v>
      </c>
      <c r="E1652">
        <v>10600</v>
      </c>
      <c r="F1652">
        <v>12.154</v>
      </c>
      <c r="G1652">
        <v>-16135.48</v>
      </c>
      <c r="H1652">
        <v>-11.96</v>
      </c>
      <c r="I1652" s="309">
        <v>118770</v>
      </c>
      <c r="J1652">
        <v>10.7</v>
      </c>
      <c r="K1652" s="133">
        <v>0.21192061582557201</v>
      </c>
      <c r="L1652" s="181">
        <v>605</v>
      </c>
      <c r="M1652" s="133">
        <v>0.24071105834675799</v>
      </c>
      <c r="N1652" s="73">
        <v>-17910.47</v>
      </c>
      <c r="O1652" s="73">
        <v>-1698.43593595826</v>
      </c>
      <c r="P1652" s="182">
        <v>3</v>
      </c>
      <c r="Q1652" s="182">
        <v>1500</v>
      </c>
      <c r="R1652" s="46">
        <v>10.773</v>
      </c>
      <c r="S1652" s="46">
        <v>4</v>
      </c>
      <c r="T1652" s="46">
        <v>1600</v>
      </c>
      <c r="U1652" s="46">
        <v>13.497999999999999</v>
      </c>
      <c r="V1652" s="46" t="s">
        <v>68</v>
      </c>
      <c r="W1652" s="46">
        <v>100</v>
      </c>
      <c r="X1652" s="46">
        <v>54.372999999999998</v>
      </c>
      <c r="Y1652" s="194">
        <v>10.420999999999999</v>
      </c>
      <c r="Z1652" s="194">
        <v>12.259</v>
      </c>
      <c r="AA1652" s="194">
        <v>12.362</v>
      </c>
      <c r="AB1652" s="46">
        <v>10.65</v>
      </c>
      <c r="AC1652" s="46">
        <v>10.71</v>
      </c>
      <c r="AD1652" s="46">
        <v>10.47</v>
      </c>
      <c r="AE1652" s="46">
        <v>10.7</v>
      </c>
    </row>
    <row r="1653" spans="1:31" x14ac:dyDescent="0.25">
      <c r="A1653" s="136">
        <v>43075</v>
      </c>
      <c r="B1653" s="201" t="s">
        <v>137</v>
      </c>
      <c r="C1653" t="s">
        <v>138</v>
      </c>
      <c r="D1653">
        <v>100</v>
      </c>
      <c r="E1653">
        <v>100</v>
      </c>
      <c r="F1653">
        <v>-130.48500000000001</v>
      </c>
      <c r="G1653">
        <v>16458.5</v>
      </c>
      <c r="H1653">
        <v>0</v>
      </c>
      <c r="I1653" s="309">
        <v>3410</v>
      </c>
      <c r="J1653">
        <v>34.1</v>
      </c>
      <c r="K1653" s="133">
        <v>6.0844430408790199E-3</v>
      </c>
      <c r="L1653" s="181">
        <v>149</v>
      </c>
      <c r="M1653" s="133">
        <v>0</v>
      </c>
    </row>
    <row r="1654" spans="1:31" x14ac:dyDescent="0.25">
      <c r="A1654" s="136">
        <v>43075</v>
      </c>
      <c r="B1654" s="201" t="s">
        <v>835</v>
      </c>
      <c r="C1654" t="s">
        <v>839</v>
      </c>
      <c r="I1654" s="309">
        <v>40899.25</v>
      </c>
      <c r="K1654" s="133">
        <v>7.2976292387000305E-2</v>
      </c>
      <c r="L1654" s="181">
        <v>0</v>
      </c>
      <c r="M1654" s="133">
        <v>7.3449058964159097E-2</v>
      </c>
    </row>
    <row r="1655" spans="1:31" x14ac:dyDescent="0.25">
      <c r="A1655" s="136">
        <v>43076</v>
      </c>
      <c r="B1655" s="201" t="s">
        <v>132</v>
      </c>
      <c r="C1655" t="s">
        <v>123</v>
      </c>
      <c r="D1655">
        <v>26498</v>
      </c>
      <c r="E1655">
        <v>26498</v>
      </c>
      <c r="F1655">
        <v>-9.2999999999999999E-2</v>
      </c>
      <c r="G1655">
        <v>2729.2939999999999</v>
      </c>
      <c r="H1655">
        <v>0</v>
      </c>
      <c r="I1655" s="309">
        <v>264.98</v>
      </c>
      <c r="J1655">
        <v>0.01</v>
      </c>
      <c r="K1655" s="133">
        <v>4.7488414326934503E-4</v>
      </c>
      <c r="L1655" s="181">
        <v>0.205999999999676</v>
      </c>
      <c r="M1655" s="133">
        <v>0</v>
      </c>
    </row>
    <row r="1656" spans="1:31" x14ac:dyDescent="0.25">
      <c r="A1656" s="136">
        <v>43076</v>
      </c>
      <c r="B1656" s="201" t="s">
        <v>61</v>
      </c>
      <c r="C1656" t="s">
        <v>136</v>
      </c>
      <c r="D1656">
        <v>3500</v>
      </c>
      <c r="E1656">
        <v>3500</v>
      </c>
      <c r="F1656">
        <v>5.3070000000000004</v>
      </c>
      <c r="G1656">
        <v>-583.52</v>
      </c>
      <c r="H1656">
        <v>-3.15</v>
      </c>
      <c r="I1656" s="309">
        <v>17990</v>
      </c>
      <c r="J1656">
        <v>5.14</v>
      </c>
      <c r="K1656" s="133">
        <v>3.2240794540778599E-2</v>
      </c>
      <c r="L1656" s="181">
        <v>35</v>
      </c>
      <c r="M1656" s="133">
        <v>3.3286550429074101E-2</v>
      </c>
      <c r="N1656" s="73">
        <v>-587.26800000000003</v>
      </c>
      <c r="O1656" s="73">
        <v>-114.19734747081699</v>
      </c>
      <c r="P1656" s="182">
        <v>6</v>
      </c>
      <c r="Q1656" s="182">
        <v>3000</v>
      </c>
      <c r="R1656" s="46">
        <v>5.31</v>
      </c>
      <c r="S1656" s="46">
        <v>0</v>
      </c>
      <c r="T1656" s="46">
        <v>0</v>
      </c>
      <c r="U1656" s="46">
        <v>0</v>
      </c>
      <c r="V1656" s="46" t="s">
        <v>62</v>
      </c>
      <c r="W1656" s="46">
        <v>3000</v>
      </c>
      <c r="X1656" s="46">
        <v>5.31</v>
      </c>
      <c r="Y1656" s="193">
        <v>5.1589999999999998</v>
      </c>
      <c r="Z1656" s="194">
        <v>5.0970000000000004</v>
      </c>
      <c r="AA1656" s="194">
        <v>5.1710000000000003</v>
      </c>
      <c r="AB1656" s="46">
        <v>5.13</v>
      </c>
      <c r="AC1656" s="46">
        <v>5.16</v>
      </c>
      <c r="AD1656" s="46">
        <v>5.0999999999999996</v>
      </c>
      <c r="AE1656" s="46">
        <v>5.14</v>
      </c>
    </row>
    <row r="1657" spans="1:31" x14ac:dyDescent="0.25">
      <c r="A1657" s="136">
        <v>43076</v>
      </c>
      <c r="B1657" s="201" t="s">
        <v>124</v>
      </c>
      <c r="C1657" t="s">
        <v>125</v>
      </c>
      <c r="D1657">
        <v>100</v>
      </c>
      <c r="E1657">
        <v>100</v>
      </c>
      <c r="F1657">
        <v>-53.579000000000001</v>
      </c>
      <c r="G1657">
        <v>5947.9</v>
      </c>
      <c r="H1657">
        <v>0</v>
      </c>
      <c r="I1657" s="309">
        <v>590</v>
      </c>
      <c r="J1657">
        <v>5.9</v>
      </c>
      <c r="K1657" s="133">
        <v>1.0573690260733399E-3</v>
      </c>
      <c r="L1657" s="181">
        <v>-7</v>
      </c>
      <c r="M1657" s="133">
        <v>0</v>
      </c>
      <c r="N1657" s="73">
        <v>5995.0890000000099</v>
      </c>
      <c r="O1657" s="73">
        <v>1102.4501845505599</v>
      </c>
      <c r="P1657" s="182">
        <v>0</v>
      </c>
      <c r="Q1657" s="182">
        <v>0</v>
      </c>
      <c r="R1657" s="46">
        <v>0</v>
      </c>
      <c r="S1657" s="46">
        <v>5</v>
      </c>
      <c r="T1657" s="46">
        <v>2300</v>
      </c>
      <c r="U1657" s="46">
        <v>4.99</v>
      </c>
      <c r="V1657" s="46" t="s">
        <v>68</v>
      </c>
      <c r="W1657" s="46">
        <v>2300</v>
      </c>
      <c r="X1657" s="46">
        <v>4.99</v>
      </c>
      <c r="Y1657" s="194">
        <v>5.88</v>
      </c>
      <c r="Z1657" s="193">
        <v>4.8339999999999996</v>
      </c>
      <c r="AA1657" s="193">
        <v>5.8369999999999997</v>
      </c>
      <c r="AB1657" s="46">
        <v>5.94</v>
      </c>
      <c r="AC1657" s="46">
        <v>5.96</v>
      </c>
      <c r="AD1657" s="46">
        <v>5.85</v>
      </c>
      <c r="AE1657" s="46">
        <v>5.9</v>
      </c>
    </row>
    <row r="1658" spans="1:31" x14ac:dyDescent="0.25">
      <c r="A1658" s="136">
        <v>43076</v>
      </c>
      <c r="B1658" s="201" t="s">
        <v>71</v>
      </c>
      <c r="C1658" t="s">
        <v>126</v>
      </c>
      <c r="D1658">
        <v>2800</v>
      </c>
      <c r="E1658">
        <v>2800</v>
      </c>
      <c r="F1658">
        <v>5.9390000000000001</v>
      </c>
      <c r="G1658">
        <v>1290.3800000000001</v>
      </c>
      <c r="H1658">
        <v>7.76</v>
      </c>
      <c r="I1658" s="309">
        <v>17920</v>
      </c>
      <c r="J1658">
        <v>6.4</v>
      </c>
      <c r="K1658" s="133">
        <v>3.2115343978363103E-2</v>
      </c>
      <c r="L1658" s="181">
        <v>0</v>
      </c>
      <c r="M1658" s="133">
        <v>2.9802788310796201E-2</v>
      </c>
      <c r="N1658" s="73">
        <v>2864.0619999999999</v>
      </c>
      <c r="O1658" s="73">
        <v>228.52771916537799</v>
      </c>
      <c r="P1658" s="182">
        <v>2</v>
      </c>
      <c r="Q1658" s="182">
        <v>1000</v>
      </c>
      <c r="R1658" s="46">
        <v>6.45</v>
      </c>
      <c r="S1658" s="46">
        <v>2</v>
      </c>
      <c r="T1658" s="46">
        <v>900</v>
      </c>
      <c r="U1658" s="46">
        <v>6.3920000000000003</v>
      </c>
      <c r="V1658" s="46" t="s">
        <v>62</v>
      </c>
      <c r="W1658" s="46">
        <v>100</v>
      </c>
      <c r="X1658" s="46">
        <v>6.9720000000000004</v>
      </c>
      <c r="Y1658" s="194">
        <v>6.3289999999999997</v>
      </c>
      <c r="Z1658" s="194">
        <v>6.2839999999999998</v>
      </c>
      <c r="AA1658" s="194">
        <v>6.5359999999999996</v>
      </c>
      <c r="AB1658" s="46">
        <v>6.39</v>
      </c>
      <c r="AC1658" s="46">
        <v>6.41</v>
      </c>
      <c r="AD1658" s="46">
        <v>6.33</v>
      </c>
      <c r="AE1658" s="46">
        <v>6.4</v>
      </c>
    </row>
    <row r="1659" spans="1:31" x14ac:dyDescent="0.25">
      <c r="A1659" s="136">
        <v>43076</v>
      </c>
      <c r="B1659" s="201" t="s">
        <v>79</v>
      </c>
      <c r="C1659" t="s">
        <v>143</v>
      </c>
      <c r="D1659">
        <v>5500</v>
      </c>
      <c r="E1659">
        <v>5500</v>
      </c>
      <c r="F1659">
        <v>16.844999999999999</v>
      </c>
      <c r="G1659">
        <v>-9321.84</v>
      </c>
      <c r="H1659">
        <v>-10.06</v>
      </c>
      <c r="I1659" s="309">
        <v>83325</v>
      </c>
      <c r="J1659">
        <v>15.15</v>
      </c>
      <c r="K1659" s="133">
        <v>0.149330973046714</v>
      </c>
      <c r="L1659" s="181">
        <v>-385</v>
      </c>
      <c r="M1659" s="133">
        <v>0.16603711691452999</v>
      </c>
      <c r="N1659" s="73">
        <v>-9653.3000000000193</v>
      </c>
      <c r="O1659" s="73">
        <v>-639.39518555334803</v>
      </c>
      <c r="P1659" s="182">
        <v>10</v>
      </c>
      <c r="Q1659" s="182">
        <v>5500</v>
      </c>
      <c r="R1659" s="46">
        <v>16.835000000000001</v>
      </c>
      <c r="S1659" s="46">
        <v>0</v>
      </c>
      <c r="T1659" s="46">
        <v>0</v>
      </c>
      <c r="U1659" s="46">
        <v>0</v>
      </c>
      <c r="V1659" s="46" t="s">
        <v>62</v>
      </c>
      <c r="W1659" s="46">
        <v>5500</v>
      </c>
      <c r="X1659" s="46">
        <v>16.835000000000001</v>
      </c>
      <c r="Y1659" s="194">
        <v>15.058999999999999</v>
      </c>
      <c r="Z1659" s="194">
        <v>15.827999999999999</v>
      </c>
      <c r="AA1659" s="194">
        <v>15.757999999999999</v>
      </c>
      <c r="AB1659" s="46">
        <v>15.19</v>
      </c>
      <c r="AC1659" s="46">
        <v>15.29</v>
      </c>
      <c r="AD1659" s="46">
        <v>15.09</v>
      </c>
      <c r="AE1659" s="46">
        <v>15.15</v>
      </c>
    </row>
    <row r="1660" spans="1:31" x14ac:dyDescent="0.25">
      <c r="A1660" s="136">
        <v>43076</v>
      </c>
      <c r="B1660" s="201" t="s">
        <v>65</v>
      </c>
      <c r="C1660" t="s">
        <v>127</v>
      </c>
      <c r="D1660">
        <v>12200</v>
      </c>
      <c r="E1660">
        <v>12200</v>
      </c>
      <c r="F1660">
        <v>10.372999999999999</v>
      </c>
      <c r="G1660">
        <v>10089.290000000001</v>
      </c>
      <c r="H1660">
        <v>7.97</v>
      </c>
      <c r="I1660" s="309">
        <v>136640</v>
      </c>
      <c r="J1660">
        <v>11.2</v>
      </c>
      <c r="K1660" s="133">
        <v>0.244879497835019</v>
      </c>
      <c r="L1660" s="181">
        <v>0</v>
      </c>
      <c r="M1660" s="133">
        <v>0.22679796776540601</v>
      </c>
      <c r="N1660" s="73">
        <v>5928.8520000000199</v>
      </c>
      <c r="O1660" s="73">
        <v>910.37469199374596</v>
      </c>
      <c r="P1660" s="182">
        <v>4</v>
      </c>
      <c r="Q1660" s="182">
        <v>1900</v>
      </c>
      <c r="R1660" s="46">
        <v>10.896000000000001</v>
      </c>
      <c r="S1660" s="46">
        <v>15</v>
      </c>
      <c r="T1660" s="46">
        <v>6400</v>
      </c>
      <c r="U1660" s="46">
        <v>12.393000000000001</v>
      </c>
      <c r="V1660" s="46" t="s">
        <v>68</v>
      </c>
      <c r="W1660" s="46">
        <v>4500</v>
      </c>
      <c r="X1660" s="46">
        <v>13.025</v>
      </c>
      <c r="Y1660" s="193">
        <v>11.366</v>
      </c>
      <c r="Z1660" s="194">
        <v>11.398999999999999</v>
      </c>
      <c r="AA1660" s="194">
        <v>11.702</v>
      </c>
      <c r="AB1660" s="46">
        <v>11.18</v>
      </c>
      <c r="AC1660" s="46">
        <v>11.36</v>
      </c>
      <c r="AD1660" s="46">
        <v>11.14</v>
      </c>
      <c r="AE1660" s="46">
        <v>11.2</v>
      </c>
    </row>
    <row r="1661" spans="1:31" x14ac:dyDescent="0.25">
      <c r="A1661" s="136">
        <v>43076</v>
      </c>
      <c r="B1661" s="201" t="s">
        <v>77</v>
      </c>
      <c r="C1661" t="s">
        <v>128</v>
      </c>
      <c r="D1661">
        <v>5800</v>
      </c>
      <c r="E1661">
        <v>5300</v>
      </c>
      <c r="F1661">
        <v>5.96</v>
      </c>
      <c r="G1661">
        <v>-2607.4699999999998</v>
      </c>
      <c r="H1661">
        <v>-7.55</v>
      </c>
      <c r="I1661" s="309">
        <v>31958</v>
      </c>
      <c r="J1661">
        <v>5.51</v>
      </c>
      <c r="K1661" s="133">
        <v>5.7273558195342099E-2</v>
      </c>
      <c r="L1661" s="181">
        <v>-785</v>
      </c>
      <c r="M1661" s="133">
        <v>6.1946537880791998E-2</v>
      </c>
      <c r="N1661" s="73">
        <v>-3286.4140000000002</v>
      </c>
      <c r="O1661" s="73">
        <v>-508.21547317518298</v>
      </c>
      <c r="P1661" s="182">
        <v>10</v>
      </c>
      <c r="Q1661" s="182">
        <v>5000</v>
      </c>
      <c r="R1661" s="46">
        <v>6.41</v>
      </c>
      <c r="S1661" s="46">
        <v>0</v>
      </c>
      <c r="T1661" s="46">
        <v>0</v>
      </c>
      <c r="U1661" s="46">
        <v>0</v>
      </c>
      <c r="V1661" s="46" t="s">
        <v>62</v>
      </c>
      <c r="W1661" s="46">
        <v>5000</v>
      </c>
      <c r="X1661" s="46">
        <v>6.41</v>
      </c>
      <c r="Y1661" s="194">
        <v>5.51</v>
      </c>
      <c r="Z1661" s="194">
        <v>6.0449999999999999</v>
      </c>
      <c r="AA1661" s="194">
        <v>6.58</v>
      </c>
      <c r="AB1661" s="46">
        <v>5.65</v>
      </c>
      <c r="AC1661" s="46">
        <v>5.66</v>
      </c>
      <c r="AD1661" s="46">
        <v>5.42</v>
      </c>
      <c r="AE1661" s="46">
        <v>5.51</v>
      </c>
    </row>
    <row r="1662" spans="1:31" x14ac:dyDescent="0.25">
      <c r="A1662" s="136">
        <v>43076</v>
      </c>
      <c r="B1662" s="201" t="s">
        <v>67</v>
      </c>
      <c r="C1662" t="s">
        <v>129</v>
      </c>
      <c r="D1662">
        <v>11050</v>
      </c>
      <c r="E1662">
        <v>11050</v>
      </c>
      <c r="F1662">
        <v>8.6340000000000003</v>
      </c>
      <c r="G1662">
        <v>-9103.85</v>
      </c>
      <c r="H1662">
        <v>-9.5399999999999991</v>
      </c>
      <c r="I1662" s="309">
        <v>86300.5</v>
      </c>
      <c r="J1662">
        <v>7.81</v>
      </c>
      <c r="K1662" s="133">
        <v>0.15466351802481701</v>
      </c>
      <c r="L1662" s="181">
        <v>-1105</v>
      </c>
      <c r="M1662" s="133">
        <v>0.17097899091976301</v>
      </c>
      <c r="N1662" s="73">
        <v>44983.830999999896</v>
      </c>
      <c r="O1662" s="73">
        <v>-1149.75820927113</v>
      </c>
      <c r="P1662" s="182">
        <v>13</v>
      </c>
      <c r="Q1662" s="182">
        <v>6400</v>
      </c>
      <c r="R1662" s="46">
        <v>7.2469999999999999</v>
      </c>
      <c r="S1662" s="46">
        <v>3</v>
      </c>
      <c r="T1662" s="46">
        <v>1200</v>
      </c>
      <c r="U1662" s="46">
        <v>9.17</v>
      </c>
      <c r="V1662" s="46" t="s">
        <v>62</v>
      </c>
      <c r="W1662" s="46">
        <v>5200</v>
      </c>
      <c r="X1662" s="46">
        <v>6.8029999999999999</v>
      </c>
      <c r="Y1662" s="194">
        <v>7.7919999999999998</v>
      </c>
      <c r="Z1662" s="194">
        <v>7.3360000000000003</v>
      </c>
      <c r="AA1662" s="194">
        <v>8.7850000000000001</v>
      </c>
      <c r="AB1662" s="46">
        <v>7.91</v>
      </c>
      <c r="AC1662" s="46">
        <v>7.94</v>
      </c>
      <c r="AD1662" s="46">
        <v>7.79</v>
      </c>
      <c r="AE1662" s="46">
        <v>7.81</v>
      </c>
    </row>
    <row r="1663" spans="1:31" x14ac:dyDescent="0.25">
      <c r="A1663" s="136">
        <v>43076</v>
      </c>
      <c r="B1663" s="201" t="s">
        <v>78</v>
      </c>
      <c r="C1663" t="s">
        <v>142</v>
      </c>
      <c r="D1663">
        <v>600</v>
      </c>
      <c r="E1663">
        <v>600</v>
      </c>
      <c r="F1663">
        <v>10.680999999999999</v>
      </c>
      <c r="G1663">
        <v>-120.7</v>
      </c>
      <c r="H1663">
        <v>-1.88</v>
      </c>
      <c r="I1663" s="309">
        <v>6288</v>
      </c>
      <c r="J1663">
        <v>10.48</v>
      </c>
      <c r="K1663" s="133">
        <v>1.1269044806693501E-2</v>
      </c>
      <c r="L1663" s="181">
        <v>-120</v>
      </c>
      <c r="M1663" s="133">
        <v>1.1485357419315599E-2</v>
      </c>
      <c r="N1663" s="73">
        <v>-42.695999999999898</v>
      </c>
      <c r="O1663" s="73">
        <v>-4.0221161168708699</v>
      </c>
      <c r="P1663" s="182">
        <v>2</v>
      </c>
      <c r="Q1663" s="182">
        <v>1000</v>
      </c>
      <c r="R1663" s="46">
        <v>11.085000000000001</v>
      </c>
      <c r="S1663" s="46">
        <v>1</v>
      </c>
      <c r="T1663" s="46">
        <v>400</v>
      </c>
      <c r="U1663" s="46">
        <v>11.74</v>
      </c>
      <c r="V1663" s="46" t="s">
        <v>62</v>
      </c>
      <c r="W1663" s="46">
        <v>600</v>
      </c>
      <c r="X1663" s="46">
        <v>10.648</v>
      </c>
      <c r="Y1663" s="194">
        <v>10.534000000000001</v>
      </c>
      <c r="Z1663" s="194">
        <v>11.375999999999999</v>
      </c>
      <c r="AA1663" s="194">
        <v>11.385</v>
      </c>
      <c r="AB1663" s="46">
        <v>10.66</v>
      </c>
      <c r="AC1663" s="46">
        <v>10.66</v>
      </c>
      <c r="AD1663" s="46">
        <v>10.48</v>
      </c>
      <c r="AE1663" s="46">
        <v>10.48</v>
      </c>
    </row>
    <row r="1664" spans="1:31" x14ac:dyDescent="0.25">
      <c r="A1664" s="136">
        <v>43076</v>
      </c>
      <c r="B1664" s="201" t="s">
        <v>72</v>
      </c>
      <c r="C1664" t="s">
        <v>130</v>
      </c>
      <c r="D1664">
        <v>2300</v>
      </c>
      <c r="E1664">
        <v>2300</v>
      </c>
      <c r="F1664">
        <v>7.3049999999999997</v>
      </c>
      <c r="G1664">
        <v>-149.22999999999999</v>
      </c>
      <c r="H1664">
        <v>-0.89</v>
      </c>
      <c r="I1664" s="309">
        <v>16652</v>
      </c>
      <c r="J1664">
        <v>7.24</v>
      </c>
      <c r="K1664" s="133">
        <v>2.9842896647751301E-2</v>
      </c>
      <c r="L1664" s="181">
        <v>184</v>
      </c>
      <c r="M1664" s="133">
        <v>3.0110339325312201E-2</v>
      </c>
      <c r="N1664" s="73">
        <v>-278.93999999999397</v>
      </c>
      <c r="O1664" s="73">
        <v>-7.8573331043930503</v>
      </c>
      <c r="P1664" s="182">
        <v>0</v>
      </c>
      <c r="Q1664" s="182">
        <v>0</v>
      </c>
      <c r="R1664" s="46">
        <v>0</v>
      </c>
      <c r="S1664" s="46">
        <v>11</v>
      </c>
      <c r="T1664" s="46">
        <v>4600</v>
      </c>
      <c r="U1664" s="46">
        <v>8.266</v>
      </c>
      <c r="V1664" s="46" t="s">
        <v>68</v>
      </c>
      <c r="W1664" s="46">
        <v>4600</v>
      </c>
      <c r="X1664" s="46">
        <v>8.266</v>
      </c>
      <c r="Y1664" s="194">
        <v>7.1669999999999998</v>
      </c>
      <c r="Z1664" s="194">
        <v>6.9260000000000002</v>
      </c>
      <c r="AA1664" s="194">
        <v>6.9690000000000003</v>
      </c>
      <c r="AB1664" s="46">
        <v>7.11</v>
      </c>
      <c r="AC1664" s="46">
        <v>7.25</v>
      </c>
      <c r="AD1664" s="46">
        <v>7.11</v>
      </c>
      <c r="AE1664" s="46">
        <v>7.24</v>
      </c>
    </row>
    <row r="1665" spans="1:31" x14ac:dyDescent="0.25">
      <c r="A1665" s="136">
        <v>43076</v>
      </c>
      <c r="B1665" s="201" t="s">
        <v>70</v>
      </c>
      <c r="C1665" t="s">
        <v>131</v>
      </c>
      <c r="D1665">
        <v>11100</v>
      </c>
      <c r="E1665">
        <v>11100</v>
      </c>
      <c r="F1665">
        <v>12.154</v>
      </c>
      <c r="G1665">
        <v>-16579.48</v>
      </c>
      <c r="H1665">
        <v>-12.29</v>
      </c>
      <c r="I1665" s="309">
        <v>118326</v>
      </c>
      <c r="J1665">
        <v>10.66</v>
      </c>
      <c r="K1665" s="133">
        <v>0.21205804640534601</v>
      </c>
      <c r="L1665" s="181">
        <v>-444</v>
      </c>
      <c r="M1665" s="133">
        <v>0.24177097627043501</v>
      </c>
      <c r="N1665" s="73">
        <v>-17910.47</v>
      </c>
      <c r="O1665" s="73">
        <v>-1698.43593595826</v>
      </c>
      <c r="P1665" s="182">
        <v>3</v>
      </c>
      <c r="Q1665" s="182">
        <v>1500</v>
      </c>
      <c r="R1665" s="46">
        <v>10.773</v>
      </c>
      <c r="S1665" s="46">
        <v>4</v>
      </c>
      <c r="T1665" s="46">
        <v>1600</v>
      </c>
      <c r="U1665" s="46">
        <v>13.497999999999999</v>
      </c>
      <c r="V1665" s="46" t="s">
        <v>68</v>
      </c>
      <c r="W1665" s="46">
        <v>100</v>
      </c>
      <c r="X1665" s="46">
        <v>54.372999999999998</v>
      </c>
      <c r="Y1665" s="194">
        <v>10.590999999999999</v>
      </c>
      <c r="Z1665" s="194">
        <v>12.255000000000001</v>
      </c>
      <c r="AA1665" s="194">
        <v>12.353</v>
      </c>
      <c r="AB1665" s="46">
        <v>10.7</v>
      </c>
      <c r="AC1665" s="46">
        <v>10.75</v>
      </c>
      <c r="AD1665" s="46">
        <v>10.62</v>
      </c>
      <c r="AE1665" s="46">
        <v>10.66</v>
      </c>
    </row>
    <row r="1666" spans="1:31" x14ac:dyDescent="0.25">
      <c r="A1666" s="136">
        <v>43076</v>
      </c>
      <c r="B1666" s="201" t="s">
        <v>137</v>
      </c>
      <c r="C1666" t="s">
        <v>138</v>
      </c>
      <c r="D1666">
        <v>100</v>
      </c>
      <c r="E1666">
        <v>100</v>
      </c>
      <c r="F1666">
        <v>-130.48500000000001</v>
      </c>
      <c r="G1666">
        <v>16628.5</v>
      </c>
      <c r="H1666">
        <v>0</v>
      </c>
      <c r="I1666" s="309">
        <v>3580</v>
      </c>
      <c r="J1666">
        <v>35.799999999999997</v>
      </c>
      <c r="K1666" s="133">
        <v>6.4159001921060303E-3</v>
      </c>
      <c r="L1666" s="181">
        <v>170</v>
      </c>
      <c r="M1666" s="133">
        <v>0</v>
      </c>
    </row>
    <row r="1667" spans="1:31" x14ac:dyDescent="0.25">
      <c r="A1667" s="136">
        <v>43076</v>
      </c>
      <c r="B1667" s="201" t="s">
        <v>835</v>
      </c>
      <c r="C1667" t="s">
        <v>839</v>
      </c>
      <c r="I1667" s="309">
        <v>38154.25</v>
      </c>
      <c r="K1667" s="133">
        <v>6.8378173157726693E-2</v>
      </c>
      <c r="L1667" s="181">
        <v>0</v>
      </c>
      <c r="M1667" s="133">
        <v>6.8853057300996001E-2</v>
      </c>
    </row>
    <row r="1668" spans="1:31" x14ac:dyDescent="0.25">
      <c r="A1668" s="136">
        <v>43077</v>
      </c>
      <c r="B1668" s="201" t="s">
        <v>132</v>
      </c>
      <c r="C1668" t="s">
        <v>123</v>
      </c>
      <c r="D1668">
        <v>26500</v>
      </c>
      <c r="E1668">
        <v>26500</v>
      </c>
      <c r="F1668">
        <v>-9.2999999999999999E-2</v>
      </c>
      <c r="G1668">
        <v>2729.5</v>
      </c>
      <c r="H1668">
        <v>0</v>
      </c>
      <c r="I1668" s="309">
        <v>265</v>
      </c>
      <c r="J1668">
        <v>0.01</v>
      </c>
      <c r="K1668" s="133">
        <v>4.7091815605936299E-4</v>
      </c>
      <c r="L1668" s="181">
        <v>0.20600000000013099</v>
      </c>
      <c r="M1668" s="133">
        <v>0</v>
      </c>
    </row>
    <row r="1669" spans="1:31" x14ac:dyDescent="0.25">
      <c r="A1669" s="136">
        <v>43077</v>
      </c>
      <c r="B1669" s="201" t="s">
        <v>61</v>
      </c>
      <c r="C1669" t="s">
        <v>136</v>
      </c>
      <c r="D1669">
        <v>3500</v>
      </c>
      <c r="E1669">
        <v>3500</v>
      </c>
      <c r="F1669">
        <v>5.3070000000000004</v>
      </c>
      <c r="G1669">
        <v>-478.52</v>
      </c>
      <c r="H1669">
        <v>-2.58</v>
      </c>
      <c r="I1669" s="309">
        <v>18095</v>
      </c>
      <c r="J1669">
        <v>5.17</v>
      </c>
      <c r="K1669" s="133">
        <v>3.2155713335449698E-2</v>
      </c>
      <c r="L1669" s="181">
        <v>105</v>
      </c>
      <c r="M1669" s="133">
        <v>3.3006067131817703E-2</v>
      </c>
      <c r="N1669" s="73">
        <v>-587.26800000000003</v>
      </c>
      <c r="O1669" s="73">
        <v>-114.19734747081699</v>
      </c>
      <c r="P1669" s="182">
        <v>6</v>
      </c>
      <c r="Q1669" s="182">
        <v>3000</v>
      </c>
      <c r="R1669" s="46">
        <v>5.31</v>
      </c>
      <c r="S1669" s="46">
        <v>0</v>
      </c>
      <c r="T1669" s="46">
        <v>0</v>
      </c>
      <c r="U1669" s="46">
        <v>0</v>
      </c>
      <c r="V1669" s="46" t="s">
        <v>62</v>
      </c>
      <c r="W1669" s="46">
        <v>3000</v>
      </c>
      <c r="X1669" s="46">
        <v>5.31</v>
      </c>
      <c r="Y1669" s="193">
        <v>5.1749999999999998</v>
      </c>
      <c r="Z1669" s="194">
        <v>5.069</v>
      </c>
      <c r="AA1669" s="194">
        <v>5.1689999999999996</v>
      </c>
      <c r="AB1669" s="46">
        <v>5.14</v>
      </c>
      <c r="AC1669" s="46">
        <v>5.17</v>
      </c>
      <c r="AD1669" s="46">
        <v>5.12</v>
      </c>
      <c r="AE1669" s="46">
        <v>5.17</v>
      </c>
    </row>
    <row r="1670" spans="1:31" x14ac:dyDescent="0.25">
      <c r="A1670" s="136">
        <v>43077</v>
      </c>
      <c r="B1670" s="201" t="s">
        <v>124</v>
      </c>
      <c r="C1670" t="s">
        <v>125</v>
      </c>
      <c r="D1670">
        <v>100</v>
      </c>
      <c r="E1670">
        <v>100</v>
      </c>
      <c r="F1670">
        <v>-53.579000000000001</v>
      </c>
      <c r="G1670">
        <v>5945.9</v>
      </c>
      <c r="H1670">
        <v>0</v>
      </c>
      <c r="I1670" s="309">
        <v>588</v>
      </c>
      <c r="J1670">
        <v>5.88</v>
      </c>
      <c r="K1670" s="133">
        <v>1.0449051915581301E-3</v>
      </c>
      <c r="L1670" s="181">
        <v>-2</v>
      </c>
      <c r="M1670" s="133">
        <v>0</v>
      </c>
      <c r="N1670" s="73">
        <v>5995.0890000000099</v>
      </c>
      <c r="O1670" s="73">
        <v>1102.4501845505599</v>
      </c>
      <c r="P1670" s="182">
        <v>0</v>
      </c>
      <c r="Q1670" s="182">
        <v>0</v>
      </c>
      <c r="R1670" s="46">
        <v>0</v>
      </c>
      <c r="S1670" s="46">
        <v>5</v>
      </c>
      <c r="T1670" s="46">
        <v>2300</v>
      </c>
      <c r="U1670" s="46">
        <v>4.99</v>
      </c>
      <c r="V1670" s="46" t="s">
        <v>68</v>
      </c>
      <c r="W1670" s="46">
        <v>2300</v>
      </c>
      <c r="X1670" s="46">
        <v>4.99</v>
      </c>
      <c r="Y1670" s="194">
        <v>5.8559999999999999</v>
      </c>
      <c r="Z1670" s="193">
        <v>4.7119999999999997</v>
      </c>
      <c r="AA1670" s="193">
        <v>5.8369999999999997</v>
      </c>
      <c r="AB1670" s="46">
        <v>5.88</v>
      </c>
      <c r="AC1670" s="46">
        <v>5.9</v>
      </c>
      <c r="AD1670" s="46">
        <v>5.86</v>
      </c>
      <c r="AE1670" s="46">
        <v>5.88</v>
      </c>
    </row>
    <row r="1671" spans="1:31" x14ac:dyDescent="0.25">
      <c r="A1671" s="136">
        <v>43077</v>
      </c>
      <c r="B1671" s="201" t="s">
        <v>71</v>
      </c>
      <c r="C1671" t="s">
        <v>126</v>
      </c>
      <c r="D1671">
        <v>2800</v>
      </c>
      <c r="E1671">
        <v>2800</v>
      </c>
      <c r="F1671">
        <v>5.9390000000000001</v>
      </c>
      <c r="G1671">
        <v>1150.3800000000001</v>
      </c>
      <c r="H1671">
        <v>6.92</v>
      </c>
      <c r="I1671" s="309">
        <v>17780</v>
      </c>
      <c r="J1671">
        <v>6.35</v>
      </c>
      <c r="K1671" s="133">
        <v>3.1595942697115E-2</v>
      </c>
      <c r="L1671" s="181">
        <v>-140</v>
      </c>
      <c r="M1671" s="133">
        <v>2.95516603259166E-2</v>
      </c>
      <c r="N1671" s="73">
        <v>2864.0619999999999</v>
      </c>
      <c r="O1671" s="73">
        <v>228.52771916537799</v>
      </c>
      <c r="P1671" s="182">
        <v>2</v>
      </c>
      <c r="Q1671" s="182">
        <v>1000</v>
      </c>
      <c r="R1671" s="46">
        <v>6.45</v>
      </c>
      <c r="S1671" s="46">
        <v>2</v>
      </c>
      <c r="T1671" s="46">
        <v>900</v>
      </c>
      <c r="U1671" s="46">
        <v>6.3920000000000003</v>
      </c>
      <c r="V1671" s="46" t="s">
        <v>62</v>
      </c>
      <c r="W1671" s="46">
        <v>100</v>
      </c>
      <c r="X1671" s="46">
        <v>6.9720000000000004</v>
      </c>
      <c r="Y1671" s="194">
        <v>6.3250000000000002</v>
      </c>
      <c r="Z1671" s="194">
        <v>6.2859999999999996</v>
      </c>
      <c r="AA1671" s="194">
        <v>6.5339999999999998</v>
      </c>
      <c r="AB1671" s="46">
        <v>6.38</v>
      </c>
      <c r="AC1671" s="46">
        <v>6.39</v>
      </c>
      <c r="AD1671" s="46">
        <v>6.31</v>
      </c>
      <c r="AE1671" s="46">
        <v>6.35</v>
      </c>
    </row>
    <row r="1672" spans="1:31" x14ac:dyDescent="0.25">
      <c r="A1672" s="136">
        <v>43077</v>
      </c>
      <c r="B1672" s="201" t="s">
        <v>79</v>
      </c>
      <c r="C1672" t="s">
        <v>143</v>
      </c>
      <c r="D1672">
        <v>5500</v>
      </c>
      <c r="E1672">
        <v>5100</v>
      </c>
      <c r="F1672">
        <v>16.844999999999999</v>
      </c>
      <c r="G1672">
        <v>-8276.84</v>
      </c>
      <c r="H1672">
        <v>-8.93</v>
      </c>
      <c r="I1672" s="309">
        <v>84370</v>
      </c>
      <c r="J1672">
        <v>15.34</v>
      </c>
      <c r="K1672" s="133">
        <v>0.149929678591428</v>
      </c>
      <c r="L1672" s="181">
        <v>1045</v>
      </c>
      <c r="M1672" s="133">
        <v>0.164638034179346</v>
      </c>
      <c r="N1672" s="73">
        <v>-9653.3000000000193</v>
      </c>
      <c r="O1672" s="73">
        <v>-639.39518555334803</v>
      </c>
      <c r="P1672" s="182">
        <v>10</v>
      </c>
      <c r="Q1672" s="182">
        <v>5500</v>
      </c>
      <c r="R1672" s="46">
        <v>16.835000000000001</v>
      </c>
      <c r="S1672" s="46">
        <v>0</v>
      </c>
      <c r="T1672" s="46">
        <v>0</v>
      </c>
      <c r="U1672" s="46">
        <v>0</v>
      </c>
      <c r="V1672" s="46" t="s">
        <v>62</v>
      </c>
      <c r="W1672" s="46">
        <v>5500</v>
      </c>
      <c r="X1672" s="46">
        <v>16.835000000000001</v>
      </c>
      <c r="Y1672" s="193">
        <v>15.34</v>
      </c>
      <c r="Z1672" s="194">
        <v>15.879</v>
      </c>
      <c r="AA1672" s="194">
        <v>15.712</v>
      </c>
      <c r="AB1672" s="46">
        <v>15.12</v>
      </c>
      <c r="AC1672" s="46">
        <v>15.41</v>
      </c>
      <c r="AD1672" s="46">
        <v>15.12</v>
      </c>
      <c r="AE1672" s="46">
        <v>15.34</v>
      </c>
    </row>
    <row r="1673" spans="1:31" x14ac:dyDescent="0.25">
      <c r="A1673" s="136">
        <v>43077</v>
      </c>
      <c r="B1673" s="201" t="s">
        <v>65</v>
      </c>
      <c r="C1673" t="s">
        <v>127</v>
      </c>
      <c r="D1673">
        <v>12200</v>
      </c>
      <c r="E1673">
        <v>12200</v>
      </c>
      <c r="F1673">
        <v>10.372999999999999</v>
      </c>
      <c r="G1673">
        <v>9723.2900000000009</v>
      </c>
      <c r="H1673">
        <v>7.68</v>
      </c>
      <c r="I1673" s="309">
        <v>136274</v>
      </c>
      <c r="J1673">
        <v>11.17</v>
      </c>
      <c r="K1673" s="133">
        <v>0.24216566339182499</v>
      </c>
      <c r="L1673" s="181">
        <v>-366</v>
      </c>
      <c r="M1673" s="133">
        <v>0.22488689434416301</v>
      </c>
      <c r="N1673" s="73">
        <v>5928.8520000000199</v>
      </c>
      <c r="O1673" s="73">
        <v>910.37469199374596</v>
      </c>
      <c r="P1673" s="182">
        <v>4</v>
      </c>
      <c r="Q1673" s="182">
        <v>1900</v>
      </c>
      <c r="R1673" s="46">
        <v>10.896000000000001</v>
      </c>
      <c r="S1673" s="46">
        <v>15</v>
      </c>
      <c r="T1673" s="46">
        <v>6400</v>
      </c>
      <c r="U1673" s="46">
        <v>12.393000000000001</v>
      </c>
      <c r="V1673" s="46" t="s">
        <v>68</v>
      </c>
      <c r="W1673" s="46">
        <v>4500</v>
      </c>
      <c r="X1673" s="46">
        <v>13.025</v>
      </c>
      <c r="Y1673" s="194">
        <v>11.074999999999999</v>
      </c>
      <c r="Z1673" s="194">
        <v>11.391999999999999</v>
      </c>
      <c r="AA1673" s="194">
        <v>11.699</v>
      </c>
      <c r="AB1673" s="46">
        <v>11.17</v>
      </c>
      <c r="AC1673" s="46">
        <v>11.23</v>
      </c>
      <c r="AD1673" s="46">
        <v>11.08</v>
      </c>
      <c r="AE1673" s="46">
        <v>11.17</v>
      </c>
    </row>
    <row r="1674" spans="1:31" x14ac:dyDescent="0.25">
      <c r="A1674" s="136">
        <v>43077</v>
      </c>
      <c r="B1674" s="201" t="s">
        <v>77</v>
      </c>
      <c r="C1674" t="s">
        <v>128</v>
      </c>
      <c r="D1674">
        <v>5800</v>
      </c>
      <c r="E1674">
        <v>5800</v>
      </c>
      <c r="F1674">
        <v>5.96</v>
      </c>
      <c r="G1674">
        <v>-1215.47</v>
      </c>
      <c r="H1674">
        <v>-3.52</v>
      </c>
      <c r="I1674" s="309">
        <v>33350</v>
      </c>
      <c r="J1674">
        <v>5.75</v>
      </c>
      <c r="K1674" s="133">
        <v>5.9264605677659399E-2</v>
      </c>
      <c r="L1674" s="181">
        <v>1392</v>
      </c>
      <c r="M1674" s="133">
        <v>6.1424556210283802E-2</v>
      </c>
      <c r="N1674" s="73">
        <v>-3286.4140000000002</v>
      </c>
      <c r="O1674" s="73">
        <v>-508.21547317518298</v>
      </c>
      <c r="P1674" s="182">
        <v>10</v>
      </c>
      <c r="Q1674" s="182">
        <v>5000</v>
      </c>
      <c r="R1674" s="46">
        <v>6.41</v>
      </c>
      <c r="S1674" s="46">
        <v>0</v>
      </c>
      <c r="T1674" s="46">
        <v>0</v>
      </c>
      <c r="U1674" s="46">
        <v>0</v>
      </c>
      <c r="V1674" s="46" t="s">
        <v>62</v>
      </c>
      <c r="W1674" s="46">
        <v>5000</v>
      </c>
      <c r="X1674" s="46">
        <v>6.41</v>
      </c>
      <c r="Y1674" s="193">
        <v>5.6820000000000004</v>
      </c>
      <c r="Z1674" s="194">
        <v>6.0869999999999997</v>
      </c>
      <c r="AA1674" s="194">
        <v>6.5629999999999997</v>
      </c>
      <c r="AB1674" s="46">
        <v>5.5</v>
      </c>
      <c r="AC1674" s="46">
        <v>5.75</v>
      </c>
      <c r="AD1674" s="46">
        <v>5.46</v>
      </c>
      <c r="AE1674" s="46">
        <v>5.75</v>
      </c>
    </row>
    <row r="1675" spans="1:31" x14ac:dyDescent="0.25">
      <c r="A1675" s="136">
        <v>43077</v>
      </c>
      <c r="B1675" s="201" t="s">
        <v>67</v>
      </c>
      <c r="C1675" t="s">
        <v>129</v>
      </c>
      <c r="D1675">
        <v>11050</v>
      </c>
      <c r="E1675">
        <v>11050</v>
      </c>
      <c r="F1675">
        <v>8.6340000000000003</v>
      </c>
      <c r="G1675">
        <v>-8219.85</v>
      </c>
      <c r="H1675">
        <v>-8.6199999999999992</v>
      </c>
      <c r="I1675" s="309">
        <v>87184.5</v>
      </c>
      <c r="J1675">
        <v>7.89</v>
      </c>
      <c r="K1675" s="133">
        <v>0.15493118481870799</v>
      </c>
      <c r="L1675" s="181">
        <v>884</v>
      </c>
      <c r="M1675" s="133">
        <v>0.16953826634732799</v>
      </c>
      <c r="N1675" s="73">
        <v>44983.830999999896</v>
      </c>
      <c r="O1675" s="73">
        <v>-1149.75820927113</v>
      </c>
      <c r="P1675" s="182">
        <v>13</v>
      </c>
      <c r="Q1675" s="182">
        <v>6400</v>
      </c>
      <c r="R1675" s="46">
        <v>7.2469999999999999</v>
      </c>
      <c r="S1675" s="46">
        <v>3</v>
      </c>
      <c r="T1675" s="46">
        <v>1200</v>
      </c>
      <c r="U1675" s="46">
        <v>9.17</v>
      </c>
      <c r="V1675" s="46" t="s">
        <v>62</v>
      </c>
      <c r="W1675" s="46">
        <v>5200</v>
      </c>
      <c r="X1675" s="46">
        <v>6.8029999999999999</v>
      </c>
      <c r="Y1675" s="193">
        <v>8.5660000000000007</v>
      </c>
      <c r="Z1675" s="194">
        <v>7.3330000000000002</v>
      </c>
      <c r="AA1675" s="194">
        <v>8.7799999999999994</v>
      </c>
      <c r="AB1675" s="46">
        <v>7.82</v>
      </c>
      <c r="AC1675" s="46">
        <v>7.92</v>
      </c>
      <c r="AD1675" s="46">
        <v>7.8</v>
      </c>
      <c r="AE1675" s="46">
        <v>7.89</v>
      </c>
    </row>
    <row r="1676" spans="1:31" x14ac:dyDescent="0.25">
      <c r="A1676" s="136">
        <v>43077</v>
      </c>
      <c r="B1676" s="201" t="s">
        <v>78</v>
      </c>
      <c r="C1676" t="s">
        <v>142</v>
      </c>
      <c r="D1676">
        <v>600</v>
      </c>
      <c r="E1676">
        <v>600</v>
      </c>
      <c r="F1676">
        <v>10.680999999999999</v>
      </c>
      <c r="G1676">
        <v>-36.700000000000003</v>
      </c>
      <c r="H1676">
        <v>-0.56999999999999995</v>
      </c>
      <c r="I1676" s="309">
        <v>6372</v>
      </c>
      <c r="J1676">
        <v>10.62</v>
      </c>
      <c r="K1676" s="133">
        <v>1.1323360341170799E-2</v>
      </c>
      <c r="L1676" s="181">
        <v>84</v>
      </c>
      <c r="M1676" s="133">
        <v>1.13885780631609E-2</v>
      </c>
      <c r="N1676" s="73">
        <v>-42.695999999999898</v>
      </c>
      <c r="O1676" s="73">
        <v>-4.0221161168708699</v>
      </c>
      <c r="P1676" s="182">
        <v>2</v>
      </c>
      <c r="Q1676" s="182">
        <v>1000</v>
      </c>
      <c r="R1676" s="46">
        <v>11.085000000000001</v>
      </c>
      <c r="S1676" s="46">
        <v>1</v>
      </c>
      <c r="T1676" s="46">
        <v>400</v>
      </c>
      <c r="U1676" s="46">
        <v>11.74</v>
      </c>
      <c r="V1676" s="46" t="s">
        <v>62</v>
      </c>
      <c r="W1676" s="46">
        <v>600</v>
      </c>
      <c r="X1676" s="46">
        <v>10.648</v>
      </c>
      <c r="Y1676" s="193">
        <v>10.622999999999999</v>
      </c>
      <c r="Z1676" s="194">
        <v>11.429</v>
      </c>
      <c r="AA1676" s="194">
        <v>11.359</v>
      </c>
      <c r="AB1676" s="46">
        <v>10.55</v>
      </c>
      <c r="AC1676" s="46">
        <v>10.66</v>
      </c>
      <c r="AD1676" s="46">
        <v>10.51</v>
      </c>
      <c r="AE1676" s="46">
        <v>10.62</v>
      </c>
    </row>
    <row r="1677" spans="1:31" x14ac:dyDescent="0.25">
      <c r="A1677" s="136">
        <v>43077</v>
      </c>
      <c r="B1677" s="201" t="s">
        <v>72</v>
      </c>
      <c r="C1677" t="s">
        <v>130</v>
      </c>
      <c r="D1677">
        <v>1900</v>
      </c>
      <c r="E1677">
        <v>1900</v>
      </c>
      <c r="F1677">
        <v>7.2930000000000001</v>
      </c>
      <c r="G1677">
        <v>12.82</v>
      </c>
      <c r="H1677">
        <v>0.1</v>
      </c>
      <c r="I1677" s="309">
        <v>13870</v>
      </c>
      <c r="J1677">
        <v>7.3</v>
      </c>
      <c r="K1677" s="133">
        <v>2.4647678583182502E-2</v>
      </c>
      <c r="L1677" s="181">
        <v>162.05000000000001</v>
      </c>
      <c r="M1677" s="133">
        <v>2.4624896806727099E-2</v>
      </c>
      <c r="N1677" s="73">
        <v>-56.891999999993502</v>
      </c>
      <c r="O1677" s="73">
        <v>22.321895799460599</v>
      </c>
      <c r="P1677" s="182">
        <v>0</v>
      </c>
      <c r="Q1677" s="182">
        <v>0</v>
      </c>
      <c r="R1677" s="46">
        <v>0</v>
      </c>
      <c r="S1677" s="46">
        <v>12</v>
      </c>
      <c r="T1677" s="46">
        <v>5000</v>
      </c>
      <c r="U1677" s="46">
        <v>8.1950000000000003</v>
      </c>
      <c r="V1677" s="46" t="s">
        <v>68</v>
      </c>
      <c r="W1677" s="46">
        <v>5000</v>
      </c>
      <c r="X1677" s="46">
        <v>8.1950000000000003</v>
      </c>
      <c r="Y1677" s="194">
        <v>7.319</v>
      </c>
      <c r="Z1677" s="194">
        <v>6.9809999999999999</v>
      </c>
      <c r="AA1677" s="194">
        <v>6.9960000000000004</v>
      </c>
      <c r="AB1677" s="46">
        <v>7.3</v>
      </c>
      <c r="AC1677" s="46">
        <v>7.4</v>
      </c>
      <c r="AD1677" s="46">
        <v>7.29</v>
      </c>
      <c r="AE1677" s="46">
        <v>7.3</v>
      </c>
    </row>
    <row r="1678" spans="1:31" x14ac:dyDescent="0.25">
      <c r="A1678" s="136">
        <v>43077</v>
      </c>
      <c r="B1678" s="201" t="s">
        <v>70</v>
      </c>
      <c r="C1678" t="s">
        <v>131</v>
      </c>
      <c r="D1678">
        <v>10700</v>
      </c>
      <c r="E1678">
        <v>10700</v>
      </c>
      <c r="F1678">
        <v>12.205</v>
      </c>
      <c r="G1678">
        <v>-15038.8</v>
      </c>
      <c r="H1678">
        <v>-11.51</v>
      </c>
      <c r="I1678" s="309">
        <v>115560</v>
      </c>
      <c r="J1678">
        <v>10.8</v>
      </c>
      <c r="K1678" s="133">
        <v>0.20535585703479201</v>
      </c>
      <c r="L1678" s="181">
        <v>1540.68</v>
      </c>
      <c r="M1678" s="133">
        <v>0.23208055124364299</v>
      </c>
      <c r="N1678" s="73">
        <v>-15144.7860000001</v>
      </c>
      <c r="O1678" s="73">
        <v>-1402.89282734013</v>
      </c>
      <c r="P1678" s="182">
        <v>2</v>
      </c>
      <c r="Q1678" s="182">
        <v>1000</v>
      </c>
      <c r="R1678" s="46">
        <v>10.89</v>
      </c>
      <c r="S1678" s="46">
        <v>4</v>
      </c>
      <c r="T1678" s="46">
        <v>1600</v>
      </c>
      <c r="U1678" s="46">
        <v>13.497999999999999</v>
      </c>
      <c r="V1678" s="46" t="s">
        <v>68</v>
      </c>
      <c r="W1678" s="46">
        <v>600</v>
      </c>
      <c r="X1678" s="46">
        <v>17.844999999999999</v>
      </c>
      <c r="Y1678" s="193">
        <v>10.824</v>
      </c>
      <c r="Z1678" s="194">
        <v>12.285</v>
      </c>
      <c r="AA1678" s="194">
        <v>12.339</v>
      </c>
      <c r="AB1678" s="46">
        <v>10.63</v>
      </c>
      <c r="AC1678" s="46">
        <v>10.84</v>
      </c>
      <c r="AD1678" s="46">
        <v>10.63</v>
      </c>
      <c r="AE1678" s="46">
        <v>10.8</v>
      </c>
    </row>
    <row r="1679" spans="1:31" x14ac:dyDescent="0.25">
      <c r="A1679" s="136">
        <v>43077</v>
      </c>
      <c r="B1679" s="201" t="s">
        <v>137</v>
      </c>
      <c r="C1679" t="s">
        <v>138</v>
      </c>
      <c r="D1679">
        <v>100</v>
      </c>
      <c r="E1679">
        <v>100</v>
      </c>
      <c r="F1679">
        <v>-130.48500000000001</v>
      </c>
      <c r="G1679">
        <v>16665.5</v>
      </c>
      <c r="H1679">
        <v>0</v>
      </c>
      <c r="I1679" s="309">
        <v>3617</v>
      </c>
      <c r="J1679">
        <v>36.17</v>
      </c>
      <c r="K1679" s="133">
        <v>6.4275885677989204E-3</v>
      </c>
      <c r="L1679" s="181">
        <v>37</v>
      </c>
      <c r="M1679" s="133">
        <v>0</v>
      </c>
    </row>
    <row r="1680" spans="1:31" x14ac:dyDescent="0.25">
      <c r="A1680" s="136">
        <v>43077</v>
      </c>
      <c r="B1680" s="201" t="s">
        <v>835</v>
      </c>
      <c r="C1680" t="s">
        <v>839</v>
      </c>
      <c r="I1680" s="309">
        <v>45404.98</v>
      </c>
      <c r="K1680" s="133">
        <v>8.0686903613253702E-2</v>
      </c>
      <c r="L1680" s="181">
        <v>0</v>
      </c>
      <c r="M1680" s="133">
        <v>8.1157821769313104E-2</v>
      </c>
    </row>
    <row r="1681" spans="1:31" x14ac:dyDescent="0.25">
      <c r="A1681" s="136">
        <v>43080</v>
      </c>
      <c r="B1681" s="201" t="s">
        <v>132</v>
      </c>
      <c r="C1681" t="s">
        <v>123</v>
      </c>
      <c r="D1681">
        <v>26503</v>
      </c>
      <c r="E1681">
        <v>26503</v>
      </c>
      <c r="F1681">
        <v>-9.2999999999999999E-2</v>
      </c>
      <c r="G1681">
        <v>2729.8090000000002</v>
      </c>
      <c r="H1681">
        <v>0</v>
      </c>
      <c r="I1681" s="309">
        <v>265.02999999999997</v>
      </c>
      <c r="J1681">
        <v>0.01</v>
      </c>
      <c r="K1681" s="133">
        <v>4.6780497268407602E-4</v>
      </c>
      <c r="L1681" s="181">
        <v>0.30900000000019601</v>
      </c>
      <c r="M1681" s="133">
        <v>0</v>
      </c>
    </row>
    <row r="1682" spans="1:31" x14ac:dyDescent="0.25">
      <c r="A1682" s="136">
        <v>43080</v>
      </c>
      <c r="B1682" s="201" t="s">
        <v>61</v>
      </c>
      <c r="C1682" t="s">
        <v>136</v>
      </c>
      <c r="D1682">
        <v>3500</v>
      </c>
      <c r="E1682">
        <v>3500</v>
      </c>
      <c r="F1682">
        <v>5.3070000000000004</v>
      </c>
      <c r="G1682">
        <v>-443.52</v>
      </c>
      <c r="H1682">
        <v>-2.39</v>
      </c>
      <c r="I1682" s="309">
        <v>18130</v>
      </c>
      <c r="J1682">
        <v>5.18</v>
      </c>
      <c r="K1682" s="133">
        <v>3.2001298550210597E-2</v>
      </c>
      <c r="L1682" s="181">
        <v>35</v>
      </c>
      <c r="M1682" s="133">
        <v>3.2784156571886797E-2</v>
      </c>
      <c r="N1682" s="73">
        <v>-587.26800000000003</v>
      </c>
      <c r="O1682" s="73">
        <v>-114.19734747081699</v>
      </c>
      <c r="P1682" s="182">
        <v>6</v>
      </c>
      <c r="Q1682" s="182">
        <v>3000</v>
      </c>
      <c r="R1682" s="46">
        <v>5.31</v>
      </c>
      <c r="S1682" s="46">
        <v>0</v>
      </c>
      <c r="T1682" s="46">
        <v>0</v>
      </c>
      <c r="U1682" s="46">
        <v>0</v>
      </c>
      <c r="V1682" s="46" t="s">
        <v>62</v>
      </c>
      <c r="W1682" s="46">
        <v>3000</v>
      </c>
      <c r="X1682" s="46">
        <v>5.31</v>
      </c>
      <c r="Y1682" s="193">
        <v>5.2590000000000003</v>
      </c>
      <c r="Z1682" s="194">
        <v>5.0579999999999998</v>
      </c>
      <c r="AA1682" s="194">
        <v>5.1689999999999996</v>
      </c>
      <c r="AB1682" s="46">
        <v>5.17</v>
      </c>
      <c r="AC1682" s="46">
        <v>5.18</v>
      </c>
      <c r="AD1682" s="46">
        <v>5.14</v>
      </c>
      <c r="AE1682" s="46">
        <v>5.18</v>
      </c>
    </row>
    <row r="1683" spans="1:31" x14ac:dyDescent="0.25">
      <c r="A1683" s="136">
        <v>43080</v>
      </c>
      <c r="B1683" s="201" t="s">
        <v>124</v>
      </c>
      <c r="C1683" t="s">
        <v>125</v>
      </c>
      <c r="D1683">
        <v>100</v>
      </c>
      <c r="E1683">
        <v>100</v>
      </c>
      <c r="F1683">
        <v>-53.579000000000001</v>
      </c>
      <c r="G1683">
        <v>5946.9</v>
      </c>
      <c r="H1683">
        <v>0</v>
      </c>
      <c r="I1683" s="309">
        <v>589</v>
      </c>
      <c r="J1683">
        <v>5.89</v>
      </c>
      <c r="K1683" s="133">
        <v>1.03964505494065E-3</v>
      </c>
      <c r="L1683" s="181">
        <v>1</v>
      </c>
      <c r="M1683" s="133">
        <v>0</v>
      </c>
      <c r="N1683" s="73">
        <v>5995.0890000000099</v>
      </c>
      <c r="O1683" s="73">
        <v>1102.4501845505599</v>
      </c>
      <c r="P1683" s="182">
        <v>0</v>
      </c>
      <c r="Q1683" s="182">
        <v>0</v>
      </c>
      <c r="R1683" s="46">
        <v>0</v>
      </c>
      <c r="S1683" s="46">
        <v>5</v>
      </c>
      <c r="T1683" s="46">
        <v>2300</v>
      </c>
      <c r="U1683" s="46">
        <v>4.99</v>
      </c>
      <c r="V1683" s="46" t="s">
        <v>68</v>
      </c>
      <c r="W1683" s="46">
        <v>2300</v>
      </c>
      <c r="X1683" s="46">
        <v>4.99</v>
      </c>
      <c r="Y1683" s="194">
        <v>5.7130000000000001</v>
      </c>
      <c r="Z1683" s="193">
        <v>4.6890000000000001</v>
      </c>
      <c r="AA1683" s="193">
        <v>5.8380000000000001</v>
      </c>
      <c r="AB1683" s="46">
        <v>5.88</v>
      </c>
      <c r="AC1683" s="46">
        <v>5.89</v>
      </c>
      <c r="AD1683" s="46">
        <v>5.82</v>
      </c>
      <c r="AE1683" s="46">
        <v>5.89</v>
      </c>
    </row>
    <row r="1684" spans="1:31" x14ac:dyDescent="0.25">
      <c r="A1684" s="136">
        <v>43080</v>
      </c>
      <c r="B1684" s="201" t="s">
        <v>71</v>
      </c>
      <c r="C1684" t="s">
        <v>126</v>
      </c>
      <c r="D1684">
        <v>2800</v>
      </c>
      <c r="E1684">
        <v>2800</v>
      </c>
      <c r="F1684">
        <v>5.9390000000000001</v>
      </c>
      <c r="G1684">
        <v>1178.3800000000001</v>
      </c>
      <c r="H1684">
        <v>7.09</v>
      </c>
      <c r="I1684" s="309">
        <v>17808</v>
      </c>
      <c r="J1684">
        <v>6.36</v>
      </c>
      <c r="K1684" s="133">
        <v>3.1432935718816897E-2</v>
      </c>
      <c r="L1684" s="181">
        <v>28</v>
      </c>
      <c r="M1684" s="133">
        <v>2.9352974870190399E-2</v>
      </c>
      <c r="N1684" s="73">
        <v>2864.0619999999999</v>
      </c>
      <c r="O1684" s="73">
        <v>228.52771916537799</v>
      </c>
      <c r="P1684" s="182">
        <v>2</v>
      </c>
      <c r="Q1684" s="182">
        <v>1000</v>
      </c>
      <c r="R1684" s="46">
        <v>6.45</v>
      </c>
      <c r="S1684" s="46">
        <v>2</v>
      </c>
      <c r="T1684" s="46">
        <v>900</v>
      </c>
      <c r="U1684" s="46">
        <v>6.3920000000000003</v>
      </c>
      <c r="V1684" s="46" t="s">
        <v>62</v>
      </c>
      <c r="W1684" s="46">
        <v>100</v>
      </c>
      <c r="X1684" s="46">
        <v>6.9720000000000004</v>
      </c>
      <c r="Y1684" s="193">
        <v>10.013</v>
      </c>
      <c r="Z1684" s="194">
        <v>6.2839999999999998</v>
      </c>
      <c r="AA1684" s="194">
        <v>6.532</v>
      </c>
      <c r="AB1684" s="46">
        <v>6.33</v>
      </c>
      <c r="AC1684" s="46">
        <v>6.39</v>
      </c>
      <c r="AD1684" s="46">
        <v>6.27</v>
      </c>
      <c r="AE1684" s="46">
        <v>6.36</v>
      </c>
    </row>
    <row r="1685" spans="1:31" x14ac:dyDescent="0.25">
      <c r="A1685" s="136">
        <v>43080</v>
      </c>
      <c r="B1685" s="201" t="s">
        <v>79</v>
      </c>
      <c r="C1685" t="s">
        <v>143</v>
      </c>
      <c r="D1685">
        <v>5100</v>
      </c>
      <c r="E1685">
        <v>5100</v>
      </c>
      <c r="F1685">
        <v>16.952999999999999</v>
      </c>
      <c r="G1685">
        <v>-7612.16</v>
      </c>
      <c r="H1685">
        <v>-8.81</v>
      </c>
      <c r="I1685" s="309">
        <v>78846</v>
      </c>
      <c r="J1685">
        <v>15.46</v>
      </c>
      <c r="K1685" s="133">
        <v>0.13917122920517899</v>
      </c>
      <c r="L1685" s="181">
        <v>664.68</v>
      </c>
      <c r="M1685" s="133">
        <v>0.15260746774748299</v>
      </c>
      <c r="N1685" s="73">
        <v>-7409.7400000000198</v>
      </c>
      <c r="O1685" s="73">
        <v>-477.808718064517</v>
      </c>
      <c r="P1685" s="182">
        <v>9</v>
      </c>
      <c r="Q1685" s="182">
        <v>5000</v>
      </c>
      <c r="R1685" s="46">
        <v>16.971</v>
      </c>
      <c r="S1685" s="46">
        <v>0</v>
      </c>
      <c r="T1685" s="46">
        <v>0</v>
      </c>
      <c r="U1685" s="46">
        <v>0</v>
      </c>
      <c r="V1685" s="46" t="s">
        <v>62</v>
      </c>
      <c r="W1685" s="46">
        <v>5000</v>
      </c>
      <c r="X1685" s="46">
        <v>16.971</v>
      </c>
      <c r="Y1685" s="193">
        <v>15.579000000000001</v>
      </c>
      <c r="Z1685" s="194">
        <v>15.9</v>
      </c>
      <c r="AA1685" s="194">
        <v>15.698</v>
      </c>
      <c r="AB1685" s="46">
        <v>15.35</v>
      </c>
      <c r="AC1685" s="46">
        <v>15.52</v>
      </c>
      <c r="AD1685" s="46">
        <v>15.23</v>
      </c>
      <c r="AE1685" s="46">
        <v>15.46</v>
      </c>
    </row>
    <row r="1686" spans="1:31" x14ac:dyDescent="0.25">
      <c r="A1686" s="136">
        <v>43080</v>
      </c>
      <c r="B1686" s="201" t="s">
        <v>65</v>
      </c>
      <c r="C1686" t="s">
        <v>127</v>
      </c>
      <c r="D1686">
        <v>12200</v>
      </c>
      <c r="E1686">
        <v>12200</v>
      </c>
      <c r="F1686">
        <v>10.372999999999999</v>
      </c>
      <c r="G1686">
        <v>10089.290000000001</v>
      </c>
      <c r="H1686">
        <v>7.97</v>
      </c>
      <c r="I1686" s="309">
        <v>136640</v>
      </c>
      <c r="J1686">
        <v>11.2</v>
      </c>
      <c r="K1686" s="133">
        <v>0.24118353193054401</v>
      </c>
      <c r="L1686" s="181">
        <v>366</v>
      </c>
      <c r="M1686" s="133">
        <v>0.22337490636796001</v>
      </c>
      <c r="N1686" s="73">
        <v>5928.8520000000199</v>
      </c>
      <c r="O1686" s="73">
        <v>910.37469199374596</v>
      </c>
      <c r="P1686" s="182">
        <v>4</v>
      </c>
      <c r="Q1686" s="182">
        <v>1900</v>
      </c>
      <c r="R1686" s="46">
        <v>10.896000000000001</v>
      </c>
      <c r="S1686" s="46">
        <v>15</v>
      </c>
      <c r="T1686" s="46">
        <v>6400</v>
      </c>
      <c r="U1686" s="46">
        <v>12.393000000000001</v>
      </c>
      <c r="V1686" s="46" t="s">
        <v>68</v>
      </c>
      <c r="W1686" s="46">
        <v>4500</v>
      </c>
      <c r="X1686" s="46">
        <v>13.025</v>
      </c>
      <c r="Y1686" s="193">
        <v>11.259</v>
      </c>
      <c r="Z1686" s="194">
        <v>11.394</v>
      </c>
      <c r="AA1686" s="194">
        <v>11.695</v>
      </c>
      <c r="AB1686" s="46">
        <v>11.17</v>
      </c>
      <c r="AC1686" s="46">
        <v>11.2</v>
      </c>
      <c r="AD1686" s="46">
        <v>11.09</v>
      </c>
      <c r="AE1686" s="46">
        <v>11.2</v>
      </c>
    </row>
    <row r="1687" spans="1:31" x14ac:dyDescent="0.25">
      <c r="A1687" s="136">
        <v>43080</v>
      </c>
      <c r="B1687" s="201" t="s">
        <v>77</v>
      </c>
      <c r="C1687" t="s">
        <v>128</v>
      </c>
      <c r="D1687">
        <v>5400</v>
      </c>
      <c r="E1687">
        <v>5400</v>
      </c>
      <c r="F1687">
        <v>5.9820000000000002</v>
      </c>
      <c r="G1687">
        <v>-1520.74</v>
      </c>
      <c r="H1687">
        <v>-4.71</v>
      </c>
      <c r="I1687" s="309">
        <v>30780</v>
      </c>
      <c r="J1687">
        <v>5.7</v>
      </c>
      <c r="K1687" s="133">
        <v>5.4329838354963099E-2</v>
      </c>
      <c r="L1687" s="181">
        <v>-305.27</v>
      </c>
      <c r="M1687" s="133">
        <v>5.7014099510906101E-2</v>
      </c>
      <c r="N1687" s="73">
        <v>-2133.6860000000102</v>
      </c>
      <c r="O1687" s="73">
        <v>-287.47696426056399</v>
      </c>
      <c r="P1687" s="182">
        <v>9</v>
      </c>
      <c r="Q1687" s="182">
        <v>4500</v>
      </c>
      <c r="R1687" s="46">
        <v>6.4960000000000004</v>
      </c>
      <c r="S1687" s="46">
        <v>0</v>
      </c>
      <c r="T1687" s="46">
        <v>0</v>
      </c>
      <c r="U1687" s="46">
        <v>0</v>
      </c>
      <c r="V1687" s="46" t="s">
        <v>62</v>
      </c>
      <c r="W1687" s="46">
        <v>4500</v>
      </c>
      <c r="X1687" s="46">
        <v>6.4960000000000004</v>
      </c>
      <c r="Y1687" s="193">
        <v>5.7720000000000002</v>
      </c>
      <c r="Z1687" s="194">
        <v>6.1040000000000001</v>
      </c>
      <c r="AA1687" s="194">
        <v>6.548</v>
      </c>
      <c r="AB1687" s="46">
        <v>5.64</v>
      </c>
      <c r="AC1687" s="46">
        <v>5.74</v>
      </c>
      <c r="AD1687" s="46">
        <v>5.62</v>
      </c>
      <c r="AE1687" s="46">
        <v>5.7</v>
      </c>
    </row>
    <row r="1688" spans="1:31" x14ac:dyDescent="0.25">
      <c r="A1688" s="136">
        <v>43080</v>
      </c>
      <c r="B1688" s="201" t="s">
        <v>67</v>
      </c>
      <c r="C1688" t="s">
        <v>129</v>
      </c>
      <c r="D1688">
        <v>10250</v>
      </c>
      <c r="E1688">
        <v>10250</v>
      </c>
      <c r="F1688">
        <v>8.6839999999999993</v>
      </c>
      <c r="G1688">
        <v>-6496.26</v>
      </c>
      <c r="H1688">
        <v>-7.3</v>
      </c>
      <c r="I1688" s="309">
        <v>82512.5</v>
      </c>
      <c r="J1688">
        <v>8.0500000000000007</v>
      </c>
      <c r="K1688" s="133">
        <v>0.14564297554463601</v>
      </c>
      <c r="L1688" s="181">
        <v>1723.59</v>
      </c>
      <c r="M1688" s="133">
        <v>0.157109536808827</v>
      </c>
      <c r="N1688" s="73">
        <v>45556.186999999998</v>
      </c>
      <c r="O1688" s="73">
        <v>-806.86580627332103</v>
      </c>
      <c r="P1688" s="182">
        <v>12</v>
      </c>
      <c r="Q1688" s="182">
        <v>6000</v>
      </c>
      <c r="R1688" s="46">
        <v>7.1980000000000004</v>
      </c>
      <c r="S1688" s="46">
        <v>4</v>
      </c>
      <c r="T1688" s="46">
        <v>1600</v>
      </c>
      <c r="U1688" s="46">
        <v>8.89</v>
      </c>
      <c r="V1688" s="46" t="s">
        <v>62</v>
      </c>
      <c r="W1688" s="46">
        <v>4400</v>
      </c>
      <c r="X1688" s="46">
        <v>6.5830000000000002</v>
      </c>
      <c r="Y1688" s="193">
        <v>8.2040000000000006</v>
      </c>
      <c r="Z1688" s="194">
        <v>7.3120000000000003</v>
      </c>
      <c r="AA1688" s="194">
        <v>8.7729999999999997</v>
      </c>
      <c r="AB1688" s="46">
        <v>7.88</v>
      </c>
      <c r="AC1688" s="46">
        <v>8.0500000000000007</v>
      </c>
      <c r="AD1688" s="46">
        <v>7.86</v>
      </c>
      <c r="AE1688" s="46">
        <v>8.0500000000000007</v>
      </c>
    </row>
    <row r="1689" spans="1:31" x14ac:dyDescent="0.25">
      <c r="A1689" s="136">
        <v>43080</v>
      </c>
      <c r="B1689" s="201" t="s">
        <v>78</v>
      </c>
      <c r="C1689" t="s">
        <v>142</v>
      </c>
      <c r="D1689">
        <v>600</v>
      </c>
      <c r="E1689">
        <v>600</v>
      </c>
      <c r="F1689">
        <v>10.680999999999999</v>
      </c>
      <c r="G1689">
        <v>17.3</v>
      </c>
      <c r="H1689">
        <v>0.27</v>
      </c>
      <c r="I1689" s="309">
        <v>6426</v>
      </c>
      <c r="J1689">
        <v>10.71</v>
      </c>
      <c r="K1689" s="133">
        <v>1.13425452004221E-2</v>
      </c>
      <c r="L1689" s="181">
        <v>54</v>
      </c>
      <c r="M1689" s="133">
        <v>1.1312008936499401E-2</v>
      </c>
      <c r="N1689" s="73">
        <v>-42.695999999999898</v>
      </c>
      <c r="O1689" s="73">
        <v>-4.0221161168708699</v>
      </c>
      <c r="P1689" s="182">
        <v>2</v>
      </c>
      <c r="Q1689" s="182">
        <v>1000</v>
      </c>
      <c r="R1689" s="46">
        <v>11.085000000000001</v>
      </c>
      <c r="S1689" s="46">
        <v>1</v>
      </c>
      <c r="T1689" s="46">
        <v>400</v>
      </c>
      <c r="U1689" s="46">
        <v>11.74</v>
      </c>
      <c r="V1689" s="46" t="s">
        <v>62</v>
      </c>
      <c r="W1689" s="46">
        <v>600</v>
      </c>
      <c r="X1689" s="46">
        <v>10.648</v>
      </c>
      <c r="Y1689" s="193">
        <v>28.268999999999998</v>
      </c>
      <c r="Z1689" s="194">
        <v>11.427</v>
      </c>
      <c r="AA1689" s="194">
        <v>11.336</v>
      </c>
      <c r="AB1689" s="46">
        <v>10.56</v>
      </c>
      <c r="AC1689" s="46">
        <v>10.75</v>
      </c>
      <c r="AD1689" s="46">
        <v>10.54</v>
      </c>
      <c r="AE1689" s="46">
        <v>10.71</v>
      </c>
    </row>
    <row r="1690" spans="1:31" x14ac:dyDescent="0.25">
      <c r="A1690" s="136">
        <v>43080</v>
      </c>
      <c r="B1690" s="201" t="s">
        <v>72</v>
      </c>
      <c r="C1690" t="s">
        <v>130</v>
      </c>
      <c r="D1690">
        <v>1900</v>
      </c>
      <c r="E1690">
        <v>1900</v>
      </c>
      <c r="F1690">
        <v>7.2930000000000001</v>
      </c>
      <c r="G1690">
        <v>145.82</v>
      </c>
      <c r="H1690">
        <v>1.06</v>
      </c>
      <c r="I1690" s="309">
        <v>14003</v>
      </c>
      <c r="J1690">
        <v>7.37</v>
      </c>
      <c r="K1690" s="133">
        <v>2.4716722757782601E-2</v>
      </c>
      <c r="L1690" s="181">
        <v>133</v>
      </c>
      <c r="M1690" s="133">
        <v>2.4459335589851399E-2</v>
      </c>
      <c r="N1690" s="73">
        <v>-56.891999999993502</v>
      </c>
      <c r="O1690" s="73">
        <v>22.321895799460599</v>
      </c>
      <c r="P1690" s="182">
        <v>0</v>
      </c>
      <c r="Q1690" s="182">
        <v>0</v>
      </c>
      <c r="R1690" s="46">
        <v>0</v>
      </c>
      <c r="S1690" s="46">
        <v>12</v>
      </c>
      <c r="T1690" s="46">
        <v>5000</v>
      </c>
      <c r="U1690" s="46">
        <v>8.1950000000000003</v>
      </c>
      <c r="V1690" s="46" t="s">
        <v>68</v>
      </c>
      <c r="W1690" s="46">
        <v>5000</v>
      </c>
      <c r="X1690" s="46">
        <v>8.1950000000000003</v>
      </c>
      <c r="Y1690" s="194">
        <v>7.218</v>
      </c>
      <c r="Z1690" s="194">
        <v>6.99</v>
      </c>
      <c r="AA1690" s="194">
        <v>7.0119999999999996</v>
      </c>
      <c r="AB1690" s="46">
        <v>7.25</v>
      </c>
      <c r="AC1690" s="46">
        <v>7.4</v>
      </c>
      <c r="AD1690" s="46">
        <v>7.24</v>
      </c>
      <c r="AE1690" s="46">
        <v>7.37</v>
      </c>
    </row>
    <row r="1691" spans="1:31" x14ac:dyDescent="0.25">
      <c r="A1691" s="136">
        <v>43080</v>
      </c>
      <c r="B1691" s="201" t="s">
        <v>70</v>
      </c>
      <c r="C1691" t="s">
        <v>131</v>
      </c>
      <c r="D1691">
        <v>10700</v>
      </c>
      <c r="E1691">
        <v>10700</v>
      </c>
      <c r="F1691">
        <v>12.205</v>
      </c>
      <c r="G1691">
        <v>-13968.8</v>
      </c>
      <c r="H1691">
        <v>-10.69</v>
      </c>
      <c r="I1691" s="309">
        <v>116630</v>
      </c>
      <c r="J1691">
        <v>10.9</v>
      </c>
      <c r="K1691" s="133">
        <v>0.20586384169393601</v>
      </c>
      <c r="L1691" s="181">
        <v>1070</v>
      </c>
      <c r="M1691" s="133">
        <v>0.230520197964657</v>
      </c>
      <c r="N1691" s="73">
        <v>-15144.7860000001</v>
      </c>
      <c r="O1691" s="73">
        <v>-1402.89282734013</v>
      </c>
      <c r="P1691" s="182">
        <v>2</v>
      </c>
      <c r="Q1691" s="182">
        <v>1000</v>
      </c>
      <c r="R1691" s="46">
        <v>10.89</v>
      </c>
      <c r="S1691" s="46">
        <v>4</v>
      </c>
      <c r="T1691" s="46">
        <v>1600</v>
      </c>
      <c r="U1691" s="46">
        <v>13.497999999999999</v>
      </c>
      <c r="V1691" s="46" t="s">
        <v>68</v>
      </c>
      <c r="W1691" s="46">
        <v>600</v>
      </c>
      <c r="X1691" s="46">
        <v>17.844999999999999</v>
      </c>
      <c r="Y1691" s="193">
        <v>10.913</v>
      </c>
      <c r="Z1691" s="194">
        <v>12.303000000000001</v>
      </c>
      <c r="AA1691" s="194">
        <v>12.331</v>
      </c>
      <c r="AB1691" s="46">
        <v>10.77</v>
      </c>
      <c r="AC1691" s="46">
        <v>10.94</v>
      </c>
      <c r="AD1691" s="46">
        <v>10.77</v>
      </c>
      <c r="AE1691" s="46">
        <v>10.9</v>
      </c>
    </row>
    <row r="1692" spans="1:31" x14ac:dyDescent="0.25">
      <c r="A1692" s="136">
        <v>43080</v>
      </c>
      <c r="B1692" s="201" t="s">
        <v>137</v>
      </c>
      <c r="C1692" t="s">
        <v>138</v>
      </c>
      <c r="D1692">
        <v>100</v>
      </c>
      <c r="E1692">
        <v>100</v>
      </c>
      <c r="F1692">
        <v>-130.48500000000001</v>
      </c>
      <c r="G1692">
        <v>16704.5</v>
      </c>
      <c r="H1692">
        <v>0</v>
      </c>
      <c r="I1692" s="309">
        <v>3656</v>
      </c>
      <c r="J1692">
        <v>36.56</v>
      </c>
      <c r="K1692" s="133">
        <v>6.45321276886761E-3</v>
      </c>
      <c r="L1692" s="181">
        <v>39</v>
      </c>
      <c r="M1692" s="133">
        <v>0</v>
      </c>
    </row>
    <row r="1693" spans="1:31" x14ac:dyDescent="0.25">
      <c r="A1693" s="136">
        <v>43080</v>
      </c>
      <c r="B1693" s="201" t="s">
        <v>835</v>
      </c>
      <c r="C1693" t="s">
        <v>839</v>
      </c>
      <c r="I1693" s="309">
        <v>60253.98</v>
      </c>
      <c r="K1693" s="133">
        <v>0.106354418247017</v>
      </c>
      <c r="L1693" s="181">
        <v>0</v>
      </c>
      <c r="M1693" s="133">
        <v>0.106822223219701</v>
      </c>
    </row>
    <row r="1694" spans="1:31" x14ac:dyDescent="0.25">
      <c r="A1694" s="136">
        <v>43081</v>
      </c>
      <c r="B1694" s="201" t="s">
        <v>132</v>
      </c>
      <c r="C1694" t="s">
        <v>123</v>
      </c>
      <c r="D1694">
        <v>26509</v>
      </c>
      <c r="E1694">
        <v>26509</v>
      </c>
      <c r="F1694">
        <v>-9.2999999999999999E-2</v>
      </c>
      <c r="G1694">
        <v>2730.4270000000001</v>
      </c>
      <c r="H1694">
        <v>0</v>
      </c>
      <c r="I1694" s="309">
        <v>265.08999999999997</v>
      </c>
      <c r="J1694">
        <v>0.01</v>
      </c>
      <c r="K1694" s="133">
        <v>4.7296785069324298E-4</v>
      </c>
      <c r="L1694" s="181">
        <v>0.61799999999993804</v>
      </c>
      <c r="M1694" s="133">
        <v>0</v>
      </c>
    </row>
    <row r="1695" spans="1:31" x14ac:dyDescent="0.25">
      <c r="A1695" s="136">
        <v>43081</v>
      </c>
      <c r="B1695" s="201" t="s">
        <v>61</v>
      </c>
      <c r="C1695" t="s">
        <v>136</v>
      </c>
      <c r="D1695">
        <v>3500</v>
      </c>
      <c r="E1695">
        <v>3500</v>
      </c>
      <c r="F1695">
        <v>5.3070000000000004</v>
      </c>
      <c r="G1695">
        <v>-583.52</v>
      </c>
      <c r="H1695">
        <v>-3.15</v>
      </c>
      <c r="I1695" s="309">
        <v>17990</v>
      </c>
      <c r="J1695">
        <v>5.14</v>
      </c>
      <c r="K1695" s="133">
        <v>3.2097369323518199E-2</v>
      </c>
      <c r="L1695" s="181">
        <v>-140</v>
      </c>
      <c r="M1695" s="133">
        <v>3.3138473100486503E-2</v>
      </c>
      <c r="N1695" s="73">
        <v>-587.26800000000003</v>
      </c>
      <c r="O1695" s="73">
        <v>-114.19734747081699</v>
      </c>
      <c r="P1695" s="182">
        <v>6</v>
      </c>
      <c r="Q1695" s="182">
        <v>3000</v>
      </c>
      <c r="R1695" s="46">
        <v>5.31</v>
      </c>
      <c r="S1695" s="46">
        <v>0</v>
      </c>
      <c r="T1695" s="46">
        <v>0</v>
      </c>
      <c r="U1695" s="46">
        <v>0</v>
      </c>
      <c r="V1695" s="46" t="s">
        <v>62</v>
      </c>
      <c r="W1695" s="46">
        <v>3000</v>
      </c>
      <c r="X1695" s="46">
        <v>5.31</v>
      </c>
      <c r="Y1695" s="194">
        <v>5.1340000000000003</v>
      </c>
      <c r="Z1695" s="194">
        <v>5.0780000000000003</v>
      </c>
      <c r="AA1695" s="194">
        <v>5.1680000000000001</v>
      </c>
      <c r="AB1695" s="46">
        <v>5.17</v>
      </c>
      <c r="AC1695" s="46">
        <v>5.18</v>
      </c>
      <c r="AD1695" s="46">
        <v>5.13</v>
      </c>
      <c r="AE1695" s="46">
        <v>5.14</v>
      </c>
    </row>
    <row r="1696" spans="1:31" x14ac:dyDescent="0.25">
      <c r="A1696" s="136">
        <v>43081</v>
      </c>
      <c r="B1696" s="201" t="s">
        <v>124</v>
      </c>
      <c r="C1696" t="s">
        <v>125</v>
      </c>
      <c r="D1696">
        <v>100</v>
      </c>
      <c r="E1696">
        <v>100</v>
      </c>
      <c r="F1696">
        <v>-53.579000000000001</v>
      </c>
      <c r="G1696">
        <v>5941.9</v>
      </c>
      <c r="H1696">
        <v>0</v>
      </c>
      <c r="I1696" s="309">
        <v>584</v>
      </c>
      <c r="J1696">
        <v>5.84</v>
      </c>
      <c r="K1696" s="133">
        <v>1.0419601825978099E-3</v>
      </c>
      <c r="L1696" s="181">
        <v>-5</v>
      </c>
      <c r="M1696" s="133">
        <v>0</v>
      </c>
      <c r="N1696" s="73">
        <v>5995.0890000000099</v>
      </c>
      <c r="O1696" s="73">
        <v>1102.4501845505599</v>
      </c>
      <c r="P1696" s="182">
        <v>0</v>
      </c>
      <c r="Q1696" s="182">
        <v>0</v>
      </c>
      <c r="R1696" s="46">
        <v>0</v>
      </c>
      <c r="S1696" s="46">
        <v>5</v>
      </c>
      <c r="T1696" s="46">
        <v>2300</v>
      </c>
      <c r="U1696" s="46">
        <v>4.99</v>
      </c>
      <c r="V1696" s="46" t="s">
        <v>68</v>
      </c>
      <c r="W1696" s="46">
        <v>2300</v>
      </c>
      <c r="X1696" s="46">
        <v>4.99</v>
      </c>
      <c r="Y1696" s="194">
        <v>5.7869999999999999</v>
      </c>
      <c r="Z1696" s="193">
        <v>4.6470000000000002</v>
      </c>
      <c r="AA1696" s="193">
        <v>5.8380000000000001</v>
      </c>
      <c r="AB1696" s="46">
        <v>5.88</v>
      </c>
      <c r="AC1696" s="46">
        <v>5.89</v>
      </c>
      <c r="AD1696" s="46">
        <v>5.83</v>
      </c>
      <c r="AE1696" s="46">
        <v>5.84</v>
      </c>
    </row>
    <row r="1697" spans="1:31" x14ac:dyDescent="0.25">
      <c r="A1697" s="136">
        <v>43081</v>
      </c>
      <c r="B1697" s="201" t="s">
        <v>71</v>
      </c>
      <c r="C1697" t="s">
        <v>126</v>
      </c>
      <c r="D1697">
        <v>2800</v>
      </c>
      <c r="E1697">
        <v>2800</v>
      </c>
      <c r="F1697">
        <v>5.9390000000000001</v>
      </c>
      <c r="G1697">
        <v>842.38</v>
      </c>
      <c r="H1697">
        <v>5.07</v>
      </c>
      <c r="I1697" s="309">
        <v>17472</v>
      </c>
      <c r="J1697">
        <v>6.24</v>
      </c>
      <c r="K1697" s="133">
        <v>3.1173164914981101E-2</v>
      </c>
      <c r="L1697" s="181">
        <v>-336</v>
      </c>
      <c r="M1697" s="133">
        <v>2.9670208718719601E-2</v>
      </c>
      <c r="N1697" s="73">
        <v>2864.0619999999999</v>
      </c>
      <c r="O1697" s="73">
        <v>228.52771916537799</v>
      </c>
      <c r="P1697" s="182">
        <v>2</v>
      </c>
      <c r="Q1697" s="182">
        <v>1000</v>
      </c>
      <c r="R1697" s="46">
        <v>6.45</v>
      </c>
      <c r="S1697" s="46">
        <v>2</v>
      </c>
      <c r="T1697" s="46">
        <v>900</v>
      </c>
      <c r="U1697" s="46">
        <v>6.3920000000000003</v>
      </c>
      <c r="V1697" s="46" t="s">
        <v>62</v>
      </c>
      <c r="W1697" s="46">
        <v>100</v>
      </c>
      <c r="X1697" s="46">
        <v>6.9720000000000004</v>
      </c>
      <c r="Y1697" s="194">
        <v>6.298</v>
      </c>
      <c r="Z1697" s="194">
        <v>6.2839999999999998</v>
      </c>
      <c r="AA1697" s="194">
        <v>6.5309999999999997</v>
      </c>
      <c r="AB1697" s="46">
        <v>6.34</v>
      </c>
      <c r="AC1697" s="46">
        <v>6.35</v>
      </c>
      <c r="AD1697" s="46">
        <v>6.24</v>
      </c>
      <c r="AE1697" s="46">
        <v>6.24</v>
      </c>
    </row>
    <row r="1698" spans="1:31" x14ac:dyDescent="0.25">
      <c r="A1698" s="136">
        <v>43081</v>
      </c>
      <c r="B1698" s="201" t="s">
        <v>79</v>
      </c>
      <c r="C1698" t="s">
        <v>143</v>
      </c>
      <c r="D1698">
        <v>5100</v>
      </c>
      <c r="E1698">
        <v>5100</v>
      </c>
      <c r="F1698">
        <v>16.952999999999999</v>
      </c>
      <c r="G1698">
        <v>-9040.16</v>
      </c>
      <c r="H1698">
        <v>-10.46</v>
      </c>
      <c r="I1698" s="309">
        <v>77418</v>
      </c>
      <c r="J1698">
        <v>15.18</v>
      </c>
      <c r="K1698" s="133">
        <v>0.13812752297321501</v>
      </c>
      <c r="L1698" s="181">
        <v>-1428</v>
      </c>
      <c r="M1698" s="133">
        <v>0.15425678113128599</v>
      </c>
      <c r="N1698" s="73">
        <v>-7409.7400000000198</v>
      </c>
      <c r="O1698" s="73">
        <v>-477.808718064517</v>
      </c>
      <c r="P1698" s="182">
        <v>9</v>
      </c>
      <c r="Q1698" s="182">
        <v>5000</v>
      </c>
      <c r="R1698" s="46">
        <v>16.971</v>
      </c>
      <c r="S1698" s="46">
        <v>0</v>
      </c>
      <c r="T1698" s="46">
        <v>0</v>
      </c>
      <c r="U1698" s="46">
        <v>0</v>
      </c>
      <c r="V1698" s="46" t="s">
        <v>62</v>
      </c>
      <c r="W1698" s="46">
        <v>5000</v>
      </c>
      <c r="X1698" s="46">
        <v>16.971</v>
      </c>
      <c r="Y1698" s="194">
        <v>15.278</v>
      </c>
      <c r="Z1698" s="194">
        <v>15.76</v>
      </c>
      <c r="AA1698" s="194">
        <v>15.659000000000001</v>
      </c>
      <c r="AB1698" s="46">
        <v>15.46</v>
      </c>
      <c r="AC1698" s="46">
        <v>15.46</v>
      </c>
      <c r="AD1698" s="46">
        <v>15.18</v>
      </c>
      <c r="AE1698" s="46">
        <v>15.18</v>
      </c>
    </row>
    <row r="1699" spans="1:31" x14ac:dyDescent="0.25">
      <c r="A1699" s="136">
        <v>43081</v>
      </c>
      <c r="B1699" s="201" t="s">
        <v>65</v>
      </c>
      <c r="C1699" t="s">
        <v>127</v>
      </c>
      <c r="D1699">
        <v>12200</v>
      </c>
      <c r="E1699">
        <v>12200</v>
      </c>
      <c r="F1699">
        <v>10.372999999999999</v>
      </c>
      <c r="G1699">
        <v>8625.2900000000009</v>
      </c>
      <c r="H1699">
        <v>6.82</v>
      </c>
      <c r="I1699" s="309">
        <v>135176</v>
      </c>
      <c r="J1699">
        <v>11.08</v>
      </c>
      <c r="K1699" s="133">
        <v>0.24117809870349599</v>
      </c>
      <c r="L1699" s="181">
        <v>-1464</v>
      </c>
      <c r="M1699" s="133">
        <v>0.225789042636101</v>
      </c>
      <c r="N1699" s="73">
        <v>5928.8520000000199</v>
      </c>
      <c r="O1699" s="73">
        <v>910.37469199374596</v>
      </c>
      <c r="P1699" s="182">
        <v>4</v>
      </c>
      <c r="Q1699" s="182">
        <v>1900</v>
      </c>
      <c r="R1699" s="46">
        <v>10.896000000000001</v>
      </c>
      <c r="S1699" s="46">
        <v>15</v>
      </c>
      <c r="T1699" s="46">
        <v>6400</v>
      </c>
      <c r="U1699" s="46">
        <v>12.393000000000001</v>
      </c>
      <c r="V1699" s="46" t="s">
        <v>68</v>
      </c>
      <c r="W1699" s="46">
        <v>4500</v>
      </c>
      <c r="X1699" s="46">
        <v>13.025</v>
      </c>
      <c r="Y1699" s="194">
        <v>11.112</v>
      </c>
      <c r="Z1699" s="194">
        <v>11.385999999999999</v>
      </c>
      <c r="AA1699" s="194">
        <v>11.691000000000001</v>
      </c>
      <c r="AB1699" s="46">
        <v>11.19</v>
      </c>
      <c r="AC1699" s="46">
        <v>11.21</v>
      </c>
      <c r="AD1699" s="46">
        <v>11.07</v>
      </c>
      <c r="AE1699" s="46">
        <v>11.08</v>
      </c>
    </row>
    <row r="1700" spans="1:31" x14ac:dyDescent="0.25">
      <c r="A1700" s="136">
        <v>43081</v>
      </c>
      <c r="B1700" s="201" t="s">
        <v>77</v>
      </c>
      <c r="C1700" t="s">
        <v>128</v>
      </c>
      <c r="D1700">
        <v>5400</v>
      </c>
      <c r="E1700">
        <v>5400</v>
      </c>
      <c r="F1700">
        <v>5.9820000000000002</v>
      </c>
      <c r="G1700">
        <v>-1574.74</v>
      </c>
      <c r="H1700">
        <v>-4.88</v>
      </c>
      <c r="I1700" s="309">
        <v>30726</v>
      </c>
      <c r="J1700">
        <v>5.69</v>
      </c>
      <c r="K1700" s="133">
        <v>5.48206653604459E-2</v>
      </c>
      <c r="L1700" s="181">
        <v>-54</v>
      </c>
      <c r="M1700" s="133">
        <v>5.7630282445966602E-2</v>
      </c>
      <c r="N1700" s="73">
        <v>-2133.6860000000102</v>
      </c>
      <c r="O1700" s="73">
        <v>-287.47696426056399</v>
      </c>
      <c r="P1700" s="182">
        <v>9</v>
      </c>
      <c r="Q1700" s="182">
        <v>4500</v>
      </c>
      <c r="R1700" s="46">
        <v>6.4960000000000004</v>
      </c>
      <c r="S1700" s="46">
        <v>0</v>
      </c>
      <c r="T1700" s="46">
        <v>0</v>
      </c>
      <c r="U1700" s="46">
        <v>0</v>
      </c>
      <c r="V1700" s="46" t="s">
        <v>62</v>
      </c>
      <c r="W1700" s="46">
        <v>4500</v>
      </c>
      <c r="X1700" s="46">
        <v>6.4960000000000004</v>
      </c>
      <c r="Y1700" s="194">
        <v>5.6369999999999996</v>
      </c>
      <c r="Z1700" s="194">
        <v>6.0380000000000003</v>
      </c>
      <c r="AA1700" s="194">
        <v>6.5350000000000001</v>
      </c>
      <c r="AB1700" s="46">
        <v>5.68</v>
      </c>
      <c r="AC1700" s="46">
        <v>5.69</v>
      </c>
      <c r="AD1700" s="46">
        <v>5.52</v>
      </c>
      <c r="AE1700" s="46">
        <v>5.69</v>
      </c>
    </row>
    <row r="1701" spans="1:31" x14ac:dyDescent="0.25">
      <c r="A1701" s="136">
        <v>43081</v>
      </c>
      <c r="B1701" s="201" t="s">
        <v>67</v>
      </c>
      <c r="C1701" t="s">
        <v>129</v>
      </c>
      <c r="D1701">
        <v>10250</v>
      </c>
      <c r="E1701">
        <v>10250</v>
      </c>
      <c r="F1701">
        <v>8.6839999999999993</v>
      </c>
      <c r="G1701">
        <v>-7828.76</v>
      </c>
      <c r="H1701">
        <v>-8.8000000000000007</v>
      </c>
      <c r="I1701" s="309">
        <v>81180</v>
      </c>
      <c r="J1701">
        <v>7.92</v>
      </c>
      <c r="K1701" s="133">
        <v>0.144839602094675</v>
      </c>
      <c r="L1701" s="181">
        <v>-1332.5</v>
      </c>
      <c r="M1701" s="133">
        <v>0.158807506545214</v>
      </c>
      <c r="N1701" s="73">
        <v>45556.186999999998</v>
      </c>
      <c r="O1701" s="73">
        <v>-806.86580627332103</v>
      </c>
      <c r="P1701" s="182">
        <v>12</v>
      </c>
      <c r="Q1701" s="182">
        <v>6000</v>
      </c>
      <c r="R1701" s="46">
        <v>7.1980000000000004</v>
      </c>
      <c r="S1701" s="46">
        <v>4</v>
      </c>
      <c r="T1701" s="46">
        <v>1600</v>
      </c>
      <c r="U1701" s="46">
        <v>8.89</v>
      </c>
      <c r="V1701" s="46" t="s">
        <v>62</v>
      </c>
      <c r="W1701" s="46">
        <v>4400</v>
      </c>
      <c r="X1701" s="46">
        <v>6.5830000000000002</v>
      </c>
      <c r="Y1701" s="194">
        <v>7.9669999999999996</v>
      </c>
      <c r="Z1701" s="194">
        <v>7.359</v>
      </c>
      <c r="AA1701" s="194">
        <v>8.7669999999999995</v>
      </c>
      <c r="AB1701" s="46">
        <v>8.0500000000000007</v>
      </c>
      <c r="AC1701" s="46">
        <v>8.09</v>
      </c>
      <c r="AD1701" s="46">
        <v>7.91</v>
      </c>
      <c r="AE1701" s="46">
        <v>7.92</v>
      </c>
    </row>
    <row r="1702" spans="1:31" x14ac:dyDescent="0.25">
      <c r="A1702" s="136">
        <v>43081</v>
      </c>
      <c r="B1702" s="201" t="s">
        <v>78</v>
      </c>
      <c r="C1702" t="s">
        <v>142</v>
      </c>
      <c r="D1702">
        <v>600</v>
      </c>
      <c r="E1702">
        <v>600</v>
      </c>
      <c r="F1702">
        <v>10.680999999999999</v>
      </c>
      <c r="G1702">
        <v>-60.7</v>
      </c>
      <c r="H1702">
        <v>-0.94</v>
      </c>
      <c r="I1702" s="309">
        <v>6348</v>
      </c>
      <c r="J1702">
        <v>10.58</v>
      </c>
      <c r="K1702" s="133">
        <v>1.1325964450566601E-2</v>
      </c>
      <c r="L1702" s="181">
        <v>-78</v>
      </c>
      <c r="M1702" s="133">
        <v>1.1434264079134599E-2</v>
      </c>
      <c r="N1702" s="73">
        <v>-42.695999999999898</v>
      </c>
      <c r="O1702" s="73">
        <v>-4.0221161168708699</v>
      </c>
      <c r="P1702" s="182">
        <v>2</v>
      </c>
      <c r="Q1702" s="182">
        <v>1000</v>
      </c>
      <c r="R1702" s="46">
        <v>11.085000000000001</v>
      </c>
      <c r="S1702" s="46">
        <v>1</v>
      </c>
      <c r="T1702" s="46">
        <v>400</v>
      </c>
      <c r="U1702" s="46">
        <v>11.74</v>
      </c>
      <c r="V1702" s="46" t="s">
        <v>62</v>
      </c>
      <c r="W1702" s="46">
        <v>600</v>
      </c>
      <c r="X1702" s="46">
        <v>10.648</v>
      </c>
      <c r="Y1702" s="194">
        <v>10.584</v>
      </c>
      <c r="Z1702" s="194">
        <v>11.385</v>
      </c>
      <c r="AA1702" s="194">
        <v>11.313000000000001</v>
      </c>
      <c r="AB1702" s="46">
        <v>10.69</v>
      </c>
      <c r="AC1702" s="46">
        <v>10.69</v>
      </c>
      <c r="AD1702" s="46">
        <v>10.55</v>
      </c>
      <c r="AE1702" s="46">
        <v>10.58</v>
      </c>
    </row>
    <row r="1703" spans="1:31" x14ac:dyDescent="0.25">
      <c r="A1703" s="136">
        <v>43081</v>
      </c>
      <c r="B1703" s="201" t="s">
        <v>72</v>
      </c>
      <c r="C1703" t="s">
        <v>130</v>
      </c>
      <c r="D1703">
        <v>1900</v>
      </c>
      <c r="E1703">
        <v>1900</v>
      </c>
      <c r="F1703">
        <v>7.2930000000000001</v>
      </c>
      <c r="G1703">
        <v>-348.18</v>
      </c>
      <c r="H1703">
        <v>-2.5099999999999998</v>
      </c>
      <c r="I1703" s="309">
        <v>13509</v>
      </c>
      <c r="J1703">
        <v>7.11</v>
      </c>
      <c r="K1703" s="133">
        <v>2.4102465936153901E-2</v>
      </c>
      <c r="L1703" s="181">
        <v>-494</v>
      </c>
      <c r="M1703" s="133">
        <v>2.4723681169676E-2</v>
      </c>
      <c r="N1703" s="73">
        <v>-56.891999999993502</v>
      </c>
      <c r="O1703" s="73">
        <v>22.321895799460599</v>
      </c>
      <c r="P1703" s="182">
        <v>0</v>
      </c>
      <c r="Q1703" s="182">
        <v>0</v>
      </c>
      <c r="R1703" s="46">
        <v>0</v>
      </c>
      <c r="S1703" s="46">
        <v>12</v>
      </c>
      <c r="T1703" s="46">
        <v>5000</v>
      </c>
      <c r="U1703" s="46">
        <v>8.1950000000000003</v>
      </c>
      <c r="V1703" s="46" t="s">
        <v>68</v>
      </c>
      <c r="W1703" s="46">
        <v>5000</v>
      </c>
      <c r="X1703" s="46">
        <v>8.1950000000000003</v>
      </c>
      <c r="Y1703" s="194">
        <v>7.1779999999999999</v>
      </c>
      <c r="Z1703" s="194">
        <v>7.0110000000000001</v>
      </c>
      <c r="AA1703" s="194">
        <v>7.0229999999999997</v>
      </c>
      <c r="AB1703" s="46">
        <v>7.35</v>
      </c>
      <c r="AC1703" s="46">
        <v>7.35</v>
      </c>
      <c r="AD1703" s="46">
        <v>7.1</v>
      </c>
      <c r="AE1703" s="46">
        <v>7.11</v>
      </c>
    </row>
    <row r="1704" spans="1:31" x14ac:dyDescent="0.25">
      <c r="A1704" s="136">
        <v>43081</v>
      </c>
      <c r="B1704" s="201" t="s">
        <v>70</v>
      </c>
      <c r="C1704" t="s">
        <v>131</v>
      </c>
      <c r="D1704">
        <v>10700</v>
      </c>
      <c r="E1704">
        <v>10300</v>
      </c>
      <c r="F1704">
        <v>12.205</v>
      </c>
      <c r="G1704">
        <v>-14503.8</v>
      </c>
      <c r="H1704">
        <v>-11.1</v>
      </c>
      <c r="I1704" s="309">
        <v>116095</v>
      </c>
      <c r="J1704">
        <v>10.85</v>
      </c>
      <c r="K1704" s="133">
        <v>0.207134190751187</v>
      </c>
      <c r="L1704" s="181">
        <v>-535</v>
      </c>
      <c r="M1704" s="133">
        <v>0.23301155735454701</v>
      </c>
      <c r="N1704" s="73">
        <v>-15144.7860000001</v>
      </c>
      <c r="O1704" s="73">
        <v>-1402.89282734013</v>
      </c>
      <c r="P1704" s="182">
        <v>2</v>
      </c>
      <c r="Q1704" s="182">
        <v>1000</v>
      </c>
      <c r="R1704" s="46">
        <v>10.89</v>
      </c>
      <c r="S1704" s="46">
        <v>4</v>
      </c>
      <c r="T1704" s="46">
        <v>1600</v>
      </c>
      <c r="U1704" s="46">
        <v>13.497999999999999</v>
      </c>
      <c r="V1704" s="46" t="s">
        <v>68</v>
      </c>
      <c r="W1704" s="46">
        <v>600</v>
      </c>
      <c r="X1704" s="46">
        <v>17.844999999999999</v>
      </c>
      <c r="Y1704" s="193">
        <v>11.006</v>
      </c>
      <c r="Z1704" s="194">
        <v>12.321999999999999</v>
      </c>
      <c r="AA1704" s="194">
        <v>12.321</v>
      </c>
      <c r="AB1704" s="46">
        <v>10.81</v>
      </c>
      <c r="AC1704" s="46">
        <v>11</v>
      </c>
      <c r="AD1704" s="46">
        <v>10.81</v>
      </c>
      <c r="AE1704" s="46">
        <v>10.85</v>
      </c>
    </row>
    <row r="1705" spans="1:31" x14ac:dyDescent="0.25">
      <c r="A1705" s="136">
        <v>43081</v>
      </c>
      <c r="B1705" s="201" t="s">
        <v>137</v>
      </c>
      <c r="C1705" t="s">
        <v>138</v>
      </c>
      <c r="D1705">
        <v>100</v>
      </c>
      <c r="E1705">
        <v>100</v>
      </c>
      <c r="F1705">
        <v>-130.48500000000001</v>
      </c>
      <c r="G1705">
        <v>16513.5</v>
      </c>
      <c r="H1705">
        <v>0</v>
      </c>
      <c r="I1705" s="309">
        <v>3465</v>
      </c>
      <c r="J1705">
        <v>34.65</v>
      </c>
      <c r="K1705" s="133">
        <v>6.1821781381873704E-3</v>
      </c>
      <c r="L1705" s="181">
        <v>-191</v>
      </c>
      <c r="M1705" s="133">
        <v>0</v>
      </c>
    </row>
    <row r="1706" spans="1:31" x14ac:dyDescent="0.25">
      <c r="A1706" s="136">
        <v>43081</v>
      </c>
      <c r="B1706" s="201" t="s">
        <v>144</v>
      </c>
      <c r="C1706" t="s">
        <v>145</v>
      </c>
      <c r="D1706">
        <v>0</v>
      </c>
      <c r="E1706">
        <v>0</v>
      </c>
      <c r="F1706">
        <v>100</v>
      </c>
      <c r="G1706">
        <v>0</v>
      </c>
      <c r="H1706">
        <v>0</v>
      </c>
      <c r="I1706" s="309">
        <v>0</v>
      </c>
      <c r="J1706">
        <v>100</v>
      </c>
      <c r="K1706" s="133">
        <v>0</v>
      </c>
      <c r="M1706" s="133">
        <v>0</v>
      </c>
    </row>
    <row r="1707" spans="1:31" x14ac:dyDescent="0.25">
      <c r="A1707" s="136">
        <v>43081</v>
      </c>
      <c r="B1707" s="201" t="s">
        <v>835</v>
      </c>
      <c r="C1707" t="s">
        <v>839</v>
      </c>
      <c r="I1707" s="309">
        <v>60253.98</v>
      </c>
      <c r="K1707" s="133">
        <v>0.10750384932028199</v>
      </c>
      <c r="L1707" s="181">
        <v>0</v>
      </c>
      <c r="M1707" s="133">
        <v>0.107976817170976</v>
      </c>
    </row>
    <row r="1708" spans="1:31" x14ac:dyDescent="0.25">
      <c r="A1708" s="136">
        <v>43082</v>
      </c>
      <c r="B1708" s="201" t="s">
        <v>132</v>
      </c>
      <c r="C1708" t="s">
        <v>123</v>
      </c>
      <c r="D1708">
        <v>26512</v>
      </c>
      <c r="E1708">
        <v>26512</v>
      </c>
      <c r="F1708">
        <v>-9.2999999999999999E-2</v>
      </c>
      <c r="G1708">
        <v>2730.7359999999999</v>
      </c>
      <c r="H1708">
        <v>0</v>
      </c>
      <c r="I1708" s="309">
        <v>265.12</v>
      </c>
      <c r="J1708">
        <v>0.01</v>
      </c>
      <c r="K1708" s="133">
        <v>4.73084419409323E-4</v>
      </c>
      <c r="L1708" s="181">
        <v>0.30899999999974198</v>
      </c>
      <c r="M1708" s="133">
        <v>0</v>
      </c>
    </row>
    <row r="1709" spans="1:31" x14ac:dyDescent="0.25">
      <c r="A1709" s="136">
        <v>43082</v>
      </c>
      <c r="B1709" s="201" t="s">
        <v>61</v>
      </c>
      <c r="C1709" t="s">
        <v>136</v>
      </c>
      <c r="D1709">
        <v>3500</v>
      </c>
      <c r="E1709">
        <v>3500</v>
      </c>
      <c r="F1709">
        <v>5.3070000000000004</v>
      </c>
      <c r="G1709">
        <v>-548.52</v>
      </c>
      <c r="H1709">
        <v>-2.96</v>
      </c>
      <c r="I1709" s="309">
        <v>18025</v>
      </c>
      <c r="J1709">
        <v>5.15</v>
      </c>
      <c r="K1709" s="133">
        <v>3.2164101764684101E-2</v>
      </c>
      <c r="L1709" s="181">
        <v>35</v>
      </c>
      <c r="M1709" s="133">
        <v>3.3142889731395002E-2</v>
      </c>
      <c r="N1709" s="73">
        <v>-587.26800000000003</v>
      </c>
      <c r="O1709" s="73">
        <v>-114.19734747081699</v>
      </c>
      <c r="P1709" s="182">
        <v>6</v>
      </c>
      <c r="Q1709" s="182">
        <v>3000</v>
      </c>
      <c r="R1709" s="46">
        <v>5.31</v>
      </c>
      <c r="S1709" s="46">
        <v>0</v>
      </c>
      <c r="T1709" s="46">
        <v>0</v>
      </c>
      <c r="U1709" s="46">
        <v>0</v>
      </c>
      <c r="V1709" s="46" t="s">
        <v>62</v>
      </c>
      <c r="W1709" s="46">
        <v>3000</v>
      </c>
      <c r="X1709" s="46">
        <v>5.31</v>
      </c>
      <c r="Y1709" s="194">
        <v>5.1150000000000002</v>
      </c>
      <c r="Z1709" s="194">
        <v>5.0830000000000002</v>
      </c>
      <c r="AA1709" s="194">
        <v>5.1669999999999998</v>
      </c>
      <c r="AB1709" s="46">
        <v>5.14</v>
      </c>
      <c r="AC1709" s="46">
        <v>5.15</v>
      </c>
      <c r="AD1709" s="46">
        <v>5.12</v>
      </c>
      <c r="AE1709" s="46">
        <v>5.15</v>
      </c>
    </row>
    <row r="1710" spans="1:31" x14ac:dyDescent="0.25">
      <c r="A1710" s="136">
        <v>43082</v>
      </c>
      <c r="B1710" s="201" t="s">
        <v>124</v>
      </c>
      <c r="C1710" t="s">
        <v>125</v>
      </c>
      <c r="D1710">
        <v>100</v>
      </c>
      <c r="E1710">
        <v>100</v>
      </c>
      <c r="F1710">
        <v>-53.579000000000001</v>
      </c>
      <c r="G1710">
        <v>5947.9</v>
      </c>
      <c r="H1710">
        <v>0</v>
      </c>
      <c r="I1710" s="309">
        <v>590</v>
      </c>
      <c r="J1710">
        <v>5.9</v>
      </c>
      <c r="K1710" s="133">
        <v>1.0528055501339E-3</v>
      </c>
      <c r="L1710" s="181">
        <v>6</v>
      </c>
      <c r="M1710" s="133">
        <v>0</v>
      </c>
      <c r="Y1710" s="194">
        <v>5.5519999999999996</v>
      </c>
      <c r="Z1710" s="193">
        <v>4.6379999999999999</v>
      </c>
      <c r="AA1710" s="193">
        <v>5.8380000000000001</v>
      </c>
      <c r="AB1710" s="46">
        <v>5.85</v>
      </c>
      <c r="AC1710" s="46">
        <v>5.91</v>
      </c>
      <c r="AD1710" s="46">
        <v>5.81</v>
      </c>
      <c r="AE1710" s="46">
        <v>5.9</v>
      </c>
    </row>
    <row r="1711" spans="1:31" x14ac:dyDescent="0.25">
      <c r="A1711" s="136">
        <v>43082</v>
      </c>
      <c r="B1711" s="201" t="s">
        <v>71</v>
      </c>
      <c r="C1711" t="s">
        <v>126</v>
      </c>
      <c r="D1711">
        <v>2800</v>
      </c>
      <c r="E1711">
        <v>2800</v>
      </c>
      <c r="F1711">
        <v>5.9390000000000001</v>
      </c>
      <c r="G1711">
        <v>898.38</v>
      </c>
      <c r="H1711">
        <v>5.41</v>
      </c>
      <c r="I1711" s="309">
        <v>17528</v>
      </c>
      <c r="J1711">
        <v>6.26</v>
      </c>
      <c r="K1711" s="133">
        <v>3.1277246919910302E-2</v>
      </c>
      <c r="L1711" s="181">
        <v>56</v>
      </c>
      <c r="M1711" s="133">
        <v>2.9674163106131801E-2</v>
      </c>
      <c r="N1711" s="73">
        <v>2864.0619999999999</v>
      </c>
      <c r="O1711" s="73">
        <v>228.52771916537799</v>
      </c>
      <c r="P1711" s="182">
        <v>2</v>
      </c>
      <c r="Q1711" s="182">
        <v>1000</v>
      </c>
      <c r="R1711" s="46">
        <v>6.45</v>
      </c>
      <c r="S1711" s="46">
        <v>2</v>
      </c>
      <c r="T1711" s="46">
        <v>900</v>
      </c>
      <c r="U1711" s="46">
        <v>6.3920000000000003</v>
      </c>
      <c r="V1711" s="46" t="s">
        <v>62</v>
      </c>
      <c r="W1711" s="46">
        <v>100</v>
      </c>
      <c r="X1711" s="46">
        <v>6.9720000000000004</v>
      </c>
      <c r="Y1711" s="194">
        <v>6.0510000000000002</v>
      </c>
      <c r="Z1711" s="194">
        <v>6.2779999999999996</v>
      </c>
      <c r="AA1711" s="194">
        <v>6.5250000000000004</v>
      </c>
      <c r="AB1711" s="46">
        <v>6.24</v>
      </c>
      <c r="AC1711" s="46">
        <v>6.28</v>
      </c>
      <c r="AD1711" s="46">
        <v>6.14</v>
      </c>
      <c r="AE1711" s="46">
        <v>6.26</v>
      </c>
    </row>
    <row r="1712" spans="1:31" x14ac:dyDescent="0.25">
      <c r="A1712" s="136">
        <v>43082</v>
      </c>
      <c r="B1712" s="201" t="s">
        <v>79</v>
      </c>
      <c r="C1712" t="s">
        <v>143</v>
      </c>
      <c r="D1712">
        <v>5100</v>
      </c>
      <c r="E1712">
        <v>5100</v>
      </c>
      <c r="F1712">
        <v>16.952999999999999</v>
      </c>
      <c r="G1712">
        <v>-7969.16</v>
      </c>
      <c r="H1712">
        <v>-9.2200000000000006</v>
      </c>
      <c r="I1712" s="309">
        <v>78489</v>
      </c>
      <c r="J1712">
        <v>15.39</v>
      </c>
      <c r="K1712" s="133">
        <v>0.14005704207535599</v>
      </c>
      <c r="L1712" s="181">
        <v>1071</v>
      </c>
      <c r="M1712" s="133">
        <v>0.1542773401735</v>
      </c>
      <c r="N1712" s="73">
        <v>-7409.7400000000198</v>
      </c>
      <c r="O1712" s="73">
        <v>-477.808718064517</v>
      </c>
      <c r="P1712" s="182">
        <v>9</v>
      </c>
      <c r="Q1712" s="182">
        <v>5000</v>
      </c>
      <c r="R1712" s="46">
        <v>16.971</v>
      </c>
      <c r="S1712" s="46">
        <v>0</v>
      </c>
      <c r="T1712" s="46">
        <v>0</v>
      </c>
      <c r="U1712" s="46">
        <v>0</v>
      </c>
      <c r="V1712" s="46" t="s">
        <v>62</v>
      </c>
      <c r="W1712" s="46">
        <v>5000</v>
      </c>
      <c r="X1712" s="46">
        <v>16.971</v>
      </c>
      <c r="Y1712" s="193">
        <v>15.301</v>
      </c>
      <c r="Z1712" s="194">
        <v>15.779</v>
      </c>
      <c r="AA1712" s="194">
        <v>15.624000000000001</v>
      </c>
      <c r="AB1712" s="46">
        <v>15.11</v>
      </c>
      <c r="AC1712" s="46">
        <v>15.45</v>
      </c>
      <c r="AD1712" s="46">
        <v>15.07</v>
      </c>
      <c r="AE1712" s="46">
        <v>15.39</v>
      </c>
    </row>
    <row r="1713" spans="1:31" x14ac:dyDescent="0.25">
      <c r="A1713" s="136">
        <v>43082</v>
      </c>
      <c r="B1713" s="201" t="s">
        <v>65</v>
      </c>
      <c r="C1713" t="s">
        <v>127</v>
      </c>
      <c r="D1713">
        <v>12700</v>
      </c>
      <c r="E1713">
        <v>12200</v>
      </c>
      <c r="F1713">
        <v>10.4</v>
      </c>
      <c r="G1713">
        <v>8254.2900000000009</v>
      </c>
      <c r="H1713">
        <v>6.25</v>
      </c>
      <c r="I1713" s="309">
        <v>140335</v>
      </c>
      <c r="J1713">
        <v>11.05</v>
      </c>
      <c r="K1713" s="133">
        <v>0.250416045556002</v>
      </c>
      <c r="L1713" s="181">
        <v>-371</v>
      </c>
      <c r="M1713" s="133">
        <v>0.23568695687055399</v>
      </c>
      <c r="N1713" s="73">
        <v>3971.8520000000099</v>
      </c>
      <c r="O1713" s="73">
        <v>746.54106762442302</v>
      </c>
      <c r="P1713" s="182">
        <v>4</v>
      </c>
      <c r="Q1713" s="182">
        <v>1900</v>
      </c>
      <c r="R1713" s="46">
        <v>10.893000000000001</v>
      </c>
      <c r="S1713" s="46">
        <v>14</v>
      </c>
      <c r="T1713" s="46">
        <v>6000</v>
      </c>
      <c r="U1713" s="46">
        <v>12.471</v>
      </c>
      <c r="V1713" s="46" t="s">
        <v>68</v>
      </c>
      <c r="W1713" s="46">
        <v>4100</v>
      </c>
      <c r="X1713" s="46">
        <v>13.202</v>
      </c>
      <c r="Y1713" s="194">
        <v>11.016999999999999</v>
      </c>
      <c r="Z1713" s="194">
        <v>11.378</v>
      </c>
      <c r="AA1713" s="194">
        <v>11.686999999999999</v>
      </c>
      <c r="AB1713" s="46">
        <v>11.11</v>
      </c>
      <c r="AC1713" s="46">
        <v>11.13</v>
      </c>
      <c r="AD1713" s="46">
        <v>11</v>
      </c>
      <c r="AE1713" s="46">
        <v>11.05</v>
      </c>
    </row>
    <row r="1714" spans="1:31" x14ac:dyDescent="0.25">
      <c r="A1714" s="136">
        <v>43082</v>
      </c>
      <c r="B1714" s="201" t="s">
        <v>77</v>
      </c>
      <c r="C1714" t="s">
        <v>128</v>
      </c>
      <c r="D1714">
        <v>5000</v>
      </c>
      <c r="E1714">
        <v>5000</v>
      </c>
      <c r="F1714">
        <v>5.9980000000000002</v>
      </c>
      <c r="G1714">
        <v>-988.06</v>
      </c>
      <c r="H1714">
        <v>-3.3</v>
      </c>
      <c r="I1714" s="309">
        <v>29000</v>
      </c>
      <c r="J1714">
        <v>5.8</v>
      </c>
      <c r="K1714" s="133">
        <v>5.1748069413361401E-2</v>
      </c>
      <c r="L1714" s="181">
        <v>586.67999999999995</v>
      </c>
      <c r="M1714" s="133">
        <v>5.3511179670760203E-2</v>
      </c>
      <c r="N1714" s="73">
        <v>-1493.0060000000001</v>
      </c>
      <c r="O1714" s="73">
        <v>-171.122327068966</v>
      </c>
      <c r="P1714" s="182">
        <v>8</v>
      </c>
      <c r="Q1714" s="182">
        <v>4000</v>
      </c>
      <c r="R1714" s="46">
        <v>6.6230000000000002</v>
      </c>
      <c r="S1714" s="46">
        <v>0</v>
      </c>
      <c r="T1714" s="46">
        <v>0</v>
      </c>
      <c r="U1714" s="46">
        <v>0</v>
      </c>
      <c r="V1714" s="46" t="s">
        <v>62</v>
      </c>
      <c r="W1714" s="46">
        <v>4000</v>
      </c>
      <c r="X1714" s="46">
        <v>6.6230000000000002</v>
      </c>
      <c r="Y1714" s="193">
        <v>5.7539999999999996</v>
      </c>
      <c r="Z1714" s="194">
        <v>6.07</v>
      </c>
      <c r="AA1714" s="194">
        <v>6.52</v>
      </c>
      <c r="AB1714" s="46">
        <v>5.66</v>
      </c>
      <c r="AC1714" s="46">
        <v>5.82</v>
      </c>
      <c r="AD1714" s="46">
        <v>5.6</v>
      </c>
      <c r="AE1714" s="46">
        <v>5.8</v>
      </c>
    </row>
    <row r="1715" spans="1:31" x14ac:dyDescent="0.25">
      <c r="A1715" s="136">
        <v>43082</v>
      </c>
      <c r="B1715" s="201" t="s">
        <v>67</v>
      </c>
      <c r="C1715" t="s">
        <v>129</v>
      </c>
      <c r="D1715">
        <v>10250</v>
      </c>
      <c r="E1715">
        <v>10250</v>
      </c>
      <c r="F1715">
        <v>8.6839999999999993</v>
      </c>
      <c r="G1715">
        <v>-7008.76</v>
      </c>
      <c r="H1715">
        <v>-7.88</v>
      </c>
      <c r="I1715" s="309">
        <v>82000</v>
      </c>
      <c r="J1715">
        <v>8</v>
      </c>
      <c r="K1715" s="133">
        <v>0.14632212730674601</v>
      </c>
      <c r="L1715" s="181">
        <v>820</v>
      </c>
      <c r="M1715" s="133">
        <v>0.158828672099215</v>
      </c>
      <c r="N1715" s="73">
        <v>45556.186999999998</v>
      </c>
      <c r="O1715" s="73">
        <v>-806.86580627332103</v>
      </c>
      <c r="P1715" s="182">
        <v>12</v>
      </c>
      <c r="Q1715" s="182">
        <v>6000</v>
      </c>
      <c r="R1715" s="46">
        <v>7.1980000000000004</v>
      </c>
      <c r="S1715" s="46">
        <v>4</v>
      </c>
      <c r="T1715" s="46">
        <v>1600</v>
      </c>
      <c r="U1715" s="46">
        <v>8.89</v>
      </c>
      <c r="V1715" s="46" t="s">
        <v>62</v>
      </c>
      <c r="W1715" s="46">
        <v>4400</v>
      </c>
      <c r="X1715" s="46">
        <v>6.5830000000000002</v>
      </c>
      <c r="Y1715" s="193">
        <v>9.0109999999999992</v>
      </c>
      <c r="Z1715" s="194">
        <v>7.3529999999999998</v>
      </c>
      <c r="AA1715" s="194">
        <v>8.7620000000000005</v>
      </c>
      <c r="AB1715" s="46">
        <v>7.93</v>
      </c>
      <c r="AC1715" s="46">
        <v>8.02</v>
      </c>
      <c r="AD1715" s="46">
        <v>7.85</v>
      </c>
      <c r="AE1715" s="46">
        <v>8</v>
      </c>
    </row>
    <row r="1716" spans="1:31" x14ac:dyDescent="0.25">
      <c r="A1716" s="136">
        <v>43082</v>
      </c>
      <c r="B1716" s="201" t="s">
        <v>78</v>
      </c>
      <c r="C1716" t="s">
        <v>142</v>
      </c>
      <c r="D1716">
        <v>600</v>
      </c>
      <c r="E1716">
        <v>600</v>
      </c>
      <c r="F1716">
        <v>10.680999999999999</v>
      </c>
      <c r="G1716">
        <v>-72.7</v>
      </c>
      <c r="H1716">
        <v>-1.1299999999999999</v>
      </c>
      <c r="I1716" s="309">
        <v>6336</v>
      </c>
      <c r="J1716">
        <v>10.56</v>
      </c>
      <c r="K1716" s="133">
        <v>1.13060609587261E-2</v>
      </c>
      <c r="L1716" s="181">
        <v>-12</v>
      </c>
      <c r="M1716" s="133">
        <v>1.1435788015496899E-2</v>
      </c>
      <c r="N1716" s="73">
        <v>-42.695999999999898</v>
      </c>
      <c r="O1716" s="73">
        <v>-4.0221161168708699</v>
      </c>
      <c r="P1716" s="182">
        <v>2</v>
      </c>
      <c r="Q1716" s="182">
        <v>1000</v>
      </c>
      <c r="R1716" s="46">
        <v>11.085000000000001</v>
      </c>
      <c r="S1716" s="46">
        <v>1</v>
      </c>
      <c r="T1716" s="46">
        <v>400</v>
      </c>
      <c r="U1716" s="46">
        <v>11.74</v>
      </c>
      <c r="V1716" s="46" t="s">
        <v>62</v>
      </c>
      <c r="W1716" s="46">
        <v>600</v>
      </c>
      <c r="X1716" s="46">
        <v>10.648</v>
      </c>
      <c r="Y1716" s="193">
        <v>10.545999999999999</v>
      </c>
      <c r="Z1716" s="194">
        <v>11.404999999999999</v>
      </c>
      <c r="AA1716" s="194">
        <v>11.295</v>
      </c>
      <c r="AB1716" s="46">
        <v>10.51</v>
      </c>
      <c r="AC1716" s="46">
        <v>10.63</v>
      </c>
      <c r="AD1716" s="46">
        <v>10.48</v>
      </c>
      <c r="AE1716" s="46">
        <v>10.56</v>
      </c>
    </row>
    <row r="1717" spans="1:31" x14ac:dyDescent="0.25">
      <c r="A1717" s="136">
        <v>43082</v>
      </c>
      <c r="B1717" s="201" t="s">
        <v>72</v>
      </c>
      <c r="C1717" t="s">
        <v>130</v>
      </c>
      <c r="D1717">
        <v>1900</v>
      </c>
      <c r="E1717">
        <v>1900</v>
      </c>
      <c r="F1717">
        <v>7.2930000000000001</v>
      </c>
      <c r="G1717">
        <v>-405.18</v>
      </c>
      <c r="H1717">
        <v>-2.92</v>
      </c>
      <c r="I1717" s="309">
        <v>13452</v>
      </c>
      <c r="J1717">
        <v>7.08</v>
      </c>
      <c r="K1717" s="133">
        <v>2.4003966543053E-2</v>
      </c>
      <c r="L1717" s="181">
        <v>-57</v>
      </c>
      <c r="M1717" s="133">
        <v>2.4726976293566998E-2</v>
      </c>
      <c r="N1717" s="73">
        <v>-56.891999999993502</v>
      </c>
      <c r="O1717" s="73">
        <v>22.321895799460599</v>
      </c>
      <c r="P1717" s="182">
        <v>0</v>
      </c>
      <c r="Q1717" s="182">
        <v>0</v>
      </c>
      <c r="R1717" s="46">
        <v>0</v>
      </c>
      <c r="S1717" s="46">
        <v>12</v>
      </c>
      <c r="T1717" s="46">
        <v>5000</v>
      </c>
      <c r="U1717" s="46">
        <v>8.1950000000000003</v>
      </c>
      <c r="V1717" s="46" t="s">
        <v>68</v>
      </c>
      <c r="W1717" s="46">
        <v>5000</v>
      </c>
      <c r="X1717" s="46">
        <v>8.1950000000000003</v>
      </c>
      <c r="Y1717" s="194">
        <v>6.7149999999999999</v>
      </c>
      <c r="Z1717" s="194">
        <v>7.008</v>
      </c>
      <c r="AA1717" s="194">
        <v>7.0229999999999997</v>
      </c>
      <c r="AB1717" s="46">
        <v>7.05</v>
      </c>
      <c r="AC1717" s="46">
        <v>7.14</v>
      </c>
      <c r="AD1717" s="46">
        <v>6.99</v>
      </c>
      <c r="AE1717" s="46">
        <v>7.08</v>
      </c>
    </row>
    <row r="1718" spans="1:31" x14ac:dyDescent="0.25">
      <c r="A1718" s="136">
        <v>43082</v>
      </c>
      <c r="B1718" s="201" t="s">
        <v>70</v>
      </c>
      <c r="C1718" t="s">
        <v>131</v>
      </c>
      <c r="D1718">
        <v>10300</v>
      </c>
      <c r="E1718">
        <v>10300</v>
      </c>
      <c r="F1718">
        <v>12.253</v>
      </c>
      <c r="G1718">
        <v>-12908.2</v>
      </c>
      <c r="H1718">
        <v>-10.23</v>
      </c>
      <c r="I1718" s="309">
        <v>113300</v>
      </c>
      <c r="J1718">
        <v>11</v>
      </c>
      <c r="K1718" s="133">
        <v>0.202174353949443</v>
      </c>
      <c r="L1718" s="181">
        <v>1595.6</v>
      </c>
      <c r="M1718" s="133">
        <v>0.225207954970186</v>
      </c>
      <c r="N1718" s="73">
        <v>-12907.186</v>
      </c>
      <c r="O1718" s="73">
        <v>-1172.7938551818199</v>
      </c>
      <c r="P1718" s="182">
        <v>2</v>
      </c>
      <c r="Q1718" s="182">
        <v>1000</v>
      </c>
      <c r="R1718" s="46">
        <v>10.89</v>
      </c>
      <c r="S1718" s="46">
        <v>5</v>
      </c>
      <c r="T1718" s="46">
        <v>2000</v>
      </c>
      <c r="U1718" s="46">
        <v>12.997999999999999</v>
      </c>
      <c r="V1718" s="46" t="s">
        <v>68</v>
      </c>
      <c r="W1718" s="46">
        <v>1000</v>
      </c>
      <c r="X1718" s="46">
        <v>15.106</v>
      </c>
      <c r="Y1718" s="193">
        <v>11.048999999999999</v>
      </c>
      <c r="Z1718" s="194">
        <v>12.339</v>
      </c>
      <c r="AA1718" s="194">
        <v>12.313000000000001</v>
      </c>
      <c r="AB1718" s="46">
        <v>10.81</v>
      </c>
      <c r="AC1718" s="46">
        <v>11.04</v>
      </c>
      <c r="AD1718" s="46">
        <v>10.77</v>
      </c>
      <c r="AE1718" s="46">
        <v>11</v>
      </c>
    </row>
    <row r="1719" spans="1:31" x14ac:dyDescent="0.25">
      <c r="A1719" s="136">
        <v>43082</v>
      </c>
      <c r="B1719" s="201" t="s">
        <v>137</v>
      </c>
      <c r="C1719" t="s">
        <v>138</v>
      </c>
      <c r="D1719">
        <v>100</v>
      </c>
      <c r="E1719">
        <v>100</v>
      </c>
      <c r="F1719">
        <v>-130.48500000000001</v>
      </c>
      <c r="G1719">
        <v>16708.5</v>
      </c>
      <c r="H1719">
        <v>0</v>
      </c>
      <c r="I1719" s="309">
        <v>3660</v>
      </c>
      <c r="J1719">
        <v>36.6</v>
      </c>
      <c r="K1719" s="133">
        <v>6.5309632432035396E-3</v>
      </c>
      <c r="L1719" s="181">
        <v>195</v>
      </c>
      <c r="M1719" s="133">
        <v>0</v>
      </c>
    </row>
    <row r="1720" spans="1:31" x14ac:dyDescent="0.25">
      <c r="A1720" s="136">
        <v>43082</v>
      </c>
      <c r="B1720" s="201" t="s">
        <v>144</v>
      </c>
      <c r="C1720" t="s">
        <v>145</v>
      </c>
      <c r="D1720">
        <v>0</v>
      </c>
      <c r="E1720">
        <v>0</v>
      </c>
      <c r="F1720">
        <v>100</v>
      </c>
      <c r="G1720">
        <v>0</v>
      </c>
      <c r="H1720">
        <v>0</v>
      </c>
      <c r="I1720" s="309">
        <v>0</v>
      </c>
      <c r="J1720">
        <v>100</v>
      </c>
      <c r="K1720" s="133">
        <v>0</v>
      </c>
      <c r="L1720" s="181">
        <v>0</v>
      </c>
      <c r="M1720" s="133">
        <v>0</v>
      </c>
    </row>
    <row r="1721" spans="1:31" x14ac:dyDescent="0.25">
      <c r="A1721" s="136">
        <v>43082</v>
      </c>
      <c r="B1721" s="201" t="s">
        <v>835</v>
      </c>
      <c r="C1721" t="s">
        <v>839</v>
      </c>
      <c r="I1721" s="309">
        <v>57427.26</v>
      </c>
      <c r="K1721" s="133">
        <v>0.102474132299971</v>
      </c>
      <c r="L1721" s="181">
        <v>0</v>
      </c>
      <c r="M1721" s="133">
        <v>0.10294721671937999</v>
      </c>
    </row>
    <row r="1722" spans="1:31" x14ac:dyDescent="0.25">
      <c r="A1722" s="136">
        <v>43083</v>
      </c>
      <c r="B1722" s="201" t="s">
        <v>132</v>
      </c>
      <c r="C1722" t="s">
        <v>123</v>
      </c>
      <c r="D1722">
        <v>26514</v>
      </c>
      <c r="E1722">
        <v>26514</v>
      </c>
      <c r="F1722">
        <v>-9.2999999999999999E-2</v>
      </c>
      <c r="G1722">
        <v>2730.942</v>
      </c>
      <c r="H1722">
        <v>0</v>
      </c>
      <c r="I1722" s="309">
        <v>265.14</v>
      </c>
      <c r="J1722">
        <v>0.01</v>
      </c>
      <c r="K1722" s="133">
        <v>4.7096095164593098E-4</v>
      </c>
      <c r="L1722" s="181">
        <v>0.20600000000013099</v>
      </c>
      <c r="M1722" s="133">
        <v>0</v>
      </c>
    </row>
    <row r="1723" spans="1:31" x14ac:dyDescent="0.25">
      <c r="A1723" s="136">
        <v>43083</v>
      </c>
      <c r="B1723" s="201" t="s">
        <v>61</v>
      </c>
      <c r="C1723" t="s">
        <v>136</v>
      </c>
      <c r="D1723">
        <v>3500</v>
      </c>
      <c r="E1723">
        <v>3500</v>
      </c>
      <c r="F1723">
        <v>5.3070000000000004</v>
      </c>
      <c r="G1723">
        <v>-583.52</v>
      </c>
      <c r="H1723">
        <v>-3.15</v>
      </c>
      <c r="I1723" s="309">
        <v>17990</v>
      </c>
      <c r="J1723">
        <v>5.14</v>
      </c>
      <c r="K1723" s="133">
        <v>3.1955146413631598E-2</v>
      </c>
      <c r="L1723" s="181">
        <v>-35</v>
      </c>
      <c r="M1723" s="133">
        <v>3.2991637077071499E-2</v>
      </c>
      <c r="N1723" s="73">
        <v>-587.26800000000003</v>
      </c>
      <c r="O1723" s="73">
        <v>-114.19734747081699</v>
      </c>
      <c r="P1723" s="182">
        <v>6</v>
      </c>
      <c r="Q1723" s="182">
        <v>3000</v>
      </c>
      <c r="R1723" s="46">
        <v>5.31</v>
      </c>
      <c r="S1723" s="46">
        <v>0</v>
      </c>
      <c r="T1723" s="46">
        <v>0</v>
      </c>
      <c r="U1723" s="46">
        <v>0</v>
      </c>
      <c r="V1723" s="46" t="s">
        <v>62</v>
      </c>
      <c r="W1723" s="46">
        <v>3000</v>
      </c>
      <c r="X1723" s="46">
        <v>5.31</v>
      </c>
      <c r="Y1723" s="194">
        <v>5.1219999999999999</v>
      </c>
      <c r="Z1723" s="194">
        <v>5.09</v>
      </c>
      <c r="AA1723" s="194">
        <v>5.165</v>
      </c>
      <c r="AB1723" s="46">
        <v>5.13</v>
      </c>
      <c r="AC1723" s="46">
        <v>5.15</v>
      </c>
      <c r="AD1723" s="46">
        <v>5.12</v>
      </c>
      <c r="AE1723" s="46">
        <v>5.14</v>
      </c>
    </row>
    <row r="1724" spans="1:31" x14ac:dyDescent="0.25">
      <c r="A1724" s="136">
        <v>43083</v>
      </c>
      <c r="B1724" s="201" t="s">
        <v>124</v>
      </c>
      <c r="C1724" t="s">
        <v>125</v>
      </c>
      <c r="D1724">
        <v>100</v>
      </c>
      <c r="E1724">
        <v>100</v>
      </c>
      <c r="F1724">
        <v>-53.579000000000001</v>
      </c>
      <c r="G1724">
        <v>5946.9</v>
      </c>
      <c r="H1724">
        <v>0</v>
      </c>
      <c r="I1724" s="309">
        <v>589</v>
      </c>
      <c r="J1724">
        <v>5.89</v>
      </c>
      <c r="K1724" s="133">
        <v>1.0462246380005E-3</v>
      </c>
      <c r="L1724" s="181">
        <v>-1</v>
      </c>
      <c r="M1724" s="133">
        <v>0</v>
      </c>
      <c r="Y1724" s="193">
        <v>5.9870000000000001</v>
      </c>
      <c r="Z1724" s="193">
        <v>4.6719999999999997</v>
      </c>
      <c r="AA1724" s="193">
        <v>5.8390000000000004</v>
      </c>
      <c r="AB1724" s="46">
        <v>5.9</v>
      </c>
      <c r="AC1724" s="46">
        <v>5.97</v>
      </c>
      <c r="AD1724" s="46">
        <v>5.88</v>
      </c>
      <c r="AE1724" s="46">
        <v>5.89</v>
      </c>
    </row>
    <row r="1725" spans="1:31" x14ac:dyDescent="0.25">
      <c r="A1725" s="136">
        <v>43083</v>
      </c>
      <c r="B1725" s="201" t="s">
        <v>71</v>
      </c>
      <c r="C1725" t="s">
        <v>126</v>
      </c>
      <c r="D1725">
        <v>2800</v>
      </c>
      <c r="E1725">
        <v>2800</v>
      </c>
      <c r="F1725">
        <v>5.9390000000000001</v>
      </c>
      <c r="G1725">
        <v>674.38</v>
      </c>
      <c r="H1725">
        <v>4.0599999999999996</v>
      </c>
      <c r="I1725" s="309">
        <v>17304</v>
      </c>
      <c r="J1725">
        <v>6.18</v>
      </c>
      <c r="K1725" s="133">
        <v>3.07366233208161E-2</v>
      </c>
      <c r="L1725" s="181">
        <v>-224</v>
      </c>
      <c r="M1725" s="133">
        <v>2.9538740517123799E-2</v>
      </c>
      <c r="N1725" s="73">
        <v>2864.0619999999999</v>
      </c>
      <c r="O1725" s="73">
        <v>228.52771916537799</v>
      </c>
      <c r="P1725" s="182">
        <v>2</v>
      </c>
      <c r="Q1725" s="182">
        <v>1000</v>
      </c>
      <c r="R1725" s="46">
        <v>6.45</v>
      </c>
      <c r="S1725" s="46">
        <v>2</v>
      </c>
      <c r="T1725" s="46">
        <v>900</v>
      </c>
      <c r="U1725" s="46">
        <v>6.3920000000000003</v>
      </c>
      <c r="V1725" s="46" t="s">
        <v>62</v>
      </c>
      <c r="W1725" s="46">
        <v>100</v>
      </c>
      <c r="X1725" s="46">
        <v>6.9720000000000004</v>
      </c>
      <c r="Y1725" s="194">
        <v>6.1840000000000002</v>
      </c>
      <c r="Z1725" s="194">
        <v>6.2729999999999997</v>
      </c>
      <c r="AA1725" s="194">
        <v>6.5220000000000002</v>
      </c>
      <c r="AB1725" s="46">
        <v>6.23</v>
      </c>
      <c r="AC1725" s="46">
        <v>6.26</v>
      </c>
      <c r="AD1725" s="46">
        <v>6.16</v>
      </c>
      <c r="AE1725" s="46">
        <v>6.18</v>
      </c>
    </row>
    <row r="1726" spans="1:31" x14ac:dyDescent="0.25">
      <c r="A1726" s="136">
        <v>43083</v>
      </c>
      <c r="B1726" s="201" t="s">
        <v>79</v>
      </c>
      <c r="C1726" t="s">
        <v>143</v>
      </c>
      <c r="D1726">
        <v>5100</v>
      </c>
      <c r="E1726">
        <v>5100</v>
      </c>
      <c r="F1726">
        <v>16.952999999999999</v>
      </c>
      <c r="G1726">
        <v>-8122.16</v>
      </c>
      <c r="H1726">
        <v>-9.4</v>
      </c>
      <c r="I1726" s="309">
        <v>78336</v>
      </c>
      <c r="J1726">
        <v>15.36</v>
      </c>
      <c r="K1726" s="133">
        <v>0.139146100581337</v>
      </c>
      <c r="L1726" s="181">
        <v>-153</v>
      </c>
      <c r="M1726" s="133">
        <v>0.15357327189845399</v>
      </c>
      <c r="N1726" s="73">
        <v>-7409.7400000000198</v>
      </c>
      <c r="O1726" s="73">
        <v>-477.808718064517</v>
      </c>
      <c r="P1726" s="182">
        <v>9</v>
      </c>
      <c r="Q1726" s="182">
        <v>5000</v>
      </c>
      <c r="R1726" s="46">
        <v>16.971</v>
      </c>
      <c r="S1726" s="46">
        <v>0</v>
      </c>
      <c r="T1726" s="46">
        <v>0</v>
      </c>
      <c r="U1726" s="46">
        <v>0</v>
      </c>
      <c r="V1726" s="46" t="s">
        <v>62</v>
      </c>
      <c r="W1726" s="46">
        <v>5000</v>
      </c>
      <c r="X1726" s="46">
        <v>16.971</v>
      </c>
      <c r="Y1726" s="194">
        <v>15.122999999999999</v>
      </c>
      <c r="Z1726" s="194">
        <v>15.763999999999999</v>
      </c>
      <c r="AA1726" s="194">
        <v>15.641</v>
      </c>
      <c r="AB1726" s="46">
        <v>15.3</v>
      </c>
      <c r="AC1726" s="46">
        <v>15.39</v>
      </c>
      <c r="AD1726" s="46">
        <v>15.24</v>
      </c>
      <c r="AE1726" s="46">
        <v>15.36</v>
      </c>
    </row>
    <row r="1727" spans="1:31" x14ac:dyDescent="0.25">
      <c r="A1727" s="136">
        <v>43083</v>
      </c>
      <c r="B1727" s="201" t="s">
        <v>65</v>
      </c>
      <c r="C1727" t="s">
        <v>127</v>
      </c>
      <c r="D1727">
        <v>13200</v>
      </c>
      <c r="E1727">
        <v>12700</v>
      </c>
      <c r="F1727">
        <v>10.417999999999999</v>
      </c>
      <c r="G1727">
        <v>5572.29</v>
      </c>
      <c r="H1727">
        <v>4.05</v>
      </c>
      <c r="I1727" s="309">
        <v>143088</v>
      </c>
      <c r="J1727">
        <v>10.84</v>
      </c>
      <c r="K1727" s="133">
        <v>0.25416331239765</v>
      </c>
      <c r="L1727" s="181">
        <v>-2682</v>
      </c>
      <c r="M1727" s="133">
        <v>0.24426540562671001</v>
      </c>
      <c r="N1727" s="73">
        <v>1553.8520000000101</v>
      </c>
      <c r="O1727" s="73">
        <v>537.06149145947302</v>
      </c>
      <c r="P1727" s="182">
        <v>4</v>
      </c>
      <c r="Q1727" s="182">
        <v>1900</v>
      </c>
      <c r="R1727" s="46">
        <v>10.843</v>
      </c>
      <c r="S1727" s="46">
        <v>13</v>
      </c>
      <c r="T1727" s="46">
        <v>5600</v>
      </c>
      <c r="U1727" s="46">
        <v>12.551</v>
      </c>
      <c r="V1727" s="46" t="s">
        <v>68</v>
      </c>
      <c r="W1727" s="46">
        <v>3700</v>
      </c>
      <c r="X1727" s="46">
        <v>13.428000000000001</v>
      </c>
      <c r="Y1727" s="194">
        <v>10.888</v>
      </c>
      <c r="Z1727" s="194">
        <v>11.356999999999999</v>
      </c>
      <c r="AA1727" s="194">
        <v>11.68</v>
      </c>
      <c r="AB1727" s="46">
        <v>11.05</v>
      </c>
      <c r="AC1727" s="46">
        <v>11.06</v>
      </c>
      <c r="AD1727" s="46">
        <v>10.81</v>
      </c>
      <c r="AE1727" s="46">
        <v>10.84</v>
      </c>
    </row>
    <row r="1728" spans="1:31" x14ac:dyDescent="0.25">
      <c r="A1728" s="136">
        <v>43083</v>
      </c>
      <c r="B1728" s="201" t="s">
        <v>77</v>
      </c>
      <c r="C1728" t="s">
        <v>128</v>
      </c>
      <c r="D1728">
        <v>5000</v>
      </c>
      <c r="E1728">
        <v>5000</v>
      </c>
      <c r="F1728">
        <v>5.9980000000000002</v>
      </c>
      <c r="G1728">
        <v>-838.06</v>
      </c>
      <c r="H1728">
        <v>-2.8</v>
      </c>
      <c r="I1728" s="309">
        <v>29150</v>
      </c>
      <c r="J1728">
        <v>5.83</v>
      </c>
      <c r="K1728" s="133">
        <v>5.1778350081009603E-2</v>
      </c>
      <c r="L1728" s="181">
        <v>150</v>
      </c>
      <c r="M1728" s="133">
        <v>5.3266973205156803E-2</v>
      </c>
      <c r="N1728" s="73">
        <v>-1493.0060000000001</v>
      </c>
      <c r="O1728" s="73">
        <v>-171.122327068966</v>
      </c>
      <c r="P1728" s="182">
        <v>8</v>
      </c>
      <c r="Q1728" s="182">
        <v>4000</v>
      </c>
      <c r="R1728" s="46">
        <v>6.6230000000000002</v>
      </c>
      <c r="S1728" s="46">
        <v>0</v>
      </c>
      <c r="T1728" s="46">
        <v>0</v>
      </c>
      <c r="U1728" s="46">
        <v>0</v>
      </c>
      <c r="V1728" s="46" t="s">
        <v>62</v>
      </c>
      <c r="W1728" s="46">
        <v>4000</v>
      </c>
      <c r="X1728" s="46">
        <v>6.6230000000000002</v>
      </c>
      <c r="Y1728" s="194">
        <v>5.7</v>
      </c>
      <c r="Z1728" s="194">
        <v>6.0510000000000002</v>
      </c>
      <c r="AA1728" s="194">
        <v>6.51</v>
      </c>
      <c r="AB1728" s="46">
        <v>5.8</v>
      </c>
      <c r="AC1728" s="46">
        <v>5.87</v>
      </c>
      <c r="AD1728" s="46">
        <v>5.75</v>
      </c>
      <c r="AE1728" s="46">
        <v>5.83</v>
      </c>
    </row>
    <row r="1729" spans="1:31" x14ac:dyDescent="0.25">
      <c r="A1729" s="136">
        <v>43083</v>
      </c>
      <c r="B1729" s="201" t="s">
        <v>67</v>
      </c>
      <c r="C1729" t="s">
        <v>129</v>
      </c>
      <c r="D1729">
        <v>9850</v>
      </c>
      <c r="E1729">
        <v>9450</v>
      </c>
      <c r="F1729">
        <v>8.7029999999999994</v>
      </c>
      <c r="G1729">
        <v>-5451.55</v>
      </c>
      <c r="H1729">
        <v>-6.35</v>
      </c>
      <c r="I1729" s="309">
        <v>80277.5</v>
      </c>
      <c r="J1729">
        <v>8.15</v>
      </c>
      <c r="K1729" s="133">
        <v>0.14259473408673201</v>
      </c>
      <c r="L1729" s="181">
        <v>1557.21</v>
      </c>
      <c r="M1729" s="133">
        <v>0.152278173688246</v>
      </c>
      <c r="N1729" s="73">
        <v>45658.627</v>
      </c>
      <c r="O1729" s="73">
        <v>-579.30959203166003</v>
      </c>
      <c r="P1729" s="182">
        <v>12</v>
      </c>
      <c r="Q1729" s="182">
        <v>6000</v>
      </c>
      <c r="R1729" s="46">
        <v>7.1980000000000004</v>
      </c>
      <c r="S1729" s="46">
        <v>5</v>
      </c>
      <c r="T1729" s="46">
        <v>2000</v>
      </c>
      <c r="U1729" s="46">
        <v>8.7560000000000002</v>
      </c>
      <c r="V1729" s="46" t="s">
        <v>62</v>
      </c>
      <c r="W1729" s="46">
        <v>4000</v>
      </c>
      <c r="X1729" s="46">
        <v>6.4189999999999996</v>
      </c>
      <c r="Y1729" s="193">
        <v>8.2089999999999996</v>
      </c>
      <c r="Z1729" s="194">
        <v>7.2869999999999999</v>
      </c>
      <c r="AA1729" s="194">
        <v>8.7550000000000008</v>
      </c>
      <c r="AB1729" s="46">
        <v>8.01</v>
      </c>
      <c r="AC1729" s="46">
        <v>8.2799999999999994</v>
      </c>
      <c r="AD1729" s="46">
        <v>8.01</v>
      </c>
      <c r="AE1729" s="46">
        <v>8.15</v>
      </c>
    </row>
    <row r="1730" spans="1:31" x14ac:dyDescent="0.25">
      <c r="A1730" s="136">
        <v>43083</v>
      </c>
      <c r="B1730" s="201" t="s">
        <v>78</v>
      </c>
      <c r="C1730" t="s">
        <v>142</v>
      </c>
      <c r="D1730">
        <v>600</v>
      </c>
      <c r="E1730">
        <v>600</v>
      </c>
      <c r="F1730">
        <v>10.680999999999999</v>
      </c>
      <c r="G1730">
        <v>-84.7</v>
      </c>
      <c r="H1730">
        <v>-1.32</v>
      </c>
      <c r="I1730" s="309">
        <v>6324</v>
      </c>
      <c r="J1730">
        <v>10.54</v>
      </c>
      <c r="K1730" s="133">
        <v>1.12331487448475E-2</v>
      </c>
      <c r="L1730" s="181">
        <v>-12</v>
      </c>
      <c r="M1730" s="133">
        <v>1.13835990450829E-2</v>
      </c>
      <c r="N1730" s="73">
        <v>-42.695999999999898</v>
      </c>
      <c r="O1730" s="73">
        <v>-4.0221161168708699</v>
      </c>
      <c r="P1730" s="182">
        <v>2</v>
      </c>
      <c r="Q1730" s="182">
        <v>1000</v>
      </c>
      <c r="R1730" s="46">
        <v>11.085000000000001</v>
      </c>
      <c r="S1730" s="46">
        <v>1</v>
      </c>
      <c r="T1730" s="46">
        <v>400</v>
      </c>
      <c r="U1730" s="46">
        <v>11.74</v>
      </c>
      <c r="V1730" s="46" t="s">
        <v>62</v>
      </c>
      <c r="W1730" s="46">
        <v>600</v>
      </c>
      <c r="X1730" s="46">
        <v>10.648</v>
      </c>
      <c r="Y1730" s="194">
        <v>10.37</v>
      </c>
      <c r="Z1730" s="194">
        <v>11.391999999999999</v>
      </c>
      <c r="AA1730" s="194">
        <v>11.269</v>
      </c>
      <c r="AB1730" s="46">
        <v>10.51</v>
      </c>
      <c r="AC1730" s="46">
        <v>10.59</v>
      </c>
      <c r="AD1730" s="46">
        <v>10.46</v>
      </c>
      <c r="AE1730" s="46">
        <v>10.54</v>
      </c>
    </row>
    <row r="1731" spans="1:31" x14ac:dyDescent="0.25">
      <c r="A1731" s="136">
        <v>43083</v>
      </c>
      <c r="B1731" s="201" t="s">
        <v>72</v>
      </c>
      <c r="C1731" t="s">
        <v>130</v>
      </c>
      <c r="D1731">
        <v>2400</v>
      </c>
      <c r="E1731">
        <v>1900</v>
      </c>
      <c r="F1731">
        <v>7.2279999999999998</v>
      </c>
      <c r="G1731">
        <v>-691.18</v>
      </c>
      <c r="H1731">
        <v>-3.98</v>
      </c>
      <c r="I1731" s="309">
        <v>16656</v>
      </c>
      <c r="J1731">
        <v>6.94</v>
      </c>
      <c r="K1731" s="133">
        <v>2.9585598591742601E-2</v>
      </c>
      <c r="L1731" s="181">
        <v>-286</v>
      </c>
      <c r="M1731" s="133">
        <v>3.0813322777299802E-2</v>
      </c>
      <c r="N1731" s="73">
        <v>-840.89199999999198</v>
      </c>
      <c r="O1731" s="73">
        <v>-88.790876470585204</v>
      </c>
      <c r="P1731" s="182">
        <v>0</v>
      </c>
      <c r="Q1731" s="182">
        <v>0</v>
      </c>
      <c r="R1731" s="46">
        <v>0</v>
      </c>
      <c r="S1731" s="46">
        <v>11</v>
      </c>
      <c r="T1731" s="46">
        <v>4600</v>
      </c>
      <c r="U1731" s="46">
        <v>8.2739999999999991</v>
      </c>
      <c r="V1731" s="46" t="s">
        <v>68</v>
      </c>
      <c r="W1731" s="46">
        <v>4600</v>
      </c>
      <c r="X1731" s="46">
        <v>8.2739999999999991</v>
      </c>
      <c r="Y1731" s="194">
        <v>6.9480000000000004</v>
      </c>
      <c r="Z1731" s="194">
        <v>7.0030000000000001</v>
      </c>
      <c r="AA1731" s="194">
        <v>7.0209999999999999</v>
      </c>
      <c r="AB1731" s="46">
        <v>7.07</v>
      </c>
      <c r="AC1731" s="46">
        <v>7.08</v>
      </c>
      <c r="AD1731" s="46">
        <v>6.9</v>
      </c>
      <c r="AE1731" s="46">
        <v>6.94</v>
      </c>
    </row>
    <row r="1732" spans="1:31" x14ac:dyDescent="0.25">
      <c r="A1732" s="136">
        <v>43083</v>
      </c>
      <c r="B1732" s="201" t="s">
        <v>70</v>
      </c>
      <c r="C1732" t="s">
        <v>131</v>
      </c>
      <c r="D1732">
        <v>10300</v>
      </c>
      <c r="E1732">
        <v>10300</v>
      </c>
      <c r="F1732">
        <v>12.253</v>
      </c>
      <c r="G1732">
        <v>-12702.2</v>
      </c>
      <c r="H1732">
        <v>-10.06</v>
      </c>
      <c r="I1732" s="309">
        <v>113506</v>
      </c>
      <c r="J1732">
        <v>11.02</v>
      </c>
      <c r="K1732" s="133">
        <v>0.20161761249725799</v>
      </c>
      <c r="L1732" s="181">
        <v>206</v>
      </c>
      <c r="M1732" s="133">
        <v>0.224180183968922</v>
      </c>
      <c r="N1732" s="73">
        <v>-12907.186</v>
      </c>
      <c r="O1732" s="73">
        <v>-1172.7938551818199</v>
      </c>
      <c r="P1732" s="182">
        <v>2</v>
      </c>
      <c r="Q1732" s="182">
        <v>1000</v>
      </c>
      <c r="R1732" s="46">
        <v>10.89</v>
      </c>
      <c r="S1732" s="46">
        <v>5</v>
      </c>
      <c r="T1732" s="46">
        <v>2000</v>
      </c>
      <c r="U1732" s="46">
        <v>12.997999999999999</v>
      </c>
      <c r="V1732" s="46" t="s">
        <v>68</v>
      </c>
      <c r="W1732" s="46">
        <v>1000</v>
      </c>
      <c r="X1732" s="46">
        <v>15.106</v>
      </c>
      <c r="Y1732" s="193">
        <v>11.096</v>
      </c>
      <c r="Z1732" s="194">
        <v>12.353999999999999</v>
      </c>
      <c r="AA1732" s="194">
        <v>12.3</v>
      </c>
      <c r="AB1732" s="46">
        <v>11.01</v>
      </c>
      <c r="AC1732" s="46">
        <v>11.07</v>
      </c>
      <c r="AD1732" s="46">
        <v>10.93</v>
      </c>
      <c r="AE1732" s="46">
        <v>11.02</v>
      </c>
    </row>
    <row r="1733" spans="1:31" x14ac:dyDescent="0.25">
      <c r="A1733" s="136">
        <v>43083</v>
      </c>
      <c r="B1733" s="201" t="s">
        <v>137</v>
      </c>
      <c r="C1733" t="s">
        <v>138</v>
      </c>
      <c r="D1733">
        <v>100</v>
      </c>
      <c r="E1733">
        <v>100</v>
      </c>
      <c r="F1733">
        <v>-130.48500000000001</v>
      </c>
      <c r="G1733">
        <v>16757.5</v>
      </c>
      <c r="H1733">
        <v>0</v>
      </c>
      <c r="I1733" s="309">
        <v>3709</v>
      </c>
      <c r="J1733">
        <v>37.090000000000003</v>
      </c>
      <c r="K1733" s="133">
        <v>6.5881955557620803E-3</v>
      </c>
      <c r="L1733" s="181">
        <v>49</v>
      </c>
      <c r="M1733" s="133">
        <v>0</v>
      </c>
    </row>
    <row r="1734" spans="1:31" x14ac:dyDescent="0.25">
      <c r="A1734" s="136">
        <v>43083</v>
      </c>
      <c r="B1734" s="201" t="s">
        <v>144</v>
      </c>
      <c r="C1734" t="s">
        <v>145</v>
      </c>
      <c r="D1734">
        <v>40</v>
      </c>
      <c r="E1734">
        <v>0</v>
      </c>
      <c r="F1734">
        <v>100</v>
      </c>
      <c r="G1734">
        <v>0</v>
      </c>
      <c r="H1734">
        <v>0</v>
      </c>
      <c r="I1734" s="309">
        <v>4000</v>
      </c>
      <c r="J1734">
        <v>100</v>
      </c>
      <c r="K1734" s="133">
        <v>7.1050909202071497E-3</v>
      </c>
      <c r="L1734" s="181">
        <v>0</v>
      </c>
      <c r="M1734" s="133">
        <v>7.1050909202071497E-3</v>
      </c>
    </row>
    <row r="1735" spans="1:31" x14ac:dyDescent="0.25">
      <c r="A1735" s="136">
        <v>43083</v>
      </c>
      <c r="B1735" s="201" t="s">
        <v>835</v>
      </c>
      <c r="C1735" t="s">
        <v>839</v>
      </c>
      <c r="I1735" s="309">
        <v>51781.97</v>
      </c>
      <c r="K1735" s="133">
        <v>9.1978901219359699E-2</v>
      </c>
      <c r="L1735" s="181">
        <v>0</v>
      </c>
      <c r="M1735" s="133">
        <v>9.2449862171005703E-2</v>
      </c>
    </row>
    <row r="1736" spans="1:31" x14ac:dyDescent="0.25">
      <c r="A1736" s="136">
        <v>43084</v>
      </c>
      <c r="B1736" s="201" t="s">
        <v>132</v>
      </c>
      <c r="C1736" t="s">
        <v>123</v>
      </c>
      <c r="D1736">
        <v>26517</v>
      </c>
      <c r="E1736">
        <v>26517</v>
      </c>
      <c r="F1736">
        <v>-9.2999999999999999E-2</v>
      </c>
      <c r="G1736">
        <v>2731.2510000000002</v>
      </c>
      <c r="H1736">
        <v>0</v>
      </c>
      <c r="I1736" s="309">
        <v>265.17</v>
      </c>
      <c r="J1736">
        <v>0.01</v>
      </c>
      <c r="K1736" s="133">
        <v>4.71156504875511E-4</v>
      </c>
      <c r="L1736" s="181">
        <v>0.30900000000019601</v>
      </c>
      <c r="M1736" s="133">
        <v>0</v>
      </c>
    </row>
    <row r="1737" spans="1:31" x14ac:dyDescent="0.25">
      <c r="A1737" s="136">
        <v>43084</v>
      </c>
      <c r="B1737" s="201" t="s">
        <v>61</v>
      </c>
      <c r="C1737" t="s">
        <v>136</v>
      </c>
      <c r="D1737">
        <v>3500</v>
      </c>
      <c r="E1737">
        <v>3500</v>
      </c>
      <c r="F1737">
        <v>5.3070000000000004</v>
      </c>
      <c r="G1737">
        <v>-688.52</v>
      </c>
      <c r="H1737">
        <v>-3.71</v>
      </c>
      <c r="I1737" s="309">
        <v>17885</v>
      </c>
      <c r="J1737">
        <v>5.1100000000000003</v>
      </c>
      <c r="K1737" s="133">
        <v>3.17782331700363E-2</v>
      </c>
      <c r="L1737" s="181">
        <v>-105</v>
      </c>
      <c r="M1737" s="133">
        <v>3.3001601864597802E-2</v>
      </c>
      <c r="N1737" s="73">
        <v>-587.26800000000003</v>
      </c>
      <c r="O1737" s="73">
        <v>-114.19734747081699</v>
      </c>
      <c r="P1737" s="182">
        <v>6</v>
      </c>
      <c r="Q1737" s="182">
        <v>3000</v>
      </c>
      <c r="R1737" s="46">
        <v>5.31</v>
      </c>
      <c r="S1737" s="46">
        <v>0</v>
      </c>
      <c r="T1737" s="46">
        <v>0</v>
      </c>
      <c r="U1737" s="46">
        <v>0</v>
      </c>
      <c r="V1737" s="46" t="s">
        <v>62</v>
      </c>
      <c r="W1737" s="46">
        <v>3000</v>
      </c>
      <c r="X1737" s="46">
        <v>5.31</v>
      </c>
      <c r="Y1737" s="194">
        <v>5.1029999999999998</v>
      </c>
      <c r="Z1737" s="194">
        <v>5.093</v>
      </c>
      <c r="AA1737" s="194">
        <v>5.1630000000000003</v>
      </c>
      <c r="AB1737" s="46">
        <v>5.13</v>
      </c>
      <c r="AC1737" s="46">
        <v>5.14</v>
      </c>
      <c r="AD1737" s="46">
        <v>5.09</v>
      </c>
      <c r="AE1737" s="46">
        <v>5.1100000000000003</v>
      </c>
    </row>
    <row r="1738" spans="1:31" x14ac:dyDescent="0.25">
      <c r="A1738" s="136">
        <v>43084</v>
      </c>
      <c r="B1738" s="201" t="s">
        <v>124</v>
      </c>
      <c r="C1738" t="s">
        <v>125</v>
      </c>
      <c r="D1738">
        <v>100</v>
      </c>
      <c r="E1738">
        <v>100</v>
      </c>
      <c r="F1738">
        <v>-53.579000000000001</v>
      </c>
      <c r="G1738">
        <v>5943.9</v>
      </c>
      <c r="H1738">
        <v>0</v>
      </c>
      <c r="I1738" s="309">
        <v>586</v>
      </c>
      <c r="J1738">
        <v>5.86</v>
      </c>
      <c r="K1738" s="133">
        <v>1.04121021177754E-3</v>
      </c>
      <c r="L1738" s="181">
        <v>-3</v>
      </c>
      <c r="M1738" s="133">
        <v>0</v>
      </c>
      <c r="Y1738" s="194">
        <v>5.516</v>
      </c>
      <c r="Z1738" s="193">
        <v>4.6660000000000004</v>
      </c>
      <c r="AA1738" s="193">
        <v>5.8390000000000004</v>
      </c>
      <c r="AB1738" s="46">
        <v>5.88</v>
      </c>
      <c r="AC1738" s="46">
        <v>5.89</v>
      </c>
      <c r="AD1738" s="46">
        <v>5.83</v>
      </c>
      <c r="AE1738" s="46">
        <v>5.86</v>
      </c>
    </row>
    <row r="1739" spans="1:31" x14ac:dyDescent="0.25">
      <c r="A1739" s="136">
        <v>43084</v>
      </c>
      <c r="B1739" s="201" t="s">
        <v>71</v>
      </c>
      <c r="C1739" t="s">
        <v>126</v>
      </c>
      <c r="D1739">
        <v>2800</v>
      </c>
      <c r="E1739">
        <v>2800</v>
      </c>
      <c r="F1739">
        <v>5.9390000000000001</v>
      </c>
      <c r="G1739">
        <v>506.38</v>
      </c>
      <c r="H1739">
        <v>3.05</v>
      </c>
      <c r="I1739" s="309">
        <v>17136</v>
      </c>
      <c r="J1739">
        <v>6.12</v>
      </c>
      <c r="K1739" s="133">
        <v>3.0447403052934901E-2</v>
      </c>
      <c r="L1739" s="181">
        <v>-168</v>
      </c>
      <c r="M1739" s="133">
        <v>2.9547662392457302E-2</v>
      </c>
      <c r="N1739" s="73">
        <v>2864.0619999999999</v>
      </c>
      <c r="O1739" s="73">
        <v>228.52771916537799</v>
      </c>
      <c r="P1739" s="182">
        <v>2</v>
      </c>
      <c r="Q1739" s="182">
        <v>1000</v>
      </c>
      <c r="R1739" s="46">
        <v>6.45</v>
      </c>
      <c r="S1739" s="46">
        <v>2</v>
      </c>
      <c r="T1739" s="46">
        <v>900</v>
      </c>
      <c r="U1739" s="46">
        <v>6.3920000000000003</v>
      </c>
      <c r="V1739" s="46" t="s">
        <v>62</v>
      </c>
      <c r="W1739" s="46">
        <v>100</v>
      </c>
      <c r="X1739" s="46">
        <v>6.9720000000000004</v>
      </c>
      <c r="Y1739" s="194">
        <v>6.1109999999999998</v>
      </c>
      <c r="Z1739" s="194">
        <v>6.27</v>
      </c>
      <c r="AA1739" s="194">
        <v>6.52</v>
      </c>
      <c r="AB1739" s="46">
        <v>6.18</v>
      </c>
      <c r="AC1739" s="46">
        <v>6.18</v>
      </c>
      <c r="AD1739" s="46">
        <v>6.11</v>
      </c>
      <c r="AE1739" s="46">
        <v>6.12</v>
      </c>
    </row>
    <row r="1740" spans="1:31" x14ac:dyDescent="0.25">
      <c r="A1740" s="136">
        <v>43084</v>
      </c>
      <c r="B1740" s="201" t="s">
        <v>79</v>
      </c>
      <c r="C1740" t="s">
        <v>143</v>
      </c>
      <c r="D1740">
        <v>5100</v>
      </c>
      <c r="E1740">
        <v>5100</v>
      </c>
      <c r="F1740">
        <v>16.952999999999999</v>
      </c>
      <c r="G1740">
        <v>-8071.16</v>
      </c>
      <c r="H1740">
        <v>-9.34</v>
      </c>
      <c r="I1740" s="309">
        <v>78387</v>
      </c>
      <c r="J1740">
        <v>15.37</v>
      </c>
      <c r="K1740" s="133">
        <v>0.139278745512979</v>
      </c>
      <c r="L1740" s="181">
        <v>51</v>
      </c>
      <c r="M1740" s="133">
        <v>0.153619657139072</v>
      </c>
      <c r="N1740" s="73">
        <v>-7409.7400000000198</v>
      </c>
      <c r="O1740" s="73">
        <v>-477.808718064517</v>
      </c>
      <c r="P1740" s="182">
        <v>9</v>
      </c>
      <c r="Q1740" s="182">
        <v>5000</v>
      </c>
      <c r="R1740" s="46">
        <v>16.971</v>
      </c>
      <c r="S1740" s="46">
        <v>0</v>
      </c>
      <c r="T1740" s="46">
        <v>0</v>
      </c>
      <c r="U1740" s="46">
        <v>0</v>
      </c>
      <c r="V1740" s="46" t="s">
        <v>62</v>
      </c>
      <c r="W1740" s="46">
        <v>5000</v>
      </c>
      <c r="X1740" s="46">
        <v>16.971</v>
      </c>
      <c r="Y1740" s="193">
        <v>15.526</v>
      </c>
      <c r="Z1740" s="194">
        <v>15.766999999999999</v>
      </c>
      <c r="AA1740" s="194">
        <v>15.606999999999999</v>
      </c>
      <c r="AB1740" s="46">
        <v>15.33</v>
      </c>
      <c r="AC1740" s="46">
        <v>15.4</v>
      </c>
      <c r="AD1740" s="46">
        <v>15.27</v>
      </c>
      <c r="AE1740" s="46">
        <v>15.37</v>
      </c>
    </row>
    <row r="1741" spans="1:31" x14ac:dyDescent="0.25">
      <c r="A1741" s="136">
        <v>43084</v>
      </c>
      <c r="B1741" s="201" t="s">
        <v>65</v>
      </c>
      <c r="C1741" t="s">
        <v>127</v>
      </c>
      <c r="D1741">
        <v>13700</v>
      </c>
      <c r="E1741">
        <v>13200</v>
      </c>
      <c r="F1741">
        <v>10.43</v>
      </c>
      <c r="G1741">
        <v>4252.29</v>
      </c>
      <c r="H1741">
        <v>2.97</v>
      </c>
      <c r="I1741" s="309">
        <v>147138</v>
      </c>
      <c r="J1741">
        <v>10.74</v>
      </c>
      <c r="K1741" s="133">
        <v>0.26143615723638802</v>
      </c>
      <c r="L1741" s="181">
        <v>-1320</v>
      </c>
      <c r="M1741" s="133">
        <v>0.25388064909399999</v>
      </c>
      <c r="N1741" s="73">
        <v>-167.14799999999201</v>
      </c>
      <c r="O1741" s="73">
        <v>383.25706404938302</v>
      </c>
      <c r="P1741" s="182">
        <v>5</v>
      </c>
      <c r="Q1741" s="182">
        <v>2400</v>
      </c>
      <c r="R1741" s="46">
        <v>10.82</v>
      </c>
      <c r="S1741" s="46">
        <v>13</v>
      </c>
      <c r="T1741" s="46">
        <v>5600</v>
      </c>
      <c r="U1741" s="46">
        <v>12.551</v>
      </c>
      <c r="V1741" s="46" t="s">
        <v>68</v>
      </c>
      <c r="W1741" s="46">
        <v>3200</v>
      </c>
      <c r="X1741" s="46">
        <v>13.849</v>
      </c>
      <c r="Y1741" s="193">
        <v>10.949</v>
      </c>
      <c r="Z1741" s="194">
        <v>11.358000000000001</v>
      </c>
      <c r="AA1741" s="194">
        <v>11.675000000000001</v>
      </c>
      <c r="AB1741" s="46">
        <v>10.8</v>
      </c>
      <c r="AC1741" s="46">
        <v>10.82</v>
      </c>
      <c r="AD1741" s="46">
        <v>10.7</v>
      </c>
      <c r="AE1741" s="46">
        <v>10.74</v>
      </c>
    </row>
    <row r="1742" spans="1:31" x14ac:dyDescent="0.25">
      <c r="A1742" s="136">
        <v>43084</v>
      </c>
      <c r="B1742" s="201" t="s">
        <v>77</v>
      </c>
      <c r="C1742" t="s">
        <v>128</v>
      </c>
      <c r="D1742">
        <v>5000</v>
      </c>
      <c r="E1742">
        <v>5000</v>
      </c>
      <c r="F1742">
        <v>5.9980000000000002</v>
      </c>
      <c r="G1742">
        <v>-888.06</v>
      </c>
      <c r="H1742">
        <v>-2.97</v>
      </c>
      <c r="I1742" s="309">
        <v>29100</v>
      </c>
      <c r="J1742">
        <v>5.82</v>
      </c>
      <c r="K1742" s="133">
        <v>5.17051487418538E-2</v>
      </c>
      <c r="L1742" s="181">
        <v>-50</v>
      </c>
      <c r="M1742" s="133">
        <v>5.32830619511903E-2</v>
      </c>
      <c r="N1742" s="73">
        <v>-1493.0060000000001</v>
      </c>
      <c r="O1742" s="73">
        <v>-171.122327068966</v>
      </c>
      <c r="P1742" s="182">
        <v>8</v>
      </c>
      <c r="Q1742" s="182">
        <v>4000</v>
      </c>
      <c r="R1742" s="46">
        <v>6.6230000000000002</v>
      </c>
      <c r="S1742" s="46">
        <v>0</v>
      </c>
      <c r="T1742" s="46">
        <v>0</v>
      </c>
      <c r="U1742" s="46">
        <v>0</v>
      </c>
      <c r="V1742" s="46" t="s">
        <v>62</v>
      </c>
      <c r="W1742" s="46">
        <v>4000</v>
      </c>
      <c r="X1742" s="46">
        <v>6.6230000000000002</v>
      </c>
      <c r="Y1742" s="194">
        <v>5.6120000000000001</v>
      </c>
      <c r="Z1742" s="194">
        <v>6.0330000000000004</v>
      </c>
      <c r="AA1742" s="194">
        <v>6.5019999999999998</v>
      </c>
      <c r="AB1742" s="46">
        <v>5.8</v>
      </c>
      <c r="AC1742" s="46">
        <v>5.82</v>
      </c>
      <c r="AD1742" s="46">
        <v>5.71</v>
      </c>
      <c r="AE1742" s="46">
        <v>5.82</v>
      </c>
    </row>
    <row r="1743" spans="1:31" x14ac:dyDescent="0.25">
      <c r="A1743" s="136">
        <v>43084</v>
      </c>
      <c r="B1743" s="201" t="s">
        <v>67</v>
      </c>
      <c r="C1743" t="s">
        <v>129</v>
      </c>
      <c r="D1743">
        <v>10350</v>
      </c>
      <c r="E1743">
        <v>9850</v>
      </c>
      <c r="F1743">
        <v>8.6679999999999993</v>
      </c>
      <c r="G1743">
        <v>-6500.05</v>
      </c>
      <c r="H1743">
        <v>-7.24</v>
      </c>
      <c r="I1743" s="309">
        <v>83214</v>
      </c>
      <c r="J1743">
        <v>8.0399999999999991</v>
      </c>
      <c r="K1743" s="133">
        <v>0.14785540369088099</v>
      </c>
      <c r="L1743" s="181">
        <v>-1048.5</v>
      </c>
      <c r="M1743" s="133">
        <v>0.159404752559591</v>
      </c>
      <c r="N1743" s="73">
        <v>43399.162999999899</v>
      </c>
      <c r="O1743" s="73">
        <v>-920.43239277641305</v>
      </c>
      <c r="P1743" s="182">
        <v>12</v>
      </c>
      <c r="Q1743" s="182">
        <v>6000</v>
      </c>
      <c r="R1743" s="46">
        <v>7.1980000000000004</v>
      </c>
      <c r="S1743" s="46">
        <v>4</v>
      </c>
      <c r="T1743" s="46">
        <v>1600</v>
      </c>
      <c r="U1743" s="46">
        <v>8.9329999999999998</v>
      </c>
      <c r="V1743" s="46" t="s">
        <v>62</v>
      </c>
      <c r="W1743" s="46">
        <v>4400</v>
      </c>
      <c r="X1743" s="46">
        <v>6.5670000000000002</v>
      </c>
      <c r="Y1743" s="194">
        <v>7.9829999999999997</v>
      </c>
      <c r="Z1743" s="194">
        <v>7.3570000000000002</v>
      </c>
      <c r="AA1743" s="194">
        <v>8.7479999999999993</v>
      </c>
      <c r="AB1743" s="46">
        <v>8.08</v>
      </c>
      <c r="AC1743" s="46">
        <v>8.1</v>
      </c>
      <c r="AD1743" s="46">
        <v>7.93</v>
      </c>
      <c r="AE1743" s="46">
        <v>8.0399999999999991</v>
      </c>
    </row>
    <row r="1744" spans="1:31" x14ac:dyDescent="0.25">
      <c r="A1744" s="136">
        <v>43084</v>
      </c>
      <c r="B1744" s="201" t="s">
        <v>78</v>
      </c>
      <c r="C1744" t="s">
        <v>142</v>
      </c>
      <c r="D1744">
        <v>600</v>
      </c>
      <c r="E1744">
        <v>600</v>
      </c>
      <c r="F1744">
        <v>10.680999999999999</v>
      </c>
      <c r="G1744">
        <v>-210.7</v>
      </c>
      <c r="H1744">
        <v>-3.29</v>
      </c>
      <c r="I1744" s="309">
        <v>6198</v>
      </c>
      <c r="J1744">
        <v>10.33</v>
      </c>
      <c r="K1744" s="133">
        <v>1.1012663639244301E-2</v>
      </c>
      <c r="L1744" s="181">
        <v>-126</v>
      </c>
      <c r="M1744" s="133">
        <v>1.13870373450831E-2</v>
      </c>
      <c r="N1744" s="73">
        <v>-42.695999999999898</v>
      </c>
      <c r="O1744" s="73">
        <v>-4.0221161168708699</v>
      </c>
      <c r="P1744" s="182">
        <v>2</v>
      </c>
      <c r="Q1744" s="182">
        <v>1000</v>
      </c>
      <c r="R1744" s="46">
        <v>11.085000000000001</v>
      </c>
      <c r="S1744" s="46">
        <v>1</v>
      </c>
      <c r="T1744" s="46">
        <v>400</v>
      </c>
      <c r="U1744" s="46">
        <v>11.74</v>
      </c>
      <c r="V1744" s="46" t="s">
        <v>62</v>
      </c>
      <c r="W1744" s="46">
        <v>600</v>
      </c>
      <c r="X1744" s="46">
        <v>10.648</v>
      </c>
      <c r="Y1744" s="194">
        <v>10.398999999999999</v>
      </c>
      <c r="Z1744" s="194">
        <v>11.298</v>
      </c>
      <c r="AA1744" s="194">
        <v>11.227</v>
      </c>
      <c r="AB1744" s="46">
        <v>10.51</v>
      </c>
      <c r="AC1744" s="46">
        <v>10.58</v>
      </c>
      <c r="AD1744" s="46">
        <v>10.33</v>
      </c>
      <c r="AE1744" s="46">
        <v>10.33</v>
      </c>
    </row>
    <row r="1745" spans="1:31" x14ac:dyDescent="0.25">
      <c r="A1745" s="136">
        <v>43084</v>
      </c>
      <c r="B1745" s="201" t="s">
        <v>72</v>
      </c>
      <c r="C1745" t="s">
        <v>130</v>
      </c>
      <c r="D1745">
        <v>2000</v>
      </c>
      <c r="E1745">
        <v>2000</v>
      </c>
      <c r="F1745">
        <v>7.2060000000000004</v>
      </c>
      <c r="G1745">
        <v>268.88</v>
      </c>
      <c r="H1745">
        <v>1.86</v>
      </c>
      <c r="I1745" s="309">
        <v>14680</v>
      </c>
      <c r="J1745">
        <v>7.34</v>
      </c>
      <c r="K1745" s="133">
        <v>2.6083559571491902E-2</v>
      </c>
      <c r="L1745" s="181">
        <v>960.06</v>
      </c>
      <c r="M1745" s="133">
        <v>2.5605811104354101E-2</v>
      </c>
      <c r="N1745" s="73">
        <v>87.164000000008897</v>
      </c>
      <c r="O1745" s="73">
        <v>41.945592798916003</v>
      </c>
      <c r="P1745" s="182">
        <v>0</v>
      </c>
      <c r="Q1745" s="182">
        <v>0</v>
      </c>
      <c r="R1745" s="46">
        <v>0</v>
      </c>
      <c r="S1745" s="46">
        <v>12</v>
      </c>
      <c r="T1745" s="46">
        <v>5000</v>
      </c>
      <c r="U1745" s="46">
        <v>8.2010000000000005</v>
      </c>
      <c r="V1745" s="46" t="s">
        <v>68</v>
      </c>
      <c r="W1745" s="46">
        <v>5000</v>
      </c>
      <c r="X1745" s="46">
        <v>8.2010000000000005</v>
      </c>
      <c r="Y1745" s="193">
        <v>7.2750000000000004</v>
      </c>
      <c r="Z1745" s="194">
        <v>6.92</v>
      </c>
      <c r="AA1745" s="194">
        <v>7.048</v>
      </c>
      <c r="AB1745" s="46">
        <v>6.95</v>
      </c>
      <c r="AC1745" s="46">
        <v>7.53</v>
      </c>
      <c r="AD1745" s="46">
        <v>6.92</v>
      </c>
      <c r="AE1745" s="46">
        <v>7.34</v>
      </c>
    </row>
    <row r="1746" spans="1:31" x14ac:dyDescent="0.25">
      <c r="A1746" s="136">
        <v>43084</v>
      </c>
      <c r="B1746" s="201" t="s">
        <v>70</v>
      </c>
      <c r="C1746" t="s">
        <v>131</v>
      </c>
      <c r="D1746">
        <v>9900</v>
      </c>
      <c r="E1746">
        <v>9900</v>
      </c>
      <c r="F1746">
        <v>12.287000000000001</v>
      </c>
      <c r="G1746">
        <v>-10955.78</v>
      </c>
      <c r="H1746">
        <v>-9.01</v>
      </c>
      <c r="I1746" s="309">
        <v>110682</v>
      </c>
      <c r="J1746">
        <v>11.18</v>
      </c>
      <c r="K1746" s="133">
        <v>0.19666079976102599</v>
      </c>
      <c r="L1746" s="181">
        <v>1746.42</v>
      </c>
      <c r="M1746" s="133">
        <v>0.21612713084291699</v>
      </c>
      <c r="N1746" s="73">
        <v>-8281.7660000000305</v>
      </c>
      <c r="O1746" s="73">
        <v>-722.93669144105104</v>
      </c>
      <c r="P1746" s="182">
        <v>1</v>
      </c>
      <c r="Q1746" s="182">
        <v>500</v>
      </c>
      <c r="R1746" s="46">
        <v>10.92</v>
      </c>
      <c r="S1746" s="46">
        <v>5</v>
      </c>
      <c r="T1746" s="46">
        <v>2000</v>
      </c>
      <c r="U1746" s="46">
        <v>13.087999999999999</v>
      </c>
      <c r="V1746" s="46" t="s">
        <v>68</v>
      </c>
      <c r="W1746" s="46">
        <v>1500</v>
      </c>
      <c r="X1746" s="46">
        <v>13.811</v>
      </c>
      <c r="Y1746" s="193">
        <v>11.244</v>
      </c>
      <c r="Z1746" s="194">
        <v>12.374000000000001</v>
      </c>
      <c r="AA1746" s="194">
        <v>12.287000000000001</v>
      </c>
      <c r="AB1746" s="46">
        <v>11.45</v>
      </c>
      <c r="AC1746" s="46">
        <v>11.45</v>
      </c>
      <c r="AD1746" s="46">
        <v>11.16</v>
      </c>
      <c r="AE1746" s="46">
        <v>11.18</v>
      </c>
    </row>
    <row r="1747" spans="1:31" x14ac:dyDescent="0.25">
      <c r="A1747" s="136">
        <v>43084</v>
      </c>
      <c r="B1747" s="201" t="s">
        <v>137</v>
      </c>
      <c r="C1747" t="s">
        <v>138</v>
      </c>
      <c r="D1747">
        <v>100</v>
      </c>
      <c r="E1747">
        <v>100</v>
      </c>
      <c r="F1747">
        <v>-130.48500000000001</v>
      </c>
      <c r="G1747">
        <v>16650.5</v>
      </c>
      <c r="H1747">
        <v>0</v>
      </c>
      <c r="I1747" s="309">
        <v>3602</v>
      </c>
      <c r="J1747">
        <v>36.020000000000003</v>
      </c>
      <c r="K1747" s="133">
        <v>6.4000668648851403E-3</v>
      </c>
      <c r="L1747" s="181">
        <v>-107</v>
      </c>
      <c r="M1747" s="133">
        <v>0</v>
      </c>
    </row>
    <row r="1748" spans="1:31" x14ac:dyDescent="0.25">
      <c r="A1748" s="136">
        <v>43084</v>
      </c>
      <c r="B1748" s="201" t="s">
        <v>144</v>
      </c>
      <c r="C1748" t="s">
        <v>145</v>
      </c>
      <c r="D1748">
        <v>40</v>
      </c>
      <c r="E1748">
        <v>0</v>
      </c>
      <c r="F1748">
        <v>100</v>
      </c>
      <c r="G1748">
        <v>0</v>
      </c>
      <c r="H1748">
        <v>0</v>
      </c>
      <c r="I1748" s="309">
        <v>4000</v>
      </c>
      <c r="J1748">
        <v>100</v>
      </c>
      <c r="K1748" s="133">
        <v>7.1072369404610097E-3</v>
      </c>
      <c r="L1748" s="181">
        <v>0</v>
      </c>
      <c r="M1748" s="133">
        <v>7.1072369404610097E-3</v>
      </c>
    </row>
    <row r="1749" spans="1:31" x14ac:dyDescent="0.25">
      <c r="A1749" s="136">
        <v>43084</v>
      </c>
      <c r="B1749" s="201" t="s">
        <v>835</v>
      </c>
      <c r="C1749" t="s">
        <v>839</v>
      </c>
      <c r="I1749" s="309">
        <v>49933.45</v>
      </c>
      <c r="K1749" s="133">
        <v>8.8722215101165694E-2</v>
      </c>
      <c r="L1749" s="181">
        <v>0</v>
      </c>
      <c r="M1749" s="133">
        <v>8.9193371606041197E-2</v>
      </c>
    </row>
    <row r="1750" spans="1:31" x14ac:dyDescent="0.25">
      <c r="A1750" s="136">
        <v>43087</v>
      </c>
      <c r="B1750" s="201" t="s">
        <v>132</v>
      </c>
      <c r="C1750" t="s">
        <v>123</v>
      </c>
      <c r="D1750">
        <v>26519</v>
      </c>
      <c r="E1750">
        <v>26519</v>
      </c>
      <c r="F1750">
        <v>-9.2999999999999999E-2</v>
      </c>
      <c r="G1750">
        <v>2731.4569999999999</v>
      </c>
      <c r="H1750">
        <v>0</v>
      </c>
      <c r="I1750" s="309">
        <v>265.19</v>
      </c>
      <c r="J1750">
        <v>0.01</v>
      </c>
      <c r="K1750" s="133">
        <v>4.7476240128123398E-4</v>
      </c>
      <c r="L1750" s="181">
        <v>0.205999999999676</v>
      </c>
      <c r="M1750" s="133">
        <v>0</v>
      </c>
    </row>
    <row r="1751" spans="1:31" x14ac:dyDescent="0.25">
      <c r="A1751" s="136">
        <v>43087</v>
      </c>
      <c r="B1751" s="201" t="s">
        <v>61</v>
      </c>
      <c r="C1751" t="s">
        <v>136</v>
      </c>
      <c r="D1751">
        <v>3500</v>
      </c>
      <c r="E1751">
        <v>3500</v>
      </c>
      <c r="F1751">
        <v>5.3070000000000004</v>
      </c>
      <c r="G1751">
        <v>-723.52</v>
      </c>
      <c r="H1751">
        <v>-3.9</v>
      </c>
      <c r="I1751" s="309">
        <v>17850</v>
      </c>
      <c r="J1751">
        <v>5.0999999999999996</v>
      </c>
      <c r="K1751" s="133">
        <v>3.1956366615898103E-2</v>
      </c>
      <c r="L1751" s="181">
        <v>-35</v>
      </c>
      <c r="M1751" s="133">
        <v>3.3251664676062498E-2</v>
      </c>
      <c r="N1751" s="73">
        <v>-587.26800000000003</v>
      </c>
      <c r="O1751" s="73">
        <v>-114.19734747081699</v>
      </c>
      <c r="P1751" s="182">
        <v>6</v>
      </c>
      <c r="Q1751" s="182">
        <v>3000</v>
      </c>
      <c r="R1751" s="46">
        <v>5.31</v>
      </c>
      <c r="S1751" s="46">
        <v>0</v>
      </c>
      <c r="T1751" s="46">
        <v>0</v>
      </c>
      <c r="U1751" s="46">
        <v>0</v>
      </c>
      <c r="V1751" s="46" t="s">
        <v>62</v>
      </c>
      <c r="W1751" s="46">
        <v>3000</v>
      </c>
      <c r="X1751" s="46">
        <v>5.31</v>
      </c>
      <c r="Y1751" s="194">
        <v>5.0910000000000002</v>
      </c>
      <c r="Z1751" s="194">
        <v>5.093</v>
      </c>
      <c r="AA1751" s="194">
        <v>5.1609999999999996</v>
      </c>
      <c r="AB1751" s="46">
        <v>5.1100000000000003</v>
      </c>
      <c r="AC1751" s="46">
        <v>5.12</v>
      </c>
      <c r="AD1751" s="46">
        <v>5.08</v>
      </c>
      <c r="AE1751" s="46">
        <v>5.0999999999999996</v>
      </c>
    </row>
    <row r="1752" spans="1:31" x14ac:dyDescent="0.25">
      <c r="A1752" s="136">
        <v>43087</v>
      </c>
      <c r="B1752" s="201" t="s">
        <v>124</v>
      </c>
      <c r="C1752" t="s">
        <v>125</v>
      </c>
      <c r="D1752">
        <v>100</v>
      </c>
      <c r="E1752">
        <v>100</v>
      </c>
      <c r="F1752">
        <v>-53.579000000000001</v>
      </c>
      <c r="G1752">
        <v>5949.9</v>
      </c>
      <c r="H1752">
        <v>0</v>
      </c>
      <c r="I1752" s="309">
        <v>592</v>
      </c>
      <c r="J1752">
        <v>5.92</v>
      </c>
      <c r="K1752" s="133">
        <v>1.0598414026112999E-3</v>
      </c>
      <c r="L1752" s="181">
        <v>6</v>
      </c>
      <c r="M1752" s="133">
        <v>0</v>
      </c>
      <c r="Y1752" s="193">
        <v>5.92</v>
      </c>
      <c r="Z1752" s="193">
        <v>4.7629999999999999</v>
      </c>
      <c r="AA1752" s="193">
        <v>5.8390000000000004</v>
      </c>
      <c r="AB1752" s="46">
        <v>5.86</v>
      </c>
      <c r="AC1752" s="46">
        <v>5.92</v>
      </c>
      <c r="AD1752" s="46">
        <v>5.85</v>
      </c>
      <c r="AE1752" s="46">
        <v>5.92</v>
      </c>
    </row>
    <row r="1753" spans="1:31" x14ac:dyDescent="0.25">
      <c r="A1753" s="136">
        <v>43087</v>
      </c>
      <c r="B1753" s="201" t="s">
        <v>71</v>
      </c>
      <c r="C1753" t="s">
        <v>126</v>
      </c>
      <c r="D1753">
        <v>2800</v>
      </c>
      <c r="E1753">
        <v>2800</v>
      </c>
      <c r="F1753">
        <v>5.9390000000000001</v>
      </c>
      <c r="G1753">
        <v>534.38</v>
      </c>
      <c r="H1753">
        <v>3.22</v>
      </c>
      <c r="I1753" s="309">
        <v>17164</v>
      </c>
      <c r="J1753">
        <v>6.13</v>
      </c>
      <c r="K1753" s="133">
        <v>3.0728239585169501E-2</v>
      </c>
      <c r="L1753" s="181">
        <v>28</v>
      </c>
      <c r="M1753" s="133">
        <v>2.9771553692048799E-2</v>
      </c>
      <c r="N1753" s="73">
        <v>2864.0619999999999</v>
      </c>
      <c r="O1753" s="73">
        <v>228.52771916537799</v>
      </c>
      <c r="P1753" s="182">
        <v>2</v>
      </c>
      <c r="Q1753" s="182">
        <v>1000</v>
      </c>
      <c r="R1753" s="46">
        <v>6.45</v>
      </c>
      <c r="S1753" s="46">
        <v>2</v>
      </c>
      <c r="T1753" s="46">
        <v>900</v>
      </c>
      <c r="U1753" s="46">
        <v>6.3920000000000003</v>
      </c>
      <c r="V1753" s="46" t="s">
        <v>62</v>
      </c>
      <c r="W1753" s="46">
        <v>100</v>
      </c>
      <c r="X1753" s="46">
        <v>6.9720000000000004</v>
      </c>
      <c r="Y1753" s="193">
        <v>6.234</v>
      </c>
      <c r="Z1753" s="194">
        <v>6.27</v>
      </c>
      <c r="AA1753" s="194">
        <v>6.5179999999999998</v>
      </c>
      <c r="AB1753" s="46">
        <v>6.12</v>
      </c>
      <c r="AC1753" s="46">
        <v>6.17</v>
      </c>
      <c r="AD1753" s="46">
        <v>6.11</v>
      </c>
      <c r="AE1753" s="46">
        <v>6.13</v>
      </c>
    </row>
    <row r="1754" spans="1:31" x14ac:dyDescent="0.25">
      <c r="A1754" s="136">
        <v>43087</v>
      </c>
      <c r="B1754" s="201" t="s">
        <v>79</v>
      </c>
      <c r="C1754" t="s">
        <v>143</v>
      </c>
      <c r="D1754">
        <v>5100</v>
      </c>
      <c r="E1754">
        <v>5100</v>
      </c>
      <c r="F1754">
        <v>16.952999999999999</v>
      </c>
      <c r="G1754">
        <v>-8989.16</v>
      </c>
      <c r="H1754">
        <v>-10.4</v>
      </c>
      <c r="I1754" s="309">
        <v>77469</v>
      </c>
      <c r="J1754">
        <v>15.19</v>
      </c>
      <c r="K1754" s="133">
        <v>0.13869063111299801</v>
      </c>
      <c r="L1754" s="181">
        <v>-918</v>
      </c>
      <c r="M1754" s="133">
        <v>0.15478367831350001</v>
      </c>
      <c r="N1754" s="73">
        <v>-7409.7400000000198</v>
      </c>
      <c r="O1754" s="73">
        <v>-477.808718064517</v>
      </c>
      <c r="P1754" s="182">
        <v>9</v>
      </c>
      <c r="Q1754" s="182">
        <v>5000</v>
      </c>
      <c r="R1754" s="46">
        <v>16.971</v>
      </c>
      <c r="S1754" s="46">
        <v>0</v>
      </c>
      <c r="T1754" s="46">
        <v>0</v>
      </c>
      <c r="U1754" s="46">
        <v>0</v>
      </c>
      <c r="V1754" s="46" t="s">
        <v>62</v>
      </c>
      <c r="W1754" s="46">
        <v>5000</v>
      </c>
      <c r="X1754" s="46">
        <v>16.971</v>
      </c>
      <c r="Y1754" s="194">
        <v>15.218999999999999</v>
      </c>
      <c r="Z1754" s="194">
        <v>15.717000000000001</v>
      </c>
      <c r="AA1754" s="194">
        <v>15.606999999999999</v>
      </c>
      <c r="AB1754" s="46">
        <v>15.37</v>
      </c>
      <c r="AC1754" s="46">
        <v>15.4</v>
      </c>
      <c r="AD1754" s="46">
        <v>15.16</v>
      </c>
      <c r="AE1754" s="46">
        <v>15.19</v>
      </c>
    </row>
    <row r="1755" spans="1:31" x14ac:dyDescent="0.25">
      <c r="A1755" s="136">
        <v>43087</v>
      </c>
      <c r="B1755" s="201" t="s">
        <v>65</v>
      </c>
      <c r="C1755" t="s">
        <v>127</v>
      </c>
      <c r="D1755">
        <v>13700</v>
      </c>
      <c r="E1755">
        <v>13700</v>
      </c>
      <c r="F1755">
        <v>10.43</v>
      </c>
      <c r="G1755">
        <v>2882.29</v>
      </c>
      <c r="H1755">
        <v>2.0099999999999998</v>
      </c>
      <c r="I1755" s="309">
        <v>145768</v>
      </c>
      <c r="J1755">
        <v>10.64</v>
      </c>
      <c r="K1755" s="133">
        <v>0.26096446212135799</v>
      </c>
      <c r="L1755" s="181">
        <v>-1370</v>
      </c>
      <c r="M1755" s="133">
        <v>0.25580437719512</v>
      </c>
      <c r="N1755" s="73">
        <v>-167.14799999999201</v>
      </c>
      <c r="O1755" s="73">
        <v>383.25706404938302</v>
      </c>
      <c r="P1755" s="182">
        <v>5</v>
      </c>
      <c r="Q1755" s="182">
        <v>2400</v>
      </c>
      <c r="R1755" s="46">
        <v>10.82</v>
      </c>
      <c r="S1755" s="46">
        <v>13</v>
      </c>
      <c r="T1755" s="46">
        <v>5600</v>
      </c>
      <c r="U1755" s="46">
        <v>12.551</v>
      </c>
      <c r="V1755" s="46" t="s">
        <v>68</v>
      </c>
      <c r="W1755" s="46">
        <v>3200</v>
      </c>
      <c r="X1755" s="46">
        <v>13.849</v>
      </c>
      <c r="Y1755" s="194">
        <v>10.614000000000001</v>
      </c>
      <c r="Z1755" s="194">
        <v>11.347</v>
      </c>
      <c r="AA1755" s="194">
        <v>11.67</v>
      </c>
      <c r="AB1755" s="46">
        <v>10.73</v>
      </c>
      <c r="AC1755" s="46">
        <v>10.79</v>
      </c>
      <c r="AD1755" s="46">
        <v>10.58</v>
      </c>
      <c r="AE1755" s="46">
        <v>10.64</v>
      </c>
    </row>
    <row r="1756" spans="1:31" x14ac:dyDescent="0.25">
      <c r="A1756" s="136">
        <v>43087</v>
      </c>
      <c r="B1756" s="201" t="s">
        <v>77</v>
      </c>
      <c r="C1756" t="s">
        <v>128</v>
      </c>
      <c r="D1756">
        <v>5000</v>
      </c>
      <c r="E1756">
        <v>5000</v>
      </c>
      <c r="F1756">
        <v>5.9980000000000002</v>
      </c>
      <c r="G1756">
        <v>-1088.06</v>
      </c>
      <c r="H1756">
        <v>-3.63</v>
      </c>
      <c r="I1756" s="309">
        <v>28900</v>
      </c>
      <c r="J1756">
        <v>5.78</v>
      </c>
      <c r="K1756" s="133">
        <v>5.1738879282882698E-2</v>
      </c>
      <c r="L1756" s="181">
        <v>-200</v>
      </c>
      <c r="M1756" s="133">
        <v>5.36868033310672E-2</v>
      </c>
      <c r="N1756" s="73">
        <v>-1493.0060000000001</v>
      </c>
      <c r="O1756" s="73">
        <v>-171.122327068966</v>
      </c>
      <c r="P1756" s="182">
        <v>8</v>
      </c>
      <c r="Q1756" s="182">
        <v>4000</v>
      </c>
      <c r="R1756" s="46">
        <v>6.6230000000000002</v>
      </c>
      <c r="S1756" s="46">
        <v>0</v>
      </c>
      <c r="T1756" s="46">
        <v>0</v>
      </c>
      <c r="U1756" s="46">
        <v>0</v>
      </c>
      <c r="V1756" s="46" t="s">
        <v>62</v>
      </c>
      <c r="W1756" s="46">
        <v>4000</v>
      </c>
      <c r="X1756" s="46">
        <v>6.6230000000000002</v>
      </c>
      <c r="Y1756" s="194">
        <v>5.72</v>
      </c>
      <c r="Z1756" s="194">
        <v>6.0149999999999997</v>
      </c>
      <c r="AA1756" s="194">
        <v>6.4969999999999999</v>
      </c>
      <c r="AB1756" s="46">
        <v>5.76</v>
      </c>
      <c r="AC1756" s="46">
        <v>5.8</v>
      </c>
      <c r="AD1756" s="46">
        <v>5.72</v>
      </c>
      <c r="AE1756" s="46">
        <v>5.78</v>
      </c>
    </row>
    <row r="1757" spans="1:31" x14ac:dyDescent="0.25">
      <c r="A1757" s="136">
        <v>43087</v>
      </c>
      <c r="B1757" s="201" t="s">
        <v>67</v>
      </c>
      <c r="C1757" t="s">
        <v>129</v>
      </c>
      <c r="D1757">
        <v>10350</v>
      </c>
      <c r="E1757">
        <v>10350</v>
      </c>
      <c r="F1757">
        <v>8.6679999999999993</v>
      </c>
      <c r="G1757">
        <v>-6396.55</v>
      </c>
      <c r="H1757">
        <v>-7.13</v>
      </c>
      <c r="I1757" s="309">
        <v>83317.5</v>
      </c>
      <c r="J1757">
        <v>8.0500000000000007</v>
      </c>
      <c r="K1757" s="133">
        <v>0.14916104064538299</v>
      </c>
      <c r="L1757" s="181">
        <v>103.5</v>
      </c>
      <c r="M1757" s="133">
        <v>0.16061260909787201</v>
      </c>
      <c r="N1757" s="73">
        <v>43399.162999999899</v>
      </c>
      <c r="O1757" s="73">
        <v>-920.43239277641305</v>
      </c>
      <c r="P1757" s="182">
        <v>12</v>
      </c>
      <c r="Q1757" s="182">
        <v>6000</v>
      </c>
      <c r="R1757" s="46">
        <v>7.1980000000000004</v>
      </c>
      <c r="S1757" s="46">
        <v>4</v>
      </c>
      <c r="T1757" s="46">
        <v>1600</v>
      </c>
      <c r="U1757" s="46">
        <v>8.9329999999999998</v>
      </c>
      <c r="V1757" s="46" t="s">
        <v>62</v>
      </c>
      <c r="W1757" s="46">
        <v>4400</v>
      </c>
      <c r="X1757" s="46">
        <v>6.5670000000000002</v>
      </c>
      <c r="Y1757" s="194">
        <v>7.61</v>
      </c>
      <c r="Z1757" s="194">
        <v>7.3579999999999997</v>
      </c>
      <c r="AA1757" s="194">
        <v>8.7430000000000003</v>
      </c>
      <c r="AB1757" s="46">
        <v>8.0299999999999994</v>
      </c>
      <c r="AC1757" s="46">
        <v>8.14</v>
      </c>
      <c r="AD1757" s="46">
        <v>7.98</v>
      </c>
      <c r="AE1757" s="46">
        <v>8.0500000000000007</v>
      </c>
    </row>
    <row r="1758" spans="1:31" x14ac:dyDescent="0.25">
      <c r="A1758" s="136">
        <v>43087</v>
      </c>
      <c r="B1758" s="201" t="s">
        <v>78</v>
      </c>
      <c r="C1758" t="s">
        <v>142</v>
      </c>
      <c r="D1758">
        <v>1100</v>
      </c>
      <c r="E1758">
        <v>600</v>
      </c>
      <c r="F1758">
        <v>10.449</v>
      </c>
      <c r="G1758">
        <v>-350.7</v>
      </c>
      <c r="H1758">
        <v>-3.05</v>
      </c>
      <c r="I1758" s="309">
        <v>11143</v>
      </c>
      <c r="J1758">
        <v>10.130000000000001</v>
      </c>
      <c r="K1758" s="133">
        <v>1.99490080224623E-2</v>
      </c>
      <c r="L1758" s="181">
        <v>-140</v>
      </c>
      <c r="M1758" s="133">
        <v>2.0576856637151201E-2</v>
      </c>
      <c r="N1758" s="73">
        <v>-317.69600000000003</v>
      </c>
      <c r="O1758" s="73">
        <v>-31.253656692913399</v>
      </c>
      <c r="P1758" s="182">
        <v>3</v>
      </c>
      <c r="Q1758" s="182">
        <v>1500</v>
      </c>
      <c r="R1758" s="46">
        <v>10.776999999999999</v>
      </c>
      <c r="S1758" s="46">
        <v>1</v>
      </c>
      <c r="T1758" s="46">
        <v>400</v>
      </c>
      <c r="U1758" s="46">
        <v>11.74</v>
      </c>
      <c r="V1758" s="46" t="s">
        <v>62</v>
      </c>
      <c r="W1758" s="46">
        <v>1100</v>
      </c>
      <c r="X1758" s="46">
        <v>10.427</v>
      </c>
      <c r="Y1758" s="194">
        <v>10.148999999999999</v>
      </c>
      <c r="Z1758" s="194">
        <v>11.215</v>
      </c>
      <c r="AA1758" s="194">
        <v>11.191000000000001</v>
      </c>
      <c r="AB1758" s="46">
        <v>10.34</v>
      </c>
      <c r="AC1758" s="46">
        <v>10.37</v>
      </c>
      <c r="AD1758" s="46">
        <v>10.1</v>
      </c>
      <c r="AE1758" s="46">
        <v>10.130000000000001</v>
      </c>
    </row>
    <row r="1759" spans="1:31" x14ac:dyDescent="0.25">
      <c r="A1759" s="136">
        <v>43087</v>
      </c>
      <c r="B1759" s="201" t="s">
        <v>72</v>
      </c>
      <c r="C1759" t="s">
        <v>130</v>
      </c>
      <c r="D1759">
        <v>2000</v>
      </c>
      <c r="E1759">
        <v>2000</v>
      </c>
      <c r="F1759">
        <v>7.2060000000000004</v>
      </c>
      <c r="G1759">
        <v>8.8800000000000008</v>
      </c>
      <c r="H1759">
        <v>0.06</v>
      </c>
      <c r="I1759" s="309">
        <v>14420</v>
      </c>
      <c r="J1759">
        <v>7.21</v>
      </c>
      <c r="K1759" s="133">
        <v>2.5815731462254899E-2</v>
      </c>
      <c r="L1759" s="181">
        <v>-260</v>
      </c>
      <c r="M1759" s="133">
        <v>2.57998338412158E-2</v>
      </c>
      <c r="N1759" s="73">
        <v>87.164000000008897</v>
      </c>
      <c r="O1759" s="73">
        <v>41.945592798916003</v>
      </c>
      <c r="P1759" s="182">
        <v>0</v>
      </c>
      <c r="Q1759" s="182">
        <v>0</v>
      </c>
      <c r="R1759" s="46">
        <v>0</v>
      </c>
      <c r="S1759" s="46">
        <v>12</v>
      </c>
      <c r="T1759" s="46">
        <v>5000</v>
      </c>
      <c r="U1759" s="46">
        <v>8.2010000000000005</v>
      </c>
      <c r="V1759" s="46" t="s">
        <v>68</v>
      </c>
      <c r="W1759" s="46">
        <v>5000</v>
      </c>
      <c r="X1759" s="46">
        <v>8.2010000000000005</v>
      </c>
      <c r="Y1759" s="194">
        <v>7.1829999999999998</v>
      </c>
      <c r="Z1759" s="194">
        <v>6.9390000000000001</v>
      </c>
      <c r="AA1759" s="194">
        <v>7.0549999999999997</v>
      </c>
      <c r="AB1759" s="46">
        <v>7.3</v>
      </c>
      <c r="AC1759" s="46">
        <v>7.35</v>
      </c>
      <c r="AD1759" s="46">
        <v>7.17</v>
      </c>
      <c r="AE1759" s="46">
        <v>7.21</v>
      </c>
    </row>
    <row r="1760" spans="1:31" x14ac:dyDescent="0.25">
      <c r="A1760" s="136">
        <v>43087</v>
      </c>
      <c r="B1760" s="201" t="s">
        <v>70</v>
      </c>
      <c r="C1760" t="s">
        <v>131</v>
      </c>
      <c r="D1760">
        <v>9900</v>
      </c>
      <c r="E1760">
        <v>9900</v>
      </c>
      <c r="F1760">
        <v>12.287000000000001</v>
      </c>
      <c r="G1760">
        <v>-12440.78</v>
      </c>
      <c r="H1760">
        <v>-10.23</v>
      </c>
      <c r="I1760" s="309">
        <v>109197</v>
      </c>
      <c r="J1760">
        <v>11.03</v>
      </c>
      <c r="K1760" s="133">
        <v>0.19549240142051699</v>
      </c>
      <c r="L1760" s="181">
        <v>-1485</v>
      </c>
      <c r="M1760" s="133">
        <v>0.217764789469129</v>
      </c>
      <c r="N1760" s="73">
        <v>-8281.7660000000305</v>
      </c>
      <c r="O1760" s="73">
        <v>-722.93669144105104</v>
      </c>
      <c r="P1760" s="182">
        <v>1</v>
      </c>
      <c r="Q1760" s="182">
        <v>500</v>
      </c>
      <c r="R1760" s="46">
        <v>10.92</v>
      </c>
      <c r="S1760" s="46">
        <v>5</v>
      </c>
      <c r="T1760" s="46">
        <v>2000</v>
      </c>
      <c r="U1760" s="46">
        <v>13.087999999999999</v>
      </c>
      <c r="V1760" s="46" t="s">
        <v>68</v>
      </c>
      <c r="W1760" s="46">
        <v>1500</v>
      </c>
      <c r="X1760" s="46">
        <v>13.811</v>
      </c>
      <c r="Y1760" s="194">
        <v>11.002000000000001</v>
      </c>
      <c r="Z1760" s="194">
        <v>12.353999999999999</v>
      </c>
      <c r="AA1760" s="194">
        <v>12.278</v>
      </c>
      <c r="AB1760" s="46">
        <v>11.14</v>
      </c>
      <c r="AC1760" s="46">
        <v>11.14</v>
      </c>
      <c r="AD1760" s="46">
        <v>10.94</v>
      </c>
      <c r="AE1760" s="46">
        <v>11.03</v>
      </c>
    </row>
    <row r="1761" spans="1:31" x14ac:dyDescent="0.25">
      <c r="A1761" s="136">
        <v>43087</v>
      </c>
      <c r="B1761" s="201" t="s">
        <v>146</v>
      </c>
      <c r="C1761" t="s">
        <v>147</v>
      </c>
      <c r="D1761">
        <v>40</v>
      </c>
      <c r="E1761">
        <v>40</v>
      </c>
      <c r="F1761">
        <v>100</v>
      </c>
      <c r="G1761">
        <v>0</v>
      </c>
      <c r="H1761">
        <v>0</v>
      </c>
      <c r="I1761" s="309">
        <v>4000</v>
      </c>
      <c r="J1761">
        <v>0</v>
      </c>
      <c r="K1761" s="133">
        <v>7.1610905581844502E-3</v>
      </c>
      <c r="M1761" s="133">
        <v>7.1610905581844502E-3</v>
      </c>
    </row>
    <row r="1762" spans="1:31" x14ac:dyDescent="0.25">
      <c r="A1762" s="136">
        <v>43087</v>
      </c>
      <c r="B1762" s="201" t="s">
        <v>137</v>
      </c>
      <c r="C1762" t="s">
        <v>138</v>
      </c>
      <c r="D1762">
        <v>100</v>
      </c>
      <c r="E1762">
        <v>100</v>
      </c>
      <c r="F1762">
        <v>-130.48500000000001</v>
      </c>
      <c r="G1762">
        <v>16688.5</v>
      </c>
      <c r="H1762">
        <v>0</v>
      </c>
      <c r="I1762" s="309">
        <v>3640</v>
      </c>
      <c r="J1762">
        <v>36.4</v>
      </c>
      <c r="K1762" s="133">
        <v>6.5165924079478499E-3</v>
      </c>
      <c r="L1762" s="181">
        <v>38</v>
      </c>
      <c r="M1762" s="133">
        <v>0</v>
      </c>
    </row>
    <row r="1763" spans="1:31" x14ac:dyDescent="0.25">
      <c r="A1763" s="136">
        <v>43087</v>
      </c>
      <c r="B1763" s="201" t="s">
        <v>835</v>
      </c>
      <c r="C1763" t="s">
        <v>839</v>
      </c>
      <c r="I1763" s="309">
        <v>44848.45</v>
      </c>
      <c r="K1763" s="133">
        <v>8.0290952961051903E-2</v>
      </c>
      <c r="L1763" s="181">
        <v>0</v>
      </c>
      <c r="M1763" s="133">
        <v>8.0765715362333096E-2</v>
      </c>
    </row>
    <row r="1764" spans="1:31" x14ac:dyDescent="0.25">
      <c r="A1764" s="136">
        <v>43088</v>
      </c>
      <c r="B1764" s="201" t="s">
        <v>132</v>
      </c>
      <c r="C1764" t="s">
        <v>123</v>
      </c>
      <c r="D1764">
        <v>26526</v>
      </c>
      <c r="E1764">
        <v>26526</v>
      </c>
      <c r="F1764">
        <v>-9.2999999999999999E-2</v>
      </c>
      <c r="G1764">
        <v>2732.1779999999999</v>
      </c>
      <c r="H1764">
        <v>0</v>
      </c>
      <c r="I1764" s="309">
        <v>265.26</v>
      </c>
      <c r="J1764">
        <v>0.01</v>
      </c>
      <c r="K1764" s="133">
        <v>4.73326171641531E-4</v>
      </c>
      <c r="L1764" s="181">
        <v>0.72100000000000397</v>
      </c>
      <c r="M1764" s="133">
        <v>0</v>
      </c>
    </row>
    <row r="1765" spans="1:31" x14ac:dyDescent="0.25">
      <c r="A1765" s="136">
        <v>43088</v>
      </c>
      <c r="B1765" s="201" t="s">
        <v>61</v>
      </c>
      <c r="C1765" t="s">
        <v>136</v>
      </c>
      <c r="D1765">
        <v>3500</v>
      </c>
      <c r="E1765">
        <v>3500</v>
      </c>
      <c r="F1765">
        <v>5.3070000000000004</v>
      </c>
      <c r="G1765">
        <v>-688.52</v>
      </c>
      <c r="H1765">
        <v>-3.71</v>
      </c>
      <c r="I1765" s="309">
        <v>17885</v>
      </c>
      <c r="J1765">
        <v>5.1100000000000003</v>
      </c>
      <c r="K1765" s="133">
        <v>3.19137396509417E-2</v>
      </c>
      <c r="L1765" s="181">
        <v>35</v>
      </c>
      <c r="M1765" s="133">
        <v>3.3142324947249502E-2</v>
      </c>
      <c r="N1765" s="73">
        <v>-587.26800000000003</v>
      </c>
      <c r="O1765" s="73">
        <v>-114.19734747081699</v>
      </c>
      <c r="P1765" s="182">
        <v>6</v>
      </c>
      <c r="Q1765" s="182">
        <v>3000</v>
      </c>
      <c r="R1765" s="46">
        <v>5.31</v>
      </c>
      <c r="S1765" s="46">
        <v>0</v>
      </c>
      <c r="T1765" s="46">
        <v>0</v>
      </c>
      <c r="U1765" s="46">
        <v>0</v>
      </c>
      <c r="V1765" s="46" t="s">
        <v>62</v>
      </c>
      <c r="W1765" s="46">
        <v>3000</v>
      </c>
      <c r="X1765" s="46">
        <v>5.31</v>
      </c>
      <c r="Y1765" s="194">
        <v>5.0629999999999997</v>
      </c>
      <c r="Z1765" s="194">
        <v>5.0919999999999996</v>
      </c>
      <c r="AA1765" s="194">
        <v>5.1589999999999998</v>
      </c>
      <c r="AB1765" s="46">
        <v>5.0999999999999996</v>
      </c>
      <c r="AC1765" s="46">
        <v>5.12</v>
      </c>
      <c r="AD1765" s="46">
        <v>5.09</v>
      </c>
      <c r="AE1765" s="46">
        <v>5.1100000000000003</v>
      </c>
    </row>
    <row r="1766" spans="1:31" x14ac:dyDescent="0.25">
      <c r="A1766" s="136">
        <v>43088</v>
      </c>
      <c r="B1766" s="201" t="s">
        <v>124</v>
      </c>
      <c r="C1766" t="s">
        <v>125</v>
      </c>
      <c r="D1766">
        <v>100</v>
      </c>
      <c r="E1766">
        <v>100</v>
      </c>
      <c r="F1766">
        <v>-53.579000000000001</v>
      </c>
      <c r="G1766">
        <v>5955.9</v>
      </c>
      <c r="H1766">
        <v>0</v>
      </c>
      <c r="I1766" s="309">
        <v>598</v>
      </c>
      <c r="J1766">
        <v>5.98</v>
      </c>
      <c r="K1766" s="133">
        <v>1.0670626956255601E-3</v>
      </c>
      <c r="L1766" s="181">
        <v>6</v>
      </c>
      <c r="M1766" s="133">
        <v>0</v>
      </c>
      <c r="Y1766" s="193">
        <v>6.1459999999999999</v>
      </c>
      <c r="Z1766" s="193">
        <v>4.8010000000000002</v>
      </c>
      <c r="AA1766" s="193">
        <v>5.8410000000000002</v>
      </c>
      <c r="AB1766" s="46">
        <v>5.9</v>
      </c>
      <c r="AC1766" s="46">
        <v>6</v>
      </c>
      <c r="AD1766" s="46">
        <v>5.89</v>
      </c>
      <c r="AE1766" s="46">
        <v>5.98</v>
      </c>
    </row>
    <row r="1767" spans="1:31" x14ac:dyDescent="0.25">
      <c r="A1767" s="136">
        <v>43088</v>
      </c>
      <c r="B1767" s="201" t="s">
        <v>71</v>
      </c>
      <c r="C1767" t="s">
        <v>126</v>
      </c>
      <c r="D1767">
        <v>2800</v>
      </c>
      <c r="E1767">
        <v>2800</v>
      </c>
      <c r="F1767">
        <v>5.9390000000000001</v>
      </c>
      <c r="G1767">
        <v>702.38</v>
      </c>
      <c r="H1767">
        <v>4.2300000000000004</v>
      </c>
      <c r="I1767" s="309">
        <v>17332</v>
      </c>
      <c r="J1767">
        <v>6.19</v>
      </c>
      <c r="K1767" s="133">
        <v>3.0926974315354801E-2</v>
      </c>
      <c r="L1767" s="181">
        <v>168</v>
      </c>
      <c r="M1767" s="133">
        <v>2.9673657432154998E-2</v>
      </c>
      <c r="N1767" s="73">
        <v>2864.0619999999999</v>
      </c>
      <c r="O1767" s="73">
        <v>228.52771916537799</v>
      </c>
      <c r="P1767" s="182">
        <v>2</v>
      </c>
      <c r="Q1767" s="182">
        <v>1000</v>
      </c>
      <c r="R1767" s="46">
        <v>6.45</v>
      </c>
      <c r="S1767" s="46">
        <v>2</v>
      </c>
      <c r="T1767" s="46">
        <v>900</v>
      </c>
      <c r="U1767" s="46">
        <v>6.3920000000000003</v>
      </c>
      <c r="V1767" s="46" t="s">
        <v>62</v>
      </c>
      <c r="W1767" s="46">
        <v>100</v>
      </c>
      <c r="X1767" s="46">
        <v>6.9720000000000004</v>
      </c>
      <c r="Y1767" s="193">
        <v>6.4080000000000004</v>
      </c>
      <c r="Z1767" s="194">
        <v>6.27</v>
      </c>
      <c r="AA1767" s="194">
        <v>6.516</v>
      </c>
      <c r="AB1767" s="46">
        <v>6.15</v>
      </c>
      <c r="AC1767" s="46">
        <v>6.2</v>
      </c>
      <c r="AD1767" s="46">
        <v>6.13</v>
      </c>
      <c r="AE1767" s="46">
        <v>6.19</v>
      </c>
    </row>
    <row r="1768" spans="1:31" x14ac:dyDescent="0.25">
      <c r="A1768" s="136">
        <v>43088</v>
      </c>
      <c r="B1768" s="201" t="s">
        <v>79</v>
      </c>
      <c r="C1768" t="s">
        <v>143</v>
      </c>
      <c r="D1768">
        <v>5100</v>
      </c>
      <c r="E1768">
        <v>5100</v>
      </c>
      <c r="F1768">
        <v>16.952999999999999</v>
      </c>
      <c r="G1768">
        <v>-8224.16</v>
      </c>
      <c r="H1768">
        <v>-9.51</v>
      </c>
      <c r="I1768" s="309">
        <v>78234</v>
      </c>
      <c r="J1768">
        <v>15.34</v>
      </c>
      <c r="K1768" s="133">
        <v>0.13959963700597</v>
      </c>
      <c r="L1768" s="181">
        <v>765</v>
      </c>
      <c r="M1768" s="133">
        <v>0.15427471115121399</v>
      </c>
      <c r="N1768" s="73">
        <v>-7409.7400000000198</v>
      </c>
      <c r="O1768" s="73">
        <v>-477.808718064517</v>
      </c>
      <c r="P1768" s="182">
        <v>9</v>
      </c>
      <c r="Q1768" s="182">
        <v>5000</v>
      </c>
      <c r="R1768" s="46">
        <v>16.971</v>
      </c>
      <c r="S1768" s="46">
        <v>0</v>
      </c>
      <c r="T1768" s="46">
        <v>0</v>
      </c>
      <c r="U1768" s="46">
        <v>0</v>
      </c>
      <c r="V1768" s="46" t="s">
        <v>62</v>
      </c>
      <c r="W1768" s="46">
        <v>5000</v>
      </c>
      <c r="X1768" s="46">
        <v>16.971</v>
      </c>
      <c r="Y1768" s="193">
        <v>15.343</v>
      </c>
      <c r="Z1768" s="194">
        <v>15.752000000000001</v>
      </c>
      <c r="AA1768" s="194">
        <v>15.598000000000001</v>
      </c>
      <c r="AB1768" s="46">
        <v>15.2</v>
      </c>
      <c r="AC1768" s="46">
        <v>15.35</v>
      </c>
      <c r="AD1768" s="46">
        <v>15.2</v>
      </c>
      <c r="AE1768" s="46">
        <v>15.34</v>
      </c>
    </row>
    <row r="1769" spans="1:31" x14ac:dyDescent="0.25">
      <c r="A1769" s="136">
        <v>43088</v>
      </c>
      <c r="B1769" s="201" t="s">
        <v>65</v>
      </c>
      <c r="C1769" t="s">
        <v>127</v>
      </c>
      <c r="D1769">
        <v>13800</v>
      </c>
      <c r="E1769">
        <v>13300</v>
      </c>
      <c r="F1769">
        <v>10.427</v>
      </c>
      <c r="G1769">
        <v>3209.01</v>
      </c>
      <c r="H1769">
        <v>2.2400000000000002</v>
      </c>
      <c r="I1769" s="309">
        <v>147108</v>
      </c>
      <c r="J1769">
        <v>10.66</v>
      </c>
      <c r="K1769" s="133">
        <v>0.26249742312388702</v>
      </c>
      <c r="L1769" s="181">
        <v>326.72000000000003</v>
      </c>
      <c r="M1769" s="133">
        <v>0.25677131131637998</v>
      </c>
      <c r="N1769" s="73">
        <v>-659.42400000000498</v>
      </c>
      <c r="O1769" s="73">
        <v>338.66402574835001</v>
      </c>
      <c r="P1769" s="182">
        <v>5</v>
      </c>
      <c r="Q1769" s="182">
        <v>2400</v>
      </c>
      <c r="R1769" s="46">
        <v>10.82</v>
      </c>
      <c r="S1769" s="46">
        <v>13</v>
      </c>
      <c r="T1769" s="46">
        <v>5600</v>
      </c>
      <c r="U1769" s="46">
        <v>12.551</v>
      </c>
      <c r="V1769" s="46" t="s">
        <v>68</v>
      </c>
      <c r="W1769" s="46">
        <v>3200</v>
      </c>
      <c r="X1769" s="46">
        <v>13.849</v>
      </c>
      <c r="Y1769" s="193">
        <v>10.741</v>
      </c>
      <c r="Z1769" s="194">
        <v>11.348000000000001</v>
      </c>
      <c r="AA1769" s="194">
        <v>11.664999999999999</v>
      </c>
      <c r="AB1769" s="46">
        <v>10.63</v>
      </c>
      <c r="AC1769" s="46">
        <v>10.7</v>
      </c>
      <c r="AD1769" s="46">
        <v>10.54</v>
      </c>
      <c r="AE1769" s="46">
        <v>10.66</v>
      </c>
    </row>
    <row r="1770" spans="1:31" x14ac:dyDescent="0.25">
      <c r="A1770" s="136">
        <v>43088</v>
      </c>
      <c r="B1770" s="201" t="s">
        <v>77</v>
      </c>
      <c r="C1770" t="s">
        <v>128</v>
      </c>
      <c r="D1770">
        <v>5000</v>
      </c>
      <c r="E1770">
        <v>5000</v>
      </c>
      <c r="F1770">
        <v>5.9980000000000002</v>
      </c>
      <c r="G1770">
        <v>-1138.06</v>
      </c>
      <c r="H1770">
        <v>-3.8</v>
      </c>
      <c r="I1770" s="309">
        <v>28850</v>
      </c>
      <c r="J1770">
        <v>5.77</v>
      </c>
      <c r="K1770" s="133">
        <v>5.1479529713707999E-2</v>
      </c>
      <c r="L1770" s="181">
        <v>-50</v>
      </c>
      <c r="M1770" s="133">
        <v>5.35102677929448E-2</v>
      </c>
      <c r="N1770" s="73">
        <v>-1493.0060000000001</v>
      </c>
      <c r="O1770" s="73">
        <v>-171.122327068966</v>
      </c>
      <c r="P1770" s="182">
        <v>8</v>
      </c>
      <c r="Q1770" s="182">
        <v>4000</v>
      </c>
      <c r="R1770" s="46">
        <v>6.6230000000000002</v>
      </c>
      <c r="S1770" s="46">
        <v>0</v>
      </c>
      <c r="T1770" s="46">
        <v>0</v>
      </c>
      <c r="U1770" s="46">
        <v>0</v>
      </c>
      <c r="V1770" s="46" t="s">
        <v>62</v>
      </c>
      <c r="W1770" s="46">
        <v>4000</v>
      </c>
      <c r="X1770" s="46">
        <v>6.6230000000000002</v>
      </c>
      <c r="Y1770" s="194">
        <v>5.6879999999999997</v>
      </c>
      <c r="Z1770" s="194">
        <v>6.0090000000000003</v>
      </c>
      <c r="AA1770" s="194">
        <v>6.492</v>
      </c>
      <c r="AB1770" s="46">
        <v>5.75</v>
      </c>
      <c r="AC1770" s="46">
        <v>5.79</v>
      </c>
      <c r="AD1770" s="46">
        <v>5.74</v>
      </c>
      <c r="AE1770" s="46">
        <v>5.77</v>
      </c>
    </row>
    <row r="1771" spans="1:31" x14ac:dyDescent="0.25">
      <c r="A1771" s="136">
        <v>43088</v>
      </c>
      <c r="B1771" s="201" t="s">
        <v>67</v>
      </c>
      <c r="C1771" t="s">
        <v>129</v>
      </c>
      <c r="D1771">
        <v>10350</v>
      </c>
      <c r="E1771">
        <v>10350</v>
      </c>
      <c r="F1771">
        <v>8.6679999999999993</v>
      </c>
      <c r="G1771">
        <v>-5982.55</v>
      </c>
      <c r="H1771">
        <v>-6.67</v>
      </c>
      <c r="I1771" s="309">
        <v>83731.5</v>
      </c>
      <c r="J1771">
        <v>8.09</v>
      </c>
      <c r="K1771" s="133">
        <v>0.149409297824033</v>
      </c>
      <c r="L1771" s="181">
        <v>414</v>
      </c>
      <c r="M1771" s="133">
        <v>0.160084474964024</v>
      </c>
      <c r="N1771" s="73">
        <v>43399.162999999899</v>
      </c>
      <c r="O1771" s="73">
        <v>-920.43239277641305</v>
      </c>
      <c r="P1771" s="182">
        <v>12</v>
      </c>
      <c r="Q1771" s="182">
        <v>6000</v>
      </c>
      <c r="R1771" s="46">
        <v>7.1980000000000004</v>
      </c>
      <c r="S1771" s="46">
        <v>4</v>
      </c>
      <c r="T1771" s="46">
        <v>1600</v>
      </c>
      <c r="U1771" s="46">
        <v>8.9329999999999998</v>
      </c>
      <c r="V1771" s="46" t="s">
        <v>62</v>
      </c>
      <c r="W1771" s="46">
        <v>4400</v>
      </c>
      <c r="X1771" s="46">
        <v>6.5670000000000002</v>
      </c>
      <c r="Y1771" s="193">
        <v>8.1769999999999996</v>
      </c>
      <c r="Z1771" s="194">
        <v>7.3390000000000004</v>
      </c>
      <c r="AA1771" s="194">
        <v>8.7390000000000008</v>
      </c>
      <c r="AB1771" s="46">
        <v>8.0500000000000007</v>
      </c>
      <c r="AC1771" s="46">
        <v>8.18</v>
      </c>
      <c r="AD1771" s="46">
        <v>8.02</v>
      </c>
      <c r="AE1771" s="46">
        <v>8.09</v>
      </c>
    </row>
    <row r="1772" spans="1:31" x14ac:dyDescent="0.25">
      <c r="A1772" s="136">
        <v>43088</v>
      </c>
      <c r="B1772" s="201" t="s">
        <v>78</v>
      </c>
      <c r="C1772" t="s">
        <v>142</v>
      </c>
      <c r="D1772">
        <v>1100</v>
      </c>
      <c r="E1772">
        <v>1100</v>
      </c>
      <c r="F1772">
        <v>10.449</v>
      </c>
      <c r="G1772">
        <v>-262.7</v>
      </c>
      <c r="H1772">
        <v>-2.29</v>
      </c>
      <c r="I1772" s="309">
        <v>11231</v>
      </c>
      <c r="J1772">
        <v>10.210000000000001</v>
      </c>
      <c r="K1772" s="133">
        <v>2.0040436679884002E-2</v>
      </c>
      <c r="L1772" s="181">
        <v>88</v>
      </c>
      <c r="M1772" s="133">
        <v>2.0509194823932202E-2</v>
      </c>
      <c r="N1772" s="73">
        <v>-317.69600000000003</v>
      </c>
      <c r="O1772" s="73">
        <v>-31.253656692913399</v>
      </c>
      <c r="P1772" s="182">
        <v>3</v>
      </c>
      <c r="Q1772" s="182">
        <v>1500</v>
      </c>
      <c r="R1772" s="46">
        <v>10.776999999999999</v>
      </c>
      <c r="S1772" s="46">
        <v>1</v>
      </c>
      <c r="T1772" s="46">
        <v>400</v>
      </c>
      <c r="U1772" s="46">
        <v>11.74</v>
      </c>
      <c r="V1772" s="46" t="s">
        <v>62</v>
      </c>
      <c r="W1772" s="46">
        <v>1100</v>
      </c>
      <c r="X1772" s="46">
        <v>10.427</v>
      </c>
      <c r="Y1772" s="194">
        <v>10.116</v>
      </c>
      <c r="Z1772" s="194">
        <v>11.202999999999999</v>
      </c>
      <c r="AA1772" s="194">
        <v>11.182</v>
      </c>
      <c r="AB1772" s="46">
        <v>10.15</v>
      </c>
      <c r="AC1772" s="46">
        <v>10.26</v>
      </c>
      <c r="AD1772" s="46">
        <v>10.14</v>
      </c>
      <c r="AE1772" s="46">
        <v>10.210000000000001</v>
      </c>
    </row>
    <row r="1773" spans="1:31" x14ac:dyDescent="0.25">
      <c r="A1773" s="136">
        <v>43088</v>
      </c>
      <c r="B1773" s="201" t="s">
        <v>72</v>
      </c>
      <c r="C1773" t="s">
        <v>130</v>
      </c>
      <c r="D1773">
        <v>2000</v>
      </c>
      <c r="E1773">
        <v>2000</v>
      </c>
      <c r="F1773">
        <v>7.2060000000000004</v>
      </c>
      <c r="G1773">
        <v>88.88</v>
      </c>
      <c r="H1773">
        <v>0.61</v>
      </c>
      <c r="I1773" s="309">
        <v>14500</v>
      </c>
      <c r="J1773">
        <v>7.25</v>
      </c>
      <c r="K1773" s="133">
        <v>2.5873593790251798E-2</v>
      </c>
      <c r="L1773" s="181">
        <v>80</v>
      </c>
      <c r="M1773" s="133">
        <v>2.5714997582246501E-2</v>
      </c>
      <c r="N1773" s="73">
        <v>87.164000000008897</v>
      </c>
      <c r="O1773" s="73">
        <v>41.945592798916003</v>
      </c>
      <c r="P1773" s="182">
        <v>0</v>
      </c>
      <c r="Q1773" s="182">
        <v>0</v>
      </c>
      <c r="R1773" s="46">
        <v>0</v>
      </c>
      <c r="S1773" s="46">
        <v>12</v>
      </c>
      <c r="T1773" s="46">
        <v>5000</v>
      </c>
      <c r="U1773" s="46">
        <v>8.2010000000000005</v>
      </c>
      <c r="V1773" s="46" t="s">
        <v>68</v>
      </c>
      <c r="W1773" s="46">
        <v>5000</v>
      </c>
      <c r="X1773" s="46">
        <v>8.2010000000000005</v>
      </c>
      <c r="Y1773" s="194">
        <v>6.9459999999999997</v>
      </c>
      <c r="Z1773" s="194">
        <v>6.9390000000000001</v>
      </c>
      <c r="AA1773" s="194">
        <v>7.06</v>
      </c>
      <c r="AB1773" s="46">
        <v>7.21</v>
      </c>
      <c r="AC1773" s="46">
        <v>7.29</v>
      </c>
      <c r="AD1773" s="46">
        <v>7.15</v>
      </c>
      <c r="AE1773" s="46">
        <v>7.25</v>
      </c>
    </row>
    <row r="1774" spans="1:31" x14ac:dyDescent="0.25">
      <c r="A1774" s="136">
        <v>43088</v>
      </c>
      <c r="B1774" s="201" t="s">
        <v>70</v>
      </c>
      <c r="C1774" t="s">
        <v>131</v>
      </c>
      <c r="D1774">
        <v>9900</v>
      </c>
      <c r="E1774">
        <v>9900</v>
      </c>
      <c r="F1774">
        <v>12.287000000000001</v>
      </c>
      <c r="G1774">
        <v>-12440.78</v>
      </c>
      <c r="H1774">
        <v>-10.23</v>
      </c>
      <c r="I1774" s="309">
        <v>109197</v>
      </c>
      <c r="J1774">
        <v>11.03</v>
      </c>
      <c r="K1774" s="133">
        <v>0.19484957386994001</v>
      </c>
      <c r="L1774" s="181">
        <v>0</v>
      </c>
      <c r="M1774" s="133">
        <v>0.21704872477710499</v>
      </c>
      <c r="N1774" s="73">
        <v>-8281.7660000000305</v>
      </c>
      <c r="O1774" s="73">
        <v>-722.93669144105104</v>
      </c>
      <c r="P1774" s="182">
        <v>1</v>
      </c>
      <c r="Q1774" s="182">
        <v>500</v>
      </c>
      <c r="R1774" s="46">
        <v>10.92</v>
      </c>
      <c r="S1774" s="46">
        <v>5</v>
      </c>
      <c r="T1774" s="46">
        <v>2000</v>
      </c>
      <c r="U1774" s="46">
        <v>13.087999999999999</v>
      </c>
      <c r="V1774" s="46" t="s">
        <v>68</v>
      </c>
      <c r="W1774" s="46">
        <v>1500</v>
      </c>
      <c r="X1774" s="46">
        <v>13.811</v>
      </c>
      <c r="Y1774" s="194">
        <v>11.026</v>
      </c>
      <c r="Z1774" s="194">
        <v>12.345000000000001</v>
      </c>
      <c r="AA1774" s="194">
        <v>12.273</v>
      </c>
      <c r="AB1774" s="46">
        <v>11</v>
      </c>
      <c r="AC1774" s="46">
        <v>11.14</v>
      </c>
      <c r="AD1774" s="46">
        <v>11</v>
      </c>
      <c r="AE1774" s="46">
        <v>11.03</v>
      </c>
    </row>
    <row r="1775" spans="1:31" x14ac:dyDescent="0.25">
      <c r="A1775" s="136">
        <v>43088</v>
      </c>
      <c r="B1775" s="201" t="s">
        <v>146</v>
      </c>
      <c r="C1775" t="s">
        <v>147</v>
      </c>
      <c r="D1775">
        <v>40</v>
      </c>
      <c r="E1775">
        <v>40</v>
      </c>
      <c r="F1775">
        <v>100</v>
      </c>
      <c r="G1775">
        <v>0</v>
      </c>
      <c r="H1775">
        <v>0</v>
      </c>
      <c r="I1775" s="309">
        <v>4000</v>
      </c>
      <c r="J1775">
        <v>0</v>
      </c>
      <c r="K1775" s="133">
        <v>7.1375431145522302E-3</v>
      </c>
      <c r="L1775" s="181">
        <v>0</v>
      </c>
      <c r="M1775" s="133">
        <v>7.1375431145522302E-3</v>
      </c>
    </row>
    <row r="1776" spans="1:31" x14ac:dyDescent="0.25">
      <c r="A1776" s="136">
        <v>43088</v>
      </c>
      <c r="B1776" s="201" t="s">
        <v>137</v>
      </c>
      <c r="C1776" t="s">
        <v>138</v>
      </c>
      <c r="D1776">
        <v>100</v>
      </c>
      <c r="E1776">
        <v>100</v>
      </c>
      <c r="F1776">
        <v>-130.48500000000001</v>
      </c>
      <c r="G1776">
        <v>16698.5</v>
      </c>
      <c r="H1776">
        <v>0</v>
      </c>
      <c r="I1776" s="309">
        <v>3650</v>
      </c>
      <c r="J1776">
        <v>36.5</v>
      </c>
      <c r="K1776" s="133">
        <v>6.5130080920289104E-3</v>
      </c>
      <c r="L1776" s="181">
        <v>10</v>
      </c>
      <c r="M1776" s="133">
        <v>0</v>
      </c>
    </row>
    <row r="1777" spans="1:31" x14ac:dyDescent="0.25">
      <c r="A1777" s="136">
        <v>43088</v>
      </c>
      <c r="B1777" s="201" t="s">
        <v>835</v>
      </c>
      <c r="C1777" t="s">
        <v>839</v>
      </c>
      <c r="I1777" s="309">
        <v>43835.17</v>
      </c>
      <c r="K1777" s="133">
        <v>7.8218853952181602E-2</v>
      </c>
      <c r="L1777" s="181">
        <v>0</v>
      </c>
      <c r="M1777" s="133">
        <v>7.8692180123823202E-2</v>
      </c>
    </row>
    <row r="1778" spans="1:31" x14ac:dyDescent="0.25">
      <c r="A1778" s="136">
        <v>43089</v>
      </c>
      <c r="B1778" s="201" t="s">
        <v>132</v>
      </c>
      <c r="C1778" t="s">
        <v>123</v>
      </c>
      <c r="D1778">
        <v>26532</v>
      </c>
      <c r="E1778">
        <v>26532</v>
      </c>
      <c r="F1778">
        <v>-9.2999999999999999E-2</v>
      </c>
      <c r="G1778">
        <v>2732.7959999999998</v>
      </c>
      <c r="H1778">
        <v>0</v>
      </c>
      <c r="I1778" s="309">
        <v>265.32</v>
      </c>
      <c r="J1778">
        <v>0.01</v>
      </c>
      <c r="K1778" s="133">
        <v>4.8071371746089301E-4</v>
      </c>
      <c r="L1778" s="181">
        <v>0.61799999999993804</v>
      </c>
      <c r="M1778" s="133">
        <v>0</v>
      </c>
    </row>
    <row r="1779" spans="1:31" x14ac:dyDescent="0.25">
      <c r="A1779" s="136">
        <v>43089</v>
      </c>
      <c r="B1779" s="201" t="s">
        <v>61</v>
      </c>
      <c r="C1779" t="s">
        <v>136</v>
      </c>
      <c r="D1779">
        <v>3500</v>
      </c>
      <c r="E1779">
        <v>3500</v>
      </c>
      <c r="F1779">
        <v>5.3070000000000004</v>
      </c>
      <c r="G1779">
        <v>-793.52</v>
      </c>
      <c r="H1779">
        <v>-4.28</v>
      </c>
      <c r="I1779" s="309">
        <v>17780</v>
      </c>
      <c r="J1779">
        <v>5.08</v>
      </c>
      <c r="K1779" s="133">
        <v>3.2214269171018703E-2</v>
      </c>
      <c r="L1779" s="181">
        <v>-105</v>
      </c>
      <c r="M1779" s="133">
        <v>3.3651989467564598E-2</v>
      </c>
      <c r="N1779" s="73">
        <v>-587.26800000000003</v>
      </c>
      <c r="O1779" s="73">
        <v>-114.19734747081699</v>
      </c>
      <c r="P1779" s="182">
        <v>6</v>
      </c>
      <c r="Q1779" s="182">
        <v>3000</v>
      </c>
      <c r="R1779" s="46">
        <v>5.31</v>
      </c>
      <c r="S1779" s="46">
        <v>0</v>
      </c>
      <c r="T1779" s="46">
        <v>0</v>
      </c>
      <c r="U1779" s="46">
        <v>0</v>
      </c>
      <c r="V1779" s="46" t="s">
        <v>62</v>
      </c>
      <c r="W1779" s="46">
        <v>3000</v>
      </c>
      <c r="X1779" s="46">
        <v>5.31</v>
      </c>
      <c r="Y1779" s="194">
        <v>5.0739999999999998</v>
      </c>
      <c r="Z1779" s="194">
        <v>5.09</v>
      </c>
      <c r="AA1779" s="194">
        <v>5.157</v>
      </c>
      <c r="AB1779" s="46">
        <v>5.1100000000000003</v>
      </c>
      <c r="AC1779" s="46">
        <v>5.1100000000000003</v>
      </c>
      <c r="AD1779" s="46">
        <v>5.0599999999999996</v>
      </c>
      <c r="AE1779" s="46">
        <v>5.08</v>
      </c>
    </row>
    <row r="1780" spans="1:31" x14ac:dyDescent="0.25">
      <c r="A1780" s="136">
        <v>43089</v>
      </c>
      <c r="B1780" s="201" t="s">
        <v>124</v>
      </c>
      <c r="C1780" t="s">
        <v>125</v>
      </c>
      <c r="D1780">
        <v>100</v>
      </c>
      <c r="E1780">
        <v>100</v>
      </c>
      <c r="F1780">
        <v>-53.579000000000001</v>
      </c>
      <c r="G1780">
        <v>5954.9</v>
      </c>
      <c r="H1780">
        <v>0</v>
      </c>
      <c r="I1780" s="309">
        <v>597</v>
      </c>
      <c r="J1780">
        <v>5.97</v>
      </c>
      <c r="K1780" s="133">
        <v>1.0816602190718901E-3</v>
      </c>
      <c r="L1780" s="181">
        <v>-1</v>
      </c>
      <c r="M1780" s="133">
        <v>0</v>
      </c>
      <c r="Y1780" s="193">
        <v>6.0030000000000001</v>
      </c>
      <c r="Z1780" s="193">
        <v>4.8810000000000002</v>
      </c>
      <c r="AA1780" s="193">
        <v>5.8419999999999996</v>
      </c>
      <c r="AB1780" s="46">
        <v>5.99</v>
      </c>
      <c r="AC1780" s="46">
        <v>6.03</v>
      </c>
      <c r="AD1780" s="46">
        <v>5.94</v>
      </c>
      <c r="AE1780" s="46">
        <v>5.97</v>
      </c>
    </row>
    <row r="1781" spans="1:31" x14ac:dyDescent="0.25">
      <c r="A1781" s="136">
        <v>43089</v>
      </c>
      <c r="B1781" s="201" t="s">
        <v>71</v>
      </c>
      <c r="C1781" t="s">
        <v>126</v>
      </c>
      <c r="D1781">
        <v>2800</v>
      </c>
      <c r="E1781">
        <v>2800</v>
      </c>
      <c r="F1781">
        <v>5.9390000000000001</v>
      </c>
      <c r="G1781">
        <v>702.38</v>
      </c>
      <c r="H1781">
        <v>4.2300000000000004</v>
      </c>
      <c r="I1781" s="309">
        <v>17332</v>
      </c>
      <c r="J1781">
        <v>6.19</v>
      </c>
      <c r="K1781" s="133">
        <v>3.1402571050174098E-2</v>
      </c>
      <c r="L1781" s="181">
        <v>0</v>
      </c>
      <c r="M1781" s="133">
        <v>3.01299805900875E-2</v>
      </c>
      <c r="N1781" s="73">
        <v>2864.0619999999999</v>
      </c>
      <c r="O1781" s="73">
        <v>228.52771916537799</v>
      </c>
      <c r="P1781" s="182">
        <v>2</v>
      </c>
      <c r="Q1781" s="182">
        <v>1000</v>
      </c>
      <c r="R1781" s="46">
        <v>6.45</v>
      </c>
      <c r="S1781" s="46">
        <v>2</v>
      </c>
      <c r="T1781" s="46">
        <v>900</v>
      </c>
      <c r="U1781" s="46">
        <v>6.3920000000000003</v>
      </c>
      <c r="V1781" s="46" t="s">
        <v>62</v>
      </c>
      <c r="W1781" s="46">
        <v>100</v>
      </c>
      <c r="X1781" s="46">
        <v>6.9720000000000004</v>
      </c>
      <c r="Y1781" s="193">
        <v>6.4340000000000002</v>
      </c>
      <c r="Z1781" s="194">
        <v>6.2690000000000001</v>
      </c>
      <c r="AA1781" s="194">
        <v>6.5140000000000002</v>
      </c>
      <c r="AB1781" s="46">
        <v>6.2</v>
      </c>
      <c r="AC1781" s="46">
        <v>6.21</v>
      </c>
      <c r="AD1781" s="46">
        <v>6.15</v>
      </c>
      <c r="AE1781" s="46">
        <v>6.19</v>
      </c>
    </row>
    <row r="1782" spans="1:31" x14ac:dyDescent="0.25">
      <c r="A1782" s="136">
        <v>43089</v>
      </c>
      <c r="B1782" s="201" t="s">
        <v>79</v>
      </c>
      <c r="C1782" t="s">
        <v>143</v>
      </c>
      <c r="D1782">
        <v>5100</v>
      </c>
      <c r="E1782">
        <v>5100</v>
      </c>
      <c r="F1782">
        <v>16.952999999999999</v>
      </c>
      <c r="G1782">
        <v>-8734.16</v>
      </c>
      <c r="H1782">
        <v>-10.1</v>
      </c>
      <c r="I1782" s="309">
        <v>77724</v>
      </c>
      <c r="J1782">
        <v>15.24</v>
      </c>
      <c r="K1782" s="133">
        <v>0.14082237666188199</v>
      </c>
      <c r="L1782" s="181">
        <v>-510</v>
      </c>
      <c r="M1782" s="133">
        <v>0.15664715625821199</v>
      </c>
      <c r="N1782" s="73">
        <v>-7409.7400000000198</v>
      </c>
      <c r="O1782" s="73">
        <v>-477.808718064517</v>
      </c>
      <c r="P1782" s="182">
        <v>9</v>
      </c>
      <c r="Q1782" s="182">
        <v>5000</v>
      </c>
      <c r="R1782" s="46">
        <v>16.971</v>
      </c>
      <c r="S1782" s="46">
        <v>0</v>
      </c>
      <c r="T1782" s="46">
        <v>0</v>
      </c>
      <c r="U1782" s="46">
        <v>0</v>
      </c>
      <c r="V1782" s="46" t="s">
        <v>62</v>
      </c>
      <c r="W1782" s="46">
        <v>5000</v>
      </c>
      <c r="X1782" s="46">
        <v>16.971</v>
      </c>
      <c r="Y1782" s="194">
        <v>15.298999999999999</v>
      </c>
      <c r="Z1782" s="194">
        <v>15.71</v>
      </c>
      <c r="AA1782" s="194">
        <v>15.574999999999999</v>
      </c>
      <c r="AB1782" s="46">
        <v>15.59</v>
      </c>
      <c r="AC1782" s="46">
        <v>15.59</v>
      </c>
      <c r="AD1782" s="46">
        <v>15.22</v>
      </c>
      <c r="AE1782" s="46">
        <v>15.24</v>
      </c>
    </row>
    <row r="1783" spans="1:31" x14ac:dyDescent="0.25">
      <c r="A1783" s="136">
        <v>43089</v>
      </c>
      <c r="B1783" s="201" t="s">
        <v>65</v>
      </c>
      <c r="C1783" t="s">
        <v>127</v>
      </c>
      <c r="D1783">
        <v>14300</v>
      </c>
      <c r="E1783">
        <v>14300</v>
      </c>
      <c r="F1783">
        <v>10.430999999999999</v>
      </c>
      <c r="G1783">
        <v>-157.99</v>
      </c>
      <c r="H1783">
        <v>-0.1</v>
      </c>
      <c r="I1783" s="309">
        <v>149006</v>
      </c>
      <c r="J1783">
        <v>10.42</v>
      </c>
      <c r="K1783" s="133">
        <v>0.26997296918429797</v>
      </c>
      <c r="L1783" s="181">
        <v>-3367</v>
      </c>
      <c r="M1783" s="133">
        <v>0.27025921959972699</v>
      </c>
      <c r="N1783" s="73">
        <v>-3010.424</v>
      </c>
      <c r="O1783" s="73">
        <v>120.76938548002499</v>
      </c>
      <c r="P1783" s="182">
        <v>6</v>
      </c>
      <c r="Q1783" s="182">
        <v>2900</v>
      </c>
      <c r="R1783" s="46">
        <v>10.768000000000001</v>
      </c>
      <c r="S1783" s="46">
        <v>13</v>
      </c>
      <c r="T1783" s="46">
        <v>5600</v>
      </c>
      <c r="U1783" s="46">
        <v>12.551</v>
      </c>
      <c r="V1783" s="46" t="s">
        <v>68</v>
      </c>
      <c r="W1783" s="46">
        <v>2700</v>
      </c>
      <c r="X1783" s="46">
        <v>14.465999999999999</v>
      </c>
      <c r="Y1783" s="194">
        <v>10.467000000000001</v>
      </c>
      <c r="Z1783" s="194">
        <v>11.33</v>
      </c>
      <c r="AA1783" s="194">
        <v>11.654999999999999</v>
      </c>
      <c r="AB1783" s="46">
        <v>10.66</v>
      </c>
      <c r="AC1783" s="46">
        <v>10.73</v>
      </c>
      <c r="AD1783" s="46">
        <v>10.39</v>
      </c>
      <c r="AE1783" s="46">
        <v>10.42</v>
      </c>
    </row>
    <row r="1784" spans="1:31" x14ac:dyDescent="0.25">
      <c r="A1784" s="136">
        <v>43089</v>
      </c>
      <c r="B1784" s="201" t="s">
        <v>77</v>
      </c>
      <c r="C1784" t="s">
        <v>128</v>
      </c>
      <c r="D1784">
        <v>5000</v>
      </c>
      <c r="E1784">
        <v>5000</v>
      </c>
      <c r="F1784">
        <v>5.9980000000000002</v>
      </c>
      <c r="G1784">
        <v>-1388.06</v>
      </c>
      <c r="H1784">
        <v>-4.63</v>
      </c>
      <c r="I1784" s="309">
        <v>28600</v>
      </c>
      <c r="J1784">
        <v>5.72</v>
      </c>
      <c r="K1784" s="133">
        <v>5.1818228250345003E-2</v>
      </c>
      <c r="L1784" s="181">
        <v>-250</v>
      </c>
      <c r="M1784" s="133">
        <v>5.4333151673602899E-2</v>
      </c>
      <c r="N1784" s="73">
        <v>-1493.0060000000001</v>
      </c>
      <c r="O1784" s="73">
        <v>-171.122327068966</v>
      </c>
      <c r="P1784" s="182">
        <v>8</v>
      </c>
      <c r="Q1784" s="182">
        <v>4000</v>
      </c>
      <c r="R1784" s="46">
        <v>6.6230000000000002</v>
      </c>
      <c r="S1784" s="46">
        <v>0</v>
      </c>
      <c r="T1784" s="46">
        <v>0</v>
      </c>
      <c r="U1784" s="46">
        <v>0</v>
      </c>
      <c r="V1784" s="46" t="s">
        <v>62</v>
      </c>
      <c r="W1784" s="46">
        <v>4000</v>
      </c>
      <c r="X1784" s="46">
        <v>6.6230000000000002</v>
      </c>
      <c r="Y1784" s="194">
        <v>5.6769999999999996</v>
      </c>
      <c r="Z1784" s="194">
        <v>5.9790000000000001</v>
      </c>
      <c r="AA1784" s="194">
        <v>6.484</v>
      </c>
      <c r="AB1784" s="46">
        <v>5.76</v>
      </c>
      <c r="AC1784" s="46">
        <v>5.78</v>
      </c>
      <c r="AD1784" s="46">
        <v>5.65</v>
      </c>
      <c r="AE1784" s="46">
        <v>5.72</v>
      </c>
    </row>
    <row r="1785" spans="1:31" x14ac:dyDescent="0.25">
      <c r="A1785" s="136">
        <v>43089</v>
      </c>
      <c r="B1785" s="201" t="s">
        <v>67</v>
      </c>
      <c r="C1785" t="s">
        <v>129</v>
      </c>
      <c r="D1785">
        <v>10850</v>
      </c>
      <c r="E1785">
        <v>10850</v>
      </c>
      <c r="F1785">
        <v>8.6359999999999992</v>
      </c>
      <c r="G1785">
        <v>-7224.55</v>
      </c>
      <c r="H1785">
        <v>-7.71</v>
      </c>
      <c r="I1785" s="309">
        <v>86474.5</v>
      </c>
      <c r="J1785">
        <v>7.97</v>
      </c>
      <c r="K1785" s="133">
        <v>0.15667676149770801</v>
      </c>
      <c r="L1785" s="181">
        <v>-1242</v>
      </c>
      <c r="M1785" s="133">
        <v>0.16976639020071599</v>
      </c>
      <c r="N1785" s="73">
        <v>43475.178999999902</v>
      </c>
      <c r="O1785" s="73">
        <v>-921.06021940957896</v>
      </c>
      <c r="P1785" s="182">
        <v>9</v>
      </c>
      <c r="Q1785" s="182">
        <v>4500</v>
      </c>
      <c r="R1785" s="46">
        <v>6.6719999999999997</v>
      </c>
      <c r="S1785" s="46">
        <v>0</v>
      </c>
      <c r="T1785" s="46">
        <v>0</v>
      </c>
      <c r="U1785" s="46">
        <v>0</v>
      </c>
      <c r="V1785" s="46" t="s">
        <v>62</v>
      </c>
      <c r="W1785" s="46">
        <v>4500</v>
      </c>
      <c r="X1785" s="46">
        <v>6.6719999999999997</v>
      </c>
      <c r="Y1785" s="194">
        <v>7.9880000000000004</v>
      </c>
      <c r="Z1785" s="194">
        <v>7.41</v>
      </c>
      <c r="AA1785" s="194">
        <v>8.734</v>
      </c>
      <c r="AB1785" s="46">
        <v>8.09</v>
      </c>
      <c r="AC1785" s="46">
        <v>8.11</v>
      </c>
      <c r="AD1785" s="46">
        <v>7.93</v>
      </c>
      <c r="AE1785" s="46">
        <v>7.97</v>
      </c>
    </row>
    <row r="1786" spans="1:31" x14ac:dyDescent="0.25">
      <c r="A1786" s="136">
        <v>43089</v>
      </c>
      <c r="B1786" s="201" t="s">
        <v>78</v>
      </c>
      <c r="C1786" t="s">
        <v>142</v>
      </c>
      <c r="D1786">
        <v>1100</v>
      </c>
      <c r="E1786">
        <v>1100</v>
      </c>
      <c r="F1786">
        <v>10.449</v>
      </c>
      <c r="G1786">
        <v>-460.7</v>
      </c>
      <c r="H1786">
        <v>-4.01</v>
      </c>
      <c r="I1786" s="309">
        <v>11033</v>
      </c>
      <c r="J1786">
        <v>10.029999999999999</v>
      </c>
      <c r="K1786" s="133">
        <v>1.9989878051960001E-2</v>
      </c>
      <c r="L1786" s="181">
        <v>-198</v>
      </c>
      <c r="M1786" s="133">
        <v>2.0824586365069599E-2</v>
      </c>
      <c r="N1786" s="73">
        <v>-317.69600000000003</v>
      </c>
      <c r="O1786" s="73">
        <v>-31.253656692913399</v>
      </c>
      <c r="P1786" s="182">
        <v>3</v>
      </c>
      <c r="Q1786" s="182">
        <v>1500</v>
      </c>
      <c r="R1786" s="46">
        <v>10.776999999999999</v>
      </c>
      <c r="S1786" s="46">
        <v>1</v>
      </c>
      <c r="T1786" s="46">
        <v>400</v>
      </c>
      <c r="U1786" s="46">
        <v>11.74</v>
      </c>
      <c r="V1786" s="46" t="s">
        <v>62</v>
      </c>
      <c r="W1786" s="46">
        <v>1100</v>
      </c>
      <c r="X1786" s="46">
        <v>10.427</v>
      </c>
      <c r="Y1786" s="194">
        <v>10.122</v>
      </c>
      <c r="Z1786" s="194">
        <v>11.148</v>
      </c>
      <c r="AA1786" s="194">
        <v>11.151999999999999</v>
      </c>
      <c r="AB1786" s="46">
        <v>10.24</v>
      </c>
      <c r="AC1786" s="46">
        <v>10.25</v>
      </c>
      <c r="AD1786" s="46">
        <v>10.02</v>
      </c>
      <c r="AE1786" s="46">
        <v>10.029999999999999</v>
      </c>
    </row>
    <row r="1787" spans="1:31" x14ac:dyDescent="0.25">
      <c r="A1787" s="136">
        <v>43089</v>
      </c>
      <c r="B1787" s="201" t="s">
        <v>72</v>
      </c>
      <c r="C1787" t="s">
        <v>130</v>
      </c>
      <c r="D1787">
        <v>2000</v>
      </c>
      <c r="E1787">
        <v>2000</v>
      </c>
      <c r="F1787">
        <v>7.2060000000000004</v>
      </c>
      <c r="G1787">
        <v>-191.12</v>
      </c>
      <c r="H1787">
        <v>-1.33</v>
      </c>
      <c r="I1787" s="309">
        <v>14220</v>
      </c>
      <c r="J1787">
        <v>7.11</v>
      </c>
      <c r="K1787" s="133">
        <v>2.5764168032164601E-2</v>
      </c>
      <c r="L1787" s="181">
        <v>-280</v>
      </c>
      <c r="M1787" s="133">
        <v>2.6110444248360599E-2</v>
      </c>
      <c r="N1787" s="73">
        <v>87.164000000008897</v>
      </c>
      <c r="O1787" s="73">
        <v>41.945592798916003</v>
      </c>
      <c r="P1787" s="182">
        <v>0</v>
      </c>
      <c r="Q1787" s="182">
        <v>0</v>
      </c>
      <c r="R1787" s="46">
        <v>0</v>
      </c>
      <c r="S1787" s="46">
        <v>12</v>
      </c>
      <c r="T1787" s="46">
        <v>5000</v>
      </c>
      <c r="U1787" s="46">
        <v>8.2010000000000005</v>
      </c>
      <c r="V1787" s="46" t="s">
        <v>68</v>
      </c>
      <c r="W1787" s="46">
        <v>5000</v>
      </c>
      <c r="X1787" s="46">
        <v>8.2010000000000005</v>
      </c>
      <c r="Y1787" s="194">
        <v>7.133</v>
      </c>
      <c r="Z1787" s="194">
        <v>6.9539999999999997</v>
      </c>
      <c r="AA1787" s="194">
        <v>7.0609999999999999</v>
      </c>
      <c r="AB1787" s="46">
        <v>7.25</v>
      </c>
      <c r="AC1787" s="46">
        <v>7.25</v>
      </c>
      <c r="AD1787" s="46">
        <v>7.08</v>
      </c>
      <c r="AE1787" s="46">
        <v>7.11</v>
      </c>
    </row>
    <row r="1788" spans="1:31" x14ac:dyDescent="0.25">
      <c r="A1788" s="136">
        <v>43089</v>
      </c>
      <c r="B1788" s="201" t="s">
        <v>70</v>
      </c>
      <c r="C1788" t="s">
        <v>131</v>
      </c>
      <c r="D1788">
        <v>10400</v>
      </c>
      <c r="E1788">
        <v>10400</v>
      </c>
      <c r="F1788">
        <v>12.218999999999999</v>
      </c>
      <c r="G1788">
        <v>-15074.78</v>
      </c>
      <c r="H1788">
        <v>-11.86</v>
      </c>
      <c r="I1788" s="309">
        <v>112008</v>
      </c>
      <c r="J1788">
        <v>10.77</v>
      </c>
      <c r="K1788" s="133">
        <v>0.20293902482044199</v>
      </c>
      <c r="L1788" s="181">
        <v>-2634</v>
      </c>
      <c r="M1788" s="133">
        <v>0.23025190561987299</v>
      </c>
      <c r="N1788" s="73">
        <v>-13929.766</v>
      </c>
      <c r="O1788" s="73">
        <v>-1279.6692203125001</v>
      </c>
      <c r="P1788" s="182">
        <v>2</v>
      </c>
      <c r="Q1788" s="182">
        <v>1000</v>
      </c>
      <c r="R1788" s="46">
        <v>10.9</v>
      </c>
      <c r="S1788" s="46">
        <v>5</v>
      </c>
      <c r="T1788" s="46">
        <v>2000</v>
      </c>
      <c r="U1788" s="46">
        <v>13.087999999999999</v>
      </c>
      <c r="V1788" s="46" t="s">
        <v>68</v>
      </c>
      <c r="W1788" s="46">
        <v>1000</v>
      </c>
      <c r="X1788" s="46">
        <v>15.276</v>
      </c>
      <c r="Y1788" s="194">
        <v>10.891999999999999</v>
      </c>
      <c r="Z1788" s="194">
        <v>12.327</v>
      </c>
      <c r="AA1788" s="194">
        <v>12.263999999999999</v>
      </c>
      <c r="AB1788" s="46">
        <v>11.03</v>
      </c>
      <c r="AC1788" s="46">
        <v>11.1</v>
      </c>
      <c r="AD1788" s="46">
        <v>10.76</v>
      </c>
      <c r="AE1788" s="46">
        <v>10.77</v>
      </c>
    </row>
    <row r="1789" spans="1:31" x14ac:dyDescent="0.25">
      <c r="A1789" s="136">
        <v>43089</v>
      </c>
      <c r="B1789" s="201" t="s">
        <v>146</v>
      </c>
      <c r="C1789" t="s">
        <v>147</v>
      </c>
      <c r="D1789">
        <v>40</v>
      </c>
      <c r="E1789">
        <v>40</v>
      </c>
      <c r="F1789">
        <v>100</v>
      </c>
      <c r="G1789">
        <v>0</v>
      </c>
      <c r="H1789">
        <v>0</v>
      </c>
      <c r="I1789" s="309">
        <v>4000</v>
      </c>
      <c r="J1789">
        <v>0</v>
      </c>
      <c r="K1789" s="133">
        <v>7.2473046503979104E-3</v>
      </c>
      <c r="L1789" s="181">
        <v>0</v>
      </c>
      <c r="M1789" s="133">
        <v>7.2473046503979104E-3</v>
      </c>
    </row>
    <row r="1790" spans="1:31" x14ac:dyDescent="0.25">
      <c r="A1790" s="136">
        <v>43089</v>
      </c>
      <c r="B1790" s="201" t="s">
        <v>137</v>
      </c>
      <c r="C1790" t="s">
        <v>138</v>
      </c>
      <c r="D1790">
        <v>100</v>
      </c>
      <c r="E1790">
        <v>100</v>
      </c>
      <c r="F1790">
        <v>-130.48500000000001</v>
      </c>
      <c r="G1790">
        <v>16738.5</v>
      </c>
      <c r="H1790">
        <v>0</v>
      </c>
      <c r="I1790" s="309">
        <v>3690</v>
      </c>
      <c r="J1790">
        <v>36.9</v>
      </c>
      <c r="K1790" s="133">
        <v>6.68563853999207E-3</v>
      </c>
      <c r="L1790" s="181">
        <v>40</v>
      </c>
      <c r="M1790" s="133">
        <v>0</v>
      </c>
    </row>
    <row r="1791" spans="1:31" x14ac:dyDescent="0.25">
      <c r="A1791" s="136">
        <v>43089</v>
      </c>
      <c r="B1791" s="201" t="s">
        <v>835</v>
      </c>
      <c r="C1791" t="s">
        <v>839</v>
      </c>
      <c r="I1791" s="309">
        <v>29199.51</v>
      </c>
      <c r="K1791" s="133">
        <v>5.2904436153085002E-2</v>
      </c>
      <c r="L1791" s="181">
        <v>0</v>
      </c>
      <c r="M1791" s="133">
        <v>5.3385149870545899E-2</v>
      </c>
    </row>
    <row r="1792" spans="1:31" x14ac:dyDescent="0.25">
      <c r="A1792" s="136">
        <v>43090</v>
      </c>
      <c r="B1792" s="201" t="s">
        <v>132</v>
      </c>
      <c r="C1792" t="s">
        <v>123</v>
      </c>
      <c r="D1792">
        <v>26532</v>
      </c>
      <c r="E1792">
        <v>26532</v>
      </c>
      <c r="F1792">
        <v>-9.2999999999999999E-2</v>
      </c>
      <c r="G1792">
        <v>2732.7959999999998</v>
      </c>
      <c r="H1792">
        <v>0</v>
      </c>
      <c r="I1792" s="309">
        <v>265.32</v>
      </c>
      <c r="J1792">
        <v>0.01</v>
      </c>
      <c r="K1792" s="133">
        <v>4.7687494423697698E-4</v>
      </c>
      <c r="L1792" s="181">
        <v>0</v>
      </c>
      <c r="M1792" s="133">
        <v>0</v>
      </c>
    </row>
    <row r="1793" spans="1:31" x14ac:dyDescent="0.25">
      <c r="A1793" s="136">
        <v>43090</v>
      </c>
      <c r="B1793" s="201" t="s">
        <v>61</v>
      </c>
      <c r="C1793" t="s">
        <v>136</v>
      </c>
      <c r="D1793">
        <v>3500</v>
      </c>
      <c r="E1793">
        <v>3500</v>
      </c>
      <c r="F1793">
        <v>5.3070000000000004</v>
      </c>
      <c r="G1793">
        <v>-863.52</v>
      </c>
      <c r="H1793">
        <v>-4.6500000000000004</v>
      </c>
      <c r="I1793" s="309">
        <v>17710</v>
      </c>
      <c r="J1793">
        <v>5.0599999999999996</v>
      </c>
      <c r="K1793" s="133">
        <v>3.1831204818471501E-2</v>
      </c>
      <c r="L1793" s="181">
        <v>-70</v>
      </c>
      <c r="M1793" s="133">
        <v>3.3383259137209402E-2</v>
      </c>
      <c r="N1793" s="73">
        <v>-587.26800000000003</v>
      </c>
      <c r="O1793" s="73">
        <v>-114.19734747081699</v>
      </c>
      <c r="P1793" s="182">
        <v>6</v>
      </c>
      <c r="Q1793" s="182">
        <v>3000</v>
      </c>
      <c r="R1793" s="46">
        <v>5.31</v>
      </c>
      <c r="S1793" s="46">
        <v>0</v>
      </c>
      <c r="T1793" s="46">
        <v>0</v>
      </c>
      <c r="U1793" s="46">
        <v>0</v>
      </c>
      <c r="V1793" s="46" t="s">
        <v>62</v>
      </c>
      <c r="W1793" s="46">
        <v>3000</v>
      </c>
      <c r="X1793" s="46">
        <v>5.31</v>
      </c>
      <c r="Y1793" s="194">
        <v>5.0439999999999996</v>
      </c>
      <c r="Z1793" s="194">
        <v>5.0839999999999996</v>
      </c>
      <c r="AA1793" s="194">
        <v>5.1509999999999998</v>
      </c>
      <c r="AB1793" s="46">
        <v>5.08</v>
      </c>
      <c r="AC1793" s="46">
        <v>5.08</v>
      </c>
      <c r="AD1793" s="46">
        <v>5.03</v>
      </c>
      <c r="AE1793" s="46">
        <v>5.0599999999999996</v>
      </c>
    </row>
    <row r="1794" spans="1:31" x14ac:dyDescent="0.25">
      <c r="A1794" s="136">
        <v>43090</v>
      </c>
      <c r="B1794" s="201" t="s">
        <v>124</v>
      </c>
      <c r="C1794" t="s">
        <v>125</v>
      </c>
      <c r="D1794">
        <v>100</v>
      </c>
      <c r="E1794">
        <v>100</v>
      </c>
      <c r="F1794">
        <v>-53.579000000000001</v>
      </c>
      <c r="G1794">
        <v>5953.9</v>
      </c>
      <c r="H1794">
        <v>0</v>
      </c>
      <c r="I1794" s="309">
        <v>596</v>
      </c>
      <c r="J1794">
        <v>5.96</v>
      </c>
      <c r="K1794" s="133">
        <v>1.0712251875668599E-3</v>
      </c>
      <c r="L1794" s="181">
        <v>-1</v>
      </c>
      <c r="M1794" s="133">
        <v>0</v>
      </c>
      <c r="Y1794" s="194">
        <v>5.32</v>
      </c>
      <c r="Z1794" s="193">
        <v>4.88</v>
      </c>
      <c r="AA1794" s="193">
        <v>5.843</v>
      </c>
      <c r="AB1794" s="46">
        <v>5.97</v>
      </c>
      <c r="AC1794" s="46">
        <v>5.99</v>
      </c>
      <c r="AD1794" s="46">
        <v>5.94</v>
      </c>
      <c r="AE1794" s="46">
        <v>5.96</v>
      </c>
    </row>
    <row r="1795" spans="1:31" x14ac:dyDescent="0.25">
      <c r="A1795" s="136">
        <v>43090</v>
      </c>
      <c r="B1795" s="201" t="s">
        <v>71</v>
      </c>
      <c r="C1795" t="s">
        <v>126</v>
      </c>
      <c r="D1795">
        <v>2800</v>
      </c>
      <c r="E1795">
        <v>2800</v>
      </c>
      <c r="F1795">
        <v>5.9390000000000001</v>
      </c>
      <c r="G1795">
        <v>674.38</v>
      </c>
      <c r="H1795">
        <v>4.0599999999999996</v>
      </c>
      <c r="I1795" s="309">
        <v>17304</v>
      </c>
      <c r="J1795">
        <v>6.18</v>
      </c>
      <c r="K1795" s="133">
        <v>3.1101477593384101E-2</v>
      </c>
      <c r="L1795" s="181">
        <v>-28</v>
      </c>
      <c r="M1795" s="133">
        <v>2.9889375509505999E-2</v>
      </c>
      <c r="N1795" s="73">
        <v>2864.0619999999999</v>
      </c>
      <c r="O1795" s="73">
        <v>228.52771916537799</v>
      </c>
      <c r="P1795" s="182">
        <v>2</v>
      </c>
      <c r="Q1795" s="182">
        <v>1000</v>
      </c>
      <c r="R1795" s="46">
        <v>6.45</v>
      </c>
      <c r="S1795" s="46">
        <v>2</v>
      </c>
      <c r="T1795" s="46">
        <v>900</v>
      </c>
      <c r="U1795" s="46">
        <v>6.3920000000000003</v>
      </c>
      <c r="V1795" s="46" t="s">
        <v>62</v>
      </c>
      <c r="W1795" s="46">
        <v>100</v>
      </c>
      <c r="X1795" s="46">
        <v>6.9720000000000004</v>
      </c>
      <c r="Y1795" s="193">
        <v>6.2149999999999999</v>
      </c>
      <c r="Z1795" s="194">
        <v>6.2709999999999999</v>
      </c>
      <c r="AA1795" s="194">
        <v>6.5119999999999996</v>
      </c>
      <c r="AB1795" s="46">
        <v>6.18</v>
      </c>
      <c r="AC1795" s="46">
        <v>6.22</v>
      </c>
      <c r="AD1795" s="46">
        <v>6.14</v>
      </c>
      <c r="AE1795" s="46">
        <v>6.18</v>
      </c>
    </row>
    <row r="1796" spans="1:31" x14ac:dyDescent="0.25">
      <c r="A1796" s="136">
        <v>43090</v>
      </c>
      <c r="B1796" s="201" t="s">
        <v>79</v>
      </c>
      <c r="C1796" t="s">
        <v>143</v>
      </c>
      <c r="D1796">
        <v>5100</v>
      </c>
      <c r="E1796">
        <v>5100</v>
      </c>
      <c r="F1796">
        <v>16.952999999999999</v>
      </c>
      <c r="G1796">
        <v>-8989.16</v>
      </c>
      <c r="H1796">
        <v>-10.4</v>
      </c>
      <c r="I1796" s="309">
        <v>77469</v>
      </c>
      <c r="J1796">
        <v>15.19</v>
      </c>
      <c r="K1796" s="133">
        <v>0.139239503449022</v>
      </c>
      <c r="L1796" s="181">
        <v>-255</v>
      </c>
      <c r="M1796" s="133">
        <v>0.15539623936692201</v>
      </c>
      <c r="N1796" s="73">
        <v>-7409.7400000000198</v>
      </c>
      <c r="O1796" s="73">
        <v>-477.808718064517</v>
      </c>
      <c r="P1796" s="182">
        <v>9</v>
      </c>
      <c r="Q1796" s="182">
        <v>5000</v>
      </c>
      <c r="R1796" s="46">
        <v>16.971</v>
      </c>
      <c r="S1796" s="46">
        <v>0</v>
      </c>
      <c r="T1796" s="46">
        <v>0</v>
      </c>
      <c r="U1796" s="46">
        <v>0</v>
      </c>
      <c r="V1796" s="46" t="s">
        <v>62</v>
      </c>
      <c r="W1796" s="46">
        <v>5000</v>
      </c>
      <c r="X1796" s="46">
        <v>16.971</v>
      </c>
      <c r="Y1796" s="194">
        <v>14.957000000000001</v>
      </c>
      <c r="Z1796" s="194">
        <v>15.696999999999999</v>
      </c>
      <c r="AA1796" s="194">
        <v>15.561</v>
      </c>
      <c r="AB1796" s="46">
        <v>15.21</v>
      </c>
      <c r="AC1796" s="46">
        <v>15.27</v>
      </c>
      <c r="AD1796" s="46">
        <v>15.08</v>
      </c>
      <c r="AE1796" s="46">
        <v>15.19</v>
      </c>
    </row>
    <row r="1797" spans="1:31" x14ac:dyDescent="0.25">
      <c r="A1797" s="136">
        <v>43090</v>
      </c>
      <c r="B1797" s="201" t="s">
        <v>65</v>
      </c>
      <c r="C1797" t="s">
        <v>127</v>
      </c>
      <c r="D1797">
        <v>13600</v>
      </c>
      <c r="E1797">
        <v>13600</v>
      </c>
      <c r="F1797">
        <v>10.414</v>
      </c>
      <c r="G1797">
        <v>4429.46</v>
      </c>
      <c r="H1797">
        <v>3.13</v>
      </c>
      <c r="I1797" s="309">
        <v>146064</v>
      </c>
      <c r="J1797">
        <v>10.74</v>
      </c>
      <c r="K1797" s="133">
        <v>0.262529254692559</v>
      </c>
      <c r="L1797" s="181">
        <v>4587.45</v>
      </c>
      <c r="M1797" s="133">
        <v>0.25456793066685501</v>
      </c>
      <c r="N1797" s="73">
        <v>1643.029</v>
      </c>
      <c r="O1797" s="73">
        <v>545.77144781104801</v>
      </c>
      <c r="P1797" s="182">
        <v>5</v>
      </c>
      <c r="Q1797" s="182">
        <v>2400</v>
      </c>
      <c r="R1797" s="46">
        <v>10.776</v>
      </c>
      <c r="S1797" s="46">
        <v>14</v>
      </c>
      <c r="T1797" s="46">
        <v>5900</v>
      </c>
      <c r="U1797" s="46">
        <v>12.464</v>
      </c>
      <c r="V1797" s="46" t="s">
        <v>68</v>
      </c>
      <c r="W1797" s="46">
        <v>3500</v>
      </c>
      <c r="X1797" s="46">
        <v>13.621</v>
      </c>
      <c r="Y1797" s="193">
        <v>10.739000000000001</v>
      </c>
      <c r="Z1797" s="194">
        <v>11.356</v>
      </c>
      <c r="AA1797" s="194">
        <v>11.644</v>
      </c>
      <c r="AB1797" s="46">
        <v>10.47</v>
      </c>
      <c r="AC1797" s="46">
        <v>10.87</v>
      </c>
      <c r="AD1797" s="46">
        <v>10.45</v>
      </c>
      <c r="AE1797" s="46">
        <v>10.74</v>
      </c>
    </row>
    <row r="1798" spans="1:31" x14ac:dyDescent="0.25">
      <c r="A1798" s="136">
        <v>43090</v>
      </c>
      <c r="B1798" s="201" t="s">
        <v>77</v>
      </c>
      <c r="C1798" t="s">
        <v>128</v>
      </c>
      <c r="D1798">
        <v>5000</v>
      </c>
      <c r="E1798">
        <v>5000</v>
      </c>
      <c r="F1798">
        <v>5.9980000000000002</v>
      </c>
      <c r="G1798">
        <v>-1388.06</v>
      </c>
      <c r="H1798">
        <v>-4.63</v>
      </c>
      <c r="I1798" s="309">
        <v>28600</v>
      </c>
      <c r="J1798">
        <v>5.72</v>
      </c>
      <c r="K1798" s="133">
        <v>5.1404430141631097E-2</v>
      </c>
      <c r="L1798" s="181">
        <v>0</v>
      </c>
      <c r="M1798" s="133">
        <v>5.3899270466889498E-2</v>
      </c>
      <c r="N1798" s="73">
        <v>-1493.0060000000001</v>
      </c>
      <c r="O1798" s="73">
        <v>-171.122327068966</v>
      </c>
      <c r="P1798" s="182">
        <v>8</v>
      </c>
      <c r="Q1798" s="182">
        <v>4000</v>
      </c>
      <c r="R1798" s="46">
        <v>6.6230000000000002</v>
      </c>
      <c r="S1798" s="46">
        <v>0</v>
      </c>
      <c r="T1798" s="46">
        <v>0</v>
      </c>
      <c r="U1798" s="46">
        <v>0</v>
      </c>
      <c r="V1798" s="46" t="s">
        <v>62</v>
      </c>
      <c r="W1798" s="46">
        <v>4000</v>
      </c>
      <c r="X1798" s="46">
        <v>6.6230000000000002</v>
      </c>
      <c r="Y1798" s="194">
        <v>5.67</v>
      </c>
      <c r="Z1798" s="194">
        <v>5.9580000000000002</v>
      </c>
      <c r="AA1798" s="194">
        <v>6.476</v>
      </c>
      <c r="AB1798" s="46">
        <v>5.68</v>
      </c>
      <c r="AC1798" s="46">
        <v>5.72</v>
      </c>
      <c r="AD1798" s="46">
        <v>5.59</v>
      </c>
      <c r="AE1798" s="46">
        <v>5.72</v>
      </c>
    </row>
    <row r="1799" spans="1:31" x14ac:dyDescent="0.25">
      <c r="A1799" s="136">
        <v>43090</v>
      </c>
      <c r="B1799" s="201" t="s">
        <v>67</v>
      </c>
      <c r="C1799" t="s">
        <v>129</v>
      </c>
      <c r="D1799">
        <v>10850</v>
      </c>
      <c r="E1799">
        <v>10850</v>
      </c>
      <c r="F1799">
        <v>8.6359999999999992</v>
      </c>
      <c r="G1799">
        <v>-7116.05</v>
      </c>
      <c r="H1799">
        <v>-7.6</v>
      </c>
      <c r="I1799" s="309">
        <v>86583</v>
      </c>
      <c r="J1799">
        <v>7.98</v>
      </c>
      <c r="K1799" s="133">
        <v>0.15562062150184799</v>
      </c>
      <c r="L1799" s="181">
        <v>108.5</v>
      </c>
      <c r="M1799" s="133">
        <v>0.168410708743433</v>
      </c>
      <c r="N1799" s="73">
        <v>43475.178999999902</v>
      </c>
      <c r="O1799" s="73">
        <v>-921.06021940957896</v>
      </c>
      <c r="P1799" s="182">
        <v>9</v>
      </c>
      <c r="Q1799" s="182">
        <v>4500</v>
      </c>
      <c r="R1799" s="46">
        <v>6.6719999999999997</v>
      </c>
      <c r="S1799" s="46">
        <v>0</v>
      </c>
      <c r="T1799" s="46">
        <v>0</v>
      </c>
      <c r="U1799" s="46">
        <v>0</v>
      </c>
      <c r="V1799" s="46" t="s">
        <v>62</v>
      </c>
      <c r="W1799" s="46">
        <v>4500</v>
      </c>
      <c r="X1799" s="46">
        <v>6.6719999999999997</v>
      </c>
      <c r="Y1799" s="194">
        <v>7.6630000000000003</v>
      </c>
      <c r="Z1799" s="194">
        <v>7.4119999999999999</v>
      </c>
      <c r="AA1799" s="194">
        <v>8.7289999999999992</v>
      </c>
      <c r="AB1799" s="46">
        <v>7.99</v>
      </c>
      <c r="AC1799" s="46">
        <v>8.01</v>
      </c>
      <c r="AD1799" s="46">
        <v>7.88</v>
      </c>
      <c r="AE1799" s="46">
        <v>7.98</v>
      </c>
    </row>
    <row r="1800" spans="1:31" x14ac:dyDescent="0.25">
      <c r="A1800" s="136">
        <v>43090</v>
      </c>
      <c r="B1800" s="201" t="s">
        <v>78</v>
      </c>
      <c r="C1800" t="s">
        <v>142</v>
      </c>
      <c r="D1800">
        <v>1100</v>
      </c>
      <c r="E1800">
        <v>1100</v>
      </c>
      <c r="F1800">
        <v>10.449</v>
      </c>
      <c r="G1800">
        <v>-581.70000000000005</v>
      </c>
      <c r="H1800">
        <v>-5.0599999999999996</v>
      </c>
      <c r="I1800" s="309">
        <v>10912</v>
      </c>
      <c r="J1800">
        <v>9.92</v>
      </c>
      <c r="K1800" s="133">
        <v>1.96127671924992E-2</v>
      </c>
      <c r="L1800" s="181">
        <v>-121</v>
      </c>
      <c r="M1800" s="133">
        <v>2.0658290164995301E-2</v>
      </c>
      <c r="N1800" s="73">
        <v>-317.69600000000003</v>
      </c>
      <c r="O1800" s="73">
        <v>-31.253656692913399</v>
      </c>
      <c r="P1800" s="182">
        <v>3</v>
      </c>
      <c r="Q1800" s="182">
        <v>1500</v>
      </c>
      <c r="R1800" s="46">
        <v>10.776999999999999</v>
      </c>
      <c r="S1800" s="46">
        <v>1</v>
      </c>
      <c r="T1800" s="46">
        <v>400</v>
      </c>
      <c r="U1800" s="46">
        <v>11.74</v>
      </c>
      <c r="V1800" s="46" t="s">
        <v>62</v>
      </c>
      <c r="W1800" s="46">
        <v>1100</v>
      </c>
      <c r="X1800" s="46">
        <v>10.427</v>
      </c>
      <c r="Y1800" s="194">
        <v>9.9190000000000005</v>
      </c>
      <c r="Z1800" s="194">
        <v>11.093</v>
      </c>
      <c r="AA1800" s="194">
        <v>11.116</v>
      </c>
      <c r="AB1800" s="46">
        <v>10.06</v>
      </c>
      <c r="AC1800" s="46">
        <v>10.06</v>
      </c>
      <c r="AD1800" s="46">
        <v>9.81</v>
      </c>
      <c r="AE1800" s="46">
        <v>9.92</v>
      </c>
    </row>
    <row r="1801" spans="1:31" x14ac:dyDescent="0.25">
      <c r="A1801" s="136">
        <v>43090</v>
      </c>
      <c r="B1801" s="201" t="s">
        <v>72</v>
      </c>
      <c r="C1801" t="s">
        <v>130</v>
      </c>
      <c r="D1801">
        <v>2000</v>
      </c>
      <c r="E1801">
        <v>2000</v>
      </c>
      <c r="F1801">
        <v>7.2060000000000004</v>
      </c>
      <c r="G1801">
        <v>-111.12</v>
      </c>
      <c r="H1801">
        <v>-0.78</v>
      </c>
      <c r="I1801" s="309">
        <v>14300</v>
      </c>
      <c r="J1801">
        <v>7.15</v>
      </c>
      <c r="K1801" s="133">
        <v>2.57022150708155E-2</v>
      </c>
      <c r="L1801" s="181">
        <v>80</v>
      </c>
      <c r="M1801" s="133">
        <v>2.5901937458134999E-2</v>
      </c>
      <c r="N1801" s="73">
        <v>87.164000000008897</v>
      </c>
      <c r="O1801" s="73">
        <v>41.945592798916003</v>
      </c>
      <c r="P1801" s="182">
        <v>0</v>
      </c>
      <c r="Q1801" s="182">
        <v>0</v>
      </c>
      <c r="R1801" s="46">
        <v>0</v>
      </c>
      <c r="S1801" s="46">
        <v>12</v>
      </c>
      <c r="T1801" s="46">
        <v>5000</v>
      </c>
      <c r="U1801" s="46">
        <v>8.2010000000000005</v>
      </c>
      <c r="V1801" s="46" t="s">
        <v>68</v>
      </c>
      <c r="W1801" s="46">
        <v>5000</v>
      </c>
      <c r="X1801" s="46">
        <v>8.2010000000000005</v>
      </c>
      <c r="Y1801" s="193">
        <v>7.3540000000000001</v>
      </c>
      <c r="Z1801" s="194">
        <v>6.9480000000000004</v>
      </c>
      <c r="AA1801" s="194">
        <v>7.0640000000000001</v>
      </c>
      <c r="AB1801" s="46">
        <v>7.08</v>
      </c>
      <c r="AC1801" s="46">
        <v>7.25</v>
      </c>
      <c r="AD1801" s="46">
        <v>7.05</v>
      </c>
      <c r="AE1801" s="46">
        <v>7.15</v>
      </c>
    </row>
    <row r="1802" spans="1:31" x14ac:dyDescent="0.25">
      <c r="A1802" s="136">
        <v>43090</v>
      </c>
      <c r="B1802" s="201" t="s">
        <v>70</v>
      </c>
      <c r="C1802" t="s">
        <v>131</v>
      </c>
      <c r="D1802">
        <v>10400</v>
      </c>
      <c r="E1802">
        <v>10400</v>
      </c>
      <c r="F1802">
        <v>12.218999999999999</v>
      </c>
      <c r="G1802">
        <v>-14866.78</v>
      </c>
      <c r="H1802">
        <v>-11.69</v>
      </c>
      <c r="I1802" s="309">
        <v>112216</v>
      </c>
      <c r="J1802">
        <v>10.79</v>
      </c>
      <c r="K1802" s="133">
        <v>0.20169229135570901</v>
      </c>
      <c r="L1802" s="181">
        <v>208</v>
      </c>
      <c r="M1802" s="133">
        <v>0.228413212822177</v>
      </c>
      <c r="N1802" s="73">
        <v>-13929.766</v>
      </c>
      <c r="O1802" s="73">
        <v>-1279.6692203125001</v>
      </c>
      <c r="P1802" s="182">
        <v>2</v>
      </c>
      <c r="Q1802" s="182">
        <v>1000</v>
      </c>
      <c r="R1802" s="46">
        <v>10.9</v>
      </c>
      <c r="S1802" s="46">
        <v>5</v>
      </c>
      <c r="T1802" s="46">
        <v>2000</v>
      </c>
      <c r="U1802" s="46">
        <v>13.087999999999999</v>
      </c>
      <c r="V1802" s="46" t="s">
        <v>68</v>
      </c>
      <c r="W1802" s="46">
        <v>1000</v>
      </c>
      <c r="X1802" s="46">
        <v>15.276</v>
      </c>
      <c r="Y1802" s="193">
        <v>11.257</v>
      </c>
      <c r="Z1802" s="194">
        <v>12.329000000000001</v>
      </c>
      <c r="AA1802" s="194">
        <v>12.256</v>
      </c>
      <c r="AB1802" s="46">
        <v>10.79</v>
      </c>
      <c r="AC1802" s="46">
        <v>10.83</v>
      </c>
      <c r="AD1802" s="46">
        <v>10.59</v>
      </c>
      <c r="AE1802" s="46">
        <v>10.79</v>
      </c>
    </row>
    <row r="1803" spans="1:31" x14ac:dyDescent="0.25">
      <c r="A1803" s="136">
        <v>43090</v>
      </c>
      <c r="B1803" s="201" t="s">
        <v>146</v>
      </c>
      <c r="C1803" t="s">
        <v>147</v>
      </c>
      <c r="D1803">
        <v>40</v>
      </c>
      <c r="E1803">
        <v>40</v>
      </c>
      <c r="F1803">
        <v>100</v>
      </c>
      <c r="G1803">
        <v>0</v>
      </c>
      <c r="H1803">
        <v>0</v>
      </c>
      <c r="I1803" s="309">
        <v>4000</v>
      </c>
      <c r="J1803">
        <v>0</v>
      </c>
      <c r="K1803" s="133">
        <v>7.1894307890393097E-3</v>
      </c>
      <c r="L1803" s="181">
        <v>0</v>
      </c>
      <c r="M1803" s="133">
        <v>7.1894307890393097E-3</v>
      </c>
    </row>
    <row r="1804" spans="1:31" x14ac:dyDescent="0.25">
      <c r="A1804" s="136">
        <v>43090</v>
      </c>
      <c r="B1804" s="201" t="s">
        <v>137</v>
      </c>
      <c r="C1804" t="s">
        <v>138</v>
      </c>
      <c r="D1804">
        <v>100</v>
      </c>
      <c r="E1804">
        <v>100</v>
      </c>
      <c r="F1804">
        <v>-130.48500000000001</v>
      </c>
      <c r="G1804">
        <v>16672.5</v>
      </c>
      <c r="H1804">
        <v>0</v>
      </c>
      <c r="I1804" s="309">
        <v>3624</v>
      </c>
      <c r="J1804">
        <v>36.24</v>
      </c>
      <c r="K1804" s="133">
        <v>6.5136242948696096E-3</v>
      </c>
      <c r="L1804" s="181">
        <v>-66</v>
      </c>
      <c r="M1804" s="133">
        <v>0</v>
      </c>
    </row>
    <row r="1805" spans="1:31" x14ac:dyDescent="0.25">
      <c r="A1805" s="136">
        <v>43090</v>
      </c>
      <c r="B1805" s="201" t="s">
        <v>835</v>
      </c>
      <c r="C1805" t="s">
        <v>839</v>
      </c>
      <c r="I1805" s="309">
        <v>36728.959999999999</v>
      </c>
      <c r="K1805" s="133">
        <v>6.6015078968348295E-2</v>
      </c>
      <c r="L1805" s="181">
        <v>0</v>
      </c>
      <c r="M1805" s="133">
        <v>6.6491953912585305E-2</v>
      </c>
    </row>
    <row r="1806" spans="1:31" x14ac:dyDescent="0.25">
      <c r="A1806" s="136">
        <v>43091</v>
      </c>
      <c r="B1806" s="201" t="s">
        <v>132</v>
      </c>
      <c r="C1806" t="s">
        <v>123</v>
      </c>
      <c r="D1806">
        <v>26535</v>
      </c>
      <c r="E1806">
        <v>26535</v>
      </c>
      <c r="F1806">
        <v>-9.2999999999999999E-2</v>
      </c>
      <c r="G1806">
        <v>2733.105</v>
      </c>
      <c r="H1806">
        <v>0</v>
      </c>
      <c r="I1806" s="309">
        <v>265.35000000000002</v>
      </c>
      <c r="J1806">
        <v>0.01</v>
      </c>
      <c r="K1806" s="133">
        <v>4.7710463241717701E-4</v>
      </c>
      <c r="L1806" s="181">
        <v>0.30900000000019601</v>
      </c>
      <c r="M1806" s="133">
        <v>0</v>
      </c>
    </row>
    <row r="1807" spans="1:31" x14ac:dyDescent="0.25">
      <c r="A1807" s="136">
        <v>43091</v>
      </c>
      <c r="B1807" s="201" t="s">
        <v>61</v>
      </c>
      <c r="C1807" t="s">
        <v>136</v>
      </c>
      <c r="D1807">
        <v>3500</v>
      </c>
      <c r="E1807">
        <v>3500</v>
      </c>
      <c r="F1807">
        <v>5.3070000000000004</v>
      </c>
      <c r="G1807">
        <v>-898.52</v>
      </c>
      <c r="H1807">
        <v>-4.84</v>
      </c>
      <c r="I1807" s="309">
        <v>17675</v>
      </c>
      <c r="J1807">
        <v>5.05</v>
      </c>
      <c r="K1807" s="133">
        <v>3.1780005193041597E-2</v>
      </c>
      <c r="L1807" s="181">
        <v>-35</v>
      </c>
      <c r="M1807" s="133">
        <v>3.3395562209508498E-2</v>
      </c>
      <c r="N1807" s="73">
        <v>-587.26800000000003</v>
      </c>
      <c r="O1807" s="73">
        <v>-114.19734747081699</v>
      </c>
      <c r="P1807" s="182">
        <v>6</v>
      </c>
      <c r="Q1807" s="182">
        <v>3000</v>
      </c>
      <c r="R1807" s="46">
        <v>5.31</v>
      </c>
      <c r="S1807" s="46">
        <v>0</v>
      </c>
      <c r="T1807" s="46">
        <v>0</v>
      </c>
      <c r="U1807" s="46">
        <v>0</v>
      </c>
      <c r="V1807" s="46" t="s">
        <v>62</v>
      </c>
      <c r="W1807" s="46">
        <v>3000</v>
      </c>
      <c r="X1807" s="46">
        <v>5.31</v>
      </c>
      <c r="Y1807" s="194">
        <v>5.0140000000000002</v>
      </c>
      <c r="Z1807" s="194">
        <v>5.0819999999999999</v>
      </c>
      <c r="AA1807" s="194">
        <v>5.1479999999999997</v>
      </c>
      <c r="AB1807" s="46">
        <v>5.05</v>
      </c>
      <c r="AC1807" s="46">
        <v>5.07</v>
      </c>
      <c r="AD1807" s="46">
        <v>5.03</v>
      </c>
      <c r="AE1807" s="46">
        <v>5.05</v>
      </c>
    </row>
    <row r="1808" spans="1:31" x14ac:dyDescent="0.25">
      <c r="A1808" s="136">
        <v>43091</v>
      </c>
      <c r="B1808" s="201" t="s">
        <v>124</v>
      </c>
      <c r="C1808" t="s">
        <v>125</v>
      </c>
      <c r="D1808">
        <v>100</v>
      </c>
      <c r="E1808">
        <v>100</v>
      </c>
      <c r="F1808">
        <v>-53.579000000000001</v>
      </c>
      <c r="G1808">
        <v>5949.9</v>
      </c>
      <c r="H1808">
        <v>0</v>
      </c>
      <c r="I1808" s="309">
        <v>592</v>
      </c>
      <c r="J1808">
        <v>5.92</v>
      </c>
      <c r="K1808" s="133">
        <v>1.0644278967061199E-3</v>
      </c>
      <c r="L1808" s="181">
        <v>-4</v>
      </c>
      <c r="M1808" s="133">
        <v>0</v>
      </c>
      <c r="Y1808" s="194">
        <v>5.9180000000000001</v>
      </c>
      <c r="Z1808" s="193">
        <v>4.7969999999999997</v>
      </c>
      <c r="AA1808" s="193">
        <v>5.8440000000000003</v>
      </c>
      <c r="AB1808" s="46">
        <v>5.97</v>
      </c>
      <c r="AC1808" s="46">
        <v>5.98</v>
      </c>
      <c r="AD1808" s="46">
        <v>5.92</v>
      </c>
      <c r="AE1808" s="46">
        <v>5.92</v>
      </c>
    </row>
    <row r="1809" spans="1:31" x14ac:dyDescent="0.25">
      <c r="A1809" s="136">
        <v>43091</v>
      </c>
      <c r="B1809" s="201" t="s">
        <v>71</v>
      </c>
      <c r="C1809" t="s">
        <v>126</v>
      </c>
      <c r="D1809">
        <v>2800</v>
      </c>
      <c r="E1809">
        <v>2800</v>
      </c>
      <c r="F1809">
        <v>5.9390000000000001</v>
      </c>
      <c r="G1809">
        <v>702.38</v>
      </c>
      <c r="H1809">
        <v>4.2300000000000004</v>
      </c>
      <c r="I1809" s="309">
        <v>17332</v>
      </c>
      <c r="J1809">
        <v>6.19</v>
      </c>
      <c r="K1809" s="133">
        <v>3.1163284300186601E-2</v>
      </c>
      <c r="L1809" s="181">
        <v>28</v>
      </c>
      <c r="M1809" s="133">
        <v>2.9900390945307401E-2</v>
      </c>
      <c r="N1809" s="73">
        <v>2864.0619999999999</v>
      </c>
      <c r="O1809" s="73">
        <v>228.52771916537799</v>
      </c>
      <c r="P1809" s="182">
        <v>2</v>
      </c>
      <c r="Q1809" s="182">
        <v>1000</v>
      </c>
      <c r="R1809" s="46">
        <v>6.45</v>
      </c>
      <c r="S1809" s="46">
        <v>2</v>
      </c>
      <c r="T1809" s="46">
        <v>900</v>
      </c>
      <c r="U1809" s="46">
        <v>6.3920000000000003</v>
      </c>
      <c r="V1809" s="46" t="s">
        <v>62</v>
      </c>
      <c r="W1809" s="46">
        <v>100</v>
      </c>
      <c r="X1809" s="46">
        <v>6.9720000000000004</v>
      </c>
      <c r="Y1809" s="193">
        <v>6.234</v>
      </c>
      <c r="Z1809" s="194">
        <v>6.2720000000000002</v>
      </c>
      <c r="AA1809" s="194">
        <v>6.5110000000000001</v>
      </c>
      <c r="AB1809" s="46">
        <v>6.18</v>
      </c>
      <c r="AC1809" s="46">
        <v>6.23</v>
      </c>
      <c r="AD1809" s="46">
        <v>6.16</v>
      </c>
      <c r="AE1809" s="46">
        <v>6.19</v>
      </c>
    </row>
    <row r="1810" spans="1:31" x14ac:dyDescent="0.25">
      <c r="A1810" s="136">
        <v>43091</v>
      </c>
      <c r="B1810" s="201" t="s">
        <v>79</v>
      </c>
      <c r="C1810" t="s">
        <v>143</v>
      </c>
      <c r="D1810">
        <v>5100</v>
      </c>
      <c r="E1810">
        <v>5100</v>
      </c>
      <c r="F1810">
        <v>16.952999999999999</v>
      </c>
      <c r="G1810">
        <v>-9295.16</v>
      </c>
      <c r="H1810">
        <v>-10.75</v>
      </c>
      <c r="I1810" s="309">
        <v>77163</v>
      </c>
      <c r="J1810">
        <v>15.13</v>
      </c>
      <c r="K1810" s="133">
        <v>0.13874062465124001</v>
      </c>
      <c r="L1810" s="181">
        <v>-306</v>
      </c>
      <c r="M1810" s="133">
        <v>0.15545350912479899</v>
      </c>
      <c r="N1810" s="73">
        <v>-7409.7400000000198</v>
      </c>
      <c r="O1810" s="73">
        <v>-477.808718064517</v>
      </c>
      <c r="P1810" s="182">
        <v>9</v>
      </c>
      <c r="Q1810" s="182">
        <v>5000</v>
      </c>
      <c r="R1810" s="46">
        <v>16.971</v>
      </c>
      <c r="S1810" s="46">
        <v>0</v>
      </c>
      <c r="T1810" s="46">
        <v>0</v>
      </c>
      <c r="U1810" s="46">
        <v>0</v>
      </c>
      <c r="V1810" s="46" t="s">
        <v>62</v>
      </c>
      <c r="W1810" s="46">
        <v>5000</v>
      </c>
      <c r="X1810" s="46">
        <v>16.971</v>
      </c>
      <c r="Y1810" s="194">
        <v>15.137</v>
      </c>
      <c r="Z1810" s="194">
        <v>15.645</v>
      </c>
      <c r="AA1810" s="194">
        <v>15.552</v>
      </c>
      <c r="AB1810" s="46">
        <v>15.19</v>
      </c>
      <c r="AC1810" s="46">
        <v>15.24</v>
      </c>
      <c r="AD1810" s="46">
        <v>15.11</v>
      </c>
      <c r="AE1810" s="46">
        <v>15.13</v>
      </c>
    </row>
    <row r="1811" spans="1:31" x14ac:dyDescent="0.25">
      <c r="A1811" s="136">
        <v>43091</v>
      </c>
      <c r="B1811" s="201" t="s">
        <v>65</v>
      </c>
      <c r="C1811" t="s">
        <v>127</v>
      </c>
      <c r="D1811">
        <v>13600</v>
      </c>
      <c r="E1811">
        <v>13600</v>
      </c>
      <c r="F1811">
        <v>10.414</v>
      </c>
      <c r="G1811">
        <v>4565.46</v>
      </c>
      <c r="H1811">
        <v>3.23</v>
      </c>
      <c r="I1811" s="309">
        <v>146200</v>
      </c>
      <c r="J1811">
        <v>10.75</v>
      </c>
      <c r="K1811" s="133">
        <v>0.26287053800411198</v>
      </c>
      <c r="L1811" s="181">
        <v>136</v>
      </c>
      <c r="M1811" s="133">
        <v>0.25466174917759898</v>
      </c>
      <c r="N1811" s="73">
        <v>1643.029</v>
      </c>
      <c r="O1811" s="73">
        <v>545.77144781104801</v>
      </c>
      <c r="P1811" s="182">
        <v>5</v>
      </c>
      <c r="Q1811" s="182">
        <v>2400</v>
      </c>
      <c r="R1811" s="46">
        <v>10.776</v>
      </c>
      <c r="S1811" s="46">
        <v>14</v>
      </c>
      <c r="T1811" s="46">
        <v>5900</v>
      </c>
      <c r="U1811" s="46">
        <v>12.464</v>
      </c>
      <c r="V1811" s="46" t="s">
        <v>68</v>
      </c>
      <c r="W1811" s="46">
        <v>3500</v>
      </c>
      <c r="X1811" s="46">
        <v>13.621</v>
      </c>
      <c r="Y1811" s="194">
        <v>10.555999999999999</v>
      </c>
      <c r="Z1811" s="194">
        <v>11.352</v>
      </c>
      <c r="AA1811" s="194">
        <v>11.638999999999999</v>
      </c>
      <c r="AB1811" s="46">
        <v>10.69</v>
      </c>
      <c r="AC1811" s="46">
        <v>10.86</v>
      </c>
      <c r="AD1811" s="46">
        <v>10.65</v>
      </c>
      <c r="AE1811" s="46">
        <v>10.75</v>
      </c>
    </row>
    <row r="1812" spans="1:31" x14ac:dyDescent="0.25">
      <c r="A1812" s="136">
        <v>43091</v>
      </c>
      <c r="B1812" s="201" t="s">
        <v>77</v>
      </c>
      <c r="C1812" t="s">
        <v>128</v>
      </c>
      <c r="D1812">
        <v>5000</v>
      </c>
      <c r="E1812">
        <v>5000</v>
      </c>
      <c r="F1812">
        <v>5.9980000000000002</v>
      </c>
      <c r="G1812">
        <v>-1438.06</v>
      </c>
      <c r="H1812">
        <v>-4.8</v>
      </c>
      <c r="I1812" s="309">
        <v>28550</v>
      </c>
      <c r="J1812">
        <v>5.71</v>
      </c>
      <c r="K1812" s="133">
        <v>5.1333473734729199E-2</v>
      </c>
      <c r="L1812" s="181">
        <v>-50</v>
      </c>
      <c r="M1812" s="133">
        <v>5.3919134513677199E-2</v>
      </c>
      <c r="N1812" s="73">
        <v>-1493.0060000000001</v>
      </c>
      <c r="O1812" s="73">
        <v>-171.122327068966</v>
      </c>
      <c r="P1812" s="182">
        <v>8</v>
      </c>
      <c r="Q1812" s="182">
        <v>4000</v>
      </c>
      <c r="R1812" s="46">
        <v>6.6230000000000002</v>
      </c>
      <c r="S1812" s="46">
        <v>0</v>
      </c>
      <c r="T1812" s="46">
        <v>0</v>
      </c>
      <c r="U1812" s="46">
        <v>0</v>
      </c>
      <c r="V1812" s="46" t="s">
        <v>62</v>
      </c>
      <c r="W1812" s="46">
        <v>4000</v>
      </c>
      <c r="X1812" s="46">
        <v>6.6230000000000002</v>
      </c>
      <c r="Y1812" s="193">
        <v>5.7670000000000003</v>
      </c>
      <c r="Z1812" s="194">
        <v>5.9640000000000004</v>
      </c>
      <c r="AA1812" s="194">
        <v>6.4690000000000003</v>
      </c>
      <c r="AB1812" s="46">
        <v>5.69</v>
      </c>
      <c r="AC1812" s="46">
        <v>5.71</v>
      </c>
      <c r="AD1812" s="46">
        <v>5.66</v>
      </c>
      <c r="AE1812" s="46">
        <v>5.71</v>
      </c>
    </row>
    <row r="1813" spans="1:31" x14ac:dyDescent="0.25">
      <c r="A1813" s="136">
        <v>43091</v>
      </c>
      <c r="B1813" s="201" t="s">
        <v>67</v>
      </c>
      <c r="C1813" t="s">
        <v>129</v>
      </c>
      <c r="D1813">
        <v>10850</v>
      </c>
      <c r="E1813">
        <v>10850</v>
      </c>
      <c r="F1813">
        <v>8.6359999999999992</v>
      </c>
      <c r="G1813">
        <v>-7550.05</v>
      </c>
      <c r="H1813">
        <v>-8.06</v>
      </c>
      <c r="I1813" s="309">
        <v>86149</v>
      </c>
      <c r="J1813">
        <v>7.94</v>
      </c>
      <c r="K1813" s="133">
        <v>0.15489763323198599</v>
      </c>
      <c r="L1813" s="181">
        <v>-434</v>
      </c>
      <c r="M1813" s="133">
        <v>0.168472774856185</v>
      </c>
      <c r="N1813" s="73">
        <v>43475.178999999902</v>
      </c>
      <c r="O1813" s="73">
        <v>-921.06021940957896</v>
      </c>
      <c r="P1813" s="182">
        <v>9</v>
      </c>
      <c r="Q1813" s="182">
        <v>4500</v>
      </c>
      <c r="R1813" s="46">
        <v>6.6719999999999997</v>
      </c>
      <c r="S1813" s="46">
        <v>0</v>
      </c>
      <c r="T1813" s="46">
        <v>0</v>
      </c>
      <c r="U1813" s="46">
        <v>0</v>
      </c>
      <c r="V1813" s="46" t="s">
        <v>62</v>
      </c>
      <c r="W1813" s="46">
        <v>4500</v>
      </c>
      <c r="X1813" s="46">
        <v>6.6719999999999997</v>
      </c>
      <c r="Y1813" s="194">
        <v>7.6429999999999998</v>
      </c>
      <c r="Z1813" s="194">
        <v>7.4130000000000003</v>
      </c>
      <c r="AA1813" s="194">
        <v>8.7260000000000009</v>
      </c>
      <c r="AB1813" s="46">
        <v>8.02</v>
      </c>
      <c r="AC1813" s="46">
        <v>8.0399999999999991</v>
      </c>
      <c r="AD1813" s="46">
        <v>7.94</v>
      </c>
      <c r="AE1813" s="46">
        <v>7.94</v>
      </c>
    </row>
    <row r="1814" spans="1:31" x14ac:dyDescent="0.25">
      <c r="A1814" s="136">
        <v>43091</v>
      </c>
      <c r="B1814" s="201" t="s">
        <v>78</v>
      </c>
      <c r="C1814" t="s">
        <v>142</v>
      </c>
      <c r="D1814">
        <v>1100</v>
      </c>
      <c r="E1814">
        <v>1100</v>
      </c>
      <c r="F1814">
        <v>10.449</v>
      </c>
      <c r="G1814">
        <v>-603.70000000000005</v>
      </c>
      <c r="H1814">
        <v>-5.25</v>
      </c>
      <c r="I1814" s="309">
        <v>10890</v>
      </c>
      <c r="J1814">
        <v>9.9</v>
      </c>
      <c r="K1814" s="133">
        <v>1.9580438843124399E-2</v>
      </c>
      <c r="L1814" s="181">
        <v>-22</v>
      </c>
      <c r="M1814" s="133">
        <v>2.0665903574951201E-2</v>
      </c>
      <c r="N1814" s="73">
        <v>-317.69600000000003</v>
      </c>
      <c r="O1814" s="73">
        <v>-31.253656692913399</v>
      </c>
      <c r="P1814" s="182">
        <v>3</v>
      </c>
      <c r="Q1814" s="182">
        <v>1500</v>
      </c>
      <c r="R1814" s="46">
        <v>10.776999999999999</v>
      </c>
      <c r="S1814" s="46">
        <v>1</v>
      </c>
      <c r="T1814" s="46">
        <v>400</v>
      </c>
      <c r="U1814" s="46">
        <v>11.74</v>
      </c>
      <c r="V1814" s="46" t="s">
        <v>62</v>
      </c>
      <c r="W1814" s="46">
        <v>1100</v>
      </c>
      <c r="X1814" s="46">
        <v>10.427</v>
      </c>
      <c r="Y1814" s="194">
        <v>9.9149999999999991</v>
      </c>
      <c r="Z1814" s="194">
        <v>11.08</v>
      </c>
      <c r="AA1814" s="194">
        <v>11.098000000000001</v>
      </c>
      <c r="AB1814" s="46">
        <v>9.92</v>
      </c>
      <c r="AC1814" s="46">
        <v>9.9700000000000006</v>
      </c>
      <c r="AD1814" s="46">
        <v>9.86</v>
      </c>
      <c r="AE1814" s="46">
        <v>9.9</v>
      </c>
    </row>
    <row r="1815" spans="1:31" x14ac:dyDescent="0.25">
      <c r="A1815" s="136">
        <v>43091</v>
      </c>
      <c r="B1815" s="201" t="s">
        <v>72</v>
      </c>
      <c r="C1815" t="s">
        <v>130</v>
      </c>
      <c r="D1815">
        <v>2000</v>
      </c>
      <c r="E1815">
        <v>2000</v>
      </c>
      <c r="F1815">
        <v>7.2060000000000004</v>
      </c>
      <c r="G1815">
        <v>-171.12</v>
      </c>
      <c r="H1815">
        <v>-1.19</v>
      </c>
      <c r="I1815" s="309">
        <v>14240</v>
      </c>
      <c r="J1815">
        <v>7.12</v>
      </c>
      <c r="K1815" s="133">
        <v>2.5603806164012099E-2</v>
      </c>
      <c r="L1815" s="181">
        <v>-60</v>
      </c>
      <c r="M1815" s="133">
        <v>2.59114833628032E-2</v>
      </c>
      <c r="N1815" s="73">
        <v>87.164000000008897</v>
      </c>
      <c r="O1815" s="73">
        <v>41.945592798916003</v>
      </c>
      <c r="P1815" s="182">
        <v>0</v>
      </c>
      <c r="Q1815" s="182">
        <v>0</v>
      </c>
      <c r="R1815" s="46">
        <v>0</v>
      </c>
      <c r="S1815" s="46">
        <v>12</v>
      </c>
      <c r="T1815" s="46">
        <v>5000</v>
      </c>
      <c r="U1815" s="46">
        <v>8.2010000000000005</v>
      </c>
      <c r="V1815" s="46" t="s">
        <v>68</v>
      </c>
      <c r="W1815" s="46">
        <v>5000</v>
      </c>
      <c r="X1815" s="46">
        <v>8.2010000000000005</v>
      </c>
      <c r="Y1815" s="194">
        <v>5.6890000000000001</v>
      </c>
      <c r="Z1815" s="194">
        <v>6.9450000000000003</v>
      </c>
      <c r="AA1815" s="194">
        <v>7.0670000000000002</v>
      </c>
      <c r="AB1815" s="46">
        <v>7.15</v>
      </c>
      <c r="AC1815" s="46">
        <v>7.27</v>
      </c>
      <c r="AD1815" s="46">
        <v>7.12</v>
      </c>
      <c r="AE1815" s="46">
        <v>7.12</v>
      </c>
    </row>
    <row r="1816" spans="1:31" x14ac:dyDescent="0.25">
      <c r="A1816" s="136">
        <v>43091</v>
      </c>
      <c r="B1816" s="201" t="s">
        <v>70</v>
      </c>
      <c r="C1816" t="s">
        <v>131</v>
      </c>
      <c r="D1816">
        <v>10400</v>
      </c>
      <c r="E1816">
        <v>10400</v>
      </c>
      <c r="F1816">
        <v>12.218999999999999</v>
      </c>
      <c r="G1816">
        <v>-14242.78</v>
      </c>
      <c r="H1816">
        <v>-11.2</v>
      </c>
      <c r="I1816" s="309">
        <v>112840</v>
      </c>
      <c r="J1816">
        <v>10.85</v>
      </c>
      <c r="K1816" s="133">
        <v>0.202888587608646</v>
      </c>
      <c r="L1816" s="181">
        <v>624</v>
      </c>
      <c r="M1816" s="133">
        <v>0.228497392268524</v>
      </c>
      <c r="N1816" s="73">
        <v>-13929.766</v>
      </c>
      <c r="O1816" s="73">
        <v>-1279.6692203125001</v>
      </c>
      <c r="P1816" s="182">
        <v>2</v>
      </c>
      <c r="Q1816" s="182">
        <v>1000</v>
      </c>
      <c r="R1816" s="46">
        <v>10.9</v>
      </c>
      <c r="S1816" s="46">
        <v>5</v>
      </c>
      <c r="T1816" s="46">
        <v>2000</v>
      </c>
      <c r="U1816" s="46">
        <v>13.087999999999999</v>
      </c>
      <c r="V1816" s="46" t="s">
        <v>68</v>
      </c>
      <c r="W1816" s="46">
        <v>1000</v>
      </c>
      <c r="X1816" s="46">
        <v>15.276</v>
      </c>
      <c r="Y1816" s="194">
        <v>10.605</v>
      </c>
      <c r="Z1816" s="194">
        <v>12.327999999999999</v>
      </c>
      <c r="AA1816" s="194">
        <v>12.249000000000001</v>
      </c>
      <c r="AB1816" s="46">
        <v>10.81</v>
      </c>
      <c r="AC1816" s="46">
        <v>10.94</v>
      </c>
      <c r="AD1816" s="46">
        <v>10.79</v>
      </c>
      <c r="AE1816" s="46">
        <v>10.85</v>
      </c>
    </row>
    <row r="1817" spans="1:31" x14ac:dyDescent="0.25">
      <c r="A1817" s="136">
        <v>43091</v>
      </c>
      <c r="B1817" s="201" t="s">
        <v>146</v>
      </c>
      <c r="C1817" t="s">
        <v>147</v>
      </c>
      <c r="D1817">
        <v>40</v>
      </c>
      <c r="E1817">
        <v>40</v>
      </c>
      <c r="F1817">
        <v>100</v>
      </c>
      <c r="G1817">
        <v>0</v>
      </c>
      <c r="H1817">
        <v>0</v>
      </c>
      <c r="I1817" s="309">
        <v>4000</v>
      </c>
      <c r="J1817">
        <v>0</v>
      </c>
      <c r="K1817" s="133">
        <v>7.1920803831494497E-3</v>
      </c>
      <c r="L1817" s="181">
        <v>0</v>
      </c>
      <c r="M1817" s="133">
        <v>7.1920803831494497E-3</v>
      </c>
    </row>
    <row r="1818" spans="1:31" x14ac:dyDescent="0.25">
      <c r="A1818" s="136">
        <v>43091</v>
      </c>
      <c r="B1818" s="201" t="s">
        <v>137</v>
      </c>
      <c r="C1818" t="s">
        <v>138</v>
      </c>
      <c r="D1818">
        <v>100</v>
      </c>
      <c r="E1818">
        <v>100</v>
      </c>
      <c r="F1818">
        <v>-130.48500000000001</v>
      </c>
      <c r="G1818">
        <v>16590.5</v>
      </c>
      <c r="H1818">
        <v>0</v>
      </c>
      <c r="I1818" s="309">
        <v>3542</v>
      </c>
      <c r="J1818">
        <v>35.42</v>
      </c>
      <c r="K1818" s="133">
        <v>6.3685871792788402E-3</v>
      </c>
      <c r="L1818" s="181">
        <v>-82</v>
      </c>
      <c r="M1818" s="133">
        <v>0</v>
      </c>
    </row>
    <row r="1819" spans="1:31" x14ac:dyDescent="0.25">
      <c r="A1819" s="136">
        <v>43091</v>
      </c>
      <c r="B1819" s="201" t="s">
        <v>835</v>
      </c>
      <c r="C1819" t="s">
        <v>839</v>
      </c>
      <c r="I1819" s="309">
        <v>36728.959999999999</v>
      </c>
      <c r="K1819" s="133">
        <v>6.6039408177370196E-2</v>
      </c>
      <c r="L1819" s="181">
        <v>0</v>
      </c>
      <c r="M1819" s="133">
        <v>6.6516512809787404E-2</v>
      </c>
    </row>
    <row r="1820" spans="1:31" x14ac:dyDescent="0.25">
      <c r="A1820" s="136">
        <v>43094</v>
      </c>
      <c r="B1820" s="201" t="s">
        <v>132</v>
      </c>
      <c r="C1820" t="s">
        <v>123</v>
      </c>
      <c r="D1820">
        <v>26537</v>
      </c>
      <c r="E1820">
        <v>26537</v>
      </c>
      <c r="F1820">
        <v>-9.2999999999999999E-2</v>
      </c>
      <c r="G1820">
        <v>2733.3110000000001</v>
      </c>
      <c r="H1820">
        <v>0</v>
      </c>
      <c r="I1820" s="309">
        <v>265.37</v>
      </c>
      <c r="J1820">
        <v>0.01</v>
      </c>
      <c r="K1820" s="133">
        <v>4.76300363980205E-4</v>
      </c>
      <c r="L1820" s="181">
        <v>0.20600000000013099</v>
      </c>
      <c r="M1820" s="133">
        <v>0</v>
      </c>
    </row>
    <row r="1821" spans="1:31" x14ac:dyDescent="0.25">
      <c r="A1821" s="136">
        <v>43094</v>
      </c>
      <c r="B1821" s="201" t="s">
        <v>61</v>
      </c>
      <c r="C1821" t="s">
        <v>136</v>
      </c>
      <c r="D1821">
        <v>3500</v>
      </c>
      <c r="E1821">
        <v>3500</v>
      </c>
      <c r="F1821">
        <v>5.3070000000000004</v>
      </c>
      <c r="G1821">
        <v>-968.52</v>
      </c>
      <c r="H1821">
        <v>-5.22</v>
      </c>
      <c r="I1821" s="309">
        <v>17605</v>
      </c>
      <c r="J1821">
        <v>5.03</v>
      </c>
      <c r="K1821" s="133">
        <v>3.1598401883677601E-2</v>
      </c>
      <c r="L1821" s="181">
        <v>-70</v>
      </c>
      <c r="M1821" s="133">
        <v>3.3336753726471102E-2</v>
      </c>
      <c r="N1821" s="73">
        <v>-587.26800000000003</v>
      </c>
      <c r="O1821" s="73">
        <v>-114.19734747081699</v>
      </c>
      <c r="P1821" s="182">
        <v>6</v>
      </c>
      <c r="Q1821" s="182">
        <v>3000</v>
      </c>
      <c r="R1821" s="46">
        <v>5.31</v>
      </c>
      <c r="S1821" s="46">
        <v>0</v>
      </c>
      <c r="T1821" s="46">
        <v>0</v>
      </c>
      <c r="U1821" s="46">
        <v>0</v>
      </c>
      <c r="V1821" s="46" t="s">
        <v>62</v>
      </c>
      <c r="W1821" s="46">
        <v>3000</v>
      </c>
      <c r="X1821" s="46">
        <v>5.31</v>
      </c>
      <c r="Y1821" s="194">
        <v>5.0330000000000004</v>
      </c>
      <c r="Z1821" s="194">
        <v>5.0780000000000003</v>
      </c>
      <c r="AA1821" s="194">
        <v>5.1449999999999996</v>
      </c>
      <c r="AB1821" s="46">
        <v>5.0599999999999996</v>
      </c>
      <c r="AC1821" s="46">
        <v>5.07</v>
      </c>
      <c r="AD1821" s="46">
        <v>5.0199999999999996</v>
      </c>
      <c r="AE1821" s="46">
        <v>5.03</v>
      </c>
    </row>
    <row r="1822" spans="1:31" x14ac:dyDescent="0.25">
      <c r="A1822" s="136">
        <v>43094</v>
      </c>
      <c r="B1822" s="201" t="s">
        <v>124</v>
      </c>
      <c r="C1822" t="s">
        <v>125</v>
      </c>
      <c r="D1822">
        <v>100</v>
      </c>
      <c r="E1822">
        <v>100</v>
      </c>
      <c r="F1822">
        <v>-53.579000000000001</v>
      </c>
      <c r="G1822">
        <v>5957.9</v>
      </c>
      <c r="H1822">
        <v>0</v>
      </c>
      <c r="I1822" s="309">
        <v>600</v>
      </c>
      <c r="J1822">
        <v>6</v>
      </c>
      <c r="K1822" s="133">
        <v>1.07691230503871E-3</v>
      </c>
      <c r="L1822" s="181">
        <v>8</v>
      </c>
      <c r="M1822" s="133">
        <v>0</v>
      </c>
      <c r="Y1822" s="193">
        <v>6.0179999999999998</v>
      </c>
      <c r="Z1822" s="193">
        <v>4.8540000000000001</v>
      </c>
      <c r="AA1822" s="193">
        <v>5.8460000000000001</v>
      </c>
      <c r="AB1822" s="46">
        <v>5.93</v>
      </c>
      <c r="AC1822" s="46">
        <v>6.03</v>
      </c>
      <c r="AD1822" s="46">
        <v>5.93</v>
      </c>
      <c r="AE1822" s="46">
        <v>6</v>
      </c>
    </row>
    <row r="1823" spans="1:31" x14ac:dyDescent="0.25">
      <c r="A1823" s="136">
        <v>43094</v>
      </c>
      <c r="B1823" s="201" t="s">
        <v>71</v>
      </c>
      <c r="C1823" t="s">
        <v>126</v>
      </c>
      <c r="D1823">
        <v>2800</v>
      </c>
      <c r="E1823">
        <v>2800</v>
      </c>
      <c r="F1823">
        <v>5.9390000000000001</v>
      </c>
      <c r="G1823">
        <v>618.38</v>
      </c>
      <c r="H1823">
        <v>3.72</v>
      </c>
      <c r="I1823" s="309">
        <v>17248</v>
      </c>
      <c r="J1823">
        <v>6.16</v>
      </c>
      <c r="K1823" s="133">
        <v>3.09576390621795E-2</v>
      </c>
      <c r="L1823" s="181">
        <v>-84</v>
      </c>
      <c r="M1823" s="133">
        <v>2.9847737343529801E-2</v>
      </c>
      <c r="N1823" s="73">
        <v>2864.0619999999999</v>
      </c>
      <c r="O1823" s="73">
        <v>228.52771916537799</v>
      </c>
      <c r="P1823" s="182">
        <v>2</v>
      </c>
      <c r="Q1823" s="182">
        <v>1000</v>
      </c>
      <c r="R1823" s="46">
        <v>6.45</v>
      </c>
      <c r="S1823" s="46">
        <v>2</v>
      </c>
      <c r="T1823" s="46">
        <v>900</v>
      </c>
      <c r="U1823" s="46">
        <v>6.3920000000000003</v>
      </c>
      <c r="V1823" s="46" t="s">
        <v>62</v>
      </c>
      <c r="W1823" s="46">
        <v>100</v>
      </c>
      <c r="X1823" s="46">
        <v>6.9720000000000004</v>
      </c>
      <c r="Y1823" s="194">
        <v>6.0970000000000004</v>
      </c>
      <c r="Z1823" s="194">
        <v>6.2690000000000001</v>
      </c>
      <c r="AA1823" s="194">
        <v>6.5090000000000003</v>
      </c>
      <c r="AB1823" s="46">
        <v>6.18</v>
      </c>
      <c r="AC1823" s="46">
        <v>6.23</v>
      </c>
      <c r="AD1823" s="46">
        <v>6.11</v>
      </c>
      <c r="AE1823" s="46">
        <v>6.16</v>
      </c>
    </row>
    <row r="1824" spans="1:31" x14ac:dyDescent="0.25">
      <c r="A1824" s="136">
        <v>43094</v>
      </c>
      <c r="B1824" s="201" t="s">
        <v>79</v>
      </c>
      <c r="C1824" t="s">
        <v>143</v>
      </c>
      <c r="D1824">
        <v>5100</v>
      </c>
      <c r="E1824">
        <v>5100</v>
      </c>
      <c r="F1824">
        <v>16.952999999999999</v>
      </c>
      <c r="G1824">
        <v>-9958.16</v>
      </c>
      <c r="H1824">
        <v>-11.52</v>
      </c>
      <c r="I1824" s="309">
        <v>76500</v>
      </c>
      <c r="J1824">
        <v>15</v>
      </c>
      <c r="K1824" s="133">
        <v>0.137306318892436</v>
      </c>
      <c r="L1824" s="181">
        <v>-663</v>
      </c>
      <c r="M1824" s="133">
        <v>0.15517976062500999</v>
      </c>
      <c r="N1824" s="73">
        <v>-7409.7400000000198</v>
      </c>
      <c r="O1824" s="73">
        <v>-477.808718064517</v>
      </c>
      <c r="P1824" s="182">
        <v>9</v>
      </c>
      <c r="Q1824" s="182">
        <v>5000</v>
      </c>
      <c r="R1824" s="46">
        <v>16.971</v>
      </c>
      <c r="S1824" s="46">
        <v>0</v>
      </c>
      <c r="T1824" s="46">
        <v>0</v>
      </c>
      <c r="U1824" s="46">
        <v>0</v>
      </c>
      <c r="V1824" s="46" t="s">
        <v>62</v>
      </c>
      <c r="W1824" s="46">
        <v>5000</v>
      </c>
      <c r="X1824" s="46">
        <v>16.971</v>
      </c>
      <c r="Y1824" s="194">
        <v>15.036</v>
      </c>
      <c r="Z1824" s="194">
        <v>15.590999999999999</v>
      </c>
      <c r="AA1824" s="194">
        <v>15.523999999999999</v>
      </c>
      <c r="AB1824" s="46">
        <v>15.17</v>
      </c>
      <c r="AC1824" s="46">
        <v>15.19</v>
      </c>
      <c r="AD1824" s="46">
        <v>14.93</v>
      </c>
      <c r="AE1824" s="46">
        <v>15</v>
      </c>
    </row>
    <row r="1825" spans="1:31" x14ac:dyDescent="0.25">
      <c r="A1825" s="136">
        <v>43094</v>
      </c>
      <c r="B1825" s="201" t="s">
        <v>65</v>
      </c>
      <c r="C1825" t="s">
        <v>127</v>
      </c>
      <c r="D1825">
        <v>13200</v>
      </c>
      <c r="E1825">
        <v>13200</v>
      </c>
      <c r="F1825">
        <v>10.397</v>
      </c>
      <c r="G1825">
        <v>4924.0600000000004</v>
      </c>
      <c r="H1825">
        <v>3.59</v>
      </c>
      <c r="I1825" s="309">
        <v>142164</v>
      </c>
      <c r="J1825">
        <v>10.77</v>
      </c>
      <c r="K1825" s="133">
        <v>0.25516360155587298</v>
      </c>
      <c r="L1825" s="181">
        <v>358.6</v>
      </c>
      <c r="M1825" s="133">
        <v>0.246325633547958</v>
      </c>
      <c r="N1825" s="73">
        <v>3809.62499999999</v>
      </c>
      <c r="O1825" s="73">
        <v>734.52614993186796</v>
      </c>
      <c r="P1825" s="182">
        <v>4</v>
      </c>
      <c r="Q1825" s="182">
        <v>1900</v>
      </c>
      <c r="R1825" s="46">
        <v>10.754</v>
      </c>
      <c r="S1825" s="46">
        <v>13</v>
      </c>
      <c r="T1825" s="46">
        <v>5600</v>
      </c>
      <c r="U1825" s="46">
        <v>12.551</v>
      </c>
      <c r="V1825" s="46" t="s">
        <v>68</v>
      </c>
      <c r="W1825" s="46">
        <v>3700</v>
      </c>
      <c r="X1825" s="46">
        <v>13.474</v>
      </c>
      <c r="Y1825" s="194">
        <v>7.6029999999999998</v>
      </c>
      <c r="Z1825" s="194">
        <v>11.349</v>
      </c>
      <c r="AA1825" s="194">
        <v>11.632999999999999</v>
      </c>
      <c r="AB1825" s="46">
        <v>10.77</v>
      </c>
      <c r="AC1825" s="46">
        <v>11.04</v>
      </c>
      <c r="AD1825" s="46">
        <v>10.7</v>
      </c>
      <c r="AE1825" s="46">
        <v>10.77</v>
      </c>
    </row>
    <row r="1826" spans="1:31" x14ac:dyDescent="0.25">
      <c r="A1826" s="136">
        <v>43094</v>
      </c>
      <c r="B1826" s="201" t="s">
        <v>77</v>
      </c>
      <c r="C1826" t="s">
        <v>128</v>
      </c>
      <c r="D1826">
        <v>5000</v>
      </c>
      <c r="E1826">
        <v>5000</v>
      </c>
      <c r="F1826">
        <v>5.9980000000000002</v>
      </c>
      <c r="G1826">
        <v>-1438.06</v>
      </c>
      <c r="H1826">
        <v>-4.8</v>
      </c>
      <c r="I1826" s="309">
        <v>28550</v>
      </c>
      <c r="J1826">
        <v>5.71</v>
      </c>
      <c r="K1826" s="133">
        <v>5.12430771814254E-2</v>
      </c>
      <c r="L1826" s="181">
        <v>0</v>
      </c>
      <c r="M1826" s="133">
        <v>5.3824184697065403E-2</v>
      </c>
      <c r="N1826" s="73">
        <v>-1493.0060000000001</v>
      </c>
      <c r="O1826" s="73">
        <v>-171.122327068966</v>
      </c>
      <c r="P1826" s="182">
        <v>8</v>
      </c>
      <c r="Q1826" s="182">
        <v>4000</v>
      </c>
      <c r="R1826" s="46">
        <v>6.6230000000000002</v>
      </c>
      <c r="S1826" s="46">
        <v>0</v>
      </c>
      <c r="T1826" s="46">
        <v>0</v>
      </c>
      <c r="U1826" s="46">
        <v>0</v>
      </c>
      <c r="V1826" s="46" t="s">
        <v>62</v>
      </c>
      <c r="W1826" s="46">
        <v>4000</v>
      </c>
      <c r="X1826" s="46">
        <v>6.6230000000000002</v>
      </c>
      <c r="Y1826" s="193">
        <v>6.4009999999999998</v>
      </c>
      <c r="Z1826" s="194">
        <v>5.9619999999999997</v>
      </c>
      <c r="AA1826" s="194">
        <v>6.4630000000000001</v>
      </c>
      <c r="AB1826" s="46">
        <v>5.69</v>
      </c>
      <c r="AC1826" s="46">
        <v>5.71</v>
      </c>
      <c r="AD1826" s="46">
        <v>5.64</v>
      </c>
      <c r="AE1826" s="46">
        <v>5.71</v>
      </c>
    </row>
    <row r="1827" spans="1:31" x14ac:dyDescent="0.25">
      <c r="A1827" s="136">
        <v>43094</v>
      </c>
      <c r="B1827" s="201" t="s">
        <v>67</v>
      </c>
      <c r="C1827" t="s">
        <v>129</v>
      </c>
      <c r="D1827">
        <v>10850</v>
      </c>
      <c r="E1827">
        <v>10850</v>
      </c>
      <c r="F1827">
        <v>8.6359999999999992</v>
      </c>
      <c r="G1827">
        <v>-6573.55</v>
      </c>
      <c r="H1827">
        <v>-7.02</v>
      </c>
      <c r="I1827" s="309">
        <v>87125.5</v>
      </c>
      <c r="J1827">
        <v>8.0299999999999994</v>
      </c>
      <c r="K1827" s="133">
        <v>0.15637753838775101</v>
      </c>
      <c r="L1827" s="181">
        <v>976.5</v>
      </c>
      <c r="M1827" s="133">
        <v>0.16817609985906301</v>
      </c>
      <c r="N1827" s="73">
        <v>43475.178999999902</v>
      </c>
      <c r="O1827" s="73">
        <v>-921.06021940957896</v>
      </c>
      <c r="P1827" s="182">
        <v>9</v>
      </c>
      <c r="Q1827" s="182">
        <v>4500</v>
      </c>
      <c r="R1827" s="46">
        <v>6.6719999999999997</v>
      </c>
      <c r="S1827" s="46">
        <v>0</v>
      </c>
      <c r="T1827" s="46">
        <v>0</v>
      </c>
      <c r="U1827" s="46">
        <v>0</v>
      </c>
      <c r="V1827" s="46" t="s">
        <v>62</v>
      </c>
      <c r="W1827" s="46">
        <v>4500</v>
      </c>
      <c r="X1827" s="46">
        <v>6.6719999999999997</v>
      </c>
      <c r="Y1827" s="193">
        <v>8.2430000000000003</v>
      </c>
      <c r="Z1827" s="194">
        <v>7.4020000000000001</v>
      </c>
      <c r="AA1827" s="194">
        <v>8.7189999999999994</v>
      </c>
      <c r="AB1827" s="46">
        <v>7.97</v>
      </c>
      <c r="AC1827" s="46">
        <v>8.1199999999999992</v>
      </c>
      <c r="AD1827" s="46">
        <v>7.97</v>
      </c>
      <c r="AE1827" s="46">
        <v>8.0299999999999994</v>
      </c>
    </row>
    <row r="1828" spans="1:31" x14ac:dyDescent="0.25">
      <c r="A1828" s="136">
        <v>43094</v>
      </c>
      <c r="B1828" s="201" t="s">
        <v>78</v>
      </c>
      <c r="C1828" t="s">
        <v>142</v>
      </c>
      <c r="D1828">
        <v>1600</v>
      </c>
      <c r="E1828">
        <v>1100</v>
      </c>
      <c r="F1828">
        <v>10.268000000000001</v>
      </c>
      <c r="G1828">
        <v>-732.7</v>
      </c>
      <c r="H1828">
        <v>-4.46</v>
      </c>
      <c r="I1828" s="309">
        <v>15696</v>
      </c>
      <c r="J1828">
        <v>9.81</v>
      </c>
      <c r="K1828" s="133">
        <v>2.81720258998127E-2</v>
      </c>
      <c r="L1828" s="181">
        <v>-129</v>
      </c>
      <c r="M1828" s="133">
        <v>2.94871153096492E-2</v>
      </c>
      <c r="N1828" s="73">
        <v>-652.69600000000003</v>
      </c>
      <c r="O1828" s="73">
        <v>-66.163250709939106</v>
      </c>
      <c r="P1828" s="182">
        <v>3</v>
      </c>
      <c r="Q1828" s="182">
        <v>1500</v>
      </c>
      <c r="R1828" s="46">
        <v>10.210000000000001</v>
      </c>
      <c r="S1828" s="46">
        <v>0</v>
      </c>
      <c r="T1828" s="46">
        <v>0</v>
      </c>
      <c r="U1828" s="46">
        <v>0</v>
      </c>
      <c r="V1828" s="46" t="s">
        <v>62</v>
      </c>
      <c r="W1828" s="46">
        <v>1500</v>
      </c>
      <c r="X1828" s="46">
        <v>10.210000000000001</v>
      </c>
      <c r="Y1828" s="194">
        <v>9.8520000000000003</v>
      </c>
      <c r="Z1828" s="194">
        <v>11.039</v>
      </c>
      <c r="AA1828" s="194">
        <v>11.071999999999999</v>
      </c>
      <c r="AB1828" s="46">
        <v>9.91</v>
      </c>
      <c r="AC1828" s="46">
        <v>10.039999999999999</v>
      </c>
      <c r="AD1828" s="46">
        <v>9.81</v>
      </c>
      <c r="AE1828" s="46">
        <v>9.81</v>
      </c>
    </row>
    <row r="1829" spans="1:31" x14ac:dyDescent="0.25">
      <c r="A1829" s="136">
        <v>43094</v>
      </c>
      <c r="B1829" s="201" t="s">
        <v>72</v>
      </c>
      <c r="C1829" t="s">
        <v>130</v>
      </c>
      <c r="D1829">
        <v>2500</v>
      </c>
      <c r="E1829">
        <v>2000</v>
      </c>
      <c r="F1829">
        <v>7.1520000000000001</v>
      </c>
      <c r="G1829">
        <v>-556.12</v>
      </c>
      <c r="H1829">
        <v>-3.1</v>
      </c>
      <c r="I1829" s="309">
        <v>17325</v>
      </c>
      <c r="J1829">
        <v>6.93</v>
      </c>
      <c r="K1829" s="133">
        <v>3.10958428079928E-2</v>
      </c>
      <c r="L1829" s="181">
        <v>-385</v>
      </c>
      <c r="M1829" s="133">
        <v>3.2093996926456397E-2</v>
      </c>
      <c r="N1829" s="73">
        <v>-777.83599999999103</v>
      </c>
      <c r="O1829" s="73">
        <v>-80.208937518034404</v>
      </c>
      <c r="P1829" s="182">
        <v>0</v>
      </c>
      <c r="Q1829" s="182">
        <v>0</v>
      </c>
      <c r="R1829" s="46">
        <v>0</v>
      </c>
      <c r="S1829" s="46">
        <v>11</v>
      </c>
      <c r="T1829" s="46">
        <v>4600</v>
      </c>
      <c r="U1829" s="46">
        <v>8.2739999999999991</v>
      </c>
      <c r="V1829" s="46" t="s">
        <v>68</v>
      </c>
      <c r="W1829" s="46">
        <v>4600</v>
      </c>
      <c r="X1829" s="46">
        <v>8.2739999999999991</v>
      </c>
      <c r="Y1829" s="194">
        <v>6.992</v>
      </c>
      <c r="Z1829" s="194">
        <v>6.9509999999999996</v>
      </c>
      <c r="AA1829" s="194">
        <v>7.0650000000000004</v>
      </c>
      <c r="AB1829" s="46">
        <v>7.13</v>
      </c>
      <c r="AC1829" s="46">
        <v>7.18</v>
      </c>
      <c r="AD1829" s="46">
        <v>6.88</v>
      </c>
      <c r="AE1829" s="46">
        <v>6.93</v>
      </c>
    </row>
    <row r="1830" spans="1:31" x14ac:dyDescent="0.25">
      <c r="A1830" s="136">
        <v>43094</v>
      </c>
      <c r="B1830" s="201" t="s">
        <v>70</v>
      </c>
      <c r="C1830" t="s">
        <v>131</v>
      </c>
      <c r="D1830">
        <v>10400</v>
      </c>
      <c r="E1830">
        <v>10400</v>
      </c>
      <c r="F1830">
        <v>12.218999999999999</v>
      </c>
      <c r="G1830">
        <v>-13202.78</v>
      </c>
      <c r="H1830">
        <v>-10.38</v>
      </c>
      <c r="I1830" s="309">
        <v>113880</v>
      </c>
      <c r="J1830">
        <v>10.95</v>
      </c>
      <c r="K1830" s="133">
        <v>0.20439795549634801</v>
      </c>
      <c r="L1830" s="181">
        <v>1040</v>
      </c>
      <c r="M1830" s="133">
        <v>0.22809501590087899</v>
      </c>
      <c r="N1830" s="73">
        <v>-13929.766</v>
      </c>
      <c r="O1830" s="73">
        <v>-1279.6692203125001</v>
      </c>
      <c r="P1830" s="182">
        <v>2</v>
      </c>
      <c r="Q1830" s="182">
        <v>1000</v>
      </c>
      <c r="R1830" s="46">
        <v>10.9</v>
      </c>
      <c r="S1830" s="46">
        <v>5</v>
      </c>
      <c r="T1830" s="46">
        <v>2000</v>
      </c>
      <c r="U1830" s="46">
        <v>13.087999999999999</v>
      </c>
      <c r="V1830" s="46" t="s">
        <v>68</v>
      </c>
      <c r="W1830" s="46">
        <v>1000</v>
      </c>
      <c r="X1830" s="46">
        <v>15.276</v>
      </c>
      <c r="Y1830" s="194">
        <v>9.2370000000000001</v>
      </c>
      <c r="Z1830" s="194">
        <v>12.323</v>
      </c>
      <c r="AA1830" s="194">
        <v>12.24</v>
      </c>
      <c r="AB1830" s="46">
        <v>10.77</v>
      </c>
      <c r="AC1830" s="46">
        <v>10.99</v>
      </c>
      <c r="AD1830" s="46">
        <v>10.63</v>
      </c>
      <c r="AE1830" s="46">
        <v>10.95</v>
      </c>
    </row>
    <row r="1831" spans="1:31" x14ac:dyDescent="0.25">
      <c r="A1831" s="136">
        <v>43094</v>
      </c>
      <c r="B1831" s="201" t="s">
        <v>146</v>
      </c>
      <c r="C1831" t="s">
        <v>147</v>
      </c>
      <c r="D1831">
        <v>40</v>
      </c>
      <c r="E1831">
        <v>40</v>
      </c>
      <c r="F1831">
        <v>100</v>
      </c>
      <c r="G1831">
        <v>0</v>
      </c>
      <c r="H1831">
        <v>0</v>
      </c>
      <c r="I1831" s="309">
        <v>4000</v>
      </c>
      <c r="J1831">
        <v>0</v>
      </c>
      <c r="K1831" s="133">
        <v>7.1794153669247499E-3</v>
      </c>
      <c r="L1831" s="181">
        <v>0</v>
      </c>
      <c r="M1831" s="133">
        <v>7.1794153669247499E-3</v>
      </c>
    </row>
    <row r="1832" spans="1:31" x14ac:dyDescent="0.25">
      <c r="A1832" s="136">
        <v>43094</v>
      </c>
      <c r="B1832" s="201" t="s">
        <v>137</v>
      </c>
      <c r="C1832" t="s">
        <v>138</v>
      </c>
      <c r="D1832">
        <v>100</v>
      </c>
      <c r="E1832">
        <v>100</v>
      </c>
      <c r="F1832">
        <v>-130.48500000000001</v>
      </c>
      <c r="G1832">
        <v>16519.5</v>
      </c>
      <c r="H1832">
        <v>0</v>
      </c>
      <c r="I1832" s="309">
        <v>3471</v>
      </c>
      <c r="J1832">
        <v>34.71</v>
      </c>
      <c r="K1832" s="133">
        <v>6.22993768464895E-3</v>
      </c>
      <c r="L1832" s="181">
        <v>-71</v>
      </c>
      <c r="M1832" s="133">
        <v>0</v>
      </c>
    </row>
    <row r="1833" spans="1:31" x14ac:dyDescent="0.25">
      <c r="A1833" s="136">
        <v>43094</v>
      </c>
      <c r="B1833" s="201" t="s">
        <v>835</v>
      </c>
      <c r="C1833" t="s">
        <v>839</v>
      </c>
      <c r="I1833" s="309">
        <v>32718.560000000001</v>
      </c>
      <c r="K1833" s="133">
        <v>5.8725033111912399E-2</v>
      </c>
      <c r="L1833" s="181">
        <v>0</v>
      </c>
      <c r="M1833" s="133">
        <v>5.9201333475892598E-2</v>
      </c>
    </row>
    <row r="1834" spans="1:31" x14ac:dyDescent="0.25">
      <c r="A1834" s="136">
        <v>43095</v>
      </c>
      <c r="B1834" s="201" t="s">
        <v>132</v>
      </c>
      <c r="C1834" t="s">
        <v>123</v>
      </c>
      <c r="D1834">
        <v>26544</v>
      </c>
      <c r="E1834">
        <v>26544</v>
      </c>
      <c r="F1834">
        <v>-9.2999999999999999E-2</v>
      </c>
      <c r="G1834">
        <v>2734.0320000000002</v>
      </c>
      <c r="H1834">
        <v>0</v>
      </c>
      <c r="I1834" s="309">
        <v>265.44</v>
      </c>
      <c r="J1834">
        <v>0.01</v>
      </c>
      <c r="K1834" s="133">
        <v>4.68549530649077E-4</v>
      </c>
      <c r="L1834" s="181">
        <v>0.72100000000000397</v>
      </c>
      <c r="M1834" s="133">
        <v>0</v>
      </c>
    </row>
    <row r="1835" spans="1:31" x14ac:dyDescent="0.25">
      <c r="A1835" s="136">
        <v>43095</v>
      </c>
      <c r="B1835" s="201" t="s">
        <v>61</v>
      </c>
      <c r="C1835" t="s">
        <v>136</v>
      </c>
      <c r="D1835">
        <v>3500</v>
      </c>
      <c r="E1835">
        <v>3500</v>
      </c>
      <c r="F1835">
        <v>5.3070000000000004</v>
      </c>
      <c r="G1835">
        <v>-793.52</v>
      </c>
      <c r="H1835">
        <v>-4.28</v>
      </c>
      <c r="I1835" s="309">
        <v>17780</v>
      </c>
      <c r="J1835">
        <v>5.08</v>
      </c>
      <c r="K1835" s="133">
        <v>3.1384910544532102E-2</v>
      </c>
      <c r="L1835" s="181">
        <v>175</v>
      </c>
      <c r="M1835" s="133">
        <v>3.2785616630881698E-2</v>
      </c>
      <c r="N1835" s="73">
        <v>-587.26800000000003</v>
      </c>
      <c r="O1835" s="73">
        <v>-114.19734747081699</v>
      </c>
      <c r="P1835" s="182">
        <v>6</v>
      </c>
      <c r="Q1835" s="182">
        <v>3000</v>
      </c>
      <c r="R1835" s="46">
        <v>5.31</v>
      </c>
      <c r="S1835" s="46">
        <v>0</v>
      </c>
      <c r="T1835" s="46">
        <v>0</v>
      </c>
      <c r="U1835" s="46">
        <v>0</v>
      </c>
      <c r="V1835" s="46" t="s">
        <v>62</v>
      </c>
      <c r="W1835" s="46">
        <v>3000</v>
      </c>
      <c r="X1835" s="46">
        <v>5.31</v>
      </c>
      <c r="Y1835" s="193">
        <v>5.093</v>
      </c>
      <c r="Z1835" s="194">
        <v>5.0780000000000003</v>
      </c>
      <c r="AA1835" s="194">
        <v>5.1420000000000003</v>
      </c>
      <c r="AB1835" s="46">
        <v>5.03</v>
      </c>
      <c r="AC1835" s="46">
        <v>5.08</v>
      </c>
      <c r="AD1835" s="46">
        <v>5.0199999999999996</v>
      </c>
      <c r="AE1835" s="46">
        <v>5.08</v>
      </c>
    </row>
    <row r="1836" spans="1:31" x14ac:dyDescent="0.25">
      <c r="A1836" s="136">
        <v>43095</v>
      </c>
      <c r="B1836" s="201" t="s">
        <v>124</v>
      </c>
      <c r="C1836" t="s">
        <v>125</v>
      </c>
      <c r="D1836">
        <v>100</v>
      </c>
      <c r="E1836">
        <v>100</v>
      </c>
      <c r="F1836">
        <v>-53.579000000000001</v>
      </c>
      <c r="G1836">
        <v>5965.9</v>
      </c>
      <c r="H1836">
        <v>0</v>
      </c>
      <c r="I1836" s="309">
        <v>608</v>
      </c>
      <c r="J1836">
        <v>6.08</v>
      </c>
      <c r="K1836" s="133">
        <v>1.0732297868996301E-3</v>
      </c>
      <c r="L1836" s="181">
        <v>8</v>
      </c>
      <c r="M1836" s="133">
        <v>0</v>
      </c>
      <c r="Y1836" s="193">
        <v>6.0640000000000001</v>
      </c>
      <c r="Z1836" s="193">
        <v>5.0110000000000001</v>
      </c>
      <c r="AA1836" s="193">
        <v>5.8490000000000002</v>
      </c>
      <c r="AB1836" s="46">
        <v>6</v>
      </c>
      <c r="AC1836" s="46">
        <v>6.1</v>
      </c>
      <c r="AD1836" s="46">
        <v>5.98</v>
      </c>
      <c r="AE1836" s="46">
        <v>6.08</v>
      </c>
    </row>
    <row r="1837" spans="1:31" x14ac:dyDescent="0.25">
      <c r="A1837" s="136">
        <v>43095</v>
      </c>
      <c r="B1837" s="201" t="s">
        <v>71</v>
      </c>
      <c r="C1837" t="s">
        <v>126</v>
      </c>
      <c r="D1837">
        <v>2800</v>
      </c>
      <c r="E1837">
        <v>2800</v>
      </c>
      <c r="F1837">
        <v>5.9390000000000001</v>
      </c>
      <c r="G1837">
        <v>814.38</v>
      </c>
      <c r="H1837">
        <v>4.9000000000000004</v>
      </c>
      <c r="I1837" s="309">
        <v>17444</v>
      </c>
      <c r="J1837">
        <v>6.23</v>
      </c>
      <c r="K1837" s="133">
        <v>3.0791809872824399E-2</v>
      </c>
      <c r="L1837" s="181">
        <v>196</v>
      </c>
      <c r="M1837" s="133">
        <v>2.9354282119772899E-2</v>
      </c>
      <c r="N1837" s="73">
        <v>2864.0619999999999</v>
      </c>
      <c r="O1837" s="73">
        <v>228.52771916537799</v>
      </c>
      <c r="P1837" s="182">
        <v>2</v>
      </c>
      <c r="Q1837" s="182">
        <v>1000</v>
      </c>
      <c r="R1837" s="46">
        <v>6.45</v>
      </c>
      <c r="S1837" s="46">
        <v>2</v>
      </c>
      <c r="T1837" s="46">
        <v>900</v>
      </c>
      <c r="U1837" s="46">
        <v>6.3920000000000003</v>
      </c>
      <c r="V1837" s="46" t="s">
        <v>62</v>
      </c>
      <c r="W1837" s="46">
        <v>100</v>
      </c>
      <c r="X1837" s="46">
        <v>6.9720000000000004</v>
      </c>
      <c r="Y1837" s="193">
        <v>6.2119999999999997</v>
      </c>
      <c r="Z1837" s="194">
        <v>6.2729999999999997</v>
      </c>
      <c r="AA1837" s="194">
        <v>6.5060000000000002</v>
      </c>
      <c r="AB1837" s="46">
        <v>6.14</v>
      </c>
      <c r="AC1837" s="46">
        <v>6.24</v>
      </c>
      <c r="AD1837" s="46">
        <v>6.13</v>
      </c>
      <c r="AE1837" s="46">
        <v>6.23</v>
      </c>
    </row>
    <row r="1838" spans="1:31" x14ac:dyDescent="0.25">
      <c r="A1838" s="136">
        <v>43095</v>
      </c>
      <c r="B1838" s="201" t="s">
        <v>79</v>
      </c>
      <c r="C1838" t="s">
        <v>143</v>
      </c>
      <c r="D1838">
        <v>5100</v>
      </c>
      <c r="E1838">
        <v>5100</v>
      </c>
      <c r="F1838">
        <v>16.952999999999999</v>
      </c>
      <c r="G1838">
        <v>-8479.16</v>
      </c>
      <c r="H1838">
        <v>-9.81</v>
      </c>
      <c r="I1838" s="309">
        <v>77979</v>
      </c>
      <c r="J1838">
        <v>15.29</v>
      </c>
      <c r="K1838" s="133">
        <v>0.13764701571158999</v>
      </c>
      <c r="L1838" s="181">
        <v>1479</v>
      </c>
      <c r="M1838" s="133">
        <v>0.152614264198248</v>
      </c>
      <c r="N1838" s="73">
        <v>-7409.7400000000198</v>
      </c>
      <c r="O1838" s="73">
        <v>-477.808718064517</v>
      </c>
      <c r="P1838" s="182">
        <v>9</v>
      </c>
      <c r="Q1838" s="182">
        <v>5000</v>
      </c>
      <c r="R1838" s="46">
        <v>16.971</v>
      </c>
      <c r="S1838" s="46">
        <v>0</v>
      </c>
      <c r="T1838" s="46">
        <v>0</v>
      </c>
      <c r="U1838" s="46">
        <v>0</v>
      </c>
      <c r="V1838" s="46" t="s">
        <v>62</v>
      </c>
      <c r="W1838" s="46">
        <v>5000</v>
      </c>
      <c r="X1838" s="46">
        <v>16.971</v>
      </c>
      <c r="Y1838" s="193">
        <v>15.286</v>
      </c>
      <c r="Z1838" s="194">
        <v>15.609</v>
      </c>
      <c r="AA1838" s="194">
        <v>15.516999999999999</v>
      </c>
      <c r="AB1838" s="46">
        <v>15.09</v>
      </c>
      <c r="AC1838" s="46">
        <v>15.37</v>
      </c>
      <c r="AD1838" s="46">
        <v>14.99</v>
      </c>
      <c r="AE1838" s="46">
        <v>15.29</v>
      </c>
    </row>
    <row r="1839" spans="1:31" x14ac:dyDescent="0.25">
      <c r="A1839" s="136">
        <v>43095</v>
      </c>
      <c r="B1839" s="201" t="s">
        <v>65</v>
      </c>
      <c r="C1839" t="s">
        <v>127</v>
      </c>
      <c r="D1839">
        <v>13200</v>
      </c>
      <c r="E1839">
        <v>13200</v>
      </c>
      <c r="F1839">
        <v>10.397</v>
      </c>
      <c r="G1839">
        <v>6376.06</v>
      </c>
      <c r="H1839">
        <v>4.6500000000000004</v>
      </c>
      <c r="I1839" s="309">
        <v>143616</v>
      </c>
      <c r="J1839">
        <v>10.88</v>
      </c>
      <c r="K1839" s="133">
        <v>0.25350817282134502</v>
      </c>
      <c r="L1839" s="181">
        <v>1452</v>
      </c>
      <c r="M1839" s="133">
        <v>0.24225327559262899</v>
      </c>
      <c r="N1839" s="73">
        <v>3809.62499999999</v>
      </c>
      <c r="O1839" s="73">
        <v>734.52614993186796</v>
      </c>
      <c r="P1839" s="182">
        <v>4</v>
      </c>
      <c r="Q1839" s="182">
        <v>1900</v>
      </c>
      <c r="R1839" s="46">
        <v>10.754</v>
      </c>
      <c r="S1839" s="46">
        <v>13</v>
      </c>
      <c r="T1839" s="46">
        <v>5600</v>
      </c>
      <c r="U1839" s="46">
        <v>12.551</v>
      </c>
      <c r="V1839" s="46" t="s">
        <v>68</v>
      </c>
      <c r="W1839" s="46">
        <v>3700</v>
      </c>
      <c r="X1839" s="46">
        <v>13.474</v>
      </c>
      <c r="Y1839" s="193">
        <v>10.888999999999999</v>
      </c>
      <c r="Z1839" s="194">
        <v>11.355</v>
      </c>
      <c r="AA1839" s="194">
        <v>11.628</v>
      </c>
      <c r="AB1839" s="46">
        <v>10.73</v>
      </c>
      <c r="AC1839" s="46">
        <v>10.93</v>
      </c>
      <c r="AD1839" s="46">
        <v>10.73</v>
      </c>
      <c r="AE1839" s="46">
        <v>10.88</v>
      </c>
    </row>
    <row r="1840" spans="1:31" x14ac:dyDescent="0.25">
      <c r="A1840" s="136">
        <v>43095</v>
      </c>
      <c r="B1840" s="201" t="s">
        <v>77</v>
      </c>
      <c r="C1840" t="s">
        <v>128</v>
      </c>
      <c r="D1840">
        <v>5000</v>
      </c>
      <c r="E1840">
        <v>5000</v>
      </c>
      <c r="F1840">
        <v>5.9980000000000002</v>
      </c>
      <c r="G1840">
        <v>-1188.06</v>
      </c>
      <c r="H1840">
        <v>-3.97</v>
      </c>
      <c r="I1840" s="309">
        <v>28800</v>
      </c>
      <c r="J1840">
        <v>5.76</v>
      </c>
      <c r="K1840" s="133">
        <v>5.0837200432088003E-2</v>
      </c>
      <c r="L1840" s="181">
        <v>250</v>
      </c>
      <c r="M1840" s="133">
        <v>5.2934340860745797E-2</v>
      </c>
      <c r="N1840" s="73">
        <v>-1493.0060000000001</v>
      </c>
      <c r="O1840" s="73">
        <v>-171.122327068966</v>
      </c>
      <c r="P1840" s="182">
        <v>8</v>
      </c>
      <c r="Q1840" s="182">
        <v>4000</v>
      </c>
      <c r="R1840" s="46">
        <v>6.6230000000000002</v>
      </c>
      <c r="S1840" s="46">
        <v>0</v>
      </c>
      <c r="T1840" s="46">
        <v>0</v>
      </c>
      <c r="U1840" s="46">
        <v>0</v>
      </c>
      <c r="V1840" s="46" t="s">
        <v>62</v>
      </c>
      <c r="W1840" s="46">
        <v>4000</v>
      </c>
      <c r="X1840" s="46">
        <v>6.6230000000000002</v>
      </c>
      <c r="Y1840" s="193">
        <v>5.7480000000000002</v>
      </c>
      <c r="Z1840" s="194">
        <v>5.9640000000000004</v>
      </c>
      <c r="AA1840" s="194">
        <v>6.4560000000000004</v>
      </c>
      <c r="AB1840" s="46">
        <v>5.67</v>
      </c>
      <c r="AC1840" s="46">
        <v>5.78</v>
      </c>
      <c r="AD1840" s="46">
        <v>5.66</v>
      </c>
      <c r="AE1840" s="46">
        <v>5.76</v>
      </c>
    </row>
    <row r="1841" spans="1:31" x14ac:dyDescent="0.25">
      <c r="A1841" s="136">
        <v>43095</v>
      </c>
      <c r="B1841" s="201" t="s">
        <v>67</v>
      </c>
      <c r="C1841" t="s">
        <v>129</v>
      </c>
      <c r="D1841">
        <v>9250</v>
      </c>
      <c r="E1841">
        <v>9250</v>
      </c>
      <c r="F1841">
        <v>8.6850000000000005</v>
      </c>
      <c r="G1841">
        <v>-1803.95</v>
      </c>
      <c r="H1841">
        <v>-2.2400000000000002</v>
      </c>
      <c r="I1841" s="309">
        <v>78532.5</v>
      </c>
      <c r="J1841">
        <v>8.49</v>
      </c>
      <c r="K1841" s="133">
        <v>0.13862404315739399</v>
      </c>
      <c r="L1841" s="181">
        <v>4769.6000000000004</v>
      </c>
      <c r="M1841" s="133">
        <v>0.14180834064765299</v>
      </c>
      <c r="N1841" s="73">
        <v>43217.754999999997</v>
      </c>
      <c r="O1841" s="73">
        <v>-124.348879638303</v>
      </c>
      <c r="P1841" s="182">
        <v>6</v>
      </c>
      <c r="Q1841" s="182">
        <v>3000</v>
      </c>
      <c r="R1841" s="46">
        <v>6.1079999999999997</v>
      </c>
      <c r="S1841" s="46">
        <v>1</v>
      </c>
      <c r="T1841" s="46">
        <v>400</v>
      </c>
      <c r="U1841" s="46">
        <v>8.57</v>
      </c>
      <c r="V1841" s="46" t="s">
        <v>62</v>
      </c>
      <c r="W1841" s="46">
        <v>2600</v>
      </c>
      <c r="X1841" s="46">
        <v>5.7290000000000001</v>
      </c>
      <c r="Y1841" s="193">
        <v>8.2870000000000008</v>
      </c>
      <c r="Z1841" s="194">
        <v>7.0990000000000002</v>
      </c>
      <c r="AA1841" s="194">
        <v>8.7070000000000007</v>
      </c>
      <c r="AB1841" s="46">
        <v>8.0299999999999994</v>
      </c>
      <c r="AC1841" s="46">
        <v>8.67</v>
      </c>
      <c r="AD1841" s="46">
        <v>8.01</v>
      </c>
      <c r="AE1841" s="46">
        <v>8.49</v>
      </c>
    </row>
    <row r="1842" spans="1:31" x14ac:dyDescent="0.25">
      <c r="A1842" s="136">
        <v>43095</v>
      </c>
      <c r="B1842" s="201" t="s">
        <v>78</v>
      </c>
      <c r="C1842" t="s">
        <v>142</v>
      </c>
      <c r="D1842">
        <v>1600</v>
      </c>
      <c r="E1842">
        <v>1600</v>
      </c>
      <c r="F1842">
        <v>10.268000000000001</v>
      </c>
      <c r="G1842">
        <v>-684.7</v>
      </c>
      <c r="H1842">
        <v>-4.17</v>
      </c>
      <c r="I1842" s="309">
        <v>15744</v>
      </c>
      <c r="J1842">
        <v>9.84</v>
      </c>
      <c r="K1842" s="133">
        <v>2.7791002902874701E-2</v>
      </c>
      <c r="L1842" s="181">
        <v>48</v>
      </c>
      <c r="M1842" s="133">
        <v>2.89996220395362E-2</v>
      </c>
      <c r="N1842" s="73">
        <v>-652.69600000000003</v>
      </c>
      <c r="O1842" s="73">
        <v>-66.163250709939106</v>
      </c>
      <c r="P1842" s="182">
        <v>3</v>
      </c>
      <c r="Q1842" s="182">
        <v>1500</v>
      </c>
      <c r="R1842" s="46">
        <v>10.210000000000001</v>
      </c>
      <c r="S1842" s="46">
        <v>0</v>
      </c>
      <c r="T1842" s="46">
        <v>0</v>
      </c>
      <c r="U1842" s="46">
        <v>0</v>
      </c>
      <c r="V1842" s="46" t="s">
        <v>62</v>
      </c>
      <c r="W1842" s="46">
        <v>1500</v>
      </c>
      <c r="X1842" s="46">
        <v>10.210000000000001</v>
      </c>
      <c r="Y1842" s="194">
        <v>9.6950000000000003</v>
      </c>
      <c r="Z1842" s="194">
        <v>10.994999999999999</v>
      </c>
      <c r="AA1842" s="194">
        <v>11.04</v>
      </c>
      <c r="AB1842" s="46">
        <v>9.83</v>
      </c>
      <c r="AC1842" s="46">
        <v>9.89</v>
      </c>
      <c r="AD1842" s="46">
        <v>9.68</v>
      </c>
      <c r="AE1842" s="46">
        <v>9.84</v>
      </c>
    </row>
    <row r="1843" spans="1:31" x14ac:dyDescent="0.25">
      <c r="A1843" s="136">
        <v>43095</v>
      </c>
      <c r="B1843" s="201" t="s">
        <v>72</v>
      </c>
      <c r="C1843" t="s">
        <v>130</v>
      </c>
      <c r="D1843">
        <v>2100</v>
      </c>
      <c r="E1843">
        <v>2100</v>
      </c>
      <c r="F1843">
        <v>7.1740000000000004</v>
      </c>
      <c r="G1843">
        <v>-217.94</v>
      </c>
      <c r="H1843">
        <v>-1.45</v>
      </c>
      <c r="I1843" s="309">
        <v>14847</v>
      </c>
      <c r="J1843">
        <v>7.07</v>
      </c>
      <c r="K1843" s="133">
        <v>2.62076359310837E-2</v>
      </c>
      <c r="L1843" s="181">
        <v>338.18</v>
      </c>
      <c r="M1843" s="133">
        <v>2.6592339384631201E-2</v>
      </c>
      <c r="N1843" s="73">
        <v>-460.65999999999201</v>
      </c>
      <c r="O1843" s="73">
        <v>-33.828686260620202</v>
      </c>
      <c r="P1843" s="182">
        <v>0</v>
      </c>
      <c r="Q1843" s="182">
        <v>0</v>
      </c>
      <c r="R1843" s="46">
        <v>0</v>
      </c>
      <c r="S1843" s="46">
        <v>12</v>
      </c>
      <c r="T1843" s="46">
        <v>5000</v>
      </c>
      <c r="U1843" s="46">
        <v>8.1769999999999996</v>
      </c>
      <c r="V1843" s="46" t="s">
        <v>68</v>
      </c>
      <c r="W1843" s="46">
        <v>5000</v>
      </c>
      <c r="X1843" s="46">
        <v>8.1769999999999996</v>
      </c>
      <c r="Y1843" s="193">
        <v>7.0780000000000003</v>
      </c>
      <c r="Z1843" s="194">
        <v>6.9450000000000003</v>
      </c>
      <c r="AA1843" s="194">
        <v>7.0640000000000001</v>
      </c>
      <c r="AB1843" s="46">
        <v>6.93</v>
      </c>
      <c r="AC1843" s="46">
        <v>7.08</v>
      </c>
      <c r="AD1843" s="46">
        <v>6.9</v>
      </c>
      <c r="AE1843" s="46">
        <v>7.07</v>
      </c>
    </row>
    <row r="1844" spans="1:31" x14ac:dyDescent="0.25">
      <c r="A1844" s="136">
        <v>43095</v>
      </c>
      <c r="B1844" s="201" t="s">
        <v>70</v>
      </c>
      <c r="C1844" t="s">
        <v>131</v>
      </c>
      <c r="D1844">
        <v>10400</v>
      </c>
      <c r="E1844">
        <v>10400</v>
      </c>
      <c r="F1844">
        <v>12.218999999999999</v>
      </c>
      <c r="G1844">
        <v>-12786.78</v>
      </c>
      <c r="H1844">
        <v>-10.06</v>
      </c>
      <c r="I1844" s="309">
        <v>114296</v>
      </c>
      <c r="J1844">
        <v>10.99</v>
      </c>
      <c r="K1844" s="133">
        <v>0.20175307849256699</v>
      </c>
      <c r="L1844" s="181">
        <v>416</v>
      </c>
      <c r="M1844" s="133">
        <v>0.22432405410857401</v>
      </c>
      <c r="N1844" s="73">
        <v>-13929.766</v>
      </c>
      <c r="O1844" s="73">
        <v>-1279.6692203125001</v>
      </c>
      <c r="P1844" s="182">
        <v>2</v>
      </c>
      <c r="Q1844" s="182">
        <v>1000</v>
      </c>
      <c r="R1844" s="46">
        <v>10.9</v>
      </c>
      <c r="S1844" s="46">
        <v>5</v>
      </c>
      <c r="T1844" s="46">
        <v>2000</v>
      </c>
      <c r="U1844" s="46">
        <v>13.087999999999999</v>
      </c>
      <c r="V1844" s="46" t="s">
        <v>68</v>
      </c>
      <c r="W1844" s="46">
        <v>1000</v>
      </c>
      <c r="X1844" s="46">
        <v>15.276</v>
      </c>
      <c r="Y1844" s="193">
        <v>10.983000000000001</v>
      </c>
      <c r="Z1844" s="194">
        <v>12.340999999999999</v>
      </c>
      <c r="AA1844" s="194">
        <v>12.233000000000001</v>
      </c>
      <c r="AB1844" s="46">
        <v>10.88</v>
      </c>
      <c r="AC1844" s="46">
        <v>10.99</v>
      </c>
      <c r="AD1844" s="46">
        <v>10.87</v>
      </c>
      <c r="AE1844" s="46">
        <v>10.99</v>
      </c>
    </row>
    <row r="1845" spans="1:31" x14ac:dyDescent="0.25">
      <c r="A1845" s="136">
        <v>43095</v>
      </c>
      <c r="B1845" s="201" t="s">
        <v>146</v>
      </c>
      <c r="C1845" t="s">
        <v>147</v>
      </c>
      <c r="D1845">
        <v>40</v>
      </c>
      <c r="E1845">
        <v>40</v>
      </c>
      <c r="F1845">
        <v>100</v>
      </c>
      <c r="G1845">
        <v>0</v>
      </c>
      <c r="H1845">
        <v>0</v>
      </c>
      <c r="I1845" s="309">
        <v>4000</v>
      </c>
      <c r="J1845">
        <v>0</v>
      </c>
      <c r="K1845" s="133">
        <v>7.06072228223444E-3</v>
      </c>
      <c r="L1845" s="181">
        <v>0</v>
      </c>
      <c r="M1845" s="133">
        <v>7.06072228223444E-3</v>
      </c>
    </row>
    <row r="1846" spans="1:31" x14ac:dyDescent="0.25">
      <c r="A1846" s="136">
        <v>43095</v>
      </c>
      <c r="B1846" s="201" t="s">
        <v>137</v>
      </c>
      <c r="C1846" t="s">
        <v>138</v>
      </c>
      <c r="D1846">
        <v>100</v>
      </c>
      <c r="E1846">
        <v>100</v>
      </c>
      <c r="F1846">
        <v>-130.48500000000001</v>
      </c>
      <c r="G1846">
        <v>16753.5</v>
      </c>
      <c r="H1846">
        <v>0</v>
      </c>
      <c r="I1846" s="309">
        <v>3705</v>
      </c>
      <c r="J1846">
        <v>37.049999999999997</v>
      </c>
      <c r="K1846" s="133">
        <v>6.5399940139196496E-3</v>
      </c>
      <c r="L1846" s="181">
        <v>234</v>
      </c>
      <c r="M1846" s="133">
        <v>0</v>
      </c>
    </row>
    <row r="1847" spans="1:31" x14ac:dyDescent="0.25">
      <c r="A1847" s="136">
        <v>43095</v>
      </c>
      <c r="B1847" s="201" t="s">
        <v>835</v>
      </c>
      <c r="C1847" t="s">
        <v>839</v>
      </c>
      <c r="I1847" s="309">
        <v>48897.34</v>
      </c>
      <c r="K1847" s="133">
        <v>8.6312634519998294E-2</v>
      </c>
      <c r="L1847" s="181">
        <v>0</v>
      </c>
      <c r="M1847" s="133">
        <v>8.67811840506474E-2</v>
      </c>
    </row>
    <row r="1848" spans="1:31" x14ac:dyDescent="0.25">
      <c r="A1848" s="136">
        <v>43096</v>
      </c>
      <c r="B1848" s="201" t="s">
        <v>132</v>
      </c>
      <c r="C1848" t="s">
        <v>123</v>
      </c>
      <c r="D1848">
        <v>26547</v>
      </c>
      <c r="E1848">
        <v>26547</v>
      </c>
      <c r="F1848">
        <v>-9.2999999999999999E-2</v>
      </c>
      <c r="G1848">
        <v>2734.3409999999999</v>
      </c>
      <c r="H1848">
        <v>0</v>
      </c>
      <c r="I1848" s="309">
        <v>265.47000000000003</v>
      </c>
      <c r="J1848">
        <v>0.01</v>
      </c>
      <c r="K1848" s="133">
        <v>4.8710486789636001E-4</v>
      </c>
      <c r="L1848" s="181">
        <v>0.30899999999974198</v>
      </c>
      <c r="M1848" s="133">
        <v>0</v>
      </c>
    </row>
    <row r="1849" spans="1:31" x14ac:dyDescent="0.25">
      <c r="A1849" s="136">
        <v>43096</v>
      </c>
      <c r="B1849" s="201" t="s">
        <v>61</v>
      </c>
      <c r="C1849" t="s">
        <v>136</v>
      </c>
      <c r="D1849">
        <v>3500</v>
      </c>
      <c r="E1849">
        <v>3500</v>
      </c>
      <c r="F1849">
        <v>5.3070000000000004</v>
      </c>
      <c r="G1849">
        <v>-898.52</v>
      </c>
      <c r="H1849">
        <v>-4.84</v>
      </c>
      <c r="I1849" s="309">
        <v>17675</v>
      </c>
      <c r="J1849">
        <v>5.05</v>
      </c>
      <c r="K1849" s="133">
        <v>3.2431455682631401E-2</v>
      </c>
      <c r="L1849" s="181">
        <v>-105</v>
      </c>
      <c r="M1849" s="133">
        <v>3.4080129603986903E-2</v>
      </c>
      <c r="N1849" s="73">
        <v>-587.26800000000003</v>
      </c>
      <c r="O1849" s="73">
        <v>-114.19734747081699</v>
      </c>
      <c r="P1849" s="182">
        <v>6</v>
      </c>
      <c r="Q1849" s="182">
        <v>3000</v>
      </c>
      <c r="R1849" s="46">
        <v>5.31</v>
      </c>
      <c r="S1849" s="46">
        <v>0</v>
      </c>
      <c r="T1849" s="46">
        <v>0</v>
      </c>
      <c r="U1849" s="46">
        <v>0</v>
      </c>
      <c r="V1849" s="46" t="s">
        <v>62</v>
      </c>
      <c r="W1849" s="46">
        <v>3000</v>
      </c>
      <c r="X1849" s="46">
        <v>5.31</v>
      </c>
      <c r="Y1849" s="194">
        <v>5.0570000000000004</v>
      </c>
      <c r="Z1849" s="194">
        <v>5.0759999999999996</v>
      </c>
      <c r="AA1849" s="194">
        <v>5.14</v>
      </c>
      <c r="AB1849" s="46">
        <v>5.08</v>
      </c>
      <c r="AC1849" s="46">
        <v>5.08</v>
      </c>
      <c r="AD1849" s="46">
        <v>5.04</v>
      </c>
      <c r="AE1849" s="46">
        <v>5.05</v>
      </c>
    </row>
    <row r="1850" spans="1:31" x14ac:dyDescent="0.25">
      <c r="A1850" s="136">
        <v>43096</v>
      </c>
      <c r="B1850" s="201" t="s">
        <v>124</v>
      </c>
      <c r="C1850" t="s">
        <v>125</v>
      </c>
      <c r="D1850">
        <v>100</v>
      </c>
      <c r="E1850">
        <v>100</v>
      </c>
      <c r="F1850">
        <v>-53.579000000000001</v>
      </c>
      <c r="G1850">
        <v>5962.9</v>
      </c>
      <c r="H1850">
        <v>0</v>
      </c>
      <c r="I1850" s="309">
        <v>605</v>
      </c>
      <c r="J1850">
        <v>6.05</v>
      </c>
      <c r="K1850" s="133">
        <v>1.1101007461381601E-3</v>
      </c>
      <c r="L1850" s="181">
        <v>-3</v>
      </c>
      <c r="M1850" s="133">
        <v>0</v>
      </c>
      <c r="Y1850" s="193">
        <v>6.3490000000000002</v>
      </c>
      <c r="Z1850" s="193">
        <v>5.032</v>
      </c>
      <c r="AA1850" s="193">
        <v>5.851</v>
      </c>
      <c r="AB1850" s="46">
        <v>6.09</v>
      </c>
      <c r="AC1850" s="46">
        <v>6.15</v>
      </c>
      <c r="AD1850" s="46">
        <v>6.02</v>
      </c>
      <c r="AE1850" s="46">
        <v>6.05</v>
      </c>
    </row>
    <row r="1851" spans="1:31" x14ac:dyDescent="0.25">
      <c r="A1851" s="136">
        <v>43096</v>
      </c>
      <c r="B1851" s="201" t="s">
        <v>71</v>
      </c>
      <c r="C1851" t="s">
        <v>126</v>
      </c>
      <c r="D1851">
        <v>2800</v>
      </c>
      <c r="E1851">
        <v>2800</v>
      </c>
      <c r="F1851">
        <v>5.9390000000000001</v>
      </c>
      <c r="G1851">
        <v>730.38</v>
      </c>
      <c r="H1851">
        <v>4.4000000000000004</v>
      </c>
      <c r="I1851" s="309">
        <v>17360</v>
      </c>
      <c r="J1851">
        <v>6.2</v>
      </c>
      <c r="K1851" s="133">
        <v>3.1853469343733003E-2</v>
      </c>
      <c r="L1851" s="181">
        <v>-84</v>
      </c>
      <c r="M1851" s="133">
        <v>3.0513311685940601E-2</v>
      </c>
      <c r="N1851" s="73">
        <v>2864.0619999999999</v>
      </c>
      <c r="O1851" s="73">
        <v>228.52771916537799</v>
      </c>
      <c r="P1851" s="182">
        <v>2</v>
      </c>
      <c r="Q1851" s="182">
        <v>1000</v>
      </c>
      <c r="R1851" s="46">
        <v>6.45</v>
      </c>
      <c r="S1851" s="46">
        <v>2</v>
      </c>
      <c r="T1851" s="46">
        <v>900</v>
      </c>
      <c r="U1851" s="46">
        <v>6.3920000000000003</v>
      </c>
      <c r="V1851" s="46" t="s">
        <v>62</v>
      </c>
      <c r="W1851" s="46">
        <v>100</v>
      </c>
      <c r="X1851" s="46">
        <v>6.9720000000000004</v>
      </c>
      <c r="Y1851" s="194">
        <v>6.1909999999999998</v>
      </c>
      <c r="Z1851" s="194">
        <v>6.2709999999999999</v>
      </c>
      <c r="AA1851" s="194">
        <v>6.5049999999999999</v>
      </c>
      <c r="AB1851" s="46">
        <v>6.22</v>
      </c>
      <c r="AC1851" s="46">
        <v>6.25</v>
      </c>
      <c r="AD1851" s="46">
        <v>6.15</v>
      </c>
      <c r="AE1851" s="46">
        <v>6.2</v>
      </c>
    </row>
    <row r="1852" spans="1:31" x14ac:dyDescent="0.25">
      <c r="A1852" s="136">
        <v>43096</v>
      </c>
      <c r="B1852" s="201" t="s">
        <v>79</v>
      </c>
      <c r="C1852" t="s">
        <v>143</v>
      </c>
      <c r="D1852">
        <v>5100</v>
      </c>
      <c r="E1852">
        <v>5100</v>
      </c>
      <c r="F1852">
        <v>16.952999999999999</v>
      </c>
      <c r="G1852">
        <v>-9244.16</v>
      </c>
      <c r="H1852">
        <v>-10.69</v>
      </c>
      <c r="I1852" s="309">
        <v>77214</v>
      </c>
      <c r="J1852">
        <v>15.14</v>
      </c>
      <c r="K1852" s="133">
        <v>0.141678213243491</v>
      </c>
      <c r="L1852" s="181">
        <v>-765</v>
      </c>
      <c r="M1852" s="133">
        <v>0.15864011227393801</v>
      </c>
      <c r="N1852" s="73">
        <v>-7409.7400000000198</v>
      </c>
      <c r="O1852" s="73">
        <v>-477.808718064517</v>
      </c>
      <c r="P1852" s="182">
        <v>9</v>
      </c>
      <c r="Q1852" s="182">
        <v>5000</v>
      </c>
      <c r="R1852" s="46">
        <v>16.971</v>
      </c>
      <c r="S1852" s="46">
        <v>0</v>
      </c>
      <c r="T1852" s="46">
        <v>0</v>
      </c>
      <c r="U1852" s="46">
        <v>0</v>
      </c>
      <c r="V1852" s="46" t="s">
        <v>62</v>
      </c>
      <c r="W1852" s="46">
        <v>5000</v>
      </c>
      <c r="X1852" s="46">
        <v>16.971</v>
      </c>
      <c r="Y1852" s="194">
        <v>15.154</v>
      </c>
      <c r="Z1852" s="194">
        <v>15.573</v>
      </c>
      <c r="AA1852" s="194">
        <v>15.522</v>
      </c>
      <c r="AB1852" s="46">
        <v>15.3</v>
      </c>
      <c r="AC1852" s="46">
        <v>15.3</v>
      </c>
      <c r="AD1852" s="46">
        <v>15.11</v>
      </c>
      <c r="AE1852" s="46">
        <v>15.14</v>
      </c>
    </row>
    <row r="1853" spans="1:31" x14ac:dyDescent="0.25">
      <c r="A1853" s="136">
        <v>43096</v>
      </c>
      <c r="B1853" s="201" t="s">
        <v>65</v>
      </c>
      <c r="C1853" t="s">
        <v>127</v>
      </c>
      <c r="D1853">
        <v>12800</v>
      </c>
      <c r="E1853">
        <v>12800</v>
      </c>
      <c r="F1853">
        <v>10.378</v>
      </c>
      <c r="G1853">
        <v>7582.64</v>
      </c>
      <c r="H1853">
        <v>5.71</v>
      </c>
      <c r="I1853" s="309">
        <v>140416</v>
      </c>
      <c r="J1853">
        <v>10.97</v>
      </c>
      <c r="K1853" s="133">
        <v>0.257646126230969</v>
      </c>
      <c r="L1853" s="181">
        <v>1206.58</v>
      </c>
      <c r="M1853" s="133">
        <v>0.24373291247609799</v>
      </c>
      <c r="N1853" s="73">
        <v>4196.2089999999998</v>
      </c>
      <c r="O1853" s="73">
        <v>767.52931329256</v>
      </c>
      <c r="P1853" s="182">
        <v>4</v>
      </c>
      <c r="Q1853" s="182">
        <v>1900</v>
      </c>
      <c r="R1853" s="46">
        <v>10.754</v>
      </c>
      <c r="S1853" s="46">
        <v>14</v>
      </c>
      <c r="T1853" s="46">
        <v>6000</v>
      </c>
      <c r="U1853" s="46">
        <v>12.45</v>
      </c>
      <c r="V1853" s="46" t="s">
        <v>68</v>
      </c>
      <c r="W1853" s="46">
        <v>4100</v>
      </c>
      <c r="X1853" s="46">
        <v>13.236000000000001</v>
      </c>
      <c r="Y1853" s="194">
        <v>10.746</v>
      </c>
      <c r="Z1853" s="194">
        <v>11.352</v>
      </c>
      <c r="AA1853" s="194">
        <v>11.622</v>
      </c>
      <c r="AB1853" s="46">
        <v>10.85</v>
      </c>
      <c r="AC1853" s="46">
        <v>11.08</v>
      </c>
      <c r="AD1853" s="46">
        <v>10.84</v>
      </c>
      <c r="AE1853" s="46">
        <v>10.97</v>
      </c>
    </row>
    <row r="1854" spans="1:31" x14ac:dyDescent="0.25">
      <c r="A1854" s="136">
        <v>43096</v>
      </c>
      <c r="B1854" s="201" t="s">
        <v>77</v>
      </c>
      <c r="C1854" t="s">
        <v>128</v>
      </c>
      <c r="D1854">
        <v>5000</v>
      </c>
      <c r="E1854">
        <v>5000</v>
      </c>
      <c r="F1854">
        <v>5.9980000000000002</v>
      </c>
      <c r="G1854">
        <v>-1238.06</v>
      </c>
      <c r="H1854">
        <v>-4.13</v>
      </c>
      <c r="I1854" s="309">
        <v>28750</v>
      </c>
      <c r="J1854">
        <v>5.75</v>
      </c>
      <c r="K1854" s="133">
        <v>5.2752721407391998E-2</v>
      </c>
      <c r="L1854" s="181">
        <v>-50</v>
      </c>
      <c r="M1854" s="133">
        <v>5.5024409555761898E-2</v>
      </c>
      <c r="N1854" s="73">
        <v>-1493.0060000000001</v>
      </c>
      <c r="O1854" s="73">
        <v>-171.122327068966</v>
      </c>
      <c r="P1854" s="182">
        <v>8</v>
      </c>
      <c r="Q1854" s="182">
        <v>4000</v>
      </c>
      <c r="R1854" s="46">
        <v>6.6230000000000002</v>
      </c>
      <c r="S1854" s="46">
        <v>0</v>
      </c>
      <c r="T1854" s="46">
        <v>0</v>
      </c>
      <c r="U1854" s="46">
        <v>0</v>
      </c>
      <c r="V1854" s="46" t="s">
        <v>62</v>
      </c>
      <c r="W1854" s="46">
        <v>4000</v>
      </c>
      <c r="X1854" s="46">
        <v>6.6230000000000002</v>
      </c>
      <c r="Y1854" s="193">
        <v>5.8410000000000002</v>
      </c>
      <c r="Z1854" s="194">
        <v>5.9660000000000002</v>
      </c>
      <c r="AA1854" s="194">
        <v>6.4489999999999998</v>
      </c>
      <c r="AB1854" s="46">
        <v>5.75</v>
      </c>
      <c r="AC1854" s="46">
        <v>5.84</v>
      </c>
      <c r="AD1854" s="46">
        <v>5.73</v>
      </c>
      <c r="AE1854" s="46">
        <v>5.75</v>
      </c>
    </row>
    <row r="1855" spans="1:31" x14ac:dyDescent="0.25">
      <c r="A1855" s="136">
        <v>43096</v>
      </c>
      <c r="B1855" s="201" t="s">
        <v>67</v>
      </c>
      <c r="C1855" t="s">
        <v>129</v>
      </c>
      <c r="D1855">
        <v>9250</v>
      </c>
      <c r="E1855">
        <v>9250</v>
      </c>
      <c r="F1855">
        <v>8.6850000000000005</v>
      </c>
      <c r="G1855">
        <v>-3468.95</v>
      </c>
      <c r="H1855">
        <v>-4.32</v>
      </c>
      <c r="I1855" s="309">
        <v>76867.5</v>
      </c>
      <c r="J1855">
        <v>8.31</v>
      </c>
      <c r="K1855" s="133">
        <v>0.14104242827070301</v>
      </c>
      <c r="L1855" s="181">
        <v>-1665</v>
      </c>
      <c r="M1855" s="133">
        <v>0.14740752576378699</v>
      </c>
      <c r="N1855" s="73">
        <v>43217.754999999997</v>
      </c>
      <c r="O1855" s="73">
        <v>-124.348879638303</v>
      </c>
      <c r="P1855" s="182">
        <v>6</v>
      </c>
      <c r="Q1855" s="182">
        <v>3000</v>
      </c>
      <c r="R1855" s="46">
        <v>6.1079999999999997</v>
      </c>
      <c r="S1855" s="46">
        <v>1</v>
      </c>
      <c r="T1855" s="46">
        <v>400</v>
      </c>
      <c r="U1855" s="46">
        <v>8.57</v>
      </c>
      <c r="V1855" s="46" t="s">
        <v>62</v>
      </c>
      <c r="W1855" s="46">
        <v>2600</v>
      </c>
      <c r="X1855" s="46">
        <v>5.7290000000000001</v>
      </c>
      <c r="Y1855" s="194">
        <v>8.2899999999999991</v>
      </c>
      <c r="Z1855" s="194">
        <v>7.2619999999999996</v>
      </c>
      <c r="AA1855" s="194">
        <v>8.6989999999999998</v>
      </c>
      <c r="AB1855" s="46">
        <v>8.42</v>
      </c>
      <c r="AC1855" s="46">
        <v>8.4499999999999993</v>
      </c>
      <c r="AD1855" s="46">
        <v>8.2799999999999994</v>
      </c>
      <c r="AE1855" s="46">
        <v>8.31</v>
      </c>
    </row>
    <row r="1856" spans="1:31" x14ac:dyDescent="0.25">
      <c r="A1856" s="136">
        <v>43096</v>
      </c>
      <c r="B1856" s="201" t="s">
        <v>78</v>
      </c>
      <c r="C1856" t="s">
        <v>142</v>
      </c>
      <c r="D1856">
        <v>2100</v>
      </c>
      <c r="E1856">
        <v>1600</v>
      </c>
      <c r="F1856">
        <v>10.148999999999999</v>
      </c>
      <c r="G1856">
        <v>-754.7</v>
      </c>
      <c r="H1856">
        <v>-3.54</v>
      </c>
      <c r="I1856" s="309">
        <v>20559</v>
      </c>
      <c r="J1856">
        <v>9.7899999999999991</v>
      </c>
      <c r="K1856" s="133">
        <v>3.7723241718767703E-2</v>
      </c>
      <c r="L1856" s="181">
        <v>-70</v>
      </c>
      <c r="M1856" s="133">
        <v>3.9108023591677601E-2</v>
      </c>
      <c r="N1856" s="73">
        <v>-817.69600000000003</v>
      </c>
      <c r="O1856" s="73">
        <v>-83.738437704917999</v>
      </c>
      <c r="P1856" s="182">
        <v>4</v>
      </c>
      <c r="Q1856" s="182">
        <v>2000</v>
      </c>
      <c r="R1856" s="46">
        <v>10.098000000000001</v>
      </c>
      <c r="S1856" s="46">
        <v>0</v>
      </c>
      <c r="T1856" s="46">
        <v>0</v>
      </c>
      <c r="U1856" s="46">
        <v>0</v>
      </c>
      <c r="V1856" s="46" t="s">
        <v>62</v>
      </c>
      <c r="W1856" s="46">
        <v>2000</v>
      </c>
      <c r="X1856" s="46">
        <v>10.098000000000001</v>
      </c>
      <c r="Y1856" s="194">
        <v>9.3919999999999995</v>
      </c>
      <c r="Z1856" s="194">
        <v>10.983000000000001</v>
      </c>
      <c r="AA1856" s="194">
        <v>11.013</v>
      </c>
      <c r="AB1856" s="46">
        <v>9.83</v>
      </c>
      <c r="AC1856" s="46">
        <v>9.9</v>
      </c>
      <c r="AD1856" s="46">
        <v>9.7200000000000006</v>
      </c>
      <c r="AE1856" s="46">
        <v>9.7899999999999991</v>
      </c>
    </row>
    <row r="1857" spans="1:31" x14ac:dyDescent="0.25">
      <c r="A1857" s="136">
        <v>43096</v>
      </c>
      <c r="B1857" s="201" t="s">
        <v>72</v>
      </c>
      <c r="C1857" t="s">
        <v>130</v>
      </c>
      <c r="D1857">
        <v>1700</v>
      </c>
      <c r="E1857">
        <v>1700</v>
      </c>
      <c r="F1857">
        <v>7.17</v>
      </c>
      <c r="G1857">
        <v>51.18</v>
      </c>
      <c r="H1857">
        <v>0.42</v>
      </c>
      <c r="I1857" s="309">
        <v>12240</v>
      </c>
      <c r="J1857">
        <v>7.2</v>
      </c>
      <c r="K1857" s="133">
        <v>2.2458897740051401E-2</v>
      </c>
      <c r="L1857" s="181">
        <v>269.12</v>
      </c>
      <c r="M1857" s="133">
        <v>2.2364988721559901E-2</v>
      </c>
      <c r="N1857" s="73">
        <v>-153.543999999992</v>
      </c>
      <c r="O1857" s="73">
        <v>9.4496417475757397</v>
      </c>
      <c r="P1857" s="182">
        <v>0</v>
      </c>
      <c r="Q1857" s="182">
        <v>0</v>
      </c>
      <c r="R1857" s="46">
        <v>0</v>
      </c>
      <c r="S1857" s="46">
        <v>13</v>
      </c>
      <c r="T1857" s="46">
        <v>5400</v>
      </c>
      <c r="U1857" s="46">
        <v>8.1059999999999999</v>
      </c>
      <c r="V1857" s="46" t="s">
        <v>68</v>
      </c>
      <c r="W1857" s="46">
        <v>5400</v>
      </c>
      <c r="X1857" s="46">
        <v>8.1059999999999999</v>
      </c>
      <c r="Y1857" s="193">
        <v>7.2720000000000002</v>
      </c>
      <c r="Z1857" s="194">
        <v>6.9249999999999998</v>
      </c>
      <c r="AA1857" s="194">
        <v>7.069</v>
      </c>
      <c r="AB1857" s="46">
        <v>7.2</v>
      </c>
      <c r="AC1857" s="46">
        <v>7.26</v>
      </c>
      <c r="AD1857" s="46">
        <v>7.07</v>
      </c>
      <c r="AE1857" s="46">
        <v>7.2</v>
      </c>
    </row>
    <row r="1858" spans="1:31" x14ac:dyDescent="0.25">
      <c r="A1858" s="136">
        <v>43096</v>
      </c>
      <c r="B1858" s="201" t="s">
        <v>70</v>
      </c>
      <c r="C1858" t="s">
        <v>131</v>
      </c>
      <c r="D1858">
        <v>10000</v>
      </c>
      <c r="E1858">
        <v>10000</v>
      </c>
      <c r="F1858">
        <v>12.266</v>
      </c>
      <c r="G1858">
        <v>-12864.21</v>
      </c>
      <c r="H1858">
        <v>-10.48</v>
      </c>
      <c r="I1858" s="309">
        <v>109800</v>
      </c>
      <c r="J1858">
        <v>10.98</v>
      </c>
      <c r="K1858" s="133">
        <v>0.201469523844579</v>
      </c>
      <c r="L1858" s="181">
        <v>-77.4299999999985</v>
      </c>
      <c r="M1858" s="133">
        <v>0.22507377032305501</v>
      </c>
      <c r="N1858" s="73">
        <v>-11963.194</v>
      </c>
      <c r="O1858" s="73">
        <v>-1080.1456551942199</v>
      </c>
      <c r="P1858" s="182">
        <v>1</v>
      </c>
      <c r="Q1858" s="182">
        <v>500</v>
      </c>
      <c r="R1858" s="46">
        <v>10.88</v>
      </c>
      <c r="S1858" s="46">
        <v>5</v>
      </c>
      <c r="T1858" s="46">
        <v>2000</v>
      </c>
      <c r="U1858" s="46">
        <v>13.087999999999999</v>
      </c>
      <c r="V1858" s="46" t="s">
        <v>68</v>
      </c>
      <c r="W1858" s="46">
        <v>1500</v>
      </c>
      <c r="X1858" s="46">
        <v>13.824</v>
      </c>
      <c r="Y1858" s="194">
        <v>10.962999999999999</v>
      </c>
      <c r="Z1858" s="194">
        <v>12.327999999999999</v>
      </c>
      <c r="AA1858" s="194">
        <v>12.227</v>
      </c>
      <c r="AB1858" s="46">
        <v>10.94</v>
      </c>
      <c r="AC1858" s="46">
        <v>11.08</v>
      </c>
      <c r="AD1858" s="46">
        <v>10.94</v>
      </c>
      <c r="AE1858" s="46">
        <v>10.98</v>
      </c>
    </row>
    <row r="1859" spans="1:31" x14ac:dyDescent="0.25">
      <c r="A1859" s="136">
        <v>43096</v>
      </c>
      <c r="B1859" s="201" t="s">
        <v>146</v>
      </c>
      <c r="C1859" t="s">
        <v>147</v>
      </c>
      <c r="D1859">
        <v>40</v>
      </c>
      <c r="E1859">
        <v>40</v>
      </c>
      <c r="F1859">
        <v>100</v>
      </c>
      <c r="G1859">
        <v>0</v>
      </c>
      <c r="H1859">
        <v>0</v>
      </c>
      <c r="I1859" s="309">
        <v>4000</v>
      </c>
      <c r="J1859">
        <v>0</v>
      </c>
      <c r="K1859" s="133">
        <v>7.3395090653762696E-3</v>
      </c>
      <c r="L1859" s="181">
        <v>0</v>
      </c>
      <c r="M1859" s="133">
        <v>7.3395090653762696E-3</v>
      </c>
    </row>
    <row r="1860" spans="1:31" x14ac:dyDescent="0.25">
      <c r="A1860" s="136">
        <v>43096</v>
      </c>
      <c r="B1860" s="201" t="s">
        <v>137</v>
      </c>
      <c r="C1860" t="s">
        <v>138</v>
      </c>
      <c r="D1860">
        <v>100</v>
      </c>
      <c r="E1860">
        <v>100</v>
      </c>
      <c r="F1860">
        <v>-130.48500000000001</v>
      </c>
      <c r="G1860">
        <v>16753.5</v>
      </c>
      <c r="H1860">
        <v>0</v>
      </c>
      <c r="I1860" s="309">
        <v>3705</v>
      </c>
      <c r="J1860">
        <v>37.049999999999997</v>
      </c>
      <c r="K1860" s="133">
        <v>6.7982202718047703E-3</v>
      </c>
      <c r="L1860" s="181">
        <v>0</v>
      </c>
      <c r="M1860" s="133">
        <v>0</v>
      </c>
    </row>
    <row r="1861" spans="1:31" x14ac:dyDescent="0.25">
      <c r="A1861" s="136">
        <v>43096</v>
      </c>
      <c r="B1861" s="201" t="s">
        <v>835</v>
      </c>
      <c r="C1861" t="s">
        <v>839</v>
      </c>
      <c r="I1861" s="309">
        <v>35538.61</v>
      </c>
      <c r="K1861" s="133">
        <v>6.5208987566467994E-2</v>
      </c>
      <c r="L1861" s="181">
        <v>0</v>
      </c>
      <c r="M1861" s="133">
        <v>6.5696092434364306E-2</v>
      </c>
    </row>
    <row r="1862" spans="1:31" x14ac:dyDescent="0.25">
      <c r="A1862" s="136">
        <v>43097</v>
      </c>
      <c r="B1862" s="201" t="s">
        <v>132</v>
      </c>
      <c r="C1862" t="s">
        <v>123</v>
      </c>
      <c r="D1862">
        <v>26550</v>
      </c>
      <c r="E1862">
        <v>26550</v>
      </c>
      <c r="F1862">
        <v>-9.2999999999999999E-2</v>
      </c>
      <c r="G1862">
        <v>2734.65</v>
      </c>
      <c r="H1862">
        <v>0</v>
      </c>
      <c r="I1862" s="309">
        <v>265.5</v>
      </c>
      <c r="J1862">
        <v>0.01</v>
      </c>
      <c r="K1862" s="133">
        <v>4.8408834431776303E-4</v>
      </c>
      <c r="L1862" s="181">
        <v>0.30900000000019601</v>
      </c>
      <c r="M1862" s="133">
        <v>0</v>
      </c>
    </row>
    <row r="1863" spans="1:31" x14ac:dyDescent="0.25">
      <c r="A1863" s="136">
        <v>43097</v>
      </c>
      <c r="B1863" s="201" t="s">
        <v>61</v>
      </c>
      <c r="C1863" t="s">
        <v>136</v>
      </c>
      <c r="D1863">
        <v>3500</v>
      </c>
      <c r="E1863">
        <v>3500</v>
      </c>
      <c r="F1863">
        <v>5.3070000000000004</v>
      </c>
      <c r="G1863">
        <v>-688.52</v>
      </c>
      <c r="H1863">
        <v>-3.71</v>
      </c>
      <c r="I1863" s="309">
        <v>17885</v>
      </c>
      <c r="J1863">
        <v>5.1100000000000003</v>
      </c>
      <c r="K1863" s="133">
        <v>3.2609868316848201E-2</v>
      </c>
      <c r="L1863" s="181">
        <v>210</v>
      </c>
      <c r="M1863" s="133">
        <v>3.38652525233629E-2</v>
      </c>
      <c r="N1863" s="73">
        <v>-587.26800000000003</v>
      </c>
      <c r="O1863" s="73">
        <v>-114.19734747081699</v>
      </c>
      <c r="P1863" s="182">
        <v>6</v>
      </c>
      <c r="Q1863" s="182">
        <v>3000</v>
      </c>
      <c r="R1863" s="46">
        <v>5.31</v>
      </c>
      <c r="S1863" s="46">
        <v>0</v>
      </c>
      <c r="T1863" s="46">
        <v>0</v>
      </c>
      <c r="U1863" s="46">
        <v>0</v>
      </c>
      <c r="V1863" s="46" t="s">
        <v>62</v>
      </c>
      <c r="W1863" s="46">
        <v>3000</v>
      </c>
      <c r="X1863" s="46">
        <v>5.31</v>
      </c>
      <c r="Y1863" s="193">
        <v>5.1109999999999998</v>
      </c>
      <c r="Z1863" s="194">
        <v>5.0720000000000001</v>
      </c>
      <c r="AA1863" s="194">
        <v>5.1379999999999999</v>
      </c>
      <c r="AB1863" s="46">
        <v>5.08</v>
      </c>
      <c r="AC1863" s="46">
        <v>5.12</v>
      </c>
      <c r="AD1863" s="46">
        <v>5.08</v>
      </c>
      <c r="AE1863" s="46">
        <v>5.1100000000000003</v>
      </c>
    </row>
    <row r="1864" spans="1:31" x14ac:dyDescent="0.25">
      <c r="A1864" s="136">
        <v>43097</v>
      </c>
      <c r="B1864" s="201" t="s">
        <v>124</v>
      </c>
      <c r="C1864" t="s">
        <v>125</v>
      </c>
      <c r="D1864">
        <v>100</v>
      </c>
      <c r="E1864">
        <v>100</v>
      </c>
      <c r="F1864">
        <v>-53.579000000000001</v>
      </c>
      <c r="G1864">
        <v>5971.9</v>
      </c>
      <c r="H1864">
        <v>0</v>
      </c>
      <c r="I1864" s="309">
        <v>614</v>
      </c>
      <c r="J1864">
        <v>6.14</v>
      </c>
      <c r="K1864" s="133">
        <v>1.1195112746181001E-3</v>
      </c>
      <c r="L1864" s="181">
        <v>9</v>
      </c>
      <c r="M1864" s="133">
        <v>0</v>
      </c>
      <c r="Y1864" s="193">
        <v>6.1109999999999998</v>
      </c>
      <c r="Z1864" s="193">
        <v>5.0720000000000001</v>
      </c>
      <c r="AA1864" s="193">
        <v>5.8540000000000001</v>
      </c>
      <c r="AB1864" s="46">
        <v>6.03</v>
      </c>
      <c r="AC1864" s="46">
        <v>6.14</v>
      </c>
      <c r="AD1864" s="46">
        <v>6.02</v>
      </c>
      <c r="AE1864" s="46">
        <v>6.14</v>
      </c>
    </row>
    <row r="1865" spans="1:31" x14ac:dyDescent="0.25">
      <c r="A1865" s="136">
        <v>43097</v>
      </c>
      <c r="B1865" s="201" t="s">
        <v>71</v>
      </c>
      <c r="C1865" t="s">
        <v>126</v>
      </c>
      <c r="D1865">
        <v>2800</v>
      </c>
      <c r="E1865">
        <v>2800</v>
      </c>
      <c r="F1865">
        <v>5.9390000000000001</v>
      </c>
      <c r="G1865">
        <v>730.38</v>
      </c>
      <c r="H1865">
        <v>4.4000000000000004</v>
      </c>
      <c r="I1865" s="309">
        <v>17360</v>
      </c>
      <c r="J1865">
        <v>6.2</v>
      </c>
      <c r="K1865" s="133">
        <v>3.1652631477801701E-2</v>
      </c>
      <c r="L1865" s="181">
        <v>0</v>
      </c>
      <c r="M1865" s="133">
        <v>3.03209235873204E-2</v>
      </c>
      <c r="N1865" s="73">
        <v>2864.0619999999999</v>
      </c>
      <c r="O1865" s="73">
        <v>228.52771916537799</v>
      </c>
      <c r="P1865" s="182">
        <v>2</v>
      </c>
      <c r="Q1865" s="182">
        <v>1000</v>
      </c>
      <c r="R1865" s="46">
        <v>6.45</v>
      </c>
      <c r="S1865" s="46">
        <v>2</v>
      </c>
      <c r="T1865" s="46">
        <v>900</v>
      </c>
      <c r="U1865" s="46">
        <v>6.3920000000000003</v>
      </c>
      <c r="V1865" s="46" t="s">
        <v>62</v>
      </c>
      <c r="W1865" s="46">
        <v>100</v>
      </c>
      <c r="X1865" s="46">
        <v>6.9720000000000004</v>
      </c>
      <c r="Y1865" s="194">
        <v>6.032</v>
      </c>
      <c r="Z1865" s="194">
        <v>6.27</v>
      </c>
      <c r="AA1865" s="194">
        <v>6.5030000000000001</v>
      </c>
      <c r="AB1865" s="46">
        <v>6.17</v>
      </c>
      <c r="AC1865" s="46">
        <v>6.22</v>
      </c>
      <c r="AD1865" s="46">
        <v>6.16</v>
      </c>
      <c r="AE1865" s="46">
        <v>6.2</v>
      </c>
    </row>
    <row r="1866" spans="1:31" x14ac:dyDescent="0.25">
      <c r="A1866" s="136">
        <v>43097</v>
      </c>
      <c r="B1866" s="201" t="s">
        <v>79</v>
      </c>
      <c r="C1866" t="s">
        <v>143</v>
      </c>
      <c r="D1866">
        <v>5100</v>
      </c>
      <c r="E1866">
        <v>5100</v>
      </c>
      <c r="F1866">
        <v>16.952999999999999</v>
      </c>
      <c r="G1866">
        <v>-8530.16</v>
      </c>
      <c r="H1866">
        <v>-9.8699999999999992</v>
      </c>
      <c r="I1866" s="309">
        <v>77928</v>
      </c>
      <c r="J1866">
        <v>15.28</v>
      </c>
      <c r="K1866" s="133">
        <v>0.14208676646325699</v>
      </c>
      <c r="L1866" s="181">
        <v>714</v>
      </c>
      <c r="M1866" s="133">
        <v>0.157639877691752</v>
      </c>
      <c r="N1866" s="73">
        <v>-7409.7400000000198</v>
      </c>
      <c r="O1866" s="73">
        <v>-477.808718064517</v>
      </c>
      <c r="P1866" s="182">
        <v>9</v>
      </c>
      <c r="Q1866" s="182">
        <v>5000</v>
      </c>
      <c r="R1866" s="46">
        <v>16.971</v>
      </c>
      <c r="S1866" s="46">
        <v>0</v>
      </c>
      <c r="T1866" s="46">
        <v>0</v>
      </c>
      <c r="U1866" s="46">
        <v>0</v>
      </c>
      <c r="V1866" s="46" t="s">
        <v>62</v>
      </c>
      <c r="W1866" s="46">
        <v>5000</v>
      </c>
      <c r="X1866" s="46">
        <v>16.971</v>
      </c>
      <c r="Y1866" s="193">
        <v>15.462</v>
      </c>
      <c r="Z1866" s="194">
        <v>15.574999999999999</v>
      </c>
      <c r="AA1866" s="194">
        <v>15.51</v>
      </c>
      <c r="AB1866" s="46">
        <v>15.14</v>
      </c>
      <c r="AC1866" s="46">
        <v>15.37</v>
      </c>
      <c r="AD1866" s="46">
        <v>15.06</v>
      </c>
      <c r="AE1866" s="46">
        <v>15.28</v>
      </c>
    </row>
    <row r="1867" spans="1:31" x14ac:dyDescent="0.25">
      <c r="A1867" s="136">
        <v>43097</v>
      </c>
      <c r="B1867" s="201" t="s">
        <v>65</v>
      </c>
      <c r="C1867" t="s">
        <v>127</v>
      </c>
      <c r="D1867">
        <v>12800</v>
      </c>
      <c r="E1867">
        <v>12800</v>
      </c>
      <c r="F1867">
        <v>10.378</v>
      </c>
      <c r="G1867">
        <v>7966.64</v>
      </c>
      <c r="H1867">
        <v>5.99</v>
      </c>
      <c r="I1867" s="309">
        <v>140800</v>
      </c>
      <c r="J1867">
        <v>11</v>
      </c>
      <c r="K1867" s="133">
        <v>0.25672180369092701</v>
      </c>
      <c r="L1867" s="181">
        <v>384</v>
      </c>
      <c r="M1867" s="133">
        <v>0.242196163135839</v>
      </c>
      <c r="N1867" s="73">
        <v>4196.2089999999998</v>
      </c>
      <c r="O1867" s="73">
        <v>767.52931329256</v>
      </c>
      <c r="P1867" s="182">
        <v>4</v>
      </c>
      <c r="Q1867" s="182">
        <v>1900</v>
      </c>
      <c r="R1867" s="46">
        <v>10.754</v>
      </c>
      <c r="S1867" s="46">
        <v>14</v>
      </c>
      <c r="T1867" s="46">
        <v>6000</v>
      </c>
      <c r="U1867" s="46">
        <v>12.45</v>
      </c>
      <c r="V1867" s="46" t="s">
        <v>68</v>
      </c>
      <c r="W1867" s="46">
        <v>4100</v>
      </c>
      <c r="X1867" s="46">
        <v>13.236000000000001</v>
      </c>
      <c r="Y1867" s="194">
        <v>10.898</v>
      </c>
      <c r="Z1867" s="194">
        <v>11.348000000000001</v>
      </c>
      <c r="AA1867" s="194">
        <v>11.618</v>
      </c>
      <c r="AB1867" s="46">
        <v>10.93</v>
      </c>
      <c r="AC1867" s="46">
        <v>11.04</v>
      </c>
      <c r="AD1867" s="46">
        <v>10.91</v>
      </c>
      <c r="AE1867" s="46">
        <v>11</v>
      </c>
    </row>
    <row r="1868" spans="1:31" x14ac:dyDescent="0.25">
      <c r="A1868" s="136">
        <v>43097</v>
      </c>
      <c r="B1868" s="201" t="s">
        <v>77</v>
      </c>
      <c r="C1868" t="s">
        <v>128</v>
      </c>
      <c r="D1868">
        <v>5000</v>
      </c>
      <c r="E1868">
        <v>5000</v>
      </c>
      <c r="F1868">
        <v>5.9980000000000002</v>
      </c>
      <c r="G1868">
        <v>-1188.06</v>
      </c>
      <c r="H1868">
        <v>-3.97</v>
      </c>
      <c r="I1868" s="309">
        <v>28800</v>
      </c>
      <c r="J1868">
        <v>5.76</v>
      </c>
      <c r="K1868" s="133">
        <v>5.2511278027689498E-2</v>
      </c>
      <c r="L1868" s="181">
        <v>50</v>
      </c>
      <c r="M1868" s="133">
        <v>5.4677477644827603E-2</v>
      </c>
      <c r="N1868" s="73">
        <v>-1493.0060000000001</v>
      </c>
      <c r="O1868" s="73">
        <v>-171.122327068966</v>
      </c>
      <c r="P1868" s="182">
        <v>8</v>
      </c>
      <c r="Q1868" s="182">
        <v>4000</v>
      </c>
      <c r="R1868" s="46">
        <v>6.6230000000000002</v>
      </c>
      <c r="S1868" s="46">
        <v>0</v>
      </c>
      <c r="T1868" s="46">
        <v>0</v>
      </c>
      <c r="U1868" s="46">
        <v>0</v>
      </c>
      <c r="V1868" s="46" t="s">
        <v>62</v>
      </c>
      <c r="W1868" s="46">
        <v>4000</v>
      </c>
      <c r="X1868" s="46">
        <v>6.6230000000000002</v>
      </c>
      <c r="Y1868" s="193">
        <v>5.81</v>
      </c>
      <c r="Z1868" s="194">
        <v>5.9710000000000001</v>
      </c>
      <c r="AA1868" s="194">
        <v>6.4429999999999996</v>
      </c>
      <c r="AB1868" s="46">
        <v>5.73</v>
      </c>
      <c r="AC1868" s="46">
        <v>5.8</v>
      </c>
      <c r="AD1868" s="46">
        <v>5.72</v>
      </c>
      <c r="AE1868" s="46">
        <v>5.76</v>
      </c>
    </row>
    <row r="1869" spans="1:31" x14ac:dyDescent="0.25">
      <c r="A1869" s="136">
        <v>43097</v>
      </c>
      <c r="B1869" s="201" t="s">
        <v>67</v>
      </c>
      <c r="C1869" t="s">
        <v>129</v>
      </c>
      <c r="D1869">
        <v>9250</v>
      </c>
      <c r="E1869">
        <v>9250</v>
      </c>
      <c r="F1869">
        <v>8.6850000000000005</v>
      </c>
      <c r="G1869">
        <v>-1618.95</v>
      </c>
      <c r="H1869">
        <v>-2.0099999999999998</v>
      </c>
      <c r="I1869" s="309">
        <v>78717.5</v>
      </c>
      <c r="J1869">
        <v>8.51</v>
      </c>
      <c r="K1869" s="133">
        <v>0.14352626833835599</v>
      </c>
      <c r="L1869" s="181">
        <v>1850</v>
      </c>
      <c r="M1869" s="133">
        <v>0.146478113253735</v>
      </c>
      <c r="N1869" s="73">
        <v>43217.754999999997</v>
      </c>
      <c r="O1869" s="73">
        <v>-124.348879638303</v>
      </c>
      <c r="P1869" s="182">
        <v>6</v>
      </c>
      <c r="Q1869" s="182">
        <v>3000</v>
      </c>
      <c r="R1869" s="46">
        <v>6.1079999999999997</v>
      </c>
      <c r="S1869" s="46">
        <v>1</v>
      </c>
      <c r="T1869" s="46">
        <v>400</v>
      </c>
      <c r="U1869" s="46">
        <v>8.57</v>
      </c>
      <c r="V1869" s="46" t="s">
        <v>62</v>
      </c>
      <c r="W1869" s="46">
        <v>2600</v>
      </c>
      <c r="X1869" s="46">
        <v>5.7290000000000001</v>
      </c>
      <c r="Y1869" s="193">
        <v>9.8859999999999992</v>
      </c>
      <c r="Z1869" s="194">
        <v>7.2489999999999997</v>
      </c>
      <c r="AA1869" s="194">
        <v>8.6929999999999996</v>
      </c>
      <c r="AB1869" s="46">
        <v>8.2899999999999991</v>
      </c>
      <c r="AC1869" s="46">
        <v>8.6300000000000008</v>
      </c>
      <c r="AD1869" s="46">
        <v>8.2200000000000006</v>
      </c>
      <c r="AE1869" s="46">
        <v>8.51</v>
      </c>
    </row>
    <row r="1870" spans="1:31" x14ac:dyDescent="0.25">
      <c r="A1870" s="136">
        <v>43097</v>
      </c>
      <c r="B1870" s="201" t="s">
        <v>78</v>
      </c>
      <c r="C1870" t="s">
        <v>142</v>
      </c>
      <c r="D1870">
        <v>2100</v>
      </c>
      <c r="E1870">
        <v>2100</v>
      </c>
      <c r="F1870">
        <v>10.148999999999999</v>
      </c>
      <c r="G1870">
        <v>-754.7</v>
      </c>
      <c r="H1870">
        <v>-3.54</v>
      </c>
      <c r="I1870" s="309">
        <v>20559</v>
      </c>
      <c r="J1870">
        <v>9.7899999999999991</v>
      </c>
      <c r="K1870" s="133">
        <v>3.7485394617058E-2</v>
      </c>
      <c r="L1870" s="181">
        <v>0</v>
      </c>
      <c r="M1870" s="133">
        <v>3.8861445364540503E-2</v>
      </c>
      <c r="N1870" s="73">
        <v>-817.69600000000003</v>
      </c>
      <c r="O1870" s="73">
        <v>-83.738437704917999</v>
      </c>
      <c r="P1870" s="182">
        <v>4</v>
      </c>
      <c r="Q1870" s="182">
        <v>2000</v>
      </c>
      <c r="R1870" s="46">
        <v>10.098000000000001</v>
      </c>
      <c r="S1870" s="46">
        <v>0</v>
      </c>
      <c r="T1870" s="46">
        <v>0</v>
      </c>
      <c r="U1870" s="46">
        <v>0</v>
      </c>
      <c r="V1870" s="46" t="s">
        <v>62</v>
      </c>
      <c r="W1870" s="46">
        <v>2000</v>
      </c>
      <c r="X1870" s="46">
        <v>10.098000000000001</v>
      </c>
      <c r="Y1870" s="194">
        <v>9.7989999999999995</v>
      </c>
      <c r="Z1870" s="194">
        <v>10.925000000000001</v>
      </c>
      <c r="AA1870" s="194">
        <v>10.978</v>
      </c>
      <c r="AB1870" s="46">
        <v>9.7899999999999991</v>
      </c>
      <c r="AC1870" s="46">
        <v>9.9</v>
      </c>
      <c r="AD1870" s="46">
        <v>9.73</v>
      </c>
      <c r="AE1870" s="46">
        <v>9.7899999999999991</v>
      </c>
    </row>
    <row r="1871" spans="1:31" x14ac:dyDescent="0.25">
      <c r="A1871" s="136">
        <v>43097</v>
      </c>
      <c r="B1871" s="201" t="s">
        <v>72</v>
      </c>
      <c r="C1871" t="s">
        <v>130</v>
      </c>
      <c r="D1871">
        <v>1700</v>
      </c>
      <c r="E1871">
        <v>1700</v>
      </c>
      <c r="F1871">
        <v>7.17</v>
      </c>
      <c r="G1871">
        <v>0.18</v>
      </c>
      <c r="H1871">
        <v>0</v>
      </c>
      <c r="I1871" s="309">
        <v>12189</v>
      </c>
      <c r="J1871">
        <v>7.17</v>
      </c>
      <c r="K1871" s="133">
        <v>2.22243044402607E-2</v>
      </c>
      <c r="L1871" s="181">
        <v>-51</v>
      </c>
      <c r="M1871" s="133">
        <v>2.2223976244773E-2</v>
      </c>
      <c r="N1871" s="73">
        <v>-153.543999999992</v>
      </c>
      <c r="O1871" s="73">
        <v>9.4496417475757397</v>
      </c>
      <c r="P1871" s="182">
        <v>0</v>
      </c>
      <c r="Q1871" s="182">
        <v>0</v>
      </c>
      <c r="R1871" s="46">
        <v>0</v>
      </c>
      <c r="S1871" s="46">
        <v>13</v>
      </c>
      <c r="T1871" s="46">
        <v>5400</v>
      </c>
      <c r="U1871" s="46">
        <v>8.1059999999999999</v>
      </c>
      <c r="V1871" s="46" t="s">
        <v>68</v>
      </c>
      <c r="W1871" s="46">
        <v>5400</v>
      </c>
      <c r="X1871" s="46">
        <v>8.1059999999999999</v>
      </c>
      <c r="Y1871" s="194">
        <v>7.1879999999999997</v>
      </c>
      <c r="Z1871" s="194">
        <v>6.9470000000000001</v>
      </c>
      <c r="AA1871" s="194">
        <v>7.0730000000000004</v>
      </c>
      <c r="AB1871" s="46">
        <v>7.15</v>
      </c>
      <c r="AC1871" s="46">
        <v>7.25</v>
      </c>
      <c r="AD1871" s="46">
        <v>7.15</v>
      </c>
      <c r="AE1871" s="46">
        <v>7.17</v>
      </c>
    </row>
    <row r="1872" spans="1:31" x14ac:dyDescent="0.25">
      <c r="A1872" s="136">
        <v>43097</v>
      </c>
      <c r="B1872" s="201" t="s">
        <v>70</v>
      </c>
      <c r="C1872" t="s">
        <v>131</v>
      </c>
      <c r="D1872">
        <v>10000</v>
      </c>
      <c r="E1872">
        <v>10000</v>
      </c>
      <c r="F1872">
        <v>12.266</v>
      </c>
      <c r="G1872">
        <v>-12664.21</v>
      </c>
      <c r="H1872">
        <v>-10.32</v>
      </c>
      <c r="I1872" s="309">
        <v>110000</v>
      </c>
      <c r="J1872">
        <v>11</v>
      </c>
      <c r="K1872" s="133">
        <v>0.200563909133536</v>
      </c>
      <c r="L1872" s="181">
        <v>200</v>
      </c>
      <c r="M1872" s="133">
        <v>0.22365466789433699</v>
      </c>
      <c r="N1872" s="73">
        <v>-11963.194</v>
      </c>
      <c r="O1872" s="73">
        <v>-1080.1456551942199</v>
      </c>
      <c r="P1872" s="182">
        <v>1</v>
      </c>
      <c r="Q1872" s="182">
        <v>500</v>
      </c>
      <c r="R1872" s="46">
        <v>10.88</v>
      </c>
      <c r="S1872" s="46">
        <v>5</v>
      </c>
      <c r="T1872" s="46">
        <v>2000</v>
      </c>
      <c r="U1872" s="46">
        <v>13.087999999999999</v>
      </c>
      <c r="V1872" s="46" t="s">
        <v>68</v>
      </c>
      <c r="W1872" s="46">
        <v>1500</v>
      </c>
      <c r="X1872" s="46">
        <v>13.824</v>
      </c>
      <c r="Y1872" s="194">
        <v>10.962999999999999</v>
      </c>
      <c r="Z1872" s="194">
        <v>12.319000000000001</v>
      </c>
      <c r="AA1872" s="194">
        <v>12.22</v>
      </c>
      <c r="AB1872" s="46">
        <v>10.87</v>
      </c>
      <c r="AC1872" s="46">
        <v>11.04</v>
      </c>
      <c r="AD1872" s="46">
        <v>10.87</v>
      </c>
      <c r="AE1872" s="46">
        <v>11</v>
      </c>
    </row>
    <row r="1873" spans="1:31" x14ac:dyDescent="0.25">
      <c r="A1873" s="136">
        <v>43097</v>
      </c>
      <c r="B1873" s="201" t="s">
        <v>146</v>
      </c>
      <c r="C1873" t="s">
        <v>147</v>
      </c>
      <c r="D1873">
        <v>40</v>
      </c>
      <c r="E1873">
        <v>40</v>
      </c>
      <c r="F1873">
        <v>100</v>
      </c>
      <c r="G1873">
        <v>0</v>
      </c>
      <c r="H1873">
        <v>0</v>
      </c>
      <c r="I1873" s="309">
        <v>4000</v>
      </c>
      <c r="J1873">
        <v>0</v>
      </c>
      <c r="K1873" s="133">
        <v>7.2932330594013203E-3</v>
      </c>
      <c r="L1873" s="181">
        <v>0</v>
      </c>
      <c r="M1873" s="133">
        <v>7.2932330594013203E-3</v>
      </c>
    </row>
    <row r="1874" spans="1:31" x14ac:dyDescent="0.25">
      <c r="A1874" s="136">
        <v>43097</v>
      </c>
      <c r="B1874" s="201" t="s">
        <v>137</v>
      </c>
      <c r="C1874" t="s">
        <v>138</v>
      </c>
      <c r="D1874">
        <v>100</v>
      </c>
      <c r="E1874">
        <v>100</v>
      </c>
      <c r="F1874">
        <v>-130.48500000000001</v>
      </c>
      <c r="G1874">
        <v>16845.5</v>
      </c>
      <c r="H1874">
        <v>0</v>
      </c>
      <c r="I1874" s="309">
        <v>3797</v>
      </c>
      <c r="J1874">
        <v>37.97</v>
      </c>
      <c r="K1874" s="133">
        <v>6.9231014816367098E-3</v>
      </c>
      <c r="L1874" s="181">
        <v>92</v>
      </c>
      <c r="M1874" s="133">
        <v>0</v>
      </c>
    </row>
    <row r="1875" spans="1:31" x14ac:dyDescent="0.25">
      <c r="A1875" s="136">
        <v>43097</v>
      </c>
      <c r="B1875" s="201" t="s">
        <v>835</v>
      </c>
      <c r="C1875" t="s">
        <v>839</v>
      </c>
      <c r="I1875" s="309">
        <v>35538.61</v>
      </c>
      <c r="K1875" s="133">
        <v>6.4797841334292602E-2</v>
      </c>
      <c r="L1875" s="181">
        <v>0</v>
      </c>
      <c r="M1875" s="133">
        <v>6.5281929678610406E-2</v>
      </c>
    </row>
    <row r="1876" spans="1:31" x14ac:dyDescent="0.25">
      <c r="A1876" s="136">
        <v>43098</v>
      </c>
      <c r="B1876" s="201" t="s">
        <v>132</v>
      </c>
      <c r="C1876" t="s">
        <v>123</v>
      </c>
      <c r="D1876">
        <v>26553</v>
      </c>
      <c r="E1876">
        <v>26553</v>
      </c>
      <c r="F1876">
        <v>-9.2999999999999999E-2</v>
      </c>
      <c r="G1876">
        <v>2734.9589999999998</v>
      </c>
      <c r="H1876">
        <v>0</v>
      </c>
      <c r="I1876" s="309">
        <v>265.52999999999997</v>
      </c>
      <c r="J1876">
        <v>0.01</v>
      </c>
      <c r="K1876" s="133">
        <v>4.8155156774750302E-4</v>
      </c>
      <c r="L1876" s="181">
        <v>0.30899999999974198</v>
      </c>
      <c r="M1876" s="133">
        <v>0</v>
      </c>
    </row>
    <row r="1877" spans="1:31" x14ac:dyDescent="0.25">
      <c r="A1877" s="136">
        <v>43098</v>
      </c>
      <c r="B1877" s="201" t="s">
        <v>61</v>
      </c>
      <c r="C1877" t="s">
        <v>136</v>
      </c>
      <c r="D1877">
        <v>3500</v>
      </c>
      <c r="E1877">
        <v>3500</v>
      </c>
      <c r="F1877">
        <v>5.3070000000000004</v>
      </c>
      <c r="G1877">
        <v>-758.52</v>
      </c>
      <c r="H1877">
        <v>-4.09</v>
      </c>
      <c r="I1877" s="309">
        <v>17815</v>
      </c>
      <c r="J1877">
        <v>5.09</v>
      </c>
      <c r="K1877" s="133">
        <v>3.2308368845033603E-2</v>
      </c>
      <c r="L1877" s="181">
        <v>-70</v>
      </c>
      <c r="M1877" s="133">
        <v>3.3683981751928598E-2</v>
      </c>
      <c r="N1877" s="73">
        <v>-587.26800000000003</v>
      </c>
      <c r="O1877" s="73">
        <v>-114.19734747081699</v>
      </c>
      <c r="P1877" s="182">
        <v>6</v>
      </c>
      <c r="Q1877" s="182">
        <v>3000</v>
      </c>
      <c r="R1877" s="46">
        <v>5.31</v>
      </c>
      <c r="S1877" s="46">
        <v>0</v>
      </c>
      <c r="T1877" s="46">
        <v>0</v>
      </c>
      <c r="U1877" s="46">
        <v>0</v>
      </c>
      <c r="V1877" s="46" t="s">
        <v>62</v>
      </c>
      <c r="W1877" s="46">
        <v>3000</v>
      </c>
      <c r="X1877" s="46">
        <v>5.31</v>
      </c>
      <c r="Y1877" s="193">
        <v>5.1609999999999996</v>
      </c>
      <c r="Z1877" s="194">
        <v>5.069</v>
      </c>
      <c r="AA1877" s="194">
        <v>5.1369999999999996</v>
      </c>
      <c r="AB1877" s="46">
        <v>5.1100000000000003</v>
      </c>
      <c r="AC1877" s="46">
        <v>5.12</v>
      </c>
      <c r="AD1877" s="46">
        <v>5.08</v>
      </c>
      <c r="AE1877" s="46">
        <v>5.09</v>
      </c>
    </row>
    <row r="1878" spans="1:31" x14ac:dyDescent="0.25">
      <c r="A1878" s="136">
        <v>43098</v>
      </c>
      <c r="B1878" s="201" t="s">
        <v>124</v>
      </c>
      <c r="C1878" t="s">
        <v>125</v>
      </c>
      <c r="D1878">
        <v>100</v>
      </c>
      <c r="E1878">
        <v>100</v>
      </c>
      <c r="F1878">
        <v>-53.579000000000001</v>
      </c>
      <c r="G1878">
        <v>5976.9</v>
      </c>
      <c r="H1878">
        <v>0</v>
      </c>
      <c r="I1878" s="309">
        <v>619</v>
      </c>
      <c r="J1878">
        <v>6.19</v>
      </c>
      <c r="K1878" s="133">
        <v>1.12258660202502E-3</v>
      </c>
      <c r="L1878" s="181">
        <v>5</v>
      </c>
      <c r="M1878" s="133">
        <v>0</v>
      </c>
      <c r="Y1878" s="193">
        <v>6.2140000000000004</v>
      </c>
      <c r="Z1878" s="193">
        <v>5.1189999999999998</v>
      </c>
      <c r="AA1878" s="193">
        <v>5.8579999999999997</v>
      </c>
      <c r="AB1878" s="46">
        <v>6.13</v>
      </c>
      <c r="AC1878" s="46">
        <v>6.22</v>
      </c>
      <c r="AD1878" s="46">
        <v>6.12</v>
      </c>
      <c r="AE1878" s="46">
        <v>6.19</v>
      </c>
    </row>
    <row r="1879" spans="1:31" x14ac:dyDescent="0.25">
      <c r="A1879" s="136">
        <v>43098</v>
      </c>
      <c r="B1879" s="201" t="s">
        <v>71</v>
      </c>
      <c r="C1879" t="s">
        <v>126</v>
      </c>
      <c r="D1879">
        <v>2800</v>
      </c>
      <c r="E1879">
        <v>2800</v>
      </c>
      <c r="F1879">
        <v>5.9390000000000001</v>
      </c>
      <c r="G1879">
        <v>674.38</v>
      </c>
      <c r="H1879">
        <v>4.0599999999999996</v>
      </c>
      <c r="I1879" s="309">
        <v>17304</v>
      </c>
      <c r="J1879">
        <v>6.18</v>
      </c>
      <c r="K1879" s="133">
        <v>3.1381645495058202E-2</v>
      </c>
      <c r="L1879" s="181">
        <v>-56</v>
      </c>
      <c r="M1879" s="133">
        <v>3.01586245698988E-2</v>
      </c>
      <c r="N1879" s="73">
        <v>2864.0619999999999</v>
      </c>
      <c r="O1879" s="73">
        <v>228.52771916537799</v>
      </c>
      <c r="P1879" s="182">
        <v>2</v>
      </c>
      <c r="Q1879" s="182">
        <v>1000</v>
      </c>
      <c r="R1879" s="46">
        <v>6.45</v>
      </c>
      <c r="S1879" s="46">
        <v>2</v>
      </c>
      <c r="T1879" s="46">
        <v>900</v>
      </c>
      <c r="U1879" s="46">
        <v>6.3920000000000003</v>
      </c>
      <c r="V1879" s="46" t="s">
        <v>62</v>
      </c>
      <c r="W1879" s="46">
        <v>100</v>
      </c>
      <c r="X1879" s="46">
        <v>6.9720000000000004</v>
      </c>
      <c r="Y1879" s="194">
        <v>6.1529999999999996</v>
      </c>
      <c r="Z1879" s="194">
        <v>6.2679999999999998</v>
      </c>
      <c r="AA1879" s="194">
        <v>6.5019999999999998</v>
      </c>
      <c r="AB1879" s="46">
        <v>6.18</v>
      </c>
      <c r="AC1879" s="46">
        <v>6.2</v>
      </c>
      <c r="AD1879" s="46">
        <v>6.16</v>
      </c>
      <c r="AE1879" s="46">
        <v>6.18</v>
      </c>
    </row>
    <row r="1880" spans="1:31" x14ac:dyDescent="0.25">
      <c r="A1880" s="136">
        <v>43098</v>
      </c>
      <c r="B1880" s="201" t="s">
        <v>79</v>
      </c>
      <c r="C1880" t="s">
        <v>143</v>
      </c>
      <c r="D1880">
        <v>5100</v>
      </c>
      <c r="E1880">
        <v>5100</v>
      </c>
      <c r="F1880">
        <v>16.952999999999999</v>
      </c>
      <c r="G1880">
        <v>-8020.16</v>
      </c>
      <c r="H1880">
        <v>-9.2799999999999994</v>
      </c>
      <c r="I1880" s="309">
        <v>78438</v>
      </c>
      <c r="J1880">
        <v>15.38</v>
      </c>
      <c r="K1880" s="133">
        <v>0.14225112744691201</v>
      </c>
      <c r="L1880" s="181">
        <v>510</v>
      </c>
      <c r="M1880" s="133">
        <v>0.15679607762800599</v>
      </c>
      <c r="N1880" s="73">
        <v>-7409.7400000000198</v>
      </c>
      <c r="O1880" s="73">
        <v>-477.808718064517</v>
      </c>
      <c r="P1880" s="182">
        <v>9</v>
      </c>
      <c r="Q1880" s="182">
        <v>5000</v>
      </c>
      <c r="R1880" s="46">
        <v>16.971</v>
      </c>
      <c r="S1880" s="46">
        <v>0</v>
      </c>
      <c r="T1880" s="46">
        <v>0</v>
      </c>
      <c r="U1880" s="46">
        <v>0</v>
      </c>
      <c r="V1880" s="46" t="s">
        <v>62</v>
      </c>
      <c r="W1880" s="46">
        <v>5000</v>
      </c>
      <c r="X1880" s="46">
        <v>16.971</v>
      </c>
      <c r="Y1880" s="194">
        <v>15.138999999999999</v>
      </c>
      <c r="Z1880" s="194">
        <v>15.57</v>
      </c>
      <c r="AA1880" s="194">
        <v>15.497999999999999</v>
      </c>
      <c r="AB1880" s="46">
        <v>15.32</v>
      </c>
      <c r="AC1880" s="46">
        <v>15.49</v>
      </c>
      <c r="AD1880" s="46">
        <v>15.32</v>
      </c>
      <c r="AE1880" s="46">
        <v>15.38</v>
      </c>
    </row>
    <row r="1881" spans="1:31" x14ac:dyDescent="0.25">
      <c r="A1881" s="136">
        <v>43098</v>
      </c>
      <c r="B1881" s="201" t="s">
        <v>65</v>
      </c>
      <c r="C1881" t="s">
        <v>127</v>
      </c>
      <c r="D1881">
        <v>12400</v>
      </c>
      <c r="E1881">
        <v>12400</v>
      </c>
      <c r="F1881">
        <v>10.353999999999999</v>
      </c>
      <c r="G1881">
        <v>9501.18</v>
      </c>
      <c r="H1881">
        <v>7.4</v>
      </c>
      <c r="I1881" s="309">
        <v>137888</v>
      </c>
      <c r="J1881">
        <v>11.12</v>
      </c>
      <c r="K1881" s="133">
        <v>0.25006659350569699</v>
      </c>
      <c r="L1881" s="181">
        <v>1534.54</v>
      </c>
      <c r="M1881" s="133">
        <v>0.232835741532469</v>
      </c>
      <c r="N1881" s="73">
        <v>5466.7529999999897</v>
      </c>
      <c r="O1881" s="73">
        <v>874.634860570005</v>
      </c>
      <c r="P1881" s="182">
        <v>2</v>
      </c>
      <c r="Q1881" s="182">
        <v>1000</v>
      </c>
      <c r="R1881" s="46">
        <v>10.635</v>
      </c>
      <c r="S1881" s="46">
        <v>13</v>
      </c>
      <c r="T1881" s="46">
        <v>5600</v>
      </c>
      <c r="U1881" s="46">
        <v>12.551</v>
      </c>
      <c r="V1881" s="46" t="s">
        <v>68</v>
      </c>
      <c r="W1881" s="46">
        <v>4600</v>
      </c>
      <c r="X1881" s="46">
        <v>12.968</v>
      </c>
      <c r="Y1881" s="194">
        <v>11.023999999999999</v>
      </c>
      <c r="Z1881" s="194">
        <v>11.343</v>
      </c>
      <c r="AA1881" s="194">
        <v>11.613</v>
      </c>
      <c r="AB1881" s="46">
        <v>11.01</v>
      </c>
      <c r="AC1881" s="46">
        <v>11.17</v>
      </c>
      <c r="AD1881" s="46">
        <v>10.93</v>
      </c>
      <c r="AE1881" s="46">
        <v>11.12</v>
      </c>
    </row>
    <row r="1882" spans="1:31" x14ac:dyDescent="0.25">
      <c r="A1882" s="136">
        <v>43098</v>
      </c>
      <c r="B1882" s="201" t="s">
        <v>77</v>
      </c>
      <c r="C1882" t="s">
        <v>128</v>
      </c>
      <c r="D1882">
        <v>5000</v>
      </c>
      <c r="E1882">
        <v>5000</v>
      </c>
      <c r="F1882">
        <v>5.9980000000000002</v>
      </c>
      <c r="G1882">
        <v>-1138.06</v>
      </c>
      <c r="H1882">
        <v>-3.8</v>
      </c>
      <c r="I1882" s="309">
        <v>28850</v>
      </c>
      <c r="J1882">
        <v>5.77</v>
      </c>
      <c r="K1882" s="133">
        <v>5.2320877978064499E-2</v>
      </c>
      <c r="L1882" s="181">
        <v>50</v>
      </c>
      <c r="M1882" s="133">
        <v>5.43848051320234E-2</v>
      </c>
      <c r="N1882" s="73">
        <v>-1493.0060000000001</v>
      </c>
      <c r="O1882" s="73">
        <v>-171.122327068966</v>
      </c>
      <c r="P1882" s="182">
        <v>8</v>
      </c>
      <c r="Q1882" s="182">
        <v>4000</v>
      </c>
      <c r="R1882" s="46">
        <v>6.6230000000000002</v>
      </c>
      <c r="S1882" s="46">
        <v>0</v>
      </c>
      <c r="T1882" s="46">
        <v>0</v>
      </c>
      <c r="U1882" s="46">
        <v>0</v>
      </c>
      <c r="V1882" s="46" t="s">
        <v>62</v>
      </c>
      <c r="W1882" s="46">
        <v>4000</v>
      </c>
      <c r="X1882" s="46">
        <v>6.6230000000000002</v>
      </c>
      <c r="Y1882" s="193">
        <v>6.0490000000000004</v>
      </c>
      <c r="Z1882" s="194">
        <v>5.9710000000000001</v>
      </c>
      <c r="AA1882" s="194">
        <v>6.4390000000000001</v>
      </c>
      <c r="AB1882" s="46">
        <v>5.75</v>
      </c>
      <c r="AC1882" s="46">
        <v>5.78</v>
      </c>
      <c r="AD1882" s="46">
        <v>5.72</v>
      </c>
      <c r="AE1882" s="46">
        <v>5.77</v>
      </c>
    </row>
    <row r="1883" spans="1:31" x14ac:dyDescent="0.25">
      <c r="A1883" s="136">
        <v>43098</v>
      </c>
      <c r="B1883" s="201" t="s">
        <v>67</v>
      </c>
      <c r="C1883" t="s">
        <v>129</v>
      </c>
      <c r="D1883">
        <v>9250</v>
      </c>
      <c r="E1883">
        <v>9250</v>
      </c>
      <c r="F1883">
        <v>8.6850000000000005</v>
      </c>
      <c r="G1883">
        <v>-1526.45</v>
      </c>
      <c r="H1883">
        <v>-1.9</v>
      </c>
      <c r="I1883" s="309">
        <v>78810</v>
      </c>
      <c r="J1883">
        <v>8.52</v>
      </c>
      <c r="K1883" s="133">
        <v>0.14292576753730499</v>
      </c>
      <c r="L1883" s="181">
        <v>92.5</v>
      </c>
      <c r="M1883" s="133">
        <v>0.14569405884370501</v>
      </c>
      <c r="N1883" s="73">
        <v>43217.754999999997</v>
      </c>
      <c r="O1883" s="73">
        <v>-124.348879638303</v>
      </c>
      <c r="P1883" s="182">
        <v>6</v>
      </c>
      <c r="Q1883" s="182">
        <v>3000</v>
      </c>
      <c r="R1883" s="46">
        <v>6.1079999999999997</v>
      </c>
      <c r="S1883" s="46">
        <v>1</v>
      </c>
      <c r="T1883" s="46">
        <v>400</v>
      </c>
      <c r="U1883" s="46">
        <v>8.57</v>
      </c>
      <c r="V1883" s="46" t="s">
        <v>62</v>
      </c>
      <c r="W1883" s="46">
        <v>2600</v>
      </c>
      <c r="X1883" s="46">
        <v>5.7290000000000001</v>
      </c>
      <c r="Y1883" s="193">
        <v>8.9179999999999993</v>
      </c>
      <c r="Z1883" s="194">
        <v>7.2210000000000001</v>
      </c>
      <c r="AA1883" s="194">
        <v>8.6910000000000007</v>
      </c>
      <c r="AB1883" s="46">
        <v>8.4499999999999993</v>
      </c>
      <c r="AC1883" s="46">
        <v>8.58</v>
      </c>
      <c r="AD1883" s="46">
        <v>8.4</v>
      </c>
      <c r="AE1883" s="46">
        <v>8.52</v>
      </c>
    </row>
    <row r="1884" spans="1:31" x14ac:dyDescent="0.25">
      <c r="A1884" s="136">
        <v>43098</v>
      </c>
      <c r="B1884" s="201" t="s">
        <v>78</v>
      </c>
      <c r="C1884" t="s">
        <v>142</v>
      </c>
      <c r="D1884">
        <v>2100</v>
      </c>
      <c r="E1884">
        <v>2100</v>
      </c>
      <c r="F1884">
        <v>10.148999999999999</v>
      </c>
      <c r="G1884">
        <v>-670.7</v>
      </c>
      <c r="H1884">
        <v>-3.14</v>
      </c>
      <c r="I1884" s="309">
        <v>20643</v>
      </c>
      <c r="J1884">
        <v>9.83</v>
      </c>
      <c r="K1884" s="133">
        <v>3.7437084370925001E-2</v>
      </c>
      <c r="L1884" s="181">
        <v>84</v>
      </c>
      <c r="M1884" s="133">
        <v>3.8653431437125602E-2</v>
      </c>
      <c r="N1884" s="73">
        <v>-817.69600000000003</v>
      </c>
      <c r="O1884" s="73">
        <v>-83.738437704917999</v>
      </c>
      <c r="P1884" s="182">
        <v>4</v>
      </c>
      <c r="Q1884" s="182">
        <v>2000</v>
      </c>
      <c r="R1884" s="46">
        <v>10.098000000000001</v>
      </c>
      <c r="S1884" s="46">
        <v>0</v>
      </c>
      <c r="T1884" s="46">
        <v>0</v>
      </c>
      <c r="U1884" s="46">
        <v>0</v>
      </c>
      <c r="V1884" s="46" t="s">
        <v>62</v>
      </c>
      <c r="W1884" s="46">
        <v>2000</v>
      </c>
      <c r="X1884" s="46">
        <v>10.098000000000001</v>
      </c>
      <c r="Y1884" s="194">
        <v>9.0500000000000007</v>
      </c>
      <c r="Z1884" s="194">
        <v>10.922000000000001</v>
      </c>
      <c r="AA1884" s="194">
        <v>10.959</v>
      </c>
      <c r="AB1884" s="46">
        <v>9.7899999999999991</v>
      </c>
      <c r="AC1884" s="46">
        <v>9.8800000000000008</v>
      </c>
      <c r="AD1884" s="46">
        <v>9.7100000000000009</v>
      </c>
      <c r="AE1884" s="46">
        <v>9.83</v>
      </c>
    </row>
    <row r="1885" spans="1:31" x14ac:dyDescent="0.25">
      <c r="A1885" s="136">
        <v>43098</v>
      </c>
      <c r="B1885" s="201" t="s">
        <v>72</v>
      </c>
      <c r="C1885" t="s">
        <v>130</v>
      </c>
      <c r="D1885">
        <v>1700</v>
      </c>
      <c r="E1885">
        <v>1700</v>
      </c>
      <c r="F1885">
        <v>7.17</v>
      </c>
      <c r="G1885">
        <v>17.18</v>
      </c>
      <c r="H1885">
        <v>0.14000000000000001</v>
      </c>
      <c r="I1885" s="309">
        <v>12206</v>
      </c>
      <c r="J1885">
        <v>7.18</v>
      </c>
      <c r="K1885" s="133">
        <v>2.2136174578864999E-2</v>
      </c>
      <c r="L1885" s="181">
        <v>17</v>
      </c>
      <c r="M1885" s="133">
        <v>2.2105017813400098E-2</v>
      </c>
      <c r="N1885" s="73">
        <v>-153.543999999992</v>
      </c>
      <c r="O1885" s="73">
        <v>9.4496417475757397</v>
      </c>
      <c r="P1885" s="182">
        <v>0</v>
      </c>
      <c r="Q1885" s="182">
        <v>0</v>
      </c>
      <c r="R1885" s="46">
        <v>0</v>
      </c>
      <c r="S1885" s="46">
        <v>13</v>
      </c>
      <c r="T1885" s="46">
        <v>5400</v>
      </c>
      <c r="U1885" s="46">
        <v>8.1059999999999999</v>
      </c>
      <c r="V1885" s="46" t="s">
        <v>68</v>
      </c>
      <c r="W1885" s="46">
        <v>5400</v>
      </c>
      <c r="X1885" s="46">
        <v>8.1059999999999999</v>
      </c>
      <c r="Y1885" s="194">
        <v>7.1319999999999997</v>
      </c>
      <c r="Z1885" s="194">
        <v>6.9539999999999997</v>
      </c>
      <c r="AA1885" s="194">
        <v>7.0750000000000002</v>
      </c>
      <c r="AB1885" s="46">
        <v>7.13</v>
      </c>
      <c r="AC1885" s="46">
        <v>7.31</v>
      </c>
      <c r="AD1885" s="46">
        <v>7.13</v>
      </c>
      <c r="AE1885" s="46">
        <v>7.18</v>
      </c>
    </row>
    <row r="1886" spans="1:31" x14ac:dyDescent="0.25">
      <c r="A1886" s="136">
        <v>43098</v>
      </c>
      <c r="B1886" s="201" t="s">
        <v>70</v>
      </c>
      <c r="C1886" t="s">
        <v>131</v>
      </c>
      <c r="D1886">
        <v>10000</v>
      </c>
      <c r="E1886">
        <v>10000</v>
      </c>
      <c r="F1886">
        <v>12.266</v>
      </c>
      <c r="G1886">
        <v>-11864.21</v>
      </c>
      <c r="H1886">
        <v>-9.67</v>
      </c>
      <c r="I1886" s="309">
        <v>110800</v>
      </c>
      <c r="J1886">
        <v>11.08</v>
      </c>
      <c r="K1886" s="133">
        <v>0.20094118821384899</v>
      </c>
      <c r="L1886" s="181">
        <v>800</v>
      </c>
      <c r="M1886" s="133">
        <v>0.22245751000643599</v>
      </c>
      <c r="N1886" s="73">
        <v>-11963.194</v>
      </c>
      <c r="O1886" s="73">
        <v>-1080.1456551942199</v>
      </c>
      <c r="P1886" s="182">
        <v>1</v>
      </c>
      <c r="Q1886" s="182">
        <v>500</v>
      </c>
      <c r="R1886" s="46">
        <v>10.88</v>
      </c>
      <c r="S1886" s="46">
        <v>5</v>
      </c>
      <c r="T1886" s="46">
        <v>2000</v>
      </c>
      <c r="U1886" s="46">
        <v>13.087999999999999</v>
      </c>
      <c r="V1886" s="46" t="s">
        <v>68</v>
      </c>
      <c r="W1886" s="46">
        <v>1500</v>
      </c>
      <c r="X1886" s="46">
        <v>13.824</v>
      </c>
      <c r="Y1886" s="194">
        <v>10.978</v>
      </c>
      <c r="Z1886" s="194">
        <v>12.316000000000001</v>
      </c>
      <c r="AA1886" s="194">
        <v>12.214</v>
      </c>
      <c r="AB1886" s="46">
        <v>11.02</v>
      </c>
      <c r="AC1886" s="46">
        <v>11.18</v>
      </c>
      <c r="AD1886" s="46">
        <v>11.01</v>
      </c>
      <c r="AE1886" s="46">
        <v>11.08</v>
      </c>
    </row>
    <row r="1887" spans="1:31" x14ac:dyDescent="0.25">
      <c r="A1887" s="136">
        <v>43098</v>
      </c>
      <c r="B1887" s="201" t="s">
        <v>146</v>
      </c>
      <c r="C1887" t="s">
        <v>147</v>
      </c>
      <c r="D1887">
        <v>40</v>
      </c>
      <c r="E1887">
        <v>40</v>
      </c>
      <c r="F1887">
        <v>100</v>
      </c>
      <c r="G1887">
        <v>0</v>
      </c>
      <c r="H1887">
        <v>0</v>
      </c>
      <c r="I1887" s="309">
        <v>4000</v>
      </c>
      <c r="J1887">
        <v>0</v>
      </c>
      <c r="K1887" s="133">
        <v>7.2541945203555601E-3</v>
      </c>
      <c r="L1887" s="181">
        <v>0</v>
      </c>
      <c r="M1887" s="133">
        <v>7.2541945203555601E-3</v>
      </c>
    </row>
    <row r="1888" spans="1:31" x14ac:dyDescent="0.25">
      <c r="A1888" s="136">
        <v>43098</v>
      </c>
      <c r="B1888" s="201" t="s">
        <v>137</v>
      </c>
      <c r="C1888" t="s">
        <v>138</v>
      </c>
      <c r="D1888">
        <v>100</v>
      </c>
      <c r="E1888">
        <v>100</v>
      </c>
      <c r="F1888">
        <v>-130.48500000000001</v>
      </c>
      <c r="G1888">
        <v>16831.5</v>
      </c>
      <c r="H1888">
        <v>0</v>
      </c>
      <c r="I1888" s="309">
        <v>3783</v>
      </c>
      <c r="J1888">
        <v>37.83</v>
      </c>
      <c r="K1888" s="133">
        <v>6.8606544676262701E-3</v>
      </c>
      <c r="L1888" s="181">
        <v>-14</v>
      </c>
      <c r="M1888" s="133">
        <v>0</v>
      </c>
    </row>
    <row r="1889" spans="1:64" x14ac:dyDescent="0.25">
      <c r="A1889" s="136">
        <v>43098</v>
      </c>
      <c r="B1889" s="201" t="s">
        <v>133</v>
      </c>
      <c r="C1889" t="s">
        <v>134</v>
      </c>
      <c r="D1889">
        <v>39000</v>
      </c>
      <c r="E1889">
        <v>0</v>
      </c>
      <c r="F1889">
        <v>1</v>
      </c>
      <c r="G1889">
        <v>-1.56</v>
      </c>
      <c r="H1889">
        <v>0</v>
      </c>
      <c r="I1889" s="309">
        <v>39000</v>
      </c>
      <c r="J1889">
        <v>1</v>
      </c>
      <c r="K1889" s="133">
        <v>7.0728396573466704E-2</v>
      </c>
      <c r="L1889" s="181">
        <v>-22.66</v>
      </c>
      <c r="M1889" s="133">
        <v>0</v>
      </c>
    </row>
    <row r="1890" spans="1:64" x14ac:dyDescent="0.25">
      <c r="A1890" s="136">
        <v>43098</v>
      </c>
      <c r="B1890" s="201" t="s">
        <v>835</v>
      </c>
      <c r="C1890" t="s">
        <v>839</v>
      </c>
      <c r="I1890" s="309">
        <v>983.59</v>
      </c>
      <c r="K1890" s="133">
        <v>1.7837882970691301E-3</v>
      </c>
      <c r="L1890" s="181">
        <v>0</v>
      </c>
      <c r="M1890" s="133">
        <v>7.2993736438283302E-2</v>
      </c>
      <c r="P1890" s="182">
        <f>COLUMN()</f>
        <v>16</v>
      </c>
      <c r="Q1890" s="182">
        <f>COLUMN()</f>
        <v>17</v>
      </c>
      <c r="R1890" s="46">
        <f>COLUMN()</f>
        <v>18</v>
      </c>
      <c r="S1890" s="46">
        <f>COLUMN()</f>
        <v>19</v>
      </c>
      <c r="T1890" s="46">
        <f>COLUMN()</f>
        <v>20</v>
      </c>
      <c r="U1890" s="46">
        <f>COLUMN()</f>
        <v>21</v>
      </c>
      <c r="V1890" s="46">
        <f>COLUMN()</f>
        <v>22</v>
      </c>
      <c r="W1890" s="46">
        <f>COLUMN()</f>
        <v>23</v>
      </c>
      <c r="X1890" s="46">
        <f>COLUMN()</f>
        <v>24</v>
      </c>
      <c r="Y1890" s="46">
        <f>COLUMN()</f>
        <v>25</v>
      </c>
      <c r="Z1890" s="46">
        <f>COLUMN()</f>
        <v>26</v>
      </c>
      <c r="AA1890" s="46">
        <f>COLUMN()</f>
        <v>27</v>
      </c>
      <c r="AB1890" s="46">
        <f>COLUMN()</f>
        <v>28</v>
      </c>
      <c r="AC1890" s="46">
        <f>COLUMN()</f>
        <v>29</v>
      </c>
      <c r="AD1890" s="46">
        <f>COLUMN()</f>
        <v>30</v>
      </c>
      <c r="AE1890" s="46">
        <f>COLUMN()</f>
        <v>31</v>
      </c>
      <c r="AF1890" s="46">
        <f>COLUMN()</f>
        <v>32</v>
      </c>
      <c r="AG1890" s="46">
        <f>COLUMN()</f>
        <v>33</v>
      </c>
      <c r="AH1890" s="46">
        <f>COLUMN()</f>
        <v>34</v>
      </c>
      <c r="AI1890" s="46">
        <f>COLUMN()</f>
        <v>35</v>
      </c>
      <c r="AJ1890" s="46">
        <f>COLUMN()</f>
        <v>36</v>
      </c>
      <c r="AK1890" s="46">
        <f>COLUMN()</f>
        <v>37</v>
      </c>
      <c r="AL1890" s="46">
        <f>COLUMN()</f>
        <v>38</v>
      </c>
      <c r="AM1890" s="46">
        <f>COLUMN()</f>
        <v>39</v>
      </c>
      <c r="AN1890" s="46">
        <f>COLUMN()</f>
        <v>40</v>
      </c>
      <c r="AO1890" s="46">
        <f>COLUMN()</f>
        <v>41</v>
      </c>
      <c r="AP1890" s="46">
        <f>COLUMN()</f>
        <v>42</v>
      </c>
      <c r="AQ1890" s="46">
        <f>COLUMN()</f>
        <v>43</v>
      </c>
      <c r="AR1890" s="46">
        <f>COLUMN()</f>
        <v>44</v>
      </c>
      <c r="AS1890" s="46">
        <f>COLUMN()</f>
        <v>45</v>
      </c>
      <c r="AT1890" s="46">
        <f>COLUMN()</f>
        <v>46</v>
      </c>
      <c r="AU1890" s="46">
        <f>COLUMN()</f>
        <v>47</v>
      </c>
      <c r="AV1890" s="46">
        <f>COLUMN()</f>
        <v>48</v>
      </c>
      <c r="AW1890" s="46">
        <f>COLUMN()</f>
        <v>49</v>
      </c>
      <c r="AX1890" s="46">
        <f>COLUMN()</f>
        <v>50</v>
      </c>
      <c r="AY1890" s="46">
        <f>COLUMN()</f>
        <v>51</v>
      </c>
      <c r="AZ1890" s="46">
        <f>COLUMN()</f>
        <v>52</v>
      </c>
      <c r="BA1890" s="46">
        <f>COLUMN()</f>
        <v>53</v>
      </c>
      <c r="BB1890" s="46">
        <f>COLUMN()</f>
        <v>54</v>
      </c>
      <c r="BC1890" s="46">
        <f>COLUMN()</f>
        <v>55</v>
      </c>
      <c r="BD1890" s="46">
        <f>COLUMN()</f>
        <v>56</v>
      </c>
      <c r="BE1890" s="46">
        <f>COLUMN()</f>
        <v>57</v>
      </c>
      <c r="BF1890" s="46">
        <f>COLUMN()</f>
        <v>58</v>
      </c>
      <c r="BG1890" s="46">
        <f>COLUMN()</f>
        <v>59</v>
      </c>
      <c r="BH1890" s="46">
        <f>COLUMN()</f>
        <v>60</v>
      </c>
      <c r="BI1890" s="46">
        <f>COLUMN()</f>
        <v>61</v>
      </c>
      <c r="BJ1890" s="46">
        <f>COLUMN()</f>
        <v>62</v>
      </c>
      <c r="BK1890" s="46">
        <f>COLUMN()</f>
        <v>63</v>
      </c>
      <c r="BL1890" s="46">
        <f>COLUMN()</f>
        <v>64</v>
      </c>
    </row>
    <row r="1891" spans="1:64" x14ac:dyDescent="0.25">
      <c r="A1891" s="136">
        <v>43102</v>
      </c>
      <c r="B1891" s="201" t="s">
        <v>132</v>
      </c>
      <c r="C1891" t="s">
        <v>123</v>
      </c>
      <c r="D1891">
        <v>26556</v>
      </c>
      <c r="E1891">
        <v>26556</v>
      </c>
      <c r="F1891">
        <v>-9.2999999999999999E-2</v>
      </c>
      <c r="G1891">
        <v>2735.268</v>
      </c>
      <c r="H1891">
        <v>0</v>
      </c>
      <c r="I1891" s="309">
        <v>265.56</v>
      </c>
      <c r="J1891">
        <v>0.01</v>
      </c>
      <c r="K1891" s="133">
        <v>4.7489561675959497E-4</v>
      </c>
      <c r="L1891" s="181">
        <v>0.30900000000019601</v>
      </c>
      <c r="M1891" s="133">
        <v>0</v>
      </c>
    </row>
    <row r="1892" spans="1:64" x14ac:dyDescent="0.25">
      <c r="A1892" s="136">
        <v>43102</v>
      </c>
      <c r="B1892" s="201" t="s">
        <v>61</v>
      </c>
      <c r="C1892" t="s">
        <v>136</v>
      </c>
      <c r="D1892">
        <v>3500</v>
      </c>
      <c r="E1892">
        <v>3500</v>
      </c>
      <c r="F1892">
        <v>5.3070000000000004</v>
      </c>
      <c r="G1892">
        <v>-478.52</v>
      </c>
      <c r="H1892">
        <v>-2.58</v>
      </c>
      <c r="I1892" s="309">
        <v>18095</v>
      </c>
      <c r="J1892">
        <v>5.17</v>
      </c>
      <c r="K1892" s="133">
        <v>3.2358925234466297E-2</v>
      </c>
      <c r="L1892" s="181">
        <v>280</v>
      </c>
      <c r="M1892" s="133">
        <v>3.3214652943954898E-2</v>
      </c>
      <c r="N1892" s="73">
        <v>-587.26800000000003</v>
      </c>
      <c r="O1892" s="73">
        <v>-114.19734747081699</v>
      </c>
      <c r="P1892" s="182">
        <v>6</v>
      </c>
      <c r="Q1892" s="182">
        <v>3000</v>
      </c>
      <c r="R1892" s="46">
        <v>5.31</v>
      </c>
      <c r="S1892" s="46">
        <v>0</v>
      </c>
      <c r="T1892" s="46">
        <v>0</v>
      </c>
      <c r="U1892" s="46">
        <v>0</v>
      </c>
      <c r="V1892" s="46" t="s">
        <v>62</v>
      </c>
      <c r="W1892" s="46">
        <v>3000</v>
      </c>
      <c r="X1892" s="46">
        <v>5.31</v>
      </c>
      <c r="Y1892" s="193">
        <v>5.1740000000000004</v>
      </c>
      <c r="Z1892" s="194">
        <v>5.0540000000000003</v>
      </c>
      <c r="AA1892" s="194">
        <v>5.1379999999999999</v>
      </c>
      <c r="AB1892" s="46">
        <v>5.12</v>
      </c>
      <c r="AC1892" s="46">
        <v>5.18</v>
      </c>
      <c r="AD1892" s="46">
        <v>5.12</v>
      </c>
      <c r="AE1892" s="46">
        <v>5.17</v>
      </c>
      <c r="AF1892" s="46">
        <v>5</v>
      </c>
      <c r="AG1892" s="46">
        <v>2500</v>
      </c>
      <c r="AH1892" s="46">
        <v>13346.5</v>
      </c>
      <c r="AI1892" s="46">
        <v>5.3390000000000004</v>
      </c>
      <c r="AJ1892" s="46">
        <v>5</v>
      </c>
      <c r="AK1892" s="46">
        <v>2000</v>
      </c>
      <c r="AL1892" s="46">
        <v>10731.031999999999</v>
      </c>
      <c r="AM1892" s="46">
        <v>5.3659999999999997</v>
      </c>
      <c r="AN1892" s="46" t="s">
        <v>63</v>
      </c>
      <c r="AO1892" s="46">
        <v>500</v>
      </c>
      <c r="AP1892" s="46">
        <v>2615.4679999999998</v>
      </c>
      <c r="AQ1892" s="46">
        <v>5.2309999999999999</v>
      </c>
      <c r="AR1892" s="46">
        <v>54</v>
      </c>
      <c r="AS1892" s="46">
        <v>11</v>
      </c>
      <c r="AT1892" s="46">
        <v>5500</v>
      </c>
      <c r="AU1892" s="46">
        <v>29308.3</v>
      </c>
      <c r="AV1892" s="46">
        <v>5.3289999999999997</v>
      </c>
      <c r="AW1892" s="46">
        <v>5</v>
      </c>
      <c r="AX1892" s="46">
        <v>2000</v>
      </c>
      <c r="AY1892" s="46">
        <v>10731.031999999999</v>
      </c>
      <c r="AZ1892" s="46">
        <v>5.3659999999999997</v>
      </c>
      <c r="BA1892" s="46" t="s">
        <v>63</v>
      </c>
      <c r="BB1892" s="46">
        <v>3500</v>
      </c>
      <c r="BC1892" s="46">
        <v>18577.268</v>
      </c>
      <c r="BD1892" s="46">
        <v>5.3079999999999998</v>
      </c>
      <c r="BE1892" s="46">
        <v>74</v>
      </c>
      <c r="BF1892" s="46">
        <v>15961.8</v>
      </c>
      <c r="BG1892" s="46">
        <v>5.32</v>
      </c>
      <c r="BH1892" s="46">
        <v>0</v>
      </c>
      <c r="BJ1892">
        <v>15961.8</v>
      </c>
      <c r="BK1892">
        <v>5.32</v>
      </c>
      <c r="BL1892">
        <v>10.44</v>
      </c>
    </row>
    <row r="1893" spans="1:64" x14ac:dyDescent="0.25">
      <c r="A1893" s="136">
        <v>43102</v>
      </c>
      <c r="B1893" s="201" t="s">
        <v>124</v>
      </c>
      <c r="C1893" t="s">
        <v>125</v>
      </c>
      <c r="D1893">
        <v>100</v>
      </c>
      <c r="E1893">
        <v>100</v>
      </c>
      <c r="F1893">
        <v>-53.579000000000001</v>
      </c>
      <c r="G1893">
        <v>5975.9</v>
      </c>
      <c r="H1893">
        <v>0</v>
      </c>
      <c r="I1893" s="309">
        <v>618</v>
      </c>
      <c r="J1893">
        <v>6.18</v>
      </c>
      <c r="K1893" s="133">
        <v>1.1051569933628201E-3</v>
      </c>
      <c r="L1893" s="181">
        <v>-1</v>
      </c>
      <c r="M1893" s="133">
        <v>0</v>
      </c>
      <c r="Y1893" s="194">
        <v>6.2460000000000004</v>
      </c>
      <c r="Z1893" s="193">
        <v>4.9939999999999998</v>
      </c>
      <c r="AA1893" s="193">
        <v>5.8689999999999998</v>
      </c>
      <c r="AB1893" s="46">
        <v>6.19</v>
      </c>
      <c r="AC1893" s="46">
        <v>6.39</v>
      </c>
      <c r="AD1893" s="46">
        <v>6.11</v>
      </c>
      <c r="AE1893" s="46">
        <v>6.18</v>
      </c>
    </row>
    <row r="1894" spans="1:64" x14ac:dyDescent="0.25">
      <c r="A1894" s="136">
        <v>43102</v>
      </c>
      <c r="B1894" s="201" t="s">
        <v>71</v>
      </c>
      <c r="C1894" t="s">
        <v>126</v>
      </c>
      <c r="D1894">
        <v>2800</v>
      </c>
      <c r="E1894">
        <v>2800</v>
      </c>
      <c r="F1894">
        <v>5.9390000000000001</v>
      </c>
      <c r="G1894">
        <v>1066.3800000000001</v>
      </c>
      <c r="H1894">
        <v>6.42</v>
      </c>
      <c r="I1894" s="309">
        <v>17696</v>
      </c>
      <c r="J1894">
        <v>6.32</v>
      </c>
      <c r="K1894" s="133">
        <v>3.16454015445767E-2</v>
      </c>
      <c r="L1894" s="181">
        <v>392</v>
      </c>
      <c r="M1894" s="133">
        <v>2.97384155986508E-2</v>
      </c>
      <c r="N1894" s="73">
        <v>2864.0619999999999</v>
      </c>
      <c r="O1894" s="73">
        <v>228.52771916537799</v>
      </c>
      <c r="P1894" s="182">
        <v>2</v>
      </c>
      <c r="Q1894" s="182">
        <v>1000</v>
      </c>
      <c r="R1894" s="46">
        <v>6.45</v>
      </c>
      <c r="S1894" s="46">
        <v>2</v>
      </c>
      <c r="T1894" s="46">
        <v>900</v>
      </c>
      <c r="U1894" s="46">
        <v>6.3920000000000003</v>
      </c>
      <c r="V1894" s="46" t="s">
        <v>62</v>
      </c>
      <c r="W1894" s="46">
        <v>100</v>
      </c>
      <c r="X1894" s="46">
        <v>6.9720000000000004</v>
      </c>
      <c r="Y1894" s="193">
        <v>6.3109999999999999</v>
      </c>
      <c r="Z1894" s="194">
        <v>6.266</v>
      </c>
      <c r="AA1894" s="194">
        <v>6.5</v>
      </c>
      <c r="AB1894" s="46">
        <v>6.2</v>
      </c>
      <c r="AC1894" s="46">
        <v>6.34</v>
      </c>
      <c r="AD1894" s="46">
        <v>6.18</v>
      </c>
      <c r="AE1894" s="46">
        <v>6.32</v>
      </c>
      <c r="AF1894" s="46">
        <v>39</v>
      </c>
      <c r="AG1894" s="46">
        <v>19600</v>
      </c>
      <c r="AH1894" s="46">
        <v>124862.76</v>
      </c>
      <c r="AI1894" s="46">
        <v>6.3710000000000004</v>
      </c>
      <c r="AJ1894" s="46">
        <v>37</v>
      </c>
      <c r="AK1894" s="46">
        <v>16900</v>
      </c>
      <c r="AL1894" s="46">
        <v>108788.76700000001</v>
      </c>
      <c r="AM1894" s="46">
        <v>6.4370000000000003</v>
      </c>
      <c r="AN1894" s="46" t="s">
        <v>63</v>
      </c>
      <c r="AO1894" s="46">
        <v>2700</v>
      </c>
      <c r="AP1894" s="46">
        <v>16073.993</v>
      </c>
      <c r="AQ1894" s="46">
        <v>5.9530000000000003</v>
      </c>
      <c r="AR1894" s="46">
        <v>1115.4000000000001</v>
      </c>
      <c r="AS1894" s="46">
        <v>41</v>
      </c>
      <c r="AT1894" s="46">
        <v>20600</v>
      </c>
      <c r="AU1894" s="46">
        <v>131323.35999999999</v>
      </c>
      <c r="AV1894" s="46">
        <v>6.375</v>
      </c>
      <c r="AW1894" s="46">
        <v>39</v>
      </c>
      <c r="AX1894" s="46">
        <v>17800</v>
      </c>
      <c r="AY1894" s="46">
        <v>114525.474</v>
      </c>
      <c r="AZ1894" s="46">
        <v>6.4340000000000002</v>
      </c>
      <c r="BA1894" s="46" t="s">
        <v>63</v>
      </c>
      <c r="BB1894" s="46">
        <v>2800</v>
      </c>
      <c r="BC1894" s="46">
        <v>16797.885999999999</v>
      </c>
      <c r="BD1894" s="46">
        <v>5.9989999999999997</v>
      </c>
      <c r="BE1894" s="46">
        <v>1050.2</v>
      </c>
      <c r="BF1894" s="46">
        <v>6460.6000000000204</v>
      </c>
      <c r="BG1894" s="46">
        <v>6.46</v>
      </c>
      <c r="BH1894" s="46">
        <v>5736.7069999999903</v>
      </c>
      <c r="BI1894">
        <v>6.37</v>
      </c>
      <c r="BJ1894">
        <v>723.89299999999798</v>
      </c>
      <c r="BK1894">
        <v>7.24</v>
      </c>
      <c r="BL1894">
        <v>176.49</v>
      </c>
    </row>
    <row r="1895" spans="1:64" x14ac:dyDescent="0.25">
      <c r="A1895" s="136">
        <v>43102</v>
      </c>
      <c r="B1895" s="201" t="s">
        <v>79</v>
      </c>
      <c r="C1895" t="s">
        <v>143</v>
      </c>
      <c r="D1895">
        <v>5100</v>
      </c>
      <c r="E1895">
        <v>5100</v>
      </c>
      <c r="F1895">
        <v>16.952999999999999</v>
      </c>
      <c r="G1895">
        <v>-7408.16</v>
      </c>
      <c r="H1895">
        <v>-8.57</v>
      </c>
      <c r="I1895" s="309">
        <v>79050</v>
      </c>
      <c r="J1895">
        <v>15.5</v>
      </c>
      <c r="K1895" s="133">
        <v>0.14136352803451599</v>
      </c>
      <c r="L1895" s="181">
        <v>612</v>
      </c>
      <c r="M1895" s="133">
        <v>0.15461139184026099</v>
      </c>
      <c r="N1895" s="73">
        <v>-7409.7400000000198</v>
      </c>
      <c r="O1895" s="73">
        <v>-477.808718064517</v>
      </c>
      <c r="P1895" s="182">
        <v>9</v>
      </c>
      <c r="Q1895" s="182">
        <v>5000</v>
      </c>
      <c r="R1895" s="46">
        <v>16.971</v>
      </c>
      <c r="S1895" s="46">
        <v>0</v>
      </c>
      <c r="T1895" s="46">
        <v>0</v>
      </c>
      <c r="U1895" s="46">
        <v>0</v>
      </c>
      <c r="V1895" s="46" t="s">
        <v>62</v>
      </c>
      <c r="W1895" s="46">
        <v>5000</v>
      </c>
      <c r="X1895" s="46">
        <v>16.971</v>
      </c>
      <c r="Y1895" s="193">
        <v>15.475</v>
      </c>
      <c r="Z1895" s="194">
        <v>15.584</v>
      </c>
      <c r="AA1895" s="194">
        <v>15.513999999999999</v>
      </c>
      <c r="AB1895" s="46">
        <v>15.36</v>
      </c>
      <c r="AC1895" s="46">
        <v>15.52</v>
      </c>
      <c r="AD1895" s="46">
        <v>15.35</v>
      </c>
      <c r="AE1895" s="46">
        <v>15.5</v>
      </c>
      <c r="AF1895" s="46">
        <v>1</v>
      </c>
      <c r="AG1895" s="46">
        <v>500</v>
      </c>
      <c r="AH1895" s="46">
        <v>7745.3</v>
      </c>
      <c r="AI1895" s="46">
        <v>15.491</v>
      </c>
      <c r="AJ1895" s="46">
        <v>1</v>
      </c>
      <c r="AK1895" s="46">
        <v>400</v>
      </c>
      <c r="AL1895" s="46">
        <v>6188.56</v>
      </c>
      <c r="AM1895" s="46">
        <v>15.471</v>
      </c>
      <c r="AN1895" s="46" t="s">
        <v>63</v>
      </c>
      <c r="AO1895" s="46">
        <v>100</v>
      </c>
      <c r="AP1895" s="46">
        <v>1556.74</v>
      </c>
      <c r="AQ1895" s="46">
        <v>15.567</v>
      </c>
      <c r="AR1895" s="46">
        <v>-8</v>
      </c>
      <c r="AS1895" s="46">
        <v>10</v>
      </c>
      <c r="AT1895" s="46">
        <v>5500</v>
      </c>
      <c r="AU1895" s="46">
        <v>92648.3</v>
      </c>
      <c r="AV1895" s="46">
        <v>16.844999999999999</v>
      </c>
      <c r="AW1895" s="46">
        <v>1</v>
      </c>
      <c r="AX1895" s="46">
        <v>400</v>
      </c>
      <c r="AY1895" s="46">
        <v>6188.56</v>
      </c>
      <c r="AZ1895" s="46">
        <v>15.471</v>
      </c>
      <c r="BA1895" s="46" t="s">
        <v>63</v>
      </c>
      <c r="BB1895" s="46">
        <v>5100</v>
      </c>
      <c r="BC1895" s="46">
        <v>86459.74</v>
      </c>
      <c r="BD1895" s="46">
        <v>16.952999999999999</v>
      </c>
      <c r="BE1895" s="46">
        <v>-549.6</v>
      </c>
      <c r="BF1895" s="46">
        <v>84903</v>
      </c>
      <c r="BG1895" s="46">
        <v>16.98</v>
      </c>
      <c r="BH1895" s="46">
        <v>0</v>
      </c>
      <c r="BJ1895">
        <v>84903</v>
      </c>
      <c r="BK1895">
        <v>16.98</v>
      </c>
      <c r="BL1895">
        <v>-0.52</v>
      </c>
    </row>
    <row r="1896" spans="1:64" x14ac:dyDescent="0.25">
      <c r="A1896" s="136">
        <v>43102</v>
      </c>
      <c r="B1896" s="201" t="s">
        <v>65</v>
      </c>
      <c r="C1896" t="s">
        <v>127</v>
      </c>
      <c r="D1896">
        <v>12000</v>
      </c>
      <c r="E1896">
        <v>12000</v>
      </c>
      <c r="F1896">
        <v>10.319000000000001</v>
      </c>
      <c r="G1896">
        <v>12371.61</v>
      </c>
      <c r="H1896">
        <v>9.99</v>
      </c>
      <c r="I1896" s="309">
        <v>136200</v>
      </c>
      <c r="J1896">
        <v>11.35</v>
      </c>
      <c r="K1896" s="133">
        <v>0.24356372572170801</v>
      </c>
      <c r="L1896" s="181">
        <v>2870.43</v>
      </c>
      <c r="M1896" s="133">
        <v>0.22143982392452799</v>
      </c>
      <c r="N1896" s="73">
        <v>8929.1849999999904</v>
      </c>
      <c r="O1896" s="73">
        <v>1156.2288205560301</v>
      </c>
      <c r="P1896" s="182">
        <v>2</v>
      </c>
      <c r="Q1896" s="182">
        <v>1000</v>
      </c>
      <c r="R1896" s="46">
        <v>10.635</v>
      </c>
      <c r="S1896" s="46">
        <v>14</v>
      </c>
      <c r="T1896" s="46">
        <v>6000</v>
      </c>
      <c r="U1896" s="46">
        <v>12.475</v>
      </c>
      <c r="V1896" s="46" t="s">
        <v>68</v>
      </c>
      <c r="W1896" s="46">
        <v>5000</v>
      </c>
      <c r="X1896" s="46">
        <v>12.843</v>
      </c>
      <c r="Y1896" s="193">
        <v>11.436999999999999</v>
      </c>
      <c r="Z1896" s="194">
        <v>11.34</v>
      </c>
      <c r="AA1896" s="194">
        <v>11.609</v>
      </c>
      <c r="AB1896" s="46">
        <v>11.16</v>
      </c>
      <c r="AC1896" s="46">
        <v>11.45</v>
      </c>
      <c r="AD1896" s="46">
        <v>11.14</v>
      </c>
      <c r="AE1896" s="46">
        <v>11.35</v>
      </c>
      <c r="AF1896" s="46">
        <v>127</v>
      </c>
      <c r="AG1896" s="46">
        <v>71700</v>
      </c>
      <c r="AH1896" s="46">
        <v>838124.23100000003</v>
      </c>
      <c r="AI1896" s="46">
        <v>11.689</v>
      </c>
      <c r="AJ1896" s="46">
        <v>147</v>
      </c>
      <c r="AK1896" s="46">
        <v>63900</v>
      </c>
      <c r="AL1896" s="46">
        <v>649398.26599999995</v>
      </c>
      <c r="AM1896" s="46">
        <v>10.163</v>
      </c>
      <c r="AN1896" s="46" t="s">
        <v>63</v>
      </c>
      <c r="AO1896" s="46">
        <v>7800</v>
      </c>
      <c r="AP1896" s="46">
        <v>188725.965</v>
      </c>
      <c r="AQ1896" s="46">
        <v>24.196000000000002</v>
      </c>
      <c r="AR1896" s="46">
        <v>-97511.4</v>
      </c>
      <c r="AS1896" s="46">
        <v>130</v>
      </c>
      <c r="AT1896" s="46">
        <v>72800</v>
      </c>
      <c r="AU1896" s="46">
        <v>850057.23100000003</v>
      </c>
      <c r="AV1896" s="46">
        <v>11.677</v>
      </c>
      <c r="AW1896" s="46">
        <v>161</v>
      </c>
      <c r="AX1896" s="46">
        <v>69900</v>
      </c>
      <c r="AY1896" s="46">
        <v>724105.41399999999</v>
      </c>
      <c r="AZ1896" s="46">
        <v>10.359</v>
      </c>
      <c r="BA1896" s="46" t="s">
        <v>63</v>
      </c>
      <c r="BB1896" s="46">
        <v>2900</v>
      </c>
      <c r="BC1896" s="46">
        <v>125951.817</v>
      </c>
      <c r="BD1896" s="46">
        <v>43.432000000000002</v>
      </c>
      <c r="BE1896" s="46">
        <v>-92128.2</v>
      </c>
      <c r="BF1896" s="46">
        <v>11933</v>
      </c>
      <c r="BG1896" s="46">
        <v>11.93</v>
      </c>
      <c r="BH1896" s="46">
        <v>74707.148000000001</v>
      </c>
      <c r="BI1896">
        <v>12.45</v>
      </c>
      <c r="BJ1896">
        <v>-62774.148000000001</v>
      </c>
      <c r="BK1896">
        <v>-12.55</v>
      </c>
      <c r="BL1896">
        <v>-8591.31</v>
      </c>
    </row>
    <row r="1897" spans="1:64" x14ac:dyDescent="0.25">
      <c r="A1897" s="136">
        <v>43102</v>
      </c>
      <c r="B1897" s="201" t="s">
        <v>77</v>
      </c>
      <c r="C1897" t="s">
        <v>128</v>
      </c>
      <c r="D1897">
        <v>4600</v>
      </c>
      <c r="E1897">
        <v>4600</v>
      </c>
      <c r="F1897">
        <v>6.0060000000000002</v>
      </c>
      <c r="G1897">
        <v>-395.43</v>
      </c>
      <c r="H1897">
        <v>-1.43</v>
      </c>
      <c r="I1897" s="309">
        <v>27232</v>
      </c>
      <c r="J1897">
        <v>5.92</v>
      </c>
      <c r="K1897" s="133">
        <v>4.86984389049454E-2</v>
      </c>
      <c r="L1897" s="181">
        <v>742.63</v>
      </c>
      <c r="M1897" s="133">
        <v>4.9405578435504298E-2</v>
      </c>
      <c r="N1897" s="73">
        <v>-900.37400000000298</v>
      </c>
      <c r="O1897" s="73">
        <v>-67.596927871622199</v>
      </c>
      <c r="P1897" s="182">
        <v>8</v>
      </c>
      <c r="Q1897" s="182">
        <v>4000</v>
      </c>
      <c r="R1897" s="46">
        <v>6.6230000000000002</v>
      </c>
      <c r="S1897" s="46">
        <v>1</v>
      </c>
      <c r="T1897" s="46">
        <v>400</v>
      </c>
      <c r="U1897" s="46">
        <v>5.92</v>
      </c>
      <c r="V1897" s="46" t="s">
        <v>62</v>
      </c>
      <c r="W1897" s="46">
        <v>3600</v>
      </c>
      <c r="X1897" s="46">
        <v>6.7009999999999996</v>
      </c>
      <c r="Y1897" s="193">
        <v>5.89</v>
      </c>
      <c r="Z1897" s="194">
        <v>5.9790000000000001</v>
      </c>
      <c r="AA1897" s="194">
        <v>6.4290000000000003</v>
      </c>
      <c r="AB1897" s="46">
        <v>5.75</v>
      </c>
      <c r="AC1897" s="46">
        <v>5.78</v>
      </c>
      <c r="AD1897" s="46">
        <v>5.72</v>
      </c>
      <c r="AE1897" s="46">
        <v>5.92</v>
      </c>
      <c r="AF1897" s="46">
        <v>36</v>
      </c>
      <c r="AG1897" s="46">
        <v>18000</v>
      </c>
      <c r="AH1897" s="46">
        <v>133159</v>
      </c>
      <c r="AI1897" s="46">
        <v>7.3979999999999997</v>
      </c>
      <c r="AJ1897" s="46">
        <v>36</v>
      </c>
      <c r="AK1897" s="46">
        <v>17000</v>
      </c>
      <c r="AL1897" s="46">
        <v>129695.99400000001</v>
      </c>
      <c r="AM1897" s="46">
        <v>7.6289999999999996</v>
      </c>
      <c r="AN1897" s="46" t="s">
        <v>63</v>
      </c>
      <c r="AO1897" s="46">
        <v>1000</v>
      </c>
      <c r="AP1897" s="46">
        <v>3463.0059999999999</v>
      </c>
      <c r="AQ1897" s="46">
        <v>3.4630000000000001</v>
      </c>
      <c r="AR1897" s="46">
        <v>3927</v>
      </c>
      <c r="AS1897" s="46">
        <v>44</v>
      </c>
      <c r="AT1897" s="46">
        <v>22000</v>
      </c>
      <c r="AU1897" s="46">
        <v>159689</v>
      </c>
      <c r="AV1897" s="46">
        <v>7.2590000000000003</v>
      </c>
      <c r="AW1897" s="46">
        <v>37</v>
      </c>
      <c r="AX1897" s="46">
        <v>17400</v>
      </c>
      <c r="AY1897" s="46">
        <v>132056.62599999999</v>
      </c>
      <c r="AZ1897" s="46">
        <v>7.5890000000000004</v>
      </c>
      <c r="BA1897" s="46" t="s">
        <v>63</v>
      </c>
      <c r="BB1897" s="46">
        <v>4600</v>
      </c>
      <c r="BC1897" s="46">
        <v>27632.374</v>
      </c>
      <c r="BD1897" s="46">
        <v>6.0069999999999997</v>
      </c>
      <c r="BE1897" s="46">
        <v>5742</v>
      </c>
      <c r="BF1897" s="46">
        <v>26530</v>
      </c>
      <c r="BG1897" s="46">
        <v>6.63</v>
      </c>
      <c r="BH1897" s="46">
        <v>2360.6320000000101</v>
      </c>
      <c r="BI1897">
        <v>5.9</v>
      </c>
      <c r="BJ1897">
        <v>24169.367999999999</v>
      </c>
      <c r="BK1897">
        <v>6.71</v>
      </c>
      <c r="BL1897">
        <v>663.34</v>
      </c>
    </row>
    <row r="1898" spans="1:64" x14ac:dyDescent="0.25">
      <c r="A1898" s="136">
        <v>43102</v>
      </c>
      <c r="B1898" s="201" t="s">
        <v>67</v>
      </c>
      <c r="C1898" t="s">
        <v>129</v>
      </c>
      <c r="D1898">
        <v>7650</v>
      </c>
      <c r="E1898">
        <v>7650</v>
      </c>
      <c r="F1898">
        <v>8.6769999999999996</v>
      </c>
      <c r="G1898">
        <v>406.06</v>
      </c>
      <c r="H1898">
        <v>0.61</v>
      </c>
      <c r="I1898" s="309">
        <v>66784.5</v>
      </c>
      <c r="J1898">
        <v>8.73</v>
      </c>
      <c r="K1898" s="133">
        <v>0.11942938062012801</v>
      </c>
      <c r="L1898" s="181">
        <v>1932.51</v>
      </c>
      <c r="M1898" s="133">
        <v>0.118703231673971</v>
      </c>
      <c r="N1898" s="73">
        <v>38729.450999999899</v>
      </c>
      <c r="O1898" s="73">
        <v>149.281818926527</v>
      </c>
      <c r="P1898" s="182">
        <v>6</v>
      </c>
      <c r="Q1898" s="182">
        <v>3000</v>
      </c>
      <c r="R1898" s="46">
        <v>6.1079999999999997</v>
      </c>
      <c r="S1898" s="46">
        <v>5</v>
      </c>
      <c r="T1898" s="46">
        <v>2000</v>
      </c>
      <c r="U1898" s="46">
        <v>8.7100000000000009</v>
      </c>
      <c r="V1898" s="46" t="s">
        <v>62</v>
      </c>
      <c r="W1898" s="46">
        <v>1000</v>
      </c>
      <c r="X1898" s="46">
        <v>0.90400000000000003</v>
      </c>
      <c r="Y1898" s="194">
        <v>8.4179999999999993</v>
      </c>
      <c r="Z1898" s="194">
        <v>7.2309999999999999</v>
      </c>
      <c r="AA1898" s="194">
        <v>8.6920000000000002</v>
      </c>
      <c r="AB1898" s="46">
        <v>8.56</v>
      </c>
      <c r="AC1898" s="46">
        <v>8.86</v>
      </c>
      <c r="AD1898" s="46">
        <v>8.56</v>
      </c>
      <c r="AE1898" s="46">
        <v>8.73</v>
      </c>
      <c r="AF1898" s="46">
        <v>149</v>
      </c>
      <c r="AG1898" s="46">
        <v>74500</v>
      </c>
      <c r="AH1898" s="46">
        <v>622057</v>
      </c>
      <c r="AI1898" s="46">
        <v>8.35</v>
      </c>
      <c r="AJ1898" s="46">
        <v>150</v>
      </c>
      <c r="AK1898" s="46">
        <v>70450</v>
      </c>
      <c r="AL1898" s="46">
        <v>625781.84100000001</v>
      </c>
      <c r="AM1898" s="46">
        <v>8.8829999999999991</v>
      </c>
      <c r="AN1898" s="46" t="s">
        <v>63</v>
      </c>
      <c r="AO1898" s="46">
        <v>4050</v>
      </c>
      <c r="AP1898" s="46">
        <v>3724.8409999999999</v>
      </c>
      <c r="AQ1898" s="46">
        <v>0.92</v>
      </c>
      <c r="AR1898" s="46">
        <v>37549.85</v>
      </c>
      <c r="AS1898" s="46">
        <v>155</v>
      </c>
      <c r="AT1898" s="46">
        <v>77500</v>
      </c>
      <c r="AU1898" s="46">
        <v>640412</v>
      </c>
      <c r="AV1898" s="46">
        <v>8.2629999999999999</v>
      </c>
      <c r="AW1898" s="46">
        <v>155</v>
      </c>
      <c r="AX1898" s="46">
        <v>72450</v>
      </c>
      <c r="AY1898" s="46">
        <v>643159.42099999997</v>
      </c>
      <c r="AZ1898" s="46">
        <v>8.8770000000000007</v>
      </c>
      <c r="BA1898" s="46" t="s">
        <v>63</v>
      </c>
      <c r="BB1898" s="46">
        <v>5050</v>
      </c>
      <c r="BC1898" s="46">
        <v>2747.4209999999998</v>
      </c>
      <c r="BD1898" s="46">
        <v>0.54400000000000004</v>
      </c>
      <c r="BE1898" s="46">
        <v>44484.3</v>
      </c>
      <c r="BF1898" s="46">
        <v>18355</v>
      </c>
      <c r="BG1898" s="46">
        <v>6.12</v>
      </c>
      <c r="BH1898" s="46">
        <v>17377.5800000001</v>
      </c>
      <c r="BI1898">
        <v>8.69</v>
      </c>
      <c r="BJ1898">
        <v>-977.42</v>
      </c>
      <c r="BK1898">
        <v>-0.98</v>
      </c>
      <c r="BL1898">
        <v>4301.24</v>
      </c>
    </row>
    <row r="1899" spans="1:64" x14ac:dyDescent="0.25">
      <c r="A1899" s="136">
        <v>43102</v>
      </c>
      <c r="B1899" s="201" t="s">
        <v>78</v>
      </c>
      <c r="C1899" t="s">
        <v>142</v>
      </c>
      <c r="D1899">
        <v>1300</v>
      </c>
      <c r="E1899">
        <v>1300</v>
      </c>
      <c r="F1899">
        <v>10.271000000000001</v>
      </c>
      <c r="G1899">
        <v>-260.68</v>
      </c>
      <c r="H1899">
        <v>-1.96</v>
      </c>
      <c r="I1899" s="309">
        <v>13091</v>
      </c>
      <c r="J1899">
        <v>10.07</v>
      </c>
      <c r="K1899" s="133">
        <v>2.3410372492091599E-2</v>
      </c>
      <c r="L1899" s="181">
        <v>410.02</v>
      </c>
      <c r="M1899" s="133">
        <v>2.38765413028195E-2</v>
      </c>
      <c r="N1899" s="73">
        <v>-299.67600000000101</v>
      </c>
      <c r="O1899" s="73">
        <v>-29.833283067729202</v>
      </c>
      <c r="P1899" s="182">
        <v>2</v>
      </c>
      <c r="Q1899" s="182">
        <v>1000</v>
      </c>
      <c r="R1899" s="46">
        <v>10.385</v>
      </c>
      <c r="S1899" s="46">
        <v>0</v>
      </c>
      <c r="T1899" s="46">
        <v>0</v>
      </c>
      <c r="U1899" s="46">
        <v>0</v>
      </c>
      <c r="V1899" s="46" t="s">
        <v>62</v>
      </c>
      <c r="W1899" s="46">
        <v>1000</v>
      </c>
      <c r="X1899" s="46">
        <v>10.385</v>
      </c>
      <c r="Y1899" s="193">
        <v>10.021000000000001</v>
      </c>
      <c r="Z1899" s="194">
        <v>10.954000000000001</v>
      </c>
      <c r="AA1899" s="194">
        <v>10.929</v>
      </c>
      <c r="AB1899" s="46">
        <v>9.86</v>
      </c>
      <c r="AC1899" s="46">
        <v>10.07</v>
      </c>
      <c r="AD1899" s="46">
        <v>9.86</v>
      </c>
      <c r="AE1899" s="46">
        <v>10.07</v>
      </c>
      <c r="AF1899" s="46">
        <v>3</v>
      </c>
      <c r="AG1899" s="46">
        <v>1500</v>
      </c>
      <c r="AH1899" s="46">
        <v>15605</v>
      </c>
      <c r="AI1899" s="46">
        <v>10.403</v>
      </c>
      <c r="AJ1899" s="46">
        <v>3</v>
      </c>
      <c r="AK1899" s="46">
        <v>1200</v>
      </c>
      <c r="AL1899" s="46">
        <v>12648.324000000001</v>
      </c>
      <c r="AM1899" s="46">
        <v>10.54</v>
      </c>
      <c r="AN1899" s="46" t="s">
        <v>63</v>
      </c>
      <c r="AO1899" s="46">
        <v>300</v>
      </c>
      <c r="AP1899" s="46">
        <v>2956.6759999999999</v>
      </c>
      <c r="AQ1899" s="46">
        <v>9.8559999999999999</v>
      </c>
      <c r="AR1899" s="46">
        <v>164.4</v>
      </c>
      <c r="AS1899" s="46">
        <v>5</v>
      </c>
      <c r="AT1899" s="46">
        <v>2500</v>
      </c>
      <c r="AU1899" s="46">
        <v>26000</v>
      </c>
      <c r="AV1899" s="46">
        <v>10.4</v>
      </c>
      <c r="AW1899" s="46">
        <v>3</v>
      </c>
      <c r="AX1899" s="46">
        <v>1200</v>
      </c>
      <c r="AY1899" s="46">
        <v>12648.324000000001</v>
      </c>
      <c r="AZ1899" s="46">
        <v>10.54</v>
      </c>
      <c r="BA1899" s="46" t="s">
        <v>63</v>
      </c>
      <c r="BB1899" s="46">
        <v>1300</v>
      </c>
      <c r="BC1899" s="46">
        <v>13351.675999999999</v>
      </c>
      <c r="BD1899" s="46">
        <v>10.271000000000001</v>
      </c>
      <c r="BE1899" s="46">
        <v>168</v>
      </c>
      <c r="BF1899" s="46">
        <v>10395</v>
      </c>
      <c r="BG1899" s="46">
        <v>10.4</v>
      </c>
      <c r="BH1899" s="46">
        <v>0</v>
      </c>
      <c r="BJ1899">
        <v>10395</v>
      </c>
      <c r="BK1899">
        <v>10.4</v>
      </c>
      <c r="BL1899">
        <v>16.329999999999998</v>
      </c>
    </row>
    <row r="1900" spans="1:64" x14ac:dyDescent="0.25">
      <c r="A1900" s="136">
        <v>43102</v>
      </c>
      <c r="B1900" s="201" t="s">
        <v>72</v>
      </c>
      <c r="C1900" t="s">
        <v>130</v>
      </c>
      <c r="D1900">
        <v>1700</v>
      </c>
      <c r="E1900">
        <v>1700</v>
      </c>
      <c r="F1900">
        <v>7.17</v>
      </c>
      <c r="G1900">
        <v>221.18</v>
      </c>
      <c r="H1900">
        <v>1.81</v>
      </c>
      <c r="I1900" s="309">
        <v>12410</v>
      </c>
      <c r="J1900">
        <v>7.3</v>
      </c>
      <c r="K1900" s="133">
        <v>2.2192553863483101E-2</v>
      </c>
      <c r="L1900" s="181">
        <v>204</v>
      </c>
      <c r="M1900" s="133">
        <v>2.1797022109774401E-2</v>
      </c>
      <c r="N1900" s="73">
        <v>-153.543999999992</v>
      </c>
      <c r="O1900" s="73">
        <v>9.4496417475757397</v>
      </c>
      <c r="P1900" s="182">
        <v>0</v>
      </c>
      <c r="Q1900" s="182">
        <v>0</v>
      </c>
      <c r="R1900" s="46">
        <v>0</v>
      </c>
      <c r="S1900" s="46">
        <v>13</v>
      </c>
      <c r="T1900" s="46">
        <v>5400</v>
      </c>
      <c r="U1900" s="46">
        <v>8.1059999999999999</v>
      </c>
      <c r="V1900" s="46" t="s">
        <v>68</v>
      </c>
      <c r="W1900" s="46">
        <v>5400</v>
      </c>
      <c r="X1900" s="46">
        <v>8.1059999999999999</v>
      </c>
      <c r="Y1900" s="193">
        <v>7.3449999999999998</v>
      </c>
      <c r="Z1900" s="194">
        <v>6.9329999999999998</v>
      </c>
      <c r="AA1900" s="194">
        <v>7.08</v>
      </c>
      <c r="AB1900" s="46">
        <v>7.2</v>
      </c>
      <c r="AC1900" s="46">
        <v>7.3</v>
      </c>
      <c r="AD1900" s="46">
        <v>7.15</v>
      </c>
      <c r="AE1900" s="46">
        <v>7.3</v>
      </c>
      <c r="AF1900" s="46">
        <v>23</v>
      </c>
      <c r="AG1900" s="46">
        <v>11500</v>
      </c>
      <c r="AH1900" s="46">
        <v>91620</v>
      </c>
      <c r="AI1900" s="46">
        <v>7.9669999999999996</v>
      </c>
      <c r="AJ1900" s="46">
        <v>23</v>
      </c>
      <c r="AK1900" s="46">
        <v>11000</v>
      </c>
      <c r="AL1900" s="46">
        <v>36502.411</v>
      </c>
      <c r="AM1900" s="46">
        <v>3.3180000000000001</v>
      </c>
      <c r="AN1900" s="46" t="s">
        <v>63</v>
      </c>
      <c r="AO1900" s="46">
        <v>500</v>
      </c>
      <c r="AP1900" s="46">
        <v>55117.589</v>
      </c>
      <c r="AQ1900" s="46">
        <v>110.235</v>
      </c>
      <c r="AR1900" s="46">
        <v>-51139</v>
      </c>
      <c r="AS1900" s="46">
        <v>23</v>
      </c>
      <c r="AT1900" s="46">
        <v>11500</v>
      </c>
      <c r="AU1900" s="46">
        <v>91620</v>
      </c>
      <c r="AV1900" s="46">
        <v>7.9669999999999996</v>
      </c>
      <c r="AW1900" s="46">
        <v>37</v>
      </c>
      <c r="AX1900" s="46">
        <v>16900</v>
      </c>
      <c r="AY1900" s="46">
        <v>80163.641000000003</v>
      </c>
      <c r="AZ1900" s="46">
        <v>4.7430000000000003</v>
      </c>
      <c r="BA1900" s="46" t="s">
        <v>69</v>
      </c>
      <c r="BB1900" s="46">
        <v>5400</v>
      </c>
      <c r="BC1900" s="46">
        <v>11456.359</v>
      </c>
      <c r="BD1900" s="46">
        <v>2.1219999999999999</v>
      </c>
      <c r="BE1900" s="46">
        <v>-37076</v>
      </c>
      <c r="BF1900" s="46">
        <v>0</v>
      </c>
      <c r="BH1900" s="46">
        <v>43661.23</v>
      </c>
      <c r="BI1900">
        <v>8.09</v>
      </c>
      <c r="BJ1900">
        <v>-43661.23</v>
      </c>
      <c r="BK1900">
        <v>-8.09</v>
      </c>
      <c r="BL1900">
        <v>-7005.34</v>
      </c>
    </row>
    <row r="1901" spans="1:64" x14ac:dyDescent="0.25">
      <c r="A1901" s="136">
        <v>43102</v>
      </c>
      <c r="B1901" s="201" t="s">
        <v>70</v>
      </c>
      <c r="C1901" t="s">
        <v>131</v>
      </c>
      <c r="D1901">
        <v>10000</v>
      </c>
      <c r="E1901">
        <v>10000</v>
      </c>
      <c r="F1901">
        <v>12.266</v>
      </c>
      <c r="G1901">
        <v>-11564.21</v>
      </c>
      <c r="H1901">
        <v>-9.42</v>
      </c>
      <c r="I1901" s="309">
        <v>111100</v>
      </c>
      <c r="J1901">
        <v>11.11</v>
      </c>
      <c r="K1901" s="133">
        <v>0.19867789961587201</v>
      </c>
      <c r="L1901" s="181">
        <v>300</v>
      </c>
      <c r="M1901" s="133">
        <v>0.21935794420198201</v>
      </c>
      <c r="N1901" s="73">
        <v>-11963.194</v>
      </c>
      <c r="O1901" s="73">
        <v>-1080.1456551942199</v>
      </c>
      <c r="P1901" s="182">
        <v>1</v>
      </c>
      <c r="Q1901" s="182">
        <v>500</v>
      </c>
      <c r="R1901" s="46">
        <v>10.88</v>
      </c>
      <c r="S1901" s="46">
        <v>5</v>
      </c>
      <c r="T1901" s="46">
        <v>2000</v>
      </c>
      <c r="U1901" s="46">
        <v>13.087999999999999</v>
      </c>
      <c r="V1901" s="46" t="s">
        <v>68</v>
      </c>
      <c r="W1901" s="46">
        <v>1500</v>
      </c>
      <c r="X1901" s="46">
        <v>13.824</v>
      </c>
      <c r="Y1901" s="194">
        <v>11.042</v>
      </c>
      <c r="Z1901" s="194">
        <v>12.305</v>
      </c>
      <c r="AA1901" s="194">
        <v>12.205</v>
      </c>
      <c r="AB1901" s="46">
        <v>11.07</v>
      </c>
      <c r="AC1901" s="46">
        <v>11.19</v>
      </c>
      <c r="AD1901" s="46">
        <v>11.07</v>
      </c>
      <c r="AE1901" s="46">
        <v>11.11</v>
      </c>
      <c r="AF1901" s="46">
        <v>121</v>
      </c>
      <c r="AG1901" s="46">
        <v>60100</v>
      </c>
      <c r="AH1901" s="46">
        <v>815488</v>
      </c>
      <c r="AI1901" s="46">
        <v>13.569000000000001</v>
      </c>
      <c r="AJ1901" s="46">
        <v>121</v>
      </c>
      <c r="AK1901" s="46">
        <v>48600</v>
      </c>
      <c r="AL1901" s="46">
        <v>671739.98199999996</v>
      </c>
      <c r="AM1901" s="46">
        <v>13.821999999999999</v>
      </c>
      <c r="AN1901" s="46" t="s">
        <v>63</v>
      </c>
      <c r="AO1901" s="46">
        <v>11500</v>
      </c>
      <c r="AP1901" s="46">
        <v>143748.01800000001</v>
      </c>
      <c r="AQ1901" s="46">
        <v>12.5</v>
      </c>
      <c r="AR1901" s="46">
        <v>12295.8</v>
      </c>
      <c r="AS1901" s="46">
        <v>122</v>
      </c>
      <c r="AT1901" s="46">
        <v>60600</v>
      </c>
      <c r="AU1901" s="46">
        <v>820933</v>
      </c>
      <c r="AV1901" s="46">
        <v>13.547000000000001</v>
      </c>
      <c r="AW1901" s="46">
        <v>127</v>
      </c>
      <c r="AX1901" s="46">
        <v>50600</v>
      </c>
      <c r="AY1901" s="46">
        <v>698269.80599999998</v>
      </c>
      <c r="AZ1901" s="46">
        <v>13.8</v>
      </c>
      <c r="BA1901" s="46" t="s">
        <v>63</v>
      </c>
      <c r="BB1901" s="46">
        <v>10000</v>
      </c>
      <c r="BC1901" s="46">
        <v>122663.194</v>
      </c>
      <c r="BD1901" s="46">
        <v>12.266</v>
      </c>
      <c r="BE1901" s="46">
        <v>12801.8</v>
      </c>
      <c r="BF1901" s="46">
        <v>5445</v>
      </c>
      <c r="BG1901" s="46">
        <v>10.89</v>
      </c>
      <c r="BH1901" s="46">
        <v>26529.823999999899</v>
      </c>
      <c r="BI1901">
        <v>13.26</v>
      </c>
      <c r="BJ1901">
        <v>-21084.824000000001</v>
      </c>
      <c r="BK1901">
        <v>-14.06</v>
      </c>
      <c r="BL1901">
        <v>1106.73</v>
      </c>
    </row>
    <row r="1902" spans="1:64" x14ac:dyDescent="0.25">
      <c r="A1902" s="136">
        <v>43102</v>
      </c>
      <c r="B1902" s="201" t="s">
        <v>146</v>
      </c>
      <c r="C1902" t="s">
        <v>147</v>
      </c>
      <c r="D1902">
        <v>40</v>
      </c>
      <c r="E1902">
        <v>40</v>
      </c>
      <c r="F1902">
        <v>100</v>
      </c>
      <c r="G1902">
        <v>0</v>
      </c>
      <c r="H1902">
        <v>0</v>
      </c>
      <c r="I1902" s="309">
        <v>4000</v>
      </c>
      <c r="J1902">
        <v>0</v>
      </c>
      <c r="K1902" s="133">
        <v>7.1531196981412101E-3</v>
      </c>
      <c r="L1902" s="181">
        <v>0</v>
      </c>
      <c r="M1902" s="133">
        <v>7.1531196981412101E-3</v>
      </c>
    </row>
    <row r="1903" spans="1:64" x14ac:dyDescent="0.25">
      <c r="A1903" s="136">
        <v>43102</v>
      </c>
      <c r="B1903" s="201" t="s">
        <v>137</v>
      </c>
      <c r="C1903" t="s">
        <v>138</v>
      </c>
      <c r="D1903">
        <v>100</v>
      </c>
      <c r="E1903">
        <v>100</v>
      </c>
      <c r="F1903">
        <v>-130.48500000000001</v>
      </c>
      <c r="G1903">
        <v>16866.5</v>
      </c>
      <c r="H1903">
        <v>0</v>
      </c>
      <c r="I1903" s="309">
        <v>3818</v>
      </c>
      <c r="J1903">
        <v>38.18</v>
      </c>
      <c r="K1903" s="133">
        <v>6.8276527518757804E-3</v>
      </c>
      <c r="L1903" s="181">
        <v>35</v>
      </c>
      <c r="M1903" s="133">
        <v>0</v>
      </c>
    </row>
    <row r="1904" spans="1:64" x14ac:dyDescent="0.25">
      <c r="A1904" s="136">
        <v>43102</v>
      </c>
      <c r="B1904" s="201" t="s">
        <v>133</v>
      </c>
      <c r="C1904" t="s">
        <v>134</v>
      </c>
      <c r="D1904">
        <v>77000</v>
      </c>
      <c r="E1904">
        <v>39000</v>
      </c>
      <c r="F1904">
        <v>1</v>
      </c>
      <c r="G1904">
        <v>-1.94</v>
      </c>
      <c r="H1904">
        <v>0</v>
      </c>
      <c r="I1904" s="309">
        <v>38000</v>
      </c>
      <c r="J1904">
        <v>1</v>
      </c>
      <c r="K1904" s="133">
        <v>6.7954637132341497E-2</v>
      </c>
      <c r="L1904" s="181">
        <v>-0.38</v>
      </c>
      <c r="M1904" s="133">
        <v>0</v>
      </c>
    </row>
    <row r="1905" spans="1:64" x14ac:dyDescent="0.25">
      <c r="A1905" s="136">
        <v>43102</v>
      </c>
      <c r="B1905" s="201" t="s">
        <v>835</v>
      </c>
      <c r="C1905" t="s">
        <v>839</v>
      </c>
      <c r="I1905" s="309">
        <v>30836.51</v>
      </c>
      <c r="K1905" s="133">
        <v>5.5144311775732098E-2</v>
      </c>
      <c r="L1905" s="181">
        <v>0</v>
      </c>
      <c r="M1905" s="133">
        <v>0.123573844524833</v>
      </c>
    </row>
    <row r="1906" spans="1:64" x14ac:dyDescent="0.25">
      <c r="A1906" s="136">
        <v>43103</v>
      </c>
      <c r="B1906" s="201" t="s">
        <v>132</v>
      </c>
      <c r="C1906" t="s">
        <v>123</v>
      </c>
      <c r="D1906">
        <v>4526565</v>
      </c>
      <c r="E1906">
        <v>26565</v>
      </c>
      <c r="F1906">
        <v>8.9999999999999993E-3</v>
      </c>
      <c r="G1906">
        <v>2735.14</v>
      </c>
      <c r="H1906">
        <v>11.11</v>
      </c>
      <c r="I1906" s="309">
        <v>45265.65</v>
      </c>
      <c r="J1906">
        <v>0.01</v>
      </c>
      <c r="K1906" s="133">
        <v>8.5271610622243005E-2</v>
      </c>
      <c r="L1906" s="181">
        <v>-0.12800000000015599</v>
      </c>
      <c r="M1906" s="133">
        <v>0</v>
      </c>
    </row>
    <row r="1907" spans="1:64" x14ac:dyDescent="0.25">
      <c r="A1907" s="136">
        <v>43103</v>
      </c>
      <c r="B1907" s="201" t="s">
        <v>61</v>
      </c>
      <c r="C1907" t="s">
        <v>136</v>
      </c>
      <c r="D1907">
        <v>3500</v>
      </c>
      <c r="E1907">
        <v>3500</v>
      </c>
      <c r="F1907">
        <v>5.3070000000000004</v>
      </c>
      <c r="G1907">
        <v>-408.52</v>
      </c>
      <c r="H1907">
        <v>-2.2000000000000002</v>
      </c>
      <c r="I1907" s="309">
        <v>18165</v>
      </c>
      <c r="J1907">
        <v>5.19</v>
      </c>
      <c r="K1907" s="133">
        <v>3.42192988933782E-2</v>
      </c>
      <c r="L1907" s="181">
        <v>70</v>
      </c>
      <c r="M1907" s="133">
        <v>3.4988870486217301E-2</v>
      </c>
      <c r="N1907" s="73">
        <v>-587.26800000000003</v>
      </c>
      <c r="O1907" s="73">
        <v>-114.19734747081699</v>
      </c>
      <c r="P1907" s="182">
        <v>6</v>
      </c>
      <c r="Q1907" s="182">
        <v>3000</v>
      </c>
      <c r="R1907" s="46">
        <v>5.31</v>
      </c>
      <c r="S1907" s="46">
        <v>0</v>
      </c>
      <c r="T1907" s="46">
        <v>0</v>
      </c>
      <c r="U1907" s="46">
        <v>0</v>
      </c>
      <c r="V1907" s="46" t="s">
        <v>62</v>
      </c>
      <c r="W1907" s="46">
        <v>3000</v>
      </c>
      <c r="X1907" s="46">
        <v>5.31</v>
      </c>
      <c r="Y1907" s="193">
        <v>5.2220000000000004</v>
      </c>
      <c r="Z1907" s="194">
        <v>5.0369999999999999</v>
      </c>
      <c r="AA1907" s="194">
        <v>5.141</v>
      </c>
      <c r="AB1907" s="46">
        <v>5.16</v>
      </c>
      <c r="AC1907" s="46">
        <v>5.21</v>
      </c>
      <c r="AD1907" s="46">
        <v>5.16</v>
      </c>
      <c r="AE1907" s="46">
        <v>5.19</v>
      </c>
      <c r="AF1907" s="46">
        <v>5</v>
      </c>
      <c r="AG1907" s="46">
        <v>2500</v>
      </c>
      <c r="AH1907" s="46">
        <v>13346.5</v>
      </c>
      <c r="AI1907" s="46">
        <v>5.3390000000000004</v>
      </c>
      <c r="AJ1907" s="46">
        <v>5</v>
      </c>
      <c r="AK1907" s="46">
        <v>2000</v>
      </c>
      <c r="AL1907" s="46">
        <v>10731.031999999999</v>
      </c>
      <c r="AM1907" s="46">
        <v>5.3659999999999997</v>
      </c>
      <c r="AN1907" s="46" t="s">
        <v>63</v>
      </c>
      <c r="AO1907" s="46">
        <v>500</v>
      </c>
      <c r="AP1907" s="46">
        <v>2615.4679999999998</v>
      </c>
      <c r="AQ1907" s="46">
        <v>5.2309999999999999</v>
      </c>
      <c r="AR1907" s="46">
        <v>54</v>
      </c>
      <c r="AS1907" s="46">
        <v>11</v>
      </c>
      <c r="AT1907" s="46">
        <v>5500</v>
      </c>
      <c r="AU1907" s="46">
        <v>29308.3</v>
      </c>
      <c r="AV1907" s="46">
        <v>5.3289999999999997</v>
      </c>
      <c r="AW1907" s="46">
        <v>5</v>
      </c>
      <c r="AX1907" s="46">
        <v>2000</v>
      </c>
      <c r="AY1907" s="46">
        <v>10731.031999999999</v>
      </c>
      <c r="AZ1907" s="46">
        <v>5.3659999999999997</v>
      </c>
      <c r="BA1907" s="46" t="s">
        <v>63</v>
      </c>
      <c r="BB1907" s="46">
        <v>3500</v>
      </c>
      <c r="BC1907" s="46">
        <v>18577.268</v>
      </c>
      <c r="BD1907" s="46">
        <v>5.3079999999999998</v>
      </c>
      <c r="BE1907" s="46">
        <v>74</v>
      </c>
      <c r="BF1907" s="46">
        <v>15961.8</v>
      </c>
      <c r="BG1907" s="46">
        <v>5.32</v>
      </c>
      <c r="BH1907" s="46">
        <v>0</v>
      </c>
      <c r="BJ1907">
        <v>15961.8</v>
      </c>
      <c r="BK1907">
        <v>5.32</v>
      </c>
      <c r="BL1907">
        <v>10.4</v>
      </c>
    </row>
    <row r="1908" spans="1:64" x14ac:dyDescent="0.25">
      <c r="A1908" s="136">
        <v>43103</v>
      </c>
      <c r="B1908" s="201" t="s">
        <v>124</v>
      </c>
      <c r="C1908" t="s">
        <v>125</v>
      </c>
      <c r="D1908">
        <v>100</v>
      </c>
      <c r="E1908">
        <v>100</v>
      </c>
      <c r="F1908">
        <v>-53.579000000000001</v>
      </c>
      <c r="G1908">
        <v>5973.9</v>
      </c>
      <c r="H1908">
        <v>0</v>
      </c>
      <c r="I1908" s="309">
        <v>616</v>
      </c>
      <c r="J1908">
        <v>6.16</v>
      </c>
      <c r="K1908" s="133">
        <v>1.16042323800281E-3</v>
      </c>
      <c r="L1908" s="181">
        <v>-2</v>
      </c>
      <c r="M1908" s="133">
        <v>0</v>
      </c>
      <c r="Y1908" s="193">
        <v>6.2389999999999999</v>
      </c>
      <c r="Z1908" s="193">
        <v>5.1310000000000002</v>
      </c>
      <c r="AA1908" s="193">
        <v>5.875</v>
      </c>
      <c r="AB1908" s="46">
        <v>6.18</v>
      </c>
      <c r="AC1908" s="46">
        <v>6.32</v>
      </c>
      <c r="AD1908" s="46">
        <v>6.12</v>
      </c>
      <c r="AE1908" s="46">
        <v>6.16</v>
      </c>
    </row>
    <row r="1909" spans="1:64" x14ac:dyDescent="0.25">
      <c r="A1909" s="136">
        <v>43103</v>
      </c>
      <c r="B1909" s="201" t="s">
        <v>71</v>
      </c>
      <c r="C1909" t="s">
        <v>126</v>
      </c>
      <c r="D1909">
        <v>2800</v>
      </c>
      <c r="E1909">
        <v>2800</v>
      </c>
      <c r="F1909">
        <v>5.9390000000000001</v>
      </c>
      <c r="G1909">
        <v>1206.3800000000001</v>
      </c>
      <c r="H1909">
        <v>7.26</v>
      </c>
      <c r="I1909" s="309">
        <v>17836</v>
      </c>
      <c r="J1909">
        <v>6.37</v>
      </c>
      <c r="K1909" s="133">
        <v>3.3599527391263102E-2</v>
      </c>
      <c r="L1909" s="181">
        <v>140</v>
      </c>
      <c r="M1909" s="133">
        <v>3.1326943972656202E-2</v>
      </c>
      <c r="N1909" s="73">
        <v>2864.0619999999999</v>
      </c>
      <c r="O1909" s="73">
        <v>228.52771916537799</v>
      </c>
      <c r="P1909" s="182">
        <v>2</v>
      </c>
      <c r="Q1909" s="182">
        <v>1000</v>
      </c>
      <c r="R1909" s="46">
        <v>6.45</v>
      </c>
      <c r="S1909" s="46">
        <v>2</v>
      </c>
      <c r="T1909" s="46">
        <v>900</v>
      </c>
      <c r="U1909" s="46">
        <v>6.3920000000000003</v>
      </c>
      <c r="V1909" s="46" t="s">
        <v>62</v>
      </c>
      <c r="W1909" s="46">
        <v>100</v>
      </c>
      <c r="X1909" s="46">
        <v>6.9720000000000004</v>
      </c>
      <c r="Y1909" s="193">
        <v>6.3890000000000002</v>
      </c>
      <c r="Z1909" s="194">
        <v>6.2549999999999999</v>
      </c>
      <c r="AA1909" s="194">
        <v>6.4989999999999997</v>
      </c>
      <c r="AB1909" s="46">
        <v>6.29</v>
      </c>
      <c r="AC1909" s="46">
        <v>6.41</v>
      </c>
      <c r="AD1909" s="46">
        <v>6.29</v>
      </c>
      <c r="AE1909" s="46">
        <v>6.37</v>
      </c>
      <c r="AF1909" s="46">
        <v>39</v>
      </c>
      <c r="AG1909" s="46">
        <v>19600</v>
      </c>
      <c r="AH1909" s="46">
        <v>124862.76</v>
      </c>
      <c r="AI1909" s="46">
        <v>6.3710000000000004</v>
      </c>
      <c r="AJ1909" s="46">
        <v>37</v>
      </c>
      <c r="AK1909" s="46">
        <v>16900</v>
      </c>
      <c r="AL1909" s="46">
        <v>108788.76700000001</v>
      </c>
      <c r="AM1909" s="46">
        <v>6.4370000000000003</v>
      </c>
      <c r="AN1909" s="46" t="s">
        <v>63</v>
      </c>
      <c r="AO1909" s="46">
        <v>2700</v>
      </c>
      <c r="AP1909" s="46">
        <v>16073.993</v>
      </c>
      <c r="AQ1909" s="46">
        <v>5.9530000000000003</v>
      </c>
      <c r="AR1909" s="46">
        <v>1115.4000000000001</v>
      </c>
      <c r="AS1909" s="46">
        <v>41</v>
      </c>
      <c r="AT1909" s="46">
        <v>20600</v>
      </c>
      <c r="AU1909" s="46">
        <v>131323.35999999999</v>
      </c>
      <c r="AV1909" s="46">
        <v>6.375</v>
      </c>
      <c r="AW1909" s="46">
        <v>39</v>
      </c>
      <c r="AX1909" s="46">
        <v>17800</v>
      </c>
      <c r="AY1909" s="46">
        <v>114525.474</v>
      </c>
      <c r="AZ1909" s="46">
        <v>6.4340000000000002</v>
      </c>
      <c r="BA1909" s="46" t="s">
        <v>63</v>
      </c>
      <c r="BB1909" s="46">
        <v>2800</v>
      </c>
      <c r="BC1909" s="46">
        <v>16797.885999999999</v>
      </c>
      <c r="BD1909" s="46">
        <v>5.9989999999999997</v>
      </c>
      <c r="BE1909" s="46">
        <v>1050.2</v>
      </c>
      <c r="BF1909" s="46">
        <v>6460.6000000000204</v>
      </c>
      <c r="BG1909" s="46">
        <v>6.46</v>
      </c>
      <c r="BH1909" s="46">
        <v>5736.7069999999903</v>
      </c>
      <c r="BI1909">
        <v>6.37</v>
      </c>
      <c r="BJ1909">
        <v>723.89299999999798</v>
      </c>
      <c r="BK1909">
        <v>7.24</v>
      </c>
      <c r="BL1909">
        <v>175.1</v>
      </c>
    </row>
    <row r="1910" spans="1:64" x14ac:dyDescent="0.25">
      <c r="A1910" s="136">
        <v>43103</v>
      </c>
      <c r="B1910" s="201" t="s">
        <v>79</v>
      </c>
      <c r="C1910" t="s">
        <v>143</v>
      </c>
      <c r="D1910">
        <v>5100</v>
      </c>
      <c r="E1910">
        <v>5100</v>
      </c>
      <c r="F1910">
        <v>16.952999999999999</v>
      </c>
      <c r="G1910">
        <v>-7408.16</v>
      </c>
      <c r="H1910">
        <v>-8.57</v>
      </c>
      <c r="I1910" s="309">
        <v>79050</v>
      </c>
      <c r="J1910">
        <v>15.5</v>
      </c>
      <c r="K1910" s="133">
        <v>0.14891470286383399</v>
      </c>
      <c r="L1910" s="181">
        <v>0</v>
      </c>
      <c r="M1910" s="133">
        <v>0.16287022399182599</v>
      </c>
      <c r="N1910" s="73">
        <v>-7409.7400000000198</v>
      </c>
      <c r="O1910" s="73">
        <v>-477.808718064517</v>
      </c>
      <c r="P1910" s="182">
        <v>9</v>
      </c>
      <c r="Q1910" s="182">
        <v>5000</v>
      </c>
      <c r="R1910" s="46">
        <v>16.971</v>
      </c>
      <c r="S1910" s="46">
        <v>0</v>
      </c>
      <c r="T1910" s="46">
        <v>0</v>
      </c>
      <c r="U1910" s="46">
        <v>0</v>
      </c>
      <c r="V1910" s="46" t="s">
        <v>62</v>
      </c>
      <c r="W1910" s="46">
        <v>5000</v>
      </c>
      <c r="X1910" s="46">
        <v>16.971</v>
      </c>
      <c r="Y1910" s="193">
        <v>15.475</v>
      </c>
      <c r="Z1910" s="194">
        <v>15.584</v>
      </c>
      <c r="AA1910" s="194">
        <v>15.513999999999999</v>
      </c>
      <c r="AB1910" s="46">
        <v>15.36</v>
      </c>
      <c r="AC1910" s="46">
        <v>15.52</v>
      </c>
      <c r="AD1910" s="46">
        <v>15.35</v>
      </c>
      <c r="AE1910" s="46">
        <v>15.5</v>
      </c>
      <c r="AF1910" s="46">
        <v>1</v>
      </c>
      <c r="AG1910" s="46">
        <v>500</v>
      </c>
      <c r="AH1910" s="46">
        <v>7745.3</v>
      </c>
      <c r="AI1910" s="46">
        <v>15.491</v>
      </c>
      <c r="AJ1910" s="46">
        <v>1</v>
      </c>
      <c r="AK1910" s="46">
        <v>400</v>
      </c>
      <c r="AL1910" s="46">
        <v>6188.56</v>
      </c>
      <c r="AM1910" s="46">
        <v>15.471</v>
      </c>
      <c r="AN1910" s="46" t="s">
        <v>63</v>
      </c>
      <c r="AO1910" s="46">
        <v>100</v>
      </c>
      <c r="AP1910" s="46">
        <v>1556.74</v>
      </c>
      <c r="AQ1910" s="46">
        <v>15.567</v>
      </c>
      <c r="AR1910" s="46">
        <v>-8</v>
      </c>
      <c r="AS1910" s="46">
        <v>10</v>
      </c>
      <c r="AT1910" s="46">
        <v>5500</v>
      </c>
      <c r="AU1910" s="46">
        <v>92648.3</v>
      </c>
      <c r="AV1910" s="46">
        <v>16.844999999999999</v>
      </c>
      <c r="AW1910" s="46">
        <v>1</v>
      </c>
      <c r="AX1910" s="46">
        <v>400</v>
      </c>
      <c r="AY1910" s="46">
        <v>6188.56</v>
      </c>
      <c r="AZ1910" s="46">
        <v>15.471</v>
      </c>
      <c r="BA1910" s="46" t="s">
        <v>63</v>
      </c>
      <c r="BB1910" s="46">
        <v>5100</v>
      </c>
      <c r="BC1910" s="46">
        <v>86459.74</v>
      </c>
      <c r="BD1910" s="46">
        <v>16.952999999999999</v>
      </c>
      <c r="BE1910" s="46">
        <v>-549.6</v>
      </c>
      <c r="BF1910" s="46">
        <v>84903</v>
      </c>
      <c r="BG1910" s="46">
        <v>16.98</v>
      </c>
      <c r="BH1910" s="46">
        <v>0</v>
      </c>
      <c r="BJ1910">
        <v>84903</v>
      </c>
      <c r="BK1910">
        <v>16.98</v>
      </c>
      <c r="BL1910">
        <v>-0.52</v>
      </c>
    </row>
    <row r="1911" spans="1:64" x14ac:dyDescent="0.25">
      <c r="A1911" s="136">
        <v>43103</v>
      </c>
      <c r="B1911" s="201" t="s">
        <v>65</v>
      </c>
      <c r="C1911" t="s">
        <v>127</v>
      </c>
      <c r="D1911">
        <v>12000</v>
      </c>
      <c r="E1911">
        <v>12000</v>
      </c>
      <c r="F1911">
        <v>10.319000000000001</v>
      </c>
      <c r="G1911">
        <v>12011.61</v>
      </c>
      <c r="H1911">
        <v>9.6999999999999993</v>
      </c>
      <c r="I1911" s="309">
        <v>135840</v>
      </c>
      <c r="J1911">
        <v>11.32</v>
      </c>
      <c r="K1911" s="133">
        <v>0.255895929627112</v>
      </c>
      <c r="L1911" s="181">
        <v>-360</v>
      </c>
      <c r="M1911" s="133">
        <v>0.23326841116960101</v>
      </c>
      <c r="N1911" s="73">
        <v>8929.1849999999904</v>
      </c>
      <c r="O1911" s="73">
        <v>1156.2288205560301</v>
      </c>
      <c r="P1911" s="182">
        <v>2</v>
      </c>
      <c r="Q1911" s="182">
        <v>1000</v>
      </c>
      <c r="R1911" s="46">
        <v>10.635</v>
      </c>
      <c r="S1911" s="46">
        <v>14</v>
      </c>
      <c r="T1911" s="46">
        <v>6000</v>
      </c>
      <c r="U1911" s="46">
        <v>12.475</v>
      </c>
      <c r="V1911" s="46" t="s">
        <v>68</v>
      </c>
      <c r="W1911" s="46">
        <v>5000</v>
      </c>
      <c r="X1911" s="46">
        <v>12.843</v>
      </c>
      <c r="Y1911" s="193">
        <v>13.426</v>
      </c>
      <c r="Z1911" s="194">
        <v>11.337999999999999</v>
      </c>
      <c r="AA1911" s="194">
        <v>11.605</v>
      </c>
      <c r="AB1911" s="46">
        <v>11.32</v>
      </c>
      <c r="AC1911" s="46">
        <v>11.45</v>
      </c>
      <c r="AD1911" s="46">
        <v>11.28</v>
      </c>
      <c r="AE1911" s="46">
        <v>11.32</v>
      </c>
      <c r="AF1911" s="46">
        <v>127</v>
      </c>
      <c r="AG1911" s="46">
        <v>71700</v>
      </c>
      <c r="AH1911" s="46">
        <v>838124.23100000003</v>
      </c>
      <c r="AI1911" s="46">
        <v>11.689</v>
      </c>
      <c r="AJ1911" s="46">
        <v>147</v>
      </c>
      <c r="AK1911" s="46">
        <v>63900</v>
      </c>
      <c r="AL1911" s="46">
        <v>649398.26599999995</v>
      </c>
      <c r="AM1911" s="46">
        <v>10.163</v>
      </c>
      <c r="AN1911" s="46" t="s">
        <v>63</v>
      </c>
      <c r="AO1911" s="46">
        <v>7800</v>
      </c>
      <c r="AP1911" s="46">
        <v>188725.965</v>
      </c>
      <c r="AQ1911" s="46">
        <v>24.196000000000002</v>
      </c>
      <c r="AR1911" s="46">
        <v>-97511.4</v>
      </c>
      <c r="AS1911" s="46">
        <v>130</v>
      </c>
      <c r="AT1911" s="46">
        <v>72800</v>
      </c>
      <c r="AU1911" s="46">
        <v>850057.23100000003</v>
      </c>
      <c r="AV1911" s="46">
        <v>11.677</v>
      </c>
      <c r="AW1911" s="46">
        <v>161</v>
      </c>
      <c r="AX1911" s="46">
        <v>69900</v>
      </c>
      <c r="AY1911" s="46">
        <v>724105.41399999999</v>
      </c>
      <c r="AZ1911" s="46">
        <v>10.359</v>
      </c>
      <c r="BA1911" s="46" t="s">
        <v>63</v>
      </c>
      <c r="BB1911" s="46">
        <v>2900</v>
      </c>
      <c r="BC1911" s="46">
        <v>125951.817</v>
      </c>
      <c r="BD1911" s="46">
        <v>43.432000000000002</v>
      </c>
      <c r="BE1911" s="46">
        <v>-92128.2</v>
      </c>
      <c r="BF1911" s="46">
        <v>11933</v>
      </c>
      <c r="BG1911" s="46">
        <v>11.93</v>
      </c>
      <c r="BH1911" s="46">
        <v>74707.148000000001</v>
      </c>
      <c r="BI1911">
        <v>12.45</v>
      </c>
      <c r="BJ1911">
        <v>-62774.148000000001</v>
      </c>
      <c r="BK1911">
        <v>-12.55</v>
      </c>
      <c r="BL1911">
        <v>-8614.08</v>
      </c>
    </row>
    <row r="1912" spans="1:64" x14ac:dyDescent="0.25">
      <c r="A1912" s="136">
        <v>43103</v>
      </c>
      <c r="B1912" s="201" t="s">
        <v>77</v>
      </c>
      <c r="C1912" t="s">
        <v>128</v>
      </c>
      <c r="D1912">
        <v>4200</v>
      </c>
      <c r="E1912">
        <v>4200</v>
      </c>
      <c r="F1912">
        <v>6.0039999999999996</v>
      </c>
      <c r="G1912">
        <v>65.150000000000006</v>
      </c>
      <c r="H1912">
        <v>0.27</v>
      </c>
      <c r="I1912" s="309">
        <v>25284</v>
      </c>
      <c r="J1912">
        <v>6.02</v>
      </c>
      <c r="K1912" s="133">
        <v>4.7630099268933399E-2</v>
      </c>
      <c r="L1912" s="181">
        <v>460.58</v>
      </c>
      <c r="M1912" s="133">
        <v>4.75073694410829E-2</v>
      </c>
      <c r="N1912" s="73">
        <v>-355.79000000000502</v>
      </c>
      <c r="O1912" s="73">
        <v>23.863889900661501</v>
      </c>
      <c r="P1912" s="182">
        <v>7</v>
      </c>
      <c r="Q1912" s="182">
        <v>3500</v>
      </c>
      <c r="R1912" s="46">
        <v>6.7140000000000004</v>
      </c>
      <c r="S1912" s="46">
        <v>1</v>
      </c>
      <c r="T1912" s="46">
        <v>400</v>
      </c>
      <c r="U1912" s="46">
        <v>6.04</v>
      </c>
      <c r="V1912" s="46" t="s">
        <v>62</v>
      </c>
      <c r="W1912" s="46">
        <v>3100</v>
      </c>
      <c r="X1912" s="46">
        <v>6.8010000000000002</v>
      </c>
      <c r="Y1912" s="193">
        <v>6.1440000000000001</v>
      </c>
      <c r="Z1912" s="194">
        <v>5.9749999999999996</v>
      </c>
      <c r="AA1912" s="194">
        <v>6.4219999999999997</v>
      </c>
      <c r="AB1912" s="46">
        <v>5.94</v>
      </c>
      <c r="AC1912" s="46">
        <v>6.08</v>
      </c>
      <c r="AD1912" s="46">
        <v>5.91</v>
      </c>
      <c r="AE1912" s="46">
        <v>6.02</v>
      </c>
      <c r="AF1912" s="46">
        <v>37</v>
      </c>
      <c r="AG1912" s="46">
        <v>18500</v>
      </c>
      <c r="AH1912" s="46">
        <v>136154</v>
      </c>
      <c r="AI1912" s="46">
        <v>7.36</v>
      </c>
      <c r="AJ1912" s="46">
        <v>37</v>
      </c>
      <c r="AK1912" s="46">
        <v>17400</v>
      </c>
      <c r="AL1912" s="46">
        <v>132056.62599999999</v>
      </c>
      <c r="AM1912" s="46">
        <v>7.5890000000000004</v>
      </c>
      <c r="AN1912" s="46" t="s">
        <v>63</v>
      </c>
      <c r="AO1912" s="46">
        <v>1100</v>
      </c>
      <c r="AP1912" s="46">
        <v>4097.3739999999998</v>
      </c>
      <c r="AQ1912" s="46">
        <v>3.7250000000000001</v>
      </c>
      <c r="AR1912" s="46">
        <v>3984.6</v>
      </c>
      <c r="AS1912" s="46">
        <v>44</v>
      </c>
      <c r="AT1912" s="46">
        <v>22000</v>
      </c>
      <c r="AU1912" s="46">
        <v>159689</v>
      </c>
      <c r="AV1912" s="46">
        <v>7.2590000000000003</v>
      </c>
      <c r="AW1912" s="46">
        <v>38</v>
      </c>
      <c r="AX1912" s="46">
        <v>17800</v>
      </c>
      <c r="AY1912" s="46">
        <v>134465.21</v>
      </c>
      <c r="AZ1912" s="46">
        <v>7.5540000000000003</v>
      </c>
      <c r="BA1912" s="46" t="s">
        <v>63</v>
      </c>
      <c r="BB1912" s="46">
        <v>4200</v>
      </c>
      <c r="BC1912" s="46">
        <v>25223.79</v>
      </c>
      <c r="BD1912" s="46">
        <v>6.0060000000000002</v>
      </c>
      <c r="BE1912" s="46">
        <v>5251</v>
      </c>
      <c r="BF1912" s="46">
        <v>23535</v>
      </c>
      <c r="BG1912" s="46">
        <v>6.72</v>
      </c>
      <c r="BH1912" s="46">
        <v>2408.5839999999998</v>
      </c>
      <c r="BI1912">
        <v>6.02</v>
      </c>
      <c r="BJ1912">
        <v>21126.416000000001</v>
      </c>
      <c r="BK1912">
        <v>6.81</v>
      </c>
      <c r="BL1912">
        <v>661.89</v>
      </c>
    </row>
    <row r="1913" spans="1:64" x14ac:dyDescent="0.25">
      <c r="A1913" s="136">
        <v>43103</v>
      </c>
      <c r="B1913" s="201" t="s">
        <v>67</v>
      </c>
      <c r="C1913" t="s">
        <v>129</v>
      </c>
      <c r="D1913">
        <v>7650</v>
      </c>
      <c r="E1913">
        <v>7650</v>
      </c>
      <c r="F1913">
        <v>8.6769999999999996</v>
      </c>
      <c r="G1913">
        <v>253.06</v>
      </c>
      <c r="H1913">
        <v>0.38</v>
      </c>
      <c r="I1913" s="309">
        <v>66631.5</v>
      </c>
      <c r="J1913">
        <v>8.7100000000000009</v>
      </c>
      <c r="K1913" s="133">
        <v>0.12552068341393499</v>
      </c>
      <c r="L1913" s="181">
        <v>-153</v>
      </c>
      <c r="M1913" s="133">
        <v>0.125043967984375</v>
      </c>
      <c r="N1913" s="73">
        <v>38729.450999999899</v>
      </c>
      <c r="O1913" s="73">
        <v>149.281818926527</v>
      </c>
      <c r="P1913" s="182">
        <v>6</v>
      </c>
      <c r="Q1913" s="182">
        <v>3000</v>
      </c>
      <c r="R1913" s="46">
        <v>6.1079999999999997</v>
      </c>
      <c r="S1913" s="46">
        <v>5</v>
      </c>
      <c r="T1913" s="46">
        <v>2000</v>
      </c>
      <c r="U1913" s="46">
        <v>8.7100000000000009</v>
      </c>
      <c r="V1913" s="46" t="s">
        <v>62</v>
      </c>
      <c r="W1913" s="46">
        <v>1000</v>
      </c>
      <c r="X1913" s="46">
        <v>0.90400000000000003</v>
      </c>
      <c r="Y1913" s="194">
        <v>8.73</v>
      </c>
      <c r="Z1913" s="194">
        <v>7.4960000000000004</v>
      </c>
      <c r="AA1913" s="194">
        <v>8.6940000000000008</v>
      </c>
      <c r="AB1913" s="46">
        <v>8.74</v>
      </c>
      <c r="AC1913" s="46">
        <v>8.85</v>
      </c>
      <c r="AD1913" s="46">
        <v>8.66</v>
      </c>
      <c r="AE1913" s="46">
        <v>8.7100000000000009</v>
      </c>
      <c r="AF1913" s="46">
        <v>149</v>
      </c>
      <c r="AG1913" s="46">
        <v>74500</v>
      </c>
      <c r="AH1913" s="46">
        <v>622057</v>
      </c>
      <c r="AI1913" s="46">
        <v>8.35</v>
      </c>
      <c r="AJ1913" s="46">
        <v>150</v>
      </c>
      <c r="AK1913" s="46">
        <v>70450</v>
      </c>
      <c r="AL1913" s="46">
        <v>625781.84100000001</v>
      </c>
      <c r="AM1913" s="46">
        <v>8.8829999999999991</v>
      </c>
      <c r="AN1913" s="46" t="s">
        <v>63</v>
      </c>
      <c r="AO1913" s="46">
        <v>4050</v>
      </c>
      <c r="AP1913" s="46">
        <v>3724.8409999999999</v>
      </c>
      <c r="AQ1913" s="46">
        <v>0.92</v>
      </c>
      <c r="AR1913" s="46">
        <v>37549.85</v>
      </c>
      <c r="AS1913" s="46">
        <v>155</v>
      </c>
      <c r="AT1913" s="46">
        <v>77500</v>
      </c>
      <c r="AU1913" s="46">
        <v>640412</v>
      </c>
      <c r="AV1913" s="46">
        <v>8.2629999999999999</v>
      </c>
      <c r="AW1913" s="46">
        <v>155</v>
      </c>
      <c r="AX1913" s="46">
        <v>72450</v>
      </c>
      <c r="AY1913" s="46">
        <v>643159.42099999997</v>
      </c>
      <c r="AZ1913" s="46">
        <v>8.8770000000000007</v>
      </c>
      <c r="BA1913" s="46" t="s">
        <v>63</v>
      </c>
      <c r="BB1913" s="46">
        <v>5050</v>
      </c>
      <c r="BC1913" s="46">
        <v>2747.4209999999998</v>
      </c>
      <c r="BD1913" s="46">
        <v>0.54400000000000004</v>
      </c>
      <c r="BE1913" s="46">
        <v>44484.3</v>
      </c>
      <c r="BF1913" s="46">
        <v>18355</v>
      </c>
      <c r="BG1913" s="46">
        <v>6.12</v>
      </c>
      <c r="BH1913" s="46">
        <v>17377.5800000001</v>
      </c>
      <c r="BI1913">
        <v>8.69</v>
      </c>
      <c r="BJ1913">
        <v>-977.42</v>
      </c>
      <c r="BK1913">
        <v>-0.98</v>
      </c>
      <c r="BL1913">
        <v>4311.12</v>
      </c>
    </row>
    <row r="1914" spans="1:64" x14ac:dyDescent="0.25">
      <c r="A1914" s="136">
        <v>43103</v>
      </c>
      <c r="B1914" s="201" t="s">
        <v>78</v>
      </c>
      <c r="C1914" t="s">
        <v>142</v>
      </c>
      <c r="D1914">
        <v>1300</v>
      </c>
      <c r="E1914">
        <v>1300</v>
      </c>
      <c r="F1914">
        <v>10.271000000000001</v>
      </c>
      <c r="G1914">
        <v>-195.68</v>
      </c>
      <c r="H1914">
        <v>-1.47</v>
      </c>
      <c r="I1914" s="309">
        <v>13156</v>
      </c>
      <c r="J1914">
        <v>10.119999999999999</v>
      </c>
      <c r="K1914" s="133">
        <v>2.4783324868774201E-2</v>
      </c>
      <c r="L1914" s="181">
        <v>65</v>
      </c>
      <c r="M1914" s="133">
        <v>2.51519476272359E-2</v>
      </c>
      <c r="N1914" s="73">
        <v>-299.67600000000101</v>
      </c>
      <c r="O1914" s="73">
        <v>-29.833283067729202</v>
      </c>
      <c r="P1914" s="182">
        <v>2</v>
      </c>
      <c r="Q1914" s="182">
        <v>1000</v>
      </c>
      <c r="R1914" s="46">
        <v>10.385</v>
      </c>
      <c r="S1914" s="46">
        <v>0</v>
      </c>
      <c r="T1914" s="46">
        <v>0</v>
      </c>
      <c r="U1914" s="46">
        <v>0</v>
      </c>
      <c r="V1914" s="46" t="s">
        <v>62</v>
      </c>
      <c r="W1914" s="46">
        <v>1000</v>
      </c>
      <c r="X1914" s="46">
        <v>10.385</v>
      </c>
      <c r="Y1914" s="194">
        <v>10.039999999999999</v>
      </c>
      <c r="Z1914" s="194">
        <v>10.938000000000001</v>
      </c>
      <c r="AA1914" s="194">
        <v>10.917</v>
      </c>
      <c r="AB1914" s="46">
        <v>10.1</v>
      </c>
      <c r="AC1914" s="46">
        <v>10.15</v>
      </c>
      <c r="AD1914" s="46">
        <v>10.029999999999999</v>
      </c>
      <c r="AE1914" s="46">
        <v>10.119999999999999</v>
      </c>
      <c r="AF1914" s="46">
        <v>3</v>
      </c>
      <c r="AG1914" s="46">
        <v>1500</v>
      </c>
      <c r="AH1914" s="46">
        <v>15605</v>
      </c>
      <c r="AI1914" s="46">
        <v>10.403</v>
      </c>
      <c r="AJ1914" s="46">
        <v>3</v>
      </c>
      <c r="AK1914" s="46">
        <v>1200</v>
      </c>
      <c r="AL1914" s="46">
        <v>12648.324000000001</v>
      </c>
      <c r="AM1914" s="46">
        <v>10.54</v>
      </c>
      <c r="AN1914" s="46" t="s">
        <v>63</v>
      </c>
      <c r="AO1914" s="46">
        <v>300</v>
      </c>
      <c r="AP1914" s="46">
        <v>2956.6759999999999</v>
      </c>
      <c r="AQ1914" s="46">
        <v>9.8559999999999999</v>
      </c>
      <c r="AR1914" s="46">
        <v>164.4</v>
      </c>
      <c r="AS1914" s="46">
        <v>5</v>
      </c>
      <c r="AT1914" s="46">
        <v>2500</v>
      </c>
      <c r="AU1914" s="46">
        <v>26000</v>
      </c>
      <c r="AV1914" s="46">
        <v>10.4</v>
      </c>
      <c r="AW1914" s="46">
        <v>3</v>
      </c>
      <c r="AX1914" s="46">
        <v>1200</v>
      </c>
      <c r="AY1914" s="46">
        <v>12648.324000000001</v>
      </c>
      <c r="AZ1914" s="46">
        <v>10.54</v>
      </c>
      <c r="BA1914" s="46" t="s">
        <v>63</v>
      </c>
      <c r="BB1914" s="46">
        <v>1300</v>
      </c>
      <c r="BC1914" s="46">
        <v>13351.675999999999</v>
      </c>
      <c r="BD1914" s="46">
        <v>10.271000000000001</v>
      </c>
      <c r="BE1914" s="46">
        <v>168</v>
      </c>
      <c r="BF1914" s="46">
        <v>10395</v>
      </c>
      <c r="BG1914" s="46">
        <v>10.4</v>
      </c>
      <c r="BH1914" s="46">
        <v>0</v>
      </c>
      <c r="BJ1914">
        <v>10395</v>
      </c>
      <c r="BK1914">
        <v>10.4</v>
      </c>
      <c r="BL1914">
        <v>16.25</v>
      </c>
    </row>
    <row r="1915" spans="1:64" x14ac:dyDescent="0.25">
      <c r="A1915" s="136">
        <v>43103</v>
      </c>
      <c r="B1915" s="201" t="s">
        <v>72</v>
      </c>
      <c r="C1915" t="s">
        <v>130</v>
      </c>
      <c r="D1915">
        <v>1700</v>
      </c>
      <c r="E1915">
        <v>1700</v>
      </c>
      <c r="F1915">
        <v>7.17</v>
      </c>
      <c r="G1915">
        <v>238.18</v>
      </c>
      <c r="H1915">
        <v>1.95</v>
      </c>
      <c r="I1915" s="309">
        <v>12427</v>
      </c>
      <c r="J1915">
        <v>7.31</v>
      </c>
      <c r="K1915" s="133">
        <v>2.3410031783540401E-2</v>
      </c>
      <c r="L1915" s="181">
        <v>17</v>
      </c>
      <c r="M1915" s="133">
        <v>2.2961347356872299E-2</v>
      </c>
      <c r="N1915" s="73">
        <v>-153.543999999992</v>
      </c>
      <c r="O1915" s="73">
        <v>9.4496417475757397</v>
      </c>
      <c r="P1915" s="182">
        <v>0</v>
      </c>
      <c r="Q1915" s="182">
        <v>0</v>
      </c>
      <c r="R1915" s="46">
        <v>0</v>
      </c>
      <c r="S1915" s="46">
        <v>13</v>
      </c>
      <c r="T1915" s="46">
        <v>5400</v>
      </c>
      <c r="U1915" s="46">
        <v>8.1059999999999999</v>
      </c>
      <c r="V1915" s="46" t="s">
        <v>68</v>
      </c>
      <c r="W1915" s="46">
        <v>5400</v>
      </c>
      <c r="X1915" s="46">
        <v>8.1059999999999999</v>
      </c>
      <c r="Y1915" s="194">
        <v>7.2750000000000004</v>
      </c>
      <c r="Z1915" s="194">
        <v>6.9779999999999998</v>
      </c>
      <c r="AA1915" s="194">
        <v>7.0890000000000004</v>
      </c>
      <c r="AB1915" s="46">
        <v>7.3</v>
      </c>
      <c r="AC1915" s="46">
        <v>7.35</v>
      </c>
      <c r="AD1915" s="46">
        <v>7.24</v>
      </c>
      <c r="AE1915" s="46">
        <v>7.31</v>
      </c>
      <c r="AF1915" s="46">
        <v>23</v>
      </c>
      <c r="AG1915" s="46">
        <v>11500</v>
      </c>
      <c r="AH1915" s="46">
        <v>91620</v>
      </c>
      <c r="AI1915" s="46">
        <v>7.9669999999999996</v>
      </c>
      <c r="AJ1915" s="46">
        <v>23</v>
      </c>
      <c r="AK1915" s="46">
        <v>11000</v>
      </c>
      <c r="AL1915" s="46">
        <v>36502.411</v>
      </c>
      <c r="AM1915" s="46">
        <v>3.3180000000000001</v>
      </c>
      <c r="AN1915" s="46" t="s">
        <v>63</v>
      </c>
      <c r="AO1915" s="46">
        <v>500</v>
      </c>
      <c r="AP1915" s="46">
        <v>55117.589</v>
      </c>
      <c r="AQ1915" s="46">
        <v>110.235</v>
      </c>
      <c r="AR1915" s="46">
        <v>-51139</v>
      </c>
      <c r="AS1915" s="46">
        <v>23</v>
      </c>
      <c r="AT1915" s="46">
        <v>11500</v>
      </c>
      <c r="AU1915" s="46">
        <v>91620</v>
      </c>
      <c r="AV1915" s="46">
        <v>7.9669999999999996</v>
      </c>
      <c r="AW1915" s="46">
        <v>37</v>
      </c>
      <c r="AX1915" s="46">
        <v>16900</v>
      </c>
      <c r="AY1915" s="46">
        <v>80163.641000000003</v>
      </c>
      <c r="AZ1915" s="46">
        <v>4.7430000000000003</v>
      </c>
      <c r="BA1915" s="46" t="s">
        <v>69</v>
      </c>
      <c r="BB1915" s="46">
        <v>5400</v>
      </c>
      <c r="BC1915" s="46">
        <v>11456.359</v>
      </c>
      <c r="BD1915" s="46">
        <v>2.1219999999999999</v>
      </c>
      <c r="BE1915" s="46">
        <v>-37076</v>
      </c>
      <c r="BF1915" s="46">
        <v>0</v>
      </c>
      <c r="BH1915" s="46">
        <v>43661.23</v>
      </c>
      <c r="BI1915">
        <v>8.09</v>
      </c>
      <c r="BJ1915">
        <v>-43661.23</v>
      </c>
      <c r="BK1915">
        <v>-8.09</v>
      </c>
      <c r="BL1915">
        <v>-6995.76</v>
      </c>
    </row>
    <row r="1916" spans="1:64" x14ac:dyDescent="0.25">
      <c r="A1916" s="136">
        <v>43103</v>
      </c>
      <c r="B1916" s="201" t="s">
        <v>70</v>
      </c>
      <c r="C1916" t="s">
        <v>131</v>
      </c>
      <c r="D1916">
        <v>9600</v>
      </c>
      <c r="E1916">
        <v>9600</v>
      </c>
      <c r="F1916">
        <v>12.311</v>
      </c>
      <c r="G1916">
        <v>-10085.700000000001</v>
      </c>
      <c r="H1916">
        <v>-8.5399999999999991</v>
      </c>
      <c r="I1916" s="309">
        <v>108096</v>
      </c>
      <c r="J1916">
        <v>11.26</v>
      </c>
      <c r="K1916" s="133">
        <v>0.20363167262199899</v>
      </c>
      <c r="L1916" s="181">
        <v>1478.51</v>
      </c>
      <c r="M1916" s="133">
        <v>0.22263115419915</v>
      </c>
      <c r="N1916" s="73">
        <v>-10372.686</v>
      </c>
      <c r="O1916" s="73">
        <v>-923.19676375779397</v>
      </c>
      <c r="P1916" s="182">
        <v>0</v>
      </c>
      <c r="Q1916" s="182">
        <v>0</v>
      </c>
      <c r="R1916" s="46">
        <v>0</v>
      </c>
      <c r="S1916" s="46">
        <v>5</v>
      </c>
      <c r="T1916" s="46">
        <v>2000</v>
      </c>
      <c r="U1916" s="46">
        <v>13.087999999999999</v>
      </c>
      <c r="V1916" s="46" t="s">
        <v>68</v>
      </c>
      <c r="W1916" s="46">
        <v>2000</v>
      </c>
      <c r="X1916" s="46">
        <v>13.087999999999999</v>
      </c>
      <c r="Y1916" s="193">
        <v>11.233000000000001</v>
      </c>
      <c r="Z1916" s="194">
        <v>12.332000000000001</v>
      </c>
      <c r="AA1916" s="194">
        <v>12.193</v>
      </c>
      <c r="AB1916" s="46">
        <v>11.15</v>
      </c>
      <c r="AC1916" s="46">
        <v>11.3</v>
      </c>
      <c r="AD1916" s="46">
        <v>11.05</v>
      </c>
      <c r="AE1916" s="46">
        <v>11.26</v>
      </c>
      <c r="AF1916" s="46">
        <v>122</v>
      </c>
      <c r="AG1916" s="46">
        <v>60600</v>
      </c>
      <c r="AH1916" s="46">
        <v>820933</v>
      </c>
      <c r="AI1916" s="46">
        <v>13.547000000000001</v>
      </c>
      <c r="AJ1916" s="46">
        <v>122</v>
      </c>
      <c r="AK1916" s="46">
        <v>49000</v>
      </c>
      <c r="AL1916" s="46">
        <v>676222.49</v>
      </c>
      <c r="AM1916" s="46">
        <v>13.8</v>
      </c>
      <c r="AN1916" s="46" t="s">
        <v>63</v>
      </c>
      <c r="AO1916" s="46">
        <v>11600</v>
      </c>
      <c r="AP1916" s="46">
        <v>144710.51</v>
      </c>
      <c r="AQ1916" s="46">
        <v>12.475</v>
      </c>
      <c r="AR1916" s="46">
        <v>12397</v>
      </c>
      <c r="AS1916" s="46">
        <v>122</v>
      </c>
      <c r="AT1916" s="46">
        <v>60600</v>
      </c>
      <c r="AU1916" s="46">
        <v>820933</v>
      </c>
      <c r="AV1916" s="46">
        <v>13.547000000000001</v>
      </c>
      <c r="AW1916" s="46">
        <v>128</v>
      </c>
      <c r="AX1916" s="46">
        <v>51000</v>
      </c>
      <c r="AY1916" s="46">
        <v>702752.31400000001</v>
      </c>
      <c r="AZ1916" s="46">
        <v>13.779</v>
      </c>
      <c r="BA1916" s="46" t="s">
        <v>63</v>
      </c>
      <c r="BB1916" s="46">
        <v>9600</v>
      </c>
      <c r="BC1916" s="46">
        <v>118180.686</v>
      </c>
      <c r="BD1916" s="46">
        <v>12.31</v>
      </c>
      <c r="BE1916" s="46">
        <v>11832</v>
      </c>
      <c r="BF1916" s="46">
        <v>0</v>
      </c>
      <c r="BH1916" s="46">
        <v>26529.823999999899</v>
      </c>
      <c r="BI1916">
        <v>13.26</v>
      </c>
      <c r="BJ1916">
        <v>-26529.824000000001</v>
      </c>
      <c r="BK1916">
        <v>-13.26</v>
      </c>
      <c r="BL1916">
        <v>1100.98</v>
      </c>
    </row>
    <row r="1917" spans="1:64" x14ac:dyDescent="0.25">
      <c r="A1917" s="136">
        <v>43103</v>
      </c>
      <c r="B1917" s="201" t="s">
        <v>146</v>
      </c>
      <c r="C1917" t="s">
        <v>147</v>
      </c>
      <c r="D1917">
        <v>40</v>
      </c>
      <c r="E1917">
        <v>40</v>
      </c>
      <c r="F1917">
        <v>100</v>
      </c>
      <c r="G1917">
        <v>0</v>
      </c>
      <c r="H1917">
        <v>0</v>
      </c>
      <c r="I1917" s="309">
        <v>4000</v>
      </c>
      <c r="J1917">
        <v>0</v>
      </c>
      <c r="K1917" s="133">
        <v>7.5352158311870502E-3</v>
      </c>
      <c r="L1917" s="181">
        <v>0</v>
      </c>
      <c r="M1917" s="133">
        <v>7.5352158311870502E-3</v>
      </c>
    </row>
    <row r="1918" spans="1:64" x14ac:dyDescent="0.25">
      <c r="A1918" s="136">
        <v>43103</v>
      </c>
      <c r="B1918" s="201" t="s">
        <v>137</v>
      </c>
      <c r="C1918" t="s">
        <v>138</v>
      </c>
      <c r="D1918">
        <v>100</v>
      </c>
      <c r="E1918">
        <v>100</v>
      </c>
      <c r="F1918">
        <v>-130.48500000000001</v>
      </c>
      <c r="G1918">
        <v>16814.5</v>
      </c>
      <c r="H1918">
        <v>0</v>
      </c>
      <c r="I1918" s="309">
        <v>3766</v>
      </c>
      <c r="J1918">
        <v>37.659999999999997</v>
      </c>
      <c r="K1918" s="133">
        <v>7.0944057050626097E-3</v>
      </c>
      <c r="L1918" s="181">
        <v>-52</v>
      </c>
      <c r="M1918" s="133">
        <v>0</v>
      </c>
    </row>
    <row r="1919" spans="1:64" x14ac:dyDescent="0.25">
      <c r="A1919" s="136">
        <v>43103</v>
      </c>
      <c r="B1919" s="201" t="s">
        <v>835</v>
      </c>
      <c r="C1919" t="s">
        <v>839</v>
      </c>
      <c r="I1919" s="309">
        <v>707.65</v>
      </c>
      <c r="K1919" s="133">
        <v>1.33307387073488E-3</v>
      </c>
      <c r="L1919" s="181">
        <v>0</v>
      </c>
      <c r="M1919" s="133">
        <v>8.6604684492977896E-2</v>
      </c>
    </row>
    <row r="1920" spans="1:64" x14ac:dyDescent="0.25">
      <c r="A1920" s="136">
        <v>43104</v>
      </c>
      <c r="B1920" s="201" t="s">
        <v>132</v>
      </c>
      <c r="C1920" t="s">
        <v>123</v>
      </c>
      <c r="D1920">
        <v>2526568</v>
      </c>
      <c r="E1920">
        <v>2526568</v>
      </c>
      <c r="F1920">
        <v>8.9999999999999993E-3</v>
      </c>
      <c r="G1920">
        <v>2735.17</v>
      </c>
      <c r="H1920">
        <v>11.11</v>
      </c>
      <c r="I1920" s="309">
        <v>25265.68</v>
      </c>
      <c r="J1920">
        <v>0.01</v>
      </c>
      <c r="K1920" s="133">
        <v>4.7640399540311303E-2</v>
      </c>
      <c r="L1920" s="181">
        <v>3.0000000000200099E-2</v>
      </c>
      <c r="M1920" s="133">
        <v>0</v>
      </c>
    </row>
    <row r="1921" spans="1:64" x14ac:dyDescent="0.25">
      <c r="A1921" s="136">
        <v>43104</v>
      </c>
      <c r="B1921" s="201" t="s">
        <v>61</v>
      </c>
      <c r="C1921" t="s">
        <v>136</v>
      </c>
      <c r="D1921">
        <v>3500</v>
      </c>
      <c r="E1921">
        <v>3500</v>
      </c>
      <c r="F1921">
        <v>5.3070000000000004</v>
      </c>
      <c r="G1921">
        <v>-408.52</v>
      </c>
      <c r="H1921">
        <v>-2.2000000000000002</v>
      </c>
      <c r="I1921" s="309">
        <v>18165</v>
      </c>
      <c r="J1921">
        <v>5.19</v>
      </c>
      <c r="K1921" s="133">
        <v>3.4251516588896601E-2</v>
      </c>
      <c r="L1921" s="181">
        <v>0</v>
      </c>
      <c r="M1921" s="133">
        <v>3.5021812738464303E-2</v>
      </c>
      <c r="N1921" s="73">
        <v>-587.26800000000003</v>
      </c>
      <c r="O1921" s="73">
        <v>-114.19734747081699</v>
      </c>
      <c r="P1921" s="182">
        <v>6</v>
      </c>
      <c r="Q1921" s="182">
        <v>3000</v>
      </c>
      <c r="R1921" s="46">
        <v>5.31</v>
      </c>
      <c r="S1921" s="46">
        <v>0</v>
      </c>
      <c r="T1921" s="46">
        <v>0</v>
      </c>
      <c r="U1921" s="46">
        <v>0</v>
      </c>
      <c r="V1921" s="46" t="s">
        <v>62</v>
      </c>
      <c r="W1921" s="46">
        <v>3000</v>
      </c>
      <c r="X1921" s="46">
        <v>5.31</v>
      </c>
      <c r="Y1921" s="194">
        <v>5.1660000000000004</v>
      </c>
      <c r="Z1921" s="194">
        <v>5.0449999999999999</v>
      </c>
      <c r="AA1921" s="194">
        <v>5.1420000000000003</v>
      </c>
      <c r="AB1921" s="46">
        <v>5.18</v>
      </c>
      <c r="AC1921" s="46">
        <v>5.2</v>
      </c>
      <c r="AD1921" s="46">
        <v>5.17</v>
      </c>
      <c r="AE1921" s="46">
        <v>5.19</v>
      </c>
      <c r="AF1921" s="46">
        <v>5</v>
      </c>
      <c r="AG1921" s="46">
        <v>2500</v>
      </c>
      <c r="AH1921" s="46">
        <v>13346.5</v>
      </c>
      <c r="AI1921" s="46">
        <v>5.3390000000000004</v>
      </c>
      <c r="AJ1921" s="46">
        <v>5</v>
      </c>
      <c r="AK1921" s="46">
        <v>2000</v>
      </c>
      <c r="AL1921" s="46">
        <v>10731.031999999999</v>
      </c>
      <c r="AM1921" s="46">
        <v>5.3659999999999997</v>
      </c>
      <c r="AN1921" s="46" t="s">
        <v>63</v>
      </c>
      <c r="AO1921" s="46">
        <v>500</v>
      </c>
      <c r="AP1921" s="46">
        <v>2615.4679999999998</v>
      </c>
      <c r="AQ1921" s="46">
        <v>5.2309999999999999</v>
      </c>
      <c r="AR1921" s="46">
        <v>54</v>
      </c>
      <c r="AS1921" s="46">
        <v>11</v>
      </c>
      <c r="AT1921" s="46">
        <v>5500</v>
      </c>
      <c r="AU1921" s="46">
        <v>29308.3</v>
      </c>
      <c r="AV1921" s="46">
        <v>5.3289999999999997</v>
      </c>
      <c r="AW1921" s="46">
        <v>5</v>
      </c>
      <c r="AX1921" s="46">
        <v>2000</v>
      </c>
      <c r="AY1921" s="46">
        <v>10731.031999999999</v>
      </c>
      <c r="AZ1921" s="46">
        <v>5.3659999999999997</v>
      </c>
      <c r="BA1921" s="46" t="s">
        <v>63</v>
      </c>
      <c r="BB1921" s="46">
        <v>3500</v>
      </c>
      <c r="BC1921" s="46">
        <v>18577.268</v>
      </c>
      <c r="BD1921" s="46">
        <v>5.3079999999999998</v>
      </c>
      <c r="BE1921" s="46">
        <v>74</v>
      </c>
      <c r="BF1921" s="46">
        <v>15961.8</v>
      </c>
      <c r="BG1921" s="46">
        <v>5.32</v>
      </c>
      <c r="BH1921" s="46">
        <v>0</v>
      </c>
      <c r="BJ1921">
        <v>15961.8</v>
      </c>
      <c r="BK1921">
        <v>5.32</v>
      </c>
      <c r="BL1921">
        <v>10.4</v>
      </c>
    </row>
    <row r="1922" spans="1:64" x14ac:dyDescent="0.25">
      <c r="A1922" s="136">
        <v>43104</v>
      </c>
      <c r="B1922" s="201" t="s">
        <v>124</v>
      </c>
      <c r="C1922" t="s">
        <v>125</v>
      </c>
      <c r="D1922">
        <v>100</v>
      </c>
      <c r="E1922">
        <v>100</v>
      </c>
      <c r="F1922">
        <v>-53.579000000000001</v>
      </c>
      <c r="G1922">
        <v>5964.9</v>
      </c>
      <c r="H1922">
        <v>0</v>
      </c>
      <c r="I1922" s="309">
        <v>607</v>
      </c>
      <c r="J1922">
        <v>6.07</v>
      </c>
      <c r="K1922" s="133">
        <v>1.1445455859873501E-3</v>
      </c>
      <c r="L1922" s="181">
        <v>-9</v>
      </c>
      <c r="M1922" s="133">
        <v>0</v>
      </c>
      <c r="Y1922" s="193">
        <v>6.1890000000000001</v>
      </c>
      <c r="Z1922" s="193">
        <v>5.14</v>
      </c>
      <c r="AA1922" s="193">
        <v>5.88</v>
      </c>
      <c r="AB1922" s="46">
        <v>6.18</v>
      </c>
      <c r="AC1922" s="46">
        <v>6.18</v>
      </c>
      <c r="AD1922" s="46">
        <v>6.06</v>
      </c>
      <c r="AE1922" s="46">
        <v>6.07</v>
      </c>
    </row>
    <row r="1923" spans="1:64" x14ac:dyDescent="0.25">
      <c r="A1923" s="136">
        <v>43104</v>
      </c>
      <c r="B1923" s="201" t="s">
        <v>71</v>
      </c>
      <c r="C1923" t="s">
        <v>126</v>
      </c>
      <c r="D1923">
        <v>2800</v>
      </c>
      <c r="E1923">
        <v>2800</v>
      </c>
      <c r="F1923">
        <v>5.9390000000000001</v>
      </c>
      <c r="G1923">
        <v>1262.3800000000001</v>
      </c>
      <c r="H1923">
        <v>7.59</v>
      </c>
      <c r="I1923" s="309">
        <v>17892</v>
      </c>
      <c r="J1923">
        <v>6.39</v>
      </c>
      <c r="K1923" s="133">
        <v>3.3736753911838099E-2</v>
      </c>
      <c r="L1923" s="181">
        <v>56</v>
      </c>
      <c r="M1923" s="133">
        <v>3.1356438496947303E-2</v>
      </c>
      <c r="N1923" s="73">
        <v>2864.0619999999999</v>
      </c>
      <c r="O1923" s="73">
        <v>228.52771916537799</v>
      </c>
      <c r="P1923" s="182">
        <v>2</v>
      </c>
      <c r="Q1923" s="182">
        <v>1000</v>
      </c>
      <c r="R1923" s="46">
        <v>6.45</v>
      </c>
      <c r="S1923" s="46">
        <v>2</v>
      </c>
      <c r="T1923" s="46">
        <v>900</v>
      </c>
      <c r="U1923" s="46">
        <v>6.3920000000000003</v>
      </c>
      <c r="V1923" s="46" t="s">
        <v>62</v>
      </c>
      <c r="W1923" s="46">
        <v>100</v>
      </c>
      <c r="X1923" s="46">
        <v>6.9720000000000004</v>
      </c>
      <c r="Y1923" s="194">
        <v>6.0910000000000002</v>
      </c>
      <c r="Z1923" s="194">
        <v>6.2539999999999996</v>
      </c>
      <c r="AA1923" s="194">
        <v>6.4980000000000002</v>
      </c>
      <c r="AB1923" s="46">
        <v>6.37</v>
      </c>
      <c r="AC1923" s="46">
        <v>6.4</v>
      </c>
      <c r="AD1923" s="46">
        <v>6.31</v>
      </c>
      <c r="AE1923" s="46">
        <v>6.39</v>
      </c>
      <c r="AF1923" s="46">
        <v>39</v>
      </c>
      <c r="AG1923" s="46">
        <v>19600</v>
      </c>
      <c r="AH1923" s="46">
        <v>124862.76</v>
      </c>
      <c r="AI1923" s="46">
        <v>6.3710000000000004</v>
      </c>
      <c r="AJ1923" s="46">
        <v>37</v>
      </c>
      <c r="AK1923" s="46">
        <v>16900</v>
      </c>
      <c r="AL1923" s="46">
        <v>108788.76700000001</v>
      </c>
      <c r="AM1923" s="46">
        <v>6.4370000000000003</v>
      </c>
      <c r="AN1923" s="46" t="s">
        <v>63</v>
      </c>
      <c r="AO1923" s="46">
        <v>2700</v>
      </c>
      <c r="AP1923" s="46">
        <v>16073.993</v>
      </c>
      <c r="AQ1923" s="46">
        <v>5.9530000000000003</v>
      </c>
      <c r="AR1923" s="46">
        <v>1115.4000000000001</v>
      </c>
      <c r="AS1923" s="46">
        <v>41</v>
      </c>
      <c r="AT1923" s="46">
        <v>20600</v>
      </c>
      <c r="AU1923" s="46">
        <v>131323.35999999999</v>
      </c>
      <c r="AV1923" s="46">
        <v>6.375</v>
      </c>
      <c r="AW1923" s="46">
        <v>39</v>
      </c>
      <c r="AX1923" s="46">
        <v>17800</v>
      </c>
      <c r="AY1923" s="46">
        <v>114525.474</v>
      </c>
      <c r="AZ1923" s="46">
        <v>6.4340000000000002</v>
      </c>
      <c r="BA1923" s="46" t="s">
        <v>63</v>
      </c>
      <c r="BB1923" s="46">
        <v>2800</v>
      </c>
      <c r="BC1923" s="46">
        <v>16797.885999999999</v>
      </c>
      <c r="BD1923" s="46">
        <v>5.9989999999999997</v>
      </c>
      <c r="BE1923" s="46">
        <v>1050.2</v>
      </c>
      <c r="BF1923" s="46">
        <v>6460.6000000000204</v>
      </c>
      <c r="BG1923" s="46">
        <v>6.46</v>
      </c>
      <c r="BH1923" s="46">
        <v>5736.7069999999903</v>
      </c>
      <c r="BI1923">
        <v>6.37</v>
      </c>
      <c r="BJ1923">
        <v>723.89299999999798</v>
      </c>
      <c r="BK1923">
        <v>7.24</v>
      </c>
      <c r="BL1923">
        <v>174.55</v>
      </c>
    </row>
    <row r="1924" spans="1:64" x14ac:dyDescent="0.25">
      <c r="A1924" s="136">
        <v>43104</v>
      </c>
      <c r="B1924" s="201" t="s">
        <v>79</v>
      </c>
      <c r="C1924" t="s">
        <v>143</v>
      </c>
      <c r="D1924">
        <v>4700</v>
      </c>
      <c r="E1924">
        <v>4700</v>
      </c>
      <c r="F1924">
        <v>17.062000000000001</v>
      </c>
      <c r="G1924">
        <v>-6493.57</v>
      </c>
      <c r="H1924">
        <v>-8.1</v>
      </c>
      <c r="I1924" s="309">
        <v>73696</v>
      </c>
      <c r="J1924">
        <v>15.68</v>
      </c>
      <c r="K1924" s="133">
        <v>0.13895952471980899</v>
      </c>
      <c r="L1924" s="181">
        <v>914.59</v>
      </c>
      <c r="M1924" s="133">
        <v>0.15120365467170299</v>
      </c>
      <c r="N1924" s="73">
        <v>-6401.2600000000202</v>
      </c>
      <c r="O1924" s="73">
        <v>-407.51970509554297</v>
      </c>
      <c r="P1924" s="182">
        <v>8</v>
      </c>
      <c r="Q1924" s="182">
        <v>4500</v>
      </c>
      <c r="R1924" s="46">
        <v>17.18</v>
      </c>
      <c r="S1924" s="46">
        <v>0</v>
      </c>
      <c r="T1924" s="46">
        <v>0</v>
      </c>
      <c r="U1924" s="46">
        <v>0</v>
      </c>
      <c r="V1924" s="46" t="s">
        <v>62</v>
      </c>
      <c r="W1924" s="46">
        <v>4500</v>
      </c>
      <c r="X1924" s="46">
        <v>17.18</v>
      </c>
      <c r="Y1924" s="193">
        <v>16.193999999999999</v>
      </c>
      <c r="Z1924" s="194">
        <v>15.574</v>
      </c>
      <c r="AA1924" s="194">
        <v>15.509</v>
      </c>
      <c r="AB1924" s="46">
        <v>15.49</v>
      </c>
      <c r="AC1924" s="46">
        <v>15.76</v>
      </c>
      <c r="AD1924" s="46">
        <v>15.44</v>
      </c>
      <c r="AE1924" s="46">
        <v>15.68</v>
      </c>
      <c r="AF1924" s="46">
        <v>2</v>
      </c>
      <c r="AG1924" s="46">
        <v>1000</v>
      </c>
      <c r="AH1924" s="46">
        <v>15295.6</v>
      </c>
      <c r="AI1924" s="46">
        <v>15.295999999999999</v>
      </c>
      <c r="AJ1924" s="46">
        <v>2</v>
      </c>
      <c r="AK1924" s="46">
        <v>800</v>
      </c>
      <c r="AL1924" s="46">
        <v>12457.04</v>
      </c>
      <c r="AM1924" s="46">
        <v>15.571</v>
      </c>
      <c r="AN1924" s="46" t="s">
        <v>63</v>
      </c>
      <c r="AO1924" s="46">
        <v>200</v>
      </c>
      <c r="AP1924" s="46">
        <v>2838.56</v>
      </c>
      <c r="AQ1924" s="46">
        <v>14.193</v>
      </c>
      <c r="AR1924" s="46">
        <v>220</v>
      </c>
      <c r="AS1924" s="46">
        <v>10</v>
      </c>
      <c r="AT1924" s="46">
        <v>5500</v>
      </c>
      <c r="AU1924" s="46">
        <v>92648.3</v>
      </c>
      <c r="AV1924" s="46">
        <v>16.844999999999999</v>
      </c>
      <c r="AW1924" s="46">
        <v>2</v>
      </c>
      <c r="AX1924" s="46">
        <v>800</v>
      </c>
      <c r="AY1924" s="46">
        <v>12457.04</v>
      </c>
      <c r="AZ1924" s="46">
        <v>15.571</v>
      </c>
      <c r="BA1924" s="46" t="s">
        <v>63</v>
      </c>
      <c r="BB1924" s="46">
        <v>4700</v>
      </c>
      <c r="BC1924" s="46">
        <v>80191.259999999995</v>
      </c>
      <c r="BD1924" s="46">
        <v>17.062000000000001</v>
      </c>
      <c r="BE1924" s="46">
        <v>-1019.2</v>
      </c>
      <c r="BF1924" s="46">
        <v>77352.7</v>
      </c>
      <c r="BG1924" s="46">
        <v>17.190000000000001</v>
      </c>
      <c r="BH1924" s="46">
        <v>0</v>
      </c>
      <c r="BJ1924">
        <v>77352.7</v>
      </c>
      <c r="BK1924">
        <v>17.190000000000001</v>
      </c>
      <c r="BL1924">
        <v>14.03</v>
      </c>
    </row>
    <row r="1925" spans="1:64" x14ac:dyDescent="0.25">
      <c r="A1925" s="136">
        <v>43104</v>
      </c>
      <c r="B1925" s="201" t="s">
        <v>65</v>
      </c>
      <c r="C1925" t="s">
        <v>127</v>
      </c>
      <c r="D1925">
        <v>12500</v>
      </c>
      <c r="E1925">
        <v>12000</v>
      </c>
      <c r="F1925">
        <v>10.351000000000001</v>
      </c>
      <c r="G1925">
        <v>10231.61</v>
      </c>
      <c r="H1925">
        <v>7.91</v>
      </c>
      <c r="I1925" s="309">
        <v>139625</v>
      </c>
      <c r="J1925">
        <v>11.17</v>
      </c>
      <c r="K1925" s="133">
        <v>0.26327376844066602</v>
      </c>
      <c r="L1925" s="181">
        <v>-1780</v>
      </c>
      <c r="M1925" s="133">
        <v>0.24398127410286699</v>
      </c>
      <c r="N1925" s="73">
        <v>5324.1849999999904</v>
      </c>
      <c r="O1925" s="73">
        <v>863.393491973908</v>
      </c>
      <c r="P1925" s="182">
        <v>2</v>
      </c>
      <c r="Q1925" s="182">
        <v>1000</v>
      </c>
      <c r="R1925" s="46">
        <v>10.635</v>
      </c>
      <c r="S1925" s="46">
        <v>13</v>
      </c>
      <c r="T1925" s="46">
        <v>5600</v>
      </c>
      <c r="U1925" s="46">
        <v>12.551</v>
      </c>
      <c r="V1925" s="46" t="s">
        <v>68</v>
      </c>
      <c r="W1925" s="46">
        <v>4600</v>
      </c>
      <c r="X1925" s="46">
        <v>12.968</v>
      </c>
      <c r="Y1925" s="194">
        <v>11.087999999999999</v>
      </c>
      <c r="Z1925" s="194">
        <v>11.332000000000001</v>
      </c>
      <c r="AA1925" s="194">
        <v>11.6</v>
      </c>
      <c r="AB1925" s="46">
        <v>11.31</v>
      </c>
      <c r="AC1925" s="46">
        <v>11.31</v>
      </c>
      <c r="AD1925" s="46">
        <v>11.09</v>
      </c>
      <c r="AE1925" s="46">
        <v>11.17</v>
      </c>
      <c r="AF1925" s="46">
        <v>128</v>
      </c>
      <c r="AG1925" s="46">
        <v>72200</v>
      </c>
      <c r="AH1925" s="46">
        <v>843689.23100000003</v>
      </c>
      <c r="AI1925" s="46">
        <v>11.685</v>
      </c>
      <c r="AJ1925" s="46">
        <v>148</v>
      </c>
      <c r="AK1925" s="46">
        <v>64300</v>
      </c>
      <c r="AL1925" s="46">
        <v>653956.69799999997</v>
      </c>
      <c r="AM1925" s="46">
        <v>10.17</v>
      </c>
      <c r="AN1925" s="46" t="s">
        <v>63</v>
      </c>
      <c r="AO1925" s="46">
        <v>7900</v>
      </c>
      <c r="AP1925" s="46">
        <v>189732.533</v>
      </c>
      <c r="AQ1925" s="46">
        <v>24.016999999999999</v>
      </c>
      <c r="AR1925" s="46">
        <v>-97414.5</v>
      </c>
      <c r="AS1925" s="46">
        <v>131</v>
      </c>
      <c r="AT1925" s="46">
        <v>73300</v>
      </c>
      <c r="AU1925" s="46">
        <v>855622.23100000003</v>
      </c>
      <c r="AV1925" s="46">
        <v>11.673</v>
      </c>
      <c r="AW1925" s="46">
        <v>161</v>
      </c>
      <c r="AX1925" s="46">
        <v>69900</v>
      </c>
      <c r="AY1925" s="46">
        <v>724105.41399999999</v>
      </c>
      <c r="AZ1925" s="46">
        <v>10.359</v>
      </c>
      <c r="BA1925" s="46" t="s">
        <v>63</v>
      </c>
      <c r="BB1925" s="46">
        <v>3400</v>
      </c>
      <c r="BC1925" s="46">
        <v>131516.81700000001</v>
      </c>
      <c r="BD1925" s="46">
        <v>38.680999999999997</v>
      </c>
      <c r="BE1925" s="46">
        <v>-91848.6</v>
      </c>
      <c r="BF1925" s="46">
        <v>11933</v>
      </c>
      <c r="BG1925" s="46">
        <v>11.93</v>
      </c>
      <c r="BH1925" s="46">
        <v>70148.716</v>
      </c>
      <c r="BI1925">
        <v>12.53</v>
      </c>
      <c r="BJ1925">
        <v>-58215.716</v>
      </c>
      <c r="BK1925">
        <v>-12.66</v>
      </c>
      <c r="BL1925">
        <v>-8721.08</v>
      </c>
    </row>
    <row r="1926" spans="1:64" x14ac:dyDescent="0.25">
      <c r="A1926" s="136">
        <v>43104</v>
      </c>
      <c r="B1926" s="201" t="s">
        <v>77</v>
      </c>
      <c r="C1926" t="s">
        <v>128</v>
      </c>
      <c r="D1926">
        <v>4200</v>
      </c>
      <c r="E1926">
        <v>4200</v>
      </c>
      <c r="F1926">
        <v>6.0039999999999996</v>
      </c>
      <c r="G1926">
        <v>-102.85</v>
      </c>
      <c r="H1926">
        <v>-0.4</v>
      </c>
      <c r="I1926" s="309">
        <v>25116</v>
      </c>
      <c r="J1926">
        <v>5.98</v>
      </c>
      <c r="K1926" s="133">
        <v>4.7358166289387701E-2</v>
      </c>
      <c r="L1926" s="181">
        <v>-168</v>
      </c>
      <c r="M1926" s="133">
        <v>4.7552097942631197E-2</v>
      </c>
      <c r="N1926" s="73">
        <v>-355.79000000000502</v>
      </c>
      <c r="O1926" s="73">
        <v>23.863889900661501</v>
      </c>
      <c r="P1926" s="182">
        <v>7</v>
      </c>
      <c r="Q1926" s="182">
        <v>3500</v>
      </c>
      <c r="R1926" s="46">
        <v>6.7140000000000004</v>
      </c>
      <c r="S1926" s="46">
        <v>1</v>
      </c>
      <c r="T1926" s="46">
        <v>400</v>
      </c>
      <c r="U1926" s="46">
        <v>6.04</v>
      </c>
      <c r="V1926" s="46" t="s">
        <v>62</v>
      </c>
      <c r="W1926" s="46">
        <v>3100</v>
      </c>
      <c r="X1926" s="46">
        <v>6.8010000000000002</v>
      </c>
      <c r="Y1926" s="194">
        <v>5.9420000000000002</v>
      </c>
      <c r="Z1926" s="194">
        <v>5.9729999999999999</v>
      </c>
      <c r="AA1926" s="194">
        <v>6.4160000000000004</v>
      </c>
      <c r="AB1926" s="46">
        <v>6.02</v>
      </c>
      <c r="AC1926" s="46">
        <v>6.02</v>
      </c>
      <c r="AD1926" s="46">
        <v>5.94</v>
      </c>
      <c r="AE1926" s="46">
        <v>5.98</v>
      </c>
      <c r="AF1926" s="46">
        <v>37</v>
      </c>
      <c r="AG1926" s="46">
        <v>18500</v>
      </c>
      <c r="AH1926" s="46">
        <v>136154</v>
      </c>
      <c r="AI1926" s="46">
        <v>7.36</v>
      </c>
      <c r="AJ1926" s="46">
        <v>37</v>
      </c>
      <c r="AK1926" s="46">
        <v>17400</v>
      </c>
      <c r="AL1926" s="46">
        <v>132056.62599999999</v>
      </c>
      <c r="AM1926" s="46">
        <v>7.5890000000000004</v>
      </c>
      <c r="AN1926" s="46" t="s">
        <v>63</v>
      </c>
      <c r="AO1926" s="46">
        <v>1100</v>
      </c>
      <c r="AP1926" s="46">
        <v>4097.3739999999998</v>
      </c>
      <c r="AQ1926" s="46">
        <v>3.7250000000000001</v>
      </c>
      <c r="AR1926" s="46">
        <v>3984.6</v>
      </c>
      <c r="AS1926" s="46">
        <v>44</v>
      </c>
      <c r="AT1926" s="46">
        <v>22000</v>
      </c>
      <c r="AU1926" s="46">
        <v>159689</v>
      </c>
      <c r="AV1926" s="46">
        <v>7.2590000000000003</v>
      </c>
      <c r="AW1926" s="46">
        <v>38</v>
      </c>
      <c r="AX1926" s="46">
        <v>17800</v>
      </c>
      <c r="AY1926" s="46">
        <v>134465.21</v>
      </c>
      <c r="AZ1926" s="46">
        <v>7.5540000000000003</v>
      </c>
      <c r="BA1926" s="46" t="s">
        <v>63</v>
      </c>
      <c r="BB1926" s="46">
        <v>4200</v>
      </c>
      <c r="BC1926" s="46">
        <v>25223.79</v>
      </c>
      <c r="BD1926" s="46">
        <v>6.0060000000000002</v>
      </c>
      <c r="BE1926" s="46">
        <v>5251</v>
      </c>
      <c r="BF1926" s="46">
        <v>23535</v>
      </c>
      <c r="BG1926" s="46">
        <v>6.72</v>
      </c>
      <c r="BH1926" s="46">
        <v>2408.5839999999998</v>
      </c>
      <c r="BI1926">
        <v>6.02</v>
      </c>
      <c r="BJ1926">
        <v>21126.416000000001</v>
      </c>
      <c r="BK1926">
        <v>6.81</v>
      </c>
      <c r="BL1926">
        <v>666.32</v>
      </c>
    </row>
    <row r="1927" spans="1:64" x14ac:dyDescent="0.25">
      <c r="A1927" s="136">
        <v>43104</v>
      </c>
      <c r="B1927" s="201" t="s">
        <v>67</v>
      </c>
      <c r="C1927" t="s">
        <v>129</v>
      </c>
      <c r="D1927">
        <v>7650</v>
      </c>
      <c r="E1927">
        <v>7650</v>
      </c>
      <c r="F1927">
        <v>8.6769999999999996</v>
      </c>
      <c r="G1927">
        <v>712.06</v>
      </c>
      <c r="H1927">
        <v>1.07</v>
      </c>
      <c r="I1927" s="309">
        <v>67090.5</v>
      </c>
      <c r="J1927">
        <v>8.77</v>
      </c>
      <c r="K1927" s="133">
        <v>0.12650434207031999</v>
      </c>
      <c r="L1927" s="181">
        <v>459</v>
      </c>
      <c r="M1927" s="133">
        <v>0.12516169770465599</v>
      </c>
      <c r="N1927" s="73">
        <v>38729.450999999899</v>
      </c>
      <c r="O1927" s="73">
        <v>149.281818926527</v>
      </c>
      <c r="P1927" s="182">
        <v>6</v>
      </c>
      <c r="Q1927" s="182">
        <v>3000</v>
      </c>
      <c r="R1927" s="46">
        <v>6.1079999999999997</v>
      </c>
      <c r="S1927" s="46">
        <v>5</v>
      </c>
      <c r="T1927" s="46">
        <v>2000</v>
      </c>
      <c r="U1927" s="46">
        <v>8.7100000000000009</v>
      </c>
      <c r="V1927" s="46" t="s">
        <v>62</v>
      </c>
      <c r="W1927" s="46">
        <v>1000</v>
      </c>
      <c r="X1927" s="46">
        <v>0.90400000000000003</v>
      </c>
      <c r="Y1927" s="193">
        <v>8.8030000000000008</v>
      </c>
      <c r="Z1927" s="194">
        <v>7.3860000000000001</v>
      </c>
      <c r="AA1927" s="194">
        <v>8.6940000000000008</v>
      </c>
      <c r="AB1927" s="46">
        <v>8.6999999999999993</v>
      </c>
      <c r="AC1927" s="46">
        <v>8.8000000000000007</v>
      </c>
      <c r="AD1927" s="46">
        <v>8.64</v>
      </c>
      <c r="AE1927" s="46">
        <v>8.77</v>
      </c>
      <c r="AF1927" s="46">
        <v>149</v>
      </c>
      <c r="AG1927" s="46">
        <v>74500</v>
      </c>
      <c r="AH1927" s="46">
        <v>622057</v>
      </c>
      <c r="AI1927" s="46">
        <v>8.35</v>
      </c>
      <c r="AJ1927" s="46">
        <v>150</v>
      </c>
      <c r="AK1927" s="46">
        <v>70450</v>
      </c>
      <c r="AL1927" s="46">
        <v>625781.84100000001</v>
      </c>
      <c r="AM1927" s="46">
        <v>8.8829999999999991</v>
      </c>
      <c r="AN1927" s="46" t="s">
        <v>63</v>
      </c>
      <c r="AO1927" s="46">
        <v>4050</v>
      </c>
      <c r="AP1927" s="46">
        <v>3724.8409999999999</v>
      </c>
      <c r="AQ1927" s="46">
        <v>0.92</v>
      </c>
      <c r="AR1927" s="46">
        <v>37549.85</v>
      </c>
      <c r="AS1927" s="46">
        <v>155</v>
      </c>
      <c r="AT1927" s="46">
        <v>77500</v>
      </c>
      <c r="AU1927" s="46">
        <v>640412</v>
      </c>
      <c r="AV1927" s="46">
        <v>8.2629999999999999</v>
      </c>
      <c r="AW1927" s="46">
        <v>155</v>
      </c>
      <c r="AX1927" s="46">
        <v>72450</v>
      </c>
      <c r="AY1927" s="46">
        <v>643159.42099999997</v>
      </c>
      <c r="AZ1927" s="46">
        <v>8.8770000000000007</v>
      </c>
      <c r="BA1927" s="46" t="s">
        <v>63</v>
      </c>
      <c r="BB1927" s="46">
        <v>5050</v>
      </c>
      <c r="BC1927" s="46">
        <v>2747.4209999999998</v>
      </c>
      <c r="BD1927" s="46">
        <v>0.54400000000000004</v>
      </c>
      <c r="BE1927" s="46">
        <v>44484.3</v>
      </c>
      <c r="BF1927" s="46">
        <v>18355</v>
      </c>
      <c r="BG1927" s="46">
        <v>6.12</v>
      </c>
      <c r="BH1927" s="46">
        <v>17377.5800000001</v>
      </c>
      <c r="BI1927">
        <v>8.69</v>
      </c>
      <c r="BJ1927">
        <v>-977.42</v>
      </c>
      <c r="BK1927">
        <v>-0.98</v>
      </c>
      <c r="BL1927">
        <v>4281.62</v>
      </c>
    </row>
    <row r="1928" spans="1:64" x14ac:dyDescent="0.25">
      <c r="A1928" s="136">
        <v>43104</v>
      </c>
      <c r="B1928" s="201" t="s">
        <v>78</v>
      </c>
      <c r="C1928" t="s">
        <v>142</v>
      </c>
      <c r="D1928">
        <v>1300</v>
      </c>
      <c r="E1928">
        <v>1300</v>
      </c>
      <c r="F1928">
        <v>10.271000000000001</v>
      </c>
      <c r="G1928">
        <v>-338.68</v>
      </c>
      <c r="H1928">
        <v>-2.54</v>
      </c>
      <c r="I1928" s="309">
        <v>13013</v>
      </c>
      <c r="J1928">
        <v>10.01</v>
      </c>
      <c r="K1928" s="133">
        <v>2.4537020939791501E-2</v>
      </c>
      <c r="L1928" s="181">
        <v>-143</v>
      </c>
      <c r="M1928" s="133">
        <v>2.5175628351755599E-2</v>
      </c>
      <c r="N1928" s="73">
        <v>-299.67600000000101</v>
      </c>
      <c r="O1928" s="73">
        <v>-29.833283067729202</v>
      </c>
      <c r="P1928" s="182">
        <v>2</v>
      </c>
      <c r="Q1928" s="182">
        <v>1000</v>
      </c>
      <c r="R1928" s="46">
        <v>10.385</v>
      </c>
      <c r="S1928" s="46">
        <v>0</v>
      </c>
      <c r="T1928" s="46">
        <v>0</v>
      </c>
      <c r="U1928" s="46">
        <v>0</v>
      </c>
      <c r="V1928" s="46" t="s">
        <v>62</v>
      </c>
      <c r="W1928" s="46">
        <v>1000</v>
      </c>
      <c r="X1928" s="46">
        <v>10.385</v>
      </c>
      <c r="Y1928" s="194">
        <v>10.041</v>
      </c>
      <c r="Z1928" s="194">
        <v>10.903</v>
      </c>
      <c r="AA1928" s="194">
        <v>10.898999999999999</v>
      </c>
      <c r="AB1928" s="46">
        <v>10.14</v>
      </c>
      <c r="AC1928" s="46">
        <v>10.16</v>
      </c>
      <c r="AD1928" s="46">
        <v>10.01</v>
      </c>
      <c r="AE1928" s="46">
        <v>10.01</v>
      </c>
      <c r="AF1928" s="46">
        <v>3</v>
      </c>
      <c r="AG1928" s="46">
        <v>1500</v>
      </c>
      <c r="AH1928" s="46">
        <v>15605</v>
      </c>
      <c r="AI1928" s="46">
        <v>10.403</v>
      </c>
      <c r="AJ1928" s="46">
        <v>3</v>
      </c>
      <c r="AK1928" s="46">
        <v>1200</v>
      </c>
      <c r="AL1928" s="46">
        <v>12648.324000000001</v>
      </c>
      <c r="AM1928" s="46">
        <v>10.54</v>
      </c>
      <c r="AN1928" s="46" t="s">
        <v>63</v>
      </c>
      <c r="AO1928" s="46">
        <v>300</v>
      </c>
      <c r="AP1928" s="46">
        <v>2956.6759999999999</v>
      </c>
      <c r="AQ1928" s="46">
        <v>9.8559999999999999</v>
      </c>
      <c r="AR1928" s="46">
        <v>164.4</v>
      </c>
      <c r="AS1928" s="46">
        <v>5</v>
      </c>
      <c r="AT1928" s="46">
        <v>2500</v>
      </c>
      <c r="AU1928" s="46">
        <v>26000</v>
      </c>
      <c r="AV1928" s="46">
        <v>10.4</v>
      </c>
      <c r="AW1928" s="46">
        <v>3</v>
      </c>
      <c r="AX1928" s="46">
        <v>1200</v>
      </c>
      <c r="AY1928" s="46">
        <v>12648.324000000001</v>
      </c>
      <c r="AZ1928" s="46">
        <v>10.54</v>
      </c>
      <c r="BA1928" s="46" t="s">
        <v>63</v>
      </c>
      <c r="BB1928" s="46">
        <v>1300</v>
      </c>
      <c r="BC1928" s="46">
        <v>13351.675999999999</v>
      </c>
      <c r="BD1928" s="46">
        <v>10.271000000000001</v>
      </c>
      <c r="BE1928" s="46">
        <v>168</v>
      </c>
      <c r="BF1928" s="46">
        <v>10395</v>
      </c>
      <c r="BG1928" s="46">
        <v>10.4</v>
      </c>
      <c r="BH1928" s="46">
        <v>0</v>
      </c>
      <c r="BJ1928">
        <v>10395</v>
      </c>
      <c r="BK1928">
        <v>10.4</v>
      </c>
      <c r="BL1928">
        <v>16.420000000000002</v>
      </c>
    </row>
    <row r="1929" spans="1:64" x14ac:dyDescent="0.25">
      <c r="A1929" s="136">
        <v>43104</v>
      </c>
      <c r="B1929" s="201" t="s">
        <v>72</v>
      </c>
      <c r="C1929" t="s">
        <v>130</v>
      </c>
      <c r="D1929">
        <v>1300</v>
      </c>
      <c r="E1929">
        <v>900</v>
      </c>
      <c r="F1929">
        <v>7.1239999999999997</v>
      </c>
      <c r="G1929">
        <v>177.24</v>
      </c>
      <c r="H1929">
        <v>1.91</v>
      </c>
      <c r="I1929" s="309">
        <v>9438</v>
      </c>
      <c r="J1929">
        <v>7.26</v>
      </c>
      <c r="K1929" s="133">
        <v>1.7796081121167401E-2</v>
      </c>
      <c r="L1929" s="181">
        <v>-60.94</v>
      </c>
      <c r="M1929" s="133">
        <v>1.74618813523694E-2</v>
      </c>
      <c r="N1929" s="73">
        <v>59.520000000008601</v>
      </c>
      <c r="O1929" s="73">
        <v>38.295556539512503</v>
      </c>
      <c r="P1929" s="182">
        <v>0</v>
      </c>
      <c r="Q1929" s="182">
        <v>0</v>
      </c>
      <c r="R1929" s="46">
        <v>0</v>
      </c>
      <c r="S1929" s="46">
        <v>14</v>
      </c>
      <c r="T1929" s="46">
        <v>5800</v>
      </c>
      <c r="U1929" s="46">
        <v>8.0530000000000008</v>
      </c>
      <c r="V1929" s="46" t="s">
        <v>68</v>
      </c>
      <c r="W1929" s="46">
        <v>5800</v>
      </c>
      <c r="X1929" s="46">
        <v>8.0530000000000008</v>
      </c>
      <c r="Y1929" s="194">
        <v>7.2839999999999998</v>
      </c>
      <c r="Z1929" s="194">
        <v>7.0019999999999998</v>
      </c>
      <c r="AA1929" s="194">
        <v>7.0970000000000004</v>
      </c>
      <c r="AB1929" s="46">
        <v>7.32</v>
      </c>
      <c r="AC1929" s="46">
        <v>7.43</v>
      </c>
      <c r="AD1929" s="46">
        <v>7.21</v>
      </c>
      <c r="AE1929" s="46">
        <v>7.26</v>
      </c>
      <c r="AF1929" s="46">
        <v>23</v>
      </c>
      <c r="AG1929" s="46">
        <v>11500</v>
      </c>
      <c r="AH1929" s="46">
        <v>91620</v>
      </c>
      <c r="AI1929" s="46">
        <v>7.9669999999999996</v>
      </c>
      <c r="AJ1929" s="46">
        <v>23</v>
      </c>
      <c r="AK1929" s="46">
        <v>11000</v>
      </c>
      <c r="AL1929" s="46">
        <v>36502.411</v>
      </c>
      <c r="AM1929" s="46">
        <v>3.3180000000000001</v>
      </c>
      <c r="AN1929" s="46" t="s">
        <v>63</v>
      </c>
      <c r="AO1929" s="46">
        <v>500</v>
      </c>
      <c r="AP1929" s="46">
        <v>55117.589</v>
      </c>
      <c r="AQ1929" s="46">
        <v>110.235</v>
      </c>
      <c r="AR1929" s="46">
        <v>-51139</v>
      </c>
      <c r="AS1929" s="46">
        <v>23</v>
      </c>
      <c r="AT1929" s="46">
        <v>11500</v>
      </c>
      <c r="AU1929" s="46">
        <v>91620</v>
      </c>
      <c r="AV1929" s="46">
        <v>7.9669999999999996</v>
      </c>
      <c r="AW1929" s="46">
        <v>38</v>
      </c>
      <c r="AX1929" s="46">
        <v>17300</v>
      </c>
      <c r="AY1929" s="46">
        <v>83091.705000000002</v>
      </c>
      <c r="AZ1929" s="46">
        <v>4.8029999999999999</v>
      </c>
      <c r="BA1929" s="46" t="s">
        <v>69</v>
      </c>
      <c r="BB1929" s="46">
        <v>5800</v>
      </c>
      <c r="BC1929" s="46">
        <v>8528.2950000000001</v>
      </c>
      <c r="BD1929" s="46">
        <v>1.47</v>
      </c>
      <c r="BE1929" s="46">
        <v>-36386</v>
      </c>
      <c r="BF1929" s="46">
        <v>0</v>
      </c>
      <c r="BH1929" s="46">
        <v>46589.294000000002</v>
      </c>
      <c r="BI1929">
        <v>8.0299999999999994</v>
      </c>
      <c r="BJ1929">
        <v>-46589.294000000002</v>
      </c>
      <c r="BK1929">
        <v>-8.0299999999999994</v>
      </c>
      <c r="BL1929">
        <v>-7043.94</v>
      </c>
    </row>
    <row r="1930" spans="1:64" x14ac:dyDescent="0.25">
      <c r="A1930" s="136">
        <v>43104</v>
      </c>
      <c r="B1930" s="201" t="s">
        <v>70</v>
      </c>
      <c r="C1930" t="s">
        <v>131</v>
      </c>
      <c r="D1930">
        <v>9600</v>
      </c>
      <c r="E1930">
        <v>9600</v>
      </c>
      <c r="F1930">
        <v>12.311</v>
      </c>
      <c r="G1930">
        <v>-9797.7000000000007</v>
      </c>
      <c r="H1930">
        <v>-8.2899999999999991</v>
      </c>
      <c r="I1930" s="309">
        <v>108384</v>
      </c>
      <c r="J1930">
        <v>11.29</v>
      </c>
      <c r="K1930" s="133">
        <v>0.204366439524964</v>
      </c>
      <c r="L1930" s="181">
        <v>288</v>
      </c>
      <c r="M1930" s="133">
        <v>0.22284076289865201</v>
      </c>
      <c r="N1930" s="73">
        <v>-10372.686</v>
      </c>
      <c r="O1930" s="73">
        <v>-923.19676375779397</v>
      </c>
      <c r="P1930" s="182">
        <v>0</v>
      </c>
      <c r="Q1930" s="182">
        <v>0</v>
      </c>
      <c r="R1930" s="46">
        <v>0</v>
      </c>
      <c r="S1930" s="46">
        <v>5</v>
      </c>
      <c r="T1930" s="46">
        <v>2000</v>
      </c>
      <c r="U1930" s="46">
        <v>13.087999999999999</v>
      </c>
      <c r="V1930" s="46" t="s">
        <v>68</v>
      </c>
      <c r="W1930" s="46">
        <v>2000</v>
      </c>
      <c r="X1930" s="46">
        <v>13.087999999999999</v>
      </c>
      <c r="Y1930" s="193">
        <v>11.566000000000001</v>
      </c>
      <c r="Z1930" s="194">
        <v>12.335000000000001</v>
      </c>
      <c r="AA1930" s="194">
        <v>12.185</v>
      </c>
      <c r="AB1930" s="46">
        <v>11.25</v>
      </c>
      <c r="AC1930" s="46">
        <v>11.34</v>
      </c>
      <c r="AD1930" s="46">
        <v>11.17</v>
      </c>
      <c r="AE1930" s="46">
        <v>11.29</v>
      </c>
      <c r="AF1930" s="46">
        <v>122</v>
      </c>
      <c r="AG1930" s="46">
        <v>60600</v>
      </c>
      <c r="AH1930" s="46">
        <v>820933</v>
      </c>
      <c r="AI1930" s="46">
        <v>13.547000000000001</v>
      </c>
      <c r="AJ1930" s="46">
        <v>122</v>
      </c>
      <c r="AK1930" s="46">
        <v>49000</v>
      </c>
      <c r="AL1930" s="46">
        <v>676222.49</v>
      </c>
      <c r="AM1930" s="46">
        <v>13.8</v>
      </c>
      <c r="AN1930" s="46" t="s">
        <v>63</v>
      </c>
      <c r="AO1930" s="46">
        <v>11600</v>
      </c>
      <c r="AP1930" s="46">
        <v>144710.51</v>
      </c>
      <c r="AQ1930" s="46">
        <v>12.475</v>
      </c>
      <c r="AR1930" s="46">
        <v>12397</v>
      </c>
      <c r="AS1930" s="46">
        <v>122</v>
      </c>
      <c r="AT1930" s="46">
        <v>60600</v>
      </c>
      <c r="AU1930" s="46">
        <v>820933</v>
      </c>
      <c r="AV1930" s="46">
        <v>13.547000000000001</v>
      </c>
      <c r="AW1930" s="46">
        <v>128</v>
      </c>
      <c r="AX1930" s="46">
        <v>51000</v>
      </c>
      <c r="AY1930" s="46">
        <v>702752.31400000001</v>
      </c>
      <c r="AZ1930" s="46">
        <v>13.779</v>
      </c>
      <c r="BA1930" s="46" t="s">
        <v>63</v>
      </c>
      <c r="BB1930" s="46">
        <v>9600</v>
      </c>
      <c r="BC1930" s="46">
        <v>118180.686</v>
      </c>
      <c r="BD1930" s="46">
        <v>12.31</v>
      </c>
      <c r="BE1930" s="46">
        <v>11832</v>
      </c>
      <c r="BF1930" s="46">
        <v>0</v>
      </c>
      <c r="BH1930" s="46">
        <v>26529.823999999899</v>
      </c>
      <c r="BI1930">
        <v>13.26</v>
      </c>
      <c r="BJ1930">
        <v>-26529.824000000001</v>
      </c>
      <c r="BK1930">
        <v>-13.26</v>
      </c>
      <c r="BL1930">
        <v>1098.05</v>
      </c>
    </row>
    <row r="1931" spans="1:64" x14ac:dyDescent="0.25">
      <c r="A1931" s="136">
        <v>43104</v>
      </c>
      <c r="B1931" s="201" t="s">
        <v>146</v>
      </c>
      <c r="C1931" t="s">
        <v>147</v>
      </c>
      <c r="D1931">
        <v>40</v>
      </c>
      <c r="E1931">
        <v>40</v>
      </c>
      <c r="F1931">
        <v>100</v>
      </c>
      <c r="G1931">
        <v>0</v>
      </c>
      <c r="H1931">
        <v>0</v>
      </c>
      <c r="I1931" s="309">
        <v>4000</v>
      </c>
      <c r="J1931">
        <v>0</v>
      </c>
      <c r="K1931" s="133">
        <v>7.5423102865723396E-3</v>
      </c>
      <c r="L1931" s="181">
        <v>0</v>
      </c>
      <c r="M1931" s="133">
        <v>7.5423102865723396E-3</v>
      </c>
    </row>
    <row r="1932" spans="1:64" x14ac:dyDescent="0.25">
      <c r="A1932" s="136">
        <v>43104</v>
      </c>
      <c r="B1932" s="201" t="s">
        <v>137</v>
      </c>
      <c r="C1932" t="s">
        <v>138</v>
      </c>
      <c r="D1932">
        <v>100</v>
      </c>
      <c r="E1932">
        <v>100</v>
      </c>
      <c r="F1932">
        <v>-130.48500000000001</v>
      </c>
      <c r="G1932">
        <v>16758.5</v>
      </c>
      <c r="H1932">
        <v>0</v>
      </c>
      <c r="I1932" s="309">
        <v>3710</v>
      </c>
      <c r="J1932">
        <v>37.1</v>
      </c>
      <c r="K1932" s="133">
        <v>6.9954927907958497E-3</v>
      </c>
      <c r="L1932" s="181">
        <v>-56</v>
      </c>
      <c r="M1932" s="133">
        <v>0</v>
      </c>
    </row>
    <row r="1933" spans="1:64" x14ac:dyDescent="0.25">
      <c r="A1933" s="136">
        <v>43104</v>
      </c>
      <c r="B1933" s="201" t="s">
        <v>835</v>
      </c>
      <c r="C1933" t="s">
        <v>839</v>
      </c>
      <c r="I1933" s="309">
        <v>24339.3</v>
      </c>
      <c r="K1933" s="133">
        <v>4.5893638189492603E-2</v>
      </c>
      <c r="L1933" s="181">
        <v>0</v>
      </c>
      <c r="M1933" s="133">
        <v>9.3534037729803801E-2</v>
      </c>
    </row>
    <row r="1934" spans="1:64" x14ac:dyDescent="0.25">
      <c r="A1934" s="136">
        <v>43105</v>
      </c>
      <c r="B1934" s="201" t="s">
        <v>132</v>
      </c>
      <c r="C1934" t="s">
        <v>123</v>
      </c>
      <c r="D1934">
        <v>0</v>
      </c>
      <c r="E1934">
        <v>0</v>
      </c>
      <c r="F1934">
        <v>0</v>
      </c>
      <c r="G1934">
        <v>2738.93</v>
      </c>
      <c r="H1934">
        <v>0</v>
      </c>
      <c r="I1934" s="309">
        <v>0</v>
      </c>
      <c r="J1934">
        <v>0.01</v>
      </c>
      <c r="K1934" s="133">
        <v>0</v>
      </c>
      <c r="L1934" s="181">
        <v>3.75999999999976</v>
      </c>
      <c r="M1934" s="133">
        <v>0</v>
      </c>
    </row>
    <row r="1935" spans="1:64" x14ac:dyDescent="0.25">
      <c r="A1935" s="136">
        <v>43105</v>
      </c>
      <c r="B1935" s="201" t="s">
        <v>61</v>
      </c>
      <c r="C1935" t="s">
        <v>136</v>
      </c>
      <c r="D1935">
        <v>3500</v>
      </c>
      <c r="E1935">
        <v>3500</v>
      </c>
      <c r="F1935">
        <v>5.3070000000000004</v>
      </c>
      <c r="G1935">
        <v>-373.52</v>
      </c>
      <c r="H1935">
        <v>-2.02</v>
      </c>
      <c r="I1935" s="309">
        <v>18200</v>
      </c>
      <c r="J1935">
        <v>5.2</v>
      </c>
      <c r="K1935" s="133">
        <v>3.4023314307882302E-2</v>
      </c>
      <c r="L1935" s="181">
        <v>35</v>
      </c>
      <c r="M1935" s="133">
        <v>3.4721577404601002E-2</v>
      </c>
      <c r="N1935" s="73">
        <v>-587.26800000000003</v>
      </c>
      <c r="O1935" s="73">
        <v>-114.19734747081699</v>
      </c>
      <c r="P1935" s="182">
        <v>6</v>
      </c>
      <c r="Q1935" s="182">
        <v>3000</v>
      </c>
      <c r="R1935" s="46">
        <v>5.31</v>
      </c>
      <c r="S1935" s="46">
        <v>0</v>
      </c>
      <c r="T1935" s="46">
        <v>0</v>
      </c>
      <c r="U1935" s="46">
        <v>0</v>
      </c>
      <c r="V1935" s="46" t="s">
        <v>62</v>
      </c>
      <c r="W1935" s="46">
        <v>3000</v>
      </c>
      <c r="X1935" s="46">
        <v>5.31</v>
      </c>
      <c r="Y1935" s="193">
        <v>5.3049999999999997</v>
      </c>
      <c r="Z1935" s="194">
        <v>5.0389999999999997</v>
      </c>
      <c r="AA1935" s="194">
        <v>5.1449999999999996</v>
      </c>
      <c r="AB1935" s="46">
        <v>5.17</v>
      </c>
      <c r="AC1935" s="46">
        <v>5.23</v>
      </c>
      <c r="AD1935" s="46">
        <v>5.17</v>
      </c>
      <c r="AE1935" s="46">
        <v>5.2</v>
      </c>
      <c r="AF1935" s="46">
        <v>5</v>
      </c>
      <c r="AG1935" s="46">
        <v>2500</v>
      </c>
      <c r="AH1935" s="46">
        <v>13346.5</v>
      </c>
      <c r="AI1935" s="46">
        <v>5.3390000000000004</v>
      </c>
      <c r="AJ1935" s="46">
        <v>5</v>
      </c>
      <c r="AK1935" s="46">
        <v>2000</v>
      </c>
      <c r="AL1935" s="46">
        <v>10731.031999999999</v>
      </c>
      <c r="AM1935" s="46">
        <v>5.3659999999999997</v>
      </c>
      <c r="AN1935" s="46" t="s">
        <v>63</v>
      </c>
      <c r="AO1935" s="46">
        <v>500</v>
      </c>
      <c r="AP1935" s="46">
        <v>2615.4679999999998</v>
      </c>
      <c r="AQ1935" s="46">
        <v>5.2309999999999999</v>
      </c>
      <c r="AR1935" s="46">
        <v>54</v>
      </c>
      <c r="AS1935" s="46">
        <v>11</v>
      </c>
      <c r="AT1935" s="46">
        <v>5500</v>
      </c>
      <c r="AU1935" s="46">
        <v>29308.3</v>
      </c>
      <c r="AV1935" s="46">
        <v>5.3289999999999997</v>
      </c>
      <c r="AW1935" s="46">
        <v>5</v>
      </c>
      <c r="AX1935" s="46">
        <v>2000</v>
      </c>
      <c r="AY1935" s="46">
        <v>10731.031999999999</v>
      </c>
      <c r="AZ1935" s="46">
        <v>5.3659999999999997</v>
      </c>
      <c r="BA1935" s="46" t="s">
        <v>63</v>
      </c>
      <c r="BB1935" s="46">
        <v>3500</v>
      </c>
      <c r="BC1935" s="46">
        <v>18577.268</v>
      </c>
      <c r="BD1935" s="46">
        <v>5.3079999999999998</v>
      </c>
      <c r="BE1935" s="46">
        <v>74</v>
      </c>
      <c r="BF1935" s="46">
        <v>15961.8</v>
      </c>
      <c r="BG1935" s="46">
        <v>5.32</v>
      </c>
      <c r="BH1935" s="46">
        <v>0</v>
      </c>
      <c r="BJ1935">
        <v>15961.8</v>
      </c>
      <c r="BK1935">
        <v>5.32</v>
      </c>
      <c r="BL1935">
        <v>10.38</v>
      </c>
    </row>
    <row r="1936" spans="1:64" x14ac:dyDescent="0.25">
      <c r="A1936" s="136">
        <v>43105</v>
      </c>
      <c r="B1936" s="201" t="s">
        <v>124</v>
      </c>
      <c r="C1936" t="s">
        <v>125</v>
      </c>
      <c r="D1936">
        <v>100</v>
      </c>
      <c r="E1936">
        <v>100</v>
      </c>
      <c r="F1936">
        <v>-53.579000000000001</v>
      </c>
      <c r="G1936">
        <v>5965.9</v>
      </c>
      <c r="H1936">
        <v>0</v>
      </c>
      <c r="I1936" s="309">
        <v>608</v>
      </c>
      <c r="J1936">
        <v>6.08</v>
      </c>
      <c r="K1936" s="133">
        <v>1.1366030274281599E-3</v>
      </c>
      <c r="L1936" s="181">
        <v>1</v>
      </c>
      <c r="M1936" s="133">
        <v>0</v>
      </c>
      <c r="Y1936" s="193">
        <v>6.7850000000000001</v>
      </c>
      <c r="Z1936" s="193">
        <v>5.1470000000000002</v>
      </c>
      <c r="AA1936" s="193">
        <v>5.883</v>
      </c>
      <c r="AB1936" s="46">
        <v>6.09</v>
      </c>
      <c r="AC1936" s="46">
        <v>6.11</v>
      </c>
      <c r="AD1936" s="46">
        <v>6.06</v>
      </c>
      <c r="AE1936" s="46">
        <v>6.08</v>
      </c>
    </row>
    <row r="1937" spans="1:64" x14ac:dyDescent="0.25">
      <c r="A1937" s="136">
        <v>43105</v>
      </c>
      <c r="B1937" s="201" t="s">
        <v>71</v>
      </c>
      <c r="C1937" t="s">
        <v>126</v>
      </c>
      <c r="D1937">
        <v>2800</v>
      </c>
      <c r="E1937">
        <v>2800</v>
      </c>
      <c r="F1937">
        <v>5.9390000000000001</v>
      </c>
      <c r="G1937">
        <v>1402.38</v>
      </c>
      <c r="H1937">
        <v>8.44</v>
      </c>
      <c r="I1937" s="309">
        <v>18032</v>
      </c>
      <c r="J1937">
        <v>6.44</v>
      </c>
      <c r="K1937" s="133">
        <v>3.3709252945040298E-2</v>
      </c>
      <c r="L1937" s="181">
        <v>140</v>
      </c>
      <c r="M1937" s="133">
        <v>3.1087625718716799E-2</v>
      </c>
      <c r="N1937" s="73">
        <v>1835.434</v>
      </c>
      <c r="O1937" s="73">
        <v>228.52771916537799</v>
      </c>
      <c r="P1937" s="182">
        <v>2</v>
      </c>
      <c r="Q1937" s="182">
        <v>1000</v>
      </c>
      <c r="R1937" s="46">
        <v>6.45</v>
      </c>
      <c r="S1937" s="46">
        <v>2</v>
      </c>
      <c r="T1937" s="46">
        <v>900</v>
      </c>
      <c r="U1937" s="46">
        <v>6.3920000000000003</v>
      </c>
      <c r="V1937" s="46" t="s">
        <v>62</v>
      </c>
      <c r="W1937" s="46">
        <v>100</v>
      </c>
      <c r="X1937" s="46">
        <v>6.9720000000000004</v>
      </c>
      <c r="Y1937" s="194">
        <v>6.2439999999999998</v>
      </c>
      <c r="Z1937" s="194">
        <v>6.2539999999999996</v>
      </c>
      <c r="AA1937" s="194">
        <v>6.4980000000000002</v>
      </c>
      <c r="AB1937" s="46">
        <v>6.4</v>
      </c>
      <c r="AC1937" s="46">
        <v>6.46</v>
      </c>
      <c r="AD1937" s="46">
        <v>6.35</v>
      </c>
      <c r="AE1937" s="46">
        <v>6.44</v>
      </c>
      <c r="AF1937" s="46">
        <v>39</v>
      </c>
      <c r="AG1937" s="46">
        <v>19600</v>
      </c>
      <c r="AH1937" s="46">
        <v>124862.76</v>
      </c>
      <c r="AI1937" s="46">
        <v>6.3710000000000004</v>
      </c>
      <c r="AJ1937" s="46">
        <v>37</v>
      </c>
      <c r="AK1937" s="46">
        <v>16900</v>
      </c>
      <c r="AL1937" s="46">
        <v>108788.76700000001</v>
      </c>
      <c r="AM1937" s="46">
        <v>6.4370000000000003</v>
      </c>
      <c r="AN1937" s="46" t="s">
        <v>63</v>
      </c>
      <c r="AO1937" s="46">
        <v>2700</v>
      </c>
      <c r="AP1937" s="46">
        <v>16073.993</v>
      </c>
      <c r="AQ1937" s="46">
        <v>5.9530000000000003</v>
      </c>
      <c r="AR1937" s="46">
        <v>1115.4000000000001</v>
      </c>
      <c r="AS1937" s="46">
        <v>41</v>
      </c>
      <c r="AT1937" s="46">
        <v>20600</v>
      </c>
      <c r="AU1937" s="46">
        <v>131323.35999999999</v>
      </c>
      <c r="AV1937" s="46">
        <v>6.375</v>
      </c>
      <c r="AW1937" s="46">
        <v>39</v>
      </c>
      <c r="AX1937" s="46">
        <v>17800</v>
      </c>
      <c r="AY1937" s="46">
        <v>114525.474</v>
      </c>
      <c r="AZ1937" s="46">
        <v>6.4340000000000002</v>
      </c>
      <c r="BA1937" s="46" t="s">
        <v>63</v>
      </c>
      <c r="BB1937" s="46">
        <v>2800</v>
      </c>
      <c r="BC1937" s="46">
        <v>16797.885999999999</v>
      </c>
      <c r="BD1937" s="46">
        <v>5.9989999999999997</v>
      </c>
      <c r="BE1937" s="46">
        <v>1050.2</v>
      </c>
      <c r="BF1937" s="46">
        <v>6460.6000000000204</v>
      </c>
      <c r="BG1937" s="46">
        <v>6.46</v>
      </c>
      <c r="BH1937" s="46">
        <v>5736.7069999999903</v>
      </c>
      <c r="BI1937">
        <v>6.37</v>
      </c>
      <c r="BJ1937">
        <v>723.89299999999798</v>
      </c>
      <c r="BK1937">
        <v>7.24</v>
      </c>
      <c r="BL1937">
        <v>173.2</v>
      </c>
    </row>
    <row r="1938" spans="1:64" x14ac:dyDescent="0.25">
      <c r="A1938" s="136">
        <v>43105</v>
      </c>
      <c r="B1938" s="201" t="s">
        <v>79</v>
      </c>
      <c r="C1938" t="s">
        <v>143</v>
      </c>
      <c r="D1938">
        <v>4700</v>
      </c>
      <c r="E1938">
        <v>4700</v>
      </c>
      <c r="F1938">
        <v>17.062000000000001</v>
      </c>
      <c r="G1938">
        <v>-6916.57</v>
      </c>
      <c r="H1938">
        <v>-8.6300000000000008</v>
      </c>
      <c r="I1938" s="309">
        <v>73273</v>
      </c>
      <c r="J1938">
        <v>15.59</v>
      </c>
      <c r="K1938" s="133">
        <v>0.13697748952095901</v>
      </c>
      <c r="L1938" s="181">
        <v>-423</v>
      </c>
      <c r="M1938" s="133">
        <v>0.14990741452329301</v>
      </c>
      <c r="N1938" s="73">
        <v>-6401.2600000000202</v>
      </c>
      <c r="O1938" s="73">
        <v>-407.51970509554297</v>
      </c>
      <c r="P1938" s="182">
        <v>8</v>
      </c>
      <c r="Q1938" s="182">
        <v>4500</v>
      </c>
      <c r="R1938" s="46">
        <v>17.18</v>
      </c>
      <c r="S1938" s="46">
        <v>0</v>
      </c>
      <c r="T1938" s="46">
        <v>0</v>
      </c>
      <c r="U1938" s="46">
        <v>0</v>
      </c>
      <c r="V1938" s="46" t="s">
        <v>62</v>
      </c>
      <c r="W1938" s="46">
        <v>4500</v>
      </c>
      <c r="X1938" s="46">
        <v>17.18</v>
      </c>
      <c r="Y1938" s="194">
        <v>15.554</v>
      </c>
      <c r="Z1938" s="194">
        <v>15.571999999999999</v>
      </c>
      <c r="AA1938" s="194">
        <v>15.519</v>
      </c>
      <c r="AB1938" s="46">
        <v>15.62</v>
      </c>
      <c r="AC1938" s="46">
        <v>15.71</v>
      </c>
      <c r="AD1938" s="46">
        <v>15.53</v>
      </c>
      <c r="AE1938" s="46">
        <v>15.59</v>
      </c>
      <c r="AF1938" s="46">
        <v>2</v>
      </c>
      <c r="AG1938" s="46">
        <v>1000</v>
      </c>
      <c r="AH1938" s="46">
        <v>15295.6</v>
      </c>
      <c r="AI1938" s="46">
        <v>15.295999999999999</v>
      </c>
      <c r="AJ1938" s="46">
        <v>2</v>
      </c>
      <c r="AK1938" s="46">
        <v>800</v>
      </c>
      <c r="AL1938" s="46">
        <v>12457.04</v>
      </c>
      <c r="AM1938" s="46">
        <v>15.571</v>
      </c>
      <c r="AN1938" s="46" t="s">
        <v>63</v>
      </c>
      <c r="AO1938" s="46">
        <v>200</v>
      </c>
      <c r="AP1938" s="46">
        <v>2838.56</v>
      </c>
      <c r="AQ1938" s="46">
        <v>14.193</v>
      </c>
      <c r="AR1938" s="46">
        <v>220</v>
      </c>
      <c r="AS1938" s="46">
        <v>10</v>
      </c>
      <c r="AT1938" s="46">
        <v>5500</v>
      </c>
      <c r="AU1938" s="46">
        <v>92648.3</v>
      </c>
      <c r="AV1938" s="46">
        <v>16.844999999999999</v>
      </c>
      <c r="AW1938" s="46">
        <v>2</v>
      </c>
      <c r="AX1938" s="46">
        <v>800</v>
      </c>
      <c r="AY1938" s="46">
        <v>12457.04</v>
      </c>
      <c r="AZ1938" s="46">
        <v>15.571</v>
      </c>
      <c r="BA1938" s="46" t="s">
        <v>63</v>
      </c>
      <c r="BB1938" s="46">
        <v>4700</v>
      </c>
      <c r="BC1938" s="46">
        <v>80191.259999999995</v>
      </c>
      <c r="BD1938" s="46">
        <v>17.062000000000001</v>
      </c>
      <c r="BE1938" s="46">
        <v>-1019.2</v>
      </c>
      <c r="BF1938" s="46">
        <v>77352.7</v>
      </c>
      <c r="BG1938" s="46">
        <v>17.190000000000001</v>
      </c>
      <c r="BH1938" s="46">
        <v>0</v>
      </c>
      <c r="BJ1938">
        <v>77352.7</v>
      </c>
      <c r="BK1938">
        <v>17.190000000000001</v>
      </c>
      <c r="BL1938">
        <v>14.11</v>
      </c>
    </row>
    <row r="1939" spans="1:64" x14ac:dyDescent="0.25">
      <c r="A1939" s="136">
        <v>43105</v>
      </c>
      <c r="B1939" s="201" t="s">
        <v>65</v>
      </c>
      <c r="C1939" t="s">
        <v>127</v>
      </c>
      <c r="D1939">
        <v>10600</v>
      </c>
      <c r="E1939">
        <v>9700</v>
      </c>
      <c r="F1939">
        <v>10.132999999999999</v>
      </c>
      <c r="G1939">
        <v>17352.68</v>
      </c>
      <c r="H1939">
        <v>16.16</v>
      </c>
      <c r="I1939" s="309">
        <v>124762</v>
      </c>
      <c r="J1939">
        <v>11.77</v>
      </c>
      <c r="K1939" s="133">
        <v>0.23323168899340699</v>
      </c>
      <c r="L1939" s="181">
        <v>7121.07</v>
      </c>
      <c r="M1939" s="133">
        <v>0.200792365601973</v>
      </c>
      <c r="N1939" s="73">
        <v>13070.253000000001</v>
      </c>
      <c r="O1939" s="73">
        <v>1473.50302436278</v>
      </c>
      <c r="P1939" s="182">
        <v>0</v>
      </c>
      <c r="Q1939" s="182">
        <v>0</v>
      </c>
      <c r="R1939" s="46">
        <v>0</v>
      </c>
      <c r="S1939" s="46">
        <v>16</v>
      </c>
      <c r="T1939" s="46">
        <v>6800</v>
      </c>
      <c r="U1939" s="46">
        <v>12.407999999999999</v>
      </c>
      <c r="V1939" s="46" t="s">
        <v>68</v>
      </c>
      <c r="W1939" s="46">
        <v>6800</v>
      </c>
      <c r="X1939" s="46">
        <v>12.407999999999999</v>
      </c>
      <c r="Y1939" s="193">
        <v>11.535</v>
      </c>
      <c r="Z1939" s="194">
        <v>11.308</v>
      </c>
      <c r="AA1939" s="194">
        <v>11.603</v>
      </c>
      <c r="AB1939" s="46">
        <v>11.21</v>
      </c>
      <c r="AC1939" s="46">
        <v>12.17</v>
      </c>
      <c r="AD1939" s="46">
        <v>11.18</v>
      </c>
      <c r="AE1939" s="46">
        <v>11.77</v>
      </c>
      <c r="AF1939" s="46">
        <v>131</v>
      </c>
      <c r="AG1939" s="46">
        <v>73700</v>
      </c>
      <c r="AH1939" s="46">
        <v>860224.23100000003</v>
      </c>
      <c r="AI1939" s="46">
        <v>11.672000000000001</v>
      </c>
      <c r="AJ1939" s="46">
        <v>151</v>
      </c>
      <c r="AK1939" s="46">
        <v>65500</v>
      </c>
      <c r="AL1939" s="46">
        <v>667767.85800000001</v>
      </c>
      <c r="AM1939" s="46">
        <v>10.195</v>
      </c>
      <c r="AN1939" s="46" t="s">
        <v>63</v>
      </c>
      <c r="AO1939" s="46">
        <v>8200</v>
      </c>
      <c r="AP1939" s="46">
        <v>192456.37299999999</v>
      </c>
      <c r="AQ1939" s="46">
        <v>23.47</v>
      </c>
      <c r="AR1939" s="46">
        <v>-96743.5</v>
      </c>
      <c r="AS1939" s="46">
        <v>132</v>
      </c>
      <c r="AT1939" s="46">
        <v>73800</v>
      </c>
      <c r="AU1939" s="46">
        <v>861512.23100000003</v>
      </c>
      <c r="AV1939" s="46">
        <v>11.673999999999999</v>
      </c>
      <c r="AW1939" s="46">
        <v>167</v>
      </c>
      <c r="AX1939" s="46">
        <v>72300</v>
      </c>
      <c r="AY1939" s="46">
        <v>751979.48199999996</v>
      </c>
      <c r="AZ1939" s="46">
        <v>10.401</v>
      </c>
      <c r="BA1939" s="46" t="s">
        <v>63</v>
      </c>
      <c r="BB1939" s="46">
        <v>1500</v>
      </c>
      <c r="BC1939" s="46">
        <v>109532.749</v>
      </c>
      <c r="BD1939" s="46">
        <v>73.022000000000006</v>
      </c>
      <c r="BE1939" s="46">
        <v>-92037.9</v>
      </c>
      <c r="BF1939" s="46">
        <v>1288</v>
      </c>
      <c r="BH1939" s="46">
        <v>84211.624000000098</v>
      </c>
      <c r="BI1939">
        <v>12.38</v>
      </c>
      <c r="BJ1939">
        <v>-82923.623999999996</v>
      </c>
      <c r="BK1939">
        <v>-12.19</v>
      </c>
      <c r="BL1939">
        <v>-8219.5</v>
      </c>
    </row>
    <row r="1940" spans="1:64" x14ac:dyDescent="0.25">
      <c r="A1940" s="136">
        <v>43105</v>
      </c>
      <c r="B1940" s="201" t="s">
        <v>77</v>
      </c>
      <c r="C1940" t="s">
        <v>128</v>
      </c>
      <c r="D1940">
        <v>4200</v>
      </c>
      <c r="E1940">
        <v>4200</v>
      </c>
      <c r="F1940">
        <v>6.0039999999999996</v>
      </c>
      <c r="G1940">
        <v>-102.85</v>
      </c>
      <c r="H1940">
        <v>-0.4</v>
      </c>
      <c r="I1940" s="309">
        <v>25116</v>
      </c>
      <c r="J1940">
        <v>5.98</v>
      </c>
      <c r="K1940" s="133">
        <v>4.6952173744877597E-2</v>
      </c>
      <c r="L1940" s="181">
        <v>0</v>
      </c>
      <c r="M1940" s="133">
        <v>4.7144442858974601E-2</v>
      </c>
      <c r="N1940" s="73">
        <v>-355.79000000000502</v>
      </c>
      <c r="O1940" s="73">
        <v>23.863889900661501</v>
      </c>
      <c r="P1940" s="182">
        <v>7</v>
      </c>
      <c r="Q1940" s="182">
        <v>3500</v>
      </c>
      <c r="R1940" s="46">
        <v>6.7140000000000004</v>
      </c>
      <c r="S1940" s="46">
        <v>1</v>
      </c>
      <c r="T1940" s="46">
        <v>400</v>
      </c>
      <c r="U1940" s="46">
        <v>6.04</v>
      </c>
      <c r="V1940" s="46" t="s">
        <v>62</v>
      </c>
      <c r="W1940" s="46">
        <v>3100</v>
      </c>
      <c r="X1940" s="46">
        <v>6.8010000000000002</v>
      </c>
      <c r="Y1940" s="194">
        <v>4.9450000000000003</v>
      </c>
      <c r="Z1940" s="194">
        <v>5.97</v>
      </c>
      <c r="AA1940" s="194">
        <v>6.4119999999999999</v>
      </c>
      <c r="AB1940" s="46">
        <v>5.97</v>
      </c>
      <c r="AC1940" s="46">
        <v>6.04</v>
      </c>
      <c r="AD1940" s="46">
        <v>5.95</v>
      </c>
      <c r="AE1940" s="46">
        <v>5.98</v>
      </c>
      <c r="AF1940" s="46">
        <v>37</v>
      </c>
      <c r="AG1940" s="46">
        <v>18500</v>
      </c>
      <c r="AH1940" s="46">
        <v>136154</v>
      </c>
      <c r="AI1940" s="46">
        <v>7.36</v>
      </c>
      <c r="AJ1940" s="46">
        <v>37</v>
      </c>
      <c r="AK1940" s="46">
        <v>17400</v>
      </c>
      <c r="AL1940" s="46">
        <v>132056.62599999999</v>
      </c>
      <c r="AM1940" s="46">
        <v>7.5890000000000004</v>
      </c>
      <c r="AN1940" s="46" t="s">
        <v>63</v>
      </c>
      <c r="AO1940" s="46">
        <v>1100</v>
      </c>
      <c r="AP1940" s="46">
        <v>4097.3739999999998</v>
      </c>
      <c r="AQ1940" s="46">
        <v>3.7250000000000001</v>
      </c>
      <c r="AR1940" s="46">
        <v>3984.6</v>
      </c>
      <c r="AS1940" s="46">
        <v>44</v>
      </c>
      <c r="AT1940" s="46">
        <v>22000</v>
      </c>
      <c r="AU1940" s="46">
        <v>159689</v>
      </c>
      <c r="AV1940" s="46">
        <v>7.2590000000000003</v>
      </c>
      <c r="AW1940" s="46">
        <v>38</v>
      </c>
      <c r="AX1940" s="46">
        <v>17800</v>
      </c>
      <c r="AY1940" s="46">
        <v>134465.21</v>
      </c>
      <c r="AZ1940" s="46">
        <v>7.5540000000000003</v>
      </c>
      <c r="BA1940" s="46" t="s">
        <v>63</v>
      </c>
      <c r="BB1940" s="46">
        <v>4200</v>
      </c>
      <c r="BC1940" s="46">
        <v>25223.79</v>
      </c>
      <c r="BD1940" s="46">
        <v>6.0060000000000002</v>
      </c>
      <c r="BE1940" s="46">
        <v>5251</v>
      </c>
      <c r="BF1940" s="46">
        <v>23535</v>
      </c>
      <c r="BG1940" s="46">
        <v>6.72</v>
      </c>
      <c r="BH1940" s="46">
        <v>2408.5839999999998</v>
      </c>
      <c r="BI1940">
        <v>6.02</v>
      </c>
      <c r="BJ1940">
        <v>21126.416000000001</v>
      </c>
      <c r="BK1940">
        <v>6.81</v>
      </c>
      <c r="BL1940">
        <v>666.32</v>
      </c>
    </row>
    <row r="1941" spans="1:64" x14ac:dyDescent="0.25">
      <c r="A1941" s="136">
        <v>43105</v>
      </c>
      <c r="B1941" s="201" t="s">
        <v>67</v>
      </c>
      <c r="C1941" t="s">
        <v>129</v>
      </c>
      <c r="D1941">
        <v>7650</v>
      </c>
      <c r="E1941">
        <v>7650</v>
      </c>
      <c r="F1941">
        <v>8.6769999999999996</v>
      </c>
      <c r="G1941">
        <v>406.06</v>
      </c>
      <c r="H1941">
        <v>0.61</v>
      </c>
      <c r="I1941" s="309">
        <v>66784.5</v>
      </c>
      <c r="J1941">
        <v>8.73</v>
      </c>
      <c r="K1941" s="133">
        <v>0.124847804087625</v>
      </c>
      <c r="L1941" s="181">
        <v>-306</v>
      </c>
      <c r="M1941" s="133">
        <v>0.12408871029598401</v>
      </c>
      <c r="N1941" s="73">
        <v>32930.4460000002</v>
      </c>
      <c r="O1941" s="73">
        <v>149.281818926527</v>
      </c>
      <c r="P1941" s="182">
        <v>2</v>
      </c>
      <c r="Q1941" s="182">
        <v>1000</v>
      </c>
      <c r="R1941" s="46">
        <v>5.8949999999999996</v>
      </c>
      <c r="S1941" s="46">
        <v>0</v>
      </c>
      <c r="T1941" s="46">
        <v>0</v>
      </c>
      <c r="U1941" s="46">
        <v>0</v>
      </c>
      <c r="V1941" s="46" t="s">
        <v>62</v>
      </c>
      <c r="W1941" s="46">
        <v>1000</v>
      </c>
      <c r="X1941" s="46">
        <v>5.8949999999999996</v>
      </c>
      <c r="Y1941" s="194">
        <v>8.73</v>
      </c>
      <c r="Z1941" s="194">
        <v>7.5789999999999997</v>
      </c>
      <c r="AA1941" s="194">
        <v>8.6950000000000003</v>
      </c>
      <c r="AB1941" s="46">
        <v>8.75</v>
      </c>
      <c r="AC1941" s="46">
        <v>8.9</v>
      </c>
      <c r="AD1941" s="46">
        <v>8.6999999999999993</v>
      </c>
      <c r="AE1941" s="46">
        <v>8.73</v>
      </c>
      <c r="AF1941" s="46">
        <v>153</v>
      </c>
      <c r="AG1941" s="46">
        <v>76500</v>
      </c>
      <c r="AH1941" s="46">
        <v>634507</v>
      </c>
      <c r="AI1941" s="46">
        <v>8.2940000000000005</v>
      </c>
      <c r="AJ1941" s="46">
        <v>155</v>
      </c>
      <c r="AK1941" s="46">
        <v>72450</v>
      </c>
      <c r="AL1941" s="46">
        <v>643159.42099999997</v>
      </c>
      <c r="AM1941" s="46">
        <v>8.8770000000000007</v>
      </c>
      <c r="AN1941" s="46" t="s">
        <v>63</v>
      </c>
      <c r="AO1941" s="46">
        <v>4050</v>
      </c>
      <c r="AP1941" s="46">
        <v>8652.4210000000003</v>
      </c>
      <c r="AQ1941" s="46">
        <v>2.1360000000000001</v>
      </c>
      <c r="AR1941" s="46">
        <v>42238.35</v>
      </c>
      <c r="AS1941" s="46">
        <v>155</v>
      </c>
      <c r="AT1941" s="46">
        <v>77500</v>
      </c>
      <c r="AU1941" s="46">
        <v>640412</v>
      </c>
      <c r="AV1941" s="46">
        <v>8.2629999999999999</v>
      </c>
      <c r="AW1941" s="46">
        <v>155</v>
      </c>
      <c r="AX1941" s="46">
        <v>72450</v>
      </c>
      <c r="AY1941" s="46">
        <v>643159.42099999997</v>
      </c>
      <c r="AZ1941" s="46">
        <v>8.8770000000000007</v>
      </c>
      <c r="BA1941" s="46" t="s">
        <v>63</v>
      </c>
      <c r="BB1941" s="46">
        <v>5050</v>
      </c>
      <c r="BC1941" s="46">
        <v>2747.4209999999998</v>
      </c>
      <c r="BD1941" s="46">
        <v>0.54400000000000004</v>
      </c>
      <c r="BE1941" s="46">
        <v>44484.3</v>
      </c>
      <c r="BF1941" s="46">
        <v>5905</v>
      </c>
      <c r="BG1941" s="46">
        <v>5.91</v>
      </c>
      <c r="BH1941" s="46">
        <v>0</v>
      </c>
      <c r="BI1941">
        <v>8.69</v>
      </c>
      <c r="BJ1941">
        <v>-5905</v>
      </c>
      <c r="BK1941">
        <v>-5.91</v>
      </c>
      <c r="BL1941">
        <v>4838.3</v>
      </c>
    </row>
    <row r="1942" spans="1:64" x14ac:dyDescent="0.25">
      <c r="A1942" s="136">
        <v>43105</v>
      </c>
      <c r="B1942" s="201" t="s">
        <v>78</v>
      </c>
      <c r="C1942" t="s">
        <v>142</v>
      </c>
      <c r="D1942">
        <v>900</v>
      </c>
      <c r="E1942">
        <v>900</v>
      </c>
      <c r="F1942">
        <v>10.29</v>
      </c>
      <c r="G1942">
        <v>-80.78</v>
      </c>
      <c r="H1942">
        <v>-0.87</v>
      </c>
      <c r="I1942" s="309">
        <v>9180</v>
      </c>
      <c r="J1942">
        <v>10.199999999999999</v>
      </c>
      <c r="K1942" s="133">
        <v>1.7161210183865901E-2</v>
      </c>
      <c r="L1942" s="181">
        <v>257.89999999999998</v>
      </c>
      <c r="M1942" s="133">
        <v>1.7312221355832401E-2</v>
      </c>
      <c r="N1942" s="73">
        <v>159.16400000000101</v>
      </c>
      <c r="O1942" s="73">
        <v>15.296578653846201</v>
      </c>
      <c r="P1942" s="182">
        <v>1</v>
      </c>
      <c r="Q1942" s="182">
        <v>500</v>
      </c>
      <c r="R1942" s="46">
        <v>10.61</v>
      </c>
      <c r="S1942" s="46">
        <v>0</v>
      </c>
      <c r="T1942" s="46">
        <v>0</v>
      </c>
      <c r="U1942" s="46">
        <v>0</v>
      </c>
      <c r="V1942" s="46" t="s">
        <v>62</v>
      </c>
      <c r="W1942" s="46">
        <v>500</v>
      </c>
      <c r="X1942" s="46">
        <v>10.61</v>
      </c>
      <c r="Y1942" s="194">
        <v>10.813000000000001</v>
      </c>
      <c r="Z1942" s="194">
        <v>10.903</v>
      </c>
      <c r="AA1942" s="194">
        <v>10.875999999999999</v>
      </c>
      <c r="AB1942" s="46">
        <v>10</v>
      </c>
      <c r="AC1942" s="46">
        <v>10.4</v>
      </c>
      <c r="AD1942" s="46">
        <v>9.9499999999999993</v>
      </c>
      <c r="AE1942" s="46">
        <v>10.199999999999999</v>
      </c>
      <c r="AF1942" s="46">
        <v>4</v>
      </c>
      <c r="AG1942" s="46">
        <v>2000</v>
      </c>
      <c r="AH1942" s="46">
        <v>20690</v>
      </c>
      <c r="AI1942" s="46">
        <v>10.345000000000001</v>
      </c>
      <c r="AJ1942" s="46">
        <v>4</v>
      </c>
      <c r="AK1942" s="46">
        <v>1600</v>
      </c>
      <c r="AL1942" s="46">
        <v>16799.164000000001</v>
      </c>
      <c r="AM1942" s="46">
        <v>10.499000000000001</v>
      </c>
      <c r="AN1942" s="46" t="s">
        <v>63</v>
      </c>
      <c r="AO1942" s="46">
        <v>400</v>
      </c>
      <c r="AP1942" s="46">
        <v>3890.8359999999998</v>
      </c>
      <c r="AQ1942" s="46">
        <v>9.7270000000000003</v>
      </c>
      <c r="AR1942" s="46">
        <v>246.4</v>
      </c>
      <c r="AS1942" s="46">
        <v>5</v>
      </c>
      <c r="AT1942" s="46">
        <v>2500</v>
      </c>
      <c r="AU1942" s="46">
        <v>26000</v>
      </c>
      <c r="AV1942" s="46">
        <v>10.4</v>
      </c>
      <c r="AW1942" s="46">
        <v>4</v>
      </c>
      <c r="AX1942" s="46">
        <v>1600</v>
      </c>
      <c r="AY1942" s="46">
        <v>16799.164000000001</v>
      </c>
      <c r="AZ1942" s="46">
        <v>10.499000000000001</v>
      </c>
      <c r="BA1942" s="46" t="s">
        <v>63</v>
      </c>
      <c r="BB1942" s="46">
        <v>900</v>
      </c>
      <c r="BC1942" s="46">
        <v>9200.8359999999993</v>
      </c>
      <c r="BD1942" s="46">
        <v>10.223000000000001</v>
      </c>
      <c r="BE1942" s="46">
        <v>158.4</v>
      </c>
      <c r="BF1942" s="46">
        <v>5310</v>
      </c>
      <c r="BG1942" s="46">
        <v>10.62</v>
      </c>
      <c r="BH1942" s="46">
        <v>0</v>
      </c>
      <c r="BI1942">
        <v>10.23</v>
      </c>
      <c r="BJ1942">
        <v>5310</v>
      </c>
      <c r="BK1942">
        <v>10.62</v>
      </c>
      <c r="BL1942">
        <v>24.16</v>
      </c>
    </row>
    <row r="1943" spans="1:64" x14ac:dyDescent="0.25">
      <c r="A1943" s="136">
        <v>43105</v>
      </c>
      <c r="B1943" s="201" t="s">
        <v>72</v>
      </c>
      <c r="C1943" t="s">
        <v>130</v>
      </c>
      <c r="D1943">
        <v>900</v>
      </c>
      <c r="E1943">
        <v>900</v>
      </c>
      <c r="F1943">
        <v>6.9740000000000002</v>
      </c>
      <c r="G1943">
        <v>482.25</v>
      </c>
      <c r="H1943">
        <v>7.69</v>
      </c>
      <c r="I1943" s="309">
        <v>6759</v>
      </c>
      <c r="J1943">
        <v>7.51</v>
      </c>
      <c r="K1943" s="133">
        <v>1.26353616157679E-2</v>
      </c>
      <c r="L1943" s="181">
        <v>305.01</v>
      </c>
      <c r="M1943" s="133">
        <v>1.1733837257252799E-2</v>
      </c>
      <c r="N1943" s="73">
        <v>379.64800000000901</v>
      </c>
      <c r="O1943" s="73">
        <v>60.830264839575001</v>
      </c>
      <c r="P1943" s="182">
        <v>0</v>
      </c>
      <c r="Q1943" s="182">
        <v>0</v>
      </c>
      <c r="R1943" s="46">
        <v>0</v>
      </c>
      <c r="S1943" s="46">
        <v>15</v>
      </c>
      <c r="T1943" s="46">
        <v>6200</v>
      </c>
      <c r="U1943" s="46">
        <v>8.016</v>
      </c>
      <c r="V1943" s="46" t="s">
        <v>68</v>
      </c>
      <c r="W1943" s="46">
        <v>6200</v>
      </c>
      <c r="X1943" s="46">
        <v>8.016</v>
      </c>
      <c r="Y1943" s="193">
        <v>7.44</v>
      </c>
      <c r="Z1943" s="194">
        <v>6.923</v>
      </c>
      <c r="AA1943" s="194">
        <v>7.1159999999999997</v>
      </c>
      <c r="AB1943" s="46">
        <v>7.23</v>
      </c>
      <c r="AC1943" s="46">
        <v>7.53</v>
      </c>
      <c r="AD1943" s="46">
        <v>7.2</v>
      </c>
      <c r="AE1943" s="46">
        <v>7.51</v>
      </c>
      <c r="AF1943" s="46">
        <v>23</v>
      </c>
      <c r="AG1943" s="46">
        <v>11500</v>
      </c>
      <c r="AH1943" s="46">
        <v>91620</v>
      </c>
      <c r="AI1943" s="46">
        <v>7.9669999999999996</v>
      </c>
      <c r="AJ1943" s="46">
        <v>23</v>
      </c>
      <c r="AK1943" s="46">
        <v>11000</v>
      </c>
      <c r="AL1943" s="46">
        <v>36502.411</v>
      </c>
      <c r="AM1943" s="46">
        <v>3.3180000000000001</v>
      </c>
      <c r="AN1943" s="46" t="s">
        <v>63</v>
      </c>
      <c r="AO1943" s="46">
        <v>500</v>
      </c>
      <c r="AP1943" s="46">
        <v>55117.589</v>
      </c>
      <c r="AQ1943" s="46">
        <v>110.235</v>
      </c>
      <c r="AR1943" s="46">
        <v>-51139</v>
      </c>
      <c r="AS1943" s="46">
        <v>23</v>
      </c>
      <c r="AT1943" s="46">
        <v>11500</v>
      </c>
      <c r="AU1943" s="46">
        <v>91620</v>
      </c>
      <c r="AV1943" s="46">
        <v>7.9669999999999996</v>
      </c>
      <c r="AW1943" s="46">
        <v>39</v>
      </c>
      <c r="AX1943" s="46">
        <v>17700</v>
      </c>
      <c r="AY1943" s="46">
        <v>86075.713000000003</v>
      </c>
      <c r="AZ1943" s="46">
        <v>4.8630000000000004</v>
      </c>
      <c r="BA1943" s="46" t="s">
        <v>69</v>
      </c>
      <c r="BB1943" s="46">
        <v>6200</v>
      </c>
      <c r="BC1943" s="46">
        <v>5544.2870000000003</v>
      </c>
      <c r="BD1943" s="46">
        <v>0.89400000000000002</v>
      </c>
      <c r="BE1943" s="46">
        <v>-35696</v>
      </c>
      <c r="BF1943" s="46">
        <v>0</v>
      </c>
      <c r="BH1943" s="46">
        <v>49573.302000000003</v>
      </c>
      <c r="BI1943">
        <v>8</v>
      </c>
      <c r="BJ1943">
        <v>-49573.302000000003</v>
      </c>
      <c r="BK1943">
        <v>-8</v>
      </c>
      <c r="BL1943">
        <v>-6809.45</v>
      </c>
    </row>
    <row r="1944" spans="1:64" x14ac:dyDescent="0.25">
      <c r="A1944" s="136">
        <v>43105</v>
      </c>
      <c r="B1944" s="201" t="s">
        <v>70</v>
      </c>
      <c r="C1944" t="s">
        <v>131</v>
      </c>
      <c r="D1944">
        <v>9600</v>
      </c>
      <c r="E1944">
        <v>9600</v>
      </c>
      <c r="F1944">
        <v>12.311</v>
      </c>
      <c r="G1944">
        <v>-10853.7</v>
      </c>
      <c r="H1944">
        <v>-9.19</v>
      </c>
      <c r="I1944" s="309">
        <v>107328</v>
      </c>
      <c r="J1944">
        <v>11.18</v>
      </c>
      <c r="K1944" s="133">
        <v>0.20064034494705499</v>
      </c>
      <c r="L1944" s="181">
        <v>-1056</v>
      </c>
      <c r="M1944" s="133">
        <v>0.22093039145823401</v>
      </c>
      <c r="N1944" s="73">
        <v>-10372.686</v>
      </c>
      <c r="O1944" s="73">
        <v>-923.19676375779397</v>
      </c>
      <c r="P1944" s="182">
        <v>0</v>
      </c>
      <c r="Q1944" s="182">
        <v>0</v>
      </c>
      <c r="R1944" s="46">
        <v>0</v>
      </c>
      <c r="S1944" s="46">
        <v>5</v>
      </c>
      <c r="T1944" s="46">
        <v>2000</v>
      </c>
      <c r="U1944" s="46">
        <v>13.087999999999999</v>
      </c>
      <c r="V1944" s="46" t="s">
        <v>68</v>
      </c>
      <c r="W1944" s="46">
        <v>2000</v>
      </c>
      <c r="X1944" s="46">
        <v>13.087999999999999</v>
      </c>
      <c r="Y1944" s="194">
        <v>11.186999999999999</v>
      </c>
      <c r="Z1944" s="194">
        <v>12.303000000000001</v>
      </c>
      <c r="AA1944" s="194">
        <v>12.175000000000001</v>
      </c>
      <c r="AB1944" s="46">
        <v>11.27</v>
      </c>
      <c r="AC1944" s="46">
        <v>11.29</v>
      </c>
      <c r="AD1944" s="46">
        <v>11.16</v>
      </c>
      <c r="AE1944" s="46">
        <v>11.18</v>
      </c>
      <c r="AF1944" s="46">
        <v>122</v>
      </c>
      <c r="AG1944" s="46">
        <v>60600</v>
      </c>
      <c r="AH1944" s="46">
        <v>820933</v>
      </c>
      <c r="AI1944" s="46">
        <v>13.547000000000001</v>
      </c>
      <c r="AJ1944" s="46">
        <v>122</v>
      </c>
      <c r="AK1944" s="46">
        <v>49000</v>
      </c>
      <c r="AL1944" s="46">
        <v>676222.49</v>
      </c>
      <c r="AM1944" s="46">
        <v>13.8</v>
      </c>
      <c r="AN1944" s="46" t="s">
        <v>63</v>
      </c>
      <c r="AO1944" s="46">
        <v>11600</v>
      </c>
      <c r="AP1944" s="46">
        <v>144710.51</v>
      </c>
      <c r="AQ1944" s="46">
        <v>12.475</v>
      </c>
      <c r="AR1944" s="46">
        <v>12397</v>
      </c>
      <c r="AS1944" s="46">
        <v>122</v>
      </c>
      <c r="AT1944" s="46">
        <v>60600</v>
      </c>
      <c r="AU1944" s="46">
        <v>820933</v>
      </c>
      <c r="AV1944" s="46">
        <v>13.547000000000001</v>
      </c>
      <c r="AW1944" s="46">
        <v>128</v>
      </c>
      <c r="AX1944" s="46">
        <v>51000</v>
      </c>
      <c r="AY1944" s="46">
        <v>702752.31400000001</v>
      </c>
      <c r="AZ1944" s="46">
        <v>13.779</v>
      </c>
      <c r="BA1944" s="46" t="s">
        <v>63</v>
      </c>
      <c r="BB1944" s="46">
        <v>9600</v>
      </c>
      <c r="BC1944" s="46">
        <v>118180.686</v>
      </c>
      <c r="BD1944" s="46">
        <v>12.31</v>
      </c>
      <c r="BE1944" s="46">
        <v>11832</v>
      </c>
      <c r="BF1944" s="46">
        <v>0</v>
      </c>
      <c r="BH1944" s="46">
        <v>26529.823999999899</v>
      </c>
      <c r="BI1944">
        <v>13.26</v>
      </c>
      <c r="BJ1944">
        <v>-26529.824000000001</v>
      </c>
      <c r="BK1944">
        <v>-13.26</v>
      </c>
      <c r="BL1944">
        <v>1108.8599999999999</v>
      </c>
    </row>
    <row r="1945" spans="1:64" x14ac:dyDescent="0.25">
      <c r="A1945" s="136">
        <v>43105</v>
      </c>
      <c r="B1945" s="201" t="s">
        <v>146</v>
      </c>
      <c r="C1945" t="s">
        <v>147</v>
      </c>
      <c r="D1945">
        <v>40</v>
      </c>
      <c r="E1945">
        <v>40</v>
      </c>
      <c r="F1945">
        <v>100</v>
      </c>
      <c r="G1945">
        <v>0</v>
      </c>
      <c r="H1945">
        <v>0</v>
      </c>
      <c r="I1945" s="309">
        <v>4000</v>
      </c>
      <c r="J1945">
        <v>0</v>
      </c>
      <c r="K1945" s="133">
        <v>7.4776514962378703E-3</v>
      </c>
      <c r="L1945" s="181">
        <v>0</v>
      </c>
      <c r="M1945" s="133">
        <v>7.4776514962378703E-3</v>
      </c>
    </row>
    <row r="1946" spans="1:64" x14ac:dyDescent="0.25">
      <c r="A1946" s="136">
        <v>43105</v>
      </c>
      <c r="B1946" s="201" t="s">
        <v>137</v>
      </c>
      <c r="C1946" t="s">
        <v>138</v>
      </c>
      <c r="D1946">
        <v>100</v>
      </c>
      <c r="E1946">
        <v>100</v>
      </c>
      <c r="F1946">
        <v>-130.48500000000001</v>
      </c>
      <c r="G1946">
        <v>16674.5</v>
      </c>
      <c r="H1946">
        <v>0</v>
      </c>
      <c r="I1946" s="309">
        <v>3626</v>
      </c>
      <c r="J1946">
        <v>36.26</v>
      </c>
      <c r="K1946" s="133">
        <v>6.7784910813396297E-3</v>
      </c>
      <c r="L1946" s="181">
        <v>-84</v>
      </c>
      <c r="M1946" s="133">
        <v>0</v>
      </c>
    </row>
    <row r="1947" spans="1:64" x14ac:dyDescent="0.25">
      <c r="A1947" s="136">
        <v>43105</v>
      </c>
      <c r="B1947" s="201" t="s">
        <v>835</v>
      </c>
      <c r="C1947" t="s">
        <v>839</v>
      </c>
      <c r="I1947" s="309">
        <v>77258.81</v>
      </c>
      <c r="K1947" s="133">
        <v>0.14442861404851401</v>
      </c>
      <c r="L1947" s="181">
        <v>0</v>
      </c>
      <c r="M1947" s="133">
        <v>0.14442861404851401</v>
      </c>
    </row>
    <row r="1948" spans="1:64" x14ac:dyDescent="0.25">
      <c r="A1948" s="136">
        <v>43108</v>
      </c>
      <c r="B1948" s="201" t="s">
        <v>132</v>
      </c>
      <c r="C1948" t="s">
        <v>123</v>
      </c>
      <c r="D1948">
        <v>8000215</v>
      </c>
      <c r="E1948">
        <v>215</v>
      </c>
      <c r="F1948">
        <v>0.01</v>
      </c>
      <c r="G1948">
        <v>2741.08</v>
      </c>
      <c r="H1948">
        <v>0</v>
      </c>
      <c r="I1948" s="309">
        <v>80002.149999999994</v>
      </c>
      <c r="J1948">
        <v>0.01</v>
      </c>
      <c r="K1948" s="133">
        <v>0.14867482074108199</v>
      </c>
      <c r="L1948" s="181">
        <v>2.1500000000000901</v>
      </c>
      <c r="M1948" s="133">
        <v>0</v>
      </c>
    </row>
    <row r="1949" spans="1:64" x14ac:dyDescent="0.25">
      <c r="A1949" s="136">
        <v>43108</v>
      </c>
      <c r="B1949" s="201" t="s">
        <v>61</v>
      </c>
      <c r="C1949" t="s">
        <v>136</v>
      </c>
      <c r="D1949">
        <v>3500</v>
      </c>
      <c r="E1949">
        <v>3500</v>
      </c>
      <c r="F1949">
        <v>5.3070000000000004</v>
      </c>
      <c r="G1949">
        <v>-303.52</v>
      </c>
      <c r="H1949">
        <v>-1.64</v>
      </c>
      <c r="I1949" s="309">
        <v>18270</v>
      </c>
      <c r="J1949">
        <v>5.22</v>
      </c>
      <c r="K1949" s="133">
        <v>3.3952699707939897E-2</v>
      </c>
      <c r="L1949" s="181">
        <v>70</v>
      </c>
      <c r="M1949" s="133">
        <v>3.45167568187967E-2</v>
      </c>
      <c r="N1949" s="73">
        <v>-587.26800000000003</v>
      </c>
      <c r="O1949" s="73">
        <v>-114.19734747081699</v>
      </c>
      <c r="P1949" s="182">
        <v>6</v>
      </c>
      <c r="Q1949" s="182">
        <v>3000</v>
      </c>
      <c r="R1949" s="46">
        <v>5.31</v>
      </c>
      <c r="S1949" s="46">
        <v>0</v>
      </c>
      <c r="T1949" s="46">
        <v>0</v>
      </c>
      <c r="U1949" s="46">
        <v>0</v>
      </c>
      <c r="V1949" s="46" t="s">
        <v>62</v>
      </c>
      <c r="W1949" s="46">
        <v>3000</v>
      </c>
      <c r="X1949" s="46">
        <v>5.31</v>
      </c>
      <c r="Y1949" s="193">
        <v>5.3310000000000004</v>
      </c>
      <c r="Z1949" s="194">
        <v>5.0209999999999999</v>
      </c>
      <c r="AA1949" s="194">
        <v>5.1479999999999997</v>
      </c>
      <c r="AB1949" s="46">
        <v>5.2</v>
      </c>
      <c r="AC1949" s="46">
        <v>5.24</v>
      </c>
      <c r="AD1949" s="46">
        <v>5.16</v>
      </c>
      <c r="AE1949" s="46">
        <v>5.22</v>
      </c>
      <c r="AF1949" s="46">
        <v>5</v>
      </c>
      <c r="AG1949" s="46">
        <v>2500</v>
      </c>
      <c r="AH1949" s="46">
        <v>13346.5</v>
      </c>
      <c r="AI1949" s="46">
        <v>5.3390000000000004</v>
      </c>
      <c r="AJ1949" s="46">
        <v>5</v>
      </c>
      <c r="AK1949" s="46">
        <v>2000</v>
      </c>
      <c r="AL1949" s="46">
        <v>10731.031999999999</v>
      </c>
      <c r="AM1949" s="46">
        <v>5.3659999999999997</v>
      </c>
      <c r="AN1949" s="46" t="s">
        <v>63</v>
      </c>
      <c r="AO1949" s="46">
        <v>500</v>
      </c>
      <c r="AP1949" s="46">
        <v>2615.4679999999998</v>
      </c>
      <c r="AQ1949" s="46">
        <v>5.2309999999999999</v>
      </c>
      <c r="AR1949" s="46">
        <v>54</v>
      </c>
      <c r="AS1949" s="46">
        <v>11</v>
      </c>
      <c r="AT1949" s="46">
        <v>5500</v>
      </c>
      <c r="AU1949" s="46">
        <v>29308.3</v>
      </c>
      <c r="AV1949" s="46">
        <v>5.3289999999999997</v>
      </c>
      <c r="AW1949" s="46">
        <v>5</v>
      </c>
      <c r="AX1949" s="46">
        <v>2000</v>
      </c>
      <c r="AY1949" s="46">
        <v>10731.031999999999</v>
      </c>
      <c r="AZ1949" s="46">
        <v>5.3659999999999997</v>
      </c>
      <c r="BA1949" s="46" t="s">
        <v>63</v>
      </c>
      <c r="BB1949" s="46">
        <v>3500</v>
      </c>
      <c r="BC1949" s="46">
        <v>18577.268</v>
      </c>
      <c r="BD1949" s="46">
        <v>5.3079999999999998</v>
      </c>
      <c r="BE1949" s="46">
        <v>74</v>
      </c>
      <c r="BF1949" s="46">
        <v>15961.8</v>
      </c>
      <c r="BG1949" s="46">
        <v>5.32</v>
      </c>
      <c r="BH1949" s="46">
        <v>0</v>
      </c>
      <c r="BJ1949">
        <v>15961.8</v>
      </c>
      <c r="BK1949">
        <v>5.32</v>
      </c>
      <c r="BL1949">
        <v>10.34</v>
      </c>
    </row>
    <row r="1950" spans="1:64" x14ac:dyDescent="0.25">
      <c r="A1950" s="136">
        <v>43108</v>
      </c>
      <c r="B1950" s="201" t="s">
        <v>124</v>
      </c>
      <c r="C1950" t="s">
        <v>125</v>
      </c>
      <c r="D1950">
        <v>100</v>
      </c>
      <c r="E1950">
        <v>100</v>
      </c>
      <c r="F1950">
        <v>-53.579000000000001</v>
      </c>
      <c r="G1950">
        <v>5964.9</v>
      </c>
      <c r="H1950">
        <v>0</v>
      </c>
      <c r="I1950" s="309">
        <v>607</v>
      </c>
      <c r="J1950">
        <v>6.07</v>
      </c>
      <c r="K1950" s="133">
        <v>1.12803988630101E-3</v>
      </c>
      <c r="L1950" s="181">
        <v>-1</v>
      </c>
      <c r="M1950" s="133">
        <v>0</v>
      </c>
      <c r="Y1950" s="194">
        <v>5.8869999999999996</v>
      </c>
      <c r="Z1950" s="193">
        <v>5.1360000000000001</v>
      </c>
      <c r="AA1950" s="193">
        <v>5.8849999999999998</v>
      </c>
      <c r="AB1950" s="46">
        <v>6.09</v>
      </c>
      <c r="AC1950" s="46">
        <v>6.1</v>
      </c>
      <c r="AD1950" s="46">
        <v>6.04</v>
      </c>
      <c r="AE1950" s="46">
        <v>6.07</v>
      </c>
    </row>
    <row r="1951" spans="1:64" x14ac:dyDescent="0.25">
      <c r="A1951" s="136">
        <v>43108</v>
      </c>
      <c r="B1951" s="201" t="s">
        <v>71</v>
      </c>
      <c r="C1951" t="s">
        <v>126</v>
      </c>
      <c r="D1951">
        <v>2400</v>
      </c>
      <c r="E1951">
        <v>2400</v>
      </c>
      <c r="F1951">
        <v>5.8460000000000001</v>
      </c>
      <c r="G1951">
        <v>1666.72</v>
      </c>
      <c r="H1951">
        <v>11.87</v>
      </c>
      <c r="I1951" s="309">
        <v>15696</v>
      </c>
      <c r="J1951">
        <v>6.54</v>
      </c>
      <c r="K1951" s="133">
        <v>2.9169215906722699E-2</v>
      </c>
      <c r="L1951" s="181">
        <v>264.33999999999997</v>
      </c>
      <c r="M1951" s="133">
        <v>2.6071807934242301E-2</v>
      </c>
      <c r="N1951" s="73">
        <v>1915.566</v>
      </c>
      <c r="O1951" s="73">
        <v>247.03378328220799</v>
      </c>
      <c r="P1951" s="182">
        <v>2</v>
      </c>
      <c r="Q1951" s="182">
        <v>1000</v>
      </c>
      <c r="R1951" s="46">
        <v>6.45</v>
      </c>
      <c r="S1951" s="46">
        <v>3</v>
      </c>
      <c r="T1951" s="46">
        <v>1300</v>
      </c>
      <c r="U1951" s="46">
        <v>6.4320000000000004</v>
      </c>
      <c r="V1951" s="46" t="s">
        <v>68</v>
      </c>
      <c r="W1951" s="46">
        <v>300</v>
      </c>
      <c r="X1951" s="46">
        <v>6.3719999999999999</v>
      </c>
      <c r="Y1951" s="193">
        <v>6.577</v>
      </c>
      <c r="Z1951" s="194">
        <v>6.2409999999999997</v>
      </c>
      <c r="AA1951" s="194">
        <v>6.4980000000000002</v>
      </c>
      <c r="AB1951" s="46">
        <v>6.44</v>
      </c>
      <c r="AC1951" s="46">
        <v>6.55</v>
      </c>
      <c r="AD1951" s="46">
        <v>6.42</v>
      </c>
      <c r="AE1951" s="46">
        <v>6.54</v>
      </c>
      <c r="AF1951" s="46">
        <v>39</v>
      </c>
      <c r="AG1951" s="46">
        <v>19600</v>
      </c>
      <c r="AH1951" s="46">
        <v>124862.76</v>
      </c>
      <c r="AI1951" s="46">
        <v>6.3710000000000004</v>
      </c>
      <c r="AJ1951" s="46">
        <v>37</v>
      </c>
      <c r="AK1951" s="46">
        <v>16900</v>
      </c>
      <c r="AL1951" s="46">
        <v>108788.76700000001</v>
      </c>
      <c r="AM1951" s="46">
        <v>6.4370000000000003</v>
      </c>
      <c r="AN1951" s="46" t="s">
        <v>63</v>
      </c>
      <c r="AO1951" s="46">
        <v>2700</v>
      </c>
      <c r="AP1951" s="46">
        <v>16073.993</v>
      </c>
      <c r="AQ1951" s="46">
        <v>5.9530000000000003</v>
      </c>
      <c r="AR1951" s="46">
        <v>1115.4000000000001</v>
      </c>
      <c r="AS1951" s="46">
        <v>41</v>
      </c>
      <c r="AT1951" s="46">
        <v>20600</v>
      </c>
      <c r="AU1951" s="46">
        <v>131323.35999999999</v>
      </c>
      <c r="AV1951" s="46">
        <v>6.375</v>
      </c>
      <c r="AW1951" s="46">
        <v>40</v>
      </c>
      <c r="AX1951" s="46">
        <v>18200</v>
      </c>
      <c r="AY1951" s="46">
        <v>117125.626</v>
      </c>
      <c r="AZ1951" s="46">
        <v>6.4349999999999996</v>
      </c>
      <c r="BA1951" s="46" t="s">
        <v>63</v>
      </c>
      <c r="BB1951" s="46">
        <v>2400</v>
      </c>
      <c r="BC1951" s="46">
        <v>14197.734</v>
      </c>
      <c r="BD1951" s="46">
        <v>5.9160000000000004</v>
      </c>
      <c r="BE1951" s="46">
        <v>1092</v>
      </c>
      <c r="BF1951" s="46">
        <v>6460.6000000000204</v>
      </c>
      <c r="BG1951" s="46">
        <v>6.46</v>
      </c>
      <c r="BH1951" s="46">
        <v>8336.8590000000004</v>
      </c>
      <c r="BI1951">
        <v>6.41</v>
      </c>
      <c r="BJ1951">
        <v>-1876.259</v>
      </c>
      <c r="BK1951">
        <v>-6.25</v>
      </c>
      <c r="BL1951">
        <v>170.55</v>
      </c>
    </row>
    <row r="1952" spans="1:64" x14ac:dyDescent="0.25">
      <c r="A1952" s="136">
        <v>43108</v>
      </c>
      <c r="B1952" s="201" t="s">
        <v>79</v>
      </c>
      <c r="C1952" t="s">
        <v>143</v>
      </c>
      <c r="D1952">
        <v>4700</v>
      </c>
      <c r="E1952">
        <v>4700</v>
      </c>
      <c r="F1952">
        <v>17.062000000000001</v>
      </c>
      <c r="G1952">
        <v>-6963.57</v>
      </c>
      <c r="H1952">
        <v>-8.68</v>
      </c>
      <c r="I1952" s="309">
        <v>73226</v>
      </c>
      <c r="J1952">
        <v>15.58</v>
      </c>
      <c r="K1952" s="133">
        <v>0.13608212308777301</v>
      </c>
      <c r="L1952" s="181">
        <v>-47</v>
      </c>
      <c r="M1952" s="133">
        <v>0.149023119316849</v>
      </c>
      <c r="N1952" s="73">
        <v>-6401.2600000000202</v>
      </c>
      <c r="O1952" s="73">
        <v>-407.51970509554297</v>
      </c>
      <c r="P1952" s="182">
        <v>8</v>
      </c>
      <c r="Q1952" s="182">
        <v>4500</v>
      </c>
      <c r="R1952" s="46">
        <v>17.18</v>
      </c>
      <c r="S1952" s="46">
        <v>0</v>
      </c>
      <c r="T1952" s="46">
        <v>0</v>
      </c>
      <c r="U1952" s="46">
        <v>0</v>
      </c>
      <c r="V1952" s="46" t="s">
        <v>62</v>
      </c>
      <c r="W1952" s="46">
        <v>4500</v>
      </c>
      <c r="X1952" s="46">
        <v>17.18</v>
      </c>
      <c r="Y1952" s="194">
        <v>15.446999999999999</v>
      </c>
      <c r="Z1952" s="194">
        <v>15.564</v>
      </c>
      <c r="AA1952" s="194">
        <v>15.509</v>
      </c>
      <c r="AB1952" s="46">
        <v>15.58</v>
      </c>
      <c r="AC1952" s="46">
        <v>15.59</v>
      </c>
      <c r="AD1952" s="46">
        <v>15.47</v>
      </c>
      <c r="AE1952" s="46">
        <v>15.58</v>
      </c>
      <c r="AF1952" s="46">
        <v>2</v>
      </c>
      <c r="AG1952" s="46">
        <v>1000</v>
      </c>
      <c r="AH1952" s="46">
        <v>15295.6</v>
      </c>
      <c r="AI1952" s="46">
        <v>15.295999999999999</v>
      </c>
      <c r="AJ1952" s="46">
        <v>2</v>
      </c>
      <c r="AK1952" s="46">
        <v>800</v>
      </c>
      <c r="AL1952" s="46">
        <v>12457.04</v>
      </c>
      <c r="AM1952" s="46">
        <v>15.571</v>
      </c>
      <c r="AN1952" s="46" t="s">
        <v>63</v>
      </c>
      <c r="AO1952" s="46">
        <v>200</v>
      </c>
      <c r="AP1952" s="46">
        <v>2838.56</v>
      </c>
      <c r="AQ1952" s="46">
        <v>14.193</v>
      </c>
      <c r="AR1952" s="46">
        <v>220</v>
      </c>
      <c r="AS1952" s="46">
        <v>10</v>
      </c>
      <c r="AT1952" s="46">
        <v>5500</v>
      </c>
      <c r="AU1952" s="46">
        <v>92648.3</v>
      </c>
      <c r="AV1952" s="46">
        <v>16.844999999999999</v>
      </c>
      <c r="AW1952" s="46">
        <v>2</v>
      </c>
      <c r="AX1952" s="46">
        <v>800</v>
      </c>
      <c r="AY1952" s="46">
        <v>12457.04</v>
      </c>
      <c r="AZ1952" s="46">
        <v>15.571</v>
      </c>
      <c r="BA1952" s="46" t="s">
        <v>63</v>
      </c>
      <c r="BB1952" s="46">
        <v>4700</v>
      </c>
      <c r="BC1952" s="46">
        <v>80191.259999999995</v>
      </c>
      <c r="BD1952" s="46">
        <v>17.062000000000001</v>
      </c>
      <c r="BE1952" s="46">
        <v>-1019.2</v>
      </c>
      <c r="BF1952" s="46">
        <v>77352.7</v>
      </c>
      <c r="BG1952" s="46">
        <v>17.190000000000001</v>
      </c>
      <c r="BH1952" s="46">
        <v>0</v>
      </c>
      <c r="BJ1952">
        <v>77352.7</v>
      </c>
      <c r="BK1952">
        <v>17.190000000000001</v>
      </c>
      <c r="BL1952">
        <v>14.12</v>
      </c>
    </row>
    <row r="1953" spans="1:64" x14ac:dyDescent="0.25">
      <c r="A1953" s="136">
        <v>43108</v>
      </c>
      <c r="B1953" s="201" t="s">
        <v>65</v>
      </c>
      <c r="C1953" t="s">
        <v>127</v>
      </c>
      <c r="D1953">
        <v>10300</v>
      </c>
      <c r="E1953">
        <v>9800</v>
      </c>
      <c r="F1953">
        <v>10.065</v>
      </c>
      <c r="G1953">
        <v>18386.02</v>
      </c>
      <c r="H1953">
        <v>17.739999999999998</v>
      </c>
      <c r="I1953" s="309">
        <v>122055</v>
      </c>
      <c r="J1953">
        <v>11.85</v>
      </c>
      <c r="K1953" s="133">
        <v>0.22682521964163099</v>
      </c>
      <c r="L1953" s="181">
        <v>1033.3399999999999</v>
      </c>
      <c r="M1953" s="133">
        <v>0.19265691006942701</v>
      </c>
      <c r="N1953" s="73">
        <v>13485.593000000001</v>
      </c>
      <c r="O1953" s="73">
        <v>1506.2139886980401</v>
      </c>
      <c r="P1953" s="182">
        <v>0</v>
      </c>
      <c r="Q1953" s="182">
        <v>0</v>
      </c>
      <c r="R1953" s="46">
        <v>0</v>
      </c>
      <c r="S1953" s="46">
        <v>17</v>
      </c>
      <c r="T1953" s="46">
        <v>7200</v>
      </c>
      <c r="U1953" s="46">
        <v>12.396000000000001</v>
      </c>
      <c r="V1953" s="46" t="s">
        <v>68</v>
      </c>
      <c r="W1953" s="46">
        <v>7200</v>
      </c>
      <c r="X1953" s="46">
        <v>12.396000000000001</v>
      </c>
      <c r="Y1953" s="194">
        <v>11.528</v>
      </c>
      <c r="Z1953" s="194">
        <v>11.311999999999999</v>
      </c>
      <c r="AA1953" s="194">
        <v>11.616</v>
      </c>
      <c r="AB1953" s="46">
        <v>11.77</v>
      </c>
      <c r="AC1953" s="46">
        <v>12.15</v>
      </c>
      <c r="AD1953" s="46">
        <v>11.71</v>
      </c>
      <c r="AE1953" s="46">
        <v>11.85</v>
      </c>
      <c r="AF1953" s="46">
        <v>132</v>
      </c>
      <c r="AG1953" s="46">
        <v>74200</v>
      </c>
      <c r="AH1953" s="46">
        <v>866124.23100000003</v>
      </c>
      <c r="AI1953" s="46">
        <v>11.673</v>
      </c>
      <c r="AJ1953" s="46">
        <v>152</v>
      </c>
      <c r="AK1953" s="46">
        <v>65900</v>
      </c>
      <c r="AL1953" s="46">
        <v>672542.07400000002</v>
      </c>
      <c r="AM1953" s="46">
        <v>10.205</v>
      </c>
      <c r="AN1953" s="46" t="s">
        <v>63</v>
      </c>
      <c r="AO1953" s="46">
        <v>8300</v>
      </c>
      <c r="AP1953" s="46">
        <v>193582.15700000001</v>
      </c>
      <c r="AQ1953" s="46">
        <v>23.323</v>
      </c>
      <c r="AR1953" s="46">
        <v>-96741.2</v>
      </c>
      <c r="AS1953" s="46">
        <v>133</v>
      </c>
      <c r="AT1953" s="46">
        <v>74300</v>
      </c>
      <c r="AU1953" s="46">
        <v>867412.23100000003</v>
      </c>
      <c r="AV1953" s="46">
        <v>11.673999999999999</v>
      </c>
      <c r="AW1953" s="46">
        <v>169</v>
      </c>
      <c r="AX1953" s="46">
        <v>73100</v>
      </c>
      <c r="AY1953" s="46">
        <v>761619.82200000004</v>
      </c>
      <c r="AZ1953" s="46">
        <v>10.419</v>
      </c>
      <c r="BA1953" s="46" t="s">
        <v>63</v>
      </c>
      <c r="BB1953" s="46">
        <v>1200</v>
      </c>
      <c r="BC1953" s="46">
        <v>105792.409</v>
      </c>
      <c r="BD1953" s="46">
        <v>88.16</v>
      </c>
      <c r="BE1953" s="46">
        <v>-91740.5</v>
      </c>
      <c r="BF1953" s="46">
        <v>1288</v>
      </c>
      <c r="BH1953" s="46">
        <v>89077.748000000094</v>
      </c>
      <c r="BI1953">
        <v>12.37</v>
      </c>
      <c r="BJ1953">
        <v>-87789.748000000007</v>
      </c>
      <c r="BK1953">
        <v>-12.19</v>
      </c>
      <c r="BL1953">
        <v>-8163.81</v>
      </c>
    </row>
    <row r="1954" spans="1:64" x14ac:dyDescent="0.25">
      <c r="A1954" s="136">
        <v>43108</v>
      </c>
      <c r="B1954" s="201" t="s">
        <v>77</v>
      </c>
      <c r="C1954" t="s">
        <v>128</v>
      </c>
      <c r="D1954">
        <v>4200</v>
      </c>
      <c r="E1954">
        <v>4200</v>
      </c>
      <c r="F1954">
        <v>6.0039999999999996</v>
      </c>
      <c r="G1954">
        <v>-18.850000000000001</v>
      </c>
      <c r="H1954">
        <v>-7.0000000000000007E-2</v>
      </c>
      <c r="I1954" s="309">
        <v>25200</v>
      </c>
      <c r="J1954">
        <v>6</v>
      </c>
      <c r="K1954" s="133">
        <v>4.6831309941985998E-2</v>
      </c>
      <c r="L1954" s="181">
        <v>84</v>
      </c>
      <c r="M1954" s="133">
        <v>4.6866340505176803E-2</v>
      </c>
      <c r="N1954" s="73">
        <v>-355.79000000000502</v>
      </c>
      <c r="O1954" s="73">
        <v>23.863889900661501</v>
      </c>
      <c r="P1954" s="182">
        <v>7</v>
      </c>
      <c r="Q1954" s="182">
        <v>3500</v>
      </c>
      <c r="R1954" s="46">
        <v>6.7140000000000004</v>
      </c>
      <c r="S1954" s="46">
        <v>1</v>
      </c>
      <c r="T1954" s="46">
        <v>400</v>
      </c>
      <c r="U1954" s="46">
        <v>6.04</v>
      </c>
      <c r="V1954" s="46" t="s">
        <v>62</v>
      </c>
      <c r="W1954" s="46">
        <v>3100</v>
      </c>
      <c r="X1954" s="46">
        <v>6.8010000000000002</v>
      </c>
      <c r="Y1954" s="193">
        <v>6.819</v>
      </c>
      <c r="Z1954" s="194">
        <v>5.9690000000000003</v>
      </c>
      <c r="AA1954" s="194">
        <v>6.407</v>
      </c>
      <c r="AB1954" s="46">
        <v>5.99</v>
      </c>
      <c r="AC1954" s="46">
        <v>6.02</v>
      </c>
      <c r="AD1954" s="46">
        <v>5.94</v>
      </c>
      <c r="AE1954" s="46">
        <v>6</v>
      </c>
      <c r="AF1954" s="46">
        <v>37</v>
      </c>
      <c r="AG1954" s="46">
        <v>18500</v>
      </c>
      <c r="AH1954" s="46">
        <v>136154</v>
      </c>
      <c r="AI1954" s="46">
        <v>7.36</v>
      </c>
      <c r="AJ1954" s="46">
        <v>37</v>
      </c>
      <c r="AK1954" s="46">
        <v>17400</v>
      </c>
      <c r="AL1954" s="46">
        <v>132056.62599999999</v>
      </c>
      <c r="AM1954" s="46">
        <v>7.5890000000000004</v>
      </c>
      <c r="AN1954" s="46" t="s">
        <v>63</v>
      </c>
      <c r="AO1954" s="46">
        <v>1100</v>
      </c>
      <c r="AP1954" s="46">
        <v>4097.3739999999998</v>
      </c>
      <c r="AQ1954" s="46">
        <v>3.7250000000000001</v>
      </c>
      <c r="AR1954" s="46">
        <v>3984.6</v>
      </c>
      <c r="AS1954" s="46">
        <v>44</v>
      </c>
      <c r="AT1954" s="46">
        <v>22000</v>
      </c>
      <c r="AU1954" s="46">
        <v>159689</v>
      </c>
      <c r="AV1954" s="46">
        <v>7.2590000000000003</v>
      </c>
      <c r="AW1954" s="46">
        <v>38</v>
      </c>
      <c r="AX1954" s="46">
        <v>17800</v>
      </c>
      <c r="AY1954" s="46">
        <v>134465.21</v>
      </c>
      <c r="AZ1954" s="46">
        <v>7.5540000000000003</v>
      </c>
      <c r="BA1954" s="46" t="s">
        <v>63</v>
      </c>
      <c r="BB1954" s="46">
        <v>4200</v>
      </c>
      <c r="BC1954" s="46">
        <v>25223.79</v>
      </c>
      <c r="BD1954" s="46">
        <v>6.0060000000000002</v>
      </c>
      <c r="BE1954" s="46">
        <v>5251</v>
      </c>
      <c r="BF1954" s="46">
        <v>23535</v>
      </c>
      <c r="BG1954" s="46">
        <v>6.72</v>
      </c>
      <c r="BH1954" s="46">
        <v>2408.5839999999998</v>
      </c>
      <c r="BI1954">
        <v>6.02</v>
      </c>
      <c r="BJ1954">
        <v>21126.416000000001</v>
      </c>
      <c r="BK1954">
        <v>6.81</v>
      </c>
      <c r="BL1954">
        <v>664.1</v>
      </c>
    </row>
    <row r="1955" spans="1:64" x14ac:dyDescent="0.25">
      <c r="A1955" s="136">
        <v>43108</v>
      </c>
      <c r="B1955" s="201" t="s">
        <v>67</v>
      </c>
      <c r="C1955" t="s">
        <v>129</v>
      </c>
      <c r="D1955">
        <v>6850</v>
      </c>
      <c r="E1955">
        <v>6850</v>
      </c>
      <c r="F1955">
        <v>8.6549999999999994</v>
      </c>
      <c r="G1955">
        <v>1677.46</v>
      </c>
      <c r="H1955">
        <v>2.83</v>
      </c>
      <c r="I1955" s="309">
        <v>60965</v>
      </c>
      <c r="J1955">
        <v>8.9</v>
      </c>
      <c r="K1955" s="133">
        <v>0.113296460738618</v>
      </c>
      <c r="L1955" s="181">
        <v>1271.4000000000001</v>
      </c>
      <c r="M1955" s="133">
        <v>0.110179093707853</v>
      </c>
      <c r="N1955" s="73">
        <v>34333.362000000197</v>
      </c>
      <c r="O1955" s="73">
        <v>195.60327177326201</v>
      </c>
      <c r="P1955" s="182">
        <v>2</v>
      </c>
      <c r="Q1955" s="182">
        <v>1000</v>
      </c>
      <c r="R1955" s="46">
        <v>5.8949999999999996</v>
      </c>
      <c r="S1955" s="46">
        <v>2</v>
      </c>
      <c r="T1955" s="46">
        <v>800</v>
      </c>
      <c r="U1955" s="46">
        <v>8.8849999999999998</v>
      </c>
      <c r="V1955" s="46" t="s">
        <v>62</v>
      </c>
      <c r="W1955" s="46">
        <v>200</v>
      </c>
      <c r="X1955" s="46">
        <v>-6.0650000000000004</v>
      </c>
      <c r="Y1955" s="193">
        <v>8.9090000000000007</v>
      </c>
      <c r="Z1955" s="194">
        <v>7.4489999999999998</v>
      </c>
      <c r="AA1955" s="194">
        <v>8.6980000000000004</v>
      </c>
      <c r="AB1955" s="46">
        <v>8.69</v>
      </c>
      <c r="AC1955" s="46">
        <v>8.91</v>
      </c>
      <c r="AD1955" s="46">
        <v>8.6199999999999992</v>
      </c>
      <c r="AE1955" s="46">
        <v>8.9</v>
      </c>
      <c r="AF1955" s="46">
        <v>153</v>
      </c>
      <c r="AG1955" s="46">
        <v>76500</v>
      </c>
      <c r="AH1955" s="46">
        <v>634507</v>
      </c>
      <c r="AI1955" s="46">
        <v>8.2940000000000005</v>
      </c>
      <c r="AJ1955" s="46">
        <v>155</v>
      </c>
      <c r="AK1955" s="46">
        <v>72450</v>
      </c>
      <c r="AL1955" s="46">
        <v>643159.42099999997</v>
      </c>
      <c r="AM1955" s="46">
        <v>8.8770000000000007</v>
      </c>
      <c r="AN1955" s="46" t="s">
        <v>63</v>
      </c>
      <c r="AO1955" s="46">
        <v>4050</v>
      </c>
      <c r="AP1955" s="46">
        <v>8652.4210000000003</v>
      </c>
      <c r="AQ1955" s="46">
        <v>2.1360000000000001</v>
      </c>
      <c r="AR1955" s="46">
        <v>42238.35</v>
      </c>
      <c r="AS1955" s="46">
        <v>155</v>
      </c>
      <c r="AT1955" s="46">
        <v>77500</v>
      </c>
      <c r="AU1955" s="46">
        <v>640412</v>
      </c>
      <c r="AV1955" s="46">
        <v>8.2629999999999999</v>
      </c>
      <c r="AW1955" s="46">
        <v>157</v>
      </c>
      <c r="AX1955" s="46">
        <v>73250</v>
      </c>
      <c r="AY1955" s="46">
        <v>650250.31299999997</v>
      </c>
      <c r="AZ1955" s="46">
        <v>8.8770000000000007</v>
      </c>
      <c r="BA1955" s="46" t="s">
        <v>63</v>
      </c>
      <c r="BB1955" s="46">
        <v>4250</v>
      </c>
      <c r="BC1955" s="46">
        <v>9838.3130000000001</v>
      </c>
      <c r="BD1955" s="46">
        <v>2.3149999999999999</v>
      </c>
      <c r="BE1955" s="46">
        <v>44975.5</v>
      </c>
      <c r="BF1955" s="46">
        <v>5905</v>
      </c>
      <c r="BG1955" s="46">
        <v>5.91</v>
      </c>
      <c r="BH1955" s="46">
        <v>7090.8919999999898</v>
      </c>
      <c r="BI1955">
        <v>8.86</v>
      </c>
      <c r="BJ1955">
        <v>1185.8920000000001</v>
      </c>
      <c r="BK1955">
        <v>5.93</v>
      </c>
      <c r="BL1955">
        <v>4745.88</v>
      </c>
    </row>
    <row r="1956" spans="1:64" x14ac:dyDescent="0.25">
      <c r="A1956" s="136">
        <v>43108</v>
      </c>
      <c r="B1956" s="201" t="s">
        <v>78</v>
      </c>
      <c r="C1956" t="s">
        <v>142</v>
      </c>
      <c r="D1956">
        <v>900</v>
      </c>
      <c r="E1956">
        <v>900</v>
      </c>
      <c r="F1956">
        <v>10.29</v>
      </c>
      <c r="G1956">
        <v>-80.78</v>
      </c>
      <c r="H1956">
        <v>-0.87</v>
      </c>
      <c r="I1956" s="309">
        <v>9180</v>
      </c>
      <c r="J1956">
        <v>10.199999999999999</v>
      </c>
      <c r="K1956" s="133">
        <v>1.7059977193152099E-2</v>
      </c>
      <c r="L1956" s="181">
        <v>0</v>
      </c>
      <c r="M1956" s="133">
        <v>1.7210097558910498E-2</v>
      </c>
      <c r="N1956" s="73">
        <v>-35.775999999999797</v>
      </c>
      <c r="O1956" s="73">
        <v>-3.4885962926829102</v>
      </c>
      <c r="P1956" s="182">
        <v>1</v>
      </c>
      <c r="Q1956" s="182">
        <v>500</v>
      </c>
      <c r="R1956" s="46">
        <v>10.61</v>
      </c>
      <c r="S1956" s="46">
        <v>0</v>
      </c>
      <c r="T1956" s="46">
        <v>0</v>
      </c>
      <c r="U1956" s="46">
        <v>0</v>
      </c>
      <c r="V1956" s="46" t="s">
        <v>62</v>
      </c>
      <c r="W1956" s="46">
        <v>500</v>
      </c>
      <c r="X1956" s="46">
        <v>10.61</v>
      </c>
      <c r="Y1956" s="194">
        <v>10.111000000000001</v>
      </c>
      <c r="Z1956" s="194">
        <v>10.888</v>
      </c>
      <c r="AA1956" s="194">
        <v>10.86</v>
      </c>
      <c r="AB1956" s="46">
        <v>10.210000000000001</v>
      </c>
      <c r="AC1956" s="46">
        <v>10.33</v>
      </c>
      <c r="AD1956" s="46">
        <v>10.1</v>
      </c>
      <c r="AE1956" s="46">
        <v>10.199999999999999</v>
      </c>
      <c r="AF1956" s="46">
        <v>4</v>
      </c>
      <c r="AG1956" s="46">
        <v>2000</v>
      </c>
      <c r="AH1956" s="46">
        <v>20690</v>
      </c>
      <c r="AI1956" s="46">
        <v>10.345000000000001</v>
      </c>
      <c r="AJ1956" s="46">
        <v>4</v>
      </c>
      <c r="AK1956" s="46">
        <v>1600</v>
      </c>
      <c r="AL1956" s="46">
        <v>16739.223999999998</v>
      </c>
      <c r="AM1956" s="46">
        <v>10.462</v>
      </c>
      <c r="AN1956" s="46" t="s">
        <v>63</v>
      </c>
      <c r="AO1956" s="46">
        <v>400</v>
      </c>
      <c r="AP1956" s="46">
        <v>3950.7759999999998</v>
      </c>
      <c r="AQ1956" s="46">
        <v>9.8770000000000007</v>
      </c>
      <c r="AR1956" s="46">
        <v>187.2</v>
      </c>
      <c r="AS1956" s="46">
        <v>5</v>
      </c>
      <c r="AT1956" s="46">
        <v>2500</v>
      </c>
      <c r="AU1956" s="46">
        <v>26000</v>
      </c>
      <c r="AV1956" s="46">
        <v>10.4</v>
      </c>
      <c r="AW1956" s="46">
        <v>4</v>
      </c>
      <c r="AX1956" s="46">
        <v>1600</v>
      </c>
      <c r="AY1956" s="46">
        <v>16739.223999999998</v>
      </c>
      <c r="AZ1956" s="46">
        <v>10.462</v>
      </c>
      <c r="BA1956" s="46" t="s">
        <v>63</v>
      </c>
      <c r="BB1956" s="46">
        <v>900</v>
      </c>
      <c r="BC1956" s="46">
        <v>9260.7759999999998</v>
      </c>
      <c r="BD1956" s="46">
        <v>10.29</v>
      </c>
      <c r="BE1956" s="46">
        <v>99.2</v>
      </c>
      <c r="BF1956" s="46">
        <v>5310</v>
      </c>
      <c r="BG1956" s="46">
        <v>10.62</v>
      </c>
      <c r="BH1956" s="46">
        <v>0</v>
      </c>
      <c r="BJ1956">
        <v>5310</v>
      </c>
      <c r="BK1956">
        <v>10.62</v>
      </c>
      <c r="BL1956">
        <v>18.350000000000001</v>
      </c>
    </row>
    <row r="1957" spans="1:64" x14ac:dyDescent="0.25">
      <c r="A1957" s="136">
        <v>43108</v>
      </c>
      <c r="B1957" s="201" t="s">
        <v>72</v>
      </c>
      <c r="C1957" t="s">
        <v>130</v>
      </c>
      <c r="D1957">
        <v>900</v>
      </c>
      <c r="E1957">
        <v>900</v>
      </c>
      <c r="F1957">
        <v>6.9740000000000002</v>
      </c>
      <c r="G1957">
        <v>428.25</v>
      </c>
      <c r="H1957">
        <v>6.83</v>
      </c>
      <c r="I1957" s="309">
        <v>6705</v>
      </c>
      <c r="J1957">
        <v>7.45</v>
      </c>
      <c r="K1957" s="133">
        <v>1.24604735381356E-2</v>
      </c>
      <c r="L1957" s="181">
        <v>-54</v>
      </c>
      <c r="M1957" s="133">
        <v>1.1664620026919099E-2</v>
      </c>
      <c r="N1957" s="73">
        <v>379.64800000000901</v>
      </c>
      <c r="O1957" s="73">
        <v>60.830264839575001</v>
      </c>
      <c r="P1957" s="182">
        <v>0</v>
      </c>
      <c r="Q1957" s="182">
        <v>0</v>
      </c>
      <c r="R1957" s="46">
        <v>0</v>
      </c>
      <c r="S1957" s="46">
        <v>15</v>
      </c>
      <c r="T1957" s="46">
        <v>6200</v>
      </c>
      <c r="U1957" s="46">
        <v>8.016</v>
      </c>
      <c r="V1957" s="46" t="s">
        <v>68</v>
      </c>
      <c r="W1957" s="46">
        <v>6200</v>
      </c>
      <c r="X1957" s="46">
        <v>8.016</v>
      </c>
      <c r="Y1957" s="194">
        <v>7.4340000000000002</v>
      </c>
      <c r="Z1957" s="194">
        <v>7.0010000000000003</v>
      </c>
      <c r="AA1957" s="194">
        <v>7.1280000000000001</v>
      </c>
      <c r="AB1957" s="46">
        <v>7.5</v>
      </c>
      <c r="AC1957" s="46">
        <v>7.52</v>
      </c>
      <c r="AD1957" s="46">
        <v>7.4</v>
      </c>
      <c r="AE1957" s="46">
        <v>7.45</v>
      </c>
      <c r="AF1957" s="46">
        <v>23</v>
      </c>
      <c r="AG1957" s="46">
        <v>11500</v>
      </c>
      <c r="AH1957" s="46">
        <v>91620</v>
      </c>
      <c r="AI1957" s="46">
        <v>7.9669999999999996</v>
      </c>
      <c r="AJ1957" s="46">
        <v>23</v>
      </c>
      <c r="AK1957" s="46">
        <v>11000</v>
      </c>
      <c r="AL1957" s="46">
        <v>36502.411</v>
      </c>
      <c r="AM1957" s="46">
        <v>3.3180000000000001</v>
      </c>
      <c r="AN1957" s="46" t="s">
        <v>63</v>
      </c>
      <c r="AO1957" s="46">
        <v>500</v>
      </c>
      <c r="AP1957" s="46">
        <v>55117.589</v>
      </c>
      <c r="AQ1957" s="46">
        <v>110.235</v>
      </c>
      <c r="AR1957" s="46">
        <v>-51139</v>
      </c>
      <c r="AS1957" s="46">
        <v>23</v>
      </c>
      <c r="AT1957" s="46">
        <v>11500</v>
      </c>
      <c r="AU1957" s="46">
        <v>91620</v>
      </c>
      <c r="AV1957" s="46">
        <v>7.9669999999999996</v>
      </c>
      <c r="AW1957" s="46">
        <v>39</v>
      </c>
      <c r="AX1957" s="46">
        <v>17700</v>
      </c>
      <c r="AY1957" s="46">
        <v>86075.713000000003</v>
      </c>
      <c r="AZ1957" s="46">
        <v>4.8630000000000004</v>
      </c>
      <c r="BA1957" s="46" t="s">
        <v>69</v>
      </c>
      <c r="BB1957" s="46">
        <v>6200</v>
      </c>
      <c r="BC1957" s="46">
        <v>5544.2870000000003</v>
      </c>
      <c r="BD1957" s="46">
        <v>0.89400000000000002</v>
      </c>
      <c r="BE1957" s="46">
        <v>-35696</v>
      </c>
      <c r="BF1957" s="46">
        <v>0</v>
      </c>
      <c r="BH1957" s="46">
        <v>49573.302000000003</v>
      </c>
      <c r="BI1957">
        <v>8</v>
      </c>
      <c r="BJ1957">
        <v>-49573.302000000003</v>
      </c>
      <c r="BK1957">
        <v>-8</v>
      </c>
      <c r="BL1957">
        <v>-6864.3</v>
      </c>
    </row>
    <row r="1958" spans="1:64" x14ac:dyDescent="0.25">
      <c r="A1958" s="136">
        <v>43108</v>
      </c>
      <c r="B1958" s="201" t="s">
        <v>70</v>
      </c>
      <c r="C1958" t="s">
        <v>131</v>
      </c>
      <c r="D1958">
        <v>9600</v>
      </c>
      <c r="E1958">
        <v>9600</v>
      </c>
      <c r="F1958">
        <v>12.311</v>
      </c>
      <c r="G1958">
        <v>-10373.700000000001</v>
      </c>
      <c r="H1958">
        <v>-8.7799999999999994</v>
      </c>
      <c r="I1958" s="309">
        <v>107808</v>
      </c>
      <c r="J1958">
        <v>11.23</v>
      </c>
      <c r="K1958" s="133">
        <v>0.20034880405657299</v>
      </c>
      <c r="L1958" s="181">
        <v>480</v>
      </c>
      <c r="M1958" s="133">
        <v>0.219627135800429</v>
      </c>
      <c r="N1958" s="73">
        <v>-10372.686</v>
      </c>
      <c r="O1958" s="73">
        <v>-923.19676375779397</v>
      </c>
      <c r="P1958" s="182">
        <v>0</v>
      </c>
      <c r="Q1958" s="182">
        <v>0</v>
      </c>
      <c r="R1958" s="46">
        <v>0</v>
      </c>
      <c r="S1958" s="46">
        <v>5</v>
      </c>
      <c r="T1958" s="46">
        <v>2000</v>
      </c>
      <c r="U1958" s="46">
        <v>13.087999999999999</v>
      </c>
      <c r="V1958" s="46" t="s">
        <v>68</v>
      </c>
      <c r="W1958" s="46">
        <v>2000</v>
      </c>
      <c r="X1958" s="46">
        <v>13.087999999999999</v>
      </c>
      <c r="Y1958" s="194">
        <v>10.526999999999999</v>
      </c>
      <c r="Z1958" s="194">
        <v>12.3</v>
      </c>
      <c r="AA1958" s="194">
        <v>12.17</v>
      </c>
      <c r="AB1958" s="46">
        <v>11.2</v>
      </c>
      <c r="AC1958" s="46">
        <v>11.25</v>
      </c>
      <c r="AD1958" s="46">
        <v>11</v>
      </c>
      <c r="AE1958" s="46">
        <v>11.23</v>
      </c>
      <c r="AF1958" s="46">
        <v>122</v>
      </c>
      <c r="AG1958" s="46">
        <v>60600</v>
      </c>
      <c r="AH1958" s="46">
        <v>820933</v>
      </c>
      <c r="AI1958" s="46">
        <v>13.547000000000001</v>
      </c>
      <c r="AJ1958" s="46">
        <v>122</v>
      </c>
      <c r="AK1958" s="46">
        <v>49000</v>
      </c>
      <c r="AL1958" s="46">
        <v>676222.49</v>
      </c>
      <c r="AM1958" s="46">
        <v>13.8</v>
      </c>
      <c r="AN1958" s="46" t="s">
        <v>63</v>
      </c>
      <c r="AO1958" s="46">
        <v>11600</v>
      </c>
      <c r="AP1958" s="46">
        <v>144710.51</v>
      </c>
      <c r="AQ1958" s="46">
        <v>12.475</v>
      </c>
      <c r="AR1958" s="46">
        <v>12397</v>
      </c>
      <c r="AS1958" s="46">
        <v>122</v>
      </c>
      <c r="AT1958" s="46">
        <v>60600</v>
      </c>
      <c r="AU1958" s="46">
        <v>820933</v>
      </c>
      <c r="AV1958" s="46">
        <v>13.547000000000001</v>
      </c>
      <c r="AW1958" s="46">
        <v>128</v>
      </c>
      <c r="AX1958" s="46">
        <v>51000</v>
      </c>
      <c r="AY1958" s="46">
        <v>702752.31400000001</v>
      </c>
      <c r="AZ1958" s="46">
        <v>13.779</v>
      </c>
      <c r="BA1958" s="46" t="s">
        <v>63</v>
      </c>
      <c r="BB1958" s="46">
        <v>9600</v>
      </c>
      <c r="BC1958" s="46">
        <v>118180.686</v>
      </c>
      <c r="BD1958" s="46">
        <v>12.31</v>
      </c>
      <c r="BE1958" s="46">
        <v>11832</v>
      </c>
      <c r="BF1958" s="46">
        <v>0</v>
      </c>
      <c r="BH1958" s="46">
        <v>26529.823999999899</v>
      </c>
      <c r="BI1958">
        <v>13.26</v>
      </c>
      <c r="BJ1958">
        <v>-26529.824000000001</v>
      </c>
      <c r="BK1958">
        <v>-13.26</v>
      </c>
      <c r="BL1958">
        <v>1103.92</v>
      </c>
    </row>
    <row r="1959" spans="1:64" x14ac:dyDescent="0.25">
      <c r="A1959" s="136">
        <v>43108</v>
      </c>
      <c r="B1959" s="201" t="s">
        <v>146</v>
      </c>
      <c r="C1959" t="s">
        <v>147</v>
      </c>
      <c r="D1959">
        <v>40</v>
      </c>
      <c r="E1959">
        <v>40</v>
      </c>
      <c r="F1959">
        <v>100</v>
      </c>
      <c r="G1959">
        <v>0</v>
      </c>
      <c r="H1959">
        <v>0</v>
      </c>
      <c r="I1959" s="309">
        <v>4000</v>
      </c>
      <c r="J1959">
        <v>0</v>
      </c>
      <c r="K1959" s="133">
        <v>7.4335412606327004E-3</v>
      </c>
      <c r="L1959" s="181">
        <v>0</v>
      </c>
      <c r="M1959" s="133">
        <v>7.4335412606327004E-3</v>
      </c>
    </row>
    <row r="1960" spans="1:64" x14ac:dyDescent="0.25">
      <c r="A1960" s="136">
        <v>43108</v>
      </c>
      <c r="B1960" s="201" t="s">
        <v>137</v>
      </c>
      <c r="C1960" t="s">
        <v>138</v>
      </c>
      <c r="D1960">
        <v>100</v>
      </c>
      <c r="E1960">
        <v>100</v>
      </c>
      <c r="F1960">
        <v>-130.48500000000001</v>
      </c>
      <c r="G1960">
        <v>16745.5</v>
      </c>
      <c r="H1960">
        <v>0</v>
      </c>
      <c r="I1960" s="309">
        <v>3697</v>
      </c>
      <c r="J1960">
        <v>36.97</v>
      </c>
      <c r="K1960" s="133">
        <v>6.8704505101397804E-3</v>
      </c>
      <c r="L1960" s="181">
        <v>71</v>
      </c>
      <c r="M1960" s="133">
        <v>0</v>
      </c>
    </row>
    <row r="1961" spans="1:64" x14ac:dyDescent="0.25">
      <c r="A1961" s="136">
        <v>43108</v>
      </c>
      <c r="B1961" s="201" t="s">
        <v>835</v>
      </c>
      <c r="C1961" t="s">
        <v>839</v>
      </c>
      <c r="I1961" s="309">
        <v>10690.39</v>
      </c>
      <c r="K1961" s="133">
        <v>1.98668637893138E-2</v>
      </c>
      <c r="L1961" s="181">
        <v>0</v>
      </c>
      <c r="M1961" s="133">
        <v>0.168541684530396</v>
      </c>
    </row>
    <row r="1962" spans="1:64" x14ac:dyDescent="0.25">
      <c r="A1962" s="136">
        <v>43109</v>
      </c>
      <c r="B1962" s="201" t="s">
        <v>132</v>
      </c>
      <c r="C1962" t="s">
        <v>123</v>
      </c>
      <c r="D1962">
        <v>8546045</v>
      </c>
      <c r="E1962">
        <v>8546045</v>
      </c>
      <c r="F1962">
        <v>0.01</v>
      </c>
      <c r="G1962">
        <v>2747.38</v>
      </c>
      <c r="H1962">
        <v>0</v>
      </c>
      <c r="I1962" s="309">
        <v>85460.45</v>
      </c>
      <c r="J1962">
        <v>0.01</v>
      </c>
      <c r="K1962" s="133">
        <v>0.15909815094146301</v>
      </c>
      <c r="L1962" s="181">
        <v>6.3000000000001801</v>
      </c>
      <c r="M1962" s="133">
        <v>0</v>
      </c>
    </row>
    <row r="1963" spans="1:64" x14ac:dyDescent="0.25">
      <c r="A1963" s="136">
        <v>43109</v>
      </c>
      <c r="B1963" s="201" t="s">
        <v>61</v>
      </c>
      <c r="C1963" t="s">
        <v>136</v>
      </c>
      <c r="D1963">
        <v>3500</v>
      </c>
      <c r="E1963">
        <v>3500</v>
      </c>
      <c r="F1963">
        <v>5.3070000000000004</v>
      </c>
      <c r="G1963">
        <v>-338.52</v>
      </c>
      <c r="H1963">
        <v>-1.83</v>
      </c>
      <c r="I1963" s="309">
        <v>18235</v>
      </c>
      <c r="J1963">
        <v>5.21</v>
      </c>
      <c r="K1963" s="133">
        <v>3.39473380074359E-2</v>
      </c>
      <c r="L1963" s="181">
        <v>-35</v>
      </c>
      <c r="M1963" s="133">
        <v>3.4577546554859902E-2</v>
      </c>
      <c r="N1963" s="73">
        <v>-587.26800000000003</v>
      </c>
      <c r="O1963" s="73">
        <v>-114.19734747081699</v>
      </c>
      <c r="P1963" s="182">
        <v>6</v>
      </c>
      <c r="Q1963" s="182">
        <v>3000</v>
      </c>
      <c r="R1963" s="46">
        <v>5.31</v>
      </c>
      <c r="S1963" s="46">
        <v>0</v>
      </c>
      <c r="T1963" s="46">
        <v>0</v>
      </c>
      <c r="U1963" s="46">
        <v>0</v>
      </c>
      <c r="V1963" s="46" t="s">
        <v>62</v>
      </c>
      <c r="W1963" s="46">
        <v>3000</v>
      </c>
      <c r="X1963" s="46">
        <v>5.31</v>
      </c>
      <c r="Y1963" s="194">
        <v>5.1959999999999997</v>
      </c>
      <c r="Z1963" s="194">
        <v>5.0460000000000003</v>
      </c>
      <c r="AA1963" s="194">
        <v>5.1509999999999998</v>
      </c>
      <c r="AB1963" s="46">
        <v>5.22</v>
      </c>
      <c r="AC1963" s="46">
        <v>5.24</v>
      </c>
      <c r="AD1963" s="46">
        <v>5.19</v>
      </c>
      <c r="AE1963" s="46">
        <v>5.21</v>
      </c>
      <c r="AF1963" s="46">
        <v>5</v>
      </c>
      <c r="AG1963" s="46">
        <v>2500</v>
      </c>
      <c r="AH1963" s="46">
        <v>13346.5</v>
      </c>
      <c r="AI1963" s="46">
        <v>5.3390000000000004</v>
      </c>
      <c r="AJ1963" s="46">
        <v>5</v>
      </c>
      <c r="AK1963" s="46">
        <v>2000</v>
      </c>
      <c r="AL1963" s="46">
        <v>10731.031999999999</v>
      </c>
      <c r="AM1963" s="46">
        <v>5.3659999999999997</v>
      </c>
      <c r="AN1963" s="46" t="s">
        <v>63</v>
      </c>
      <c r="AO1963" s="46">
        <v>500</v>
      </c>
      <c r="AP1963" s="46">
        <v>2615.4679999999998</v>
      </c>
      <c r="AQ1963" s="46">
        <v>5.2309999999999999</v>
      </c>
      <c r="AR1963" s="46">
        <v>54</v>
      </c>
      <c r="AS1963" s="46">
        <v>11</v>
      </c>
      <c r="AT1963" s="46">
        <v>5500</v>
      </c>
      <c r="AU1963" s="46">
        <v>29308.3</v>
      </c>
      <c r="AV1963" s="46">
        <v>5.3289999999999997</v>
      </c>
      <c r="AW1963" s="46">
        <v>5</v>
      </c>
      <c r="AX1963" s="46">
        <v>2000</v>
      </c>
      <c r="AY1963" s="46">
        <v>10731.031999999999</v>
      </c>
      <c r="AZ1963" s="46">
        <v>5.3659999999999997</v>
      </c>
      <c r="BA1963" s="46" t="s">
        <v>63</v>
      </c>
      <c r="BB1963" s="46">
        <v>3500</v>
      </c>
      <c r="BC1963" s="46">
        <v>18577.268</v>
      </c>
      <c r="BD1963" s="46">
        <v>5.3079999999999998</v>
      </c>
      <c r="BE1963" s="46">
        <v>74</v>
      </c>
      <c r="BF1963" s="46">
        <v>15961.8</v>
      </c>
      <c r="BG1963" s="46">
        <v>5.32</v>
      </c>
      <c r="BH1963" s="46">
        <v>0</v>
      </c>
      <c r="BJ1963">
        <v>15961.8</v>
      </c>
      <c r="BK1963">
        <v>5.32</v>
      </c>
      <c r="BL1963">
        <v>10.36</v>
      </c>
    </row>
    <row r="1964" spans="1:64" x14ac:dyDescent="0.25">
      <c r="A1964" s="136">
        <v>43109</v>
      </c>
      <c r="B1964" s="201" t="s">
        <v>124</v>
      </c>
      <c r="C1964" t="s">
        <v>125</v>
      </c>
      <c r="D1964">
        <v>100</v>
      </c>
      <c r="E1964">
        <v>100</v>
      </c>
      <c r="F1964">
        <v>-53.579000000000001</v>
      </c>
      <c r="G1964">
        <v>5966.9</v>
      </c>
      <c r="H1964">
        <v>0</v>
      </c>
      <c r="I1964" s="309">
        <v>609</v>
      </c>
      <c r="J1964">
        <v>6.09</v>
      </c>
      <c r="K1964" s="133">
        <v>1.1337498681946001E-3</v>
      </c>
      <c r="L1964" s="181">
        <v>2</v>
      </c>
      <c r="M1964" s="133">
        <v>0</v>
      </c>
      <c r="Y1964" s="194">
        <v>5.444</v>
      </c>
      <c r="Z1964" s="193">
        <v>5.1349999999999998</v>
      </c>
      <c r="AA1964" s="193">
        <v>5.8860000000000001</v>
      </c>
      <c r="AB1964" s="46">
        <v>6.07</v>
      </c>
      <c r="AC1964" s="46">
        <v>6.11</v>
      </c>
      <c r="AD1964" s="46">
        <v>6.04</v>
      </c>
      <c r="AE1964" s="46">
        <v>6.09</v>
      </c>
    </row>
    <row r="1965" spans="1:64" x14ac:dyDescent="0.25">
      <c r="A1965" s="136">
        <v>43109</v>
      </c>
      <c r="B1965" s="201" t="s">
        <v>71</v>
      </c>
      <c r="C1965" t="s">
        <v>126</v>
      </c>
      <c r="D1965">
        <v>2400</v>
      </c>
      <c r="E1965">
        <v>2400</v>
      </c>
      <c r="F1965">
        <v>5.8460000000000001</v>
      </c>
      <c r="G1965">
        <v>1522.72</v>
      </c>
      <c r="H1965">
        <v>10.85</v>
      </c>
      <c r="I1965" s="309">
        <v>15552</v>
      </c>
      <c r="J1965">
        <v>6.48</v>
      </c>
      <c r="K1965" s="133">
        <v>2.8952508949363499E-2</v>
      </c>
      <c r="L1965" s="181">
        <v>-144</v>
      </c>
      <c r="M1965" s="133">
        <v>2.6117724714064199E-2</v>
      </c>
      <c r="N1965" s="73">
        <v>1915.566</v>
      </c>
      <c r="O1965" s="73">
        <v>247.03378328220799</v>
      </c>
      <c r="P1965" s="182">
        <v>2</v>
      </c>
      <c r="Q1965" s="182">
        <v>1000</v>
      </c>
      <c r="R1965" s="46">
        <v>6.45</v>
      </c>
      <c r="S1965" s="46">
        <v>3</v>
      </c>
      <c r="T1965" s="46">
        <v>1300</v>
      </c>
      <c r="U1965" s="46">
        <v>6.4320000000000004</v>
      </c>
      <c r="V1965" s="46" t="s">
        <v>68</v>
      </c>
      <c r="W1965" s="46">
        <v>300</v>
      </c>
      <c r="X1965" s="46">
        <v>6.3719999999999999</v>
      </c>
      <c r="Y1965" s="194">
        <v>6.2759999999999998</v>
      </c>
      <c r="Z1965" s="194">
        <v>6.242</v>
      </c>
      <c r="AA1965" s="194">
        <v>6.4980000000000002</v>
      </c>
      <c r="AB1965" s="46">
        <v>6.53</v>
      </c>
      <c r="AC1965" s="46">
        <v>6.59</v>
      </c>
      <c r="AD1965" s="46">
        <v>6.47</v>
      </c>
      <c r="AE1965" s="46">
        <v>6.48</v>
      </c>
      <c r="AF1965" s="46">
        <v>39</v>
      </c>
      <c r="AG1965" s="46">
        <v>19600</v>
      </c>
      <c r="AH1965" s="46">
        <v>124862.76</v>
      </c>
      <c r="AI1965" s="46">
        <v>6.3710000000000004</v>
      </c>
      <c r="AJ1965" s="46">
        <v>37</v>
      </c>
      <c r="AK1965" s="46">
        <v>16900</v>
      </c>
      <c r="AL1965" s="46">
        <v>108788.76700000001</v>
      </c>
      <c r="AM1965" s="46">
        <v>6.4370000000000003</v>
      </c>
      <c r="AN1965" s="46" t="s">
        <v>63</v>
      </c>
      <c r="AO1965" s="46">
        <v>2700</v>
      </c>
      <c r="AP1965" s="46">
        <v>16073.993</v>
      </c>
      <c r="AQ1965" s="46">
        <v>5.9530000000000003</v>
      </c>
      <c r="AR1965" s="46">
        <v>1115.4000000000001</v>
      </c>
      <c r="AS1965" s="46">
        <v>41</v>
      </c>
      <c r="AT1965" s="46">
        <v>20600</v>
      </c>
      <c r="AU1965" s="46">
        <v>131323.35999999999</v>
      </c>
      <c r="AV1965" s="46">
        <v>6.375</v>
      </c>
      <c r="AW1965" s="46">
        <v>40</v>
      </c>
      <c r="AX1965" s="46">
        <v>18200</v>
      </c>
      <c r="AY1965" s="46">
        <v>117125.626</v>
      </c>
      <c r="AZ1965" s="46">
        <v>6.4349999999999996</v>
      </c>
      <c r="BA1965" s="46" t="s">
        <v>63</v>
      </c>
      <c r="BB1965" s="46">
        <v>2400</v>
      </c>
      <c r="BC1965" s="46">
        <v>14197.734</v>
      </c>
      <c r="BD1965" s="46">
        <v>5.9160000000000004</v>
      </c>
      <c r="BE1965" s="46">
        <v>1092</v>
      </c>
      <c r="BF1965" s="46">
        <v>6460.6000000000204</v>
      </c>
      <c r="BG1965" s="46">
        <v>6.46</v>
      </c>
      <c r="BH1965" s="46">
        <v>8336.8590000000004</v>
      </c>
      <c r="BI1965">
        <v>6.41</v>
      </c>
      <c r="BJ1965">
        <v>-1876.259</v>
      </c>
      <c r="BK1965">
        <v>-6.25</v>
      </c>
      <c r="BL1965">
        <v>172.13</v>
      </c>
    </row>
    <row r="1966" spans="1:64" x14ac:dyDescent="0.25">
      <c r="A1966" s="136">
        <v>43109</v>
      </c>
      <c r="B1966" s="201" t="s">
        <v>79</v>
      </c>
      <c r="C1966" t="s">
        <v>143</v>
      </c>
      <c r="D1966">
        <v>4700</v>
      </c>
      <c r="E1966">
        <v>4700</v>
      </c>
      <c r="F1966">
        <v>17.062000000000001</v>
      </c>
      <c r="G1966">
        <v>-6728.57</v>
      </c>
      <c r="H1966">
        <v>-8.39</v>
      </c>
      <c r="I1966" s="309">
        <v>73461</v>
      </c>
      <c r="J1966">
        <v>15.63</v>
      </c>
      <c r="K1966" s="133">
        <v>0.13675927597281301</v>
      </c>
      <c r="L1966" s="181">
        <v>235</v>
      </c>
      <c r="M1966" s="133">
        <v>0.14928557375711199</v>
      </c>
      <c r="N1966" s="73">
        <v>-6401.2600000000202</v>
      </c>
      <c r="O1966" s="73">
        <v>-407.51970509554297</v>
      </c>
      <c r="P1966" s="182">
        <v>8</v>
      </c>
      <c r="Q1966" s="182">
        <v>4500</v>
      </c>
      <c r="R1966" s="46">
        <v>17.18</v>
      </c>
      <c r="S1966" s="46">
        <v>0</v>
      </c>
      <c r="T1966" s="46">
        <v>0</v>
      </c>
      <c r="U1966" s="46">
        <v>0</v>
      </c>
      <c r="V1966" s="46" t="s">
        <v>62</v>
      </c>
      <c r="W1966" s="46">
        <v>4500</v>
      </c>
      <c r="X1966" s="46">
        <v>17.18</v>
      </c>
      <c r="Y1966" s="193">
        <v>15.645</v>
      </c>
      <c r="Z1966" s="194">
        <v>15.561</v>
      </c>
      <c r="AA1966" s="194">
        <v>15.505000000000001</v>
      </c>
      <c r="AB1966" s="46">
        <v>15.57</v>
      </c>
      <c r="AC1966" s="46">
        <v>15.75</v>
      </c>
      <c r="AD1966" s="46">
        <v>15.54</v>
      </c>
      <c r="AE1966" s="46">
        <v>15.63</v>
      </c>
      <c r="AF1966" s="46">
        <v>2</v>
      </c>
      <c r="AG1966" s="46">
        <v>1000</v>
      </c>
      <c r="AH1966" s="46">
        <v>15295.6</v>
      </c>
      <c r="AI1966" s="46">
        <v>15.295999999999999</v>
      </c>
      <c r="AJ1966" s="46">
        <v>2</v>
      </c>
      <c r="AK1966" s="46">
        <v>800</v>
      </c>
      <c r="AL1966" s="46">
        <v>12457.04</v>
      </c>
      <c r="AM1966" s="46">
        <v>15.571</v>
      </c>
      <c r="AN1966" s="46" t="s">
        <v>63</v>
      </c>
      <c r="AO1966" s="46">
        <v>200</v>
      </c>
      <c r="AP1966" s="46">
        <v>2838.56</v>
      </c>
      <c r="AQ1966" s="46">
        <v>14.193</v>
      </c>
      <c r="AR1966" s="46">
        <v>220</v>
      </c>
      <c r="AS1966" s="46">
        <v>10</v>
      </c>
      <c r="AT1966" s="46">
        <v>5500</v>
      </c>
      <c r="AU1966" s="46">
        <v>92648.3</v>
      </c>
      <c r="AV1966" s="46">
        <v>16.844999999999999</v>
      </c>
      <c r="AW1966" s="46">
        <v>2</v>
      </c>
      <c r="AX1966" s="46">
        <v>800</v>
      </c>
      <c r="AY1966" s="46">
        <v>12457.04</v>
      </c>
      <c r="AZ1966" s="46">
        <v>15.571</v>
      </c>
      <c r="BA1966" s="46" t="s">
        <v>63</v>
      </c>
      <c r="BB1966" s="46">
        <v>4700</v>
      </c>
      <c r="BC1966" s="46">
        <v>80191.259999999995</v>
      </c>
      <c r="BD1966" s="46">
        <v>17.062000000000001</v>
      </c>
      <c r="BE1966" s="46">
        <v>-1019.2</v>
      </c>
      <c r="BF1966" s="46">
        <v>77352.7</v>
      </c>
      <c r="BG1966" s="46">
        <v>17.190000000000001</v>
      </c>
      <c r="BH1966" s="46">
        <v>0</v>
      </c>
      <c r="BJ1966">
        <v>77352.7</v>
      </c>
      <c r="BK1966">
        <v>17.190000000000001</v>
      </c>
      <c r="BL1966">
        <v>14.08</v>
      </c>
    </row>
    <row r="1967" spans="1:64" x14ac:dyDescent="0.25">
      <c r="A1967" s="136">
        <v>43109</v>
      </c>
      <c r="B1967" s="201" t="s">
        <v>65</v>
      </c>
      <c r="C1967" t="s">
        <v>127</v>
      </c>
      <c r="D1967">
        <v>9900</v>
      </c>
      <c r="E1967">
        <v>9900</v>
      </c>
      <c r="F1967">
        <v>9.9909999999999997</v>
      </c>
      <c r="G1967">
        <v>17022.25</v>
      </c>
      <c r="H1967">
        <v>17.21</v>
      </c>
      <c r="I1967" s="309">
        <v>115929</v>
      </c>
      <c r="J1967">
        <v>11.71</v>
      </c>
      <c r="K1967" s="133">
        <v>0.215820178111546</v>
      </c>
      <c r="L1967" s="181">
        <v>-1363.77</v>
      </c>
      <c r="M1967" s="133">
        <v>0.18413056613473899</v>
      </c>
      <c r="N1967" s="73">
        <v>14917.821</v>
      </c>
      <c r="O1967" s="73">
        <v>1608.53099855405</v>
      </c>
      <c r="P1967" s="182">
        <v>0</v>
      </c>
      <c r="Q1967" s="182">
        <v>0</v>
      </c>
      <c r="R1967" s="46">
        <v>0</v>
      </c>
      <c r="S1967" s="46">
        <v>18</v>
      </c>
      <c r="T1967" s="46">
        <v>7600</v>
      </c>
      <c r="U1967" s="46">
        <v>12.372</v>
      </c>
      <c r="V1967" s="46" t="s">
        <v>68</v>
      </c>
      <c r="W1967" s="46">
        <v>7600</v>
      </c>
      <c r="X1967" s="46">
        <v>12.372</v>
      </c>
      <c r="Y1967" s="194">
        <v>11.016999999999999</v>
      </c>
      <c r="Z1967" s="194">
        <v>11.31</v>
      </c>
      <c r="AA1967" s="194">
        <v>11.62</v>
      </c>
      <c r="AB1967" s="46">
        <v>11.79</v>
      </c>
      <c r="AC1967" s="46">
        <v>12</v>
      </c>
      <c r="AD1967" s="46">
        <v>11.66</v>
      </c>
      <c r="AE1967" s="46">
        <v>11.71</v>
      </c>
      <c r="AF1967" s="46">
        <v>132</v>
      </c>
      <c r="AG1967" s="46">
        <v>74200</v>
      </c>
      <c r="AH1967" s="46">
        <v>866124.23100000003</v>
      </c>
      <c r="AI1967" s="46">
        <v>11.673</v>
      </c>
      <c r="AJ1967" s="46">
        <v>152</v>
      </c>
      <c r="AK1967" s="46">
        <v>65900</v>
      </c>
      <c r="AL1967" s="46">
        <v>672542.07400000002</v>
      </c>
      <c r="AM1967" s="46">
        <v>10.205</v>
      </c>
      <c r="AN1967" s="46" t="s">
        <v>63</v>
      </c>
      <c r="AO1967" s="46">
        <v>8300</v>
      </c>
      <c r="AP1967" s="46">
        <v>193582.15700000001</v>
      </c>
      <c r="AQ1967" s="46">
        <v>23.323</v>
      </c>
      <c r="AR1967" s="46">
        <v>-96741.2</v>
      </c>
      <c r="AS1967" s="46">
        <v>133</v>
      </c>
      <c r="AT1967" s="46">
        <v>74300</v>
      </c>
      <c r="AU1967" s="46">
        <v>867412.23100000003</v>
      </c>
      <c r="AV1967" s="46">
        <v>11.673999999999999</v>
      </c>
      <c r="AW1967" s="46">
        <v>170</v>
      </c>
      <c r="AX1967" s="46">
        <v>73500</v>
      </c>
      <c r="AY1967" s="46">
        <v>766382.05</v>
      </c>
      <c r="AZ1967" s="46">
        <v>10.427</v>
      </c>
      <c r="BA1967" s="46" t="s">
        <v>63</v>
      </c>
      <c r="BB1967" s="46">
        <v>800</v>
      </c>
      <c r="BC1967" s="46">
        <v>101030.181</v>
      </c>
      <c r="BD1967" s="46">
        <v>126.288</v>
      </c>
      <c r="BE1967" s="46">
        <v>-91654.5</v>
      </c>
      <c r="BF1967" s="46">
        <v>1288</v>
      </c>
      <c r="BH1967" s="46">
        <v>93839.976000000097</v>
      </c>
      <c r="BI1967">
        <v>12.35</v>
      </c>
      <c r="BJ1967">
        <v>-92551.975999999995</v>
      </c>
      <c r="BK1967">
        <v>-12.18</v>
      </c>
      <c r="BL1967">
        <v>-8261.42</v>
      </c>
    </row>
    <row r="1968" spans="1:64" x14ac:dyDescent="0.25">
      <c r="A1968" s="136">
        <v>43109</v>
      </c>
      <c r="B1968" s="201" t="s">
        <v>77</v>
      </c>
      <c r="C1968" t="s">
        <v>128</v>
      </c>
      <c r="D1968">
        <v>4200</v>
      </c>
      <c r="E1968">
        <v>4200</v>
      </c>
      <c r="F1968">
        <v>6.0039999999999996</v>
      </c>
      <c r="G1968">
        <v>-60.85</v>
      </c>
      <c r="H1968">
        <v>-0.23</v>
      </c>
      <c r="I1968" s="309">
        <v>25158</v>
      </c>
      <c r="J1968">
        <v>5.99</v>
      </c>
      <c r="K1968" s="133">
        <v>4.6835598003349202E-2</v>
      </c>
      <c r="L1968" s="181">
        <v>-42</v>
      </c>
      <c r="M1968" s="133">
        <v>4.6948879907256699E-2</v>
      </c>
      <c r="N1968" s="73">
        <v>-355.79000000000502</v>
      </c>
      <c r="O1968" s="73">
        <v>23.863889900661501</v>
      </c>
      <c r="P1968" s="182">
        <v>7</v>
      </c>
      <c r="Q1968" s="182">
        <v>3500</v>
      </c>
      <c r="R1968" s="46">
        <v>6.7140000000000004</v>
      </c>
      <c r="S1968" s="46">
        <v>1</v>
      </c>
      <c r="T1968" s="46">
        <v>400</v>
      </c>
      <c r="U1968" s="46">
        <v>6.04</v>
      </c>
      <c r="V1968" s="46" t="s">
        <v>62</v>
      </c>
      <c r="W1968" s="46">
        <v>3100</v>
      </c>
      <c r="X1968" s="46">
        <v>6.8010000000000002</v>
      </c>
      <c r="Y1968" s="193">
        <v>6.0380000000000003</v>
      </c>
      <c r="Z1968" s="194">
        <v>5.9660000000000002</v>
      </c>
      <c r="AA1968" s="194">
        <v>6.4039999999999999</v>
      </c>
      <c r="AB1968" s="46">
        <v>6</v>
      </c>
      <c r="AC1968" s="46">
        <v>6.02</v>
      </c>
      <c r="AD1968" s="46">
        <v>5.94</v>
      </c>
      <c r="AE1968" s="46">
        <v>5.99</v>
      </c>
      <c r="AF1968" s="46">
        <v>37</v>
      </c>
      <c r="AG1968" s="46">
        <v>18500</v>
      </c>
      <c r="AH1968" s="46">
        <v>136154</v>
      </c>
      <c r="AI1968" s="46">
        <v>7.36</v>
      </c>
      <c r="AJ1968" s="46">
        <v>37</v>
      </c>
      <c r="AK1968" s="46">
        <v>17400</v>
      </c>
      <c r="AL1968" s="46">
        <v>132056.62599999999</v>
      </c>
      <c r="AM1968" s="46">
        <v>7.5890000000000004</v>
      </c>
      <c r="AN1968" s="46" t="s">
        <v>63</v>
      </c>
      <c r="AO1968" s="46">
        <v>1100</v>
      </c>
      <c r="AP1968" s="46">
        <v>4097.3739999999998</v>
      </c>
      <c r="AQ1968" s="46">
        <v>3.7250000000000001</v>
      </c>
      <c r="AR1968" s="46">
        <v>3984.6</v>
      </c>
      <c r="AS1968" s="46">
        <v>44</v>
      </c>
      <c r="AT1968" s="46">
        <v>22000</v>
      </c>
      <c r="AU1968" s="46">
        <v>159689</v>
      </c>
      <c r="AV1968" s="46">
        <v>7.2590000000000003</v>
      </c>
      <c r="AW1968" s="46">
        <v>38</v>
      </c>
      <c r="AX1968" s="46">
        <v>17800</v>
      </c>
      <c r="AY1968" s="46">
        <v>134465.21</v>
      </c>
      <c r="AZ1968" s="46">
        <v>7.5540000000000003</v>
      </c>
      <c r="BA1968" s="46" t="s">
        <v>63</v>
      </c>
      <c r="BB1968" s="46">
        <v>4200</v>
      </c>
      <c r="BC1968" s="46">
        <v>25223.79</v>
      </c>
      <c r="BD1968" s="46">
        <v>6.0060000000000002</v>
      </c>
      <c r="BE1968" s="46">
        <v>5251</v>
      </c>
      <c r="BF1968" s="46">
        <v>23535</v>
      </c>
      <c r="BG1968" s="46">
        <v>6.72</v>
      </c>
      <c r="BH1968" s="46">
        <v>2408.5839999999998</v>
      </c>
      <c r="BI1968">
        <v>6.02</v>
      </c>
      <c r="BJ1968">
        <v>21126.416000000001</v>
      </c>
      <c r="BK1968">
        <v>6.81</v>
      </c>
      <c r="BL1968">
        <v>665.21</v>
      </c>
    </row>
    <row r="1969" spans="1:64" x14ac:dyDescent="0.25">
      <c r="A1969" s="136">
        <v>43109</v>
      </c>
      <c r="B1969" s="201" t="s">
        <v>67</v>
      </c>
      <c r="C1969" t="s">
        <v>129</v>
      </c>
      <c r="D1969">
        <v>6850</v>
      </c>
      <c r="E1969">
        <v>6850</v>
      </c>
      <c r="F1969">
        <v>8.6549999999999994</v>
      </c>
      <c r="G1969">
        <v>581.46</v>
      </c>
      <c r="H1969">
        <v>0.98</v>
      </c>
      <c r="I1969" s="309">
        <v>59869</v>
      </c>
      <c r="J1969">
        <v>8.74</v>
      </c>
      <c r="K1969" s="133">
        <v>0.11145561717396101</v>
      </c>
      <c r="L1969" s="181">
        <v>-1096</v>
      </c>
      <c r="M1969" s="133">
        <v>0.110373137373698</v>
      </c>
      <c r="N1969" s="73">
        <v>1743.69699999976</v>
      </c>
      <c r="O1969" s="73">
        <v>195.60327177326201</v>
      </c>
      <c r="P1969" s="182">
        <v>2</v>
      </c>
      <c r="Q1969" s="182">
        <v>1000</v>
      </c>
      <c r="R1969" s="46">
        <v>5.8949999999999996</v>
      </c>
      <c r="S1969" s="46">
        <v>2</v>
      </c>
      <c r="T1969" s="46">
        <v>800</v>
      </c>
      <c r="U1969" s="46">
        <v>8.8849999999999998</v>
      </c>
      <c r="V1969" s="46" t="s">
        <v>62</v>
      </c>
      <c r="W1969" s="46">
        <v>200</v>
      </c>
      <c r="X1969" s="46">
        <v>-6.0650000000000004</v>
      </c>
      <c r="Y1969" s="194">
        <v>8.7349999999999994</v>
      </c>
      <c r="Z1969" s="194">
        <v>7.6280000000000001</v>
      </c>
      <c r="AA1969" s="194">
        <v>8.6989999999999998</v>
      </c>
      <c r="AB1969" s="46">
        <v>8.8800000000000008</v>
      </c>
      <c r="AC1969" s="46">
        <v>8.8800000000000008</v>
      </c>
      <c r="AD1969" s="46">
        <v>8.68</v>
      </c>
      <c r="AE1969" s="46">
        <v>8.74</v>
      </c>
      <c r="AF1969" s="46">
        <v>153</v>
      </c>
      <c r="AG1969" s="46">
        <v>76500</v>
      </c>
      <c r="AH1969" s="46">
        <v>634507</v>
      </c>
      <c r="AI1969" s="46">
        <v>8.2940000000000005</v>
      </c>
      <c r="AJ1969" s="46">
        <v>155</v>
      </c>
      <c r="AK1969" s="46">
        <v>72450</v>
      </c>
      <c r="AL1969" s="46">
        <v>643159.42099999997</v>
      </c>
      <c r="AM1969" s="46">
        <v>8.8770000000000007</v>
      </c>
      <c r="AN1969" s="46" t="s">
        <v>63</v>
      </c>
      <c r="AO1969" s="46">
        <v>4050</v>
      </c>
      <c r="AP1969" s="46">
        <v>8652.4210000000003</v>
      </c>
      <c r="AQ1969" s="46">
        <v>2.1360000000000001</v>
      </c>
      <c r="AR1969" s="46">
        <v>42238.35</v>
      </c>
      <c r="AS1969" s="46">
        <v>155</v>
      </c>
      <c r="AT1969" s="46">
        <v>77500</v>
      </c>
      <c r="AU1969" s="46">
        <v>640412</v>
      </c>
      <c r="AV1969" s="46">
        <v>8.2629999999999999</v>
      </c>
      <c r="AW1969" s="46">
        <v>157</v>
      </c>
      <c r="AX1969" s="46">
        <v>73250</v>
      </c>
      <c r="AY1969" s="46">
        <v>650250.31299999997</v>
      </c>
      <c r="AZ1969" s="46">
        <v>8.8770000000000007</v>
      </c>
      <c r="BA1969" s="46" t="s">
        <v>63</v>
      </c>
      <c r="BB1969" s="46">
        <v>4250</v>
      </c>
      <c r="BC1969" s="46">
        <v>9838.3130000000001</v>
      </c>
      <c r="BD1969" s="46">
        <v>2.3149999999999999</v>
      </c>
      <c r="BE1969" s="46">
        <v>44975.5</v>
      </c>
      <c r="BF1969" s="46">
        <v>5905</v>
      </c>
      <c r="BG1969" s="46">
        <v>5.91</v>
      </c>
      <c r="BH1969" s="46">
        <v>7090.8919999999898</v>
      </c>
      <c r="BI1969">
        <v>8.86</v>
      </c>
      <c r="BJ1969">
        <v>1185.8920000000001</v>
      </c>
      <c r="BK1969">
        <v>5.93</v>
      </c>
      <c r="BL1969">
        <v>4832.76</v>
      </c>
    </row>
    <row r="1970" spans="1:64" x14ac:dyDescent="0.25">
      <c r="A1970" s="136">
        <v>43109</v>
      </c>
      <c r="B1970" s="201" t="s">
        <v>78</v>
      </c>
      <c r="C1970" t="s">
        <v>142</v>
      </c>
      <c r="D1970">
        <v>900</v>
      </c>
      <c r="E1970">
        <v>900</v>
      </c>
      <c r="F1970">
        <v>10.29</v>
      </c>
      <c r="G1970">
        <v>-89.78</v>
      </c>
      <c r="H1970">
        <v>-0.97</v>
      </c>
      <c r="I1970" s="309">
        <v>9171</v>
      </c>
      <c r="J1970">
        <v>10.19</v>
      </c>
      <c r="K1970" s="133">
        <v>1.7073267719561001E-2</v>
      </c>
      <c r="L1970" s="181">
        <v>-9</v>
      </c>
      <c r="M1970" s="133">
        <v>1.72404073963533E-2</v>
      </c>
      <c r="N1970" s="73">
        <v>-35.775999999999797</v>
      </c>
      <c r="O1970" s="73">
        <v>-3.4885962926829102</v>
      </c>
      <c r="P1970" s="182">
        <v>1</v>
      </c>
      <c r="Q1970" s="182">
        <v>500</v>
      </c>
      <c r="R1970" s="46">
        <v>10.61</v>
      </c>
      <c r="S1970" s="46">
        <v>0</v>
      </c>
      <c r="T1970" s="46">
        <v>0</v>
      </c>
      <c r="U1970" s="46">
        <v>0</v>
      </c>
      <c r="V1970" s="46" t="s">
        <v>62</v>
      </c>
      <c r="W1970" s="46">
        <v>500</v>
      </c>
      <c r="X1970" s="46">
        <v>10.61</v>
      </c>
      <c r="Y1970" s="194">
        <v>10.115</v>
      </c>
      <c r="Z1970" s="194">
        <v>10.871</v>
      </c>
      <c r="AA1970" s="194">
        <v>10.853</v>
      </c>
      <c r="AB1970" s="46">
        <v>10.210000000000001</v>
      </c>
      <c r="AC1970" s="46">
        <v>10.220000000000001</v>
      </c>
      <c r="AD1970" s="46">
        <v>10.130000000000001</v>
      </c>
      <c r="AE1970" s="46">
        <v>10.19</v>
      </c>
      <c r="AF1970" s="46">
        <v>4</v>
      </c>
      <c r="AG1970" s="46">
        <v>2000</v>
      </c>
      <c r="AH1970" s="46">
        <v>20690</v>
      </c>
      <c r="AI1970" s="46">
        <v>10.345000000000001</v>
      </c>
      <c r="AJ1970" s="46">
        <v>4</v>
      </c>
      <c r="AK1970" s="46">
        <v>1600</v>
      </c>
      <c r="AL1970" s="46">
        <v>16739.223999999998</v>
      </c>
      <c r="AM1970" s="46">
        <v>10.462</v>
      </c>
      <c r="AN1970" s="46" t="s">
        <v>63</v>
      </c>
      <c r="AO1970" s="46">
        <v>400</v>
      </c>
      <c r="AP1970" s="46">
        <v>3950.7759999999998</v>
      </c>
      <c r="AQ1970" s="46">
        <v>9.8770000000000007</v>
      </c>
      <c r="AR1970" s="46">
        <v>187.2</v>
      </c>
      <c r="AS1970" s="46">
        <v>5</v>
      </c>
      <c r="AT1970" s="46">
        <v>2500</v>
      </c>
      <c r="AU1970" s="46">
        <v>26000</v>
      </c>
      <c r="AV1970" s="46">
        <v>10.4</v>
      </c>
      <c r="AW1970" s="46">
        <v>4</v>
      </c>
      <c r="AX1970" s="46">
        <v>1600</v>
      </c>
      <c r="AY1970" s="46">
        <v>16739.223999999998</v>
      </c>
      <c r="AZ1970" s="46">
        <v>10.462</v>
      </c>
      <c r="BA1970" s="46" t="s">
        <v>63</v>
      </c>
      <c r="BB1970" s="46">
        <v>900</v>
      </c>
      <c r="BC1970" s="46">
        <v>9260.7759999999998</v>
      </c>
      <c r="BD1970" s="46">
        <v>10.29</v>
      </c>
      <c r="BE1970" s="46">
        <v>99.2</v>
      </c>
      <c r="BF1970" s="46">
        <v>5310</v>
      </c>
      <c r="BG1970" s="46">
        <v>10.62</v>
      </c>
      <c r="BH1970" s="46">
        <v>0</v>
      </c>
      <c r="BJ1970">
        <v>5310</v>
      </c>
      <c r="BK1970">
        <v>10.62</v>
      </c>
      <c r="BL1970">
        <v>18.37</v>
      </c>
    </row>
    <row r="1971" spans="1:64" x14ac:dyDescent="0.25">
      <c r="A1971" s="136">
        <v>43109</v>
      </c>
      <c r="B1971" s="201" t="s">
        <v>72</v>
      </c>
      <c r="C1971" t="s">
        <v>130</v>
      </c>
      <c r="D1971">
        <v>900</v>
      </c>
      <c r="E1971">
        <v>900</v>
      </c>
      <c r="F1971">
        <v>6.9740000000000002</v>
      </c>
      <c r="G1971">
        <v>347.25</v>
      </c>
      <c r="H1971">
        <v>5.54</v>
      </c>
      <c r="I1971" s="309">
        <v>6624</v>
      </c>
      <c r="J1971">
        <v>7.36</v>
      </c>
      <c r="K1971" s="133">
        <v>1.23316241821363E-2</v>
      </c>
      <c r="L1971" s="181">
        <v>-81</v>
      </c>
      <c r="M1971" s="133">
        <v>1.16851633582766E-2</v>
      </c>
      <c r="N1971" s="73">
        <v>379.64800000000901</v>
      </c>
      <c r="O1971" s="73">
        <v>60.830264839575001</v>
      </c>
      <c r="P1971" s="182">
        <v>0</v>
      </c>
      <c r="Q1971" s="182">
        <v>0</v>
      </c>
      <c r="R1971" s="46">
        <v>0</v>
      </c>
      <c r="S1971" s="46">
        <v>15</v>
      </c>
      <c r="T1971" s="46">
        <v>6200</v>
      </c>
      <c r="U1971" s="46">
        <v>8.016</v>
      </c>
      <c r="V1971" s="46" t="s">
        <v>68</v>
      </c>
      <c r="W1971" s="46">
        <v>6200</v>
      </c>
      <c r="X1971" s="46">
        <v>8.016</v>
      </c>
      <c r="Y1971" s="194">
        <v>7.3559999999999999</v>
      </c>
      <c r="Z1971" s="194">
        <v>7.0259999999999998</v>
      </c>
      <c r="AA1971" s="194">
        <v>7.133</v>
      </c>
      <c r="AB1971" s="46">
        <v>7.45</v>
      </c>
      <c r="AC1971" s="46">
        <v>7.45</v>
      </c>
      <c r="AD1971" s="46">
        <v>7.31</v>
      </c>
      <c r="AE1971" s="46">
        <v>7.36</v>
      </c>
      <c r="AF1971" s="46">
        <v>23</v>
      </c>
      <c r="AG1971" s="46">
        <v>11500</v>
      </c>
      <c r="AH1971" s="46">
        <v>91620</v>
      </c>
      <c r="AI1971" s="46">
        <v>7.9669999999999996</v>
      </c>
      <c r="AJ1971" s="46">
        <v>23</v>
      </c>
      <c r="AK1971" s="46">
        <v>11000</v>
      </c>
      <c r="AL1971" s="46">
        <v>36502.411</v>
      </c>
      <c r="AM1971" s="46">
        <v>3.3180000000000001</v>
      </c>
      <c r="AN1971" s="46" t="s">
        <v>63</v>
      </c>
      <c r="AO1971" s="46">
        <v>500</v>
      </c>
      <c r="AP1971" s="46">
        <v>55117.589</v>
      </c>
      <c r="AQ1971" s="46">
        <v>110.235</v>
      </c>
      <c r="AR1971" s="46">
        <v>-51139</v>
      </c>
      <c r="AS1971" s="46">
        <v>23</v>
      </c>
      <c r="AT1971" s="46">
        <v>11500</v>
      </c>
      <c r="AU1971" s="46">
        <v>91620</v>
      </c>
      <c r="AV1971" s="46">
        <v>7.9669999999999996</v>
      </c>
      <c r="AW1971" s="46">
        <v>39</v>
      </c>
      <c r="AX1971" s="46">
        <v>17700</v>
      </c>
      <c r="AY1971" s="46">
        <v>86075.713000000003</v>
      </c>
      <c r="AZ1971" s="46">
        <v>4.8630000000000004</v>
      </c>
      <c r="BA1971" s="46" t="s">
        <v>69</v>
      </c>
      <c r="BB1971" s="46">
        <v>6200</v>
      </c>
      <c r="BC1971" s="46">
        <v>5544.2870000000003</v>
      </c>
      <c r="BD1971" s="46">
        <v>0.89400000000000002</v>
      </c>
      <c r="BE1971" s="46">
        <v>-35696</v>
      </c>
      <c r="BF1971" s="46">
        <v>0</v>
      </c>
      <c r="BH1971" s="46">
        <v>49573.302000000003</v>
      </c>
      <c r="BI1971">
        <v>8</v>
      </c>
      <c r="BJ1971">
        <v>-49573.302000000003</v>
      </c>
      <c r="BK1971">
        <v>-8</v>
      </c>
      <c r="BL1971">
        <v>-6948.23</v>
      </c>
    </row>
    <row r="1972" spans="1:64" x14ac:dyDescent="0.25">
      <c r="A1972" s="136">
        <v>43109</v>
      </c>
      <c r="B1972" s="201" t="s">
        <v>70</v>
      </c>
      <c r="C1972" t="s">
        <v>131</v>
      </c>
      <c r="D1972">
        <v>9200</v>
      </c>
      <c r="E1972">
        <v>9200</v>
      </c>
      <c r="F1972">
        <v>12.352</v>
      </c>
      <c r="G1972">
        <v>-8943.25</v>
      </c>
      <c r="H1972">
        <v>-7.87</v>
      </c>
      <c r="I1972" s="309">
        <v>104696</v>
      </c>
      <c r="J1972">
        <v>11.38</v>
      </c>
      <c r="K1972" s="133">
        <v>0.19490817110098799</v>
      </c>
      <c r="L1972" s="181">
        <v>1430.45</v>
      </c>
      <c r="M1972" s="133">
        <v>0.21155744615637601</v>
      </c>
      <c r="N1972" s="73">
        <v>-8942.2380000000303</v>
      </c>
      <c r="O1972" s="73">
        <v>-785.39252029877196</v>
      </c>
      <c r="P1972" s="182">
        <v>0</v>
      </c>
      <c r="Q1972" s="182">
        <v>0</v>
      </c>
      <c r="R1972" s="46">
        <v>0</v>
      </c>
      <c r="S1972" s="46">
        <v>6</v>
      </c>
      <c r="T1972" s="46">
        <v>2400</v>
      </c>
      <c r="U1972" s="46">
        <v>12.803000000000001</v>
      </c>
      <c r="V1972" s="46" t="s">
        <v>68</v>
      </c>
      <c r="W1972" s="46">
        <v>2400</v>
      </c>
      <c r="X1972" s="46">
        <v>12.803000000000001</v>
      </c>
      <c r="Y1972" s="193">
        <v>11.581</v>
      </c>
      <c r="Z1972" s="194">
        <v>12.316000000000001</v>
      </c>
      <c r="AA1972" s="194">
        <v>12.157999999999999</v>
      </c>
      <c r="AB1972" s="46">
        <v>11.23</v>
      </c>
      <c r="AC1972" s="46">
        <v>11.38</v>
      </c>
      <c r="AD1972" s="46">
        <v>11.07</v>
      </c>
      <c r="AE1972" s="46">
        <v>11.38</v>
      </c>
      <c r="AF1972" s="46">
        <v>122</v>
      </c>
      <c r="AG1972" s="46">
        <v>60600</v>
      </c>
      <c r="AH1972" s="46">
        <v>820933</v>
      </c>
      <c r="AI1972" s="46">
        <v>13.547000000000001</v>
      </c>
      <c r="AJ1972" s="46">
        <v>122</v>
      </c>
      <c r="AK1972" s="46">
        <v>49000</v>
      </c>
      <c r="AL1972" s="46">
        <v>676222.49</v>
      </c>
      <c r="AM1972" s="46">
        <v>13.8</v>
      </c>
      <c r="AN1972" s="46" t="s">
        <v>63</v>
      </c>
      <c r="AO1972" s="46">
        <v>11600</v>
      </c>
      <c r="AP1972" s="46">
        <v>144710.51</v>
      </c>
      <c r="AQ1972" s="46">
        <v>12.475</v>
      </c>
      <c r="AR1972" s="46">
        <v>12397</v>
      </c>
      <c r="AS1972" s="46">
        <v>122</v>
      </c>
      <c r="AT1972" s="46">
        <v>60600</v>
      </c>
      <c r="AU1972" s="46">
        <v>820933</v>
      </c>
      <c r="AV1972" s="46">
        <v>13.547000000000001</v>
      </c>
      <c r="AW1972" s="46">
        <v>129</v>
      </c>
      <c r="AX1972" s="46">
        <v>51400</v>
      </c>
      <c r="AY1972" s="46">
        <v>707294.76199999999</v>
      </c>
      <c r="AZ1972" s="46">
        <v>13.760999999999999</v>
      </c>
      <c r="BA1972" s="46" t="s">
        <v>63</v>
      </c>
      <c r="BB1972" s="46">
        <v>9200</v>
      </c>
      <c r="BC1972" s="46">
        <v>113638.238</v>
      </c>
      <c r="BD1972" s="46">
        <v>12.352</v>
      </c>
      <c r="BE1972" s="46">
        <v>10999.6</v>
      </c>
      <c r="BF1972" s="46">
        <v>0</v>
      </c>
      <c r="BH1972" s="46">
        <v>31072.271999999899</v>
      </c>
      <c r="BI1972">
        <v>12.95</v>
      </c>
      <c r="BJ1972">
        <v>-31072.272000000001</v>
      </c>
      <c r="BK1972">
        <v>-12.95</v>
      </c>
      <c r="BL1972">
        <v>1089.3699999999999</v>
      </c>
    </row>
    <row r="1973" spans="1:64" x14ac:dyDescent="0.25">
      <c r="A1973" s="136">
        <v>43109</v>
      </c>
      <c r="B1973" s="201" t="s">
        <v>146</v>
      </c>
      <c r="C1973" t="s">
        <v>147</v>
      </c>
      <c r="D1973">
        <v>40</v>
      </c>
      <c r="E1973">
        <v>40</v>
      </c>
      <c r="F1973">
        <v>100</v>
      </c>
      <c r="G1973">
        <v>0</v>
      </c>
      <c r="H1973">
        <v>0</v>
      </c>
      <c r="I1973" s="309">
        <v>4000</v>
      </c>
      <c r="J1973">
        <v>0</v>
      </c>
      <c r="K1973" s="133">
        <v>7.4466329602272396E-3</v>
      </c>
      <c r="L1973" s="181">
        <v>0</v>
      </c>
      <c r="M1973" s="133">
        <v>7.4466329602272396E-3</v>
      </c>
    </row>
    <row r="1974" spans="1:64" x14ac:dyDescent="0.25">
      <c r="A1974" s="136">
        <v>43109</v>
      </c>
      <c r="B1974" s="201" t="s">
        <v>137</v>
      </c>
      <c r="C1974" t="s">
        <v>138</v>
      </c>
      <c r="D1974">
        <v>100</v>
      </c>
      <c r="E1974">
        <v>100</v>
      </c>
      <c r="F1974">
        <v>-130.48500000000001</v>
      </c>
      <c r="G1974">
        <v>16896.5</v>
      </c>
      <c r="H1974">
        <v>0</v>
      </c>
      <c r="I1974" s="309">
        <v>3848</v>
      </c>
      <c r="J1974">
        <v>38.479999999999997</v>
      </c>
      <c r="K1974" s="133">
        <v>7.1636609077386001E-3</v>
      </c>
      <c r="L1974" s="181">
        <v>151</v>
      </c>
      <c r="M1974" s="133">
        <v>0</v>
      </c>
    </row>
    <row r="1975" spans="1:64" x14ac:dyDescent="0.25">
      <c r="A1975" s="136">
        <v>43109</v>
      </c>
      <c r="B1975" s="201" t="s">
        <v>835</v>
      </c>
      <c r="C1975" t="s">
        <v>839</v>
      </c>
      <c r="I1975" s="309">
        <v>14543.07</v>
      </c>
      <c r="K1975" s="133">
        <v>2.7074226101222999E-2</v>
      </c>
      <c r="L1975" s="181">
        <v>0</v>
      </c>
      <c r="M1975" s="133">
        <v>0.18617237704268599</v>
      </c>
    </row>
    <row r="1976" spans="1:64" x14ac:dyDescent="0.25">
      <c r="A1976" s="136">
        <v>43110</v>
      </c>
      <c r="B1976" s="201" t="s">
        <v>132</v>
      </c>
      <c r="C1976" t="s">
        <v>123</v>
      </c>
      <c r="D1976">
        <v>8546045</v>
      </c>
      <c r="E1976">
        <v>8546045</v>
      </c>
      <c r="F1976">
        <v>0.01</v>
      </c>
      <c r="G1976">
        <v>2747.38</v>
      </c>
      <c r="H1976">
        <v>0</v>
      </c>
      <c r="I1976" s="309">
        <v>85460.45</v>
      </c>
      <c r="J1976">
        <v>0.01</v>
      </c>
      <c r="K1976" s="133">
        <v>0.15940227483344199</v>
      </c>
      <c r="L1976" s="181">
        <v>0</v>
      </c>
      <c r="M1976" s="133">
        <v>0</v>
      </c>
    </row>
    <row r="1977" spans="1:64" x14ac:dyDescent="0.25">
      <c r="A1977" s="136">
        <v>43110</v>
      </c>
      <c r="B1977" s="201" t="s">
        <v>61</v>
      </c>
      <c r="C1977" t="s">
        <v>136</v>
      </c>
      <c r="D1977">
        <v>3500</v>
      </c>
      <c r="E1977">
        <v>3500</v>
      </c>
      <c r="F1977">
        <v>5.3070000000000004</v>
      </c>
      <c r="G1977">
        <v>-408.52</v>
      </c>
      <c r="H1977">
        <v>-2.2000000000000002</v>
      </c>
      <c r="I1977" s="309">
        <v>18165</v>
      </c>
      <c r="J1977">
        <v>5.19</v>
      </c>
      <c r="K1977" s="133">
        <v>3.38816648209724E-2</v>
      </c>
      <c r="L1977" s="181">
        <v>-70</v>
      </c>
      <c r="M1977" s="133">
        <v>3.4643643225192797E-2</v>
      </c>
      <c r="N1977" s="73">
        <v>-587.26800000000003</v>
      </c>
      <c r="O1977" s="73">
        <v>-114.19734747081699</v>
      </c>
      <c r="P1977" s="182">
        <v>6</v>
      </c>
      <c r="Q1977" s="182">
        <v>3000</v>
      </c>
      <c r="R1977" s="46">
        <v>5.31</v>
      </c>
      <c r="S1977" s="46">
        <v>0</v>
      </c>
      <c r="T1977" s="46">
        <v>0</v>
      </c>
      <c r="U1977" s="46">
        <v>0</v>
      </c>
      <c r="V1977" s="46" t="s">
        <v>62</v>
      </c>
      <c r="W1977" s="46">
        <v>3000</v>
      </c>
      <c r="X1977" s="46">
        <v>5.31</v>
      </c>
      <c r="Y1977" s="194">
        <v>5.1580000000000004</v>
      </c>
      <c r="Z1977" s="194">
        <v>5.0549999999999997</v>
      </c>
      <c r="AA1977" s="194">
        <v>5.1520000000000001</v>
      </c>
      <c r="AB1977" s="46">
        <v>5.2</v>
      </c>
      <c r="AC1977" s="46">
        <v>5.21</v>
      </c>
      <c r="AD1977" s="46">
        <v>5.16</v>
      </c>
      <c r="AE1977" s="46">
        <v>5.19</v>
      </c>
      <c r="AF1977" s="46">
        <v>5</v>
      </c>
      <c r="AG1977" s="46">
        <v>2500</v>
      </c>
      <c r="AH1977" s="46">
        <v>13346.5</v>
      </c>
      <c r="AI1977" s="46">
        <v>5.3390000000000004</v>
      </c>
      <c r="AJ1977" s="46">
        <v>5</v>
      </c>
      <c r="AK1977" s="46">
        <v>2000</v>
      </c>
      <c r="AL1977" s="46">
        <v>10731.031999999999</v>
      </c>
      <c r="AM1977" s="46">
        <v>5.3659999999999997</v>
      </c>
      <c r="AN1977" s="46" t="s">
        <v>63</v>
      </c>
      <c r="AO1977" s="46">
        <v>500</v>
      </c>
      <c r="AP1977" s="46">
        <v>2615.4679999999998</v>
      </c>
      <c r="AQ1977" s="46">
        <v>5.2309999999999999</v>
      </c>
      <c r="AR1977" s="46">
        <v>54</v>
      </c>
      <c r="AS1977" s="46">
        <v>11</v>
      </c>
      <c r="AT1977" s="46">
        <v>5500</v>
      </c>
      <c r="AU1977" s="46">
        <v>29308.3</v>
      </c>
      <c r="AV1977" s="46">
        <v>5.3289999999999997</v>
      </c>
      <c r="AW1977" s="46">
        <v>5</v>
      </c>
      <c r="AX1977" s="46">
        <v>2000</v>
      </c>
      <c r="AY1977" s="46">
        <v>10731.031999999999</v>
      </c>
      <c r="AZ1977" s="46">
        <v>5.3659999999999997</v>
      </c>
      <c r="BA1977" s="46" t="s">
        <v>63</v>
      </c>
      <c r="BB1977" s="46">
        <v>3500</v>
      </c>
      <c r="BC1977" s="46">
        <v>18577.268</v>
      </c>
      <c r="BD1977" s="46">
        <v>5.3079999999999998</v>
      </c>
      <c r="BE1977" s="46">
        <v>74</v>
      </c>
      <c r="BF1977" s="46">
        <v>15961.8</v>
      </c>
      <c r="BG1977" s="46">
        <v>5.32</v>
      </c>
      <c r="BH1977" s="46">
        <v>0</v>
      </c>
      <c r="BJ1977">
        <v>15961.8</v>
      </c>
      <c r="BK1977">
        <v>5.32</v>
      </c>
      <c r="BL1977">
        <v>10.4</v>
      </c>
    </row>
    <row r="1978" spans="1:64" x14ac:dyDescent="0.25">
      <c r="A1978" s="136">
        <v>43110</v>
      </c>
      <c r="B1978" s="201" t="s">
        <v>124</v>
      </c>
      <c r="C1978" t="s">
        <v>125</v>
      </c>
      <c r="D1978">
        <v>100</v>
      </c>
      <c r="E1978">
        <v>100</v>
      </c>
      <c r="F1978">
        <v>-53.579000000000001</v>
      </c>
      <c r="G1978">
        <v>5973.9</v>
      </c>
      <c r="H1978">
        <v>0</v>
      </c>
      <c r="I1978" s="309">
        <v>616</v>
      </c>
      <c r="J1978">
        <v>6.16</v>
      </c>
      <c r="K1978" s="133">
        <v>1.1489736047189099E-3</v>
      </c>
      <c r="L1978" s="181">
        <v>7</v>
      </c>
      <c r="M1978" s="133">
        <v>0</v>
      </c>
      <c r="Y1978" s="193">
        <v>6.2169999999999996</v>
      </c>
      <c r="Z1978" s="193">
        <v>5.1539999999999999</v>
      </c>
      <c r="AA1978" s="193">
        <v>5.8890000000000002</v>
      </c>
      <c r="AB1978" s="46">
        <v>6.08</v>
      </c>
      <c r="AC1978" s="46">
        <v>6.19</v>
      </c>
      <c r="AD1978" s="46">
        <v>6.06</v>
      </c>
      <c r="AE1978" s="46">
        <v>6.16</v>
      </c>
    </row>
    <row r="1979" spans="1:64" x14ac:dyDescent="0.25">
      <c r="A1979" s="136">
        <v>43110</v>
      </c>
      <c r="B1979" s="201" t="s">
        <v>71</v>
      </c>
      <c r="C1979" t="s">
        <v>126</v>
      </c>
      <c r="D1979">
        <v>2000</v>
      </c>
      <c r="E1979">
        <v>2000</v>
      </c>
      <c r="F1979">
        <v>5.6859999999999999</v>
      </c>
      <c r="G1979">
        <v>1827.01</v>
      </c>
      <c r="H1979">
        <v>16.079999999999998</v>
      </c>
      <c r="I1979" s="309">
        <v>13200</v>
      </c>
      <c r="J1979">
        <v>6.6</v>
      </c>
      <c r="K1979" s="133">
        <v>2.46208629582623E-2</v>
      </c>
      <c r="L1979" s="181">
        <v>304.29000000000002</v>
      </c>
      <c r="M1979" s="133">
        <v>2.1213093046643001E-2</v>
      </c>
      <c r="N1979" s="73">
        <v>2191.6060000000002</v>
      </c>
      <c r="O1979" s="73">
        <v>291.07991276276198</v>
      </c>
      <c r="P1979" s="182">
        <v>2</v>
      </c>
      <c r="Q1979" s="182">
        <v>1000</v>
      </c>
      <c r="R1979" s="46">
        <v>6.45</v>
      </c>
      <c r="S1979" s="46">
        <v>4</v>
      </c>
      <c r="T1979" s="46">
        <v>1700</v>
      </c>
      <c r="U1979" s="46">
        <v>6.4850000000000003</v>
      </c>
      <c r="V1979" s="46" t="s">
        <v>68</v>
      </c>
      <c r="W1979" s="46">
        <v>700</v>
      </c>
      <c r="X1979" s="46">
        <v>6.5350000000000001</v>
      </c>
      <c r="Y1979" s="194">
        <v>6.4939999999999998</v>
      </c>
      <c r="Z1979" s="194">
        <v>6.2569999999999997</v>
      </c>
      <c r="AA1979" s="194">
        <v>6.5</v>
      </c>
      <c r="AB1979" s="46">
        <v>6.49</v>
      </c>
      <c r="AC1979" s="46">
        <v>6.68</v>
      </c>
      <c r="AD1979" s="46">
        <v>6.43</v>
      </c>
      <c r="AE1979" s="46">
        <v>6.6</v>
      </c>
      <c r="AF1979" s="46">
        <v>39</v>
      </c>
      <c r="AG1979" s="46">
        <v>19600</v>
      </c>
      <c r="AH1979" s="46">
        <v>124862.76</v>
      </c>
      <c r="AI1979" s="46">
        <v>6.3710000000000004</v>
      </c>
      <c r="AJ1979" s="46">
        <v>37</v>
      </c>
      <c r="AK1979" s="46">
        <v>16900</v>
      </c>
      <c r="AL1979" s="46">
        <v>108788.76700000001</v>
      </c>
      <c r="AM1979" s="46">
        <v>6.4370000000000003</v>
      </c>
      <c r="AN1979" s="46" t="s">
        <v>63</v>
      </c>
      <c r="AO1979" s="46">
        <v>2700</v>
      </c>
      <c r="AP1979" s="46">
        <v>16073.993</v>
      </c>
      <c r="AQ1979" s="46">
        <v>5.9530000000000003</v>
      </c>
      <c r="AR1979" s="46">
        <v>1115.4000000000001</v>
      </c>
      <c r="AS1979" s="46">
        <v>41</v>
      </c>
      <c r="AT1979" s="46">
        <v>20600</v>
      </c>
      <c r="AU1979" s="46">
        <v>131323.35999999999</v>
      </c>
      <c r="AV1979" s="46">
        <v>6.375</v>
      </c>
      <c r="AW1979" s="46">
        <v>41</v>
      </c>
      <c r="AX1979" s="46">
        <v>18600</v>
      </c>
      <c r="AY1979" s="46">
        <v>119781.72199999999</v>
      </c>
      <c r="AZ1979" s="46">
        <v>6.44</v>
      </c>
      <c r="BA1979" s="46" t="s">
        <v>63</v>
      </c>
      <c r="BB1979" s="46">
        <v>2000</v>
      </c>
      <c r="BC1979" s="46">
        <v>11541.638000000001</v>
      </c>
      <c r="BD1979" s="46">
        <v>5.7709999999999999</v>
      </c>
      <c r="BE1979" s="46">
        <v>1209</v>
      </c>
      <c r="BF1979" s="46">
        <v>6460.6000000000204</v>
      </c>
      <c r="BG1979" s="46">
        <v>6.46</v>
      </c>
      <c r="BH1979" s="46">
        <v>10992.955</v>
      </c>
      <c r="BI1979">
        <v>6.47</v>
      </c>
      <c r="BJ1979">
        <v>-4532.3549999999996</v>
      </c>
      <c r="BK1979">
        <v>-6.47</v>
      </c>
      <c r="BL1979">
        <v>169</v>
      </c>
    </row>
    <row r="1980" spans="1:64" x14ac:dyDescent="0.25">
      <c r="A1980" s="136">
        <v>43110</v>
      </c>
      <c r="B1980" s="201" t="s">
        <v>79</v>
      </c>
      <c r="C1980" t="s">
        <v>143</v>
      </c>
      <c r="D1980">
        <v>4700</v>
      </c>
      <c r="E1980">
        <v>4700</v>
      </c>
      <c r="F1980">
        <v>17.062000000000001</v>
      </c>
      <c r="G1980">
        <v>-7715.57</v>
      </c>
      <c r="H1980">
        <v>-9.6199999999999992</v>
      </c>
      <c r="I1980" s="309">
        <v>72474</v>
      </c>
      <c r="J1980">
        <v>15.42</v>
      </c>
      <c r="K1980" s="133">
        <v>0.13517972894220501</v>
      </c>
      <c r="L1980" s="181">
        <v>-987</v>
      </c>
      <c r="M1980" s="133">
        <v>0.149570940428181</v>
      </c>
      <c r="N1980" s="73">
        <v>-6401.2600000000202</v>
      </c>
      <c r="O1980" s="73">
        <v>-407.51970509554297</v>
      </c>
      <c r="P1980" s="182">
        <v>8</v>
      </c>
      <c r="Q1980" s="182">
        <v>4500</v>
      </c>
      <c r="R1980" s="46">
        <v>17.18</v>
      </c>
      <c r="S1980" s="46">
        <v>0</v>
      </c>
      <c r="T1980" s="46">
        <v>0</v>
      </c>
      <c r="U1980" s="46">
        <v>0</v>
      </c>
      <c r="V1980" s="46" t="s">
        <v>62</v>
      </c>
      <c r="W1980" s="46">
        <v>4500</v>
      </c>
      <c r="X1980" s="46">
        <v>17.18</v>
      </c>
      <c r="Y1980" s="194">
        <v>15.456</v>
      </c>
      <c r="Z1980" s="194">
        <v>15.55</v>
      </c>
      <c r="AA1980" s="194">
        <v>15.507999999999999</v>
      </c>
      <c r="AB1980" s="46">
        <v>15.61</v>
      </c>
      <c r="AC1980" s="46">
        <v>15.61</v>
      </c>
      <c r="AD1980" s="46">
        <v>15.39</v>
      </c>
      <c r="AE1980" s="46">
        <v>15.42</v>
      </c>
      <c r="AF1980" s="46">
        <v>2</v>
      </c>
      <c r="AG1980" s="46">
        <v>1000</v>
      </c>
      <c r="AH1980" s="46">
        <v>15295.6</v>
      </c>
      <c r="AI1980" s="46">
        <v>15.295999999999999</v>
      </c>
      <c r="AJ1980" s="46">
        <v>2</v>
      </c>
      <c r="AK1980" s="46">
        <v>800</v>
      </c>
      <c r="AL1980" s="46">
        <v>12457.04</v>
      </c>
      <c r="AM1980" s="46">
        <v>15.571</v>
      </c>
      <c r="AN1980" s="46" t="s">
        <v>63</v>
      </c>
      <c r="AO1980" s="46">
        <v>200</v>
      </c>
      <c r="AP1980" s="46">
        <v>2838.56</v>
      </c>
      <c r="AQ1980" s="46">
        <v>14.193</v>
      </c>
      <c r="AR1980" s="46">
        <v>220</v>
      </c>
      <c r="AS1980" s="46">
        <v>10</v>
      </c>
      <c r="AT1980" s="46">
        <v>5500</v>
      </c>
      <c r="AU1980" s="46">
        <v>92648.3</v>
      </c>
      <c r="AV1980" s="46">
        <v>16.844999999999999</v>
      </c>
      <c r="AW1980" s="46">
        <v>2</v>
      </c>
      <c r="AX1980" s="46">
        <v>800</v>
      </c>
      <c r="AY1980" s="46">
        <v>12457.04</v>
      </c>
      <c r="AZ1980" s="46">
        <v>15.571</v>
      </c>
      <c r="BA1980" s="46" t="s">
        <v>63</v>
      </c>
      <c r="BB1980" s="46">
        <v>4700</v>
      </c>
      <c r="BC1980" s="46">
        <v>80191.259999999995</v>
      </c>
      <c r="BD1980" s="46">
        <v>17.062000000000001</v>
      </c>
      <c r="BE1980" s="46">
        <v>-1019.2</v>
      </c>
      <c r="BF1980" s="46">
        <v>77352.7</v>
      </c>
      <c r="BG1980" s="46">
        <v>17.190000000000001</v>
      </c>
      <c r="BH1980" s="46">
        <v>0</v>
      </c>
      <c r="BJ1980">
        <v>77352.7</v>
      </c>
      <c r="BK1980">
        <v>17.190000000000001</v>
      </c>
      <c r="BL1980">
        <v>14.27</v>
      </c>
    </row>
    <row r="1981" spans="1:64" x14ac:dyDescent="0.25">
      <c r="A1981" s="136">
        <v>43110</v>
      </c>
      <c r="B1981" s="201" t="s">
        <v>65</v>
      </c>
      <c r="C1981" t="s">
        <v>127</v>
      </c>
      <c r="D1981">
        <v>10400</v>
      </c>
      <c r="E1981">
        <v>9900</v>
      </c>
      <c r="F1981">
        <v>10.071</v>
      </c>
      <c r="G1981">
        <v>16210.25</v>
      </c>
      <c r="H1981">
        <v>15.48</v>
      </c>
      <c r="I1981" s="309">
        <v>120952</v>
      </c>
      <c r="J1981">
        <v>11.63</v>
      </c>
      <c r="K1981" s="133">
        <v>0.225601713373314</v>
      </c>
      <c r="L1981" s="181">
        <v>-812</v>
      </c>
      <c r="M1981" s="133">
        <v>0.19536608126958899</v>
      </c>
      <c r="N1981" s="73">
        <v>12239.821</v>
      </c>
      <c r="O1981" s="73">
        <v>1416.21902339193</v>
      </c>
      <c r="P1981" s="182">
        <v>0</v>
      </c>
      <c r="Q1981" s="182">
        <v>0</v>
      </c>
      <c r="R1981" s="46">
        <v>0</v>
      </c>
      <c r="S1981" s="46">
        <v>17</v>
      </c>
      <c r="T1981" s="46">
        <v>7200</v>
      </c>
      <c r="U1981" s="46">
        <v>12.407999999999999</v>
      </c>
      <c r="V1981" s="46" t="s">
        <v>68</v>
      </c>
      <c r="W1981" s="46">
        <v>7200</v>
      </c>
      <c r="X1981" s="46">
        <v>12.407999999999999</v>
      </c>
      <c r="Y1981" s="193">
        <v>11.989000000000001</v>
      </c>
      <c r="Z1981" s="194">
        <v>11.295999999999999</v>
      </c>
      <c r="AA1981" s="194">
        <v>11.622</v>
      </c>
      <c r="AB1981" s="46">
        <v>11.79</v>
      </c>
      <c r="AC1981" s="46">
        <v>11.96</v>
      </c>
      <c r="AD1981" s="46">
        <v>11.54</v>
      </c>
      <c r="AE1981" s="46">
        <v>11.63</v>
      </c>
      <c r="AF1981" s="46">
        <v>133</v>
      </c>
      <c r="AG1981" s="46">
        <v>74700</v>
      </c>
      <c r="AH1981" s="46">
        <v>871959.23100000003</v>
      </c>
      <c r="AI1981" s="46">
        <v>11.673</v>
      </c>
      <c r="AJ1981" s="46">
        <v>153</v>
      </c>
      <c r="AK1981" s="46">
        <v>66300</v>
      </c>
      <c r="AL1981" s="46">
        <v>677220.38600000006</v>
      </c>
      <c r="AM1981" s="46">
        <v>10.214</v>
      </c>
      <c r="AN1981" s="46" t="s">
        <v>63</v>
      </c>
      <c r="AO1981" s="46">
        <v>8400</v>
      </c>
      <c r="AP1981" s="46">
        <v>194738.845</v>
      </c>
      <c r="AQ1981" s="46">
        <v>23.183</v>
      </c>
      <c r="AR1981" s="46">
        <v>-96731.7</v>
      </c>
      <c r="AS1981" s="46">
        <v>134</v>
      </c>
      <c r="AT1981" s="46">
        <v>74800</v>
      </c>
      <c r="AU1981" s="46">
        <v>873247.23100000003</v>
      </c>
      <c r="AV1981" s="46">
        <v>11.673999999999999</v>
      </c>
      <c r="AW1981" s="46">
        <v>170</v>
      </c>
      <c r="AX1981" s="46">
        <v>73500</v>
      </c>
      <c r="AY1981" s="46">
        <v>766382.05</v>
      </c>
      <c r="AZ1981" s="46">
        <v>10.427</v>
      </c>
      <c r="BA1981" s="46" t="s">
        <v>63</v>
      </c>
      <c r="BB1981" s="46">
        <v>1300</v>
      </c>
      <c r="BC1981" s="46">
        <v>106865.181</v>
      </c>
      <c r="BD1981" s="46">
        <v>82.203999999999994</v>
      </c>
      <c r="BE1981" s="46">
        <v>-91654.5</v>
      </c>
      <c r="BF1981" s="46">
        <v>1288</v>
      </c>
      <c r="BH1981" s="46">
        <v>89161.664000000106</v>
      </c>
      <c r="BI1981">
        <v>12.38</v>
      </c>
      <c r="BJ1981">
        <v>-87873.664000000004</v>
      </c>
      <c r="BK1981">
        <v>-12.2</v>
      </c>
      <c r="BL1981">
        <v>-8317.43</v>
      </c>
    </row>
    <row r="1982" spans="1:64" x14ac:dyDescent="0.25">
      <c r="A1982" s="136">
        <v>43110</v>
      </c>
      <c r="B1982" s="201" t="s">
        <v>77</v>
      </c>
      <c r="C1982" t="s">
        <v>128</v>
      </c>
      <c r="D1982">
        <v>4200</v>
      </c>
      <c r="E1982">
        <v>4200</v>
      </c>
      <c r="F1982">
        <v>6.0039999999999996</v>
      </c>
      <c r="G1982">
        <v>-270.85000000000002</v>
      </c>
      <c r="H1982">
        <v>-1.06</v>
      </c>
      <c r="I1982" s="309">
        <v>24948</v>
      </c>
      <c r="J1982">
        <v>5.94</v>
      </c>
      <c r="K1982" s="133">
        <v>4.6533430991115801E-2</v>
      </c>
      <c r="L1982" s="181">
        <v>-210</v>
      </c>
      <c r="M1982" s="133">
        <v>4.7038624985982901E-2</v>
      </c>
      <c r="N1982" s="73">
        <v>-355.79000000000502</v>
      </c>
      <c r="O1982" s="73">
        <v>23.863889900661501</v>
      </c>
      <c r="P1982" s="182">
        <v>7</v>
      </c>
      <c r="Q1982" s="182">
        <v>3500</v>
      </c>
      <c r="R1982" s="46">
        <v>6.7140000000000004</v>
      </c>
      <c r="S1982" s="46">
        <v>1</v>
      </c>
      <c r="T1982" s="46">
        <v>400</v>
      </c>
      <c r="U1982" s="46">
        <v>6.04</v>
      </c>
      <c r="V1982" s="46" t="s">
        <v>62</v>
      </c>
      <c r="W1982" s="46">
        <v>3100</v>
      </c>
      <c r="X1982" s="46">
        <v>6.8010000000000002</v>
      </c>
      <c r="Y1982" s="193">
        <v>6.1230000000000002</v>
      </c>
      <c r="Z1982" s="194">
        <v>5.9660000000000002</v>
      </c>
      <c r="AA1982" s="194">
        <v>6.4</v>
      </c>
      <c r="AB1982" s="46">
        <v>5.97</v>
      </c>
      <c r="AC1982" s="46">
        <v>6</v>
      </c>
      <c r="AD1982" s="46">
        <v>5.92</v>
      </c>
      <c r="AE1982" s="46">
        <v>5.94</v>
      </c>
      <c r="AF1982" s="46">
        <v>37</v>
      </c>
      <c r="AG1982" s="46">
        <v>18500</v>
      </c>
      <c r="AH1982" s="46">
        <v>136154</v>
      </c>
      <c r="AI1982" s="46">
        <v>7.36</v>
      </c>
      <c r="AJ1982" s="46">
        <v>37</v>
      </c>
      <c r="AK1982" s="46">
        <v>17400</v>
      </c>
      <c r="AL1982" s="46">
        <v>132056.62599999999</v>
      </c>
      <c r="AM1982" s="46">
        <v>7.5890000000000004</v>
      </c>
      <c r="AN1982" s="46" t="s">
        <v>63</v>
      </c>
      <c r="AO1982" s="46">
        <v>1100</v>
      </c>
      <c r="AP1982" s="46">
        <v>4097.3739999999998</v>
      </c>
      <c r="AQ1982" s="46">
        <v>3.7250000000000001</v>
      </c>
      <c r="AR1982" s="46">
        <v>3984.6</v>
      </c>
      <c r="AS1982" s="46">
        <v>44</v>
      </c>
      <c r="AT1982" s="46">
        <v>22000</v>
      </c>
      <c r="AU1982" s="46">
        <v>159689</v>
      </c>
      <c r="AV1982" s="46">
        <v>7.2590000000000003</v>
      </c>
      <c r="AW1982" s="46">
        <v>38</v>
      </c>
      <c r="AX1982" s="46">
        <v>17800</v>
      </c>
      <c r="AY1982" s="46">
        <v>134465.21</v>
      </c>
      <c r="AZ1982" s="46">
        <v>7.5540000000000003</v>
      </c>
      <c r="BA1982" s="46" t="s">
        <v>63</v>
      </c>
      <c r="BB1982" s="46">
        <v>4200</v>
      </c>
      <c r="BC1982" s="46">
        <v>25223.79</v>
      </c>
      <c r="BD1982" s="46">
        <v>6.0060000000000002</v>
      </c>
      <c r="BE1982" s="46">
        <v>5251</v>
      </c>
      <c r="BF1982" s="46">
        <v>23535</v>
      </c>
      <c r="BG1982" s="46">
        <v>6.72</v>
      </c>
      <c r="BH1982" s="46">
        <v>2408.5839999999998</v>
      </c>
      <c r="BI1982">
        <v>6.02</v>
      </c>
      <c r="BJ1982">
        <v>21126.416000000001</v>
      </c>
      <c r="BK1982">
        <v>6.81</v>
      </c>
      <c r="BL1982">
        <v>670.81</v>
      </c>
    </row>
    <row r="1983" spans="1:64" x14ac:dyDescent="0.25">
      <c r="A1983" s="136">
        <v>43110</v>
      </c>
      <c r="B1983" s="201" t="s">
        <v>67</v>
      </c>
      <c r="C1983" t="s">
        <v>129</v>
      </c>
      <c r="D1983">
        <v>7850</v>
      </c>
      <c r="E1983">
        <v>6450</v>
      </c>
      <c r="F1983">
        <v>8.6489999999999991</v>
      </c>
      <c r="G1983">
        <v>4.96</v>
      </c>
      <c r="H1983">
        <v>0.01</v>
      </c>
      <c r="I1983" s="309">
        <v>67902.5</v>
      </c>
      <c r="J1983">
        <v>8.65</v>
      </c>
      <c r="K1983" s="133">
        <v>0.126652889926016</v>
      </c>
      <c r="L1983" s="181">
        <v>-576.5</v>
      </c>
      <c r="M1983" s="133">
        <v>0.12664363845023799</v>
      </c>
      <c r="N1983" s="73">
        <v>-703.80300000024704</v>
      </c>
      <c r="O1983" s="73">
        <v>-82.178866647225107</v>
      </c>
      <c r="P1983" s="182">
        <v>3</v>
      </c>
      <c r="Q1983" s="182">
        <v>1500</v>
      </c>
      <c r="R1983" s="46">
        <v>6.7830000000000004</v>
      </c>
      <c r="S1983" s="46">
        <v>1</v>
      </c>
      <c r="T1983" s="46">
        <v>400</v>
      </c>
      <c r="U1983" s="46">
        <v>8.91</v>
      </c>
      <c r="V1983" s="46" t="s">
        <v>62</v>
      </c>
      <c r="W1983" s="46">
        <v>1100</v>
      </c>
      <c r="X1983" s="46">
        <v>6.01</v>
      </c>
      <c r="Y1983" s="194">
        <v>8.5879999999999992</v>
      </c>
      <c r="Z1983" s="194">
        <v>7.718</v>
      </c>
      <c r="AA1983" s="194">
        <v>8.6980000000000004</v>
      </c>
      <c r="AB1983" s="46">
        <v>8.7200000000000006</v>
      </c>
      <c r="AC1983" s="46">
        <v>8.7799999999999994</v>
      </c>
      <c r="AD1983" s="46">
        <v>8.52</v>
      </c>
      <c r="AE1983" s="46">
        <v>8.65</v>
      </c>
      <c r="AF1983" s="46">
        <v>154</v>
      </c>
      <c r="AG1983" s="46">
        <v>77000</v>
      </c>
      <c r="AH1983" s="46">
        <v>638832</v>
      </c>
      <c r="AI1983" s="46">
        <v>8.2970000000000006</v>
      </c>
      <c r="AJ1983" s="46">
        <v>156</v>
      </c>
      <c r="AK1983" s="46">
        <v>72850</v>
      </c>
      <c r="AL1983" s="46">
        <v>646694.87699999998</v>
      </c>
      <c r="AM1983" s="46">
        <v>8.8770000000000007</v>
      </c>
      <c r="AN1983" s="46" t="s">
        <v>63</v>
      </c>
      <c r="AO1983" s="46">
        <v>4150</v>
      </c>
      <c r="AP1983" s="46">
        <v>7862.8770000000004</v>
      </c>
      <c r="AQ1983" s="46">
        <v>1.895</v>
      </c>
      <c r="AR1983" s="46">
        <v>42253</v>
      </c>
      <c r="AS1983" s="46">
        <v>157</v>
      </c>
      <c r="AT1983" s="46">
        <v>78500</v>
      </c>
      <c r="AU1983" s="46">
        <v>649022</v>
      </c>
      <c r="AV1983" s="46">
        <v>8.2680000000000007</v>
      </c>
      <c r="AW1983" s="46">
        <v>157</v>
      </c>
      <c r="AX1983" s="46">
        <v>73250</v>
      </c>
      <c r="AY1983" s="46">
        <v>650250.31299999997</v>
      </c>
      <c r="AZ1983" s="46">
        <v>8.8770000000000007</v>
      </c>
      <c r="BA1983" s="46" t="s">
        <v>63</v>
      </c>
      <c r="BB1983" s="46">
        <v>5250</v>
      </c>
      <c r="BC1983" s="46">
        <v>1228.3130000000001</v>
      </c>
      <c r="BD1983" s="46">
        <v>0.23400000000000001</v>
      </c>
      <c r="BE1983" s="46">
        <v>44609.25</v>
      </c>
      <c r="BF1983" s="46">
        <v>10190</v>
      </c>
      <c r="BG1983" s="46">
        <v>6.79</v>
      </c>
      <c r="BH1983" s="46">
        <v>3555.4359999999901</v>
      </c>
      <c r="BI1983">
        <v>8.89</v>
      </c>
      <c r="BJ1983">
        <v>-6634.5640000000003</v>
      </c>
      <c r="BK1983">
        <v>-6.03</v>
      </c>
      <c r="BL1983">
        <v>4884.74</v>
      </c>
    </row>
    <row r="1984" spans="1:64" x14ac:dyDescent="0.25">
      <c r="A1984" s="136">
        <v>43110</v>
      </c>
      <c r="B1984" s="201" t="s">
        <v>78</v>
      </c>
      <c r="C1984" t="s">
        <v>142</v>
      </c>
      <c r="D1984">
        <v>900</v>
      </c>
      <c r="E1984">
        <v>900</v>
      </c>
      <c r="F1984">
        <v>10.29</v>
      </c>
      <c r="G1984">
        <v>-296.77999999999997</v>
      </c>
      <c r="H1984">
        <v>-3.21</v>
      </c>
      <c r="I1984" s="309">
        <v>8964</v>
      </c>
      <c r="J1984">
        <v>9.9600000000000009</v>
      </c>
      <c r="K1984" s="133">
        <v>1.6719804208929101E-2</v>
      </c>
      <c r="L1984" s="181">
        <v>-207</v>
      </c>
      <c r="M1984" s="133">
        <v>1.7273363277774002E-2</v>
      </c>
      <c r="N1984" s="73">
        <v>-35.775999999999797</v>
      </c>
      <c r="O1984" s="73">
        <v>-3.4885962926829102</v>
      </c>
      <c r="P1984" s="182">
        <v>1</v>
      </c>
      <c r="Q1984" s="182">
        <v>500</v>
      </c>
      <c r="R1984" s="46">
        <v>10.61</v>
      </c>
      <c r="S1984" s="46">
        <v>0</v>
      </c>
      <c r="T1984" s="46">
        <v>0</v>
      </c>
      <c r="U1984" s="46">
        <v>0</v>
      </c>
      <c r="V1984" s="46" t="s">
        <v>62</v>
      </c>
      <c r="W1984" s="46">
        <v>500</v>
      </c>
      <c r="X1984" s="46">
        <v>10.61</v>
      </c>
      <c r="Y1984" s="194">
        <v>10.02</v>
      </c>
      <c r="Z1984" s="194">
        <v>10.814</v>
      </c>
      <c r="AA1984" s="194">
        <v>10.831</v>
      </c>
      <c r="AB1984" s="46">
        <v>10.17</v>
      </c>
      <c r="AC1984" s="46">
        <v>10.199999999999999</v>
      </c>
      <c r="AD1984" s="46">
        <v>9.93</v>
      </c>
      <c r="AE1984" s="46">
        <v>9.9600000000000009</v>
      </c>
      <c r="AF1984" s="46">
        <v>4</v>
      </c>
      <c r="AG1984" s="46">
        <v>2000</v>
      </c>
      <c r="AH1984" s="46">
        <v>20690</v>
      </c>
      <c r="AI1984" s="46">
        <v>10.345000000000001</v>
      </c>
      <c r="AJ1984" s="46">
        <v>4</v>
      </c>
      <c r="AK1984" s="46">
        <v>1600</v>
      </c>
      <c r="AL1984" s="46">
        <v>16739.223999999998</v>
      </c>
      <c r="AM1984" s="46">
        <v>10.462</v>
      </c>
      <c r="AN1984" s="46" t="s">
        <v>63</v>
      </c>
      <c r="AO1984" s="46">
        <v>400</v>
      </c>
      <c r="AP1984" s="46">
        <v>3950.7759999999998</v>
      </c>
      <c r="AQ1984" s="46">
        <v>9.8770000000000007</v>
      </c>
      <c r="AR1984" s="46">
        <v>187.2</v>
      </c>
      <c r="AS1984" s="46">
        <v>5</v>
      </c>
      <c r="AT1984" s="46">
        <v>2500</v>
      </c>
      <c r="AU1984" s="46">
        <v>26000</v>
      </c>
      <c r="AV1984" s="46">
        <v>10.4</v>
      </c>
      <c r="AW1984" s="46">
        <v>4</v>
      </c>
      <c r="AX1984" s="46">
        <v>1600</v>
      </c>
      <c r="AY1984" s="46">
        <v>16739.223999999998</v>
      </c>
      <c r="AZ1984" s="46">
        <v>10.462</v>
      </c>
      <c r="BA1984" s="46" t="s">
        <v>63</v>
      </c>
      <c r="BB1984" s="46">
        <v>900</v>
      </c>
      <c r="BC1984" s="46">
        <v>9260.7759999999998</v>
      </c>
      <c r="BD1984" s="46">
        <v>10.29</v>
      </c>
      <c r="BE1984" s="46">
        <v>99.2</v>
      </c>
      <c r="BF1984" s="46">
        <v>5310</v>
      </c>
      <c r="BG1984" s="46">
        <v>10.62</v>
      </c>
      <c r="BH1984" s="46">
        <v>0</v>
      </c>
      <c r="BJ1984">
        <v>5310</v>
      </c>
      <c r="BK1984">
        <v>10.62</v>
      </c>
      <c r="BL1984">
        <v>18.8</v>
      </c>
    </row>
    <row r="1985" spans="1:64" x14ac:dyDescent="0.25">
      <c r="A1985" s="136">
        <v>43110</v>
      </c>
      <c r="B1985" s="201" t="s">
        <v>72</v>
      </c>
      <c r="C1985" t="s">
        <v>130</v>
      </c>
      <c r="D1985">
        <v>1400</v>
      </c>
      <c r="E1985">
        <v>900</v>
      </c>
      <c r="F1985">
        <v>7.0620000000000003</v>
      </c>
      <c r="G1985">
        <v>95.25</v>
      </c>
      <c r="H1985">
        <v>0.96</v>
      </c>
      <c r="I1985" s="309">
        <v>9982</v>
      </c>
      <c r="J1985">
        <v>7.13</v>
      </c>
      <c r="K1985" s="133">
        <v>1.8618595003740499E-2</v>
      </c>
      <c r="L1985" s="181">
        <v>-252</v>
      </c>
      <c r="M1985" s="133">
        <v>1.8440933094893999E-2</v>
      </c>
      <c r="N1985" s="73">
        <v>-14.471999999991599</v>
      </c>
      <c r="O1985" s="73">
        <v>28.728762968102799</v>
      </c>
      <c r="P1985" s="182">
        <v>0</v>
      </c>
      <c r="Q1985" s="182">
        <v>0</v>
      </c>
      <c r="R1985" s="46">
        <v>0</v>
      </c>
      <c r="S1985" s="46">
        <v>14</v>
      </c>
      <c r="T1985" s="46">
        <v>5800</v>
      </c>
      <c r="U1985" s="46">
        <v>8.0709999999999997</v>
      </c>
      <c r="V1985" s="46" t="s">
        <v>68</v>
      </c>
      <c r="W1985" s="46">
        <v>5800</v>
      </c>
      <c r="X1985" s="46">
        <v>8.0709999999999997</v>
      </c>
      <c r="Y1985" s="194">
        <v>7.173</v>
      </c>
      <c r="Z1985" s="194">
        <v>7.0460000000000003</v>
      </c>
      <c r="AA1985" s="194">
        <v>7.1340000000000003</v>
      </c>
      <c r="AB1985" s="46">
        <v>7.36</v>
      </c>
      <c r="AC1985" s="46">
        <v>7.37</v>
      </c>
      <c r="AD1985" s="46">
        <v>7.08</v>
      </c>
      <c r="AE1985" s="46">
        <v>7.13</v>
      </c>
      <c r="AF1985" s="46">
        <v>24</v>
      </c>
      <c r="AG1985" s="46">
        <v>12000</v>
      </c>
      <c r="AH1985" s="46">
        <v>95230</v>
      </c>
      <c r="AI1985" s="46">
        <v>7.9359999999999999</v>
      </c>
      <c r="AJ1985" s="46">
        <v>24</v>
      </c>
      <c r="AK1985" s="46">
        <v>11400</v>
      </c>
      <c r="AL1985" s="46">
        <v>39378.527000000002</v>
      </c>
      <c r="AM1985" s="46">
        <v>3.4540000000000002</v>
      </c>
      <c r="AN1985" s="46" t="s">
        <v>63</v>
      </c>
      <c r="AO1985" s="46">
        <v>600</v>
      </c>
      <c r="AP1985" s="46">
        <v>55851.472999999998</v>
      </c>
      <c r="AQ1985" s="46">
        <v>93.085999999999999</v>
      </c>
      <c r="AR1985" s="46">
        <v>-51094.8</v>
      </c>
      <c r="AS1985" s="46">
        <v>24</v>
      </c>
      <c r="AT1985" s="46">
        <v>12000</v>
      </c>
      <c r="AU1985" s="46">
        <v>95230</v>
      </c>
      <c r="AV1985" s="46">
        <v>7.9359999999999999</v>
      </c>
      <c r="AW1985" s="46">
        <v>39</v>
      </c>
      <c r="AX1985" s="46">
        <v>17700</v>
      </c>
      <c r="AY1985" s="46">
        <v>86075.713000000003</v>
      </c>
      <c r="AZ1985" s="46">
        <v>4.8630000000000004</v>
      </c>
      <c r="BA1985" s="46" t="s">
        <v>69</v>
      </c>
      <c r="BB1985" s="46">
        <v>5700</v>
      </c>
      <c r="BC1985" s="46">
        <v>9154.2870000000003</v>
      </c>
      <c r="BD1985" s="46">
        <v>1.6060000000000001</v>
      </c>
      <c r="BE1985" s="46">
        <v>-36876</v>
      </c>
      <c r="BF1985" s="46">
        <v>0</v>
      </c>
      <c r="BH1985" s="46">
        <v>46697.186000000002</v>
      </c>
      <c r="BI1985">
        <v>8.0500000000000007</v>
      </c>
      <c r="BJ1985">
        <v>-46697.186000000002</v>
      </c>
      <c r="BK1985">
        <v>-8.0500000000000007</v>
      </c>
      <c r="BL1985">
        <v>-7166.17</v>
      </c>
    </row>
    <row r="1986" spans="1:64" x14ac:dyDescent="0.25">
      <c r="A1986" s="136">
        <v>43110</v>
      </c>
      <c r="B1986" s="201" t="s">
        <v>70</v>
      </c>
      <c r="C1986" t="s">
        <v>131</v>
      </c>
      <c r="D1986">
        <v>8800</v>
      </c>
      <c r="E1986">
        <v>8800</v>
      </c>
      <c r="F1986">
        <v>12.388</v>
      </c>
      <c r="G1986">
        <v>-7024.88</v>
      </c>
      <c r="H1986">
        <v>-6.44</v>
      </c>
      <c r="I1986" s="309">
        <v>101992</v>
      </c>
      <c r="J1986">
        <v>11.59</v>
      </c>
      <c r="K1986" s="133">
        <v>0.190237201124174</v>
      </c>
      <c r="L1986" s="181">
        <v>1918.37</v>
      </c>
      <c r="M1986" s="133">
        <v>0.20334012595585799</v>
      </c>
      <c r="N1986" s="73">
        <v>-7111.8700000000199</v>
      </c>
      <c r="O1986" s="73">
        <v>-613.84404706390501</v>
      </c>
      <c r="P1986" s="182">
        <v>0</v>
      </c>
      <c r="Q1986" s="182">
        <v>0</v>
      </c>
      <c r="R1986" s="46">
        <v>0</v>
      </c>
      <c r="S1986" s="46">
        <v>7</v>
      </c>
      <c r="T1986" s="46">
        <v>2800</v>
      </c>
      <c r="U1986" s="46">
        <v>12.629</v>
      </c>
      <c r="V1986" s="46" t="s">
        <v>68</v>
      </c>
      <c r="W1986" s="46">
        <v>2800</v>
      </c>
      <c r="X1986" s="46">
        <v>12.629</v>
      </c>
      <c r="Y1986" s="193">
        <v>98.835999999999999</v>
      </c>
      <c r="Z1986" s="194">
        <v>12.311</v>
      </c>
      <c r="AA1986" s="194">
        <v>12.14</v>
      </c>
      <c r="AB1986" s="46">
        <v>11.42</v>
      </c>
      <c r="AC1986" s="46">
        <v>11.73</v>
      </c>
      <c r="AD1986" s="46">
        <v>11.28</v>
      </c>
      <c r="AE1986" s="46">
        <v>11.59</v>
      </c>
      <c r="AF1986" s="46">
        <v>122</v>
      </c>
      <c r="AG1986" s="46">
        <v>60600</v>
      </c>
      <c r="AH1986" s="46">
        <v>820933</v>
      </c>
      <c r="AI1986" s="46">
        <v>13.547000000000001</v>
      </c>
      <c r="AJ1986" s="46">
        <v>122</v>
      </c>
      <c r="AK1986" s="46">
        <v>49000</v>
      </c>
      <c r="AL1986" s="46">
        <v>676222.49</v>
      </c>
      <c r="AM1986" s="46">
        <v>13.8</v>
      </c>
      <c r="AN1986" s="46" t="s">
        <v>63</v>
      </c>
      <c r="AO1986" s="46">
        <v>11600</v>
      </c>
      <c r="AP1986" s="46">
        <v>144710.51</v>
      </c>
      <c r="AQ1986" s="46">
        <v>12.475</v>
      </c>
      <c r="AR1986" s="46">
        <v>12397</v>
      </c>
      <c r="AS1986" s="46">
        <v>122</v>
      </c>
      <c r="AT1986" s="46">
        <v>60600</v>
      </c>
      <c r="AU1986" s="46">
        <v>820933</v>
      </c>
      <c r="AV1986" s="46">
        <v>13.547000000000001</v>
      </c>
      <c r="AW1986" s="46">
        <v>130</v>
      </c>
      <c r="AX1986" s="46">
        <v>51800</v>
      </c>
      <c r="AY1986" s="46">
        <v>711917.13</v>
      </c>
      <c r="AZ1986" s="46">
        <v>13.744</v>
      </c>
      <c r="BA1986" s="46" t="s">
        <v>63</v>
      </c>
      <c r="BB1986" s="46">
        <v>8800</v>
      </c>
      <c r="BC1986" s="46">
        <v>109015.87</v>
      </c>
      <c r="BD1986" s="46">
        <v>12.388</v>
      </c>
      <c r="BE1986" s="46">
        <v>10204.6</v>
      </c>
      <c r="BF1986" s="46">
        <v>0</v>
      </c>
      <c r="BH1986" s="46">
        <v>35694.639999999898</v>
      </c>
      <c r="BI1986">
        <v>12.75</v>
      </c>
      <c r="BJ1986">
        <v>-35694.639999999999</v>
      </c>
      <c r="BK1986">
        <v>-12.75</v>
      </c>
      <c r="BL1986">
        <v>1069.6300000000001</v>
      </c>
    </row>
    <row r="1987" spans="1:64" x14ac:dyDescent="0.25">
      <c r="A1987" s="136">
        <v>43110</v>
      </c>
      <c r="B1987" s="201" t="s">
        <v>146</v>
      </c>
      <c r="C1987" t="s">
        <v>147</v>
      </c>
      <c r="D1987">
        <v>40</v>
      </c>
      <c r="E1987">
        <v>40</v>
      </c>
      <c r="F1987">
        <v>100</v>
      </c>
      <c r="G1987">
        <v>0</v>
      </c>
      <c r="H1987">
        <v>0</v>
      </c>
      <c r="I1987" s="309">
        <v>4000</v>
      </c>
      <c r="J1987">
        <v>0</v>
      </c>
      <c r="K1987" s="133">
        <v>7.4608675631097996E-3</v>
      </c>
      <c r="L1987" s="181">
        <v>0</v>
      </c>
      <c r="M1987" s="133">
        <v>7.4608675631097996E-3</v>
      </c>
    </row>
    <row r="1988" spans="1:64" x14ac:dyDescent="0.25">
      <c r="A1988" s="136">
        <v>43110</v>
      </c>
      <c r="B1988" s="201" t="s">
        <v>137</v>
      </c>
      <c r="C1988" t="s">
        <v>138</v>
      </c>
      <c r="D1988">
        <v>100</v>
      </c>
      <c r="E1988">
        <v>100</v>
      </c>
      <c r="F1988">
        <v>-130.48500000000001</v>
      </c>
      <c r="G1988">
        <v>16756.5</v>
      </c>
      <c r="H1988">
        <v>0</v>
      </c>
      <c r="I1988" s="309">
        <v>3708</v>
      </c>
      <c r="J1988">
        <v>37.08</v>
      </c>
      <c r="K1988" s="133">
        <v>6.9162242310027901E-3</v>
      </c>
      <c r="L1988" s="181">
        <v>-140</v>
      </c>
      <c r="M1988" s="133">
        <v>0</v>
      </c>
    </row>
    <row r="1989" spans="1:64" x14ac:dyDescent="0.25">
      <c r="A1989" s="136">
        <v>43110</v>
      </c>
      <c r="B1989" s="201" t="s">
        <v>835</v>
      </c>
      <c r="C1989" t="s">
        <v>839</v>
      </c>
      <c r="I1989" s="309">
        <v>3766.73</v>
      </c>
      <c r="K1989" s="133">
        <v>7.0257684189981504E-3</v>
      </c>
      <c r="L1989" s="181">
        <v>0</v>
      </c>
      <c r="M1989" s="133">
        <v>0.16642804325244001</v>
      </c>
    </row>
    <row r="1990" spans="1:64" x14ac:dyDescent="0.25">
      <c r="A1990" s="136">
        <v>43111</v>
      </c>
      <c r="B1990" s="201" t="s">
        <v>132</v>
      </c>
      <c r="C1990" t="s">
        <v>123</v>
      </c>
      <c r="D1990">
        <v>8000000</v>
      </c>
      <c r="E1990">
        <v>8000000</v>
      </c>
      <c r="F1990">
        <v>0.01</v>
      </c>
      <c r="G1990">
        <v>2754.56</v>
      </c>
      <c r="H1990">
        <v>0</v>
      </c>
      <c r="I1990" s="309">
        <v>80000</v>
      </c>
      <c r="J1990">
        <v>0.01</v>
      </c>
      <c r="K1990" s="133">
        <v>0.14925896933062099</v>
      </c>
      <c r="L1990" s="181">
        <v>7.1799999999998398</v>
      </c>
      <c r="M1990" s="133">
        <v>0</v>
      </c>
    </row>
    <row r="1991" spans="1:64" x14ac:dyDescent="0.25">
      <c r="A1991" s="136">
        <v>43111</v>
      </c>
      <c r="B1991" s="201" t="s">
        <v>61</v>
      </c>
      <c r="C1991" t="s">
        <v>136</v>
      </c>
      <c r="D1991">
        <v>3500</v>
      </c>
      <c r="E1991">
        <v>3500</v>
      </c>
      <c r="F1991">
        <v>5.3070000000000004</v>
      </c>
      <c r="G1991">
        <v>-373.52</v>
      </c>
      <c r="H1991">
        <v>-2.02</v>
      </c>
      <c r="I1991" s="309">
        <v>18200</v>
      </c>
      <c r="J1991">
        <v>5.2</v>
      </c>
      <c r="K1991" s="133">
        <v>3.3956415522716402E-2</v>
      </c>
      <c r="L1991" s="181">
        <v>35</v>
      </c>
      <c r="M1991" s="133">
        <v>3.4653305650521098E-2</v>
      </c>
      <c r="N1991" s="73">
        <v>-587.26800000000003</v>
      </c>
      <c r="O1991" s="73">
        <v>-114.19734747081699</v>
      </c>
      <c r="P1991" s="182">
        <v>6</v>
      </c>
      <c r="Q1991" s="182">
        <v>3000</v>
      </c>
      <c r="R1991" s="46">
        <v>5.31</v>
      </c>
      <c r="S1991" s="46">
        <v>0</v>
      </c>
      <c r="T1991" s="46">
        <v>0</v>
      </c>
      <c r="U1991" s="46">
        <v>0</v>
      </c>
      <c r="V1991" s="46" t="s">
        <v>62</v>
      </c>
      <c r="W1991" s="46">
        <v>3000</v>
      </c>
      <c r="X1991" s="46">
        <v>5.31</v>
      </c>
      <c r="Y1991" s="193">
        <v>5.2229999999999999</v>
      </c>
      <c r="Z1991" s="194">
        <v>5.0469999999999997</v>
      </c>
      <c r="AA1991" s="194">
        <v>5.1529999999999996</v>
      </c>
      <c r="AB1991" s="46">
        <v>5.2</v>
      </c>
      <c r="AC1991" s="46">
        <v>5.2</v>
      </c>
      <c r="AD1991" s="46">
        <v>5.17</v>
      </c>
      <c r="AE1991" s="46">
        <v>5.2</v>
      </c>
      <c r="AF1991" s="46">
        <v>5</v>
      </c>
      <c r="AG1991" s="46">
        <v>2500</v>
      </c>
      <c r="AH1991" s="46">
        <v>13346.5</v>
      </c>
      <c r="AI1991" s="46">
        <v>5.3390000000000004</v>
      </c>
      <c r="AJ1991" s="46">
        <v>5</v>
      </c>
      <c r="AK1991" s="46">
        <v>2000</v>
      </c>
      <c r="AL1991" s="46">
        <v>10731.031999999999</v>
      </c>
      <c r="AM1991" s="46">
        <v>5.3659999999999997</v>
      </c>
      <c r="AN1991" s="46" t="s">
        <v>63</v>
      </c>
      <c r="AO1991" s="46">
        <v>500</v>
      </c>
      <c r="AP1991" s="46">
        <v>2615.4679999999998</v>
      </c>
      <c r="AQ1991" s="46">
        <v>5.2309999999999999</v>
      </c>
      <c r="AR1991" s="46">
        <v>54</v>
      </c>
      <c r="AS1991" s="46">
        <v>11</v>
      </c>
      <c r="AT1991" s="46">
        <v>5500</v>
      </c>
      <c r="AU1991" s="46">
        <v>29308.3</v>
      </c>
      <c r="AV1991" s="46">
        <v>5.3289999999999997</v>
      </c>
      <c r="AW1991" s="46">
        <v>5</v>
      </c>
      <c r="AX1991" s="46">
        <v>2000</v>
      </c>
      <c r="AY1991" s="46">
        <v>10731.031999999999</v>
      </c>
      <c r="AZ1991" s="46">
        <v>5.3659999999999997</v>
      </c>
      <c r="BA1991" s="46" t="s">
        <v>63</v>
      </c>
      <c r="BB1991" s="46">
        <v>3500</v>
      </c>
      <c r="BC1991" s="46">
        <v>18577.268</v>
      </c>
      <c r="BD1991" s="46">
        <v>5.3079999999999998</v>
      </c>
      <c r="BE1991" s="46">
        <v>74</v>
      </c>
      <c r="BF1991" s="46">
        <v>15961.8</v>
      </c>
      <c r="BG1991" s="46">
        <v>5.32</v>
      </c>
      <c r="BH1991" s="46">
        <v>0</v>
      </c>
      <c r="BJ1991">
        <v>15961.8</v>
      </c>
      <c r="BK1991">
        <v>5.32</v>
      </c>
      <c r="BL1991">
        <v>10.38</v>
      </c>
    </row>
    <row r="1992" spans="1:64" x14ac:dyDescent="0.25">
      <c r="A1992" s="136">
        <v>43111</v>
      </c>
      <c r="B1992" s="201" t="s">
        <v>124</v>
      </c>
      <c r="C1992" t="s">
        <v>125</v>
      </c>
      <c r="D1992">
        <v>100</v>
      </c>
      <c r="E1992">
        <v>100</v>
      </c>
      <c r="F1992">
        <v>-53.579000000000001</v>
      </c>
      <c r="G1992">
        <v>5978.9</v>
      </c>
      <c r="H1992">
        <v>0</v>
      </c>
      <c r="I1992" s="309">
        <v>621</v>
      </c>
      <c r="J1992">
        <v>6.21</v>
      </c>
      <c r="K1992" s="133">
        <v>1.1586227494289501E-3</v>
      </c>
      <c r="L1992" s="181">
        <v>5</v>
      </c>
      <c r="M1992" s="133">
        <v>0</v>
      </c>
      <c r="Y1992" s="193">
        <v>6.2469999999999999</v>
      </c>
      <c r="Z1992" s="193">
        <v>5.194</v>
      </c>
      <c r="AA1992" s="193">
        <v>5.8920000000000003</v>
      </c>
      <c r="AB1992" s="46">
        <v>6.18</v>
      </c>
      <c r="AC1992" s="46">
        <v>6.24</v>
      </c>
      <c r="AD1992" s="46">
        <v>6.14</v>
      </c>
      <c r="AE1992" s="46">
        <v>6.21</v>
      </c>
    </row>
    <row r="1993" spans="1:64" x14ac:dyDescent="0.25">
      <c r="A1993" s="136">
        <v>43111</v>
      </c>
      <c r="B1993" s="201" t="s">
        <v>71</v>
      </c>
      <c r="C1993" t="s">
        <v>126</v>
      </c>
      <c r="D1993">
        <v>1600</v>
      </c>
      <c r="E1993">
        <v>1600</v>
      </c>
      <c r="F1993">
        <v>5.4249999999999998</v>
      </c>
      <c r="G1993">
        <v>2071.2600000000002</v>
      </c>
      <c r="H1993">
        <v>23.87</v>
      </c>
      <c r="I1993" s="309">
        <v>10752</v>
      </c>
      <c r="J1993">
        <v>6.72</v>
      </c>
      <c r="K1993" s="133">
        <v>2.00604054780355E-2</v>
      </c>
      <c r="L1993" s="181">
        <v>244.25</v>
      </c>
      <c r="M1993" s="133">
        <v>1.6195978817838699E-2</v>
      </c>
      <c r="N1993" s="73">
        <v>2311.63</v>
      </c>
      <c r="O1993" s="73">
        <v>312.67647244444402</v>
      </c>
      <c r="P1993" s="182">
        <v>2</v>
      </c>
      <c r="Q1993" s="182">
        <v>1000</v>
      </c>
      <c r="R1993" s="46">
        <v>6.45</v>
      </c>
      <c r="S1993" s="46">
        <v>5</v>
      </c>
      <c r="T1993" s="46">
        <v>2100</v>
      </c>
      <c r="U1993" s="46">
        <v>6.5359999999999996</v>
      </c>
      <c r="V1993" s="46" t="s">
        <v>68</v>
      </c>
      <c r="W1993" s="46">
        <v>1100</v>
      </c>
      <c r="X1993" s="46">
        <v>6.6139999999999999</v>
      </c>
      <c r="Y1993" s="194">
        <v>6.6120000000000001</v>
      </c>
      <c r="Z1993" s="194">
        <v>6.2720000000000002</v>
      </c>
      <c r="AA1993" s="194">
        <v>6.5039999999999996</v>
      </c>
      <c r="AB1993" s="46">
        <v>6.6</v>
      </c>
      <c r="AC1993" s="46">
        <v>6.84</v>
      </c>
      <c r="AD1993" s="46">
        <v>6.59</v>
      </c>
      <c r="AE1993" s="46">
        <v>6.72</v>
      </c>
      <c r="AF1993" s="46">
        <v>39</v>
      </c>
      <c r="AG1993" s="46">
        <v>19600</v>
      </c>
      <c r="AH1993" s="46">
        <v>124862.76</v>
      </c>
      <c r="AI1993" s="46">
        <v>6.3710000000000004</v>
      </c>
      <c r="AJ1993" s="46">
        <v>37</v>
      </c>
      <c r="AK1993" s="46">
        <v>16900</v>
      </c>
      <c r="AL1993" s="46">
        <v>108788.76700000001</v>
      </c>
      <c r="AM1993" s="46">
        <v>6.4370000000000003</v>
      </c>
      <c r="AN1993" s="46" t="s">
        <v>63</v>
      </c>
      <c r="AO1993" s="46">
        <v>2700</v>
      </c>
      <c r="AP1993" s="46">
        <v>16073.993</v>
      </c>
      <c r="AQ1993" s="46">
        <v>5.9530000000000003</v>
      </c>
      <c r="AR1993" s="46">
        <v>1115.4000000000001</v>
      </c>
      <c r="AS1993" s="46">
        <v>41</v>
      </c>
      <c r="AT1993" s="46">
        <v>20600</v>
      </c>
      <c r="AU1993" s="46">
        <v>131323.35999999999</v>
      </c>
      <c r="AV1993" s="46">
        <v>6.375</v>
      </c>
      <c r="AW1993" s="46">
        <v>42</v>
      </c>
      <c r="AX1993" s="46">
        <v>19000</v>
      </c>
      <c r="AY1993" s="46">
        <v>122473.78200000001</v>
      </c>
      <c r="AZ1993" s="46">
        <v>6.4459999999999997</v>
      </c>
      <c r="BA1993" s="46" t="s">
        <v>63</v>
      </c>
      <c r="BB1993" s="46">
        <v>1600</v>
      </c>
      <c r="BC1993" s="46">
        <v>8849.5779999999995</v>
      </c>
      <c r="BD1993" s="46">
        <v>5.5309999999999997</v>
      </c>
      <c r="BE1993" s="46">
        <v>1349</v>
      </c>
      <c r="BF1993" s="46">
        <v>6460.6000000000204</v>
      </c>
      <c r="BG1993" s="46">
        <v>6.46</v>
      </c>
      <c r="BH1993" s="46">
        <v>13685.014999999999</v>
      </c>
      <c r="BI1993">
        <v>6.52</v>
      </c>
      <c r="BJ1993">
        <v>-7224.415</v>
      </c>
      <c r="BK1993">
        <v>-6.57</v>
      </c>
      <c r="BL1993">
        <v>165.98</v>
      </c>
    </row>
    <row r="1994" spans="1:64" x14ac:dyDescent="0.25">
      <c r="A1994" s="136">
        <v>43111</v>
      </c>
      <c r="B1994" s="201" t="s">
        <v>79</v>
      </c>
      <c r="C1994" t="s">
        <v>143</v>
      </c>
      <c r="D1994">
        <v>4700</v>
      </c>
      <c r="E1994">
        <v>4700</v>
      </c>
      <c r="F1994">
        <v>17.062000000000001</v>
      </c>
      <c r="G1994">
        <v>-7433.57</v>
      </c>
      <c r="H1994">
        <v>-9.27</v>
      </c>
      <c r="I1994" s="309">
        <v>72756</v>
      </c>
      <c r="J1994">
        <v>15.48</v>
      </c>
      <c r="K1994" s="133">
        <v>0.13574356965773399</v>
      </c>
      <c r="L1994" s="181">
        <v>282</v>
      </c>
      <c r="M1994" s="133">
        <v>0.149612657115822</v>
      </c>
      <c r="N1994" s="73">
        <v>-6401.2600000000202</v>
      </c>
      <c r="O1994" s="73">
        <v>-407.51970509554297</v>
      </c>
      <c r="P1994" s="182">
        <v>8</v>
      </c>
      <c r="Q1994" s="182">
        <v>4500</v>
      </c>
      <c r="R1994" s="46">
        <v>17.18</v>
      </c>
      <c r="S1994" s="46">
        <v>0</v>
      </c>
      <c r="T1994" s="46">
        <v>0</v>
      </c>
      <c r="U1994" s="46">
        <v>0</v>
      </c>
      <c r="V1994" s="46" t="s">
        <v>62</v>
      </c>
      <c r="W1994" s="46">
        <v>4500</v>
      </c>
      <c r="X1994" s="46">
        <v>17.18</v>
      </c>
      <c r="Y1994" s="193">
        <v>15.481999999999999</v>
      </c>
      <c r="Z1994" s="194">
        <v>15.552</v>
      </c>
      <c r="AA1994" s="194">
        <v>15.509</v>
      </c>
      <c r="AB1994" s="46">
        <v>15.3</v>
      </c>
      <c r="AC1994" s="46">
        <v>15.57</v>
      </c>
      <c r="AD1994" s="46">
        <v>15.3</v>
      </c>
      <c r="AE1994" s="46">
        <v>15.48</v>
      </c>
      <c r="AF1994" s="46">
        <v>2</v>
      </c>
      <c r="AG1994" s="46">
        <v>1000</v>
      </c>
      <c r="AH1994" s="46">
        <v>15295.6</v>
      </c>
      <c r="AI1994" s="46">
        <v>15.295999999999999</v>
      </c>
      <c r="AJ1994" s="46">
        <v>2</v>
      </c>
      <c r="AK1994" s="46">
        <v>800</v>
      </c>
      <c r="AL1994" s="46">
        <v>12457.04</v>
      </c>
      <c r="AM1994" s="46">
        <v>15.571</v>
      </c>
      <c r="AN1994" s="46" t="s">
        <v>63</v>
      </c>
      <c r="AO1994" s="46">
        <v>200</v>
      </c>
      <c r="AP1994" s="46">
        <v>2838.56</v>
      </c>
      <c r="AQ1994" s="46">
        <v>14.193</v>
      </c>
      <c r="AR1994" s="46">
        <v>220</v>
      </c>
      <c r="AS1994" s="46">
        <v>10</v>
      </c>
      <c r="AT1994" s="46">
        <v>5500</v>
      </c>
      <c r="AU1994" s="46">
        <v>92648.3</v>
      </c>
      <c r="AV1994" s="46">
        <v>16.844999999999999</v>
      </c>
      <c r="AW1994" s="46">
        <v>2</v>
      </c>
      <c r="AX1994" s="46">
        <v>800</v>
      </c>
      <c r="AY1994" s="46">
        <v>12457.04</v>
      </c>
      <c r="AZ1994" s="46">
        <v>15.571</v>
      </c>
      <c r="BA1994" s="46" t="s">
        <v>63</v>
      </c>
      <c r="BB1994" s="46">
        <v>4700</v>
      </c>
      <c r="BC1994" s="46">
        <v>80191.259999999995</v>
      </c>
      <c r="BD1994" s="46">
        <v>17.062000000000001</v>
      </c>
      <c r="BE1994" s="46">
        <v>-1019.2</v>
      </c>
      <c r="BF1994" s="46">
        <v>77352.7</v>
      </c>
      <c r="BG1994" s="46">
        <v>17.190000000000001</v>
      </c>
      <c r="BH1994" s="46">
        <v>0</v>
      </c>
      <c r="BJ1994">
        <v>77352.7</v>
      </c>
      <c r="BK1994">
        <v>17.190000000000001</v>
      </c>
      <c r="BL1994">
        <v>14.21</v>
      </c>
    </row>
    <row r="1995" spans="1:64" x14ac:dyDescent="0.25">
      <c r="A1995" s="136">
        <v>43111</v>
      </c>
      <c r="B1995" s="201" t="s">
        <v>65</v>
      </c>
      <c r="C1995" t="s">
        <v>127</v>
      </c>
      <c r="D1995">
        <v>10400</v>
      </c>
      <c r="E1995">
        <v>10400</v>
      </c>
      <c r="F1995">
        <v>10.071</v>
      </c>
      <c r="G1995">
        <v>15898.25</v>
      </c>
      <c r="H1995">
        <v>15.18</v>
      </c>
      <c r="I1995" s="309">
        <v>120640</v>
      </c>
      <c r="J1995">
        <v>11.6</v>
      </c>
      <c r="K1995" s="133">
        <v>0.22508252575057699</v>
      </c>
      <c r="L1995" s="181">
        <v>-312</v>
      </c>
      <c r="M1995" s="133">
        <v>0.19542057063606999</v>
      </c>
      <c r="N1995" s="73">
        <v>12239.821</v>
      </c>
      <c r="O1995" s="73">
        <v>1416.21902339193</v>
      </c>
      <c r="P1995" s="182">
        <v>0</v>
      </c>
      <c r="Q1995" s="182">
        <v>0</v>
      </c>
      <c r="R1995" s="46">
        <v>0</v>
      </c>
      <c r="S1995" s="46">
        <v>17</v>
      </c>
      <c r="T1995" s="46">
        <v>7200</v>
      </c>
      <c r="U1995" s="46">
        <v>12.407999999999999</v>
      </c>
      <c r="V1995" s="46" t="s">
        <v>68</v>
      </c>
      <c r="W1995" s="46">
        <v>7200</v>
      </c>
      <c r="X1995" s="46">
        <v>12.407999999999999</v>
      </c>
      <c r="Y1995" s="194">
        <v>11.351000000000001</v>
      </c>
      <c r="Z1995" s="194">
        <v>11.297000000000001</v>
      </c>
      <c r="AA1995" s="194">
        <v>11.621</v>
      </c>
      <c r="AB1995" s="46">
        <v>11.67</v>
      </c>
      <c r="AC1995" s="46">
        <v>11.72</v>
      </c>
      <c r="AD1995" s="46">
        <v>11.47</v>
      </c>
      <c r="AE1995" s="46">
        <v>11.6</v>
      </c>
      <c r="AF1995" s="46">
        <v>133</v>
      </c>
      <c r="AG1995" s="46">
        <v>74700</v>
      </c>
      <c r="AH1995" s="46">
        <v>871959.23100000003</v>
      </c>
      <c r="AI1995" s="46">
        <v>11.673</v>
      </c>
      <c r="AJ1995" s="46">
        <v>153</v>
      </c>
      <c r="AK1995" s="46">
        <v>66300</v>
      </c>
      <c r="AL1995" s="46">
        <v>677220.38600000006</v>
      </c>
      <c r="AM1995" s="46">
        <v>10.214</v>
      </c>
      <c r="AN1995" s="46" t="s">
        <v>63</v>
      </c>
      <c r="AO1995" s="46">
        <v>8400</v>
      </c>
      <c r="AP1995" s="46">
        <v>194738.845</v>
      </c>
      <c r="AQ1995" s="46">
        <v>23.183</v>
      </c>
      <c r="AR1995" s="46">
        <v>-96731.7</v>
      </c>
      <c r="AS1995" s="46">
        <v>134</v>
      </c>
      <c r="AT1995" s="46">
        <v>74800</v>
      </c>
      <c r="AU1995" s="46">
        <v>873247.23100000003</v>
      </c>
      <c r="AV1995" s="46">
        <v>11.673999999999999</v>
      </c>
      <c r="AW1995" s="46">
        <v>170</v>
      </c>
      <c r="AX1995" s="46">
        <v>73500</v>
      </c>
      <c r="AY1995" s="46">
        <v>766382.05</v>
      </c>
      <c r="AZ1995" s="46">
        <v>10.427</v>
      </c>
      <c r="BA1995" s="46" t="s">
        <v>63</v>
      </c>
      <c r="BB1995" s="46">
        <v>1300</v>
      </c>
      <c r="BC1995" s="46">
        <v>106865.181</v>
      </c>
      <c r="BD1995" s="46">
        <v>82.203999999999994</v>
      </c>
      <c r="BE1995" s="46">
        <v>-91654.5</v>
      </c>
      <c r="BF1995" s="46">
        <v>1288</v>
      </c>
      <c r="BH1995" s="46">
        <v>89161.664000000106</v>
      </c>
      <c r="BI1995">
        <v>12.38</v>
      </c>
      <c r="BJ1995">
        <v>-87873.664000000004</v>
      </c>
      <c r="BK1995">
        <v>-12.2</v>
      </c>
      <c r="BL1995">
        <v>-8338.94</v>
      </c>
    </row>
    <row r="1996" spans="1:64" x14ac:dyDescent="0.25">
      <c r="A1996" s="136">
        <v>43111</v>
      </c>
      <c r="B1996" s="201" t="s">
        <v>77</v>
      </c>
      <c r="C1996" t="s">
        <v>128</v>
      </c>
      <c r="D1996">
        <v>3800</v>
      </c>
      <c r="E1996">
        <v>3800</v>
      </c>
      <c r="F1996">
        <v>6.0010000000000003</v>
      </c>
      <c r="G1996">
        <v>187.73</v>
      </c>
      <c r="H1996">
        <v>0.82</v>
      </c>
      <c r="I1996" s="309">
        <v>22990</v>
      </c>
      <c r="J1996">
        <v>6.05</v>
      </c>
      <c r="K1996" s="133">
        <v>4.2893296311387399E-2</v>
      </c>
      <c r="L1996" s="181">
        <v>458.58</v>
      </c>
      <c r="M1996" s="133">
        <v>4.2543041482481898E-2</v>
      </c>
      <c r="N1996" s="73">
        <v>-279.21400000000398</v>
      </c>
      <c r="O1996" s="73">
        <v>36.415116666666101</v>
      </c>
      <c r="P1996" s="182">
        <v>7</v>
      </c>
      <c r="Q1996" s="182">
        <v>3500</v>
      </c>
      <c r="R1996" s="46">
        <v>6.7140000000000004</v>
      </c>
      <c r="S1996" s="46">
        <v>2</v>
      </c>
      <c r="T1996" s="46">
        <v>800</v>
      </c>
      <c r="U1996" s="46">
        <v>6.05</v>
      </c>
      <c r="V1996" s="46" t="s">
        <v>62</v>
      </c>
      <c r="W1996" s="46">
        <v>2700</v>
      </c>
      <c r="X1996" s="46">
        <v>6.9109999999999996</v>
      </c>
      <c r="Y1996" s="193">
        <v>6.1109999999999998</v>
      </c>
      <c r="Z1996" s="194">
        <v>5.9569999999999999</v>
      </c>
      <c r="AA1996" s="194">
        <v>6.3949999999999996</v>
      </c>
      <c r="AB1996" s="46">
        <v>5.93</v>
      </c>
      <c r="AC1996" s="46">
        <v>6.18</v>
      </c>
      <c r="AD1996" s="46">
        <v>5.89</v>
      </c>
      <c r="AE1996" s="46">
        <v>6.05</v>
      </c>
      <c r="AF1996" s="46">
        <v>37</v>
      </c>
      <c r="AG1996" s="46">
        <v>18500</v>
      </c>
      <c r="AH1996" s="46">
        <v>136154</v>
      </c>
      <c r="AI1996" s="46">
        <v>7.36</v>
      </c>
      <c r="AJ1996" s="46">
        <v>37</v>
      </c>
      <c r="AK1996" s="46">
        <v>17400</v>
      </c>
      <c r="AL1996" s="46">
        <v>132056.62599999999</v>
      </c>
      <c r="AM1996" s="46">
        <v>7.5890000000000004</v>
      </c>
      <c r="AN1996" s="46" t="s">
        <v>63</v>
      </c>
      <c r="AO1996" s="46">
        <v>1100</v>
      </c>
      <c r="AP1996" s="46">
        <v>4097.3739999999998</v>
      </c>
      <c r="AQ1996" s="46">
        <v>3.7250000000000001</v>
      </c>
      <c r="AR1996" s="46">
        <v>3984.6</v>
      </c>
      <c r="AS1996" s="46">
        <v>44</v>
      </c>
      <c r="AT1996" s="46">
        <v>22000</v>
      </c>
      <c r="AU1996" s="46">
        <v>159689</v>
      </c>
      <c r="AV1996" s="46">
        <v>7.2590000000000003</v>
      </c>
      <c r="AW1996" s="46">
        <v>39</v>
      </c>
      <c r="AX1996" s="46">
        <v>18200</v>
      </c>
      <c r="AY1996" s="46">
        <v>136881.78599999999</v>
      </c>
      <c r="AZ1996" s="46">
        <v>7.5209999999999999</v>
      </c>
      <c r="BA1996" s="46" t="s">
        <v>63</v>
      </c>
      <c r="BB1996" s="46">
        <v>3800</v>
      </c>
      <c r="BC1996" s="46">
        <v>22807.214</v>
      </c>
      <c r="BD1996" s="46">
        <v>6.0019999999999998</v>
      </c>
      <c r="BE1996" s="46">
        <v>4768.3999999999996</v>
      </c>
      <c r="BF1996" s="46">
        <v>23535</v>
      </c>
      <c r="BG1996" s="46">
        <v>6.72</v>
      </c>
      <c r="BH1996" s="46">
        <v>4825.16</v>
      </c>
      <c r="BI1996">
        <v>6.03</v>
      </c>
      <c r="BJ1996">
        <v>18709.84</v>
      </c>
      <c r="BK1996">
        <v>6.93</v>
      </c>
      <c r="BL1996">
        <v>658.61</v>
      </c>
    </row>
    <row r="1997" spans="1:64" x14ac:dyDescent="0.25">
      <c r="A1997" s="136">
        <v>43111</v>
      </c>
      <c r="B1997" s="201" t="s">
        <v>67</v>
      </c>
      <c r="C1997" t="s">
        <v>129</v>
      </c>
      <c r="D1997">
        <v>7850</v>
      </c>
      <c r="E1997">
        <v>7450</v>
      </c>
      <c r="F1997">
        <v>8.6489999999999991</v>
      </c>
      <c r="G1997">
        <v>-544.54</v>
      </c>
      <c r="H1997">
        <v>-0.8</v>
      </c>
      <c r="I1997" s="309">
        <v>67353</v>
      </c>
      <c r="J1997">
        <v>8.58</v>
      </c>
      <c r="K1997" s="133">
        <v>0.125662992016567</v>
      </c>
      <c r="L1997" s="181">
        <v>-549.5</v>
      </c>
      <c r="M1997" s="133">
        <v>0.12667896050605801</v>
      </c>
      <c r="N1997" s="73">
        <v>-703.80300000024704</v>
      </c>
      <c r="O1997" s="73">
        <v>-82.178866647225107</v>
      </c>
      <c r="P1997" s="182">
        <v>3</v>
      </c>
      <c r="Q1997" s="182">
        <v>1500</v>
      </c>
      <c r="R1997" s="46">
        <v>6.7830000000000004</v>
      </c>
      <c r="S1997" s="46">
        <v>1</v>
      </c>
      <c r="T1997" s="46">
        <v>400</v>
      </c>
      <c r="U1997" s="46">
        <v>8.91</v>
      </c>
      <c r="V1997" s="46" t="s">
        <v>62</v>
      </c>
      <c r="W1997" s="46">
        <v>1100</v>
      </c>
      <c r="X1997" s="46">
        <v>6.01</v>
      </c>
      <c r="Y1997" s="194">
        <v>8.5069999999999997</v>
      </c>
      <c r="Z1997" s="194">
        <v>7.7350000000000003</v>
      </c>
      <c r="AA1997" s="194">
        <v>8.6969999999999992</v>
      </c>
      <c r="AB1997" s="46">
        <v>8.65</v>
      </c>
      <c r="AC1997" s="46">
        <v>8.66</v>
      </c>
      <c r="AD1997" s="46">
        <v>8.5</v>
      </c>
      <c r="AE1997" s="46">
        <v>8.58</v>
      </c>
      <c r="AF1997" s="46">
        <v>154</v>
      </c>
      <c r="AG1997" s="46">
        <v>77000</v>
      </c>
      <c r="AH1997" s="46">
        <v>638832</v>
      </c>
      <c r="AI1997" s="46">
        <v>8.2970000000000006</v>
      </c>
      <c r="AJ1997" s="46">
        <v>156</v>
      </c>
      <c r="AK1997" s="46">
        <v>72850</v>
      </c>
      <c r="AL1997" s="46">
        <v>646694.87699999998</v>
      </c>
      <c r="AM1997" s="46">
        <v>8.8770000000000007</v>
      </c>
      <c r="AN1997" s="46" t="s">
        <v>63</v>
      </c>
      <c r="AO1997" s="46">
        <v>4150</v>
      </c>
      <c r="AP1997" s="46">
        <v>7862.8770000000004</v>
      </c>
      <c r="AQ1997" s="46">
        <v>1.895</v>
      </c>
      <c r="AR1997" s="46">
        <v>42253</v>
      </c>
      <c r="AS1997" s="46">
        <v>157</v>
      </c>
      <c r="AT1997" s="46">
        <v>78500</v>
      </c>
      <c r="AU1997" s="46">
        <v>649022</v>
      </c>
      <c r="AV1997" s="46">
        <v>8.2680000000000007</v>
      </c>
      <c r="AW1997" s="46">
        <v>157</v>
      </c>
      <c r="AX1997" s="46">
        <v>73250</v>
      </c>
      <c r="AY1997" s="46">
        <v>650250.31299999997</v>
      </c>
      <c r="AZ1997" s="46">
        <v>8.8770000000000007</v>
      </c>
      <c r="BA1997" s="46" t="s">
        <v>63</v>
      </c>
      <c r="BB1997" s="46">
        <v>5250</v>
      </c>
      <c r="BC1997" s="46">
        <v>1228.3130000000001</v>
      </c>
      <c r="BD1997" s="46">
        <v>0.23400000000000001</v>
      </c>
      <c r="BE1997" s="46">
        <v>44609.25</v>
      </c>
      <c r="BF1997" s="46">
        <v>10190</v>
      </c>
      <c r="BG1997" s="46">
        <v>6.79</v>
      </c>
      <c r="BH1997" s="46">
        <v>3555.4359999999901</v>
      </c>
      <c r="BI1997">
        <v>8.89</v>
      </c>
      <c r="BJ1997">
        <v>-6634.5640000000003</v>
      </c>
      <c r="BK1997">
        <v>-6.03</v>
      </c>
      <c r="BL1997">
        <v>4924.59</v>
      </c>
    </row>
    <row r="1998" spans="1:64" x14ac:dyDescent="0.25">
      <c r="A1998" s="136">
        <v>43111</v>
      </c>
      <c r="B1998" s="201" t="s">
        <v>78</v>
      </c>
      <c r="C1998" t="s">
        <v>142</v>
      </c>
      <c r="D1998">
        <v>1400</v>
      </c>
      <c r="E1998">
        <v>900</v>
      </c>
      <c r="F1998">
        <v>10.151</v>
      </c>
      <c r="G1998">
        <v>-294.77999999999997</v>
      </c>
      <c r="H1998">
        <v>-2.08</v>
      </c>
      <c r="I1998" s="309">
        <v>13916</v>
      </c>
      <c r="J1998">
        <v>9.94</v>
      </c>
      <c r="K1998" s="133">
        <v>2.5963597715061602E-2</v>
      </c>
      <c r="L1998" s="181">
        <v>2</v>
      </c>
      <c r="M1998" s="133">
        <v>2.65135797023026E-2</v>
      </c>
      <c r="N1998" s="73">
        <v>-364.77600000000001</v>
      </c>
      <c r="O1998" s="73">
        <v>-36.864874823053597</v>
      </c>
      <c r="P1998" s="182">
        <v>2</v>
      </c>
      <c r="Q1998" s="182">
        <v>1000</v>
      </c>
      <c r="R1998" s="46">
        <v>10.25</v>
      </c>
      <c r="S1998" s="46">
        <v>0</v>
      </c>
      <c r="T1998" s="46">
        <v>0</v>
      </c>
      <c r="U1998" s="46">
        <v>0</v>
      </c>
      <c r="V1998" s="46" t="s">
        <v>62</v>
      </c>
      <c r="W1998" s="46">
        <v>1000</v>
      </c>
      <c r="X1998" s="46">
        <v>10.25</v>
      </c>
      <c r="Y1998" s="194">
        <v>9.891</v>
      </c>
      <c r="Z1998" s="194">
        <v>10.798</v>
      </c>
      <c r="AA1998" s="194">
        <v>10.81</v>
      </c>
      <c r="AB1998" s="46">
        <v>9.9499999999999993</v>
      </c>
      <c r="AC1998" s="46">
        <v>10</v>
      </c>
      <c r="AD1998" s="46">
        <v>9.86</v>
      </c>
      <c r="AE1998" s="46">
        <v>9.94</v>
      </c>
      <c r="AF1998" s="46">
        <v>4</v>
      </c>
      <c r="AG1998" s="46">
        <v>2000</v>
      </c>
      <c r="AH1998" s="46">
        <v>20690</v>
      </c>
      <c r="AI1998" s="46">
        <v>10.345000000000001</v>
      </c>
      <c r="AJ1998" s="46">
        <v>4</v>
      </c>
      <c r="AK1998" s="46">
        <v>1600</v>
      </c>
      <c r="AL1998" s="46">
        <v>16739.223999999998</v>
      </c>
      <c r="AM1998" s="46">
        <v>10.462</v>
      </c>
      <c r="AN1998" s="46" t="s">
        <v>63</v>
      </c>
      <c r="AO1998" s="46">
        <v>400</v>
      </c>
      <c r="AP1998" s="46">
        <v>3950.7759999999998</v>
      </c>
      <c r="AQ1998" s="46">
        <v>9.8770000000000007</v>
      </c>
      <c r="AR1998" s="46">
        <v>187.2</v>
      </c>
      <c r="AS1998" s="46">
        <v>6</v>
      </c>
      <c r="AT1998" s="46">
        <v>3000</v>
      </c>
      <c r="AU1998" s="46">
        <v>30950</v>
      </c>
      <c r="AV1998" s="46">
        <v>10.317</v>
      </c>
      <c r="AW1998" s="46">
        <v>4</v>
      </c>
      <c r="AX1998" s="46">
        <v>1600</v>
      </c>
      <c r="AY1998" s="46">
        <v>16739.223999999998</v>
      </c>
      <c r="AZ1998" s="46">
        <v>10.462</v>
      </c>
      <c r="BA1998" s="46" t="s">
        <v>63</v>
      </c>
      <c r="BB1998" s="46">
        <v>1400</v>
      </c>
      <c r="BC1998" s="46">
        <v>14210.776</v>
      </c>
      <c r="BD1998" s="46">
        <v>10.151</v>
      </c>
      <c r="BE1998" s="46">
        <v>232</v>
      </c>
      <c r="BF1998" s="46">
        <v>10260</v>
      </c>
      <c r="BG1998" s="46">
        <v>10.26</v>
      </c>
      <c r="BH1998" s="46">
        <v>0</v>
      </c>
      <c r="BJ1998">
        <v>10260</v>
      </c>
      <c r="BK1998">
        <v>10.26</v>
      </c>
      <c r="BL1998">
        <v>18.829999999999998</v>
      </c>
    </row>
    <row r="1999" spans="1:64" x14ac:dyDescent="0.25">
      <c r="A1999" s="136">
        <v>43111</v>
      </c>
      <c r="B1999" s="201" t="s">
        <v>72</v>
      </c>
      <c r="C1999" t="s">
        <v>130</v>
      </c>
      <c r="D1999">
        <v>1400</v>
      </c>
      <c r="E1999">
        <v>1400</v>
      </c>
      <c r="F1999">
        <v>7.0620000000000003</v>
      </c>
      <c r="G1999">
        <v>179.25</v>
      </c>
      <c r="H1999">
        <v>1.81</v>
      </c>
      <c r="I1999" s="309">
        <v>10066</v>
      </c>
      <c r="J1999">
        <v>7.19</v>
      </c>
      <c r="K1999" s="133">
        <v>1.8780509816025401E-2</v>
      </c>
      <c r="L1999" s="181">
        <v>84</v>
      </c>
      <c r="M1999" s="133">
        <v>1.8446076437869E-2</v>
      </c>
      <c r="N1999" s="73">
        <v>-14.471999999991599</v>
      </c>
      <c r="O1999" s="73">
        <v>28.728762968102799</v>
      </c>
      <c r="P1999" s="182">
        <v>0</v>
      </c>
      <c r="Q1999" s="182">
        <v>0</v>
      </c>
      <c r="R1999" s="46">
        <v>0</v>
      </c>
      <c r="S1999" s="46">
        <v>14</v>
      </c>
      <c r="T1999" s="46">
        <v>5800</v>
      </c>
      <c r="U1999" s="46">
        <v>8.0709999999999997</v>
      </c>
      <c r="V1999" s="46" t="s">
        <v>68</v>
      </c>
      <c r="W1999" s="46">
        <v>5800</v>
      </c>
      <c r="X1999" s="46">
        <v>8.0709999999999997</v>
      </c>
      <c r="Y1999" s="193">
        <v>7.2380000000000004</v>
      </c>
      <c r="Z1999" s="194">
        <v>7.0439999999999996</v>
      </c>
      <c r="AA1999" s="194">
        <v>7.1340000000000003</v>
      </c>
      <c r="AB1999" s="46">
        <v>7.13</v>
      </c>
      <c r="AC1999" s="46">
        <v>7.2</v>
      </c>
      <c r="AD1999" s="46">
        <v>7.04</v>
      </c>
      <c r="AE1999" s="46">
        <v>7.19</v>
      </c>
      <c r="AF1999" s="46">
        <v>24</v>
      </c>
      <c r="AG1999" s="46">
        <v>12000</v>
      </c>
      <c r="AH1999" s="46">
        <v>95230</v>
      </c>
      <c r="AI1999" s="46">
        <v>7.9359999999999999</v>
      </c>
      <c r="AJ1999" s="46">
        <v>24</v>
      </c>
      <c r="AK1999" s="46">
        <v>11400</v>
      </c>
      <c r="AL1999" s="46">
        <v>39378.527000000002</v>
      </c>
      <c r="AM1999" s="46">
        <v>3.4540000000000002</v>
      </c>
      <c r="AN1999" s="46" t="s">
        <v>63</v>
      </c>
      <c r="AO1999" s="46">
        <v>600</v>
      </c>
      <c r="AP1999" s="46">
        <v>55851.472999999998</v>
      </c>
      <c r="AQ1999" s="46">
        <v>93.085999999999999</v>
      </c>
      <c r="AR1999" s="46">
        <v>-51094.8</v>
      </c>
      <c r="AS1999" s="46">
        <v>24</v>
      </c>
      <c r="AT1999" s="46">
        <v>12000</v>
      </c>
      <c r="AU1999" s="46">
        <v>95230</v>
      </c>
      <c r="AV1999" s="46">
        <v>7.9359999999999999</v>
      </c>
      <c r="AW1999" s="46">
        <v>39</v>
      </c>
      <c r="AX1999" s="46">
        <v>17700</v>
      </c>
      <c r="AY1999" s="46">
        <v>86075.713000000003</v>
      </c>
      <c r="AZ1999" s="46">
        <v>4.8630000000000004</v>
      </c>
      <c r="BA1999" s="46" t="s">
        <v>69</v>
      </c>
      <c r="BB1999" s="46">
        <v>5700</v>
      </c>
      <c r="BC1999" s="46">
        <v>9154.2870000000003</v>
      </c>
      <c r="BD1999" s="46">
        <v>1.6060000000000001</v>
      </c>
      <c r="BE1999" s="46">
        <v>-36876</v>
      </c>
      <c r="BF1999" s="46">
        <v>0</v>
      </c>
      <c r="BH1999" s="46">
        <v>46697.186000000002</v>
      </c>
      <c r="BI1999">
        <v>8.0500000000000007</v>
      </c>
      <c r="BJ1999">
        <v>-46697.186000000002</v>
      </c>
      <c r="BK1999">
        <v>-8.0500000000000007</v>
      </c>
      <c r="BL1999">
        <v>-7106.37</v>
      </c>
    </row>
    <row r="2000" spans="1:64" x14ac:dyDescent="0.25">
      <c r="A2000" s="136">
        <v>43111</v>
      </c>
      <c r="B2000" s="201" t="s">
        <v>70</v>
      </c>
      <c r="C2000" t="s">
        <v>131</v>
      </c>
      <c r="D2000">
        <v>8800</v>
      </c>
      <c r="E2000">
        <v>8800</v>
      </c>
      <c r="F2000">
        <v>12.388</v>
      </c>
      <c r="G2000">
        <v>-7640.88</v>
      </c>
      <c r="H2000">
        <v>-7.01</v>
      </c>
      <c r="I2000" s="309">
        <v>101376</v>
      </c>
      <c r="J2000">
        <v>11.52</v>
      </c>
      <c r="K2000" s="133">
        <v>0.18914096593576399</v>
      </c>
      <c r="L2000" s="181">
        <v>-616</v>
      </c>
      <c r="M2000" s="133">
        <v>0.20339683935550101</v>
      </c>
      <c r="N2000" s="73">
        <v>-7111.8700000000199</v>
      </c>
      <c r="O2000" s="73">
        <v>-613.84404706390501</v>
      </c>
      <c r="P2000" s="182">
        <v>0</v>
      </c>
      <c r="Q2000" s="182">
        <v>0</v>
      </c>
      <c r="R2000" s="46">
        <v>0</v>
      </c>
      <c r="S2000" s="46">
        <v>7</v>
      </c>
      <c r="T2000" s="46">
        <v>2800</v>
      </c>
      <c r="U2000" s="46">
        <v>12.629</v>
      </c>
      <c r="V2000" s="46" t="s">
        <v>68</v>
      </c>
      <c r="W2000" s="46">
        <v>2800</v>
      </c>
      <c r="X2000" s="46">
        <v>12.629</v>
      </c>
      <c r="Y2000" s="194">
        <v>11.28</v>
      </c>
      <c r="Z2000" s="194">
        <v>12.3</v>
      </c>
      <c r="AA2000" s="194">
        <v>12.131</v>
      </c>
      <c r="AB2000" s="46">
        <v>11.49</v>
      </c>
      <c r="AC2000" s="46">
        <v>11.56</v>
      </c>
      <c r="AD2000" s="46">
        <v>11.35</v>
      </c>
      <c r="AE2000" s="46">
        <v>11.52</v>
      </c>
      <c r="AF2000" s="46">
        <v>122</v>
      </c>
      <c r="AG2000" s="46">
        <v>60600</v>
      </c>
      <c r="AH2000" s="46">
        <v>820933</v>
      </c>
      <c r="AI2000" s="46">
        <v>13.547000000000001</v>
      </c>
      <c r="AJ2000" s="46">
        <v>122</v>
      </c>
      <c r="AK2000" s="46">
        <v>49000</v>
      </c>
      <c r="AL2000" s="46">
        <v>676222.49</v>
      </c>
      <c r="AM2000" s="46">
        <v>13.8</v>
      </c>
      <c r="AN2000" s="46" t="s">
        <v>63</v>
      </c>
      <c r="AO2000" s="46">
        <v>11600</v>
      </c>
      <c r="AP2000" s="46">
        <v>144710.51</v>
      </c>
      <c r="AQ2000" s="46">
        <v>12.475</v>
      </c>
      <c r="AR2000" s="46">
        <v>12397</v>
      </c>
      <c r="AS2000" s="46">
        <v>122</v>
      </c>
      <c r="AT2000" s="46">
        <v>60600</v>
      </c>
      <c r="AU2000" s="46">
        <v>820933</v>
      </c>
      <c r="AV2000" s="46">
        <v>13.547000000000001</v>
      </c>
      <c r="AW2000" s="46">
        <v>130</v>
      </c>
      <c r="AX2000" s="46">
        <v>51800</v>
      </c>
      <c r="AY2000" s="46">
        <v>711917.13</v>
      </c>
      <c r="AZ2000" s="46">
        <v>13.744</v>
      </c>
      <c r="BA2000" s="46" t="s">
        <v>63</v>
      </c>
      <c r="BB2000" s="46">
        <v>8800</v>
      </c>
      <c r="BC2000" s="46">
        <v>109015.87</v>
      </c>
      <c r="BD2000" s="46">
        <v>12.388</v>
      </c>
      <c r="BE2000" s="46">
        <v>10204.6</v>
      </c>
      <c r="BF2000" s="46">
        <v>0</v>
      </c>
      <c r="BH2000" s="46">
        <v>35694.639999999898</v>
      </c>
      <c r="BI2000">
        <v>12.75</v>
      </c>
      <c r="BJ2000">
        <v>-35694.639999999999</v>
      </c>
      <c r="BK2000">
        <v>-12.75</v>
      </c>
      <c r="BL2000">
        <v>1076.1300000000001</v>
      </c>
    </row>
    <row r="2001" spans="1:64" x14ac:dyDescent="0.25">
      <c r="A2001" s="136">
        <v>43111</v>
      </c>
      <c r="B2001" s="201" t="s">
        <v>146</v>
      </c>
      <c r="C2001" t="s">
        <v>147</v>
      </c>
      <c r="D2001">
        <v>40</v>
      </c>
      <c r="E2001">
        <v>40</v>
      </c>
      <c r="F2001">
        <v>100</v>
      </c>
      <c r="G2001">
        <v>0</v>
      </c>
      <c r="H2001">
        <v>0</v>
      </c>
      <c r="I2001" s="309">
        <v>4000</v>
      </c>
      <c r="J2001">
        <v>0</v>
      </c>
      <c r="K2001" s="133">
        <v>7.4629484665310704E-3</v>
      </c>
      <c r="L2001" s="181">
        <v>0</v>
      </c>
      <c r="M2001" s="133">
        <v>7.4629484665310704E-3</v>
      </c>
    </row>
    <row r="2002" spans="1:64" x14ac:dyDescent="0.25">
      <c r="A2002" s="136">
        <v>43111</v>
      </c>
      <c r="B2002" s="201" t="s">
        <v>137</v>
      </c>
      <c r="C2002" t="s">
        <v>138</v>
      </c>
      <c r="D2002">
        <v>100</v>
      </c>
      <c r="E2002">
        <v>100</v>
      </c>
      <c r="F2002">
        <v>-130.48500000000001</v>
      </c>
      <c r="G2002">
        <v>16966.5</v>
      </c>
      <c r="H2002">
        <v>0</v>
      </c>
      <c r="I2002" s="309">
        <v>3918</v>
      </c>
      <c r="J2002">
        <v>39.18</v>
      </c>
      <c r="K2002" s="133">
        <v>7.3099580229671899E-3</v>
      </c>
      <c r="L2002" s="181">
        <v>210</v>
      </c>
      <c r="M2002" s="133">
        <v>0</v>
      </c>
    </row>
    <row r="2003" spans="1:64" x14ac:dyDescent="0.25">
      <c r="A2003" s="136">
        <v>43111</v>
      </c>
      <c r="B2003" s="201" t="s">
        <v>835</v>
      </c>
      <c r="C2003" t="s">
        <v>839</v>
      </c>
      <c r="I2003" s="309">
        <v>9393.19</v>
      </c>
      <c r="K2003" s="133">
        <v>1.75252232265838E-2</v>
      </c>
      <c r="L2003" s="181">
        <v>0</v>
      </c>
      <c r="M2003" s="133">
        <v>0.166784192557205</v>
      </c>
    </row>
    <row r="2004" spans="1:64" x14ac:dyDescent="0.25">
      <c r="A2004" s="136">
        <v>43112</v>
      </c>
      <c r="B2004" s="201" t="s">
        <v>132</v>
      </c>
      <c r="C2004" t="s">
        <v>123</v>
      </c>
      <c r="D2004">
        <v>8000692</v>
      </c>
      <c r="E2004">
        <v>8000692</v>
      </c>
      <c r="F2004">
        <v>0.01</v>
      </c>
      <c r="G2004">
        <v>2761.48</v>
      </c>
      <c r="H2004">
        <v>0</v>
      </c>
      <c r="I2004" s="309">
        <v>80006.92</v>
      </c>
      <c r="J2004">
        <v>0.01</v>
      </c>
      <c r="K2004" s="133">
        <v>0.149333368174772</v>
      </c>
      <c r="L2004" s="181">
        <v>6.9200000000000701</v>
      </c>
      <c r="M2004" s="133">
        <v>0</v>
      </c>
    </row>
    <row r="2005" spans="1:64" x14ac:dyDescent="0.25">
      <c r="A2005" s="136">
        <v>43112</v>
      </c>
      <c r="B2005" s="201" t="s">
        <v>61</v>
      </c>
      <c r="C2005" t="s">
        <v>136</v>
      </c>
      <c r="D2005">
        <v>3500</v>
      </c>
      <c r="E2005">
        <v>3500</v>
      </c>
      <c r="F2005">
        <v>5.3070000000000004</v>
      </c>
      <c r="G2005">
        <v>-408.52</v>
      </c>
      <c r="H2005">
        <v>-2.2000000000000002</v>
      </c>
      <c r="I2005" s="309">
        <v>18165</v>
      </c>
      <c r="J2005">
        <v>5.19</v>
      </c>
      <c r="K2005" s="133">
        <v>3.3905075122186101E-2</v>
      </c>
      <c r="L2005" s="181">
        <v>-35</v>
      </c>
      <c r="M2005" s="133">
        <v>3.4667580010097801E-2</v>
      </c>
      <c r="N2005" s="73">
        <v>-587.26800000000003</v>
      </c>
      <c r="O2005" s="73">
        <v>-114.19734747081699</v>
      </c>
      <c r="P2005" s="182">
        <v>6</v>
      </c>
      <c r="Q2005" s="182">
        <v>3000</v>
      </c>
      <c r="R2005" s="46">
        <v>5.31</v>
      </c>
      <c r="S2005" s="46">
        <v>0</v>
      </c>
      <c r="T2005" s="46">
        <v>0</v>
      </c>
      <c r="U2005" s="46">
        <v>0</v>
      </c>
      <c r="V2005" s="46" t="s">
        <v>62</v>
      </c>
      <c r="W2005" s="46">
        <v>3000</v>
      </c>
      <c r="X2005" s="46">
        <v>5.31</v>
      </c>
      <c r="Y2005" s="194">
        <v>5.173</v>
      </c>
      <c r="Z2005" s="194">
        <v>5.0590000000000002</v>
      </c>
      <c r="AA2005" s="194">
        <v>5.1539999999999999</v>
      </c>
      <c r="AB2005" s="46">
        <v>5.2</v>
      </c>
      <c r="AC2005" s="46">
        <v>5.2</v>
      </c>
      <c r="AD2005" s="46">
        <v>5.17</v>
      </c>
      <c r="AE2005" s="46">
        <v>5.19</v>
      </c>
      <c r="AF2005" s="46">
        <v>5</v>
      </c>
      <c r="AG2005" s="46">
        <v>2500</v>
      </c>
      <c r="AH2005" s="46">
        <v>13346.5</v>
      </c>
      <c r="AI2005" s="46">
        <v>5.3390000000000004</v>
      </c>
      <c r="AJ2005" s="46">
        <v>5</v>
      </c>
      <c r="AK2005" s="46">
        <v>2000</v>
      </c>
      <c r="AL2005" s="46">
        <v>10731.031999999999</v>
      </c>
      <c r="AM2005" s="46">
        <v>5.3659999999999997</v>
      </c>
      <c r="AN2005" s="46" t="s">
        <v>63</v>
      </c>
      <c r="AO2005" s="46">
        <v>500</v>
      </c>
      <c r="AP2005" s="46">
        <v>2615.4679999999998</v>
      </c>
      <c r="AQ2005" s="46">
        <v>5.2309999999999999</v>
      </c>
      <c r="AR2005" s="46">
        <v>54</v>
      </c>
      <c r="AS2005" s="46">
        <v>11</v>
      </c>
      <c r="AT2005" s="46">
        <v>5500</v>
      </c>
      <c r="AU2005" s="46">
        <v>29308.3</v>
      </c>
      <c r="AV2005" s="46">
        <v>5.3289999999999997</v>
      </c>
      <c r="AW2005" s="46">
        <v>5</v>
      </c>
      <c r="AX2005" s="46">
        <v>2000</v>
      </c>
      <c r="AY2005" s="46">
        <v>10731.031999999999</v>
      </c>
      <c r="AZ2005" s="46">
        <v>5.3659999999999997</v>
      </c>
      <c r="BA2005" s="46" t="s">
        <v>63</v>
      </c>
      <c r="BB2005" s="46">
        <v>3500</v>
      </c>
      <c r="BC2005" s="46">
        <v>18577.268</v>
      </c>
      <c r="BD2005" s="46">
        <v>5.3079999999999998</v>
      </c>
      <c r="BE2005" s="46">
        <v>74</v>
      </c>
      <c r="BF2005" s="46">
        <v>15961.8</v>
      </c>
      <c r="BG2005" s="46">
        <v>5.32</v>
      </c>
      <c r="BH2005" s="46">
        <v>0</v>
      </c>
      <c r="BJ2005">
        <v>15961.8</v>
      </c>
      <c r="BK2005">
        <v>5.32</v>
      </c>
      <c r="BL2005">
        <v>10.4</v>
      </c>
    </row>
    <row r="2006" spans="1:64" x14ac:dyDescent="0.25">
      <c r="A2006" s="136">
        <v>43112</v>
      </c>
      <c r="B2006" s="201" t="s">
        <v>124</v>
      </c>
      <c r="C2006" t="s">
        <v>125</v>
      </c>
      <c r="D2006">
        <v>100</v>
      </c>
      <c r="E2006">
        <v>100</v>
      </c>
      <c r="F2006">
        <v>-53.579000000000001</v>
      </c>
      <c r="G2006">
        <v>5982.9</v>
      </c>
      <c r="H2006">
        <v>0</v>
      </c>
      <c r="I2006" s="309">
        <v>625</v>
      </c>
      <c r="J2006">
        <v>6.25</v>
      </c>
      <c r="K2006" s="133">
        <v>1.1665660309037301E-3</v>
      </c>
      <c r="L2006" s="181">
        <v>4</v>
      </c>
      <c r="M2006" s="133">
        <v>0</v>
      </c>
      <c r="Y2006" s="193">
        <v>6.2389999999999999</v>
      </c>
      <c r="Z2006" s="193">
        <v>5.258</v>
      </c>
      <c r="AA2006" s="193">
        <v>5.8949999999999996</v>
      </c>
      <c r="AB2006" s="46">
        <v>6.2</v>
      </c>
      <c r="AC2006" s="46">
        <v>6.3</v>
      </c>
      <c r="AD2006" s="46">
        <v>6.2</v>
      </c>
      <c r="AE2006" s="46">
        <v>6.25</v>
      </c>
    </row>
    <row r="2007" spans="1:64" x14ac:dyDescent="0.25">
      <c r="A2007" s="136">
        <v>43112</v>
      </c>
      <c r="B2007" s="201" t="s">
        <v>71</v>
      </c>
      <c r="C2007" t="s">
        <v>126</v>
      </c>
      <c r="D2007">
        <v>800</v>
      </c>
      <c r="E2007">
        <v>800</v>
      </c>
      <c r="F2007">
        <v>3.99</v>
      </c>
      <c r="G2007">
        <v>2287.65</v>
      </c>
      <c r="H2007">
        <v>71.680000000000007</v>
      </c>
      <c r="I2007" s="309">
        <v>5480</v>
      </c>
      <c r="J2007">
        <v>6.85</v>
      </c>
      <c r="K2007" s="133">
        <v>1.02284509589639E-2</v>
      </c>
      <c r="L2007" s="181">
        <v>216.39</v>
      </c>
      <c r="M2007" s="133">
        <v>5.9585393100088603E-3</v>
      </c>
      <c r="N2007" s="73">
        <v>2431.5819999999999</v>
      </c>
      <c r="O2007" s="73">
        <v>337.83938943560003</v>
      </c>
      <c r="P2007" s="182">
        <v>2</v>
      </c>
      <c r="Q2007" s="182">
        <v>1000</v>
      </c>
      <c r="R2007" s="46">
        <v>6.45</v>
      </c>
      <c r="S2007" s="46">
        <v>7</v>
      </c>
      <c r="T2007" s="46">
        <v>2900</v>
      </c>
      <c r="U2007" s="46">
        <v>6.6310000000000002</v>
      </c>
      <c r="V2007" s="46" t="s">
        <v>68</v>
      </c>
      <c r="W2007" s="46">
        <v>1900</v>
      </c>
      <c r="X2007" s="46">
        <v>6.726</v>
      </c>
      <c r="Y2007" s="193">
        <v>7.4130000000000003</v>
      </c>
      <c r="Z2007" s="194">
        <v>6.2649999999999997</v>
      </c>
      <c r="AA2007" s="194">
        <v>6.5110000000000001</v>
      </c>
      <c r="AB2007" s="46">
        <v>6.69</v>
      </c>
      <c r="AC2007" s="46">
        <v>6.95</v>
      </c>
      <c r="AD2007" s="46">
        <v>6.67</v>
      </c>
      <c r="AE2007" s="46">
        <v>6.85</v>
      </c>
      <c r="AF2007" s="46">
        <v>39</v>
      </c>
      <c r="AG2007" s="46">
        <v>19600</v>
      </c>
      <c r="AH2007" s="46">
        <v>124862.76</v>
      </c>
      <c r="AI2007" s="46">
        <v>6.3710000000000004</v>
      </c>
      <c r="AJ2007" s="46">
        <v>37</v>
      </c>
      <c r="AK2007" s="46">
        <v>16900</v>
      </c>
      <c r="AL2007" s="46">
        <v>108788.76700000001</v>
      </c>
      <c r="AM2007" s="46">
        <v>6.4370000000000003</v>
      </c>
      <c r="AN2007" s="46" t="s">
        <v>63</v>
      </c>
      <c r="AO2007" s="46">
        <v>2700</v>
      </c>
      <c r="AP2007" s="46">
        <v>16073.993</v>
      </c>
      <c r="AQ2007" s="46">
        <v>5.9530000000000003</v>
      </c>
      <c r="AR2007" s="46">
        <v>1115.4000000000001</v>
      </c>
      <c r="AS2007" s="46">
        <v>41</v>
      </c>
      <c r="AT2007" s="46">
        <v>20600</v>
      </c>
      <c r="AU2007" s="46">
        <v>131323.35999999999</v>
      </c>
      <c r="AV2007" s="46">
        <v>6.375</v>
      </c>
      <c r="AW2007" s="46">
        <v>44</v>
      </c>
      <c r="AX2007" s="46">
        <v>19800</v>
      </c>
      <c r="AY2007" s="46">
        <v>127969.798</v>
      </c>
      <c r="AZ2007" s="46">
        <v>6.4630000000000001</v>
      </c>
      <c r="BA2007" s="46" t="s">
        <v>63</v>
      </c>
      <c r="BB2007" s="46">
        <v>800</v>
      </c>
      <c r="BC2007" s="46">
        <v>3353.5619999999999</v>
      </c>
      <c r="BD2007" s="46">
        <v>4.1920000000000002</v>
      </c>
      <c r="BE2007" s="46">
        <v>1742.4</v>
      </c>
      <c r="BF2007" s="46">
        <v>6460.6000000000204</v>
      </c>
      <c r="BG2007" s="46">
        <v>6.46</v>
      </c>
      <c r="BH2007" s="46">
        <v>19181.030999999999</v>
      </c>
      <c r="BI2007">
        <v>6.61</v>
      </c>
      <c r="BJ2007">
        <v>-12720.431</v>
      </c>
      <c r="BK2007">
        <v>-6.69</v>
      </c>
      <c r="BL2007">
        <v>162.83000000000001</v>
      </c>
    </row>
    <row r="2008" spans="1:64" x14ac:dyDescent="0.25">
      <c r="A2008" s="136">
        <v>43112</v>
      </c>
      <c r="B2008" s="201" t="s">
        <v>79</v>
      </c>
      <c r="C2008" t="s">
        <v>143</v>
      </c>
      <c r="D2008">
        <v>4700</v>
      </c>
      <c r="E2008">
        <v>4700</v>
      </c>
      <c r="F2008">
        <v>17.062000000000001</v>
      </c>
      <c r="G2008">
        <v>-7386.57</v>
      </c>
      <c r="H2008">
        <v>-9.2100000000000009</v>
      </c>
      <c r="I2008" s="309">
        <v>72803</v>
      </c>
      <c r="J2008">
        <v>15.49</v>
      </c>
      <c r="K2008" s="133">
        <v>0.135887210796615</v>
      </c>
      <c r="L2008" s="181">
        <v>47</v>
      </c>
      <c r="M2008" s="133">
        <v>0.14967428543164299</v>
      </c>
      <c r="N2008" s="73">
        <v>-6401.2600000000202</v>
      </c>
      <c r="O2008" s="73">
        <v>-407.51970509554297</v>
      </c>
      <c r="P2008" s="182">
        <v>8</v>
      </c>
      <c r="Q2008" s="182">
        <v>4500</v>
      </c>
      <c r="R2008" s="46">
        <v>17.18</v>
      </c>
      <c r="S2008" s="46">
        <v>0</v>
      </c>
      <c r="T2008" s="46">
        <v>0</v>
      </c>
      <c r="U2008" s="46">
        <v>0</v>
      </c>
      <c r="V2008" s="46" t="s">
        <v>62</v>
      </c>
      <c r="W2008" s="46">
        <v>4500</v>
      </c>
      <c r="X2008" s="46">
        <v>17.18</v>
      </c>
      <c r="Y2008" s="194">
        <v>15.478999999999999</v>
      </c>
      <c r="Z2008" s="194">
        <v>15.548</v>
      </c>
      <c r="AA2008" s="194">
        <v>15.510999999999999</v>
      </c>
      <c r="AB2008" s="46">
        <v>15.46</v>
      </c>
      <c r="AC2008" s="46">
        <v>15.63</v>
      </c>
      <c r="AD2008" s="46">
        <v>15.43</v>
      </c>
      <c r="AE2008" s="46">
        <v>15.49</v>
      </c>
      <c r="AF2008" s="46">
        <v>2</v>
      </c>
      <c r="AG2008" s="46">
        <v>1000</v>
      </c>
      <c r="AH2008" s="46">
        <v>15295.6</v>
      </c>
      <c r="AI2008" s="46">
        <v>15.295999999999999</v>
      </c>
      <c r="AJ2008" s="46">
        <v>2</v>
      </c>
      <c r="AK2008" s="46">
        <v>800</v>
      </c>
      <c r="AL2008" s="46">
        <v>12457.04</v>
      </c>
      <c r="AM2008" s="46">
        <v>15.571</v>
      </c>
      <c r="AN2008" s="46" t="s">
        <v>63</v>
      </c>
      <c r="AO2008" s="46">
        <v>200</v>
      </c>
      <c r="AP2008" s="46">
        <v>2838.56</v>
      </c>
      <c r="AQ2008" s="46">
        <v>14.193</v>
      </c>
      <c r="AR2008" s="46">
        <v>220</v>
      </c>
      <c r="AS2008" s="46">
        <v>10</v>
      </c>
      <c r="AT2008" s="46">
        <v>5500</v>
      </c>
      <c r="AU2008" s="46">
        <v>92648.3</v>
      </c>
      <c r="AV2008" s="46">
        <v>16.844999999999999</v>
      </c>
      <c r="AW2008" s="46">
        <v>2</v>
      </c>
      <c r="AX2008" s="46">
        <v>800</v>
      </c>
      <c r="AY2008" s="46">
        <v>12457.04</v>
      </c>
      <c r="AZ2008" s="46">
        <v>15.571</v>
      </c>
      <c r="BA2008" s="46" t="s">
        <v>63</v>
      </c>
      <c r="BB2008" s="46">
        <v>4700</v>
      </c>
      <c r="BC2008" s="46">
        <v>80191.259999999995</v>
      </c>
      <c r="BD2008" s="46">
        <v>17.062000000000001</v>
      </c>
      <c r="BE2008" s="46">
        <v>-1019.2</v>
      </c>
      <c r="BF2008" s="46">
        <v>77352.7</v>
      </c>
      <c r="BG2008" s="46">
        <v>17.190000000000001</v>
      </c>
      <c r="BH2008" s="46">
        <v>0</v>
      </c>
      <c r="BJ2008">
        <v>77352.7</v>
      </c>
      <c r="BK2008">
        <v>17.190000000000001</v>
      </c>
      <c r="BL2008">
        <v>14.2</v>
      </c>
    </row>
    <row r="2009" spans="1:64" x14ac:dyDescent="0.25">
      <c r="A2009" s="136">
        <v>43112</v>
      </c>
      <c r="B2009" s="201" t="s">
        <v>65</v>
      </c>
      <c r="C2009" t="s">
        <v>127</v>
      </c>
      <c r="D2009">
        <v>10100</v>
      </c>
      <c r="E2009">
        <v>9600</v>
      </c>
      <c r="F2009">
        <v>10.009</v>
      </c>
      <c r="G2009">
        <v>17380.73</v>
      </c>
      <c r="H2009">
        <v>17.2</v>
      </c>
      <c r="I2009" s="309">
        <v>118473</v>
      </c>
      <c r="J2009">
        <v>11.73</v>
      </c>
      <c r="K2009" s="133">
        <v>0.221130523806813</v>
      </c>
      <c r="L2009" s="181">
        <v>1482.48</v>
      </c>
      <c r="M2009" s="133">
        <v>0.18868929307031801</v>
      </c>
      <c r="N2009" s="73">
        <v>12795.297</v>
      </c>
      <c r="O2009" s="73">
        <v>1458.83009185896</v>
      </c>
      <c r="P2009" s="182">
        <v>0</v>
      </c>
      <c r="Q2009" s="182">
        <v>0</v>
      </c>
      <c r="R2009" s="46">
        <v>0</v>
      </c>
      <c r="S2009" s="46">
        <v>18</v>
      </c>
      <c r="T2009" s="46">
        <v>7600</v>
      </c>
      <c r="U2009" s="46">
        <v>12.385</v>
      </c>
      <c r="V2009" s="46" t="s">
        <v>68</v>
      </c>
      <c r="W2009" s="46">
        <v>7600</v>
      </c>
      <c r="X2009" s="46">
        <v>12.385</v>
      </c>
      <c r="Y2009" s="193">
        <v>11.869</v>
      </c>
      <c r="Z2009" s="194">
        <v>11.294</v>
      </c>
      <c r="AA2009" s="194">
        <v>11.625999999999999</v>
      </c>
      <c r="AB2009" s="46">
        <v>11.58</v>
      </c>
      <c r="AC2009" s="46">
        <v>11.99</v>
      </c>
      <c r="AD2009" s="46">
        <v>11.58</v>
      </c>
      <c r="AE2009" s="46">
        <v>11.73</v>
      </c>
      <c r="AF2009" s="46">
        <v>134</v>
      </c>
      <c r="AG2009" s="46">
        <v>75200</v>
      </c>
      <c r="AH2009" s="46">
        <v>877814.23100000003</v>
      </c>
      <c r="AI2009" s="46">
        <v>11.673</v>
      </c>
      <c r="AJ2009" s="46">
        <v>154</v>
      </c>
      <c r="AK2009" s="46">
        <v>66700</v>
      </c>
      <c r="AL2009" s="46">
        <v>681942.65399999998</v>
      </c>
      <c r="AM2009" s="46">
        <v>10.224</v>
      </c>
      <c r="AN2009" s="46" t="s">
        <v>63</v>
      </c>
      <c r="AO2009" s="46">
        <v>8500</v>
      </c>
      <c r="AP2009" s="46">
        <v>195871.57699999999</v>
      </c>
      <c r="AQ2009" s="46">
        <v>23.044</v>
      </c>
      <c r="AR2009" s="46">
        <v>-96648.3</v>
      </c>
      <c r="AS2009" s="46">
        <v>135</v>
      </c>
      <c r="AT2009" s="46">
        <v>75300</v>
      </c>
      <c r="AU2009" s="46">
        <v>879102.23100000003</v>
      </c>
      <c r="AV2009" s="46">
        <v>11.675000000000001</v>
      </c>
      <c r="AW2009" s="46">
        <v>172</v>
      </c>
      <c r="AX2009" s="46">
        <v>74300</v>
      </c>
      <c r="AY2009" s="46">
        <v>775886.52599999995</v>
      </c>
      <c r="AZ2009" s="46">
        <v>10.443</v>
      </c>
      <c r="BA2009" s="46" t="s">
        <v>63</v>
      </c>
      <c r="BB2009" s="46">
        <v>1000</v>
      </c>
      <c r="BC2009" s="46">
        <v>103215.705</v>
      </c>
      <c r="BD2009" s="46">
        <v>103.21599999999999</v>
      </c>
      <c r="BE2009" s="46">
        <v>-91537.600000000006</v>
      </c>
      <c r="BF2009" s="46">
        <v>1288</v>
      </c>
      <c r="BH2009" s="46">
        <v>93943.872000000105</v>
      </c>
      <c r="BI2009">
        <v>12.36</v>
      </c>
      <c r="BJ2009">
        <v>-92655.872000000003</v>
      </c>
      <c r="BK2009">
        <v>-12.19</v>
      </c>
      <c r="BL2009">
        <v>-8239.41</v>
      </c>
    </row>
    <row r="2010" spans="1:64" x14ac:dyDescent="0.25">
      <c r="A2010" s="136">
        <v>43112</v>
      </c>
      <c r="B2010" s="201" t="s">
        <v>77</v>
      </c>
      <c r="C2010" t="s">
        <v>128</v>
      </c>
      <c r="D2010">
        <v>3800</v>
      </c>
      <c r="E2010">
        <v>3800</v>
      </c>
      <c r="F2010">
        <v>6.0010000000000003</v>
      </c>
      <c r="G2010">
        <v>187.73</v>
      </c>
      <c r="H2010">
        <v>0.82</v>
      </c>
      <c r="I2010" s="309">
        <v>22990</v>
      </c>
      <c r="J2010">
        <v>6.05</v>
      </c>
      <c r="K2010" s="133">
        <v>4.2910964880763E-2</v>
      </c>
      <c r="L2010" s="181">
        <v>0</v>
      </c>
      <c r="M2010" s="133">
        <v>4.2560565775192502E-2</v>
      </c>
      <c r="N2010" s="73">
        <v>-279.21400000000398</v>
      </c>
      <c r="O2010" s="73">
        <v>36.415116666666101</v>
      </c>
      <c r="P2010" s="182">
        <v>7</v>
      </c>
      <c r="Q2010" s="182">
        <v>3500</v>
      </c>
      <c r="R2010" s="46">
        <v>6.7140000000000004</v>
      </c>
      <c r="S2010" s="46">
        <v>2</v>
      </c>
      <c r="T2010" s="46">
        <v>800</v>
      </c>
      <c r="U2010" s="46">
        <v>6.05</v>
      </c>
      <c r="V2010" s="46" t="s">
        <v>62</v>
      </c>
      <c r="W2010" s="46">
        <v>2700</v>
      </c>
      <c r="X2010" s="46">
        <v>6.9109999999999996</v>
      </c>
      <c r="Y2010" s="194">
        <v>5.3959999999999999</v>
      </c>
      <c r="Z2010" s="194">
        <v>5.9560000000000004</v>
      </c>
      <c r="AA2010" s="194">
        <v>6.391</v>
      </c>
      <c r="AB2010" s="46">
        <v>6.08</v>
      </c>
      <c r="AC2010" s="46">
        <v>6.09</v>
      </c>
      <c r="AD2010" s="46">
        <v>6.01</v>
      </c>
      <c r="AE2010" s="46">
        <v>6.05</v>
      </c>
      <c r="AF2010" s="46">
        <v>37</v>
      </c>
      <c r="AG2010" s="46">
        <v>18500</v>
      </c>
      <c r="AH2010" s="46">
        <v>136154</v>
      </c>
      <c r="AI2010" s="46">
        <v>7.36</v>
      </c>
      <c r="AJ2010" s="46">
        <v>37</v>
      </c>
      <c r="AK2010" s="46">
        <v>17400</v>
      </c>
      <c r="AL2010" s="46">
        <v>132056.62599999999</v>
      </c>
      <c r="AM2010" s="46">
        <v>7.5890000000000004</v>
      </c>
      <c r="AN2010" s="46" t="s">
        <v>63</v>
      </c>
      <c r="AO2010" s="46">
        <v>1100</v>
      </c>
      <c r="AP2010" s="46">
        <v>4097.3739999999998</v>
      </c>
      <c r="AQ2010" s="46">
        <v>3.7250000000000001</v>
      </c>
      <c r="AR2010" s="46">
        <v>3984.6</v>
      </c>
      <c r="AS2010" s="46">
        <v>44</v>
      </c>
      <c r="AT2010" s="46">
        <v>22000</v>
      </c>
      <c r="AU2010" s="46">
        <v>159689</v>
      </c>
      <c r="AV2010" s="46">
        <v>7.2590000000000003</v>
      </c>
      <c r="AW2010" s="46">
        <v>39</v>
      </c>
      <c r="AX2010" s="46">
        <v>18200</v>
      </c>
      <c r="AY2010" s="46">
        <v>136881.78599999999</v>
      </c>
      <c r="AZ2010" s="46">
        <v>7.5209999999999999</v>
      </c>
      <c r="BA2010" s="46" t="s">
        <v>63</v>
      </c>
      <c r="BB2010" s="46">
        <v>3800</v>
      </c>
      <c r="BC2010" s="46">
        <v>22807.214</v>
      </c>
      <c r="BD2010" s="46">
        <v>6.0019999999999998</v>
      </c>
      <c r="BE2010" s="46">
        <v>4768.3999999999996</v>
      </c>
      <c r="BF2010" s="46">
        <v>23535</v>
      </c>
      <c r="BG2010" s="46">
        <v>6.72</v>
      </c>
      <c r="BH2010" s="46">
        <v>4825.16</v>
      </c>
      <c r="BI2010">
        <v>6.03</v>
      </c>
      <c r="BJ2010">
        <v>18709.84</v>
      </c>
      <c r="BK2010">
        <v>6.93</v>
      </c>
      <c r="BL2010">
        <v>658.61</v>
      </c>
    </row>
    <row r="2011" spans="1:64" x14ac:dyDescent="0.25">
      <c r="A2011" s="136">
        <v>43112</v>
      </c>
      <c r="B2011" s="201" t="s">
        <v>67</v>
      </c>
      <c r="C2011" t="s">
        <v>129</v>
      </c>
      <c r="D2011">
        <v>7450</v>
      </c>
      <c r="E2011">
        <v>7450</v>
      </c>
      <c r="F2011">
        <v>8.6470000000000002</v>
      </c>
      <c r="G2011">
        <v>-352.02</v>
      </c>
      <c r="H2011">
        <v>-0.54</v>
      </c>
      <c r="I2011" s="309">
        <v>64070</v>
      </c>
      <c r="J2011">
        <v>8.6</v>
      </c>
      <c r="K2011" s="133">
        <v>0.119587016960004</v>
      </c>
      <c r="L2011" s="181">
        <v>192.52</v>
      </c>
      <c r="M2011" s="133">
        <v>0.120244064278722</v>
      </c>
      <c r="N2011" s="73">
        <v>465.21299999976299</v>
      </c>
      <c r="O2011" s="73">
        <v>53.384660562544603</v>
      </c>
      <c r="P2011" s="182">
        <v>2</v>
      </c>
      <c r="Q2011" s="182">
        <v>1000</v>
      </c>
      <c r="R2011" s="46">
        <v>5.8949999999999996</v>
      </c>
      <c r="S2011" s="46">
        <v>1</v>
      </c>
      <c r="T2011" s="46">
        <v>400</v>
      </c>
      <c r="U2011" s="46">
        <v>8.91</v>
      </c>
      <c r="V2011" s="46" t="s">
        <v>62</v>
      </c>
      <c r="W2011" s="46">
        <v>600</v>
      </c>
      <c r="X2011" s="46">
        <v>3.8849999999999998</v>
      </c>
      <c r="Y2011" s="194">
        <v>8.4670000000000005</v>
      </c>
      <c r="Z2011" s="194">
        <v>7.7439999999999998</v>
      </c>
      <c r="AA2011" s="194">
        <v>8.6969999999999992</v>
      </c>
      <c r="AB2011" s="46">
        <v>8.59</v>
      </c>
      <c r="AC2011" s="46">
        <v>8.76</v>
      </c>
      <c r="AD2011" s="46">
        <v>8.56</v>
      </c>
      <c r="AE2011" s="46">
        <v>8.6</v>
      </c>
      <c r="AF2011" s="46">
        <v>155</v>
      </c>
      <c r="AG2011" s="46">
        <v>77500</v>
      </c>
      <c r="AH2011" s="46">
        <v>643117</v>
      </c>
      <c r="AI2011" s="46">
        <v>8.298</v>
      </c>
      <c r="AJ2011" s="46">
        <v>157</v>
      </c>
      <c r="AK2011" s="46">
        <v>73250</v>
      </c>
      <c r="AL2011" s="46">
        <v>650170.39300000004</v>
      </c>
      <c r="AM2011" s="46">
        <v>8.8759999999999994</v>
      </c>
      <c r="AN2011" s="46" t="s">
        <v>63</v>
      </c>
      <c r="AO2011" s="46">
        <v>4250</v>
      </c>
      <c r="AP2011" s="46">
        <v>7053.393</v>
      </c>
      <c r="AQ2011" s="46">
        <v>1.66</v>
      </c>
      <c r="AR2011" s="46">
        <v>42338.5</v>
      </c>
      <c r="AS2011" s="46">
        <v>157</v>
      </c>
      <c r="AT2011" s="46">
        <v>78500</v>
      </c>
      <c r="AU2011" s="46">
        <v>649022</v>
      </c>
      <c r="AV2011" s="46">
        <v>8.2680000000000007</v>
      </c>
      <c r="AW2011" s="46">
        <v>158</v>
      </c>
      <c r="AX2011" s="46">
        <v>73650</v>
      </c>
      <c r="AY2011" s="46">
        <v>653725.82900000003</v>
      </c>
      <c r="AZ2011" s="46">
        <v>8.8759999999999994</v>
      </c>
      <c r="BA2011" s="46" t="s">
        <v>63</v>
      </c>
      <c r="BB2011" s="46">
        <v>4850</v>
      </c>
      <c r="BC2011" s="46">
        <v>4703.8289999999997</v>
      </c>
      <c r="BD2011" s="46">
        <v>0.97</v>
      </c>
      <c r="BE2011" s="46">
        <v>44779.199999999997</v>
      </c>
      <c r="BF2011" s="46">
        <v>5905</v>
      </c>
      <c r="BG2011" s="46">
        <v>5.91</v>
      </c>
      <c r="BH2011" s="46">
        <v>3555.4359999999901</v>
      </c>
      <c r="BI2011">
        <v>8.89</v>
      </c>
      <c r="BJ2011">
        <v>-2349.5639999999999</v>
      </c>
      <c r="BK2011">
        <v>-3.92</v>
      </c>
      <c r="BL2011">
        <v>4923.08</v>
      </c>
    </row>
    <row r="2012" spans="1:64" x14ac:dyDescent="0.25">
      <c r="A2012" s="136">
        <v>43112</v>
      </c>
      <c r="B2012" s="201" t="s">
        <v>78</v>
      </c>
      <c r="C2012" t="s">
        <v>142</v>
      </c>
      <c r="D2012">
        <v>1400</v>
      </c>
      <c r="E2012">
        <v>1400</v>
      </c>
      <c r="F2012">
        <v>10.151</v>
      </c>
      <c r="G2012">
        <v>-238.78</v>
      </c>
      <c r="H2012">
        <v>-1.68</v>
      </c>
      <c r="I2012" s="309">
        <v>13972</v>
      </c>
      <c r="J2012">
        <v>9.98</v>
      </c>
      <c r="K2012" s="133">
        <v>2.6078816934059199E-2</v>
      </c>
      <c r="L2012" s="181">
        <v>56</v>
      </c>
      <c r="M2012" s="133">
        <v>2.65245011530339E-2</v>
      </c>
      <c r="N2012" s="73">
        <v>-364.77600000000001</v>
      </c>
      <c r="O2012" s="73">
        <v>-36.864874823053597</v>
      </c>
      <c r="P2012" s="182">
        <v>2</v>
      </c>
      <c r="Q2012" s="182">
        <v>1000</v>
      </c>
      <c r="R2012" s="46">
        <v>10.25</v>
      </c>
      <c r="S2012" s="46">
        <v>0</v>
      </c>
      <c r="T2012" s="46">
        <v>0</v>
      </c>
      <c r="U2012" s="46">
        <v>0</v>
      </c>
      <c r="V2012" s="46" t="s">
        <v>62</v>
      </c>
      <c r="W2012" s="46">
        <v>1000</v>
      </c>
      <c r="X2012" s="46">
        <v>10.25</v>
      </c>
      <c r="Y2012" s="194">
        <v>9.2859999999999996</v>
      </c>
      <c r="Z2012" s="194">
        <v>10.795999999999999</v>
      </c>
      <c r="AA2012" s="194">
        <v>10.807</v>
      </c>
      <c r="AB2012" s="46">
        <v>9.94</v>
      </c>
      <c r="AC2012" s="46">
        <v>10.050000000000001</v>
      </c>
      <c r="AD2012" s="46">
        <v>9.92</v>
      </c>
      <c r="AE2012" s="46">
        <v>9.98</v>
      </c>
      <c r="AF2012" s="46">
        <v>4</v>
      </c>
      <c r="AG2012" s="46">
        <v>2000</v>
      </c>
      <c r="AH2012" s="46">
        <v>20690</v>
      </c>
      <c r="AI2012" s="46">
        <v>10.345000000000001</v>
      </c>
      <c r="AJ2012" s="46">
        <v>4</v>
      </c>
      <c r="AK2012" s="46">
        <v>1600</v>
      </c>
      <c r="AL2012" s="46">
        <v>16739.223999999998</v>
      </c>
      <c r="AM2012" s="46">
        <v>10.462</v>
      </c>
      <c r="AN2012" s="46" t="s">
        <v>63</v>
      </c>
      <c r="AO2012" s="46">
        <v>400</v>
      </c>
      <c r="AP2012" s="46">
        <v>3950.7759999999998</v>
      </c>
      <c r="AQ2012" s="46">
        <v>9.8770000000000007</v>
      </c>
      <c r="AR2012" s="46">
        <v>187.2</v>
      </c>
      <c r="AS2012" s="46">
        <v>6</v>
      </c>
      <c r="AT2012" s="46">
        <v>3000</v>
      </c>
      <c r="AU2012" s="46">
        <v>30950</v>
      </c>
      <c r="AV2012" s="46">
        <v>10.317</v>
      </c>
      <c r="AW2012" s="46">
        <v>4</v>
      </c>
      <c r="AX2012" s="46">
        <v>1600</v>
      </c>
      <c r="AY2012" s="46">
        <v>16739.223999999998</v>
      </c>
      <c r="AZ2012" s="46">
        <v>10.462</v>
      </c>
      <c r="BA2012" s="46" t="s">
        <v>63</v>
      </c>
      <c r="BB2012" s="46">
        <v>1400</v>
      </c>
      <c r="BC2012" s="46">
        <v>14210.776</v>
      </c>
      <c r="BD2012" s="46">
        <v>10.151</v>
      </c>
      <c r="BE2012" s="46">
        <v>232</v>
      </c>
      <c r="BF2012" s="46">
        <v>10260</v>
      </c>
      <c r="BG2012" s="46">
        <v>10.26</v>
      </c>
      <c r="BH2012" s="46">
        <v>0</v>
      </c>
      <c r="BJ2012">
        <v>10260</v>
      </c>
      <c r="BK2012">
        <v>10.26</v>
      </c>
      <c r="BL2012">
        <v>18.760000000000002</v>
      </c>
    </row>
    <row r="2013" spans="1:64" x14ac:dyDescent="0.25">
      <c r="A2013" s="136">
        <v>43112</v>
      </c>
      <c r="B2013" s="201" t="s">
        <v>72</v>
      </c>
      <c r="C2013" t="s">
        <v>130</v>
      </c>
      <c r="D2013">
        <v>1400</v>
      </c>
      <c r="E2013">
        <v>1400</v>
      </c>
      <c r="F2013">
        <v>7.0620000000000003</v>
      </c>
      <c r="G2013">
        <v>53.25</v>
      </c>
      <c r="H2013">
        <v>0.54</v>
      </c>
      <c r="I2013" s="309">
        <v>9940</v>
      </c>
      <c r="J2013">
        <v>7.1</v>
      </c>
      <c r="K2013" s="133">
        <v>1.8553066155493E-2</v>
      </c>
      <c r="L2013" s="181">
        <v>-126</v>
      </c>
      <c r="M2013" s="133">
        <v>1.8453674729659999E-2</v>
      </c>
      <c r="N2013" s="73">
        <v>-14.471999999991599</v>
      </c>
      <c r="O2013" s="73">
        <v>28.728762968102799</v>
      </c>
      <c r="P2013" s="182">
        <v>0</v>
      </c>
      <c r="Q2013" s="182">
        <v>0</v>
      </c>
      <c r="R2013" s="46">
        <v>0</v>
      </c>
      <c r="S2013" s="46">
        <v>14</v>
      </c>
      <c r="T2013" s="46">
        <v>5800</v>
      </c>
      <c r="U2013" s="46">
        <v>8.0709999999999997</v>
      </c>
      <c r="V2013" s="46" t="s">
        <v>68</v>
      </c>
      <c r="W2013" s="46">
        <v>5800</v>
      </c>
      <c r="X2013" s="46">
        <v>8.0709999999999997</v>
      </c>
      <c r="Y2013" s="194">
        <v>7.1040000000000001</v>
      </c>
      <c r="Z2013" s="194">
        <v>7.0460000000000003</v>
      </c>
      <c r="AA2013" s="194">
        <v>7.1340000000000003</v>
      </c>
      <c r="AB2013" s="46">
        <v>7.18</v>
      </c>
      <c r="AC2013" s="46">
        <v>7.21</v>
      </c>
      <c r="AD2013" s="46">
        <v>7.07</v>
      </c>
      <c r="AE2013" s="46">
        <v>7.1</v>
      </c>
      <c r="AF2013" s="46">
        <v>24</v>
      </c>
      <c r="AG2013" s="46">
        <v>12000</v>
      </c>
      <c r="AH2013" s="46">
        <v>95230</v>
      </c>
      <c r="AI2013" s="46">
        <v>7.9359999999999999</v>
      </c>
      <c r="AJ2013" s="46">
        <v>24</v>
      </c>
      <c r="AK2013" s="46">
        <v>11400</v>
      </c>
      <c r="AL2013" s="46">
        <v>39378.527000000002</v>
      </c>
      <c r="AM2013" s="46">
        <v>3.4540000000000002</v>
      </c>
      <c r="AN2013" s="46" t="s">
        <v>63</v>
      </c>
      <c r="AO2013" s="46">
        <v>600</v>
      </c>
      <c r="AP2013" s="46">
        <v>55851.472999999998</v>
      </c>
      <c r="AQ2013" s="46">
        <v>93.085999999999999</v>
      </c>
      <c r="AR2013" s="46">
        <v>-51094.8</v>
      </c>
      <c r="AS2013" s="46">
        <v>24</v>
      </c>
      <c r="AT2013" s="46">
        <v>12000</v>
      </c>
      <c r="AU2013" s="46">
        <v>95230</v>
      </c>
      <c r="AV2013" s="46">
        <v>7.9359999999999999</v>
      </c>
      <c r="AW2013" s="46">
        <v>39</v>
      </c>
      <c r="AX2013" s="46">
        <v>17700</v>
      </c>
      <c r="AY2013" s="46">
        <v>86075.713000000003</v>
      </c>
      <c r="AZ2013" s="46">
        <v>4.8630000000000004</v>
      </c>
      <c r="BA2013" s="46" t="s">
        <v>69</v>
      </c>
      <c r="BB2013" s="46">
        <v>5700</v>
      </c>
      <c r="BC2013" s="46">
        <v>9154.2870000000003</v>
      </c>
      <c r="BD2013" s="46">
        <v>1.6060000000000001</v>
      </c>
      <c r="BE2013" s="46">
        <v>-36876</v>
      </c>
      <c r="BF2013" s="46">
        <v>0</v>
      </c>
      <c r="BH2013" s="46">
        <v>46697.186000000002</v>
      </c>
      <c r="BI2013">
        <v>8.0500000000000007</v>
      </c>
      <c r="BJ2013">
        <v>-46697.186000000002</v>
      </c>
      <c r="BK2013">
        <v>-8.0500000000000007</v>
      </c>
      <c r="BL2013">
        <v>-7196.45</v>
      </c>
    </row>
    <row r="2014" spans="1:64" x14ac:dyDescent="0.25">
      <c r="A2014" s="136">
        <v>43112</v>
      </c>
      <c r="B2014" s="201" t="s">
        <v>70</v>
      </c>
      <c r="C2014" t="s">
        <v>131</v>
      </c>
      <c r="D2014">
        <v>9300</v>
      </c>
      <c r="E2014">
        <v>8800</v>
      </c>
      <c r="F2014">
        <v>12.331</v>
      </c>
      <c r="G2014">
        <v>-9679.8799999999992</v>
      </c>
      <c r="H2014">
        <v>-8.44</v>
      </c>
      <c r="I2014" s="309">
        <v>104997</v>
      </c>
      <c r="J2014">
        <v>11.29</v>
      </c>
      <c r="K2014" s="133">
        <v>0.19597749367487899</v>
      </c>
      <c r="L2014" s="181">
        <v>-2039</v>
      </c>
      <c r="M2014" s="133">
        <v>0.21404504438083799</v>
      </c>
      <c r="N2014" s="73">
        <v>-9492.8700000000208</v>
      </c>
      <c r="O2014" s="73">
        <v>-838.91455039788002</v>
      </c>
      <c r="P2014" s="182">
        <v>1</v>
      </c>
      <c r="Q2014" s="182">
        <v>500</v>
      </c>
      <c r="R2014" s="46">
        <v>11.31</v>
      </c>
      <c r="S2014" s="46">
        <v>7</v>
      </c>
      <c r="T2014" s="46">
        <v>2800</v>
      </c>
      <c r="U2014" s="46">
        <v>12.629</v>
      </c>
      <c r="V2014" s="46" t="s">
        <v>68</v>
      </c>
      <c r="W2014" s="46">
        <v>2300</v>
      </c>
      <c r="X2014" s="46">
        <v>12.916</v>
      </c>
      <c r="Y2014" s="194">
        <v>11.351000000000001</v>
      </c>
      <c r="Z2014" s="194">
        <v>12.242000000000001</v>
      </c>
      <c r="AA2014" s="194">
        <v>12.122999999999999</v>
      </c>
      <c r="AB2014" s="46">
        <v>11.52</v>
      </c>
      <c r="AC2014" s="46">
        <v>11.54</v>
      </c>
      <c r="AD2014" s="46">
        <v>11.29</v>
      </c>
      <c r="AE2014" s="46">
        <v>11.29</v>
      </c>
      <c r="AF2014" s="46">
        <v>122</v>
      </c>
      <c r="AG2014" s="46">
        <v>60600</v>
      </c>
      <c r="AH2014" s="46">
        <v>820933</v>
      </c>
      <c r="AI2014" s="46">
        <v>13.547000000000001</v>
      </c>
      <c r="AJ2014" s="46">
        <v>122</v>
      </c>
      <c r="AK2014" s="46">
        <v>49000</v>
      </c>
      <c r="AL2014" s="46">
        <v>676222.49</v>
      </c>
      <c r="AM2014" s="46">
        <v>13.8</v>
      </c>
      <c r="AN2014" s="46" t="s">
        <v>63</v>
      </c>
      <c r="AO2014" s="46">
        <v>11600</v>
      </c>
      <c r="AP2014" s="46">
        <v>144710.51</v>
      </c>
      <c r="AQ2014" s="46">
        <v>12.475</v>
      </c>
      <c r="AR2014" s="46">
        <v>12397</v>
      </c>
      <c r="AS2014" s="46">
        <v>123</v>
      </c>
      <c r="AT2014" s="46">
        <v>61100</v>
      </c>
      <c r="AU2014" s="46">
        <v>826593</v>
      </c>
      <c r="AV2014" s="46">
        <v>13.529</v>
      </c>
      <c r="AW2014" s="46">
        <v>130</v>
      </c>
      <c r="AX2014" s="46">
        <v>51800</v>
      </c>
      <c r="AY2014" s="46">
        <v>711917.13</v>
      </c>
      <c r="AZ2014" s="46">
        <v>13.744</v>
      </c>
      <c r="BA2014" s="46" t="s">
        <v>63</v>
      </c>
      <c r="BB2014" s="46">
        <v>9300</v>
      </c>
      <c r="BC2014" s="46">
        <v>114675.87</v>
      </c>
      <c r="BD2014" s="46">
        <v>12.331</v>
      </c>
      <c r="BE2014" s="46">
        <v>11137</v>
      </c>
      <c r="BF2014" s="46">
        <v>5660</v>
      </c>
      <c r="BG2014" s="46">
        <v>11.32</v>
      </c>
      <c r="BH2014" s="46">
        <v>35694.639999999898</v>
      </c>
      <c r="BI2014">
        <v>12.75</v>
      </c>
      <c r="BJ2014">
        <v>-30034.639999999999</v>
      </c>
      <c r="BK2014">
        <v>-13.06</v>
      </c>
      <c r="BL2014">
        <v>1098.05</v>
      </c>
    </row>
    <row r="2015" spans="1:64" x14ac:dyDescent="0.25">
      <c r="A2015" s="136">
        <v>43112</v>
      </c>
      <c r="B2015" s="201" t="s">
        <v>146</v>
      </c>
      <c r="C2015" t="s">
        <v>147</v>
      </c>
      <c r="D2015">
        <v>40</v>
      </c>
      <c r="E2015">
        <v>40</v>
      </c>
      <c r="F2015">
        <v>100</v>
      </c>
      <c r="G2015">
        <v>0</v>
      </c>
      <c r="H2015">
        <v>0</v>
      </c>
      <c r="I2015" s="309">
        <v>4000</v>
      </c>
      <c r="J2015">
        <v>0</v>
      </c>
      <c r="K2015" s="133">
        <v>7.4660225977838997E-3</v>
      </c>
      <c r="L2015" s="181">
        <v>0</v>
      </c>
      <c r="M2015" s="133">
        <v>7.4660225977838997E-3</v>
      </c>
    </row>
    <row r="2016" spans="1:64" x14ac:dyDescent="0.25">
      <c r="A2016" s="136">
        <v>43112</v>
      </c>
      <c r="B2016" s="201" t="s">
        <v>137</v>
      </c>
      <c r="C2016" t="s">
        <v>138</v>
      </c>
      <c r="D2016">
        <v>100</v>
      </c>
      <c r="E2016">
        <v>100</v>
      </c>
      <c r="F2016">
        <v>-130.48500000000001</v>
      </c>
      <c r="G2016">
        <v>16940.5</v>
      </c>
      <c r="H2016">
        <v>0</v>
      </c>
      <c r="I2016" s="309">
        <v>3892</v>
      </c>
      <c r="J2016">
        <v>38.92</v>
      </c>
      <c r="K2016" s="133">
        <v>7.26443998764373E-3</v>
      </c>
      <c r="L2016" s="181">
        <v>-26</v>
      </c>
      <c r="M2016" s="133">
        <v>0</v>
      </c>
    </row>
    <row r="2017" spans="1:64" x14ac:dyDescent="0.25">
      <c r="A2017" s="136">
        <v>43112</v>
      </c>
      <c r="B2017" s="201" t="s">
        <v>835</v>
      </c>
      <c r="C2017" t="s">
        <v>839</v>
      </c>
      <c r="I2017" s="309">
        <v>16346.58</v>
      </c>
      <c r="K2017" s="133">
        <v>3.0510983919120601E-2</v>
      </c>
      <c r="L2017" s="181">
        <v>0</v>
      </c>
      <c r="M2017" s="133">
        <v>0.17984435209389299</v>
      </c>
    </row>
    <row r="2018" spans="1:64" x14ac:dyDescent="0.25">
      <c r="A2018" s="136">
        <v>43115</v>
      </c>
      <c r="B2018" s="201" t="s">
        <v>132</v>
      </c>
      <c r="C2018" t="s">
        <v>123</v>
      </c>
      <c r="D2018">
        <v>7503240</v>
      </c>
      <c r="E2018">
        <v>7503240</v>
      </c>
      <c r="F2018">
        <v>0.01</v>
      </c>
      <c r="G2018">
        <v>2786.96</v>
      </c>
      <c r="H2018">
        <v>0</v>
      </c>
      <c r="I2018" s="309">
        <v>75032.399999999994</v>
      </c>
      <c r="J2018">
        <v>0.01</v>
      </c>
      <c r="K2018" s="133">
        <v>0.142455069564663</v>
      </c>
      <c r="L2018" s="181">
        <v>25.48</v>
      </c>
      <c r="M2018" s="133">
        <v>0</v>
      </c>
      <c r="N2018" s="181"/>
      <c r="O2018" s="181"/>
      <c r="P2018" s="196"/>
      <c r="Q2018" s="196"/>
    </row>
    <row r="2019" spans="1:64" x14ac:dyDescent="0.25">
      <c r="A2019" s="136">
        <v>43115</v>
      </c>
      <c r="B2019" s="201" t="s">
        <v>61</v>
      </c>
      <c r="C2019" t="s">
        <v>136</v>
      </c>
      <c r="D2019">
        <v>3500</v>
      </c>
      <c r="E2019">
        <v>3500</v>
      </c>
      <c r="F2019">
        <v>5.3070000000000004</v>
      </c>
      <c r="G2019">
        <v>-583.52</v>
      </c>
      <c r="H2019">
        <v>-3.15</v>
      </c>
      <c r="I2019" s="309">
        <v>17990</v>
      </c>
      <c r="J2019">
        <v>5.14</v>
      </c>
      <c r="K2019" s="133">
        <v>3.41554675242733E-2</v>
      </c>
      <c r="L2019" s="181">
        <v>-175</v>
      </c>
      <c r="M2019" s="133">
        <v>3.5263327358056699E-2</v>
      </c>
      <c r="N2019" s="181">
        <v>-587.26800000000003</v>
      </c>
      <c r="O2019" s="181">
        <v>-114.19734747081699</v>
      </c>
      <c r="P2019" s="196">
        <v>6</v>
      </c>
      <c r="Q2019" s="196">
        <v>3000</v>
      </c>
      <c r="R2019" s="46">
        <v>5.31</v>
      </c>
      <c r="S2019" s="46">
        <v>0</v>
      </c>
      <c r="T2019" s="46">
        <v>0</v>
      </c>
      <c r="U2019" s="46">
        <v>0</v>
      </c>
      <c r="V2019" s="46" t="s">
        <v>62</v>
      </c>
      <c r="W2019" s="46">
        <v>3000</v>
      </c>
      <c r="X2019" s="46">
        <v>5.31</v>
      </c>
      <c r="Y2019" s="194">
        <v>5.1520000000000001</v>
      </c>
      <c r="Z2019" s="194">
        <v>5.0659999999999998</v>
      </c>
      <c r="AA2019" s="194">
        <v>5.1550000000000002</v>
      </c>
      <c r="AB2019" s="46">
        <v>5.19</v>
      </c>
      <c r="AC2019" s="46">
        <v>5.19</v>
      </c>
      <c r="AD2019" s="46">
        <v>5.13</v>
      </c>
      <c r="AE2019" s="46">
        <v>5.14</v>
      </c>
      <c r="AF2019" s="46">
        <v>5</v>
      </c>
      <c r="AG2019" s="46">
        <v>2500</v>
      </c>
      <c r="AH2019" s="46">
        <v>13346.5</v>
      </c>
      <c r="AI2019" s="46">
        <v>5.3390000000000004</v>
      </c>
      <c r="AJ2019" s="46">
        <v>5</v>
      </c>
      <c r="AK2019" s="46">
        <v>2000</v>
      </c>
      <c r="AL2019" s="46">
        <v>10731.031999999999</v>
      </c>
      <c r="AM2019" s="46">
        <v>5.3659999999999997</v>
      </c>
      <c r="AN2019" s="46" t="s">
        <v>63</v>
      </c>
      <c r="AO2019" s="46">
        <v>500</v>
      </c>
      <c r="AP2019" s="46">
        <v>2615.4679999999998</v>
      </c>
      <c r="AQ2019" s="46">
        <v>5.2309999999999999</v>
      </c>
      <c r="AR2019" s="46">
        <v>54</v>
      </c>
      <c r="AS2019" s="46">
        <v>11</v>
      </c>
      <c r="AT2019" s="46">
        <v>5500</v>
      </c>
      <c r="AU2019" s="46">
        <v>29308.3</v>
      </c>
      <c r="AV2019" s="46">
        <v>5.3289999999999997</v>
      </c>
      <c r="AW2019" s="46">
        <v>5</v>
      </c>
      <c r="AX2019" s="46">
        <v>2000</v>
      </c>
      <c r="AY2019" s="46">
        <v>10731.031999999999</v>
      </c>
      <c r="AZ2019" s="46">
        <v>5.3659999999999997</v>
      </c>
      <c r="BA2019" s="46" t="s">
        <v>63</v>
      </c>
      <c r="BB2019" s="46">
        <v>3500</v>
      </c>
      <c r="BC2019" s="46">
        <v>18577.268</v>
      </c>
      <c r="BD2019" s="46">
        <v>5.3079999999999998</v>
      </c>
      <c r="BE2019" s="46">
        <v>74</v>
      </c>
      <c r="BF2019" s="46">
        <v>15961.8</v>
      </c>
      <c r="BG2019" s="46">
        <v>5.32</v>
      </c>
      <c r="BH2019" s="46">
        <v>0</v>
      </c>
      <c r="BJ2019">
        <v>15961.8</v>
      </c>
      <c r="BK2019">
        <v>5.32</v>
      </c>
      <c r="BL2019">
        <v>10.51</v>
      </c>
    </row>
    <row r="2020" spans="1:64" x14ac:dyDescent="0.25">
      <c r="A2020" s="136">
        <v>43115</v>
      </c>
      <c r="B2020" s="201" t="s">
        <v>124</v>
      </c>
      <c r="C2020" t="s">
        <v>125</v>
      </c>
      <c r="D2020">
        <v>100</v>
      </c>
      <c r="E2020">
        <v>100</v>
      </c>
      <c r="F2020">
        <v>-53.579000000000001</v>
      </c>
      <c r="G2020">
        <v>6000.9</v>
      </c>
      <c r="H2020">
        <v>0</v>
      </c>
      <c r="I2020" s="309">
        <v>643</v>
      </c>
      <c r="J2020">
        <v>6.43</v>
      </c>
      <c r="K2020" s="133">
        <v>1.2207874162372301E-3</v>
      </c>
      <c r="L2020" s="181">
        <v>18</v>
      </c>
      <c r="M2020" s="133">
        <v>0</v>
      </c>
      <c r="N2020" s="181"/>
      <c r="O2020" s="181"/>
      <c r="P2020" s="196"/>
      <c r="Q2020" s="196"/>
      <c r="Y2020" s="194">
        <v>6.3310000000000004</v>
      </c>
      <c r="Z2020" s="193">
        <v>5.194</v>
      </c>
      <c r="AA2020" s="193">
        <v>5.907</v>
      </c>
      <c r="AB2020" s="46">
        <v>6.24</v>
      </c>
      <c r="AC2020" s="46">
        <v>6.48</v>
      </c>
      <c r="AD2020" s="46">
        <v>6.24</v>
      </c>
      <c r="AE2020" s="46">
        <v>6.43</v>
      </c>
    </row>
    <row r="2021" spans="1:64" x14ac:dyDescent="0.25">
      <c r="A2021" s="136">
        <v>43115</v>
      </c>
      <c r="B2021" s="201" t="s">
        <v>71</v>
      </c>
      <c r="C2021" t="s">
        <v>126</v>
      </c>
      <c r="D2021">
        <v>100</v>
      </c>
      <c r="E2021">
        <v>100</v>
      </c>
      <c r="F2021">
        <v>-17.085999999999999</v>
      </c>
      <c r="G2021">
        <v>2405.6</v>
      </c>
      <c r="H2021">
        <v>0</v>
      </c>
      <c r="I2021" s="309">
        <v>697</v>
      </c>
      <c r="J2021">
        <v>6.97</v>
      </c>
      <c r="K2021" s="133">
        <v>1.3233107762322699E-3</v>
      </c>
      <c r="L2021" s="181">
        <v>117.95</v>
      </c>
      <c r="M2021" s="133">
        <v>0</v>
      </c>
      <c r="N2021" s="181">
        <v>1703.3019999999999</v>
      </c>
      <c r="O2021" s="181">
        <v>341.114950423729</v>
      </c>
      <c r="P2021" s="196">
        <v>0</v>
      </c>
      <c r="Q2021" s="196">
        <v>0</v>
      </c>
      <c r="R2021" s="46">
        <v>0</v>
      </c>
      <c r="S2021" s="46">
        <v>7</v>
      </c>
      <c r="T2021" s="46">
        <v>2800</v>
      </c>
      <c r="U2021" s="46">
        <v>6.6749999999999998</v>
      </c>
      <c r="V2021" s="46" t="s">
        <v>68</v>
      </c>
      <c r="W2021" s="46">
        <v>2800</v>
      </c>
      <c r="X2021" s="46">
        <v>6.6749999999999998</v>
      </c>
      <c r="Y2021" s="193">
        <v>6.99</v>
      </c>
      <c r="Z2021" s="194">
        <v>6.2380000000000004</v>
      </c>
      <c r="AA2021" s="194">
        <v>6.52</v>
      </c>
      <c r="AB2021" s="46">
        <v>6.85</v>
      </c>
      <c r="AC2021" s="46">
        <v>7.11</v>
      </c>
      <c r="AD2021" s="46">
        <v>6.83</v>
      </c>
      <c r="AE2021" s="46">
        <v>6.97</v>
      </c>
      <c r="AF2021" s="46">
        <v>41</v>
      </c>
      <c r="AG2021" s="46">
        <v>20600</v>
      </c>
      <c r="AH2021" s="46">
        <v>131323.35999999999</v>
      </c>
      <c r="AI2021" s="46">
        <v>6.375</v>
      </c>
      <c r="AJ2021" s="46">
        <v>39</v>
      </c>
      <c r="AK2021" s="46">
        <v>17700</v>
      </c>
      <c r="AL2021" s="46">
        <v>114228.83100000001</v>
      </c>
      <c r="AM2021" s="46">
        <v>6.4539999999999997</v>
      </c>
      <c r="AN2021" s="46" t="s">
        <v>63</v>
      </c>
      <c r="AO2021" s="46">
        <v>2900</v>
      </c>
      <c r="AP2021" s="46">
        <v>17094.528999999999</v>
      </c>
      <c r="AQ2021" s="46">
        <v>5.8949999999999996</v>
      </c>
      <c r="AR2021" s="46">
        <v>1398.3</v>
      </c>
      <c r="AS2021" s="46">
        <v>41</v>
      </c>
      <c r="AT2021" s="46">
        <v>20600</v>
      </c>
      <c r="AU2021" s="46">
        <v>131323.35999999999</v>
      </c>
      <c r="AV2021" s="46">
        <v>6.375</v>
      </c>
      <c r="AW2021" s="46">
        <v>46</v>
      </c>
      <c r="AX2021" s="46">
        <v>20500</v>
      </c>
      <c r="AY2021" s="46">
        <v>132870.462</v>
      </c>
      <c r="AZ2021" s="46">
        <v>6.4809999999999999</v>
      </c>
      <c r="BA2021" s="46" t="s">
        <v>63</v>
      </c>
      <c r="BB2021" s="46">
        <v>100</v>
      </c>
      <c r="BC2021" s="46">
        <v>1547.1020000000001</v>
      </c>
      <c r="BD2021" s="46">
        <v>15.471</v>
      </c>
      <c r="BE2021" s="46">
        <v>2173</v>
      </c>
      <c r="BF2021" s="46">
        <v>0</v>
      </c>
      <c r="BH2021" s="46">
        <v>18641.631000000001</v>
      </c>
      <c r="BI2021">
        <v>6.66</v>
      </c>
      <c r="BJ2021">
        <v>-15547.427</v>
      </c>
      <c r="BK2021">
        <v>-5.55</v>
      </c>
      <c r="BL2021">
        <v>200.62</v>
      </c>
    </row>
    <row r="2022" spans="1:64" x14ac:dyDescent="0.25">
      <c r="A2022" s="136">
        <v>43115</v>
      </c>
      <c r="B2022" s="201" t="s">
        <v>79</v>
      </c>
      <c r="C2022" t="s">
        <v>143</v>
      </c>
      <c r="D2022">
        <v>4700</v>
      </c>
      <c r="E2022">
        <v>4700</v>
      </c>
      <c r="F2022">
        <v>17.062000000000001</v>
      </c>
      <c r="G2022">
        <v>-9219.57</v>
      </c>
      <c r="H2022">
        <v>-11.5</v>
      </c>
      <c r="I2022" s="309">
        <v>70970</v>
      </c>
      <c r="J2022">
        <v>15.1</v>
      </c>
      <c r="K2022" s="133">
        <v>0.13474227516385101</v>
      </c>
      <c r="L2022" s="181">
        <v>-1833</v>
      </c>
      <c r="M2022" s="133">
        <v>0.15224637320291501</v>
      </c>
      <c r="N2022" s="181">
        <v>-6401.2600000000202</v>
      </c>
      <c r="O2022" s="181">
        <v>-407.51970509554297</v>
      </c>
      <c r="P2022" s="196">
        <v>8</v>
      </c>
      <c r="Q2022" s="196">
        <v>4500</v>
      </c>
      <c r="R2022" s="46">
        <v>17.18</v>
      </c>
      <c r="S2022" s="46">
        <v>0</v>
      </c>
      <c r="T2022" s="46">
        <v>0</v>
      </c>
      <c r="U2022" s="46">
        <v>0</v>
      </c>
      <c r="V2022" s="46" t="s">
        <v>62</v>
      </c>
      <c r="W2022" s="46">
        <v>4500</v>
      </c>
      <c r="X2022" s="46">
        <v>17.18</v>
      </c>
      <c r="Y2022" s="194">
        <v>15.17</v>
      </c>
      <c r="Z2022" s="194">
        <v>15.509</v>
      </c>
      <c r="AA2022" s="194">
        <v>15.49</v>
      </c>
      <c r="AB2022" s="46">
        <v>15.42</v>
      </c>
      <c r="AC2022" s="46">
        <v>15.44</v>
      </c>
      <c r="AD2022" s="46">
        <v>15.06</v>
      </c>
      <c r="AE2022" s="46">
        <v>15.1</v>
      </c>
      <c r="AF2022" s="46">
        <v>2</v>
      </c>
      <c r="AG2022" s="46">
        <v>1000</v>
      </c>
      <c r="AH2022" s="46">
        <v>15295.6</v>
      </c>
      <c r="AI2022" s="46">
        <v>15.295999999999999</v>
      </c>
      <c r="AJ2022" s="46">
        <v>2</v>
      </c>
      <c r="AK2022" s="46">
        <v>800</v>
      </c>
      <c r="AL2022" s="46">
        <v>12457.04</v>
      </c>
      <c r="AM2022" s="46">
        <v>15.571</v>
      </c>
      <c r="AN2022" s="46" t="s">
        <v>63</v>
      </c>
      <c r="AO2022" s="46">
        <v>200</v>
      </c>
      <c r="AP2022" s="46">
        <v>2838.56</v>
      </c>
      <c r="AQ2022" s="46">
        <v>14.193</v>
      </c>
      <c r="AR2022" s="46">
        <v>220</v>
      </c>
      <c r="AS2022" s="46">
        <v>10</v>
      </c>
      <c r="AT2022" s="46">
        <v>5500</v>
      </c>
      <c r="AU2022" s="46">
        <v>92648.3</v>
      </c>
      <c r="AV2022" s="46">
        <v>16.844999999999999</v>
      </c>
      <c r="AW2022" s="46">
        <v>2</v>
      </c>
      <c r="AX2022" s="46">
        <v>800</v>
      </c>
      <c r="AY2022" s="46">
        <v>12457.04</v>
      </c>
      <c r="AZ2022" s="46">
        <v>15.571</v>
      </c>
      <c r="BA2022" s="46" t="s">
        <v>63</v>
      </c>
      <c r="BB2022" s="46">
        <v>4700</v>
      </c>
      <c r="BC2022" s="46">
        <v>80191.259999999995</v>
      </c>
      <c r="BD2022" s="46">
        <v>17.062000000000001</v>
      </c>
      <c r="BE2022" s="46">
        <v>-1019.2</v>
      </c>
      <c r="BF2022" s="46">
        <v>77352.7</v>
      </c>
      <c r="BG2022" s="46">
        <v>17.190000000000001</v>
      </c>
      <c r="BH2022" s="46">
        <v>0</v>
      </c>
      <c r="BJ2022">
        <v>77352.7</v>
      </c>
      <c r="BK2022">
        <v>17.190000000000001</v>
      </c>
      <c r="BL2022">
        <v>14.57</v>
      </c>
    </row>
    <row r="2023" spans="1:64" x14ac:dyDescent="0.25">
      <c r="A2023" s="136">
        <v>43115</v>
      </c>
      <c r="B2023" s="201" t="s">
        <v>65</v>
      </c>
      <c r="C2023" t="s">
        <v>127</v>
      </c>
      <c r="D2023">
        <v>9700</v>
      </c>
      <c r="E2023">
        <v>9700</v>
      </c>
      <c r="F2023">
        <v>9.9339999999999993</v>
      </c>
      <c r="G2023">
        <v>18683.990000000002</v>
      </c>
      <c r="H2023">
        <v>19.39</v>
      </c>
      <c r="I2023" s="309">
        <v>115042</v>
      </c>
      <c r="J2023">
        <v>11.86</v>
      </c>
      <c r="K2023" s="133">
        <v>0.21841652556572799</v>
      </c>
      <c r="L2023" s="181">
        <v>1303.26</v>
      </c>
      <c r="M2023" s="133">
        <v>0.18294346199325201</v>
      </c>
      <c r="N2023" s="181">
        <v>14401.553</v>
      </c>
      <c r="O2023" s="181">
        <v>1574.5164373313501</v>
      </c>
      <c r="P2023" s="196">
        <v>0</v>
      </c>
      <c r="Q2023" s="196">
        <v>0</v>
      </c>
      <c r="R2023" s="46">
        <v>0</v>
      </c>
      <c r="S2023" s="46">
        <v>19</v>
      </c>
      <c r="T2023" s="46">
        <v>8000</v>
      </c>
      <c r="U2023" s="46">
        <v>12.359</v>
      </c>
      <c r="V2023" s="46" t="s">
        <v>68</v>
      </c>
      <c r="W2023" s="46">
        <v>8000</v>
      </c>
      <c r="X2023" s="46">
        <v>12.359</v>
      </c>
      <c r="Y2023" s="193">
        <v>12.098000000000001</v>
      </c>
      <c r="Z2023" s="194">
        <v>11.266999999999999</v>
      </c>
      <c r="AA2023" s="194">
        <v>11.631</v>
      </c>
      <c r="AB2023" s="46">
        <v>11.72</v>
      </c>
      <c r="AC2023" s="46">
        <v>12.01</v>
      </c>
      <c r="AD2023" s="46">
        <v>11.55</v>
      </c>
      <c r="AE2023" s="46">
        <v>11.86</v>
      </c>
      <c r="AF2023" s="46">
        <v>134</v>
      </c>
      <c r="AG2023" s="46">
        <v>75200</v>
      </c>
      <c r="AH2023" s="46">
        <v>877814.23100000003</v>
      </c>
      <c r="AI2023" s="46">
        <v>11.673</v>
      </c>
      <c r="AJ2023" s="46">
        <v>154</v>
      </c>
      <c r="AK2023" s="46">
        <v>66700</v>
      </c>
      <c r="AL2023" s="46">
        <v>681942.65399999998</v>
      </c>
      <c r="AM2023" s="46">
        <v>10.224</v>
      </c>
      <c r="AN2023" s="46" t="s">
        <v>63</v>
      </c>
      <c r="AO2023" s="46">
        <v>8500</v>
      </c>
      <c r="AP2023" s="46">
        <v>195871.57699999999</v>
      </c>
      <c r="AQ2023" s="46">
        <v>23.044</v>
      </c>
      <c r="AR2023" s="46">
        <v>-96648.3</v>
      </c>
      <c r="AS2023" s="46">
        <v>135</v>
      </c>
      <c r="AT2023" s="46">
        <v>75300</v>
      </c>
      <c r="AU2023" s="46">
        <v>879102.23100000003</v>
      </c>
      <c r="AV2023" s="46">
        <v>11.675000000000001</v>
      </c>
      <c r="AW2023" s="46">
        <v>173</v>
      </c>
      <c r="AX2023" s="46">
        <v>74700</v>
      </c>
      <c r="AY2023" s="46">
        <v>780620.78200000001</v>
      </c>
      <c r="AZ2023" s="46">
        <v>10.45</v>
      </c>
      <c r="BA2023" s="46" t="s">
        <v>63</v>
      </c>
      <c r="BB2023" s="46">
        <v>600</v>
      </c>
      <c r="BC2023" s="46">
        <v>98481.448999999993</v>
      </c>
      <c r="BD2023" s="46">
        <v>164.136</v>
      </c>
      <c r="BE2023" s="46">
        <v>-91507.5</v>
      </c>
      <c r="BF2023" s="46">
        <v>1288</v>
      </c>
      <c r="BH2023" s="46">
        <v>98678.128000000099</v>
      </c>
      <c r="BI2023">
        <v>12.33</v>
      </c>
      <c r="BJ2023">
        <v>-97390.127999999997</v>
      </c>
      <c r="BK2023">
        <v>-12.17</v>
      </c>
      <c r="BL2023">
        <v>-8149.1</v>
      </c>
    </row>
    <row r="2024" spans="1:64" x14ac:dyDescent="0.25">
      <c r="A2024" s="136">
        <v>43115</v>
      </c>
      <c r="B2024" s="201" t="s">
        <v>77</v>
      </c>
      <c r="C2024" t="s">
        <v>128</v>
      </c>
      <c r="D2024">
        <v>4300</v>
      </c>
      <c r="E2024">
        <v>4300</v>
      </c>
      <c r="F2024">
        <v>5.9779999999999998</v>
      </c>
      <c r="G2024">
        <v>-767.27</v>
      </c>
      <c r="H2024">
        <v>-2.98</v>
      </c>
      <c r="I2024" s="309">
        <v>24940</v>
      </c>
      <c r="J2024">
        <v>5.8</v>
      </c>
      <c r="K2024" s="133">
        <v>4.7350603671783002E-2</v>
      </c>
      <c r="L2024" s="181">
        <v>-955</v>
      </c>
      <c r="M2024" s="133">
        <v>4.8807327716660701E-2</v>
      </c>
      <c r="N2024" s="181">
        <v>-1272.2139999999999</v>
      </c>
      <c r="O2024" s="181">
        <v>-133.073774655173</v>
      </c>
      <c r="P2024" s="196">
        <v>6</v>
      </c>
      <c r="Q2024" s="196">
        <v>3000</v>
      </c>
      <c r="R2024" s="46">
        <v>6.798</v>
      </c>
      <c r="S2024" s="46">
        <v>0</v>
      </c>
      <c r="T2024" s="46">
        <v>0</v>
      </c>
      <c r="U2024" s="46">
        <v>0</v>
      </c>
      <c r="V2024" s="46" t="s">
        <v>62</v>
      </c>
      <c r="W2024" s="46">
        <v>3000</v>
      </c>
      <c r="X2024" s="46">
        <v>6.798</v>
      </c>
      <c r="Y2024" s="194">
        <v>5.8689999999999998</v>
      </c>
      <c r="Z2024" s="194">
        <v>5.944</v>
      </c>
      <c r="AA2024" s="194">
        <v>6.383</v>
      </c>
      <c r="AB2024" s="46">
        <v>6.06</v>
      </c>
      <c r="AC2024" s="46">
        <v>6.06</v>
      </c>
      <c r="AD2024" s="46">
        <v>5.77</v>
      </c>
      <c r="AE2024" s="46">
        <v>5.8</v>
      </c>
      <c r="AF2024" s="46">
        <v>39</v>
      </c>
      <c r="AG2024" s="46">
        <v>19500</v>
      </c>
      <c r="AH2024" s="46">
        <v>142169</v>
      </c>
      <c r="AI2024" s="46">
        <v>7.2910000000000004</v>
      </c>
      <c r="AJ2024" s="46">
        <v>39</v>
      </c>
      <c r="AK2024" s="46">
        <v>18200</v>
      </c>
      <c r="AL2024" s="46">
        <v>136881.78599999999</v>
      </c>
      <c r="AM2024" s="46">
        <v>7.5209999999999999</v>
      </c>
      <c r="AN2024" s="46" t="s">
        <v>63</v>
      </c>
      <c r="AO2024" s="46">
        <v>1300</v>
      </c>
      <c r="AP2024" s="46">
        <v>5287.2139999999999</v>
      </c>
      <c r="AQ2024" s="46">
        <v>4.0670000000000002</v>
      </c>
      <c r="AR2024" s="46">
        <v>4186</v>
      </c>
      <c r="AS2024" s="46">
        <v>45</v>
      </c>
      <c r="AT2024" s="46">
        <v>22500</v>
      </c>
      <c r="AU2024" s="46">
        <v>162594</v>
      </c>
      <c r="AV2024" s="46">
        <v>7.226</v>
      </c>
      <c r="AW2024" s="46">
        <v>39</v>
      </c>
      <c r="AX2024" s="46">
        <v>18200</v>
      </c>
      <c r="AY2024" s="46">
        <v>136881.78599999999</v>
      </c>
      <c r="AZ2024" s="46">
        <v>7.5209999999999999</v>
      </c>
      <c r="BA2024" s="46" t="s">
        <v>63</v>
      </c>
      <c r="BB2024" s="46">
        <v>4300</v>
      </c>
      <c r="BC2024" s="46">
        <v>25712.214</v>
      </c>
      <c r="BD2024" s="46">
        <v>5.98</v>
      </c>
      <c r="BE2024" s="46">
        <v>5369</v>
      </c>
      <c r="BF2024" s="46">
        <v>20425</v>
      </c>
      <c r="BG2024" s="46">
        <v>6.81</v>
      </c>
      <c r="BH2024" s="46">
        <v>0</v>
      </c>
      <c r="BJ2024">
        <v>20425</v>
      </c>
      <c r="BK2024">
        <v>6.81</v>
      </c>
      <c r="BL2024">
        <v>721.72</v>
      </c>
    </row>
    <row r="2025" spans="1:64" x14ac:dyDescent="0.25">
      <c r="A2025" s="136">
        <v>43115</v>
      </c>
      <c r="B2025" s="201" t="s">
        <v>67</v>
      </c>
      <c r="C2025" t="s">
        <v>129</v>
      </c>
      <c r="D2025">
        <v>7950</v>
      </c>
      <c r="E2025">
        <v>7950</v>
      </c>
      <c r="F2025">
        <v>8.6319999999999997</v>
      </c>
      <c r="G2025">
        <v>-2160.02</v>
      </c>
      <c r="H2025">
        <v>-3.15</v>
      </c>
      <c r="I2025" s="309">
        <v>66462</v>
      </c>
      <c r="J2025">
        <v>8.36</v>
      </c>
      <c r="K2025" s="133">
        <v>0.126183473185006</v>
      </c>
      <c r="L2025" s="181">
        <v>-1808</v>
      </c>
      <c r="M2025" s="133">
        <v>0.13028444555642199</v>
      </c>
      <c r="N2025" s="181">
        <v>-1923.7870000002399</v>
      </c>
      <c r="O2025" s="181">
        <v>-229.180584803366</v>
      </c>
      <c r="P2025" s="196">
        <v>2</v>
      </c>
      <c r="Q2025" s="196">
        <v>1000</v>
      </c>
      <c r="R2025" s="46">
        <v>5.8949999999999996</v>
      </c>
      <c r="S2025" s="46">
        <v>0</v>
      </c>
      <c r="T2025" s="46">
        <v>0</v>
      </c>
      <c r="U2025" s="46">
        <v>0</v>
      </c>
      <c r="V2025" s="46" t="s">
        <v>62</v>
      </c>
      <c r="W2025" s="46">
        <v>1000</v>
      </c>
      <c r="X2025" s="46">
        <v>5.8949999999999996</v>
      </c>
      <c r="Y2025" s="194">
        <v>8.4480000000000004</v>
      </c>
      <c r="Z2025" s="194">
        <v>7.8170000000000002</v>
      </c>
      <c r="AA2025" s="194">
        <v>8.6950000000000003</v>
      </c>
      <c r="AB2025" s="46">
        <v>8.57</v>
      </c>
      <c r="AC2025" s="46">
        <v>8.69</v>
      </c>
      <c r="AD2025" s="46">
        <v>8.34</v>
      </c>
      <c r="AE2025" s="46">
        <v>8.36</v>
      </c>
      <c r="AF2025" s="46">
        <v>156</v>
      </c>
      <c r="AG2025" s="46">
        <v>78000</v>
      </c>
      <c r="AH2025" s="46">
        <v>647317</v>
      </c>
      <c r="AI2025" s="46">
        <v>8.2989999999999995</v>
      </c>
      <c r="AJ2025" s="46">
        <v>158</v>
      </c>
      <c r="AK2025" s="46">
        <v>73650</v>
      </c>
      <c r="AL2025" s="46">
        <v>653725.82900000003</v>
      </c>
      <c r="AM2025" s="46">
        <v>8.8759999999999994</v>
      </c>
      <c r="AN2025" s="46" t="s">
        <v>63</v>
      </c>
      <c r="AO2025" s="46">
        <v>4350</v>
      </c>
      <c r="AP2025" s="46">
        <v>6408.8289999999997</v>
      </c>
      <c r="AQ2025" s="46">
        <v>1.4730000000000001</v>
      </c>
      <c r="AR2025" s="46">
        <v>42496.05</v>
      </c>
      <c r="AS2025" s="46">
        <v>158</v>
      </c>
      <c r="AT2025" s="46">
        <v>79000</v>
      </c>
      <c r="AU2025" s="46">
        <v>653222</v>
      </c>
      <c r="AV2025" s="46">
        <v>8.2690000000000001</v>
      </c>
      <c r="AW2025" s="46">
        <v>158</v>
      </c>
      <c r="AX2025" s="46">
        <v>73650</v>
      </c>
      <c r="AY2025" s="46">
        <v>653725.82900000003</v>
      </c>
      <c r="AZ2025" s="46">
        <v>8.8759999999999994</v>
      </c>
      <c r="BA2025" s="46" t="s">
        <v>63</v>
      </c>
      <c r="BB2025" s="46">
        <v>5350</v>
      </c>
      <c r="BC2025" s="46">
        <v>503.82900000000001</v>
      </c>
      <c r="BD2025" s="46">
        <v>9.4E-2</v>
      </c>
      <c r="BE2025" s="46">
        <v>44705.55</v>
      </c>
      <c r="BF2025" s="46">
        <v>5905</v>
      </c>
      <c r="BG2025" s="46">
        <v>5.91</v>
      </c>
      <c r="BH2025" s="46">
        <v>0</v>
      </c>
      <c r="BJ2025">
        <v>-5905</v>
      </c>
      <c r="BK2025">
        <v>-5.91</v>
      </c>
      <c r="BL2025">
        <v>5083.26</v>
      </c>
    </row>
    <row r="2026" spans="1:64" x14ac:dyDescent="0.25">
      <c r="A2026" s="136">
        <v>43115</v>
      </c>
      <c r="B2026" s="201" t="s">
        <v>78</v>
      </c>
      <c r="C2026" t="s">
        <v>142</v>
      </c>
      <c r="D2026">
        <v>1400</v>
      </c>
      <c r="E2026">
        <v>1400</v>
      </c>
      <c r="F2026">
        <v>10.151</v>
      </c>
      <c r="G2026">
        <v>-350.78</v>
      </c>
      <c r="H2026">
        <v>-2.4700000000000002</v>
      </c>
      <c r="I2026" s="309">
        <v>13860</v>
      </c>
      <c r="J2026">
        <v>9.9</v>
      </c>
      <c r="K2026" s="133">
        <v>2.63143290653934E-2</v>
      </c>
      <c r="L2026" s="181">
        <v>-112</v>
      </c>
      <c r="M2026" s="133">
        <v>2.6980313217598299E-2</v>
      </c>
      <c r="N2026" s="181">
        <v>-364.77600000000001</v>
      </c>
      <c r="O2026" s="181">
        <v>-36.864874823053597</v>
      </c>
      <c r="P2026" s="196">
        <v>2</v>
      </c>
      <c r="Q2026" s="196">
        <v>1000</v>
      </c>
      <c r="R2026" s="46">
        <v>10.25</v>
      </c>
      <c r="S2026" s="46">
        <v>0</v>
      </c>
      <c r="T2026" s="46">
        <v>0</v>
      </c>
      <c r="U2026" s="46">
        <v>0</v>
      </c>
      <c r="V2026" s="46" t="s">
        <v>62</v>
      </c>
      <c r="W2026" s="46">
        <v>1000</v>
      </c>
      <c r="X2026" s="46">
        <v>10.25</v>
      </c>
      <c r="Y2026" s="194">
        <v>9.7929999999999993</v>
      </c>
      <c r="Z2026" s="194">
        <v>10.757</v>
      </c>
      <c r="AA2026" s="194">
        <v>10.778</v>
      </c>
      <c r="AB2026" s="46">
        <v>9.99</v>
      </c>
      <c r="AC2026" s="46">
        <v>9.99</v>
      </c>
      <c r="AD2026" s="46">
        <v>9.6999999999999993</v>
      </c>
      <c r="AE2026" s="46">
        <v>9.9</v>
      </c>
      <c r="AF2026" s="46">
        <v>4</v>
      </c>
      <c r="AG2026" s="46">
        <v>2000</v>
      </c>
      <c r="AH2026" s="46">
        <v>20690</v>
      </c>
      <c r="AI2026" s="46">
        <v>10.345000000000001</v>
      </c>
      <c r="AJ2026" s="46">
        <v>4</v>
      </c>
      <c r="AK2026" s="46">
        <v>1600</v>
      </c>
      <c r="AL2026" s="46">
        <v>16739.223999999998</v>
      </c>
      <c r="AM2026" s="46">
        <v>10.462</v>
      </c>
      <c r="AN2026" s="46" t="s">
        <v>63</v>
      </c>
      <c r="AO2026" s="46">
        <v>400</v>
      </c>
      <c r="AP2026" s="46">
        <v>3950.7759999999998</v>
      </c>
      <c r="AQ2026" s="46">
        <v>9.8770000000000007</v>
      </c>
      <c r="AR2026" s="46">
        <v>187.2</v>
      </c>
      <c r="AS2026" s="46">
        <v>6</v>
      </c>
      <c r="AT2026" s="46">
        <v>3000</v>
      </c>
      <c r="AU2026" s="46">
        <v>30950</v>
      </c>
      <c r="AV2026" s="46">
        <v>10.317</v>
      </c>
      <c r="AW2026" s="46">
        <v>4</v>
      </c>
      <c r="AX2026" s="46">
        <v>1600</v>
      </c>
      <c r="AY2026" s="46">
        <v>16739.223999999998</v>
      </c>
      <c r="AZ2026" s="46">
        <v>10.462</v>
      </c>
      <c r="BA2026" s="46" t="s">
        <v>63</v>
      </c>
      <c r="BB2026" s="46">
        <v>1400</v>
      </c>
      <c r="BC2026" s="46">
        <v>14210.776</v>
      </c>
      <c r="BD2026" s="46">
        <v>10.151</v>
      </c>
      <c r="BE2026" s="46">
        <v>232</v>
      </c>
      <c r="BF2026" s="46">
        <v>10260</v>
      </c>
      <c r="BG2026" s="46">
        <v>10.26</v>
      </c>
      <c r="BH2026" s="46">
        <v>0</v>
      </c>
      <c r="BJ2026">
        <v>10260</v>
      </c>
      <c r="BK2026">
        <v>10.26</v>
      </c>
      <c r="BL2026">
        <v>18.91</v>
      </c>
    </row>
    <row r="2027" spans="1:64" x14ac:dyDescent="0.25">
      <c r="A2027" s="136">
        <v>43115</v>
      </c>
      <c r="B2027" s="201" t="s">
        <v>72</v>
      </c>
      <c r="C2027" t="s">
        <v>130</v>
      </c>
      <c r="D2027">
        <v>1900</v>
      </c>
      <c r="E2027">
        <v>1900</v>
      </c>
      <c r="F2027">
        <v>7.0460000000000003</v>
      </c>
      <c r="G2027">
        <v>-105.75</v>
      </c>
      <c r="H2027">
        <v>-0.79</v>
      </c>
      <c r="I2027" s="309">
        <v>13281</v>
      </c>
      <c r="J2027">
        <v>6.99</v>
      </c>
      <c r="K2027" s="133">
        <v>2.5215050816557699E-2</v>
      </c>
      <c r="L2027" s="181">
        <v>-159</v>
      </c>
      <c r="M2027" s="133">
        <v>2.5415825729881401E-2</v>
      </c>
      <c r="N2027" s="181">
        <v>-327.47199999999202</v>
      </c>
      <c r="O2027" s="181">
        <v>-15.122906866949799</v>
      </c>
      <c r="P2027" s="196">
        <v>0</v>
      </c>
      <c r="Q2027" s="196">
        <v>0</v>
      </c>
      <c r="R2027" s="46">
        <v>0</v>
      </c>
      <c r="S2027" s="46">
        <v>13</v>
      </c>
      <c r="T2027" s="46">
        <v>5400</v>
      </c>
      <c r="U2027" s="46">
        <v>8.1460000000000008</v>
      </c>
      <c r="V2027" s="46" t="s">
        <v>68</v>
      </c>
      <c r="W2027" s="46">
        <v>5400</v>
      </c>
      <c r="X2027" s="46">
        <v>8.1460000000000008</v>
      </c>
      <c r="Y2027" s="194">
        <v>7</v>
      </c>
      <c r="Z2027" s="194">
        <v>7.0439999999999996</v>
      </c>
      <c r="AA2027" s="194">
        <v>7.1310000000000002</v>
      </c>
      <c r="AB2027" s="46">
        <v>7.15</v>
      </c>
      <c r="AC2027" s="46">
        <v>7.15</v>
      </c>
      <c r="AD2027" s="46">
        <v>6.94</v>
      </c>
      <c r="AE2027" s="46">
        <v>6.99</v>
      </c>
      <c r="AF2027" s="46">
        <v>25</v>
      </c>
      <c r="AG2027" s="46">
        <v>12500</v>
      </c>
      <c r="AH2027" s="46">
        <v>98730</v>
      </c>
      <c r="AI2027" s="46">
        <v>7.8979999999999997</v>
      </c>
      <c r="AJ2027" s="46">
        <v>25</v>
      </c>
      <c r="AK2027" s="46">
        <v>11800</v>
      </c>
      <c r="AL2027" s="46">
        <v>42194.703000000001</v>
      </c>
      <c r="AM2027" s="46">
        <v>3.5760000000000001</v>
      </c>
      <c r="AN2027" s="46" t="s">
        <v>63</v>
      </c>
      <c r="AO2027" s="46">
        <v>700</v>
      </c>
      <c r="AP2027" s="46">
        <v>56535.296999999999</v>
      </c>
      <c r="AQ2027" s="46">
        <v>80.765000000000001</v>
      </c>
      <c r="AR2027" s="46">
        <v>-50999.6</v>
      </c>
      <c r="AS2027" s="46">
        <v>25</v>
      </c>
      <c r="AT2027" s="46">
        <v>12500</v>
      </c>
      <c r="AU2027" s="46">
        <v>98730</v>
      </c>
      <c r="AV2027" s="46">
        <v>7.8979999999999997</v>
      </c>
      <c r="AW2027" s="46">
        <v>39</v>
      </c>
      <c r="AX2027" s="46">
        <v>17700</v>
      </c>
      <c r="AY2027" s="46">
        <v>86075.713000000003</v>
      </c>
      <c r="AZ2027" s="46">
        <v>4.8630000000000004</v>
      </c>
      <c r="BA2027" s="46" t="s">
        <v>69</v>
      </c>
      <c r="BB2027" s="46">
        <v>5200</v>
      </c>
      <c r="BC2027" s="46">
        <v>12654.287</v>
      </c>
      <c r="BD2027" s="46">
        <v>2.4340000000000002</v>
      </c>
      <c r="BE2027" s="46">
        <v>-37937.5</v>
      </c>
      <c r="BF2027" s="46">
        <v>0</v>
      </c>
      <c r="BH2027" s="46">
        <v>43881.01</v>
      </c>
      <c r="BI2027">
        <v>8.1300000000000008</v>
      </c>
      <c r="BJ2027">
        <v>-43881.01</v>
      </c>
      <c r="BK2027">
        <v>-8.1300000000000008</v>
      </c>
      <c r="BL2027">
        <v>-7296.08</v>
      </c>
    </row>
    <row r="2028" spans="1:64" x14ac:dyDescent="0.25">
      <c r="A2028" s="136">
        <v>43115</v>
      </c>
      <c r="B2028" s="201" t="s">
        <v>70</v>
      </c>
      <c r="C2028" t="s">
        <v>131</v>
      </c>
      <c r="D2028">
        <v>10800</v>
      </c>
      <c r="E2028">
        <v>10800</v>
      </c>
      <c r="F2028">
        <v>12.141999999999999</v>
      </c>
      <c r="G2028">
        <v>-15031.88</v>
      </c>
      <c r="H2028">
        <v>-11.46</v>
      </c>
      <c r="I2028" s="309">
        <v>116100</v>
      </c>
      <c r="J2028">
        <v>10.75</v>
      </c>
      <c r="K2028" s="133">
        <v>0.22042522398933501</v>
      </c>
      <c r="L2028" s="181">
        <v>-5352</v>
      </c>
      <c r="M2028" s="133">
        <v>0.24896446185307999</v>
      </c>
      <c r="N2028" s="181">
        <v>-14166.87</v>
      </c>
      <c r="O2028" s="181">
        <v>-1307.4595166204999</v>
      </c>
      <c r="P2028" s="196">
        <v>2</v>
      </c>
      <c r="Q2028" s="196">
        <v>1000</v>
      </c>
      <c r="R2028" s="46">
        <v>10.885</v>
      </c>
      <c r="S2028" s="46">
        <v>5</v>
      </c>
      <c r="T2028" s="46">
        <v>2000</v>
      </c>
      <c r="U2028" s="46">
        <v>13.114000000000001</v>
      </c>
      <c r="V2028" s="46" t="s">
        <v>68</v>
      </c>
      <c r="W2028" s="46">
        <v>1000</v>
      </c>
      <c r="X2028" s="46">
        <v>15.343</v>
      </c>
      <c r="Y2028" s="194">
        <v>10.967000000000001</v>
      </c>
      <c r="Z2028" s="194">
        <v>12.157999999999999</v>
      </c>
      <c r="AA2028" s="194">
        <v>12.109</v>
      </c>
      <c r="AB2028" s="46">
        <v>11.25</v>
      </c>
      <c r="AC2028" s="46">
        <v>11.25</v>
      </c>
      <c r="AD2028" s="46">
        <v>10.75</v>
      </c>
      <c r="AE2028" s="46">
        <v>10.75</v>
      </c>
      <c r="AF2028" s="46">
        <v>124</v>
      </c>
      <c r="AG2028" s="46">
        <v>61600</v>
      </c>
      <c r="AH2028" s="46">
        <v>832153</v>
      </c>
      <c r="AI2028" s="46">
        <v>13.509</v>
      </c>
      <c r="AJ2028" s="46">
        <v>124</v>
      </c>
      <c r="AK2028" s="46">
        <v>49800</v>
      </c>
      <c r="AL2028" s="46">
        <v>685335.35800000001</v>
      </c>
      <c r="AM2028" s="46">
        <v>13.762</v>
      </c>
      <c r="AN2028" s="46" t="s">
        <v>63</v>
      </c>
      <c r="AO2028" s="46">
        <v>11800</v>
      </c>
      <c r="AP2028" s="46">
        <v>146817.64199999999</v>
      </c>
      <c r="AQ2028" s="46">
        <v>12.442</v>
      </c>
      <c r="AR2028" s="46">
        <v>12599.4</v>
      </c>
      <c r="AS2028" s="46">
        <v>126</v>
      </c>
      <c r="AT2028" s="46">
        <v>62600</v>
      </c>
      <c r="AU2028" s="46">
        <v>843048</v>
      </c>
      <c r="AV2028" s="46">
        <v>13.467000000000001</v>
      </c>
      <c r="AW2028" s="46">
        <v>130</v>
      </c>
      <c r="AX2028" s="46">
        <v>51800</v>
      </c>
      <c r="AY2028" s="46">
        <v>711917.13</v>
      </c>
      <c r="AZ2028" s="46">
        <v>13.744</v>
      </c>
      <c r="BA2028" s="46" t="s">
        <v>63</v>
      </c>
      <c r="BB2028" s="46">
        <v>10800</v>
      </c>
      <c r="BC2028" s="46">
        <v>131130.87</v>
      </c>
      <c r="BD2028" s="46">
        <v>12.141999999999999</v>
      </c>
      <c r="BE2028" s="46">
        <v>14348.6</v>
      </c>
      <c r="BF2028" s="46">
        <v>10895</v>
      </c>
      <c r="BG2028" s="46">
        <v>10.9</v>
      </c>
      <c r="BH2028" s="46">
        <v>26581.771999999899</v>
      </c>
      <c r="BI2028">
        <v>13.29</v>
      </c>
      <c r="BJ2028">
        <v>-15686.772000000001</v>
      </c>
      <c r="BK2028">
        <v>-15.69</v>
      </c>
      <c r="BL2028">
        <v>1172.04</v>
      </c>
    </row>
    <row r="2029" spans="1:64" x14ac:dyDescent="0.25">
      <c r="A2029" s="136">
        <v>43115</v>
      </c>
      <c r="B2029" s="201" t="s">
        <v>146</v>
      </c>
      <c r="C2029" t="s">
        <v>147</v>
      </c>
      <c r="D2029">
        <v>40</v>
      </c>
      <c r="E2029">
        <v>40</v>
      </c>
      <c r="F2029">
        <v>100</v>
      </c>
      <c r="G2029">
        <v>0</v>
      </c>
      <c r="H2029">
        <v>0</v>
      </c>
      <c r="I2029" s="309">
        <v>4000</v>
      </c>
      <c r="J2029">
        <v>0</v>
      </c>
      <c r="K2029" s="133">
        <v>7.59432296259551E-3</v>
      </c>
      <c r="L2029" s="181">
        <v>0</v>
      </c>
      <c r="M2029" s="133">
        <v>7.59432296259551E-3</v>
      </c>
      <c r="N2029" s="181"/>
      <c r="O2029" s="181"/>
      <c r="P2029" s="196"/>
      <c r="Q2029" s="196"/>
    </row>
    <row r="2030" spans="1:64" x14ac:dyDescent="0.25">
      <c r="A2030" s="136">
        <v>43115</v>
      </c>
      <c r="B2030" s="201" t="s">
        <v>137</v>
      </c>
      <c r="C2030" t="s">
        <v>138</v>
      </c>
      <c r="D2030">
        <v>100</v>
      </c>
      <c r="E2030">
        <v>100</v>
      </c>
      <c r="F2030">
        <v>-130.48500000000001</v>
      </c>
      <c r="G2030">
        <v>16818.5</v>
      </c>
      <c r="H2030">
        <v>0</v>
      </c>
      <c r="I2030" s="309">
        <v>3770</v>
      </c>
      <c r="J2030">
        <v>37.700000000000003</v>
      </c>
      <c r="K2030" s="133">
        <v>7.1576493922462696E-3</v>
      </c>
      <c r="L2030" s="181">
        <v>-122</v>
      </c>
      <c r="M2030" s="133">
        <v>0</v>
      </c>
      <c r="N2030" s="181"/>
      <c r="O2030" s="181"/>
      <c r="P2030" s="196"/>
      <c r="Q2030" s="196"/>
    </row>
    <row r="2031" spans="1:64" x14ac:dyDescent="0.25">
      <c r="A2031" s="136">
        <v>43115</v>
      </c>
      <c r="B2031" s="201" t="s">
        <v>835</v>
      </c>
      <c r="C2031" t="s">
        <v>839</v>
      </c>
      <c r="I2031" s="309">
        <v>3921.83</v>
      </c>
      <c r="K2031" s="133">
        <v>7.4459109060989901E-3</v>
      </c>
      <c r="L2031" s="181">
        <v>0</v>
      </c>
      <c r="M2031" s="133">
        <v>0.149900980470762</v>
      </c>
      <c r="N2031" s="181"/>
      <c r="O2031" s="181"/>
      <c r="P2031" s="196"/>
      <c r="Q2031" s="196"/>
    </row>
    <row r="2032" spans="1:64" x14ac:dyDescent="0.25">
      <c r="A2032" s="136">
        <v>43116</v>
      </c>
      <c r="B2032" s="201" t="s">
        <v>132</v>
      </c>
      <c r="C2032" t="s">
        <v>123</v>
      </c>
      <c r="D2032">
        <v>9741540</v>
      </c>
      <c r="E2032">
        <v>7503240</v>
      </c>
      <c r="F2032">
        <v>0.01</v>
      </c>
      <c r="G2032">
        <v>2786.96</v>
      </c>
      <c r="H2032">
        <v>0</v>
      </c>
      <c r="I2032" s="309">
        <v>97415.4</v>
      </c>
      <c r="J2032">
        <v>0.01</v>
      </c>
      <c r="K2032" s="133">
        <v>0.181510147794471</v>
      </c>
      <c r="L2032" s="181">
        <v>0</v>
      </c>
      <c r="M2032" s="133">
        <v>0</v>
      </c>
    </row>
    <row r="2033" spans="1:64" x14ac:dyDescent="0.25">
      <c r="A2033" s="136">
        <v>43116</v>
      </c>
      <c r="B2033" s="201" t="s">
        <v>61</v>
      </c>
      <c r="C2033" t="s">
        <v>136</v>
      </c>
      <c r="D2033">
        <v>3500</v>
      </c>
      <c r="E2033">
        <v>3500</v>
      </c>
      <c r="F2033">
        <v>5.3070000000000004</v>
      </c>
      <c r="G2033">
        <v>-478.52</v>
      </c>
      <c r="H2033">
        <v>-2.58</v>
      </c>
      <c r="I2033" s="309">
        <v>18095</v>
      </c>
      <c r="J2033">
        <v>5.17</v>
      </c>
      <c r="K2033" s="133">
        <v>3.3715676621365397E-2</v>
      </c>
      <c r="L2033" s="181">
        <v>105</v>
      </c>
      <c r="M2033" s="133">
        <v>3.4607283450702499E-2</v>
      </c>
      <c r="N2033" s="73">
        <v>-587.26800000000003</v>
      </c>
      <c r="O2033" s="73">
        <v>-114.19734747081699</v>
      </c>
      <c r="P2033" s="182">
        <v>6</v>
      </c>
      <c r="Q2033" s="182">
        <v>3000</v>
      </c>
      <c r="R2033" s="46">
        <v>5.31</v>
      </c>
      <c r="S2033" s="46">
        <v>0</v>
      </c>
      <c r="T2033" s="46">
        <v>0</v>
      </c>
      <c r="U2033" s="46">
        <v>0</v>
      </c>
      <c r="V2033" s="46" t="s">
        <v>62</v>
      </c>
      <c r="W2033" s="46">
        <v>3000</v>
      </c>
      <c r="X2033" s="46">
        <v>5.31</v>
      </c>
      <c r="Y2033" s="193">
        <v>5.274</v>
      </c>
      <c r="Z2033" s="194">
        <v>5.0620000000000003</v>
      </c>
      <c r="AA2033" s="194">
        <v>5.1539999999999999</v>
      </c>
      <c r="AB2033" s="46">
        <v>5.14</v>
      </c>
      <c r="AC2033" s="46">
        <v>5.17</v>
      </c>
      <c r="AD2033" s="46">
        <v>5.13</v>
      </c>
      <c r="AE2033" s="46">
        <v>5.17</v>
      </c>
      <c r="AF2033" s="46">
        <v>5</v>
      </c>
      <c r="AG2033" s="46">
        <v>2500</v>
      </c>
      <c r="AH2033" s="46">
        <v>13346.5</v>
      </c>
      <c r="AI2033" s="46">
        <v>5.3390000000000004</v>
      </c>
      <c r="AJ2033" s="46">
        <v>5</v>
      </c>
      <c r="AK2033" s="46">
        <v>2000</v>
      </c>
      <c r="AL2033" s="46">
        <v>10731.031999999999</v>
      </c>
      <c r="AM2033" s="46">
        <v>5.3659999999999997</v>
      </c>
      <c r="AN2033" s="46" t="s">
        <v>63</v>
      </c>
      <c r="AO2033" s="46">
        <v>500</v>
      </c>
      <c r="AP2033" s="46">
        <v>2615.4679999999998</v>
      </c>
      <c r="AQ2033" s="46">
        <v>5.2309999999999999</v>
      </c>
      <c r="AR2033" s="46">
        <v>54</v>
      </c>
      <c r="AS2033" s="46">
        <v>11</v>
      </c>
      <c r="AT2033" s="46">
        <v>5500</v>
      </c>
      <c r="AU2033" s="46">
        <v>29308.3</v>
      </c>
      <c r="AV2033" s="46">
        <v>5.3289999999999997</v>
      </c>
      <c r="AW2033" s="46">
        <v>5</v>
      </c>
      <c r="AX2033" s="46">
        <v>2000</v>
      </c>
      <c r="AY2033" s="46">
        <v>10731.031999999999</v>
      </c>
      <c r="AZ2033" s="46">
        <v>5.3659999999999997</v>
      </c>
      <c r="BA2033" s="46" t="s">
        <v>63</v>
      </c>
      <c r="BB2033" s="46">
        <v>3500</v>
      </c>
      <c r="BC2033" s="46">
        <v>18577.268</v>
      </c>
      <c r="BD2033" s="46">
        <v>5.3079999999999998</v>
      </c>
      <c r="BE2033" s="46">
        <v>74</v>
      </c>
      <c r="BF2033" s="46">
        <v>15961.8</v>
      </c>
      <c r="BG2033" s="46">
        <v>5.32</v>
      </c>
      <c r="BH2033" s="46">
        <v>0</v>
      </c>
      <c r="BJ2033">
        <v>15961.8</v>
      </c>
      <c r="BK2033">
        <v>5.32</v>
      </c>
      <c r="BL2033">
        <v>10.44</v>
      </c>
    </row>
    <row r="2034" spans="1:64" x14ac:dyDescent="0.25">
      <c r="A2034" s="136">
        <v>43116</v>
      </c>
      <c r="B2034" s="201" t="s">
        <v>124</v>
      </c>
      <c r="C2034" t="s">
        <v>125</v>
      </c>
      <c r="D2034">
        <v>100</v>
      </c>
      <c r="E2034">
        <v>100</v>
      </c>
      <c r="F2034">
        <v>-53.579000000000001</v>
      </c>
      <c r="G2034">
        <v>6016.9</v>
      </c>
      <c r="H2034">
        <v>0</v>
      </c>
      <c r="I2034" s="309">
        <v>659</v>
      </c>
      <c r="J2034">
        <v>6.59</v>
      </c>
      <c r="K2034" s="133">
        <v>1.2278878636905099E-3</v>
      </c>
      <c r="L2034" s="181">
        <v>16</v>
      </c>
      <c r="M2034" s="133">
        <v>0</v>
      </c>
      <c r="Y2034" s="193">
        <v>6.53</v>
      </c>
      <c r="Z2034" s="193">
        <v>5.3540000000000001</v>
      </c>
      <c r="AA2034" s="193">
        <v>5.9160000000000004</v>
      </c>
      <c r="AB2034" s="46">
        <v>6.43</v>
      </c>
      <c r="AC2034" s="46">
        <v>6.59</v>
      </c>
      <c r="AD2034" s="46">
        <v>6.38</v>
      </c>
      <c r="AE2034" s="46">
        <v>6.59</v>
      </c>
    </row>
    <row r="2035" spans="1:64" x14ac:dyDescent="0.25">
      <c r="A2035" s="136">
        <v>43116</v>
      </c>
      <c r="B2035" s="201" t="s">
        <v>71</v>
      </c>
      <c r="C2035" t="s">
        <v>126</v>
      </c>
      <c r="D2035">
        <v>100</v>
      </c>
      <c r="E2035">
        <v>100</v>
      </c>
      <c r="F2035">
        <v>-17.085999999999999</v>
      </c>
      <c r="G2035">
        <v>2408.6</v>
      </c>
      <c r="H2035">
        <v>0</v>
      </c>
      <c r="I2035" s="309">
        <v>700</v>
      </c>
      <c r="J2035">
        <v>7</v>
      </c>
      <c r="K2035" s="133">
        <v>1.3042814940566901E-3</v>
      </c>
      <c r="L2035" s="181">
        <v>3</v>
      </c>
      <c r="M2035" s="133">
        <v>0</v>
      </c>
      <c r="N2035" s="73">
        <v>1703.3019999999999</v>
      </c>
      <c r="O2035" s="73">
        <v>341.114950423729</v>
      </c>
      <c r="P2035" s="182">
        <v>0</v>
      </c>
      <c r="Q2035" s="182">
        <v>0</v>
      </c>
      <c r="R2035" s="46">
        <v>0</v>
      </c>
      <c r="S2035" s="46">
        <v>7</v>
      </c>
      <c r="T2035" s="46">
        <v>2800</v>
      </c>
      <c r="U2035" s="46">
        <v>6.6749999999999998</v>
      </c>
      <c r="V2035" s="46" t="s">
        <v>68</v>
      </c>
      <c r="W2035" s="46">
        <v>2800</v>
      </c>
      <c r="X2035" s="46">
        <v>6.6749999999999998</v>
      </c>
      <c r="Y2035" s="193">
        <v>7.327</v>
      </c>
      <c r="Z2035" s="194">
        <v>6.2220000000000004</v>
      </c>
      <c r="AA2035" s="194">
        <v>6.5270000000000001</v>
      </c>
      <c r="AB2035" s="46">
        <v>6.94</v>
      </c>
      <c r="AC2035" s="46">
        <v>7.08</v>
      </c>
      <c r="AD2035" s="46">
        <v>6.89</v>
      </c>
      <c r="AE2035" s="46">
        <v>7</v>
      </c>
      <c r="AF2035" s="46">
        <v>41</v>
      </c>
      <c r="AG2035" s="46">
        <v>20600</v>
      </c>
      <c r="AH2035" s="46">
        <v>131323.35999999999</v>
      </c>
      <c r="AI2035" s="46">
        <v>6.375</v>
      </c>
      <c r="AJ2035" s="46">
        <v>39</v>
      </c>
      <c r="AK2035" s="46">
        <v>17700</v>
      </c>
      <c r="AL2035" s="46">
        <v>114228.83100000001</v>
      </c>
      <c r="AM2035" s="46">
        <v>6.4539999999999997</v>
      </c>
      <c r="AN2035" s="46" t="s">
        <v>63</v>
      </c>
      <c r="AO2035" s="46">
        <v>2900</v>
      </c>
      <c r="AP2035" s="46">
        <v>17094.528999999999</v>
      </c>
      <c r="AQ2035" s="46">
        <v>5.8949999999999996</v>
      </c>
      <c r="AR2035" s="46">
        <v>1398.3</v>
      </c>
      <c r="AS2035" s="46">
        <v>41</v>
      </c>
      <c r="AT2035" s="46">
        <v>20600</v>
      </c>
      <c r="AU2035" s="46">
        <v>131323.35999999999</v>
      </c>
      <c r="AV2035" s="46">
        <v>6.375</v>
      </c>
      <c r="AW2035" s="46">
        <v>46</v>
      </c>
      <c r="AX2035" s="46">
        <v>20500</v>
      </c>
      <c r="AY2035" s="46">
        <v>132870.462</v>
      </c>
      <c r="AZ2035" s="46">
        <v>6.4809999999999999</v>
      </c>
      <c r="BA2035" s="46" t="s">
        <v>63</v>
      </c>
      <c r="BB2035" s="46">
        <v>100</v>
      </c>
      <c r="BC2035" s="46">
        <v>1547.1020000000001</v>
      </c>
      <c r="BD2035" s="46">
        <v>15.471</v>
      </c>
      <c r="BE2035" s="46">
        <v>2173</v>
      </c>
      <c r="BF2035" s="46">
        <v>0</v>
      </c>
      <c r="BH2035" s="46">
        <v>18641.631000000001</v>
      </c>
      <c r="BI2035">
        <v>6.66</v>
      </c>
      <c r="BJ2035">
        <v>-15547.427</v>
      </c>
      <c r="BK2035">
        <v>-5.55</v>
      </c>
      <c r="BL2035">
        <v>199.76</v>
      </c>
    </row>
    <row r="2036" spans="1:64" x14ac:dyDescent="0.25">
      <c r="A2036" s="136">
        <v>43116</v>
      </c>
      <c r="B2036" s="201" t="s">
        <v>79</v>
      </c>
      <c r="C2036" t="s">
        <v>143</v>
      </c>
      <c r="D2036">
        <v>4700</v>
      </c>
      <c r="E2036">
        <v>4700</v>
      </c>
      <c r="F2036">
        <v>17.062000000000001</v>
      </c>
      <c r="G2036">
        <v>-8608.57</v>
      </c>
      <c r="H2036">
        <v>-10.74</v>
      </c>
      <c r="I2036" s="309">
        <v>71581</v>
      </c>
      <c r="J2036">
        <v>15.23</v>
      </c>
      <c r="K2036" s="133">
        <v>0.13337396232296</v>
      </c>
      <c r="L2036" s="181">
        <v>611</v>
      </c>
      <c r="M2036" s="133">
        <v>0.14941396023909001</v>
      </c>
      <c r="N2036" s="73">
        <v>-6401.2600000000202</v>
      </c>
      <c r="O2036" s="73">
        <v>-407.51970509554297</v>
      </c>
      <c r="P2036" s="182">
        <v>8</v>
      </c>
      <c r="Q2036" s="182">
        <v>4500</v>
      </c>
      <c r="R2036" s="46">
        <v>17.18</v>
      </c>
      <c r="S2036" s="46">
        <v>0</v>
      </c>
      <c r="T2036" s="46">
        <v>0</v>
      </c>
      <c r="U2036" s="46">
        <v>0</v>
      </c>
      <c r="V2036" s="46" t="s">
        <v>62</v>
      </c>
      <c r="W2036" s="46">
        <v>4500</v>
      </c>
      <c r="X2036" s="46">
        <v>17.18</v>
      </c>
      <c r="Y2036" s="194">
        <v>15.083</v>
      </c>
      <c r="Z2036" s="194">
        <v>15.492000000000001</v>
      </c>
      <c r="AA2036" s="194">
        <v>15.492000000000001</v>
      </c>
      <c r="AB2036" s="46">
        <v>15.11</v>
      </c>
      <c r="AC2036" s="46">
        <v>15.25</v>
      </c>
      <c r="AD2036" s="46">
        <v>15.07</v>
      </c>
      <c r="AE2036" s="46">
        <v>15.23</v>
      </c>
      <c r="AF2036" s="46">
        <v>2</v>
      </c>
      <c r="AG2036" s="46">
        <v>1000</v>
      </c>
      <c r="AH2036" s="46">
        <v>15295.6</v>
      </c>
      <c r="AI2036" s="46">
        <v>15.295999999999999</v>
      </c>
      <c r="AJ2036" s="46">
        <v>2</v>
      </c>
      <c r="AK2036" s="46">
        <v>800</v>
      </c>
      <c r="AL2036" s="46">
        <v>12457.04</v>
      </c>
      <c r="AM2036" s="46">
        <v>15.571</v>
      </c>
      <c r="AN2036" s="46" t="s">
        <v>63</v>
      </c>
      <c r="AO2036" s="46">
        <v>200</v>
      </c>
      <c r="AP2036" s="46">
        <v>2838.56</v>
      </c>
      <c r="AQ2036" s="46">
        <v>14.193</v>
      </c>
      <c r="AR2036" s="46">
        <v>220</v>
      </c>
      <c r="AS2036" s="46">
        <v>10</v>
      </c>
      <c r="AT2036" s="46">
        <v>5500</v>
      </c>
      <c r="AU2036" s="46">
        <v>92648.3</v>
      </c>
      <c r="AV2036" s="46">
        <v>16.844999999999999</v>
      </c>
      <c r="AW2036" s="46">
        <v>2</v>
      </c>
      <c r="AX2036" s="46">
        <v>800</v>
      </c>
      <c r="AY2036" s="46">
        <v>12457.04</v>
      </c>
      <c r="AZ2036" s="46">
        <v>15.571</v>
      </c>
      <c r="BA2036" s="46" t="s">
        <v>63</v>
      </c>
      <c r="BB2036" s="46">
        <v>4700</v>
      </c>
      <c r="BC2036" s="46">
        <v>80191.259999999995</v>
      </c>
      <c r="BD2036" s="46">
        <v>17.062000000000001</v>
      </c>
      <c r="BE2036" s="46">
        <v>-1019.2</v>
      </c>
      <c r="BF2036" s="46">
        <v>77352.7</v>
      </c>
      <c r="BG2036" s="46">
        <v>17.190000000000001</v>
      </c>
      <c r="BH2036" s="46">
        <v>0</v>
      </c>
      <c r="BJ2036">
        <v>77352.7</v>
      </c>
      <c r="BK2036">
        <v>17.190000000000001</v>
      </c>
      <c r="BL2036">
        <v>14.45</v>
      </c>
    </row>
    <row r="2037" spans="1:64" x14ac:dyDescent="0.25">
      <c r="A2037" s="136">
        <v>43116</v>
      </c>
      <c r="B2037" s="201" t="s">
        <v>65</v>
      </c>
      <c r="C2037" t="s">
        <v>127</v>
      </c>
      <c r="D2037">
        <v>7200</v>
      </c>
      <c r="E2037">
        <v>7200</v>
      </c>
      <c r="F2037">
        <v>9.0570000000000004</v>
      </c>
      <c r="G2037">
        <v>25150.77</v>
      </c>
      <c r="H2037">
        <v>38.57</v>
      </c>
      <c r="I2037" s="309">
        <v>90360</v>
      </c>
      <c r="J2037">
        <v>12.55</v>
      </c>
      <c r="K2037" s="133">
        <v>0.168364108289946</v>
      </c>
      <c r="L2037" s="181">
        <v>6466.78</v>
      </c>
      <c r="M2037" s="133">
        <v>0.121501702758123</v>
      </c>
      <c r="N2037" s="73">
        <v>22452.348000000002</v>
      </c>
      <c r="O2037" s="73">
        <v>2092.4459318128302</v>
      </c>
      <c r="P2037" s="182">
        <v>0</v>
      </c>
      <c r="Q2037" s="182">
        <v>0</v>
      </c>
      <c r="R2037" s="46">
        <v>0</v>
      </c>
      <c r="S2037" s="46">
        <v>24</v>
      </c>
      <c r="T2037" s="46">
        <v>10500</v>
      </c>
      <c r="U2037" s="46">
        <v>12.388</v>
      </c>
      <c r="V2037" s="46" t="s">
        <v>68</v>
      </c>
      <c r="W2037" s="46">
        <v>10500</v>
      </c>
      <c r="X2037" s="46">
        <v>12.388</v>
      </c>
      <c r="Y2037" s="193">
        <v>12.297000000000001</v>
      </c>
      <c r="Z2037" s="194">
        <v>11.127000000000001</v>
      </c>
      <c r="AA2037" s="194">
        <v>11.661</v>
      </c>
      <c r="AB2037" s="46">
        <v>11.81</v>
      </c>
      <c r="AC2037" s="46">
        <v>12.8</v>
      </c>
      <c r="AD2037" s="46">
        <v>11.76</v>
      </c>
      <c r="AE2037" s="46">
        <v>12.55</v>
      </c>
      <c r="AF2037" s="46">
        <v>134</v>
      </c>
      <c r="AG2037" s="46">
        <v>75200</v>
      </c>
      <c r="AH2037" s="46">
        <v>877814.23100000003</v>
      </c>
      <c r="AI2037" s="46">
        <v>11.673</v>
      </c>
      <c r="AJ2037" s="46">
        <v>154</v>
      </c>
      <c r="AK2037" s="46">
        <v>66700</v>
      </c>
      <c r="AL2037" s="46">
        <v>681942.65399999998</v>
      </c>
      <c r="AM2037" s="46">
        <v>10.224</v>
      </c>
      <c r="AN2037" s="46" t="s">
        <v>63</v>
      </c>
      <c r="AO2037" s="46">
        <v>8500</v>
      </c>
      <c r="AP2037" s="46">
        <v>195871.57699999999</v>
      </c>
      <c r="AQ2037" s="46">
        <v>23.044</v>
      </c>
      <c r="AR2037" s="46">
        <v>-96648.3</v>
      </c>
      <c r="AS2037" s="46">
        <v>135</v>
      </c>
      <c r="AT2037" s="46">
        <v>75300</v>
      </c>
      <c r="AU2037" s="46">
        <v>879102.23100000003</v>
      </c>
      <c r="AV2037" s="46">
        <v>11.675000000000001</v>
      </c>
      <c r="AW2037" s="46">
        <v>178</v>
      </c>
      <c r="AX2037" s="46">
        <v>77200</v>
      </c>
      <c r="AY2037" s="46">
        <v>811769.57700000005</v>
      </c>
      <c r="AZ2037" s="46">
        <v>10.515000000000001</v>
      </c>
      <c r="BA2037" s="46" t="s">
        <v>69</v>
      </c>
      <c r="BB2037" s="46">
        <v>1900</v>
      </c>
      <c r="BC2037" s="46">
        <v>67332.653999999995</v>
      </c>
      <c r="BD2037" s="46">
        <v>35.438000000000002</v>
      </c>
      <c r="BE2037" s="46">
        <v>-87348</v>
      </c>
      <c r="BF2037" s="46">
        <v>1288</v>
      </c>
      <c r="BH2037" s="46">
        <v>129826.923</v>
      </c>
      <c r="BI2037">
        <v>12.36</v>
      </c>
      <c r="BJ2037">
        <v>-128538.923</v>
      </c>
      <c r="BK2037">
        <v>-12.24</v>
      </c>
      <c r="BL2037">
        <v>-7701.06</v>
      </c>
    </row>
    <row r="2038" spans="1:64" x14ac:dyDescent="0.25">
      <c r="A2038" s="136">
        <v>43116</v>
      </c>
      <c r="B2038" s="201" t="s">
        <v>77</v>
      </c>
      <c r="C2038" t="s">
        <v>128</v>
      </c>
      <c r="D2038">
        <v>4300</v>
      </c>
      <c r="E2038">
        <v>4300</v>
      </c>
      <c r="F2038">
        <v>5.9779999999999998</v>
      </c>
      <c r="G2038">
        <v>-595.27</v>
      </c>
      <c r="H2038">
        <v>-2.31</v>
      </c>
      <c r="I2038" s="309">
        <v>25112</v>
      </c>
      <c r="J2038">
        <v>5.84</v>
      </c>
      <c r="K2038" s="133">
        <v>4.6790166969644997E-2</v>
      </c>
      <c r="L2038" s="181">
        <v>172</v>
      </c>
      <c r="M2038" s="133">
        <v>4.7899309319598099E-2</v>
      </c>
      <c r="N2038" s="73">
        <v>-1272.2139999999999</v>
      </c>
      <c r="O2038" s="73">
        <v>-133.073774655173</v>
      </c>
      <c r="P2038" s="182">
        <v>6</v>
      </c>
      <c r="Q2038" s="182">
        <v>3000</v>
      </c>
      <c r="R2038" s="46">
        <v>6.798</v>
      </c>
      <c r="S2038" s="46">
        <v>0</v>
      </c>
      <c r="T2038" s="46">
        <v>0</v>
      </c>
      <c r="U2038" s="46">
        <v>0</v>
      </c>
      <c r="V2038" s="46" t="s">
        <v>62</v>
      </c>
      <c r="W2038" s="46">
        <v>3000</v>
      </c>
      <c r="X2038" s="46">
        <v>6.798</v>
      </c>
      <c r="Y2038" s="194">
        <v>4.3949999999999996</v>
      </c>
      <c r="Z2038" s="194">
        <v>5.9409999999999998</v>
      </c>
      <c r="AA2038" s="194">
        <v>6.3789999999999996</v>
      </c>
      <c r="AB2038" s="46">
        <v>5.79</v>
      </c>
      <c r="AC2038" s="46">
        <v>5.85</v>
      </c>
      <c r="AD2038" s="46">
        <v>5.76</v>
      </c>
      <c r="AE2038" s="46">
        <v>5.84</v>
      </c>
      <c r="AF2038" s="46">
        <v>39</v>
      </c>
      <c r="AG2038" s="46">
        <v>19500</v>
      </c>
      <c r="AH2038" s="46">
        <v>142169</v>
      </c>
      <c r="AI2038" s="46">
        <v>7.2910000000000004</v>
      </c>
      <c r="AJ2038" s="46">
        <v>39</v>
      </c>
      <c r="AK2038" s="46">
        <v>18200</v>
      </c>
      <c r="AL2038" s="46">
        <v>136881.78599999999</v>
      </c>
      <c r="AM2038" s="46">
        <v>7.5209999999999999</v>
      </c>
      <c r="AN2038" s="46" t="s">
        <v>63</v>
      </c>
      <c r="AO2038" s="46">
        <v>1300</v>
      </c>
      <c r="AP2038" s="46">
        <v>5287.2139999999999</v>
      </c>
      <c r="AQ2038" s="46">
        <v>4.0670000000000002</v>
      </c>
      <c r="AR2038" s="46">
        <v>4186</v>
      </c>
      <c r="AS2038" s="46">
        <v>45</v>
      </c>
      <c r="AT2038" s="46">
        <v>22500</v>
      </c>
      <c r="AU2038" s="46">
        <v>162594</v>
      </c>
      <c r="AV2038" s="46">
        <v>7.226</v>
      </c>
      <c r="AW2038" s="46">
        <v>39</v>
      </c>
      <c r="AX2038" s="46">
        <v>18200</v>
      </c>
      <c r="AY2038" s="46">
        <v>136881.78599999999</v>
      </c>
      <c r="AZ2038" s="46">
        <v>7.5209999999999999</v>
      </c>
      <c r="BA2038" s="46" t="s">
        <v>63</v>
      </c>
      <c r="BB2038" s="46">
        <v>4300</v>
      </c>
      <c r="BC2038" s="46">
        <v>25712.214</v>
      </c>
      <c r="BD2038" s="46">
        <v>5.98</v>
      </c>
      <c r="BE2038" s="46">
        <v>5369</v>
      </c>
      <c r="BF2038" s="46">
        <v>20425</v>
      </c>
      <c r="BG2038" s="46">
        <v>6.81</v>
      </c>
      <c r="BH2038" s="46">
        <v>0</v>
      </c>
      <c r="BJ2038">
        <v>20425</v>
      </c>
      <c r="BK2038">
        <v>6.81</v>
      </c>
      <c r="BL2038">
        <v>716.78</v>
      </c>
    </row>
    <row r="2039" spans="1:64" x14ac:dyDescent="0.25">
      <c r="A2039" s="136">
        <v>43116</v>
      </c>
      <c r="B2039" s="201" t="s">
        <v>67</v>
      </c>
      <c r="C2039" t="s">
        <v>129</v>
      </c>
      <c r="D2039">
        <v>7550</v>
      </c>
      <c r="E2039">
        <v>7550</v>
      </c>
      <c r="F2039">
        <v>8.64</v>
      </c>
      <c r="G2039">
        <v>-1130.92</v>
      </c>
      <c r="H2039">
        <v>-1.74</v>
      </c>
      <c r="I2039" s="309">
        <v>64099.5</v>
      </c>
      <c r="J2039">
        <v>8.49</v>
      </c>
      <c r="K2039" s="133">
        <v>0.119433988040409</v>
      </c>
      <c r="L2039" s="181">
        <v>1029.0999999999999</v>
      </c>
      <c r="M2039" s="133">
        <v>0.121541185222207</v>
      </c>
      <c r="N2039" s="73">
        <v>-1057.68700000025</v>
      </c>
      <c r="O2039" s="73">
        <v>-124.371547823558</v>
      </c>
      <c r="P2039" s="182">
        <v>2</v>
      </c>
      <c r="Q2039" s="182">
        <v>1000</v>
      </c>
      <c r="R2039" s="46">
        <v>5.8949999999999996</v>
      </c>
      <c r="S2039" s="46">
        <v>1</v>
      </c>
      <c r="T2039" s="46">
        <v>400</v>
      </c>
      <c r="U2039" s="46">
        <v>8.5</v>
      </c>
      <c r="V2039" s="46" t="s">
        <v>62</v>
      </c>
      <c r="W2039" s="46">
        <v>600</v>
      </c>
      <c r="X2039" s="46">
        <v>4.1580000000000004</v>
      </c>
      <c r="Y2039" s="193">
        <v>8.5850000000000009</v>
      </c>
      <c r="Z2039" s="194">
        <v>7.806</v>
      </c>
      <c r="AA2039" s="194">
        <v>8.6929999999999996</v>
      </c>
      <c r="AB2039" s="46">
        <v>8.36</v>
      </c>
      <c r="AC2039" s="46">
        <v>8.51</v>
      </c>
      <c r="AD2039" s="46">
        <v>8.36</v>
      </c>
      <c r="AE2039" s="46">
        <v>8.49</v>
      </c>
      <c r="AF2039" s="46">
        <v>156</v>
      </c>
      <c r="AG2039" s="46">
        <v>78000</v>
      </c>
      <c r="AH2039" s="46">
        <v>647317</v>
      </c>
      <c r="AI2039" s="46">
        <v>8.2989999999999995</v>
      </c>
      <c r="AJ2039" s="46">
        <v>158</v>
      </c>
      <c r="AK2039" s="46">
        <v>73650</v>
      </c>
      <c r="AL2039" s="46">
        <v>653725.82900000003</v>
      </c>
      <c r="AM2039" s="46">
        <v>8.8759999999999994</v>
      </c>
      <c r="AN2039" s="46" t="s">
        <v>63</v>
      </c>
      <c r="AO2039" s="46">
        <v>4350</v>
      </c>
      <c r="AP2039" s="46">
        <v>6408.8289999999997</v>
      </c>
      <c r="AQ2039" s="46">
        <v>1.4730000000000001</v>
      </c>
      <c r="AR2039" s="46">
        <v>42496.05</v>
      </c>
      <c r="AS2039" s="46">
        <v>158</v>
      </c>
      <c r="AT2039" s="46">
        <v>79000</v>
      </c>
      <c r="AU2039" s="46">
        <v>653222</v>
      </c>
      <c r="AV2039" s="46">
        <v>8.2690000000000001</v>
      </c>
      <c r="AW2039" s="46">
        <v>159</v>
      </c>
      <c r="AX2039" s="46">
        <v>74050</v>
      </c>
      <c r="AY2039" s="46">
        <v>657117.429</v>
      </c>
      <c r="AZ2039" s="46">
        <v>8.8740000000000006</v>
      </c>
      <c r="BA2039" s="46" t="s">
        <v>63</v>
      </c>
      <c r="BB2039" s="46">
        <v>4950</v>
      </c>
      <c r="BC2039" s="46">
        <v>3895.4290000000001</v>
      </c>
      <c r="BD2039" s="46">
        <v>0.78700000000000003</v>
      </c>
      <c r="BE2039" s="46">
        <v>44800.25</v>
      </c>
      <c r="BF2039" s="46">
        <v>5905</v>
      </c>
      <c r="BG2039" s="46">
        <v>5.91</v>
      </c>
      <c r="BH2039" s="46">
        <v>3391.5999999999799</v>
      </c>
      <c r="BI2039">
        <v>8.48</v>
      </c>
      <c r="BJ2039">
        <v>-2513.4</v>
      </c>
      <c r="BK2039">
        <v>-4.1900000000000004</v>
      </c>
      <c r="BL2039">
        <v>5005.42</v>
      </c>
    </row>
    <row r="2040" spans="1:64" x14ac:dyDescent="0.25">
      <c r="A2040" s="136">
        <v>43116</v>
      </c>
      <c r="B2040" s="201" t="s">
        <v>78</v>
      </c>
      <c r="C2040" t="s">
        <v>142</v>
      </c>
      <c r="D2040">
        <v>1400</v>
      </c>
      <c r="E2040">
        <v>1400</v>
      </c>
      <c r="F2040">
        <v>10.151</v>
      </c>
      <c r="G2040">
        <v>-280.77999999999997</v>
      </c>
      <c r="H2040">
        <v>-1.98</v>
      </c>
      <c r="I2040" s="309">
        <v>13930</v>
      </c>
      <c r="J2040">
        <v>9.9499999999999993</v>
      </c>
      <c r="K2040" s="133">
        <v>2.5955201731728099E-2</v>
      </c>
      <c r="L2040" s="181">
        <v>70</v>
      </c>
      <c r="M2040" s="133">
        <v>2.6478367671587E-2</v>
      </c>
      <c r="N2040" s="73">
        <v>-364.77600000000001</v>
      </c>
      <c r="O2040" s="73">
        <v>-36.864874823053597</v>
      </c>
      <c r="P2040" s="182">
        <v>2</v>
      </c>
      <c r="Q2040" s="182">
        <v>1000</v>
      </c>
      <c r="R2040" s="46">
        <v>10.25</v>
      </c>
      <c r="S2040" s="46">
        <v>0</v>
      </c>
      <c r="T2040" s="46">
        <v>0</v>
      </c>
      <c r="U2040" s="46">
        <v>0</v>
      </c>
      <c r="V2040" s="46" t="s">
        <v>62</v>
      </c>
      <c r="W2040" s="46">
        <v>1000</v>
      </c>
      <c r="X2040" s="46">
        <v>10.25</v>
      </c>
      <c r="Y2040" s="193">
        <v>10.023999999999999</v>
      </c>
      <c r="Z2040" s="194">
        <v>10.78</v>
      </c>
      <c r="AA2040" s="194">
        <v>10.755000000000001</v>
      </c>
      <c r="AB2040" s="46">
        <v>9.81</v>
      </c>
      <c r="AC2040" s="46">
        <v>10.050000000000001</v>
      </c>
      <c r="AD2040" s="46">
        <v>9.73</v>
      </c>
      <c r="AE2040" s="46">
        <v>9.9499999999999993</v>
      </c>
      <c r="AF2040" s="46">
        <v>4</v>
      </c>
      <c r="AG2040" s="46">
        <v>2000</v>
      </c>
      <c r="AH2040" s="46">
        <v>20690</v>
      </c>
      <c r="AI2040" s="46">
        <v>10.345000000000001</v>
      </c>
      <c r="AJ2040" s="46">
        <v>4</v>
      </c>
      <c r="AK2040" s="46">
        <v>1600</v>
      </c>
      <c r="AL2040" s="46">
        <v>16739.223999999998</v>
      </c>
      <c r="AM2040" s="46">
        <v>10.462</v>
      </c>
      <c r="AN2040" s="46" t="s">
        <v>63</v>
      </c>
      <c r="AO2040" s="46">
        <v>400</v>
      </c>
      <c r="AP2040" s="46">
        <v>3950.7759999999998</v>
      </c>
      <c r="AQ2040" s="46">
        <v>9.8770000000000007</v>
      </c>
      <c r="AR2040" s="46">
        <v>187.2</v>
      </c>
      <c r="AS2040" s="46">
        <v>6</v>
      </c>
      <c r="AT2040" s="46">
        <v>3000</v>
      </c>
      <c r="AU2040" s="46">
        <v>30950</v>
      </c>
      <c r="AV2040" s="46">
        <v>10.317</v>
      </c>
      <c r="AW2040" s="46">
        <v>4</v>
      </c>
      <c r="AX2040" s="46">
        <v>1600</v>
      </c>
      <c r="AY2040" s="46">
        <v>16739.223999999998</v>
      </c>
      <c r="AZ2040" s="46">
        <v>10.462</v>
      </c>
      <c r="BA2040" s="46" t="s">
        <v>63</v>
      </c>
      <c r="BB2040" s="46">
        <v>1400</v>
      </c>
      <c r="BC2040" s="46">
        <v>14210.776</v>
      </c>
      <c r="BD2040" s="46">
        <v>10.151</v>
      </c>
      <c r="BE2040" s="46">
        <v>232</v>
      </c>
      <c r="BF2040" s="46">
        <v>10260</v>
      </c>
      <c r="BG2040" s="46">
        <v>10.26</v>
      </c>
      <c r="BH2040" s="46">
        <v>0</v>
      </c>
      <c r="BJ2040">
        <v>10260</v>
      </c>
      <c r="BK2040">
        <v>10.26</v>
      </c>
      <c r="BL2040">
        <v>18.809999999999999</v>
      </c>
    </row>
    <row r="2041" spans="1:64" x14ac:dyDescent="0.25">
      <c r="A2041" s="136">
        <v>43116</v>
      </c>
      <c r="B2041" s="201" t="s">
        <v>72</v>
      </c>
      <c r="C2041" t="s">
        <v>130</v>
      </c>
      <c r="D2041">
        <v>1900</v>
      </c>
      <c r="E2041">
        <v>1900</v>
      </c>
      <c r="F2041">
        <v>7.0460000000000003</v>
      </c>
      <c r="G2041">
        <v>-105.75</v>
      </c>
      <c r="H2041">
        <v>-0.79</v>
      </c>
      <c r="I2041" s="309">
        <v>13281</v>
      </c>
      <c r="J2041">
        <v>6.99</v>
      </c>
      <c r="K2041" s="133">
        <v>2.4745946460809801E-2</v>
      </c>
      <c r="L2041" s="181">
        <v>0</v>
      </c>
      <c r="M2041" s="133">
        <v>2.4942986129376201E-2</v>
      </c>
      <c r="N2041" s="73">
        <v>-327.47199999999202</v>
      </c>
      <c r="O2041" s="73">
        <v>-15.122906866949799</v>
      </c>
      <c r="P2041" s="182">
        <v>0</v>
      </c>
      <c r="Q2041" s="182">
        <v>0</v>
      </c>
      <c r="R2041" s="46">
        <v>0</v>
      </c>
      <c r="S2041" s="46">
        <v>13</v>
      </c>
      <c r="T2041" s="46">
        <v>5400</v>
      </c>
      <c r="U2041" s="46">
        <v>8.1460000000000008</v>
      </c>
      <c r="V2041" s="46" t="s">
        <v>68</v>
      </c>
      <c r="W2041" s="46">
        <v>5400</v>
      </c>
      <c r="X2041" s="46">
        <v>8.1460000000000008</v>
      </c>
      <c r="Y2041" s="194">
        <v>6.976</v>
      </c>
      <c r="Z2041" s="194">
        <v>7.0419999999999998</v>
      </c>
      <c r="AA2041" s="194">
        <v>7.13</v>
      </c>
      <c r="AB2041" s="46">
        <v>6.98</v>
      </c>
      <c r="AC2041" s="46">
        <v>7.04</v>
      </c>
      <c r="AD2041" s="46">
        <v>6.94</v>
      </c>
      <c r="AE2041" s="46">
        <v>6.99</v>
      </c>
      <c r="AF2041" s="46">
        <v>25</v>
      </c>
      <c r="AG2041" s="46">
        <v>12500</v>
      </c>
      <c r="AH2041" s="46">
        <v>98730</v>
      </c>
      <c r="AI2041" s="46">
        <v>7.8979999999999997</v>
      </c>
      <c r="AJ2041" s="46">
        <v>25</v>
      </c>
      <c r="AK2041" s="46">
        <v>11800</v>
      </c>
      <c r="AL2041" s="46">
        <v>42194.703000000001</v>
      </c>
      <c r="AM2041" s="46">
        <v>3.5760000000000001</v>
      </c>
      <c r="AN2041" s="46" t="s">
        <v>63</v>
      </c>
      <c r="AO2041" s="46">
        <v>700</v>
      </c>
      <c r="AP2041" s="46">
        <v>56535.296999999999</v>
      </c>
      <c r="AQ2041" s="46">
        <v>80.765000000000001</v>
      </c>
      <c r="AR2041" s="46">
        <v>-50999.6</v>
      </c>
      <c r="AS2041" s="46">
        <v>25</v>
      </c>
      <c r="AT2041" s="46">
        <v>12500</v>
      </c>
      <c r="AU2041" s="46">
        <v>98730</v>
      </c>
      <c r="AV2041" s="46">
        <v>7.8979999999999997</v>
      </c>
      <c r="AW2041" s="46">
        <v>39</v>
      </c>
      <c r="AX2041" s="46">
        <v>17700</v>
      </c>
      <c r="AY2041" s="46">
        <v>86075.713000000003</v>
      </c>
      <c r="AZ2041" s="46">
        <v>4.8630000000000004</v>
      </c>
      <c r="BA2041" s="46" t="s">
        <v>69</v>
      </c>
      <c r="BB2041" s="46">
        <v>5200</v>
      </c>
      <c r="BC2041" s="46">
        <v>12654.287</v>
      </c>
      <c r="BD2041" s="46">
        <v>2.4340000000000002</v>
      </c>
      <c r="BE2041" s="46">
        <v>-37937.5</v>
      </c>
      <c r="BF2041" s="46">
        <v>0</v>
      </c>
      <c r="BH2041" s="46">
        <v>43881.01</v>
      </c>
      <c r="BI2041">
        <v>8.1300000000000008</v>
      </c>
      <c r="BJ2041">
        <v>-43881.01</v>
      </c>
      <c r="BK2041">
        <v>-8.1300000000000008</v>
      </c>
      <c r="BL2041">
        <v>-7296.08</v>
      </c>
    </row>
    <row r="2042" spans="1:64" x14ac:dyDescent="0.25">
      <c r="A2042" s="136">
        <v>43116</v>
      </c>
      <c r="B2042" s="201" t="s">
        <v>70</v>
      </c>
      <c r="C2042" t="s">
        <v>131</v>
      </c>
      <c r="D2042">
        <v>10800</v>
      </c>
      <c r="E2042">
        <v>10800</v>
      </c>
      <c r="F2042">
        <v>12.141999999999999</v>
      </c>
      <c r="G2042">
        <v>-13735.88</v>
      </c>
      <c r="H2042">
        <v>-10.48</v>
      </c>
      <c r="I2042" s="309">
        <v>117396</v>
      </c>
      <c r="J2042">
        <v>10.87</v>
      </c>
      <c r="K2042" s="133">
        <v>0.21873918610897</v>
      </c>
      <c r="L2042" s="181">
        <v>1296</v>
      </c>
      <c r="M2042" s="133">
        <v>0.244332691949803</v>
      </c>
      <c r="N2042" s="73">
        <v>-14166.87</v>
      </c>
      <c r="O2042" s="73">
        <v>-1307.4595166204999</v>
      </c>
      <c r="P2042" s="182">
        <v>2</v>
      </c>
      <c r="Q2042" s="182">
        <v>1000</v>
      </c>
      <c r="R2042" s="46">
        <v>10.885</v>
      </c>
      <c r="S2042" s="46">
        <v>5</v>
      </c>
      <c r="T2042" s="46">
        <v>2000</v>
      </c>
      <c r="U2042" s="46">
        <v>13.114000000000001</v>
      </c>
      <c r="V2042" s="46" t="s">
        <v>68</v>
      </c>
      <c r="W2042" s="46">
        <v>1000</v>
      </c>
      <c r="X2042" s="46">
        <v>15.343</v>
      </c>
      <c r="Y2042" s="194">
        <v>10.827</v>
      </c>
      <c r="Z2042" s="194">
        <v>12.14</v>
      </c>
      <c r="AA2042" s="194">
        <v>12.101000000000001</v>
      </c>
      <c r="AB2042" s="46">
        <v>10.76</v>
      </c>
      <c r="AC2042" s="46">
        <v>10.92</v>
      </c>
      <c r="AD2042" s="46">
        <v>10.76</v>
      </c>
      <c r="AE2042" s="46">
        <v>10.87</v>
      </c>
      <c r="AF2042" s="46">
        <v>124</v>
      </c>
      <c r="AG2042" s="46">
        <v>61600</v>
      </c>
      <c r="AH2042" s="46">
        <v>832153</v>
      </c>
      <c r="AI2042" s="46">
        <v>13.509</v>
      </c>
      <c r="AJ2042" s="46">
        <v>124</v>
      </c>
      <c r="AK2042" s="46">
        <v>49800</v>
      </c>
      <c r="AL2042" s="46">
        <v>685335.35800000001</v>
      </c>
      <c r="AM2042" s="46">
        <v>13.762</v>
      </c>
      <c r="AN2042" s="46" t="s">
        <v>63</v>
      </c>
      <c r="AO2042" s="46">
        <v>11800</v>
      </c>
      <c r="AP2042" s="46">
        <v>146817.64199999999</v>
      </c>
      <c r="AQ2042" s="46">
        <v>12.442</v>
      </c>
      <c r="AR2042" s="46">
        <v>12599.4</v>
      </c>
      <c r="AS2042" s="46">
        <v>126</v>
      </c>
      <c r="AT2042" s="46">
        <v>62600</v>
      </c>
      <c r="AU2042" s="46">
        <v>843048</v>
      </c>
      <c r="AV2042" s="46">
        <v>13.467000000000001</v>
      </c>
      <c r="AW2042" s="46">
        <v>130</v>
      </c>
      <c r="AX2042" s="46">
        <v>51800</v>
      </c>
      <c r="AY2042" s="46">
        <v>711917.13</v>
      </c>
      <c r="AZ2042" s="46">
        <v>13.744</v>
      </c>
      <c r="BA2042" s="46" t="s">
        <v>63</v>
      </c>
      <c r="BB2042" s="46">
        <v>10800</v>
      </c>
      <c r="BC2042" s="46">
        <v>131130.87</v>
      </c>
      <c r="BD2042" s="46">
        <v>12.141999999999999</v>
      </c>
      <c r="BE2042" s="46">
        <v>14348.6</v>
      </c>
      <c r="BF2042" s="46">
        <v>10895</v>
      </c>
      <c r="BG2042" s="46">
        <v>10.9</v>
      </c>
      <c r="BH2042" s="46">
        <v>26581.771999999899</v>
      </c>
      <c r="BI2042">
        <v>13.29</v>
      </c>
      <c r="BJ2042">
        <v>-15686.772000000001</v>
      </c>
      <c r="BK2042">
        <v>-15.69</v>
      </c>
      <c r="BL2042">
        <v>1159.0999999999999</v>
      </c>
    </row>
    <row r="2043" spans="1:64" x14ac:dyDescent="0.25">
      <c r="A2043" s="136">
        <v>43116</v>
      </c>
      <c r="B2043" s="201" t="s">
        <v>146</v>
      </c>
      <c r="C2043" t="s">
        <v>147</v>
      </c>
      <c r="D2043">
        <v>40</v>
      </c>
      <c r="E2043">
        <v>40</v>
      </c>
      <c r="F2043">
        <v>100</v>
      </c>
      <c r="G2043">
        <v>0</v>
      </c>
      <c r="H2043">
        <v>0</v>
      </c>
      <c r="I2043" s="309">
        <v>4000</v>
      </c>
      <c r="J2043">
        <v>0</v>
      </c>
      <c r="K2043" s="133">
        <v>7.4530371088953598E-3</v>
      </c>
      <c r="L2043" s="181">
        <v>0</v>
      </c>
      <c r="M2043" s="133">
        <v>7.4530371088953598E-3</v>
      </c>
    </row>
    <row r="2044" spans="1:64" x14ac:dyDescent="0.25">
      <c r="A2044" s="136">
        <v>43116</v>
      </c>
      <c r="B2044" s="201" t="s">
        <v>137</v>
      </c>
      <c r="C2044" t="s">
        <v>138</v>
      </c>
      <c r="D2044">
        <v>100</v>
      </c>
      <c r="E2044">
        <v>100</v>
      </c>
      <c r="F2044">
        <v>-130.48500000000001</v>
      </c>
      <c r="G2044">
        <v>17034.5</v>
      </c>
      <c r="H2044">
        <v>0</v>
      </c>
      <c r="I2044" s="309">
        <v>3986</v>
      </c>
      <c r="J2044">
        <v>39.86</v>
      </c>
      <c r="K2044" s="133">
        <v>7.42695147901422E-3</v>
      </c>
      <c r="L2044" s="181">
        <v>216</v>
      </c>
      <c r="M2044" s="133">
        <v>0</v>
      </c>
    </row>
    <row r="2045" spans="1:64" x14ac:dyDescent="0.25">
      <c r="A2045" s="136">
        <v>43116</v>
      </c>
      <c r="B2045" s="201" t="s">
        <v>835</v>
      </c>
      <c r="C2045" t="s">
        <v>839</v>
      </c>
      <c r="I2045" s="309">
        <v>16079.06</v>
      </c>
      <c r="K2045" s="133">
        <v>2.9959457714038702E-2</v>
      </c>
      <c r="L2045" s="181">
        <v>0</v>
      </c>
      <c r="M2045" s="133">
        <v>0.21146960550850999</v>
      </c>
    </row>
    <row r="2046" spans="1:64" x14ac:dyDescent="0.25">
      <c r="A2046" s="136">
        <v>43117</v>
      </c>
      <c r="B2046" s="201" t="s">
        <v>132</v>
      </c>
      <c r="C2046" t="s">
        <v>123</v>
      </c>
      <c r="D2046">
        <v>9999975</v>
      </c>
      <c r="E2046">
        <v>9742175</v>
      </c>
      <c r="F2046">
        <v>0.01</v>
      </c>
      <c r="G2046">
        <v>2793.31</v>
      </c>
      <c r="H2046">
        <v>0</v>
      </c>
      <c r="I2046" s="309">
        <v>99999.75</v>
      </c>
      <c r="J2046">
        <v>0.01</v>
      </c>
      <c r="K2046" s="133">
        <v>0.18770852239930499</v>
      </c>
      <c r="L2046" s="181">
        <v>6.3499999999999099</v>
      </c>
      <c r="M2046" s="133">
        <v>0</v>
      </c>
    </row>
    <row r="2047" spans="1:64" x14ac:dyDescent="0.25">
      <c r="A2047" s="136">
        <v>43117</v>
      </c>
      <c r="B2047" s="201" t="s">
        <v>61</v>
      </c>
      <c r="C2047" t="s">
        <v>136</v>
      </c>
      <c r="D2047">
        <v>3100</v>
      </c>
      <c r="E2047">
        <v>3100</v>
      </c>
      <c r="F2047">
        <v>5.3179999999999996</v>
      </c>
      <c r="G2047">
        <v>-178.66</v>
      </c>
      <c r="H2047">
        <v>-1.0900000000000001</v>
      </c>
      <c r="I2047" s="309">
        <v>16306</v>
      </c>
      <c r="J2047">
        <v>5.26</v>
      </c>
      <c r="K2047" s="133">
        <v>3.0607828182001098E-2</v>
      </c>
      <c r="L2047" s="181">
        <v>299.86</v>
      </c>
      <c r="M2047" s="133">
        <v>3.0943189066521899E-2</v>
      </c>
      <c r="N2047" s="73">
        <v>-244.604000000003</v>
      </c>
      <c r="O2047" s="73">
        <v>-46.656812595420398</v>
      </c>
      <c r="P2047" s="182">
        <v>5</v>
      </c>
      <c r="Q2047" s="182">
        <v>2500</v>
      </c>
      <c r="R2047" s="46">
        <v>5.3259999999999996</v>
      </c>
      <c r="S2047" s="46">
        <v>0</v>
      </c>
      <c r="T2047" s="46">
        <v>0</v>
      </c>
      <c r="U2047" s="46">
        <v>0</v>
      </c>
      <c r="V2047" s="46" t="s">
        <v>62</v>
      </c>
      <c r="W2047" s="46">
        <v>2500</v>
      </c>
      <c r="X2047" s="46">
        <v>5.3259999999999996</v>
      </c>
      <c r="Y2047" s="193">
        <v>5.2409999999999997</v>
      </c>
      <c r="Z2047" s="194">
        <v>4.9950000000000001</v>
      </c>
      <c r="AA2047" s="194">
        <v>5.16</v>
      </c>
      <c r="AB2047" s="46">
        <v>5.16</v>
      </c>
      <c r="AC2047" s="46">
        <v>5.28</v>
      </c>
      <c r="AD2047" s="46">
        <v>5.16</v>
      </c>
      <c r="AE2047" s="46">
        <v>5.26</v>
      </c>
      <c r="AF2047" s="46">
        <v>6</v>
      </c>
      <c r="AG2047" s="46">
        <v>3000</v>
      </c>
      <c r="AH2047" s="46">
        <v>15966.8</v>
      </c>
      <c r="AI2047" s="46">
        <v>5.3220000000000001</v>
      </c>
      <c r="AJ2047" s="46">
        <v>6</v>
      </c>
      <c r="AK2047" s="46">
        <v>2400</v>
      </c>
      <c r="AL2047" s="46">
        <v>12819.696</v>
      </c>
      <c r="AM2047" s="46">
        <v>5.3419999999999996</v>
      </c>
      <c r="AN2047" s="46" t="s">
        <v>63</v>
      </c>
      <c r="AO2047" s="46">
        <v>600</v>
      </c>
      <c r="AP2047" s="46">
        <v>3147.1039999999998</v>
      </c>
      <c r="AQ2047" s="46">
        <v>5.2450000000000001</v>
      </c>
      <c r="AR2047" s="46">
        <v>48</v>
      </c>
      <c r="AS2047" s="46">
        <v>11</v>
      </c>
      <c r="AT2047" s="46">
        <v>5500</v>
      </c>
      <c r="AU2047" s="46">
        <v>29308.3</v>
      </c>
      <c r="AV2047" s="46">
        <v>5.3289999999999997</v>
      </c>
      <c r="AW2047" s="46">
        <v>6</v>
      </c>
      <c r="AX2047" s="46">
        <v>2400</v>
      </c>
      <c r="AY2047" s="46">
        <v>12819.696</v>
      </c>
      <c r="AZ2047" s="46">
        <v>5.3419999999999996</v>
      </c>
      <c r="BA2047" s="46" t="s">
        <v>63</v>
      </c>
      <c r="BB2047" s="46">
        <v>3100</v>
      </c>
      <c r="BC2047" s="46">
        <v>16488.603999999999</v>
      </c>
      <c r="BD2047" s="46">
        <v>5.319</v>
      </c>
      <c r="BE2047" s="46">
        <v>31.2</v>
      </c>
      <c r="BF2047" s="46">
        <v>13341.5</v>
      </c>
      <c r="BG2047" s="46">
        <v>5.34</v>
      </c>
      <c r="BH2047" s="46">
        <v>0</v>
      </c>
      <c r="BJ2047">
        <v>13341.5</v>
      </c>
      <c r="BK2047">
        <v>5.34</v>
      </c>
      <c r="BL2047">
        <v>9.1300000000000008</v>
      </c>
    </row>
    <row r="2048" spans="1:64" x14ac:dyDescent="0.25">
      <c r="A2048" s="136">
        <v>43117</v>
      </c>
      <c r="B2048" s="201" t="s">
        <v>124</v>
      </c>
      <c r="C2048" t="s">
        <v>125</v>
      </c>
      <c r="D2048">
        <v>100</v>
      </c>
      <c r="E2048">
        <v>100</v>
      </c>
      <c r="F2048">
        <v>-53.579000000000001</v>
      </c>
      <c r="G2048">
        <v>6026.9</v>
      </c>
      <c r="H2048">
        <v>0</v>
      </c>
      <c r="I2048" s="309">
        <v>669</v>
      </c>
      <c r="J2048">
        <v>6.69</v>
      </c>
      <c r="K2048" s="133">
        <v>1.2557731542842301E-3</v>
      </c>
      <c r="L2048" s="181">
        <v>10</v>
      </c>
      <c r="M2048" s="133">
        <v>0</v>
      </c>
      <c r="Y2048" s="194">
        <v>6.8849999999999998</v>
      </c>
      <c r="Z2048" s="193">
        <v>5.3230000000000004</v>
      </c>
      <c r="AA2048" s="193">
        <v>5.9370000000000003</v>
      </c>
      <c r="AB2048" s="46">
        <v>6.43</v>
      </c>
      <c r="AC2048" s="46">
        <v>6.59</v>
      </c>
      <c r="AD2048" s="46">
        <v>6.38</v>
      </c>
      <c r="AE2048" s="46">
        <v>6.69</v>
      </c>
    </row>
    <row r="2049" spans="1:64" x14ac:dyDescent="0.25">
      <c r="A2049" s="136">
        <v>43117</v>
      </c>
      <c r="B2049" s="201" t="s">
        <v>71</v>
      </c>
      <c r="C2049" t="s">
        <v>126</v>
      </c>
      <c r="D2049">
        <v>100</v>
      </c>
      <c r="E2049">
        <v>100</v>
      </c>
      <c r="F2049">
        <v>-17.085999999999999</v>
      </c>
      <c r="G2049">
        <v>2403.6</v>
      </c>
      <c r="H2049">
        <v>0</v>
      </c>
      <c r="I2049" s="309">
        <v>695</v>
      </c>
      <c r="J2049">
        <v>6.95</v>
      </c>
      <c r="K2049" s="133">
        <v>1.3045774921189E-3</v>
      </c>
      <c r="L2049" s="181">
        <v>-5</v>
      </c>
      <c r="M2049" s="133">
        <v>0</v>
      </c>
      <c r="N2049" s="73">
        <v>1703.3019999999999</v>
      </c>
      <c r="O2049" s="73">
        <v>341.114950423729</v>
      </c>
      <c r="P2049" s="182">
        <v>0</v>
      </c>
      <c r="Q2049" s="182">
        <v>0</v>
      </c>
      <c r="R2049" s="46">
        <v>0</v>
      </c>
      <c r="S2049" s="46">
        <v>7</v>
      </c>
      <c r="T2049" s="46">
        <v>2800</v>
      </c>
      <c r="U2049" s="46">
        <v>6.6749999999999998</v>
      </c>
      <c r="V2049" s="46" t="s">
        <v>68</v>
      </c>
      <c r="W2049" s="46">
        <v>2800</v>
      </c>
      <c r="X2049" s="46">
        <v>6.6749999999999998</v>
      </c>
      <c r="Y2049" s="193">
        <v>7.032</v>
      </c>
      <c r="Z2049" s="194">
        <v>6.1879999999999997</v>
      </c>
      <c r="AA2049" s="194">
        <v>6.5369999999999999</v>
      </c>
      <c r="AB2049" s="46">
        <v>7.02</v>
      </c>
      <c r="AC2049" s="46">
        <v>7.27</v>
      </c>
      <c r="AD2049" s="46">
        <v>6.89</v>
      </c>
      <c r="AE2049" s="46">
        <v>6.95</v>
      </c>
      <c r="AF2049" s="46">
        <v>41</v>
      </c>
      <c r="AG2049" s="46">
        <v>20600</v>
      </c>
      <c r="AH2049" s="46">
        <v>131323.35999999999</v>
      </c>
      <c r="AI2049" s="46">
        <v>6.375</v>
      </c>
      <c r="AJ2049" s="46">
        <v>39</v>
      </c>
      <c r="AK2049" s="46">
        <v>17700</v>
      </c>
      <c r="AL2049" s="46">
        <v>114228.83100000001</v>
      </c>
      <c r="AM2049" s="46">
        <v>6.4539999999999997</v>
      </c>
      <c r="AN2049" s="46" t="s">
        <v>63</v>
      </c>
      <c r="AO2049" s="46">
        <v>2900</v>
      </c>
      <c r="AP2049" s="46">
        <v>17094.528999999999</v>
      </c>
      <c r="AQ2049" s="46">
        <v>5.8949999999999996</v>
      </c>
      <c r="AR2049" s="46">
        <v>1398.3</v>
      </c>
      <c r="AS2049" s="46">
        <v>41</v>
      </c>
      <c r="AT2049" s="46">
        <v>20600</v>
      </c>
      <c r="AU2049" s="46">
        <v>131323.35999999999</v>
      </c>
      <c r="AV2049" s="46">
        <v>6.375</v>
      </c>
      <c r="AW2049" s="46">
        <v>46</v>
      </c>
      <c r="AX2049" s="46">
        <v>20500</v>
      </c>
      <c r="AY2049" s="46">
        <v>132870.462</v>
      </c>
      <c r="AZ2049" s="46">
        <v>6.4809999999999999</v>
      </c>
      <c r="BA2049" s="46" t="s">
        <v>63</v>
      </c>
      <c r="BB2049" s="46">
        <v>100</v>
      </c>
      <c r="BC2049" s="46">
        <v>1547.1020000000001</v>
      </c>
      <c r="BD2049" s="46">
        <v>15.471</v>
      </c>
      <c r="BE2049" s="46">
        <v>2173</v>
      </c>
      <c r="BF2049" s="46">
        <v>0</v>
      </c>
      <c r="BH2049" s="46">
        <v>18641.631000000001</v>
      </c>
      <c r="BI2049">
        <v>6.66</v>
      </c>
      <c r="BJ2049">
        <v>-15547.427</v>
      </c>
      <c r="BK2049">
        <v>-5.55</v>
      </c>
      <c r="BL2049">
        <v>201.19</v>
      </c>
    </row>
    <row r="2050" spans="1:64" x14ac:dyDescent="0.25">
      <c r="A2050" s="136">
        <v>43117</v>
      </c>
      <c r="B2050" s="201" t="s">
        <v>79</v>
      </c>
      <c r="C2050" t="s">
        <v>143</v>
      </c>
      <c r="D2050">
        <v>4800</v>
      </c>
      <c r="E2050">
        <v>4300</v>
      </c>
      <c r="F2050">
        <v>17.009</v>
      </c>
      <c r="G2050">
        <v>-8489.92</v>
      </c>
      <c r="H2050">
        <v>-10.4</v>
      </c>
      <c r="I2050" s="309">
        <v>73152</v>
      </c>
      <c r="J2050">
        <v>15.24</v>
      </c>
      <c r="K2050" s="133">
        <v>0.13731288158774299</v>
      </c>
      <c r="L2050" s="181">
        <v>118.65</v>
      </c>
      <c r="M2050" s="133">
        <v>0.15324922481348399</v>
      </c>
      <c r="N2050" s="73">
        <v>-8635.8840000000291</v>
      </c>
      <c r="O2050" s="73">
        <v>-567.49283747534696</v>
      </c>
      <c r="P2050" s="182">
        <v>8</v>
      </c>
      <c r="Q2050" s="182">
        <v>4500</v>
      </c>
      <c r="R2050" s="46">
        <v>16.859000000000002</v>
      </c>
      <c r="S2050" s="46">
        <v>0</v>
      </c>
      <c r="T2050" s="46">
        <v>0</v>
      </c>
      <c r="U2050" s="46">
        <v>0</v>
      </c>
      <c r="V2050" s="46" t="s">
        <v>62</v>
      </c>
      <c r="W2050" s="46">
        <v>4500</v>
      </c>
      <c r="X2050" s="46">
        <v>16.859000000000002</v>
      </c>
      <c r="Y2050" s="193">
        <v>16.103999999999999</v>
      </c>
      <c r="Z2050" s="194">
        <v>15.489000000000001</v>
      </c>
      <c r="AA2050" s="194">
        <v>15.49</v>
      </c>
      <c r="AB2050" s="46">
        <v>15.17</v>
      </c>
      <c r="AC2050" s="46">
        <v>15.3</v>
      </c>
      <c r="AD2050" s="46">
        <v>15.01</v>
      </c>
      <c r="AE2050" s="46">
        <v>15.24</v>
      </c>
      <c r="AF2050" s="46">
        <v>3</v>
      </c>
      <c r="AG2050" s="46">
        <v>1500</v>
      </c>
      <c r="AH2050" s="46">
        <v>24265.9</v>
      </c>
      <c r="AI2050" s="46">
        <v>16.177</v>
      </c>
      <c r="AJ2050" s="46">
        <v>3</v>
      </c>
      <c r="AK2050" s="46">
        <v>1200</v>
      </c>
      <c r="AL2050" s="46">
        <v>18529.716</v>
      </c>
      <c r="AM2050" s="46">
        <v>15.441000000000001</v>
      </c>
      <c r="AN2050" s="46" t="s">
        <v>63</v>
      </c>
      <c r="AO2050" s="46">
        <v>300</v>
      </c>
      <c r="AP2050" s="46">
        <v>5736.1840000000002</v>
      </c>
      <c r="AQ2050" s="46">
        <v>19.120999999999999</v>
      </c>
      <c r="AR2050" s="46">
        <v>-883.2</v>
      </c>
      <c r="AS2050" s="46">
        <v>11</v>
      </c>
      <c r="AT2050" s="46">
        <v>6000</v>
      </c>
      <c r="AU2050" s="46">
        <v>100173.6</v>
      </c>
      <c r="AV2050" s="46">
        <v>16.696000000000002</v>
      </c>
      <c r="AW2050" s="46">
        <v>3</v>
      </c>
      <c r="AX2050" s="46">
        <v>1200</v>
      </c>
      <c r="AY2050" s="46">
        <v>18529.716</v>
      </c>
      <c r="AZ2050" s="46">
        <v>15.441000000000001</v>
      </c>
      <c r="BA2050" s="46" t="s">
        <v>63</v>
      </c>
      <c r="BB2050" s="46">
        <v>4800</v>
      </c>
      <c r="BC2050" s="46">
        <v>81643.884000000005</v>
      </c>
      <c r="BD2050" s="46">
        <v>17.009</v>
      </c>
      <c r="BE2050" s="46">
        <v>-1506</v>
      </c>
      <c r="BF2050" s="46">
        <v>75907.7</v>
      </c>
      <c r="BG2050" s="46">
        <v>16.87</v>
      </c>
      <c r="BH2050" s="46">
        <v>0</v>
      </c>
      <c r="BJ2050">
        <v>75907.7</v>
      </c>
      <c r="BK2050">
        <v>16.87</v>
      </c>
      <c r="BL2050">
        <v>-57.95</v>
      </c>
    </row>
    <row r="2051" spans="1:64" x14ac:dyDescent="0.25">
      <c r="A2051" s="136">
        <v>43117</v>
      </c>
      <c r="B2051" s="201" t="s">
        <v>65</v>
      </c>
      <c r="C2051" t="s">
        <v>127</v>
      </c>
      <c r="D2051">
        <v>7900</v>
      </c>
      <c r="E2051">
        <v>6700</v>
      </c>
      <c r="F2051">
        <v>9.3520000000000003</v>
      </c>
      <c r="G2051">
        <v>22659.66</v>
      </c>
      <c r="H2051">
        <v>30.67</v>
      </c>
      <c r="I2051" s="309">
        <v>96538</v>
      </c>
      <c r="J2051">
        <v>12.22</v>
      </c>
      <c r="K2051" s="133">
        <v>0.18121050638010699</v>
      </c>
      <c r="L2051" s="181">
        <v>-2491.11</v>
      </c>
      <c r="M2051" s="133">
        <v>0.13867628707785201</v>
      </c>
      <c r="N2051" s="73">
        <v>18298.242999999999</v>
      </c>
      <c r="O2051" s="73">
        <v>1848.3625390458501</v>
      </c>
      <c r="P2051" s="182">
        <v>0</v>
      </c>
      <c r="Q2051" s="182">
        <v>0</v>
      </c>
      <c r="R2051" s="46">
        <v>0</v>
      </c>
      <c r="S2051" s="46">
        <v>22</v>
      </c>
      <c r="T2051" s="46">
        <v>9700</v>
      </c>
      <c r="U2051" s="46">
        <v>12.388999999999999</v>
      </c>
      <c r="V2051" s="46" t="s">
        <v>68</v>
      </c>
      <c r="W2051" s="46">
        <v>9700</v>
      </c>
      <c r="X2051" s="46">
        <v>12.388999999999999</v>
      </c>
      <c r="Y2051" s="194">
        <v>12.196999999999999</v>
      </c>
      <c r="Z2051" s="194">
        <v>11.243</v>
      </c>
      <c r="AA2051" s="194">
        <v>11.677</v>
      </c>
      <c r="AB2051" s="46">
        <v>12.49</v>
      </c>
      <c r="AC2051" s="46">
        <v>12.5</v>
      </c>
      <c r="AD2051" s="46">
        <v>11.99</v>
      </c>
      <c r="AE2051" s="46">
        <v>12.22</v>
      </c>
      <c r="AF2051" s="46">
        <v>137</v>
      </c>
      <c r="AG2051" s="46">
        <v>76400</v>
      </c>
      <c r="AH2051" s="46">
        <v>892577.23100000003</v>
      </c>
      <c r="AI2051" s="46">
        <v>11.683</v>
      </c>
      <c r="AJ2051" s="46">
        <v>157</v>
      </c>
      <c r="AK2051" s="46">
        <v>68000</v>
      </c>
      <c r="AL2051" s="46">
        <v>697919.64599999995</v>
      </c>
      <c r="AM2051" s="46">
        <v>10.263999999999999</v>
      </c>
      <c r="AN2051" s="46" t="s">
        <v>63</v>
      </c>
      <c r="AO2051" s="46">
        <v>8400</v>
      </c>
      <c r="AP2051" s="46">
        <v>194657.58499999999</v>
      </c>
      <c r="AQ2051" s="46">
        <v>23.173999999999999</v>
      </c>
      <c r="AR2051" s="46">
        <v>-96492</v>
      </c>
      <c r="AS2051" s="46">
        <v>138</v>
      </c>
      <c r="AT2051" s="46">
        <v>76500</v>
      </c>
      <c r="AU2051" s="46">
        <v>893865.23100000003</v>
      </c>
      <c r="AV2051" s="46">
        <v>11.685</v>
      </c>
      <c r="AW2051" s="46">
        <v>179</v>
      </c>
      <c r="AX2051" s="46">
        <v>77700</v>
      </c>
      <c r="AY2051" s="46">
        <v>817863.47199999995</v>
      </c>
      <c r="AZ2051" s="46">
        <v>10.526</v>
      </c>
      <c r="BA2051" s="46" t="s">
        <v>69</v>
      </c>
      <c r="BB2051" s="46">
        <v>1200</v>
      </c>
      <c r="BC2051" s="46">
        <v>76001.759000000005</v>
      </c>
      <c r="BD2051" s="46">
        <v>63.335000000000001</v>
      </c>
      <c r="BE2051" s="46">
        <v>-88663.5</v>
      </c>
      <c r="BF2051" s="46">
        <v>1288</v>
      </c>
      <c r="BH2051" s="46">
        <v>119943.826</v>
      </c>
      <c r="BI2051">
        <v>12.37</v>
      </c>
      <c r="BJ2051">
        <v>-118655.826</v>
      </c>
      <c r="BK2051">
        <v>-12.23</v>
      </c>
      <c r="BL2051">
        <v>-7896.24</v>
      </c>
    </row>
    <row r="2052" spans="1:64" x14ac:dyDescent="0.25">
      <c r="A2052" s="136">
        <v>43117</v>
      </c>
      <c r="B2052" s="201" t="s">
        <v>77</v>
      </c>
      <c r="C2052" t="s">
        <v>128</v>
      </c>
      <c r="D2052">
        <v>4300</v>
      </c>
      <c r="E2052">
        <v>4300</v>
      </c>
      <c r="F2052">
        <v>5.9779999999999998</v>
      </c>
      <c r="G2052">
        <v>-595.27</v>
      </c>
      <c r="H2052">
        <v>-2.31</v>
      </c>
      <c r="I2052" s="309">
        <v>25112</v>
      </c>
      <c r="J2052">
        <v>5.84</v>
      </c>
      <c r="K2052" s="133">
        <v>4.71374819886183E-2</v>
      </c>
      <c r="L2052" s="181">
        <v>0</v>
      </c>
      <c r="M2052" s="133">
        <v>4.8254857303343002E-2</v>
      </c>
      <c r="N2052" s="73">
        <v>-1272.2139999999999</v>
      </c>
      <c r="O2052" s="73">
        <v>-133.073774655173</v>
      </c>
      <c r="P2052" s="182">
        <v>6</v>
      </c>
      <c r="Q2052" s="182">
        <v>3000</v>
      </c>
      <c r="R2052" s="46">
        <v>6.798</v>
      </c>
      <c r="S2052" s="46">
        <v>0</v>
      </c>
      <c r="T2052" s="46">
        <v>0</v>
      </c>
      <c r="U2052" s="46">
        <v>0</v>
      </c>
      <c r="V2052" s="46" t="s">
        <v>62</v>
      </c>
      <c r="W2052" s="46">
        <v>3000</v>
      </c>
      <c r="X2052" s="46">
        <v>6.798</v>
      </c>
      <c r="Y2052" s="46">
        <v>4.3949999999999996</v>
      </c>
      <c r="Z2052" s="46">
        <v>5.9409999999999998</v>
      </c>
      <c r="AA2052" s="46">
        <v>6.3789999999999996</v>
      </c>
      <c r="AB2052" s="46">
        <v>5.84</v>
      </c>
      <c r="AC2052" s="46">
        <v>5.84</v>
      </c>
      <c r="AD2052" s="46">
        <v>5.84</v>
      </c>
      <c r="AE2052" s="46">
        <v>5.84</v>
      </c>
      <c r="AF2052" s="46">
        <v>39</v>
      </c>
      <c r="AG2052" s="46">
        <v>19500</v>
      </c>
      <c r="AH2052" s="46">
        <v>142169</v>
      </c>
      <c r="AI2052" s="46">
        <v>7.2910000000000004</v>
      </c>
      <c r="AJ2052" s="46">
        <v>39</v>
      </c>
      <c r="AK2052" s="46">
        <v>18200</v>
      </c>
      <c r="AL2052" s="46">
        <v>136881.78599999999</v>
      </c>
      <c r="AM2052" s="46">
        <v>7.5209999999999999</v>
      </c>
      <c r="AN2052" s="46" t="s">
        <v>63</v>
      </c>
      <c r="AO2052" s="46">
        <v>1300</v>
      </c>
      <c r="AP2052" s="46">
        <v>5287.2139999999999</v>
      </c>
      <c r="AQ2052" s="46">
        <v>4.0670000000000002</v>
      </c>
      <c r="AR2052" s="46">
        <v>4186</v>
      </c>
      <c r="AS2052" s="46">
        <v>45</v>
      </c>
      <c r="AT2052" s="46">
        <v>22500</v>
      </c>
      <c r="AU2052" s="46">
        <v>162594</v>
      </c>
      <c r="AV2052" s="46">
        <v>7.226</v>
      </c>
      <c r="AW2052" s="46">
        <v>39</v>
      </c>
      <c r="AX2052" s="46">
        <v>18200</v>
      </c>
      <c r="AY2052" s="46">
        <v>136881.78599999999</v>
      </c>
      <c r="AZ2052" s="46">
        <v>7.5209999999999999</v>
      </c>
      <c r="BA2052" s="46" t="s">
        <v>63</v>
      </c>
      <c r="BB2052" s="46">
        <v>4300</v>
      </c>
      <c r="BC2052" s="46">
        <v>25712.214</v>
      </c>
      <c r="BD2052" s="46">
        <v>5.98</v>
      </c>
      <c r="BE2052" s="46">
        <v>5369</v>
      </c>
      <c r="BF2052" s="46">
        <v>20425</v>
      </c>
      <c r="BG2052" s="46">
        <v>6.81</v>
      </c>
      <c r="BH2052" s="46">
        <v>0</v>
      </c>
      <c r="BJ2052">
        <v>20425</v>
      </c>
      <c r="BK2052">
        <v>6.81</v>
      </c>
      <c r="BL2052">
        <v>716.78</v>
      </c>
    </row>
    <row r="2053" spans="1:64" x14ac:dyDescent="0.25">
      <c r="A2053" s="136">
        <v>43117</v>
      </c>
      <c r="B2053" s="201" t="s">
        <v>67</v>
      </c>
      <c r="C2053" t="s">
        <v>129</v>
      </c>
      <c r="D2053">
        <v>8050</v>
      </c>
      <c r="E2053">
        <v>7550</v>
      </c>
      <c r="F2053">
        <v>8.6219999999999999</v>
      </c>
      <c r="G2053">
        <v>-2509.92</v>
      </c>
      <c r="H2053">
        <v>-3.62</v>
      </c>
      <c r="I2053" s="309">
        <v>66895.5</v>
      </c>
      <c r="J2053">
        <v>8.31</v>
      </c>
      <c r="K2053" s="133">
        <v>0.12556886852379801</v>
      </c>
      <c r="L2053" s="181">
        <v>-1379</v>
      </c>
      <c r="M2053" s="133">
        <v>0.13028021404756701</v>
      </c>
      <c r="N2053" s="73">
        <v>-2270.68700000024</v>
      </c>
      <c r="O2053" s="73">
        <v>-272.12849598324198</v>
      </c>
      <c r="P2053" s="182">
        <v>2</v>
      </c>
      <c r="Q2053" s="182">
        <v>1000</v>
      </c>
      <c r="R2053" s="46">
        <v>5.8949999999999996</v>
      </c>
      <c r="S2053" s="46">
        <v>0</v>
      </c>
      <c r="T2053" s="46">
        <v>0</v>
      </c>
      <c r="U2053" s="46">
        <v>0</v>
      </c>
      <c r="V2053" s="46" t="s">
        <v>62</v>
      </c>
      <c r="W2053" s="46">
        <v>1000</v>
      </c>
      <c r="X2053" s="46">
        <v>5.8949999999999996</v>
      </c>
      <c r="Y2053" s="194">
        <v>8.3179999999999996</v>
      </c>
      <c r="Z2053" s="194">
        <v>7.85</v>
      </c>
      <c r="AA2053" s="194">
        <v>8.6890000000000001</v>
      </c>
      <c r="AB2053" s="46">
        <v>8.49</v>
      </c>
      <c r="AC2053" s="46">
        <v>8.49</v>
      </c>
      <c r="AD2053" s="46">
        <v>8.27</v>
      </c>
      <c r="AE2053" s="46">
        <v>8.31</v>
      </c>
      <c r="AF2053" s="46">
        <v>157</v>
      </c>
      <c r="AG2053" s="46">
        <v>78500</v>
      </c>
      <c r="AH2053" s="46">
        <v>651492</v>
      </c>
      <c r="AI2053" s="46">
        <v>8.2989999999999995</v>
      </c>
      <c r="AJ2053" s="46">
        <v>159</v>
      </c>
      <c r="AK2053" s="46">
        <v>74050</v>
      </c>
      <c r="AL2053" s="46">
        <v>657117.429</v>
      </c>
      <c r="AM2053" s="46">
        <v>8.8740000000000006</v>
      </c>
      <c r="AN2053" s="46" t="s">
        <v>63</v>
      </c>
      <c r="AO2053" s="46">
        <v>4450</v>
      </c>
      <c r="AP2053" s="46">
        <v>5625.4290000000001</v>
      </c>
      <c r="AQ2053" s="46">
        <v>1.264</v>
      </c>
      <c r="AR2053" s="46">
        <v>42578.75</v>
      </c>
      <c r="AS2053" s="46">
        <v>159</v>
      </c>
      <c r="AT2053" s="46">
        <v>79500</v>
      </c>
      <c r="AU2053" s="46">
        <v>657397</v>
      </c>
      <c r="AV2053" s="46">
        <v>8.2690000000000001</v>
      </c>
      <c r="AW2053" s="46">
        <v>159</v>
      </c>
      <c r="AX2053" s="46">
        <v>74050</v>
      </c>
      <c r="AY2053" s="46">
        <v>657117.429</v>
      </c>
      <c r="AZ2053" s="46">
        <v>8.8740000000000006</v>
      </c>
      <c r="BA2053" s="46" t="s">
        <v>63</v>
      </c>
      <c r="BB2053" s="46">
        <v>5450</v>
      </c>
      <c r="BC2053" s="46">
        <v>279.57100000000003</v>
      </c>
      <c r="BD2053" s="46">
        <v>5.0999999999999997E-2</v>
      </c>
      <c r="BE2053" s="46">
        <v>44800.25</v>
      </c>
      <c r="BF2053" s="46">
        <v>5905</v>
      </c>
      <c r="BG2053" s="46">
        <v>5.91</v>
      </c>
      <c r="BH2053" s="46">
        <v>0</v>
      </c>
      <c r="BJ2053">
        <v>-5345.8580000000002</v>
      </c>
      <c r="BK2053">
        <v>-5.35</v>
      </c>
      <c r="BL2053">
        <v>5123.8</v>
      </c>
    </row>
    <row r="2054" spans="1:64" x14ac:dyDescent="0.25">
      <c r="A2054" s="136">
        <v>43117</v>
      </c>
      <c r="B2054" s="201" t="s">
        <v>78</v>
      </c>
      <c r="C2054" t="s">
        <v>142</v>
      </c>
      <c r="D2054">
        <v>600</v>
      </c>
      <c r="E2054">
        <v>600</v>
      </c>
      <c r="F2054">
        <v>10.095000000000001</v>
      </c>
      <c r="G2054">
        <v>21.05</v>
      </c>
      <c r="H2054">
        <v>0.35</v>
      </c>
      <c r="I2054" s="309">
        <v>6078</v>
      </c>
      <c r="J2054">
        <v>10.130000000000001</v>
      </c>
      <c r="K2054" s="133">
        <v>1.1408952513811001E-2</v>
      </c>
      <c r="L2054" s="181">
        <v>301.83</v>
      </c>
      <c r="M2054" s="133">
        <v>1.13694397710641E-2</v>
      </c>
      <c r="N2054" s="73">
        <v>105.05200000000001</v>
      </c>
      <c r="O2054" s="73">
        <v>10.2239020447906</v>
      </c>
      <c r="P2054" s="182">
        <v>6</v>
      </c>
      <c r="Q2054" s="182">
        <v>3000</v>
      </c>
      <c r="R2054" s="46">
        <v>6.798</v>
      </c>
      <c r="S2054" s="46">
        <v>0</v>
      </c>
      <c r="T2054" s="46">
        <v>0</v>
      </c>
      <c r="U2054" s="46">
        <v>0</v>
      </c>
      <c r="V2054" s="46" t="s">
        <v>62</v>
      </c>
      <c r="W2054" s="46">
        <v>3000</v>
      </c>
      <c r="X2054" s="46">
        <v>6.798</v>
      </c>
      <c r="Y2054" s="193">
        <v>10.824999999999999</v>
      </c>
      <c r="Z2054" s="194">
        <v>10.779</v>
      </c>
      <c r="AA2054" s="194">
        <v>10.726000000000001</v>
      </c>
      <c r="AB2054" s="46">
        <v>9.8800000000000008</v>
      </c>
      <c r="AC2054" s="46">
        <v>10.29</v>
      </c>
      <c r="AD2054" s="46">
        <v>9.83</v>
      </c>
      <c r="AE2054" s="46">
        <v>10.130000000000001</v>
      </c>
      <c r="AF2054" s="46">
        <v>6</v>
      </c>
      <c r="AG2054" s="46">
        <v>3000</v>
      </c>
      <c r="AH2054" s="46">
        <v>30950</v>
      </c>
      <c r="AI2054" s="46">
        <v>10.317</v>
      </c>
      <c r="AJ2054" s="46">
        <v>6</v>
      </c>
      <c r="AK2054" s="46">
        <v>2400</v>
      </c>
      <c r="AL2054" s="46">
        <v>24893.052</v>
      </c>
      <c r="AM2054" s="46">
        <v>10.372</v>
      </c>
      <c r="AN2054" s="46" t="s">
        <v>63</v>
      </c>
      <c r="AO2054" s="46">
        <v>600</v>
      </c>
      <c r="AP2054" s="46">
        <v>6056.9480000000003</v>
      </c>
      <c r="AQ2054" s="46">
        <v>10.095000000000001</v>
      </c>
      <c r="AR2054" s="46">
        <v>132</v>
      </c>
      <c r="AS2054" s="46">
        <v>6</v>
      </c>
      <c r="AT2054" s="46">
        <v>3000</v>
      </c>
      <c r="AU2054" s="46">
        <v>30950</v>
      </c>
      <c r="AV2054" s="46">
        <v>10.317</v>
      </c>
      <c r="AW2054" s="46">
        <v>6</v>
      </c>
      <c r="AX2054" s="46">
        <v>2400</v>
      </c>
      <c r="AY2054" s="46">
        <v>24893.052</v>
      </c>
      <c r="AZ2054" s="46">
        <v>10.372</v>
      </c>
      <c r="BA2054" s="46" t="s">
        <v>63</v>
      </c>
      <c r="BB2054" s="46">
        <v>600</v>
      </c>
      <c r="BC2054" s="46">
        <v>6056.9480000000003</v>
      </c>
      <c r="BD2054" s="46">
        <v>10.095000000000001</v>
      </c>
      <c r="BE2054" s="46">
        <v>132</v>
      </c>
      <c r="BF2054" s="46">
        <v>0</v>
      </c>
      <c r="BG2054" s="46">
        <v>0</v>
      </c>
      <c r="BH2054" s="46">
        <v>0</v>
      </c>
      <c r="BJ2054">
        <v>0</v>
      </c>
      <c r="BK2054">
        <v>0</v>
      </c>
      <c r="BL2054">
        <v>13.03</v>
      </c>
    </row>
    <row r="2055" spans="1:64" x14ac:dyDescent="0.25">
      <c r="A2055" s="136">
        <v>43117</v>
      </c>
      <c r="B2055" s="201" t="s">
        <v>72</v>
      </c>
      <c r="C2055" t="s">
        <v>130</v>
      </c>
      <c r="D2055">
        <v>1900</v>
      </c>
      <c r="E2055">
        <v>1900</v>
      </c>
      <c r="F2055">
        <v>7.0460000000000003</v>
      </c>
      <c r="G2055">
        <v>-276.75</v>
      </c>
      <c r="H2055">
        <v>-2.0699999999999998</v>
      </c>
      <c r="I2055" s="309">
        <v>13110</v>
      </c>
      <c r="J2055">
        <v>6.9</v>
      </c>
      <c r="K2055" s="133">
        <v>2.4608648808170899E-2</v>
      </c>
      <c r="L2055" s="181">
        <v>-171</v>
      </c>
      <c r="M2055" s="133">
        <v>2.5128133442622502E-2</v>
      </c>
      <c r="N2055" s="73">
        <v>-327.47199999999202</v>
      </c>
      <c r="O2055" s="73">
        <v>-15.122906866949799</v>
      </c>
      <c r="P2055" s="182">
        <v>0</v>
      </c>
      <c r="Q2055" s="182">
        <v>0</v>
      </c>
      <c r="R2055" s="46">
        <v>0</v>
      </c>
      <c r="S2055" s="46">
        <v>13</v>
      </c>
      <c r="T2055" s="46">
        <v>5400</v>
      </c>
      <c r="U2055" s="46">
        <v>8.1460000000000008</v>
      </c>
      <c r="V2055" s="46" t="s">
        <v>68</v>
      </c>
      <c r="W2055" s="46">
        <v>5400</v>
      </c>
      <c r="X2055" s="46">
        <v>8.1460000000000008</v>
      </c>
      <c r="Y2055" s="194">
        <v>6.8780000000000001</v>
      </c>
      <c r="Z2055" s="194">
        <v>7.0339999999999998</v>
      </c>
      <c r="AA2055" s="194">
        <v>7.1269999999999998</v>
      </c>
      <c r="AB2055" s="46">
        <v>7.04</v>
      </c>
      <c r="AC2055" s="46">
        <v>7.04</v>
      </c>
      <c r="AD2055" s="46">
        <v>6.83</v>
      </c>
      <c r="AE2055" s="46">
        <v>6.9</v>
      </c>
      <c r="AF2055" s="46">
        <v>25</v>
      </c>
      <c r="AG2055" s="46">
        <v>12500</v>
      </c>
      <c r="AH2055" s="46">
        <v>98730</v>
      </c>
      <c r="AI2055" s="46">
        <v>7.8979999999999997</v>
      </c>
      <c r="AJ2055" s="46">
        <v>25</v>
      </c>
      <c r="AK2055" s="46">
        <v>11800</v>
      </c>
      <c r="AL2055" s="46">
        <v>42194.703000000001</v>
      </c>
      <c r="AM2055" s="46">
        <v>3.5760000000000001</v>
      </c>
      <c r="AN2055" s="46" t="s">
        <v>63</v>
      </c>
      <c r="AO2055" s="46">
        <v>700</v>
      </c>
      <c r="AP2055" s="46">
        <v>56535.296999999999</v>
      </c>
      <c r="AQ2055" s="46">
        <v>80.765000000000001</v>
      </c>
      <c r="AR2055" s="46">
        <v>-50999.6</v>
      </c>
      <c r="AS2055" s="46">
        <v>25</v>
      </c>
      <c r="AT2055" s="46">
        <v>12500</v>
      </c>
      <c r="AU2055" s="46">
        <v>98730</v>
      </c>
      <c r="AV2055" s="46">
        <v>7.8979999999999997</v>
      </c>
      <c r="AW2055" s="46">
        <v>39</v>
      </c>
      <c r="AX2055" s="46">
        <v>17700</v>
      </c>
      <c r="AY2055" s="46">
        <v>86075.713000000003</v>
      </c>
      <c r="AZ2055" s="46">
        <v>4.8630000000000004</v>
      </c>
      <c r="BA2055" s="46" t="s">
        <v>69</v>
      </c>
      <c r="BB2055" s="46">
        <v>5200</v>
      </c>
      <c r="BC2055" s="46">
        <v>12654.287</v>
      </c>
      <c r="BD2055" s="46">
        <v>2.4340000000000002</v>
      </c>
      <c r="BE2055" s="46">
        <v>-37937.5</v>
      </c>
      <c r="BF2055" s="46">
        <v>0</v>
      </c>
      <c r="BH2055" s="46">
        <v>43881.01</v>
      </c>
      <c r="BI2055">
        <v>8.1300000000000008</v>
      </c>
      <c r="BJ2055">
        <v>-43881.01</v>
      </c>
      <c r="BK2055">
        <v>-8.1300000000000008</v>
      </c>
      <c r="BL2055">
        <v>-7391.25</v>
      </c>
    </row>
    <row r="2056" spans="1:64" x14ac:dyDescent="0.25">
      <c r="A2056" s="136">
        <v>43117</v>
      </c>
      <c r="B2056" s="201" t="s">
        <v>70</v>
      </c>
      <c r="C2056" t="s">
        <v>131</v>
      </c>
      <c r="D2056">
        <v>10800</v>
      </c>
      <c r="E2056">
        <v>10800</v>
      </c>
      <c r="F2056">
        <v>12.141999999999999</v>
      </c>
      <c r="G2056">
        <v>-14275.88</v>
      </c>
      <c r="H2056">
        <v>-10.89</v>
      </c>
      <c r="I2056" s="309">
        <v>116856</v>
      </c>
      <c r="J2056">
        <v>10.82</v>
      </c>
      <c r="K2056" s="133">
        <v>0.21934921930797999</v>
      </c>
      <c r="L2056" s="181">
        <v>-540</v>
      </c>
      <c r="M2056" s="133">
        <v>0.24614632970825301</v>
      </c>
      <c r="N2056" s="73">
        <v>-14166.87</v>
      </c>
      <c r="O2056" s="73">
        <v>-1307.4595166204999</v>
      </c>
      <c r="P2056" s="182">
        <v>2</v>
      </c>
      <c r="Q2056" s="182">
        <v>1000</v>
      </c>
      <c r="R2056" s="46">
        <v>10.885</v>
      </c>
      <c r="S2056" s="46">
        <v>5</v>
      </c>
      <c r="T2056" s="46">
        <v>2000</v>
      </c>
      <c r="U2056" s="46">
        <v>13.114000000000001</v>
      </c>
      <c r="V2056" s="46" t="s">
        <v>68</v>
      </c>
      <c r="W2056" s="46">
        <v>1000</v>
      </c>
      <c r="X2056" s="46">
        <v>15.343</v>
      </c>
      <c r="Y2056" s="194">
        <v>10.728</v>
      </c>
      <c r="Z2056" s="194">
        <v>12.102</v>
      </c>
      <c r="AA2056" s="194">
        <v>12.09</v>
      </c>
      <c r="AB2056" s="46">
        <v>10.92</v>
      </c>
      <c r="AC2056" s="46">
        <v>10.92</v>
      </c>
      <c r="AD2056" s="46">
        <v>10.63</v>
      </c>
      <c r="AE2056" s="46">
        <v>10.82</v>
      </c>
      <c r="AF2056" s="46">
        <v>124</v>
      </c>
      <c r="AG2056" s="46">
        <v>61600</v>
      </c>
      <c r="AH2056" s="46">
        <v>832153</v>
      </c>
      <c r="AI2056" s="46">
        <v>13.509</v>
      </c>
      <c r="AJ2056" s="46">
        <v>124</v>
      </c>
      <c r="AK2056" s="46">
        <v>49800</v>
      </c>
      <c r="AL2056" s="46">
        <v>685335.35800000001</v>
      </c>
      <c r="AM2056" s="46">
        <v>13.762</v>
      </c>
      <c r="AN2056" s="46" t="s">
        <v>63</v>
      </c>
      <c r="AO2056" s="46">
        <v>11800</v>
      </c>
      <c r="AP2056" s="46">
        <v>146817.64199999999</v>
      </c>
      <c r="AQ2056" s="46">
        <v>12.442</v>
      </c>
      <c r="AR2056" s="46">
        <v>12599.4</v>
      </c>
      <c r="AS2056" s="46">
        <v>126</v>
      </c>
      <c r="AT2056" s="46">
        <v>62600</v>
      </c>
      <c r="AU2056" s="46">
        <v>843048</v>
      </c>
      <c r="AV2056" s="46">
        <v>13.467000000000001</v>
      </c>
      <c r="AW2056" s="46">
        <v>130</v>
      </c>
      <c r="AX2056" s="46">
        <v>51800</v>
      </c>
      <c r="AY2056" s="46">
        <v>711917.13</v>
      </c>
      <c r="AZ2056" s="46">
        <v>13.744</v>
      </c>
      <c r="BA2056" s="46" t="s">
        <v>63</v>
      </c>
      <c r="BB2056" s="46">
        <v>10800</v>
      </c>
      <c r="BC2056" s="46">
        <v>131130.87</v>
      </c>
      <c r="BD2056" s="46">
        <v>12.141999999999999</v>
      </c>
      <c r="BE2056" s="46">
        <v>14348.6</v>
      </c>
      <c r="BF2056" s="46">
        <v>10895</v>
      </c>
      <c r="BG2056" s="46">
        <v>10.9</v>
      </c>
      <c r="BH2056" s="46">
        <v>26581.771999999899</v>
      </c>
      <c r="BI2056">
        <v>13.29</v>
      </c>
      <c r="BJ2056">
        <v>-15686.772000000001</v>
      </c>
      <c r="BK2056">
        <v>-15.69</v>
      </c>
      <c r="BL2056">
        <v>1164.45</v>
      </c>
    </row>
    <row r="2057" spans="1:64" x14ac:dyDescent="0.25">
      <c r="A2057" s="136">
        <v>43117</v>
      </c>
      <c r="B2057" s="201" t="s">
        <v>146</v>
      </c>
      <c r="C2057" t="s">
        <v>148</v>
      </c>
      <c r="D2057">
        <v>40</v>
      </c>
      <c r="E2057">
        <v>40</v>
      </c>
      <c r="F2057">
        <v>100</v>
      </c>
      <c r="G2057">
        <v>-163.16</v>
      </c>
      <c r="H2057">
        <v>-4.08</v>
      </c>
      <c r="I2057" s="309">
        <v>3836.84</v>
      </c>
      <c r="J2057">
        <v>95.921000000000006</v>
      </c>
      <c r="K2057" s="133">
        <v>7.2020936760596697E-3</v>
      </c>
      <c r="L2057" s="181">
        <v>-163.16</v>
      </c>
      <c r="M2057" s="133">
        <v>7.5083596668713498E-3</v>
      </c>
    </row>
    <row r="2058" spans="1:64" x14ac:dyDescent="0.25">
      <c r="A2058" s="136">
        <v>43117</v>
      </c>
      <c r="B2058" s="201" t="s">
        <v>137</v>
      </c>
      <c r="C2058" t="s">
        <v>138</v>
      </c>
      <c r="D2058">
        <v>100</v>
      </c>
      <c r="E2058">
        <v>100</v>
      </c>
      <c r="F2058">
        <v>-130.48500000000001</v>
      </c>
      <c r="G2058">
        <v>17092.5</v>
      </c>
      <c r="H2058">
        <v>0</v>
      </c>
      <c r="I2058" s="309">
        <v>4044</v>
      </c>
      <c r="J2058">
        <v>40.44</v>
      </c>
      <c r="K2058" s="133">
        <v>7.5909516232069403E-3</v>
      </c>
      <c r="L2058" s="181">
        <v>58</v>
      </c>
      <c r="M2058" s="133">
        <v>0</v>
      </c>
    </row>
    <row r="2059" spans="1:64" x14ac:dyDescent="0.25">
      <c r="A2059" s="136">
        <v>43117</v>
      </c>
      <c r="B2059" s="201" t="s">
        <v>835</v>
      </c>
      <c r="C2059" t="s">
        <v>839</v>
      </c>
      <c r="I2059" s="309">
        <v>9447.44</v>
      </c>
      <c r="K2059" s="133">
        <v>1.7733694362796801E-2</v>
      </c>
      <c r="L2059" s="181">
        <v>0</v>
      </c>
      <c r="M2059" s="133">
        <v>0.205442216762101</v>
      </c>
    </row>
    <row r="2060" spans="1:64" x14ac:dyDescent="0.25">
      <c r="A2060" s="136">
        <v>43118</v>
      </c>
      <c r="B2060" s="201" t="s">
        <v>132</v>
      </c>
      <c r="C2060" t="s">
        <v>123</v>
      </c>
      <c r="D2060">
        <v>10000838</v>
      </c>
      <c r="E2060">
        <v>10000838</v>
      </c>
      <c r="F2060">
        <v>0.01</v>
      </c>
      <c r="G2060">
        <v>2801.94</v>
      </c>
      <c r="H2060">
        <v>0</v>
      </c>
      <c r="I2060" s="309">
        <v>100008.38</v>
      </c>
      <c r="J2060">
        <v>0.01</v>
      </c>
      <c r="K2060" s="133">
        <v>0.18699034675912499</v>
      </c>
      <c r="L2060" s="181">
        <v>8.6300000000001091</v>
      </c>
      <c r="M2060" s="133">
        <v>0</v>
      </c>
    </row>
    <row r="2061" spans="1:64" x14ac:dyDescent="0.25">
      <c r="A2061" s="136">
        <v>43118</v>
      </c>
      <c r="B2061" s="201" t="s">
        <v>61</v>
      </c>
      <c r="C2061" t="s">
        <v>136</v>
      </c>
      <c r="D2061">
        <v>3100</v>
      </c>
      <c r="E2061">
        <v>3100</v>
      </c>
      <c r="F2061">
        <v>5.3179999999999996</v>
      </c>
      <c r="G2061">
        <v>-178.66</v>
      </c>
      <c r="H2061">
        <v>-1.0900000000000001</v>
      </c>
      <c r="I2061" s="309">
        <v>16306</v>
      </c>
      <c r="J2061">
        <v>5.26</v>
      </c>
      <c r="K2061" s="133">
        <v>3.0488091040513698E-2</v>
      </c>
      <c r="L2061" s="181">
        <v>0</v>
      </c>
      <c r="M2061" s="133">
        <v>3.0822140000730702E-2</v>
      </c>
      <c r="N2061" s="73">
        <v>-244.604000000003</v>
      </c>
      <c r="O2061" s="73">
        <v>-46.656812595420398</v>
      </c>
      <c r="P2061" s="182">
        <v>5</v>
      </c>
      <c r="Q2061" s="182">
        <v>2500</v>
      </c>
      <c r="R2061" s="46">
        <v>5.3259999999999996</v>
      </c>
      <c r="S2061" s="46">
        <v>0</v>
      </c>
      <c r="T2061" s="46">
        <v>0</v>
      </c>
      <c r="U2061" s="46">
        <v>0</v>
      </c>
      <c r="V2061" s="46" t="s">
        <v>62</v>
      </c>
      <c r="W2061" s="46">
        <v>2500</v>
      </c>
      <c r="X2061" s="46">
        <v>5.3259999999999996</v>
      </c>
      <c r="Y2061" s="194">
        <v>5.23</v>
      </c>
      <c r="Z2061" s="194">
        <v>5.024</v>
      </c>
      <c r="AA2061" s="194">
        <v>5.1630000000000003</v>
      </c>
      <c r="AB2061" s="46">
        <v>5.25</v>
      </c>
      <c r="AC2061" s="46">
        <v>5.27</v>
      </c>
      <c r="AD2061" s="46">
        <v>5.24</v>
      </c>
      <c r="AE2061" s="46">
        <v>5.26</v>
      </c>
      <c r="AF2061" s="46">
        <v>6</v>
      </c>
      <c r="AG2061" s="46">
        <v>3000</v>
      </c>
      <c r="AH2061" s="46">
        <v>15966.8</v>
      </c>
      <c r="AI2061" s="46">
        <v>5.3220000000000001</v>
      </c>
      <c r="AJ2061" s="46">
        <v>6</v>
      </c>
      <c r="AK2061" s="46">
        <v>2400</v>
      </c>
      <c r="AL2061" s="46">
        <v>12819.696</v>
      </c>
      <c r="AM2061" s="46">
        <v>5.3419999999999996</v>
      </c>
      <c r="AN2061" s="46" t="s">
        <v>63</v>
      </c>
      <c r="AO2061" s="46">
        <v>600</v>
      </c>
      <c r="AP2061" s="46">
        <v>3147.1039999999998</v>
      </c>
      <c r="AQ2061" s="46">
        <v>5.2450000000000001</v>
      </c>
      <c r="AR2061" s="46">
        <v>48</v>
      </c>
      <c r="AS2061" s="46">
        <v>11</v>
      </c>
      <c r="AT2061" s="46">
        <v>5500</v>
      </c>
      <c r="AU2061" s="46">
        <v>29308.3</v>
      </c>
      <c r="AV2061" s="46">
        <v>5.3289999999999997</v>
      </c>
      <c r="AW2061" s="46">
        <v>6</v>
      </c>
      <c r="AX2061" s="46">
        <v>2400</v>
      </c>
      <c r="AY2061" s="46">
        <v>12819.696</v>
      </c>
      <c r="AZ2061" s="46">
        <v>5.3419999999999996</v>
      </c>
      <c r="BA2061" s="46" t="s">
        <v>63</v>
      </c>
      <c r="BB2061" s="46">
        <v>3100</v>
      </c>
      <c r="BC2061" s="46">
        <v>16488.603999999999</v>
      </c>
      <c r="BD2061" s="46">
        <v>5.319</v>
      </c>
      <c r="BE2061" s="46">
        <v>31.2</v>
      </c>
      <c r="BF2061" s="46">
        <v>13341.5</v>
      </c>
      <c r="BG2061" s="46">
        <v>5.34</v>
      </c>
      <c r="BH2061" s="46">
        <v>0</v>
      </c>
      <c r="BJ2061">
        <v>13341.5</v>
      </c>
      <c r="BK2061">
        <v>5.34</v>
      </c>
      <c r="BL2061">
        <v>9.1300000000000008</v>
      </c>
    </row>
    <row r="2062" spans="1:64" x14ac:dyDescent="0.25">
      <c r="A2062" s="136">
        <v>43118</v>
      </c>
      <c r="B2062" s="201" t="s">
        <v>124</v>
      </c>
      <c r="C2062" t="s">
        <v>125</v>
      </c>
      <c r="D2062">
        <v>100</v>
      </c>
      <c r="E2062">
        <v>100</v>
      </c>
      <c r="F2062">
        <v>-53.579000000000001</v>
      </c>
      <c r="G2062">
        <v>6070.9</v>
      </c>
      <c r="H2062">
        <v>0</v>
      </c>
      <c r="I2062" s="309">
        <v>713</v>
      </c>
      <c r="J2062">
        <v>7.13</v>
      </c>
      <c r="K2062" s="133">
        <v>1.33312945614414E-3</v>
      </c>
      <c r="L2062" s="181">
        <v>44</v>
      </c>
      <c r="M2062" s="133">
        <v>0</v>
      </c>
      <c r="Y2062" s="193">
        <v>6.9660000000000002</v>
      </c>
      <c r="Z2062" s="193">
        <v>5.6159999999999997</v>
      </c>
      <c r="AA2062" s="193">
        <v>5.9610000000000003</v>
      </c>
      <c r="AB2062" s="46">
        <v>6.75</v>
      </c>
      <c r="AC2062" s="46">
        <v>7.15</v>
      </c>
      <c r="AD2062" s="46">
        <v>6.75</v>
      </c>
      <c r="AE2062" s="46">
        <v>7.13</v>
      </c>
    </row>
    <row r="2063" spans="1:64" x14ac:dyDescent="0.25">
      <c r="A2063" s="136">
        <v>43118</v>
      </c>
      <c r="B2063" s="201" t="s">
        <v>71</v>
      </c>
      <c r="C2063" t="s">
        <v>126</v>
      </c>
      <c r="D2063">
        <v>100</v>
      </c>
      <c r="E2063">
        <v>100</v>
      </c>
      <c r="F2063">
        <v>-17.085999999999999</v>
      </c>
      <c r="G2063">
        <v>2428.6</v>
      </c>
      <c r="H2063">
        <v>0</v>
      </c>
      <c r="I2063" s="309">
        <v>720</v>
      </c>
      <c r="J2063">
        <v>7.2</v>
      </c>
      <c r="K2063" s="133">
        <v>1.3462176836238099E-3</v>
      </c>
      <c r="L2063" s="181">
        <v>25</v>
      </c>
      <c r="M2063" s="133">
        <v>0</v>
      </c>
      <c r="N2063" s="73">
        <v>1703.3019999999999</v>
      </c>
      <c r="O2063" s="73">
        <v>341.114950423729</v>
      </c>
      <c r="P2063" s="182">
        <v>0</v>
      </c>
      <c r="Q2063" s="182">
        <v>0</v>
      </c>
      <c r="R2063" s="46">
        <v>0</v>
      </c>
      <c r="S2063" s="46">
        <v>7</v>
      </c>
      <c r="T2063" s="46">
        <v>2800</v>
      </c>
      <c r="U2063" s="46">
        <v>6.6749999999999998</v>
      </c>
      <c r="V2063" s="46" t="s">
        <v>68</v>
      </c>
      <c r="W2063" s="46">
        <v>2800</v>
      </c>
      <c r="X2063" s="46">
        <v>6.6749999999999998</v>
      </c>
      <c r="Y2063" s="193">
        <v>7.2290000000000001</v>
      </c>
      <c r="Z2063" s="194">
        <v>6.1429999999999998</v>
      </c>
      <c r="AA2063" s="194">
        <v>6.5490000000000004</v>
      </c>
      <c r="AB2063" s="46">
        <v>6.95</v>
      </c>
      <c r="AC2063" s="46">
        <v>7.25</v>
      </c>
      <c r="AD2063" s="46">
        <v>6.92</v>
      </c>
      <c r="AE2063" s="46">
        <v>7.2</v>
      </c>
      <c r="AF2063" s="46">
        <v>41</v>
      </c>
      <c r="AG2063" s="46">
        <v>20600</v>
      </c>
      <c r="AH2063" s="46">
        <v>131323.35999999999</v>
      </c>
      <c r="AI2063" s="46">
        <v>6.375</v>
      </c>
      <c r="AJ2063" s="46">
        <v>39</v>
      </c>
      <c r="AK2063" s="46">
        <v>17700</v>
      </c>
      <c r="AL2063" s="46">
        <v>114228.83100000001</v>
      </c>
      <c r="AM2063" s="46">
        <v>6.4539999999999997</v>
      </c>
      <c r="AN2063" s="46" t="s">
        <v>63</v>
      </c>
      <c r="AO2063" s="46">
        <v>2900</v>
      </c>
      <c r="AP2063" s="46">
        <v>17094.528999999999</v>
      </c>
      <c r="AQ2063" s="46">
        <v>5.8949999999999996</v>
      </c>
      <c r="AR2063" s="46">
        <v>1398.3</v>
      </c>
      <c r="AS2063" s="46">
        <v>41</v>
      </c>
      <c r="AT2063" s="46">
        <v>20600</v>
      </c>
      <c r="AU2063" s="46">
        <v>131323.35999999999</v>
      </c>
      <c r="AV2063" s="46">
        <v>6.375</v>
      </c>
      <c r="AW2063" s="46">
        <v>46</v>
      </c>
      <c r="AX2063" s="46">
        <v>20500</v>
      </c>
      <c r="AY2063" s="46">
        <v>132870.462</v>
      </c>
      <c r="AZ2063" s="46">
        <v>6.4809999999999999</v>
      </c>
      <c r="BA2063" s="46" t="s">
        <v>63</v>
      </c>
      <c r="BB2063" s="46">
        <v>100</v>
      </c>
      <c r="BC2063" s="46">
        <v>1547.1020000000001</v>
      </c>
      <c r="BD2063" s="46">
        <v>15.471</v>
      </c>
      <c r="BE2063" s="46">
        <v>2173</v>
      </c>
      <c r="BF2063" s="46">
        <v>0</v>
      </c>
      <c r="BH2063" s="46">
        <v>18641.631000000001</v>
      </c>
      <c r="BI2063">
        <v>6.66</v>
      </c>
      <c r="BJ2063">
        <v>-15547.427</v>
      </c>
      <c r="BK2063">
        <v>-5.55</v>
      </c>
      <c r="BL2063">
        <v>194.21</v>
      </c>
    </row>
    <row r="2064" spans="1:64" x14ac:dyDescent="0.25">
      <c r="A2064" s="136">
        <v>43118</v>
      </c>
      <c r="B2064" s="201" t="s">
        <v>79</v>
      </c>
      <c r="C2064" t="s">
        <v>143</v>
      </c>
      <c r="D2064">
        <v>4800</v>
      </c>
      <c r="E2064">
        <v>4800</v>
      </c>
      <c r="F2064">
        <v>17.009</v>
      </c>
      <c r="G2064">
        <v>-7673.92</v>
      </c>
      <c r="H2064">
        <v>-9.4</v>
      </c>
      <c r="I2064" s="309">
        <v>73968</v>
      </c>
      <c r="J2064">
        <v>15.41</v>
      </c>
      <c r="K2064" s="133">
        <v>0.13830143003095299</v>
      </c>
      <c r="L2064" s="181">
        <v>816</v>
      </c>
      <c r="M2064" s="133">
        <v>0.15264971726250101</v>
      </c>
      <c r="N2064" s="73">
        <v>-8635.8840000000291</v>
      </c>
      <c r="O2064" s="73">
        <v>-567.49283747534696</v>
      </c>
      <c r="P2064" s="182">
        <v>8</v>
      </c>
      <c r="Q2064" s="182">
        <v>4500</v>
      </c>
      <c r="R2064" s="46">
        <v>16.859000000000002</v>
      </c>
      <c r="S2064" s="46">
        <v>0</v>
      </c>
      <c r="T2064" s="46">
        <v>0</v>
      </c>
      <c r="U2064" s="46">
        <v>0</v>
      </c>
      <c r="V2064" s="46" t="s">
        <v>62</v>
      </c>
      <c r="W2064" s="46">
        <v>4500</v>
      </c>
      <c r="X2064" s="46">
        <v>16.859000000000002</v>
      </c>
      <c r="Y2064" s="193">
        <v>16.026</v>
      </c>
      <c r="Z2064" s="194">
        <v>15.486000000000001</v>
      </c>
      <c r="AA2064" s="194">
        <v>15.489000000000001</v>
      </c>
      <c r="AB2064" s="46">
        <v>15.2</v>
      </c>
      <c r="AC2064" s="46">
        <v>15.47</v>
      </c>
      <c r="AD2064" s="46">
        <v>15.2</v>
      </c>
      <c r="AE2064" s="46">
        <v>15.41</v>
      </c>
      <c r="AF2064" s="46">
        <v>3</v>
      </c>
      <c r="AG2064" s="46">
        <v>1500</v>
      </c>
      <c r="AH2064" s="46">
        <v>24265.9</v>
      </c>
      <c r="AI2064" s="46">
        <v>16.177</v>
      </c>
      <c r="AJ2064" s="46">
        <v>3</v>
      </c>
      <c r="AK2064" s="46">
        <v>1200</v>
      </c>
      <c r="AL2064" s="46">
        <v>18529.716</v>
      </c>
      <c r="AM2064" s="46">
        <v>15.441000000000001</v>
      </c>
      <c r="AN2064" s="46" t="s">
        <v>63</v>
      </c>
      <c r="AO2064" s="46">
        <v>300</v>
      </c>
      <c r="AP2064" s="46">
        <v>5736.1840000000002</v>
      </c>
      <c r="AQ2064" s="46">
        <v>19.120999999999999</v>
      </c>
      <c r="AR2064" s="46">
        <v>-883.2</v>
      </c>
      <c r="AS2064" s="46">
        <v>11</v>
      </c>
      <c r="AT2064" s="46">
        <v>6000</v>
      </c>
      <c r="AU2064" s="46">
        <v>100173.6</v>
      </c>
      <c r="AV2064" s="46">
        <v>16.696000000000002</v>
      </c>
      <c r="AW2064" s="46">
        <v>3</v>
      </c>
      <c r="AX2064" s="46">
        <v>1200</v>
      </c>
      <c r="AY2064" s="46">
        <v>18529.716</v>
      </c>
      <c r="AZ2064" s="46">
        <v>15.441000000000001</v>
      </c>
      <c r="BA2064" s="46" t="s">
        <v>63</v>
      </c>
      <c r="BB2064" s="46">
        <v>4800</v>
      </c>
      <c r="BC2064" s="46">
        <v>81643.884000000005</v>
      </c>
      <c r="BD2064" s="46">
        <v>17.009</v>
      </c>
      <c r="BE2064" s="46">
        <v>-1506</v>
      </c>
      <c r="BF2064" s="46">
        <v>75907.7</v>
      </c>
      <c r="BG2064" s="46">
        <v>16.87</v>
      </c>
      <c r="BH2064" s="46">
        <v>0</v>
      </c>
      <c r="BJ2064">
        <v>75907.7</v>
      </c>
      <c r="BK2064">
        <v>16.87</v>
      </c>
      <c r="BL2064">
        <v>-57.31</v>
      </c>
    </row>
    <row r="2065" spans="1:64" x14ac:dyDescent="0.25">
      <c r="A2065" s="136">
        <v>43118</v>
      </c>
      <c r="B2065" s="201" t="s">
        <v>65</v>
      </c>
      <c r="C2065" t="s">
        <v>127</v>
      </c>
      <c r="D2065">
        <v>7900</v>
      </c>
      <c r="E2065">
        <v>7900</v>
      </c>
      <c r="F2065">
        <v>9.3520000000000003</v>
      </c>
      <c r="G2065">
        <v>21948.66</v>
      </c>
      <c r="H2065">
        <v>29.71</v>
      </c>
      <c r="I2065" s="309">
        <v>95827</v>
      </c>
      <c r="J2065">
        <v>12.13</v>
      </c>
      <c r="K2065" s="133">
        <v>0.17917222495641499</v>
      </c>
      <c r="L2065" s="181">
        <v>-711</v>
      </c>
      <c r="M2065" s="133">
        <v>0.138133788534406</v>
      </c>
      <c r="N2065" s="73">
        <v>18298.242999999999</v>
      </c>
      <c r="O2065" s="73">
        <v>1848.3625390458501</v>
      </c>
      <c r="P2065" s="182">
        <v>0</v>
      </c>
      <c r="Q2065" s="182">
        <v>0</v>
      </c>
      <c r="R2065" s="46">
        <v>0</v>
      </c>
      <c r="S2065" s="46">
        <v>22</v>
      </c>
      <c r="T2065" s="46">
        <v>9700</v>
      </c>
      <c r="U2065" s="46">
        <v>12.388999999999999</v>
      </c>
      <c r="V2065" s="46" t="s">
        <v>68</v>
      </c>
      <c r="W2065" s="46">
        <v>9700</v>
      </c>
      <c r="X2065" s="46">
        <v>12.388999999999999</v>
      </c>
      <c r="Y2065" s="194">
        <v>12.122999999999999</v>
      </c>
      <c r="Z2065" s="194">
        <v>11.295999999999999</v>
      </c>
      <c r="AA2065" s="194">
        <v>11.683</v>
      </c>
      <c r="AB2065" s="46">
        <v>12.17</v>
      </c>
      <c r="AC2065" s="46">
        <v>12.33</v>
      </c>
      <c r="AD2065" s="46">
        <v>12.05</v>
      </c>
      <c r="AE2065" s="46">
        <v>12.13</v>
      </c>
      <c r="AF2065" s="46">
        <v>137</v>
      </c>
      <c r="AG2065" s="46">
        <v>76400</v>
      </c>
      <c r="AH2065" s="46">
        <v>892577.23100000003</v>
      </c>
      <c r="AI2065" s="46">
        <v>11.683</v>
      </c>
      <c r="AJ2065" s="46">
        <v>157</v>
      </c>
      <c r="AK2065" s="46">
        <v>68000</v>
      </c>
      <c r="AL2065" s="46">
        <v>697919.64599999995</v>
      </c>
      <c r="AM2065" s="46">
        <v>10.263999999999999</v>
      </c>
      <c r="AN2065" s="46" t="s">
        <v>63</v>
      </c>
      <c r="AO2065" s="46">
        <v>8400</v>
      </c>
      <c r="AP2065" s="46">
        <v>194657.58499999999</v>
      </c>
      <c r="AQ2065" s="46">
        <v>23.173999999999999</v>
      </c>
      <c r="AR2065" s="46">
        <v>-96492</v>
      </c>
      <c r="AS2065" s="46">
        <v>138</v>
      </c>
      <c r="AT2065" s="46">
        <v>76500</v>
      </c>
      <c r="AU2065" s="46">
        <v>893865.23100000003</v>
      </c>
      <c r="AV2065" s="46">
        <v>11.685</v>
      </c>
      <c r="AW2065" s="46">
        <v>179</v>
      </c>
      <c r="AX2065" s="46">
        <v>77700</v>
      </c>
      <c r="AY2065" s="46">
        <v>817863.47199999995</v>
      </c>
      <c r="AZ2065" s="46">
        <v>10.526</v>
      </c>
      <c r="BA2065" s="46" t="s">
        <v>69</v>
      </c>
      <c r="BB2065" s="46">
        <v>1200</v>
      </c>
      <c r="BC2065" s="46">
        <v>76001.759000000005</v>
      </c>
      <c r="BD2065" s="46">
        <v>63.335000000000001</v>
      </c>
      <c r="BE2065" s="46">
        <v>-88663.5</v>
      </c>
      <c r="BF2065" s="46">
        <v>1288</v>
      </c>
      <c r="BH2065" s="46">
        <v>119943.826</v>
      </c>
      <c r="BI2065">
        <v>12.37</v>
      </c>
      <c r="BJ2065">
        <v>-118655.826</v>
      </c>
      <c r="BK2065">
        <v>-12.23</v>
      </c>
      <c r="BL2065">
        <v>-7954.82</v>
      </c>
    </row>
    <row r="2066" spans="1:64" x14ac:dyDescent="0.25">
      <c r="A2066" s="136">
        <v>43118</v>
      </c>
      <c r="B2066" s="201" t="s">
        <v>77</v>
      </c>
      <c r="C2066" t="s">
        <v>128</v>
      </c>
      <c r="D2066">
        <v>4300</v>
      </c>
      <c r="E2066">
        <v>4300</v>
      </c>
      <c r="F2066">
        <v>5.9779999999999998</v>
      </c>
      <c r="G2066">
        <v>-595.27</v>
      </c>
      <c r="H2066">
        <v>-2.31</v>
      </c>
      <c r="I2066" s="309">
        <v>25112</v>
      </c>
      <c r="J2066">
        <v>5.84</v>
      </c>
      <c r="K2066" s="133">
        <v>4.6953081209945999E-2</v>
      </c>
      <c r="L2066" s="181">
        <v>0</v>
      </c>
      <c r="M2066" s="133">
        <v>4.8066085377349903E-2</v>
      </c>
      <c r="N2066" s="73">
        <v>-1272.2139999999999</v>
      </c>
      <c r="O2066" s="73">
        <v>-133.073774655173</v>
      </c>
      <c r="P2066" s="182">
        <v>6</v>
      </c>
      <c r="Q2066" s="182">
        <v>3000</v>
      </c>
      <c r="R2066" s="46">
        <v>6.798</v>
      </c>
      <c r="S2066" s="46">
        <v>0</v>
      </c>
      <c r="T2066" s="46">
        <v>0</v>
      </c>
      <c r="U2066" s="46">
        <v>0</v>
      </c>
      <c r="V2066" s="46" t="s">
        <v>62</v>
      </c>
      <c r="W2066" s="46">
        <v>3000</v>
      </c>
      <c r="X2066" s="46">
        <v>6.798</v>
      </c>
      <c r="Y2066" s="46">
        <v>4.3949999999999996</v>
      </c>
      <c r="Z2066" s="46">
        <v>5.9409999999999998</v>
      </c>
      <c r="AA2066" s="46">
        <v>6.3789999999999996</v>
      </c>
      <c r="AF2066" s="46">
        <v>39</v>
      </c>
      <c r="AG2066" s="46">
        <v>19500</v>
      </c>
      <c r="AH2066" s="46">
        <v>142169</v>
      </c>
      <c r="AI2066" s="46">
        <v>7.2910000000000004</v>
      </c>
      <c r="AJ2066" s="46">
        <v>39</v>
      </c>
      <c r="AK2066" s="46">
        <v>18200</v>
      </c>
      <c r="AL2066" s="46">
        <v>136881.78599999999</v>
      </c>
      <c r="AM2066" s="46">
        <v>7.5209999999999999</v>
      </c>
      <c r="AN2066" s="46" t="s">
        <v>63</v>
      </c>
      <c r="AO2066" s="46">
        <v>1300</v>
      </c>
      <c r="AP2066" s="46">
        <v>5287.2139999999999</v>
      </c>
      <c r="AQ2066" s="46">
        <v>4.0670000000000002</v>
      </c>
      <c r="AR2066" s="46">
        <v>4186</v>
      </c>
      <c r="AS2066" s="46">
        <v>45</v>
      </c>
      <c r="AT2066" s="46">
        <v>22500</v>
      </c>
      <c r="AU2066" s="46">
        <v>162594</v>
      </c>
      <c r="AV2066" s="46">
        <v>7.226</v>
      </c>
      <c r="AW2066" s="46">
        <v>39</v>
      </c>
      <c r="AX2066" s="46">
        <v>18200</v>
      </c>
      <c r="AY2066" s="46">
        <v>136881.78599999999</v>
      </c>
      <c r="AZ2066" s="46">
        <v>7.5209999999999999</v>
      </c>
      <c r="BA2066" s="46" t="s">
        <v>63</v>
      </c>
      <c r="BB2066" s="46">
        <v>4300</v>
      </c>
      <c r="BC2066" s="46">
        <v>25712.214</v>
      </c>
      <c r="BD2066" s="46">
        <v>5.98</v>
      </c>
      <c r="BE2066" s="46">
        <v>5369</v>
      </c>
      <c r="BF2066" s="46">
        <v>20425</v>
      </c>
      <c r="BG2066" s="46">
        <v>6.81</v>
      </c>
      <c r="BH2066" s="46">
        <v>0</v>
      </c>
      <c r="BJ2066">
        <v>20425</v>
      </c>
      <c r="BK2066">
        <v>6.81</v>
      </c>
      <c r="BL2066">
        <v>716.78</v>
      </c>
    </row>
    <row r="2067" spans="1:64" x14ac:dyDescent="0.25">
      <c r="A2067" s="136">
        <v>43118</v>
      </c>
      <c r="B2067" s="201" t="s">
        <v>67</v>
      </c>
      <c r="C2067" t="s">
        <v>129</v>
      </c>
      <c r="D2067">
        <v>7650</v>
      </c>
      <c r="E2067">
        <v>7650</v>
      </c>
      <c r="F2067">
        <v>8.6340000000000003</v>
      </c>
      <c r="G2067">
        <v>-1717.28</v>
      </c>
      <c r="H2067">
        <v>-2.59</v>
      </c>
      <c r="I2067" s="309">
        <v>64336.5</v>
      </c>
      <c r="J2067">
        <v>8.41</v>
      </c>
      <c r="K2067" s="133">
        <v>0.12029296389231001</v>
      </c>
      <c r="L2067" s="181">
        <v>792.64</v>
      </c>
      <c r="M2067" s="133">
        <v>0.123503842647496</v>
      </c>
      <c r="N2067" s="73">
        <v>-1796.0470000002399</v>
      </c>
      <c r="O2067" s="73">
        <v>-213.70821148812399</v>
      </c>
      <c r="P2067" s="182">
        <v>2</v>
      </c>
      <c r="Q2067" s="182">
        <v>1000</v>
      </c>
      <c r="R2067" s="46">
        <v>5.8949999999999996</v>
      </c>
      <c r="S2067" s="46">
        <v>1</v>
      </c>
      <c r="T2067" s="46">
        <v>400</v>
      </c>
      <c r="U2067" s="46">
        <v>8.4</v>
      </c>
      <c r="V2067" s="46" t="s">
        <v>62</v>
      </c>
      <c r="W2067" s="46">
        <v>600</v>
      </c>
      <c r="X2067" s="46">
        <v>4.2249999999999996</v>
      </c>
      <c r="Y2067" s="193">
        <v>8.4659999999999993</v>
      </c>
      <c r="Z2067" s="194">
        <v>7.835</v>
      </c>
      <c r="AA2067" s="194">
        <v>8.6869999999999994</v>
      </c>
      <c r="AB2067" s="46">
        <v>8.27</v>
      </c>
      <c r="AC2067" s="46">
        <v>8.42</v>
      </c>
      <c r="AD2067" s="46">
        <v>8.27</v>
      </c>
      <c r="AE2067" s="46">
        <v>8.41</v>
      </c>
      <c r="AF2067" s="46">
        <v>157</v>
      </c>
      <c r="AG2067" s="46">
        <v>78500</v>
      </c>
      <c r="AH2067" s="46">
        <v>651492</v>
      </c>
      <c r="AI2067" s="46">
        <v>8.2989999999999995</v>
      </c>
      <c r="AJ2067" s="46">
        <v>159</v>
      </c>
      <c r="AK2067" s="46">
        <v>74050</v>
      </c>
      <c r="AL2067" s="46">
        <v>657117.429</v>
      </c>
      <c r="AM2067" s="46">
        <v>8.8740000000000006</v>
      </c>
      <c r="AN2067" s="46" t="s">
        <v>63</v>
      </c>
      <c r="AO2067" s="46">
        <v>4450</v>
      </c>
      <c r="AP2067" s="46">
        <v>5625.4290000000001</v>
      </c>
      <c r="AQ2067" s="46">
        <v>1.264</v>
      </c>
      <c r="AR2067" s="46">
        <v>42578.75</v>
      </c>
      <c r="AS2067" s="46">
        <v>159</v>
      </c>
      <c r="AT2067" s="46">
        <v>79500</v>
      </c>
      <c r="AU2067" s="46">
        <v>657397</v>
      </c>
      <c r="AV2067" s="46">
        <v>8.2690000000000001</v>
      </c>
      <c r="AW2067" s="46">
        <v>160</v>
      </c>
      <c r="AX2067" s="46">
        <v>74450</v>
      </c>
      <c r="AY2067" s="46">
        <v>660469.06900000002</v>
      </c>
      <c r="AZ2067" s="46">
        <v>8.8710000000000004</v>
      </c>
      <c r="BA2067" s="46" t="s">
        <v>63</v>
      </c>
      <c r="BB2067" s="46">
        <v>5050</v>
      </c>
      <c r="BC2067" s="46">
        <v>3072.069</v>
      </c>
      <c r="BD2067" s="46">
        <v>0.60799999999999998</v>
      </c>
      <c r="BE2067" s="46">
        <v>44818.9</v>
      </c>
      <c r="BF2067" s="46">
        <v>5905</v>
      </c>
      <c r="BG2067" s="46">
        <v>5.91</v>
      </c>
      <c r="BH2067" s="46">
        <v>3351.6400000000099</v>
      </c>
      <c r="BI2067">
        <v>8.3800000000000008</v>
      </c>
      <c r="BJ2067">
        <v>-2553.36</v>
      </c>
      <c r="BK2067">
        <v>-4.26</v>
      </c>
      <c r="BL2067">
        <v>5062.87</v>
      </c>
    </row>
    <row r="2068" spans="1:64" x14ac:dyDescent="0.25">
      <c r="A2068" s="136">
        <v>43118</v>
      </c>
      <c r="B2068" s="201" t="s">
        <v>78</v>
      </c>
      <c r="C2068" t="s">
        <v>142</v>
      </c>
      <c r="D2068">
        <v>600</v>
      </c>
      <c r="E2068">
        <v>600</v>
      </c>
      <c r="F2068">
        <v>10.095000000000001</v>
      </c>
      <c r="G2068">
        <v>-32.950000000000003</v>
      </c>
      <c r="H2068">
        <v>-0.54</v>
      </c>
      <c r="I2068" s="309">
        <v>6024</v>
      </c>
      <c r="J2068">
        <v>10.039999999999999</v>
      </c>
      <c r="K2068" s="133">
        <v>1.12633546196526E-2</v>
      </c>
      <c r="L2068" s="181">
        <v>-54</v>
      </c>
      <c r="M2068" s="133">
        <v>1.13249627761462E-2</v>
      </c>
      <c r="N2068" s="73">
        <v>105.05200000000001</v>
      </c>
      <c r="O2068" s="73">
        <v>10.2239020447906</v>
      </c>
      <c r="P2068" s="182">
        <v>6</v>
      </c>
      <c r="Q2068" s="182">
        <v>3000</v>
      </c>
      <c r="R2068" s="46">
        <v>6.798</v>
      </c>
      <c r="S2068" s="46">
        <v>0</v>
      </c>
      <c r="T2068" s="46">
        <v>0</v>
      </c>
      <c r="U2068" s="46">
        <v>0</v>
      </c>
      <c r="V2068" s="46" t="s">
        <v>62</v>
      </c>
      <c r="W2068" s="46">
        <v>3000</v>
      </c>
      <c r="X2068" s="46">
        <v>6.798</v>
      </c>
      <c r="Y2068" s="194">
        <v>9.9550000000000001</v>
      </c>
      <c r="Z2068" s="194">
        <v>10.759</v>
      </c>
      <c r="AA2068" s="194">
        <v>10.705</v>
      </c>
      <c r="AB2068" s="46">
        <v>10.050000000000001</v>
      </c>
      <c r="AC2068" s="46">
        <v>10.199999999999999</v>
      </c>
      <c r="AD2068" s="46">
        <v>10</v>
      </c>
      <c r="AE2068" s="46">
        <v>10.039999999999999</v>
      </c>
      <c r="AF2068" s="46">
        <v>6</v>
      </c>
      <c r="AG2068" s="46">
        <v>3000</v>
      </c>
      <c r="AH2068" s="46">
        <v>30950</v>
      </c>
      <c r="AI2068" s="46">
        <v>10.317</v>
      </c>
      <c r="AJ2068" s="46">
        <v>6</v>
      </c>
      <c r="AK2068" s="46">
        <v>2400</v>
      </c>
      <c r="AL2068" s="46">
        <v>24893.052</v>
      </c>
      <c r="AM2068" s="46">
        <v>10.372</v>
      </c>
      <c r="AN2068" s="46" t="s">
        <v>63</v>
      </c>
      <c r="AO2068" s="46">
        <v>600</v>
      </c>
      <c r="AP2068" s="46">
        <v>6056.9480000000003</v>
      </c>
      <c r="AQ2068" s="46">
        <v>10.095000000000001</v>
      </c>
      <c r="AR2068" s="46">
        <v>132</v>
      </c>
      <c r="AS2068" s="46">
        <v>6</v>
      </c>
      <c r="AT2068" s="46">
        <v>3000</v>
      </c>
      <c r="AU2068" s="46">
        <v>30950</v>
      </c>
      <c r="AV2068" s="46">
        <v>10.317</v>
      </c>
      <c r="AW2068" s="46">
        <v>6</v>
      </c>
      <c r="AX2068" s="46">
        <v>2400</v>
      </c>
      <c r="AY2068" s="46">
        <v>24893.052</v>
      </c>
      <c r="AZ2068" s="46">
        <v>10.372</v>
      </c>
      <c r="BA2068" s="46" t="s">
        <v>63</v>
      </c>
      <c r="BB2068" s="46">
        <v>600</v>
      </c>
      <c r="BC2068" s="46">
        <v>6056.9480000000003</v>
      </c>
      <c r="BD2068" s="46">
        <v>10.095000000000001</v>
      </c>
      <c r="BE2068" s="46">
        <v>132</v>
      </c>
      <c r="BF2068" s="46">
        <v>0</v>
      </c>
      <c r="BG2068" s="46">
        <v>0</v>
      </c>
      <c r="BH2068" s="46">
        <v>0</v>
      </c>
      <c r="BJ2068">
        <v>0</v>
      </c>
      <c r="BK2068">
        <v>0</v>
      </c>
      <c r="BL2068">
        <v>13.15</v>
      </c>
    </row>
    <row r="2069" spans="1:64" x14ac:dyDescent="0.25">
      <c r="A2069" s="136">
        <v>43118</v>
      </c>
      <c r="B2069" s="201" t="s">
        <v>72</v>
      </c>
      <c r="C2069" t="s">
        <v>130</v>
      </c>
      <c r="D2069">
        <v>1900</v>
      </c>
      <c r="E2069">
        <v>1900</v>
      </c>
      <c r="F2069">
        <v>7.0460000000000003</v>
      </c>
      <c r="G2069">
        <v>-257.75</v>
      </c>
      <c r="H2069">
        <v>-1.93</v>
      </c>
      <c r="I2069" s="309">
        <v>13129</v>
      </c>
      <c r="J2069">
        <v>6.91</v>
      </c>
      <c r="K2069" s="133">
        <v>2.45479055115236E-2</v>
      </c>
      <c r="L2069" s="181">
        <v>19</v>
      </c>
      <c r="M2069" s="133">
        <v>2.5029832744793101E-2</v>
      </c>
      <c r="N2069" s="73">
        <v>-327.47199999999202</v>
      </c>
      <c r="O2069" s="73">
        <v>-15.122906866949799</v>
      </c>
      <c r="P2069" s="182">
        <v>0</v>
      </c>
      <c r="Q2069" s="182">
        <v>0</v>
      </c>
      <c r="R2069" s="46">
        <v>0</v>
      </c>
      <c r="S2069" s="46">
        <v>13</v>
      </c>
      <c r="T2069" s="46">
        <v>5400</v>
      </c>
      <c r="U2069" s="46">
        <v>8.1460000000000008</v>
      </c>
      <c r="V2069" s="46" t="s">
        <v>68</v>
      </c>
      <c r="W2069" s="46">
        <v>5400</v>
      </c>
      <c r="X2069" s="46">
        <v>8.1460000000000008</v>
      </c>
      <c r="Y2069" s="194">
        <v>6.8250000000000002</v>
      </c>
      <c r="Z2069" s="194">
        <v>7.032</v>
      </c>
      <c r="AA2069" s="194">
        <v>7.125</v>
      </c>
      <c r="AB2069" s="46">
        <v>6.88</v>
      </c>
      <c r="AC2069" s="46">
        <v>6.93</v>
      </c>
      <c r="AD2069" s="46">
        <v>6.86</v>
      </c>
      <c r="AE2069" s="46">
        <v>6.91</v>
      </c>
      <c r="AF2069" s="46">
        <v>25</v>
      </c>
      <c r="AG2069" s="46">
        <v>12500</v>
      </c>
      <c r="AH2069" s="46">
        <v>98730</v>
      </c>
      <c r="AI2069" s="46">
        <v>7.8979999999999997</v>
      </c>
      <c r="AJ2069" s="46">
        <v>25</v>
      </c>
      <c r="AK2069" s="46">
        <v>11800</v>
      </c>
      <c r="AL2069" s="46">
        <v>42194.703000000001</v>
      </c>
      <c r="AM2069" s="46">
        <v>3.5760000000000001</v>
      </c>
      <c r="AN2069" s="46" t="s">
        <v>63</v>
      </c>
      <c r="AO2069" s="46">
        <v>700</v>
      </c>
      <c r="AP2069" s="46">
        <v>56535.296999999999</v>
      </c>
      <c r="AQ2069" s="46">
        <v>80.765000000000001</v>
      </c>
      <c r="AR2069" s="46">
        <v>-50999.6</v>
      </c>
      <c r="AS2069" s="46">
        <v>25</v>
      </c>
      <c r="AT2069" s="46">
        <v>12500</v>
      </c>
      <c r="AU2069" s="46">
        <v>98730</v>
      </c>
      <c r="AV2069" s="46">
        <v>7.8979999999999997</v>
      </c>
      <c r="AW2069" s="46">
        <v>39</v>
      </c>
      <c r="AX2069" s="46">
        <v>17700</v>
      </c>
      <c r="AY2069" s="46">
        <v>86075.713000000003</v>
      </c>
      <c r="AZ2069" s="46">
        <v>4.8630000000000004</v>
      </c>
      <c r="BA2069" s="46" t="s">
        <v>69</v>
      </c>
      <c r="BB2069" s="46">
        <v>5200</v>
      </c>
      <c r="BC2069" s="46">
        <v>12654.287</v>
      </c>
      <c r="BD2069" s="46">
        <v>2.4340000000000002</v>
      </c>
      <c r="BE2069" s="46">
        <v>-37937.5</v>
      </c>
      <c r="BF2069" s="46">
        <v>0</v>
      </c>
      <c r="BH2069" s="46">
        <v>43881.01</v>
      </c>
      <c r="BI2069">
        <v>8.1300000000000008</v>
      </c>
      <c r="BJ2069">
        <v>-43881.01</v>
      </c>
      <c r="BK2069">
        <v>-8.1300000000000008</v>
      </c>
      <c r="BL2069">
        <v>-7380.55</v>
      </c>
    </row>
    <row r="2070" spans="1:64" x14ac:dyDescent="0.25">
      <c r="A2070" s="136">
        <v>43118</v>
      </c>
      <c r="B2070" s="201" t="s">
        <v>70</v>
      </c>
      <c r="C2070" t="s">
        <v>131</v>
      </c>
      <c r="D2070">
        <v>10400</v>
      </c>
      <c r="E2070">
        <v>10300</v>
      </c>
      <c r="F2070">
        <v>12.188000000000001</v>
      </c>
      <c r="G2070">
        <v>-13085.26</v>
      </c>
      <c r="H2070">
        <v>-10.32</v>
      </c>
      <c r="I2070" s="309">
        <v>113672</v>
      </c>
      <c r="J2070">
        <v>10.93</v>
      </c>
      <c r="K2070" s="133">
        <v>0.21253785629567501</v>
      </c>
      <c r="L2070" s="181">
        <v>1190.6199999999999</v>
      </c>
      <c r="M2070" s="133">
        <v>0.23700397908291801</v>
      </c>
      <c r="N2070" s="73">
        <v>-12772.254000000001</v>
      </c>
      <c r="O2070" s="73">
        <v>-1164.7689665145999</v>
      </c>
      <c r="P2070" s="182">
        <v>2</v>
      </c>
      <c r="Q2070" s="182">
        <v>1000</v>
      </c>
      <c r="R2070" s="46">
        <v>10.885</v>
      </c>
      <c r="S2070" s="46">
        <v>6</v>
      </c>
      <c r="T2070" s="46">
        <v>2400</v>
      </c>
      <c r="U2070" s="46">
        <v>12.755000000000001</v>
      </c>
      <c r="V2070" s="46" t="s">
        <v>68</v>
      </c>
      <c r="W2070" s="46">
        <v>1400</v>
      </c>
      <c r="X2070" s="46">
        <v>14.090999999999999</v>
      </c>
      <c r="Y2070" s="193">
        <v>10.885</v>
      </c>
      <c r="Z2070" s="194">
        <v>12.112</v>
      </c>
      <c r="AA2070" s="194">
        <v>12.083</v>
      </c>
      <c r="AB2070" s="46">
        <v>10.83</v>
      </c>
      <c r="AC2070" s="46">
        <v>10.97</v>
      </c>
      <c r="AD2070" s="46">
        <v>10.76</v>
      </c>
      <c r="AE2070" s="46">
        <v>10.93</v>
      </c>
      <c r="AF2070" s="46">
        <v>124</v>
      </c>
      <c r="AG2070" s="46">
        <v>61600</v>
      </c>
      <c r="AH2070" s="46">
        <v>832153</v>
      </c>
      <c r="AI2070" s="46">
        <v>13.509</v>
      </c>
      <c r="AJ2070" s="46">
        <v>124</v>
      </c>
      <c r="AK2070" s="46">
        <v>49800</v>
      </c>
      <c r="AL2070" s="46">
        <v>685335.35800000001</v>
      </c>
      <c r="AM2070" s="46">
        <v>13.762</v>
      </c>
      <c r="AN2070" s="46" t="s">
        <v>63</v>
      </c>
      <c r="AO2070" s="46">
        <v>11800</v>
      </c>
      <c r="AP2070" s="46">
        <v>146817.64199999999</v>
      </c>
      <c r="AQ2070" s="46">
        <v>12.442</v>
      </c>
      <c r="AR2070" s="46">
        <v>12599.4</v>
      </c>
      <c r="AS2070" s="46">
        <v>126</v>
      </c>
      <c r="AT2070" s="46">
        <v>62600</v>
      </c>
      <c r="AU2070" s="46">
        <v>843048</v>
      </c>
      <c r="AV2070" s="46">
        <v>13.467000000000001</v>
      </c>
      <c r="AW2070" s="46">
        <v>131</v>
      </c>
      <c r="AX2070" s="46">
        <v>52200</v>
      </c>
      <c r="AY2070" s="46">
        <v>716291.74600000004</v>
      </c>
      <c r="AZ2070" s="46">
        <v>13.722</v>
      </c>
      <c r="BA2070" s="46" t="s">
        <v>63</v>
      </c>
      <c r="BB2070" s="46">
        <v>10400</v>
      </c>
      <c r="BC2070" s="46">
        <v>126756.254</v>
      </c>
      <c r="BD2070" s="46">
        <v>12.188000000000001</v>
      </c>
      <c r="BE2070" s="46">
        <v>13311</v>
      </c>
      <c r="BF2070" s="46">
        <v>10895</v>
      </c>
      <c r="BG2070" s="46">
        <v>10.9</v>
      </c>
      <c r="BH2070" s="46">
        <v>30956.387999999901</v>
      </c>
      <c r="BI2070">
        <v>12.9</v>
      </c>
      <c r="BJ2070">
        <v>-20061.387999999999</v>
      </c>
      <c r="BK2070">
        <v>-14.33</v>
      </c>
      <c r="BL2070">
        <v>1152.74</v>
      </c>
    </row>
    <row r="2071" spans="1:64" x14ac:dyDescent="0.25">
      <c r="A2071" s="136">
        <v>43118</v>
      </c>
      <c r="B2071" s="201" t="s">
        <v>146</v>
      </c>
      <c r="C2071" t="s">
        <v>148</v>
      </c>
      <c r="D2071">
        <v>40</v>
      </c>
      <c r="E2071">
        <v>40</v>
      </c>
      <c r="F2071">
        <v>100</v>
      </c>
      <c r="G2071">
        <v>-164.8</v>
      </c>
      <c r="H2071">
        <v>-4.12</v>
      </c>
      <c r="I2071" s="309">
        <v>3835.2</v>
      </c>
      <c r="J2071">
        <v>95.88</v>
      </c>
      <c r="K2071" s="133">
        <v>7.1708528614361699E-3</v>
      </c>
      <c r="L2071" s="181">
        <v>-1.6400000000000099</v>
      </c>
      <c r="M2071" s="133">
        <v>7.4789871312434001E-3</v>
      </c>
    </row>
    <row r="2072" spans="1:64" x14ac:dyDescent="0.25">
      <c r="A2072" s="136">
        <v>43118</v>
      </c>
      <c r="B2072" s="201" t="s">
        <v>137</v>
      </c>
      <c r="C2072" t="s">
        <v>138</v>
      </c>
      <c r="D2072">
        <v>100</v>
      </c>
      <c r="E2072">
        <v>100</v>
      </c>
      <c r="F2072">
        <v>-130.48500000000001</v>
      </c>
      <c r="G2072">
        <v>17055.5</v>
      </c>
      <c r="H2072">
        <v>0</v>
      </c>
      <c r="I2072" s="309">
        <v>4007</v>
      </c>
      <c r="J2072">
        <v>40.07</v>
      </c>
      <c r="K2072" s="133">
        <v>7.4920753587230703E-3</v>
      </c>
      <c r="L2072" s="181">
        <v>-37</v>
      </c>
      <c r="M2072" s="133">
        <v>0</v>
      </c>
    </row>
    <row r="2073" spans="1:64" x14ac:dyDescent="0.25">
      <c r="A2073" s="136">
        <v>43118</v>
      </c>
      <c r="B2073" s="201" t="s">
        <v>835</v>
      </c>
      <c r="C2073" t="s">
        <v>839</v>
      </c>
      <c r="I2073" s="309">
        <v>17173.7</v>
      </c>
      <c r="K2073" s="133">
        <v>3.2110470323958702E-2</v>
      </c>
      <c r="L2073" s="181">
        <v>0</v>
      </c>
      <c r="M2073" s="133">
        <v>0.21910081708308399</v>
      </c>
    </row>
    <row r="2074" spans="1:64" x14ac:dyDescent="0.25">
      <c r="A2074" s="136">
        <v>43119</v>
      </c>
      <c r="B2074" s="201" t="s">
        <v>132</v>
      </c>
      <c r="C2074" t="s">
        <v>123</v>
      </c>
      <c r="D2074">
        <v>10001801</v>
      </c>
      <c r="E2074">
        <v>10001801</v>
      </c>
      <c r="F2074">
        <v>0.01</v>
      </c>
      <c r="G2074">
        <v>2811.57</v>
      </c>
      <c r="H2074">
        <v>0</v>
      </c>
      <c r="I2074" s="309">
        <v>100018.01</v>
      </c>
      <c r="J2074">
        <v>0.01</v>
      </c>
      <c r="K2074" s="133">
        <v>0.187306701518417</v>
      </c>
      <c r="L2074" s="181">
        <v>9.6300000000001091</v>
      </c>
      <c r="M2074" s="133">
        <v>0</v>
      </c>
    </row>
    <row r="2075" spans="1:64" x14ac:dyDescent="0.25">
      <c r="A2075" s="136">
        <v>43119</v>
      </c>
      <c r="B2075" s="201" t="s">
        <v>61</v>
      </c>
      <c r="C2075" t="s">
        <v>136</v>
      </c>
      <c r="D2075">
        <v>2700</v>
      </c>
      <c r="E2075">
        <v>2700</v>
      </c>
      <c r="F2075">
        <v>5.3179999999999996</v>
      </c>
      <c r="G2075">
        <v>4.17</v>
      </c>
      <c r="H2075">
        <v>0.04</v>
      </c>
      <c r="I2075" s="309">
        <v>14364</v>
      </c>
      <c r="J2075">
        <v>5.32</v>
      </c>
      <c r="K2075" s="133">
        <v>2.6899889935927901E-2</v>
      </c>
      <c r="L2075" s="181">
        <v>182.83</v>
      </c>
      <c r="M2075" s="133">
        <v>2.68920806529265E-2</v>
      </c>
      <c r="N2075" s="73">
        <v>27.023999999997599</v>
      </c>
      <c r="O2075" s="73">
        <v>5.0676337711064896</v>
      </c>
      <c r="P2075" s="182">
        <v>4</v>
      </c>
      <c r="Q2075" s="182">
        <v>2000</v>
      </c>
      <c r="R2075" s="46">
        <v>5.3730000000000002</v>
      </c>
      <c r="S2075" s="46">
        <v>0</v>
      </c>
      <c r="T2075" s="46">
        <v>0</v>
      </c>
      <c r="U2075" s="46">
        <v>0</v>
      </c>
      <c r="V2075" s="46" t="s">
        <v>62</v>
      </c>
      <c r="W2075" s="46">
        <v>2000</v>
      </c>
      <c r="X2075" s="46">
        <v>5.3730000000000002</v>
      </c>
      <c r="Y2075" s="193">
        <v>5.335</v>
      </c>
      <c r="Z2075" s="194">
        <v>4.9829999999999997</v>
      </c>
      <c r="AA2075" s="194">
        <v>5.17</v>
      </c>
      <c r="AB2075" s="46">
        <v>5.26</v>
      </c>
      <c r="AC2075" s="46">
        <v>5.35</v>
      </c>
      <c r="AD2075" s="46">
        <v>5.25</v>
      </c>
      <c r="AE2075" s="46">
        <v>5.32</v>
      </c>
      <c r="AF2075" s="46">
        <v>7</v>
      </c>
      <c r="AG2075" s="46">
        <v>3500</v>
      </c>
      <c r="AH2075" s="46">
        <v>18542.099999999999</v>
      </c>
      <c r="AI2075" s="46">
        <v>5.298</v>
      </c>
      <c r="AJ2075" s="46">
        <v>7</v>
      </c>
      <c r="AK2075" s="46">
        <v>2800</v>
      </c>
      <c r="AL2075" s="46">
        <v>14944.324000000001</v>
      </c>
      <c r="AM2075" s="46">
        <v>5.3369999999999997</v>
      </c>
      <c r="AN2075" s="46" t="s">
        <v>63</v>
      </c>
      <c r="AO2075" s="46">
        <v>700</v>
      </c>
      <c r="AP2075" s="46">
        <v>3597.7759999999998</v>
      </c>
      <c r="AQ2075" s="46">
        <v>5.14</v>
      </c>
      <c r="AR2075" s="46">
        <v>109.2</v>
      </c>
      <c r="AS2075" s="46">
        <v>11</v>
      </c>
      <c r="AT2075" s="46">
        <v>5500</v>
      </c>
      <c r="AU2075" s="46">
        <v>29308.3</v>
      </c>
      <c r="AV2075" s="46">
        <v>5.3289999999999997</v>
      </c>
      <c r="AW2075" s="46">
        <v>7</v>
      </c>
      <c r="AX2075" s="46">
        <v>2800</v>
      </c>
      <c r="AY2075" s="46">
        <v>14944.324000000001</v>
      </c>
      <c r="AZ2075" s="46">
        <v>5.3369999999999997</v>
      </c>
      <c r="BA2075" s="46" t="s">
        <v>63</v>
      </c>
      <c r="BB2075" s="46">
        <v>2700</v>
      </c>
      <c r="BC2075" s="46">
        <v>14363.976000000001</v>
      </c>
      <c r="BD2075" s="46">
        <v>5.32</v>
      </c>
      <c r="BE2075" s="46">
        <v>22.4</v>
      </c>
      <c r="BF2075" s="46">
        <v>10766.2</v>
      </c>
      <c r="BG2075" s="46">
        <v>5.38</v>
      </c>
      <c r="BH2075" s="46">
        <v>0</v>
      </c>
      <c r="BJ2075">
        <v>10766.2</v>
      </c>
      <c r="BK2075">
        <v>5.38</v>
      </c>
      <c r="BL2075">
        <v>20.53</v>
      </c>
    </row>
    <row r="2076" spans="1:64" x14ac:dyDescent="0.25">
      <c r="A2076" s="136">
        <v>43119</v>
      </c>
      <c r="B2076" s="201" t="s">
        <v>124</v>
      </c>
      <c r="C2076" t="s">
        <v>125</v>
      </c>
      <c r="D2076">
        <v>100</v>
      </c>
      <c r="E2076">
        <v>100</v>
      </c>
      <c r="F2076">
        <v>-53.579000000000001</v>
      </c>
      <c r="G2076">
        <v>6069.9</v>
      </c>
      <c r="H2076">
        <v>0</v>
      </c>
      <c r="I2076" s="309">
        <v>712</v>
      </c>
      <c r="J2076">
        <v>7.12</v>
      </c>
      <c r="K2076" s="133">
        <v>1.33338357242973E-3</v>
      </c>
      <c r="L2076" s="181">
        <v>-1</v>
      </c>
      <c r="M2076" s="133">
        <v>0</v>
      </c>
      <c r="Y2076" s="194">
        <v>7.0010000000000003</v>
      </c>
      <c r="Z2076" s="193">
        <v>5.5129999999999999</v>
      </c>
      <c r="AA2076" s="193">
        <v>5.9809999999999999</v>
      </c>
      <c r="AB2076" s="46">
        <v>7.14</v>
      </c>
      <c r="AC2076" s="46">
        <v>7.2</v>
      </c>
      <c r="AD2076" s="46">
        <v>6.98</v>
      </c>
      <c r="AE2076" s="46">
        <v>7.12</v>
      </c>
    </row>
    <row r="2077" spans="1:64" x14ac:dyDescent="0.25">
      <c r="A2077" s="136">
        <v>43119</v>
      </c>
      <c r="B2077" s="201" t="s">
        <v>71</v>
      </c>
      <c r="C2077" t="s">
        <v>126</v>
      </c>
      <c r="D2077">
        <v>100</v>
      </c>
      <c r="E2077">
        <v>100</v>
      </c>
      <c r="F2077">
        <v>-17.085999999999999</v>
      </c>
      <c r="G2077">
        <v>2428.6</v>
      </c>
      <c r="H2077">
        <v>0</v>
      </c>
      <c r="I2077" s="309">
        <v>720</v>
      </c>
      <c r="J2077">
        <v>7.2</v>
      </c>
      <c r="K2077" s="133">
        <v>1.3483654103222001E-3</v>
      </c>
      <c r="L2077" s="181">
        <v>0</v>
      </c>
      <c r="M2077" s="133">
        <v>0</v>
      </c>
      <c r="N2077" s="73">
        <v>1703.3019999999999</v>
      </c>
      <c r="O2077" s="73">
        <v>341.114950423729</v>
      </c>
      <c r="P2077" s="182">
        <v>0</v>
      </c>
      <c r="Q2077" s="182">
        <v>0</v>
      </c>
      <c r="R2077" s="46">
        <v>0</v>
      </c>
      <c r="S2077" s="46">
        <v>7</v>
      </c>
      <c r="T2077" s="46">
        <v>2800</v>
      </c>
      <c r="U2077" s="46">
        <v>6.6749999999999998</v>
      </c>
      <c r="V2077" s="46" t="s">
        <v>68</v>
      </c>
      <c r="W2077" s="46">
        <v>2800</v>
      </c>
      <c r="X2077" s="46">
        <v>6.6749999999999998</v>
      </c>
      <c r="Y2077" s="194">
        <v>7.2640000000000002</v>
      </c>
      <c r="Z2077" s="194">
        <v>6.3029999999999999</v>
      </c>
      <c r="AA2077" s="194">
        <v>6.5720000000000001</v>
      </c>
      <c r="AB2077" s="46">
        <v>7.17</v>
      </c>
      <c r="AC2077" s="46">
        <v>7.49</v>
      </c>
      <c r="AD2077" s="46">
        <v>7.07</v>
      </c>
      <c r="AE2077" s="46">
        <v>7.2</v>
      </c>
      <c r="AF2077" s="46">
        <v>41</v>
      </c>
      <c r="AG2077" s="46">
        <v>20600</v>
      </c>
      <c r="AH2077" s="46">
        <v>131323.35999999999</v>
      </c>
      <c r="AI2077" s="46">
        <v>6.375</v>
      </c>
      <c r="AJ2077" s="46">
        <v>39</v>
      </c>
      <c r="AK2077" s="46">
        <v>17700</v>
      </c>
      <c r="AL2077" s="46">
        <v>114228.83100000001</v>
      </c>
      <c r="AM2077" s="46">
        <v>6.4539999999999997</v>
      </c>
      <c r="AN2077" s="46" t="s">
        <v>63</v>
      </c>
      <c r="AO2077" s="46">
        <v>2900</v>
      </c>
      <c r="AP2077" s="46">
        <v>17094.528999999999</v>
      </c>
      <c r="AQ2077" s="46">
        <v>5.8949999999999996</v>
      </c>
      <c r="AR2077" s="46">
        <v>1398.3</v>
      </c>
      <c r="AS2077" s="46">
        <v>41</v>
      </c>
      <c r="AT2077" s="46">
        <v>20600</v>
      </c>
      <c r="AU2077" s="46">
        <v>131323.35999999999</v>
      </c>
      <c r="AV2077" s="46">
        <v>6.375</v>
      </c>
      <c r="AW2077" s="46">
        <v>46</v>
      </c>
      <c r="AX2077" s="46">
        <v>20500</v>
      </c>
      <c r="AY2077" s="46">
        <v>132870.462</v>
      </c>
      <c r="AZ2077" s="46">
        <v>6.4809999999999999</v>
      </c>
      <c r="BA2077" s="46" t="s">
        <v>63</v>
      </c>
      <c r="BB2077" s="46">
        <v>100</v>
      </c>
      <c r="BC2077" s="46">
        <v>1547.1020000000001</v>
      </c>
      <c r="BD2077" s="46">
        <v>15.471</v>
      </c>
      <c r="BE2077" s="46">
        <v>2173</v>
      </c>
      <c r="BF2077" s="46">
        <v>0</v>
      </c>
      <c r="BH2077" s="46">
        <v>18641.631000000001</v>
      </c>
      <c r="BI2077">
        <v>6.66</v>
      </c>
      <c r="BJ2077">
        <v>-15547.427</v>
      </c>
      <c r="BK2077">
        <v>-5.55</v>
      </c>
      <c r="BL2077">
        <v>194.21</v>
      </c>
    </row>
    <row r="2078" spans="1:64" x14ac:dyDescent="0.25">
      <c r="A2078" s="136">
        <v>43119</v>
      </c>
      <c r="B2078" s="201" t="s">
        <v>79</v>
      </c>
      <c r="C2078" t="s">
        <v>143</v>
      </c>
      <c r="D2078">
        <v>4800</v>
      </c>
      <c r="E2078">
        <v>4800</v>
      </c>
      <c r="F2078">
        <v>17.009</v>
      </c>
      <c r="G2078">
        <v>-7193.92</v>
      </c>
      <c r="H2078">
        <v>-8.81</v>
      </c>
      <c r="I2078" s="309">
        <v>74448</v>
      </c>
      <c r="J2078">
        <v>15.51</v>
      </c>
      <c r="K2078" s="133">
        <v>0.13942098342731599</v>
      </c>
      <c r="L2078" s="181">
        <v>480</v>
      </c>
      <c r="M2078" s="133">
        <v>0.15289325133373899</v>
      </c>
      <c r="N2078" s="73">
        <v>-8635.8840000000291</v>
      </c>
      <c r="O2078" s="73">
        <v>-567.49283747534696</v>
      </c>
      <c r="P2078" s="182">
        <v>8</v>
      </c>
      <c r="Q2078" s="182">
        <v>4500</v>
      </c>
      <c r="R2078" s="46">
        <v>16.859000000000002</v>
      </c>
      <c r="S2078" s="46">
        <v>0</v>
      </c>
      <c r="T2078" s="46">
        <v>0</v>
      </c>
      <c r="U2078" s="46">
        <v>0</v>
      </c>
      <c r="V2078" s="46" t="s">
        <v>62</v>
      </c>
      <c r="W2078" s="46">
        <v>4500</v>
      </c>
      <c r="X2078" s="46">
        <v>16.859000000000002</v>
      </c>
      <c r="Y2078" s="193">
        <v>15.634</v>
      </c>
      <c r="Z2078" s="194">
        <v>15.481999999999999</v>
      </c>
      <c r="AA2078" s="194">
        <v>15.483000000000001</v>
      </c>
      <c r="AB2078" s="46">
        <v>15.42</v>
      </c>
      <c r="AC2078" s="46">
        <v>15.56</v>
      </c>
      <c r="AD2078" s="46">
        <v>15.36</v>
      </c>
      <c r="AE2078" s="46">
        <v>15.51</v>
      </c>
      <c r="AF2078" s="46">
        <v>3</v>
      </c>
      <c r="AG2078" s="46">
        <v>1500</v>
      </c>
      <c r="AH2078" s="46">
        <v>24265.9</v>
      </c>
      <c r="AI2078" s="46">
        <v>16.177</v>
      </c>
      <c r="AJ2078" s="46">
        <v>3</v>
      </c>
      <c r="AK2078" s="46">
        <v>1200</v>
      </c>
      <c r="AL2078" s="46">
        <v>18529.716</v>
      </c>
      <c r="AM2078" s="46">
        <v>15.441000000000001</v>
      </c>
      <c r="AN2078" s="46" t="s">
        <v>63</v>
      </c>
      <c r="AO2078" s="46">
        <v>300</v>
      </c>
      <c r="AP2078" s="46">
        <v>5736.1840000000002</v>
      </c>
      <c r="AQ2078" s="46">
        <v>19.120999999999999</v>
      </c>
      <c r="AR2078" s="46">
        <v>-883.2</v>
      </c>
      <c r="AS2078" s="46">
        <v>11</v>
      </c>
      <c r="AT2078" s="46">
        <v>6000</v>
      </c>
      <c r="AU2078" s="46">
        <v>100173.6</v>
      </c>
      <c r="AV2078" s="46">
        <v>16.696000000000002</v>
      </c>
      <c r="AW2078" s="46">
        <v>3</v>
      </c>
      <c r="AX2078" s="46">
        <v>1200</v>
      </c>
      <c r="AY2078" s="46">
        <v>18529.716</v>
      </c>
      <c r="AZ2078" s="46">
        <v>15.441000000000001</v>
      </c>
      <c r="BA2078" s="46" t="s">
        <v>63</v>
      </c>
      <c r="BB2078" s="46">
        <v>4800</v>
      </c>
      <c r="BC2078" s="46">
        <v>81643.884000000005</v>
      </c>
      <c r="BD2078" s="46">
        <v>17.009</v>
      </c>
      <c r="BE2078" s="46">
        <v>-1506</v>
      </c>
      <c r="BF2078" s="46">
        <v>75907.7</v>
      </c>
      <c r="BG2078" s="46">
        <v>16.87</v>
      </c>
      <c r="BH2078" s="46">
        <v>0</v>
      </c>
      <c r="BJ2078">
        <v>75907.7</v>
      </c>
      <c r="BK2078">
        <v>16.87</v>
      </c>
      <c r="BL2078">
        <v>-56.94</v>
      </c>
    </row>
    <row r="2079" spans="1:64" x14ac:dyDescent="0.25">
      <c r="A2079" s="136">
        <v>43119</v>
      </c>
      <c r="B2079" s="201" t="s">
        <v>65</v>
      </c>
      <c r="C2079" t="s">
        <v>127</v>
      </c>
      <c r="D2079">
        <v>7800</v>
      </c>
      <c r="E2079">
        <v>7400</v>
      </c>
      <c r="F2079">
        <v>9.2989999999999995</v>
      </c>
      <c r="G2079">
        <v>20597.5</v>
      </c>
      <c r="H2079">
        <v>28.4</v>
      </c>
      <c r="I2079" s="309">
        <v>93132</v>
      </c>
      <c r="J2079">
        <v>11.94</v>
      </c>
      <c r="K2079" s="133">
        <v>0.17441106582517699</v>
      </c>
      <c r="L2079" s="181">
        <v>-1351.16</v>
      </c>
      <c r="M2079" s="133">
        <v>0.13583751507641101</v>
      </c>
      <c r="N2079" s="73">
        <v>16783.082999999999</v>
      </c>
      <c r="O2079" s="73">
        <v>1754.5086818124901</v>
      </c>
      <c r="P2079" s="182">
        <v>0</v>
      </c>
      <c r="Q2079" s="182">
        <v>0</v>
      </c>
      <c r="R2079" s="46">
        <v>0</v>
      </c>
      <c r="S2079" s="46">
        <v>22</v>
      </c>
      <c r="T2079" s="46">
        <v>9700</v>
      </c>
      <c r="U2079" s="46">
        <v>12.404999999999999</v>
      </c>
      <c r="V2079" s="46" t="s">
        <v>68</v>
      </c>
      <c r="W2079" s="46">
        <v>9700</v>
      </c>
      <c r="X2079" s="46">
        <v>12.404999999999999</v>
      </c>
      <c r="Y2079" s="194">
        <v>11.89</v>
      </c>
      <c r="Z2079" s="194">
        <v>11.319000000000001</v>
      </c>
      <c r="AA2079" s="194">
        <v>11.69</v>
      </c>
      <c r="AB2079" s="46">
        <v>12.16</v>
      </c>
      <c r="AC2079" s="46">
        <v>12.35</v>
      </c>
      <c r="AD2079" s="46">
        <v>11.9</v>
      </c>
      <c r="AE2079" s="46">
        <v>11.94</v>
      </c>
      <c r="AF2079" s="46">
        <v>138</v>
      </c>
      <c r="AG2079" s="46">
        <v>76800</v>
      </c>
      <c r="AH2079" s="46">
        <v>897382.23100000003</v>
      </c>
      <c r="AI2079" s="46">
        <v>11.685</v>
      </c>
      <c r="AJ2079" s="46">
        <v>158</v>
      </c>
      <c r="AK2079" s="46">
        <v>68500</v>
      </c>
      <c r="AL2079" s="46">
        <v>703913.64099999995</v>
      </c>
      <c r="AM2079" s="46">
        <v>10.276</v>
      </c>
      <c r="AN2079" s="46" t="s">
        <v>63</v>
      </c>
      <c r="AO2079" s="46">
        <v>8300</v>
      </c>
      <c r="AP2079" s="46">
        <v>193468.59</v>
      </c>
      <c r="AQ2079" s="46">
        <v>23.309000000000001</v>
      </c>
      <c r="AR2079" s="46">
        <v>-96516.5</v>
      </c>
      <c r="AS2079" s="46">
        <v>139</v>
      </c>
      <c r="AT2079" s="46">
        <v>76900</v>
      </c>
      <c r="AU2079" s="46">
        <v>898670.23100000003</v>
      </c>
      <c r="AV2079" s="46">
        <v>11.686</v>
      </c>
      <c r="AW2079" s="46">
        <v>180</v>
      </c>
      <c r="AX2079" s="46">
        <v>78200</v>
      </c>
      <c r="AY2079" s="46">
        <v>824012.31200000003</v>
      </c>
      <c r="AZ2079" s="46">
        <v>10.537000000000001</v>
      </c>
      <c r="BA2079" s="46" t="s">
        <v>69</v>
      </c>
      <c r="BB2079" s="46">
        <v>1300</v>
      </c>
      <c r="BC2079" s="46">
        <v>74657.918999999994</v>
      </c>
      <c r="BD2079" s="46">
        <v>57.429000000000002</v>
      </c>
      <c r="BE2079" s="46">
        <v>-88358.1</v>
      </c>
      <c r="BF2079" s="46">
        <v>1288</v>
      </c>
      <c r="BH2079" s="46">
        <v>120098.671</v>
      </c>
      <c r="BI2079">
        <v>12.38</v>
      </c>
      <c r="BJ2079">
        <v>-118810.671</v>
      </c>
      <c r="BK2079">
        <v>-12.25</v>
      </c>
      <c r="BL2079">
        <v>-8083.46</v>
      </c>
    </row>
    <row r="2080" spans="1:64" x14ac:dyDescent="0.25">
      <c r="A2080" s="136">
        <v>43119</v>
      </c>
      <c r="B2080" s="201" t="s">
        <v>77</v>
      </c>
      <c r="C2080" t="s">
        <v>128</v>
      </c>
      <c r="D2080">
        <v>4300</v>
      </c>
      <c r="E2080">
        <v>4300</v>
      </c>
      <c r="F2080">
        <v>5.9779999999999998</v>
      </c>
      <c r="G2080">
        <v>-595.27</v>
      </c>
      <c r="H2080">
        <v>-2.31</v>
      </c>
      <c r="I2080" s="309">
        <v>25112</v>
      </c>
      <c r="J2080">
        <v>5.84</v>
      </c>
      <c r="K2080" s="133">
        <v>4.7027989144459902E-2</v>
      </c>
      <c r="L2080" s="181">
        <v>0</v>
      </c>
      <c r="M2080" s="133">
        <v>4.8142768974741103E-2</v>
      </c>
      <c r="N2080" s="73">
        <v>-1272.2139999999999</v>
      </c>
      <c r="O2080" s="73">
        <v>-133.073774655173</v>
      </c>
      <c r="P2080" s="182">
        <v>6</v>
      </c>
      <c r="Q2080" s="182">
        <v>3000</v>
      </c>
      <c r="R2080" s="46">
        <v>6.798</v>
      </c>
      <c r="S2080" s="46">
        <v>0</v>
      </c>
      <c r="T2080" s="46">
        <v>0</v>
      </c>
      <c r="U2080" s="46">
        <v>0</v>
      </c>
      <c r="V2080" s="46" t="s">
        <v>62</v>
      </c>
      <c r="W2080" s="46">
        <v>3000</v>
      </c>
      <c r="X2080" s="46">
        <v>6.798</v>
      </c>
      <c r="AF2080" s="46">
        <v>39</v>
      </c>
      <c r="AG2080" s="46">
        <v>19500</v>
      </c>
      <c r="AH2080" s="46">
        <v>142169</v>
      </c>
      <c r="AI2080" s="46">
        <v>7.2910000000000004</v>
      </c>
      <c r="AJ2080" s="46">
        <v>39</v>
      </c>
      <c r="AK2080" s="46">
        <v>18200</v>
      </c>
      <c r="AL2080" s="46">
        <v>136881.78599999999</v>
      </c>
      <c r="AM2080" s="46">
        <v>7.5209999999999999</v>
      </c>
      <c r="AN2080" s="46" t="s">
        <v>63</v>
      </c>
      <c r="AO2080" s="46">
        <v>1300</v>
      </c>
      <c r="AP2080" s="46">
        <v>5287.2139999999999</v>
      </c>
      <c r="AQ2080" s="46">
        <v>4.0670000000000002</v>
      </c>
      <c r="AR2080" s="46">
        <v>4186</v>
      </c>
      <c r="AS2080" s="46">
        <v>45</v>
      </c>
      <c r="AT2080" s="46">
        <v>22500</v>
      </c>
      <c r="AU2080" s="46">
        <v>162594</v>
      </c>
      <c r="AV2080" s="46">
        <v>7.226</v>
      </c>
      <c r="AW2080" s="46">
        <v>39</v>
      </c>
      <c r="AX2080" s="46">
        <v>18200</v>
      </c>
      <c r="AY2080" s="46">
        <v>136881.78599999999</v>
      </c>
      <c r="AZ2080" s="46">
        <v>7.5209999999999999</v>
      </c>
      <c r="BA2080" s="46" t="s">
        <v>63</v>
      </c>
      <c r="BB2080" s="46">
        <v>4300</v>
      </c>
      <c r="BC2080" s="46">
        <v>25712.214</v>
      </c>
      <c r="BD2080" s="46">
        <v>5.98</v>
      </c>
      <c r="BE2080" s="46">
        <v>5369</v>
      </c>
      <c r="BF2080" s="46">
        <v>20425</v>
      </c>
      <c r="BG2080" s="46">
        <v>6.81</v>
      </c>
      <c r="BH2080" s="46">
        <v>0</v>
      </c>
      <c r="BJ2080">
        <v>20425</v>
      </c>
      <c r="BK2080">
        <v>6.81</v>
      </c>
      <c r="BL2080">
        <v>716.78</v>
      </c>
    </row>
    <row r="2081" spans="1:64" x14ac:dyDescent="0.25">
      <c r="A2081" s="136">
        <v>43119</v>
      </c>
      <c r="B2081" s="201" t="s">
        <v>67</v>
      </c>
      <c r="C2081" t="s">
        <v>129</v>
      </c>
      <c r="D2081">
        <v>7650</v>
      </c>
      <c r="E2081">
        <v>6750</v>
      </c>
      <c r="F2081">
        <v>8.6319999999999997</v>
      </c>
      <c r="G2081">
        <v>-1239.7</v>
      </c>
      <c r="H2081">
        <v>-1.88</v>
      </c>
      <c r="I2081" s="309">
        <v>64795.5</v>
      </c>
      <c r="J2081">
        <v>8.4700000000000006</v>
      </c>
      <c r="K2081" s="133">
        <v>0.12134445964518401</v>
      </c>
      <c r="L2081" s="181">
        <v>477.58</v>
      </c>
      <c r="M2081" s="133">
        <v>0.123666082699595</v>
      </c>
      <c r="N2081" s="73">
        <v>-1318.4630000002301</v>
      </c>
      <c r="O2081" s="73">
        <v>-155.76876696220199</v>
      </c>
      <c r="P2081" s="182">
        <v>3</v>
      </c>
      <c r="Q2081" s="182">
        <v>1400</v>
      </c>
      <c r="R2081" s="46">
        <v>6.6280000000000001</v>
      </c>
      <c r="S2081" s="46">
        <v>2</v>
      </c>
      <c r="T2081" s="46">
        <v>800</v>
      </c>
      <c r="U2081" s="46">
        <v>8.4700000000000006</v>
      </c>
      <c r="V2081" s="46" t="s">
        <v>62</v>
      </c>
      <c r="W2081" s="46">
        <v>600</v>
      </c>
      <c r="X2081" s="46">
        <v>4.1719999999999997</v>
      </c>
      <c r="Y2081" s="193">
        <v>9.3710000000000004</v>
      </c>
      <c r="Z2081" s="194">
        <v>7.83</v>
      </c>
      <c r="AA2081" s="194">
        <v>8.6859999999999999</v>
      </c>
      <c r="AB2081" s="46">
        <v>8.48</v>
      </c>
      <c r="AC2081" s="46">
        <v>8.64</v>
      </c>
      <c r="AD2081" s="46">
        <v>8.42</v>
      </c>
      <c r="AE2081" s="46">
        <v>8.4700000000000006</v>
      </c>
      <c r="AF2081" s="46">
        <v>157</v>
      </c>
      <c r="AG2081" s="46">
        <v>78500</v>
      </c>
      <c r="AH2081" s="46">
        <v>651492</v>
      </c>
      <c r="AI2081" s="46">
        <v>8.2989999999999995</v>
      </c>
      <c r="AJ2081" s="46">
        <v>159</v>
      </c>
      <c r="AK2081" s="46">
        <v>74050</v>
      </c>
      <c r="AL2081" s="46">
        <v>657117.429</v>
      </c>
      <c r="AM2081" s="46">
        <v>8.8740000000000006</v>
      </c>
      <c r="AN2081" s="46" t="s">
        <v>63</v>
      </c>
      <c r="AO2081" s="46">
        <v>4450</v>
      </c>
      <c r="AP2081" s="46">
        <v>5625.4290000000001</v>
      </c>
      <c r="AQ2081" s="46">
        <v>1.264</v>
      </c>
      <c r="AR2081" s="46">
        <v>42578.75</v>
      </c>
      <c r="AS2081" s="46">
        <v>160</v>
      </c>
      <c r="AT2081" s="46">
        <v>79900</v>
      </c>
      <c r="AU2081" s="46">
        <v>660786</v>
      </c>
      <c r="AV2081" s="46">
        <v>8.27</v>
      </c>
      <c r="AW2081" s="46">
        <v>161</v>
      </c>
      <c r="AX2081" s="46">
        <v>74850</v>
      </c>
      <c r="AY2081" s="46">
        <v>663876.65300000005</v>
      </c>
      <c r="AZ2081" s="46">
        <v>8.8689999999999998</v>
      </c>
      <c r="BA2081" s="46" t="s">
        <v>63</v>
      </c>
      <c r="BB2081" s="46">
        <v>5050</v>
      </c>
      <c r="BC2081" s="46">
        <v>3090.6529999999998</v>
      </c>
      <c r="BD2081" s="46">
        <v>0.61199999999999999</v>
      </c>
      <c r="BE2081" s="46">
        <v>44835.15</v>
      </c>
      <c r="BF2081" s="46">
        <v>9294</v>
      </c>
      <c r="BG2081" s="46">
        <v>6.64</v>
      </c>
      <c r="BH2081" s="46">
        <v>6759.2240000000502</v>
      </c>
      <c r="BI2081">
        <v>8.4499999999999993</v>
      </c>
      <c r="BJ2081">
        <v>-2534.7759999999998</v>
      </c>
      <c r="BK2081">
        <v>-4.22</v>
      </c>
      <c r="BL2081">
        <v>5027.01</v>
      </c>
    </row>
    <row r="2082" spans="1:64" x14ac:dyDescent="0.25">
      <c r="A2082" s="136">
        <v>43119</v>
      </c>
      <c r="B2082" s="201" t="s">
        <v>78</v>
      </c>
      <c r="C2082" t="s">
        <v>142</v>
      </c>
      <c r="D2082">
        <v>100</v>
      </c>
      <c r="E2082">
        <v>100</v>
      </c>
      <c r="F2082">
        <v>8.8810000000000002</v>
      </c>
      <c r="G2082">
        <v>161.87</v>
      </c>
      <c r="H2082">
        <v>18.23</v>
      </c>
      <c r="I2082" s="309">
        <v>1050</v>
      </c>
      <c r="J2082">
        <v>10.5</v>
      </c>
      <c r="K2082" s="133">
        <v>1.9663662233865399E-3</v>
      </c>
      <c r="L2082" s="181">
        <v>194.82</v>
      </c>
      <c r="M2082" s="133">
        <v>1.6632274609297999E-3</v>
      </c>
      <c r="N2082" s="73">
        <v>171.86799999999999</v>
      </c>
      <c r="O2082" s="73">
        <v>16.205855283018799</v>
      </c>
      <c r="P2082" s="182">
        <v>0</v>
      </c>
      <c r="Q2082" s="182">
        <v>0</v>
      </c>
      <c r="R2082" s="46">
        <v>0</v>
      </c>
      <c r="S2082" s="46">
        <v>2</v>
      </c>
      <c r="T2082" s="46">
        <v>500</v>
      </c>
      <c r="U2082" s="46">
        <v>10.368</v>
      </c>
      <c r="V2082" s="46" t="s">
        <v>68</v>
      </c>
      <c r="W2082" s="46">
        <v>500</v>
      </c>
      <c r="X2082" s="46">
        <v>10.368</v>
      </c>
      <c r="Y2082" s="193">
        <v>10.465</v>
      </c>
      <c r="Z2082" s="194">
        <v>10.814</v>
      </c>
      <c r="AA2082" s="194">
        <v>10.683999999999999</v>
      </c>
      <c r="AB2082" s="46">
        <v>10.06</v>
      </c>
      <c r="AC2082" s="46">
        <v>10.78</v>
      </c>
      <c r="AD2082" s="46">
        <v>10.01</v>
      </c>
      <c r="AE2082" s="46">
        <v>10.5</v>
      </c>
      <c r="AF2082" s="46">
        <v>6</v>
      </c>
      <c r="AG2082" s="46">
        <v>3000</v>
      </c>
      <c r="AH2082" s="46">
        <v>30950</v>
      </c>
      <c r="AI2082" s="46">
        <v>10.317</v>
      </c>
      <c r="AJ2082" s="46">
        <v>6</v>
      </c>
      <c r="AK2082" s="46">
        <v>2400</v>
      </c>
      <c r="AL2082" s="46">
        <v>24893.052</v>
      </c>
      <c r="AM2082" s="46">
        <v>10.372</v>
      </c>
      <c r="AN2082" s="46" t="s">
        <v>63</v>
      </c>
      <c r="AO2082" s="46">
        <v>600</v>
      </c>
      <c r="AP2082" s="46">
        <v>6056.9480000000003</v>
      </c>
      <c r="AQ2082" s="46">
        <v>10.095000000000001</v>
      </c>
      <c r="AR2082" s="46">
        <v>132</v>
      </c>
      <c r="AS2082" s="46">
        <v>6</v>
      </c>
      <c r="AT2082" s="46">
        <v>3000</v>
      </c>
      <c r="AU2082" s="46">
        <v>30950</v>
      </c>
      <c r="AV2082" s="46">
        <v>10.317</v>
      </c>
      <c r="AW2082" s="46">
        <v>8</v>
      </c>
      <c r="AX2082" s="46">
        <v>2900</v>
      </c>
      <c r="AY2082" s="46">
        <v>30061.867999999999</v>
      </c>
      <c r="AZ2082" s="46">
        <v>10.366</v>
      </c>
      <c r="BA2082" s="46" t="s">
        <v>63</v>
      </c>
      <c r="BB2082" s="46">
        <v>100</v>
      </c>
      <c r="BC2082" s="46">
        <v>888.13199999999995</v>
      </c>
      <c r="BD2082" s="46">
        <v>8.8810000000000002</v>
      </c>
      <c r="BE2082" s="46">
        <v>142.1</v>
      </c>
      <c r="BF2082" s="46">
        <v>0</v>
      </c>
      <c r="BH2082" s="46">
        <v>5168.8159999999998</v>
      </c>
      <c r="BI2082">
        <v>10.34</v>
      </c>
      <c r="BJ2082">
        <v>-5168.8159999999998</v>
      </c>
      <c r="BK2082">
        <v>-10.34</v>
      </c>
      <c r="BL2082">
        <v>12.57</v>
      </c>
    </row>
    <row r="2083" spans="1:64" x14ac:dyDescent="0.25">
      <c r="A2083" s="136">
        <v>43119</v>
      </c>
      <c r="B2083" s="201" t="s">
        <v>72</v>
      </c>
      <c r="C2083" t="s">
        <v>130</v>
      </c>
      <c r="D2083">
        <v>1900</v>
      </c>
      <c r="E2083">
        <v>1900</v>
      </c>
      <c r="F2083">
        <v>7.0460000000000003</v>
      </c>
      <c r="G2083">
        <v>-181.75</v>
      </c>
      <c r="H2083">
        <v>-1.36</v>
      </c>
      <c r="I2083" s="309">
        <v>13205</v>
      </c>
      <c r="J2083">
        <v>6.95</v>
      </c>
      <c r="K2083" s="133">
        <v>2.4729396171256499E-2</v>
      </c>
      <c r="L2083" s="181">
        <v>76</v>
      </c>
      <c r="M2083" s="133">
        <v>2.5069764800875999E-2</v>
      </c>
      <c r="N2083" s="73">
        <v>-327.47199999999202</v>
      </c>
      <c r="O2083" s="73">
        <v>-15.122906866949799</v>
      </c>
      <c r="P2083" s="182">
        <v>0</v>
      </c>
      <c r="Q2083" s="182">
        <v>0</v>
      </c>
      <c r="R2083" s="46">
        <v>0</v>
      </c>
      <c r="S2083" s="46">
        <v>13</v>
      </c>
      <c r="T2083" s="46">
        <v>5400</v>
      </c>
      <c r="U2083" s="46">
        <v>8.1460000000000008</v>
      </c>
      <c r="V2083" s="46" t="s">
        <v>68</v>
      </c>
      <c r="W2083" s="46">
        <v>5400</v>
      </c>
      <c r="X2083" s="46">
        <v>8.1460000000000008</v>
      </c>
      <c r="Y2083" s="194">
        <v>6.95</v>
      </c>
      <c r="Z2083" s="194">
        <v>7.03</v>
      </c>
      <c r="AA2083" s="194">
        <v>7.1230000000000002</v>
      </c>
      <c r="AB2083" s="46">
        <v>6.94</v>
      </c>
      <c r="AC2083" s="46">
        <v>7.05</v>
      </c>
      <c r="AD2083" s="46">
        <v>6.92</v>
      </c>
      <c r="AE2083" s="46">
        <v>6.95</v>
      </c>
      <c r="AF2083" s="46">
        <v>25</v>
      </c>
      <c r="AG2083" s="46">
        <v>12500</v>
      </c>
      <c r="AH2083" s="46">
        <v>98730</v>
      </c>
      <c r="AI2083" s="46">
        <v>7.8979999999999997</v>
      </c>
      <c r="AJ2083" s="46">
        <v>25</v>
      </c>
      <c r="AK2083" s="46">
        <v>11800</v>
      </c>
      <c r="AL2083" s="46">
        <v>42194.703000000001</v>
      </c>
      <c r="AM2083" s="46">
        <v>3.5760000000000001</v>
      </c>
      <c r="AN2083" s="46" t="s">
        <v>63</v>
      </c>
      <c r="AO2083" s="46">
        <v>700</v>
      </c>
      <c r="AP2083" s="46">
        <v>56535.296999999999</v>
      </c>
      <c r="AQ2083" s="46">
        <v>80.765000000000001</v>
      </c>
      <c r="AR2083" s="46">
        <v>-50999.6</v>
      </c>
      <c r="AS2083" s="46">
        <v>25</v>
      </c>
      <c r="AT2083" s="46">
        <v>12500</v>
      </c>
      <c r="AU2083" s="46">
        <v>98730</v>
      </c>
      <c r="AV2083" s="46">
        <v>7.8979999999999997</v>
      </c>
      <c r="AW2083" s="46">
        <v>39</v>
      </c>
      <c r="AX2083" s="46">
        <v>17700</v>
      </c>
      <c r="AY2083" s="46">
        <v>86075.713000000003</v>
      </c>
      <c r="AZ2083" s="46">
        <v>4.8630000000000004</v>
      </c>
      <c r="BA2083" s="46" t="s">
        <v>69</v>
      </c>
      <c r="BB2083" s="46">
        <v>5200</v>
      </c>
      <c r="BC2083" s="46">
        <v>12654.287</v>
      </c>
      <c r="BD2083" s="46">
        <v>2.4340000000000002</v>
      </c>
      <c r="BE2083" s="46">
        <v>-37937.5</v>
      </c>
      <c r="BF2083" s="46">
        <v>0</v>
      </c>
      <c r="BH2083" s="46">
        <v>43881.01</v>
      </c>
      <c r="BI2083">
        <v>8.1300000000000008</v>
      </c>
      <c r="BJ2083">
        <v>-43881.01</v>
      </c>
      <c r="BK2083">
        <v>-8.1300000000000008</v>
      </c>
      <c r="BL2083">
        <v>-7338.07</v>
      </c>
    </row>
    <row r="2084" spans="1:64" x14ac:dyDescent="0.25">
      <c r="A2084" s="136">
        <v>43119</v>
      </c>
      <c r="B2084" s="201" t="s">
        <v>70</v>
      </c>
      <c r="C2084" t="s">
        <v>131</v>
      </c>
      <c r="D2084">
        <v>10400</v>
      </c>
      <c r="E2084">
        <v>10400</v>
      </c>
      <c r="F2084">
        <v>12.188000000000001</v>
      </c>
      <c r="G2084">
        <v>-14021.26</v>
      </c>
      <c r="H2084">
        <v>-11.06</v>
      </c>
      <c r="I2084" s="309">
        <v>112736</v>
      </c>
      <c r="J2084">
        <v>10.84</v>
      </c>
      <c r="K2084" s="133">
        <v>0.21112405958067201</v>
      </c>
      <c r="L2084" s="181">
        <v>-936</v>
      </c>
      <c r="M2084" s="133">
        <v>0.23738209012669201</v>
      </c>
      <c r="N2084" s="73">
        <v>-12772.254000000001</v>
      </c>
      <c r="O2084" s="73">
        <v>-1164.7689665145999</v>
      </c>
      <c r="P2084" s="182">
        <v>2</v>
      </c>
      <c r="Q2084" s="182">
        <v>1000</v>
      </c>
      <c r="R2084" s="46">
        <v>10.885</v>
      </c>
      <c r="S2084" s="46">
        <v>6</v>
      </c>
      <c r="T2084" s="46">
        <v>2400</v>
      </c>
      <c r="U2084" s="46">
        <v>12.755000000000001</v>
      </c>
      <c r="V2084" s="46" t="s">
        <v>68</v>
      </c>
      <c r="W2084" s="46">
        <v>1400</v>
      </c>
      <c r="X2084" s="46">
        <v>14.090999999999999</v>
      </c>
      <c r="Y2084" s="194">
        <v>10.868</v>
      </c>
      <c r="Z2084" s="194">
        <v>12.095000000000001</v>
      </c>
      <c r="AA2084" s="194">
        <v>12.076000000000001</v>
      </c>
      <c r="AB2084" s="46">
        <v>10.93</v>
      </c>
      <c r="AC2084" s="46">
        <v>10.94</v>
      </c>
      <c r="AD2084" s="46">
        <v>10.8</v>
      </c>
      <c r="AE2084" s="46">
        <v>10.84</v>
      </c>
      <c r="AF2084" s="46">
        <v>124</v>
      </c>
      <c r="AG2084" s="46">
        <v>61600</v>
      </c>
      <c r="AH2084" s="46">
        <v>832153</v>
      </c>
      <c r="AI2084" s="46">
        <v>13.509</v>
      </c>
      <c r="AJ2084" s="46">
        <v>124</v>
      </c>
      <c r="AK2084" s="46">
        <v>49800</v>
      </c>
      <c r="AL2084" s="46">
        <v>685335.35800000001</v>
      </c>
      <c r="AM2084" s="46">
        <v>13.762</v>
      </c>
      <c r="AN2084" s="46" t="s">
        <v>63</v>
      </c>
      <c r="AO2084" s="46">
        <v>11800</v>
      </c>
      <c r="AP2084" s="46">
        <v>146817.64199999999</v>
      </c>
      <c r="AQ2084" s="46">
        <v>12.442</v>
      </c>
      <c r="AR2084" s="46">
        <v>12599.4</v>
      </c>
      <c r="AS2084" s="46">
        <v>126</v>
      </c>
      <c r="AT2084" s="46">
        <v>62600</v>
      </c>
      <c r="AU2084" s="46">
        <v>843048</v>
      </c>
      <c r="AV2084" s="46">
        <v>13.467000000000001</v>
      </c>
      <c r="AW2084" s="46">
        <v>131</v>
      </c>
      <c r="AX2084" s="46">
        <v>52200</v>
      </c>
      <c r="AY2084" s="46">
        <v>716291.74600000004</v>
      </c>
      <c r="AZ2084" s="46">
        <v>13.722</v>
      </c>
      <c r="BA2084" s="46" t="s">
        <v>63</v>
      </c>
      <c r="BB2084" s="46">
        <v>10400</v>
      </c>
      <c r="BC2084" s="46">
        <v>126756.254</v>
      </c>
      <c r="BD2084" s="46">
        <v>12.188000000000001</v>
      </c>
      <c r="BE2084" s="46">
        <v>13311</v>
      </c>
      <c r="BF2084" s="46">
        <v>10895</v>
      </c>
      <c r="BG2084" s="46">
        <v>10.9</v>
      </c>
      <c r="BH2084" s="46">
        <v>30956.387999999901</v>
      </c>
      <c r="BI2084">
        <v>12.9</v>
      </c>
      <c r="BJ2084">
        <v>-20061.387999999999</v>
      </c>
      <c r="BK2084">
        <v>-14.33</v>
      </c>
      <c r="BL2084">
        <v>1162.31</v>
      </c>
    </row>
    <row r="2085" spans="1:64" x14ac:dyDescent="0.25">
      <c r="A2085" s="136">
        <v>43119</v>
      </c>
      <c r="B2085" s="201" t="s">
        <v>146</v>
      </c>
      <c r="C2085" t="s">
        <v>148</v>
      </c>
      <c r="D2085">
        <v>40</v>
      </c>
      <c r="E2085">
        <v>40</v>
      </c>
      <c r="F2085">
        <v>100</v>
      </c>
      <c r="G2085">
        <v>-128.4</v>
      </c>
      <c r="H2085">
        <v>-3.21</v>
      </c>
      <c r="I2085" s="309">
        <v>3871.6</v>
      </c>
      <c r="J2085">
        <v>96.79</v>
      </c>
      <c r="K2085" s="133">
        <v>7.2504604480603304E-3</v>
      </c>
      <c r="L2085" s="181">
        <v>36.4</v>
      </c>
      <c r="M2085" s="133">
        <v>7.4909189462344502E-3</v>
      </c>
    </row>
    <row r="2086" spans="1:64" x14ac:dyDescent="0.25">
      <c r="A2086" s="136">
        <v>43119</v>
      </c>
      <c r="B2086" s="201" t="s">
        <v>137</v>
      </c>
      <c r="C2086" t="s">
        <v>138</v>
      </c>
      <c r="D2086">
        <v>100</v>
      </c>
      <c r="E2086">
        <v>100</v>
      </c>
      <c r="F2086">
        <v>-130.48500000000001</v>
      </c>
      <c r="G2086">
        <v>17034.5</v>
      </c>
      <c r="H2086">
        <v>0</v>
      </c>
      <c r="I2086" s="309">
        <v>3986</v>
      </c>
      <c r="J2086">
        <v>39.86</v>
      </c>
      <c r="K2086" s="133">
        <v>7.4647007299226296E-3</v>
      </c>
      <c r="L2086" s="181">
        <v>-21</v>
      </c>
      <c r="M2086" s="133">
        <v>0</v>
      </c>
    </row>
    <row r="2087" spans="1:64" x14ac:dyDescent="0.25">
      <c r="A2087" s="136">
        <v>43119</v>
      </c>
      <c r="B2087" s="201" t="s">
        <v>835</v>
      </c>
      <c r="C2087" t="s">
        <v>839</v>
      </c>
      <c r="I2087" s="309">
        <v>25829.77</v>
      </c>
      <c r="K2087" s="133">
        <v>4.8372178367469598E-2</v>
      </c>
      <c r="L2087" s="181">
        <v>0</v>
      </c>
      <c r="M2087" s="133">
        <v>0.23567887988588601</v>
      </c>
    </row>
    <row r="2088" spans="1:64" x14ac:dyDescent="0.25">
      <c r="A2088" s="136">
        <v>43122</v>
      </c>
      <c r="B2088" s="201" t="s">
        <v>132</v>
      </c>
      <c r="C2088" t="s">
        <v>123</v>
      </c>
      <c r="D2088">
        <v>12873222</v>
      </c>
      <c r="E2088">
        <v>10002722</v>
      </c>
      <c r="F2088">
        <v>0.01</v>
      </c>
      <c r="G2088">
        <v>2820.78</v>
      </c>
      <c r="H2088">
        <v>0</v>
      </c>
      <c r="I2088" s="309">
        <v>128732.22</v>
      </c>
      <c r="J2088">
        <v>0.01</v>
      </c>
      <c r="K2088" s="133">
        <v>0.240589349078454</v>
      </c>
      <c r="L2088" s="181">
        <v>9.2100000000000399</v>
      </c>
      <c r="M2088" s="133">
        <v>0</v>
      </c>
    </row>
    <row r="2089" spans="1:64" x14ac:dyDescent="0.25">
      <c r="A2089" s="136">
        <v>43122</v>
      </c>
      <c r="B2089" s="201" t="s">
        <v>61</v>
      </c>
      <c r="C2089" t="s">
        <v>136</v>
      </c>
      <c r="D2089">
        <v>2700</v>
      </c>
      <c r="E2089">
        <v>2700</v>
      </c>
      <c r="F2089">
        <v>5.3179999999999996</v>
      </c>
      <c r="G2089">
        <v>58.17</v>
      </c>
      <c r="H2089">
        <v>0.41</v>
      </c>
      <c r="I2089" s="309">
        <v>14418</v>
      </c>
      <c r="J2089">
        <v>5.34</v>
      </c>
      <c r="K2089" s="133">
        <v>2.6945990949376501E-2</v>
      </c>
      <c r="L2089" s="181">
        <v>54</v>
      </c>
      <c r="M2089" s="133">
        <v>2.68372762667905E-2</v>
      </c>
      <c r="N2089" s="73">
        <v>27.023999999997599</v>
      </c>
      <c r="O2089" s="73">
        <v>5.0676337711064896</v>
      </c>
      <c r="P2089" s="182">
        <v>4</v>
      </c>
      <c r="Q2089" s="182">
        <v>2000</v>
      </c>
      <c r="R2089" s="46">
        <v>5.3730000000000002</v>
      </c>
      <c r="S2089" s="46">
        <v>0</v>
      </c>
      <c r="T2089" s="46">
        <v>0</v>
      </c>
      <c r="U2089" s="46">
        <v>0</v>
      </c>
      <c r="V2089" s="46" t="s">
        <v>62</v>
      </c>
      <c r="W2089" s="46">
        <v>2000</v>
      </c>
      <c r="X2089" s="46">
        <v>5.3730000000000002</v>
      </c>
      <c r="Y2089" s="193">
        <v>6.6260000000000003</v>
      </c>
      <c r="Z2089" s="194">
        <v>4.9809999999999999</v>
      </c>
      <c r="AA2089" s="194">
        <v>5.1760000000000002</v>
      </c>
      <c r="AB2089" s="46">
        <v>5.32</v>
      </c>
      <c r="AC2089" s="46">
        <v>5.35</v>
      </c>
      <c r="AD2089" s="46">
        <v>5.28</v>
      </c>
      <c r="AE2089" s="46">
        <v>5.34</v>
      </c>
      <c r="AF2089" s="46">
        <v>7</v>
      </c>
      <c r="AG2089" s="46">
        <v>3500</v>
      </c>
      <c r="AH2089" s="46">
        <v>18542.099999999999</v>
      </c>
      <c r="AI2089" s="46">
        <v>5.298</v>
      </c>
      <c r="AJ2089" s="46">
        <v>7</v>
      </c>
      <c r="AK2089" s="46">
        <v>2800</v>
      </c>
      <c r="AL2089" s="46">
        <v>14944.324000000001</v>
      </c>
      <c r="AM2089" s="46">
        <v>5.3369999999999997</v>
      </c>
      <c r="AN2089" s="46" t="s">
        <v>63</v>
      </c>
      <c r="AO2089" s="46">
        <v>700</v>
      </c>
      <c r="AP2089" s="46">
        <v>3597.7759999999998</v>
      </c>
      <c r="AQ2089" s="46">
        <v>5.14</v>
      </c>
      <c r="AR2089" s="46">
        <v>109.2</v>
      </c>
      <c r="AS2089" s="46">
        <v>11</v>
      </c>
      <c r="AT2089" s="46">
        <v>5500</v>
      </c>
      <c r="AU2089" s="46">
        <v>29308.3</v>
      </c>
      <c r="AV2089" s="46">
        <v>5.3289999999999997</v>
      </c>
      <c r="AW2089" s="46">
        <v>7</v>
      </c>
      <c r="AX2089" s="46">
        <v>2800</v>
      </c>
      <c r="AY2089" s="46">
        <v>14944.324000000001</v>
      </c>
      <c r="AZ2089" s="46">
        <v>5.3369999999999997</v>
      </c>
      <c r="BA2089" s="46" t="s">
        <v>63</v>
      </c>
      <c r="BB2089" s="46">
        <v>2700</v>
      </c>
      <c r="BC2089" s="46">
        <v>14363.976000000001</v>
      </c>
      <c r="BD2089" s="46">
        <v>5.32</v>
      </c>
      <c r="BE2089" s="46">
        <v>22.4</v>
      </c>
      <c r="BF2089" s="46">
        <v>10766.2</v>
      </c>
      <c r="BG2089" s="46">
        <v>5.38</v>
      </c>
      <c r="BH2089" s="46">
        <v>0</v>
      </c>
      <c r="BJ2089">
        <v>10766.2</v>
      </c>
      <c r="BK2089">
        <v>5.38</v>
      </c>
      <c r="BL2089">
        <v>20.45</v>
      </c>
    </row>
    <row r="2090" spans="1:64" x14ac:dyDescent="0.25">
      <c r="A2090" s="136">
        <v>43122</v>
      </c>
      <c r="B2090" s="201" t="s">
        <v>124</v>
      </c>
      <c r="C2090" t="s">
        <v>125</v>
      </c>
      <c r="D2090">
        <v>100</v>
      </c>
      <c r="E2090">
        <v>100</v>
      </c>
      <c r="F2090">
        <v>-53.579000000000001</v>
      </c>
      <c r="G2090">
        <v>6074.9</v>
      </c>
      <c r="H2090">
        <v>0</v>
      </c>
      <c r="I2090" s="309">
        <v>717</v>
      </c>
      <c r="J2090">
        <v>7.17</v>
      </c>
      <c r="K2090" s="133">
        <v>1.34001078587203E-3</v>
      </c>
      <c r="L2090" s="181">
        <v>5</v>
      </c>
      <c r="M2090" s="133">
        <v>0</v>
      </c>
      <c r="Y2090" s="194">
        <v>6.9160000000000004</v>
      </c>
      <c r="Z2090" s="193">
        <v>5.4779999999999998</v>
      </c>
      <c r="AA2090" s="193">
        <v>6.0010000000000003</v>
      </c>
      <c r="AB2090" s="46">
        <v>7.04</v>
      </c>
      <c r="AC2090" s="46">
        <v>7.35</v>
      </c>
      <c r="AD2090" s="46">
        <v>7.01</v>
      </c>
      <c r="AE2090" s="46">
        <v>7.17</v>
      </c>
    </row>
    <row r="2091" spans="1:64" x14ac:dyDescent="0.25">
      <c r="A2091" s="136">
        <v>43122</v>
      </c>
      <c r="B2091" s="201" t="s">
        <v>71</v>
      </c>
      <c r="C2091" t="s">
        <v>126</v>
      </c>
      <c r="D2091">
        <v>100</v>
      </c>
      <c r="E2091">
        <v>100</v>
      </c>
      <c r="F2091">
        <v>-17.085999999999999</v>
      </c>
      <c r="G2091">
        <v>2420.6</v>
      </c>
      <c r="H2091">
        <v>0</v>
      </c>
      <c r="I2091" s="309">
        <v>712</v>
      </c>
      <c r="J2091">
        <v>7.12</v>
      </c>
      <c r="K2091" s="133">
        <v>1.3306662197222999E-3</v>
      </c>
      <c r="L2091" s="181">
        <v>-8</v>
      </c>
      <c r="M2091" s="133">
        <v>0</v>
      </c>
      <c r="N2091" s="73">
        <v>1703.3019999999999</v>
      </c>
      <c r="O2091" s="73">
        <v>341.114950423729</v>
      </c>
      <c r="P2091" s="182">
        <v>0</v>
      </c>
      <c r="Q2091" s="182">
        <v>0</v>
      </c>
      <c r="R2091" s="46">
        <v>0</v>
      </c>
      <c r="S2091" s="46">
        <v>7</v>
      </c>
      <c r="T2091" s="46">
        <v>2800</v>
      </c>
      <c r="U2091" s="46">
        <v>6.6749999999999998</v>
      </c>
      <c r="V2091" s="46" t="s">
        <v>68</v>
      </c>
      <c r="W2091" s="46">
        <v>2800</v>
      </c>
      <c r="X2091" s="46">
        <v>6.6749999999999998</v>
      </c>
      <c r="Y2091" s="194">
        <v>7.0670000000000002</v>
      </c>
      <c r="Z2091" s="194">
        <v>6.335</v>
      </c>
      <c r="AA2091" s="194">
        <v>6.5839999999999996</v>
      </c>
      <c r="AB2091" s="46">
        <v>7.16</v>
      </c>
      <c r="AC2091" s="46">
        <v>7.32</v>
      </c>
      <c r="AD2091" s="46">
        <v>7.06</v>
      </c>
      <c r="AE2091" s="46">
        <v>7.12</v>
      </c>
      <c r="AF2091" s="46">
        <v>41</v>
      </c>
      <c r="AG2091" s="46">
        <v>20600</v>
      </c>
      <c r="AH2091" s="46">
        <v>131323.35999999999</v>
      </c>
      <c r="AI2091" s="46">
        <v>6.375</v>
      </c>
      <c r="AJ2091" s="46">
        <v>39</v>
      </c>
      <c r="AK2091" s="46">
        <v>17700</v>
      </c>
      <c r="AL2091" s="46">
        <v>114228.83100000001</v>
      </c>
      <c r="AM2091" s="46">
        <v>6.4539999999999997</v>
      </c>
      <c r="AN2091" s="46" t="s">
        <v>63</v>
      </c>
      <c r="AO2091" s="46">
        <v>2900</v>
      </c>
      <c r="AP2091" s="46">
        <v>17094.528999999999</v>
      </c>
      <c r="AQ2091" s="46">
        <v>5.8949999999999996</v>
      </c>
      <c r="AR2091" s="46">
        <v>1398.3</v>
      </c>
      <c r="AS2091" s="46">
        <v>41</v>
      </c>
      <c r="AT2091" s="46">
        <v>20600</v>
      </c>
      <c r="AU2091" s="46">
        <v>131323.35999999999</v>
      </c>
      <c r="AV2091" s="46">
        <v>6.375</v>
      </c>
      <c r="AW2091" s="46">
        <v>46</v>
      </c>
      <c r="AX2091" s="46">
        <v>20500</v>
      </c>
      <c r="AY2091" s="46">
        <v>132870.462</v>
      </c>
      <c r="AZ2091" s="46">
        <v>6.4809999999999999</v>
      </c>
      <c r="BA2091" s="46" t="s">
        <v>63</v>
      </c>
      <c r="BB2091" s="46">
        <v>100</v>
      </c>
      <c r="BC2091" s="46">
        <v>1547.1020000000001</v>
      </c>
      <c r="BD2091" s="46">
        <v>15.471</v>
      </c>
      <c r="BE2091" s="46">
        <v>2173</v>
      </c>
      <c r="BF2091" s="46">
        <v>0</v>
      </c>
      <c r="BH2091" s="46">
        <v>18641.631000000001</v>
      </c>
      <c r="BI2091">
        <v>6.66</v>
      </c>
      <c r="BJ2091">
        <v>-15547.427</v>
      </c>
      <c r="BK2091">
        <v>-5.55</v>
      </c>
      <c r="BL2091">
        <v>196.39</v>
      </c>
    </row>
    <row r="2092" spans="1:64" x14ac:dyDescent="0.25">
      <c r="A2092" s="136">
        <v>43122</v>
      </c>
      <c r="B2092" s="201" t="s">
        <v>79</v>
      </c>
      <c r="C2092" t="s">
        <v>143</v>
      </c>
      <c r="D2092">
        <v>4400</v>
      </c>
      <c r="E2092">
        <v>4400</v>
      </c>
      <c r="F2092">
        <v>17.143000000000001</v>
      </c>
      <c r="G2092">
        <v>-7053.27</v>
      </c>
      <c r="H2092">
        <v>-9.35</v>
      </c>
      <c r="I2092" s="309">
        <v>68376</v>
      </c>
      <c r="J2092">
        <v>15.54</v>
      </c>
      <c r="K2092" s="133">
        <v>0.12778881101085901</v>
      </c>
      <c r="L2092" s="181">
        <v>140.65</v>
      </c>
      <c r="M2092" s="133">
        <v>0.14097076062824801</v>
      </c>
      <c r="N2092" s="73">
        <v>-6967.34800000004</v>
      </c>
      <c r="O2092" s="73">
        <v>-447.549121208229</v>
      </c>
      <c r="P2092" s="182">
        <v>7</v>
      </c>
      <c r="Q2092" s="182">
        <v>4000</v>
      </c>
      <c r="R2092" s="46">
        <v>16.783000000000001</v>
      </c>
      <c r="S2092" s="46">
        <v>0</v>
      </c>
      <c r="T2092" s="46">
        <v>0</v>
      </c>
      <c r="U2092" s="46">
        <v>0</v>
      </c>
      <c r="V2092" s="46" t="s">
        <v>62</v>
      </c>
      <c r="W2092" s="46">
        <v>4000</v>
      </c>
      <c r="X2092" s="46">
        <v>16.783000000000001</v>
      </c>
      <c r="Y2092" s="194">
        <v>15.195</v>
      </c>
      <c r="Z2092" s="194">
        <v>15.476000000000001</v>
      </c>
      <c r="AA2092" s="194">
        <v>15.474</v>
      </c>
      <c r="AB2092" s="46">
        <v>15.43</v>
      </c>
      <c r="AC2092" s="46">
        <v>15.59</v>
      </c>
      <c r="AD2092" s="46">
        <v>15.32</v>
      </c>
      <c r="AE2092" s="46">
        <v>15.54</v>
      </c>
      <c r="AF2092" s="46">
        <v>4</v>
      </c>
      <c r="AG2092" s="46">
        <v>2000</v>
      </c>
      <c r="AH2092" s="46">
        <v>33006.199999999997</v>
      </c>
      <c r="AI2092" s="46">
        <v>16.503</v>
      </c>
      <c r="AJ2092" s="46">
        <v>4</v>
      </c>
      <c r="AK2092" s="46">
        <v>1600</v>
      </c>
      <c r="AL2092" s="46">
        <v>24742.252</v>
      </c>
      <c r="AM2092" s="46">
        <v>15.464</v>
      </c>
      <c r="AN2092" s="46" t="s">
        <v>63</v>
      </c>
      <c r="AO2092" s="46">
        <v>400</v>
      </c>
      <c r="AP2092" s="46">
        <v>8263.9480000000003</v>
      </c>
      <c r="AQ2092" s="46">
        <v>20.66</v>
      </c>
      <c r="AR2092" s="46">
        <v>-1662.4</v>
      </c>
      <c r="AS2092" s="46">
        <v>11</v>
      </c>
      <c r="AT2092" s="46">
        <v>6000</v>
      </c>
      <c r="AU2092" s="46">
        <v>100173.6</v>
      </c>
      <c r="AV2092" s="46">
        <v>16.696000000000002</v>
      </c>
      <c r="AW2092" s="46">
        <v>4</v>
      </c>
      <c r="AX2092" s="46">
        <v>1600</v>
      </c>
      <c r="AY2092" s="46">
        <v>24742.252</v>
      </c>
      <c r="AZ2092" s="46">
        <v>15.464</v>
      </c>
      <c r="BA2092" s="46" t="s">
        <v>63</v>
      </c>
      <c r="BB2092" s="46">
        <v>4400</v>
      </c>
      <c r="BC2092" s="46">
        <v>75431.347999999998</v>
      </c>
      <c r="BD2092" s="46">
        <v>17.143000000000001</v>
      </c>
      <c r="BE2092" s="46">
        <v>-1971.2</v>
      </c>
      <c r="BF2092" s="46">
        <v>67167.399999999994</v>
      </c>
      <c r="BG2092" s="46">
        <v>16.79</v>
      </c>
      <c r="BH2092" s="46">
        <v>0</v>
      </c>
      <c r="BJ2092">
        <v>67167.399999999994</v>
      </c>
      <c r="BK2092">
        <v>16.79</v>
      </c>
      <c r="BL2092">
        <v>-106.98</v>
      </c>
    </row>
    <row r="2093" spans="1:64" x14ac:dyDescent="0.25">
      <c r="A2093" s="136">
        <v>43122</v>
      </c>
      <c r="B2093" s="201" t="s">
        <v>65</v>
      </c>
      <c r="C2093" t="s">
        <v>127</v>
      </c>
      <c r="D2093">
        <v>7400</v>
      </c>
      <c r="E2093">
        <v>7400</v>
      </c>
      <c r="F2093">
        <v>9.1519999999999992</v>
      </c>
      <c r="G2093">
        <v>20997.68</v>
      </c>
      <c r="H2093">
        <v>31.01</v>
      </c>
      <c r="I2093" s="309">
        <v>88726</v>
      </c>
      <c r="J2093">
        <v>11.99</v>
      </c>
      <c r="K2093" s="133">
        <v>0.16582119524028199</v>
      </c>
      <c r="L2093" s="181">
        <v>400.18</v>
      </c>
      <c r="M2093" s="133">
        <v>0.12657835329008699</v>
      </c>
      <c r="N2093" s="73">
        <v>17085.267</v>
      </c>
      <c r="O2093" s="73">
        <v>1773.7655390157699</v>
      </c>
      <c r="P2093" s="182">
        <v>0</v>
      </c>
      <c r="Q2093" s="182">
        <v>0</v>
      </c>
      <c r="R2093" s="46">
        <v>0</v>
      </c>
      <c r="S2093" s="46">
        <v>23</v>
      </c>
      <c r="T2093" s="46">
        <v>10100</v>
      </c>
      <c r="U2093" s="46">
        <v>12.391</v>
      </c>
      <c r="V2093" s="46" t="s">
        <v>68</v>
      </c>
      <c r="W2093" s="46">
        <v>10100</v>
      </c>
      <c r="X2093" s="46">
        <v>12.391</v>
      </c>
      <c r="Y2093" s="193">
        <v>12.137</v>
      </c>
      <c r="Z2093" s="194">
        <v>11.298</v>
      </c>
      <c r="AA2093" s="194">
        <v>11.692</v>
      </c>
      <c r="AB2093" s="46">
        <v>11.87</v>
      </c>
      <c r="AC2093" s="46">
        <v>12.09</v>
      </c>
      <c r="AD2093" s="46">
        <v>11.8</v>
      </c>
      <c r="AE2093" s="46">
        <v>11.99</v>
      </c>
      <c r="AF2093" s="46">
        <v>138</v>
      </c>
      <c r="AG2093" s="46">
        <v>76800</v>
      </c>
      <c r="AH2093" s="46">
        <v>897382.23100000003</v>
      </c>
      <c r="AI2093" s="46">
        <v>11.685</v>
      </c>
      <c r="AJ2093" s="46">
        <v>158</v>
      </c>
      <c r="AK2093" s="46">
        <v>68500</v>
      </c>
      <c r="AL2093" s="46">
        <v>703913.64099999995</v>
      </c>
      <c r="AM2093" s="46">
        <v>10.276</v>
      </c>
      <c r="AN2093" s="46" t="s">
        <v>63</v>
      </c>
      <c r="AO2093" s="46">
        <v>8300</v>
      </c>
      <c r="AP2093" s="46">
        <v>193468.59</v>
      </c>
      <c r="AQ2093" s="46">
        <v>23.309000000000001</v>
      </c>
      <c r="AR2093" s="46">
        <v>-96516.5</v>
      </c>
      <c r="AS2093" s="46">
        <v>139</v>
      </c>
      <c r="AT2093" s="46">
        <v>76900</v>
      </c>
      <c r="AU2093" s="46">
        <v>898670.23100000003</v>
      </c>
      <c r="AV2093" s="46">
        <v>11.686</v>
      </c>
      <c r="AW2093" s="46">
        <v>181</v>
      </c>
      <c r="AX2093" s="46">
        <v>78600</v>
      </c>
      <c r="AY2093" s="46">
        <v>828818.49600000004</v>
      </c>
      <c r="AZ2093" s="46">
        <v>10.545</v>
      </c>
      <c r="BA2093" s="46" t="s">
        <v>69</v>
      </c>
      <c r="BB2093" s="46">
        <v>1700</v>
      </c>
      <c r="BC2093" s="46">
        <v>69851.735000000001</v>
      </c>
      <c r="BD2093" s="46">
        <v>41.088999999999999</v>
      </c>
      <c r="BE2093" s="46">
        <v>-87742.9</v>
      </c>
      <c r="BF2093" s="46">
        <v>1288</v>
      </c>
      <c r="BH2093" s="46">
        <v>124904.855</v>
      </c>
      <c r="BI2093">
        <v>12.37</v>
      </c>
      <c r="BJ2093">
        <v>-123616.855</v>
      </c>
      <c r="BK2093">
        <v>-12.24</v>
      </c>
      <c r="BL2093">
        <v>-8049.75</v>
      </c>
    </row>
    <row r="2094" spans="1:64" x14ac:dyDescent="0.25">
      <c r="A2094" s="136">
        <v>43122</v>
      </c>
      <c r="B2094" s="201" t="s">
        <v>77</v>
      </c>
      <c r="C2094" t="s">
        <v>128</v>
      </c>
      <c r="D2094">
        <v>4300</v>
      </c>
      <c r="E2094">
        <v>4300</v>
      </c>
      <c r="F2094">
        <v>5.9779999999999998</v>
      </c>
      <c r="G2094">
        <v>-595.27</v>
      </c>
      <c r="H2094">
        <v>-2.31</v>
      </c>
      <c r="I2094" s="309">
        <v>25112</v>
      </c>
      <c r="J2094">
        <v>5.84</v>
      </c>
      <c r="K2094" s="133">
        <v>4.6932149030430199E-2</v>
      </c>
      <c r="L2094" s="181">
        <v>0</v>
      </c>
      <c r="M2094" s="133">
        <v>4.8044657008820803E-2</v>
      </c>
      <c r="N2094" s="73">
        <v>-1272.2139999999999</v>
      </c>
      <c r="O2094" s="73">
        <v>-133.073774655173</v>
      </c>
      <c r="P2094" s="182">
        <v>6</v>
      </c>
      <c r="Q2094" s="182">
        <v>3000</v>
      </c>
      <c r="R2094" s="46">
        <v>6.798</v>
      </c>
      <c r="S2094" s="46">
        <v>0</v>
      </c>
      <c r="T2094" s="46">
        <v>0</v>
      </c>
      <c r="U2094" s="46">
        <v>0</v>
      </c>
      <c r="V2094" s="46" t="s">
        <v>62</v>
      </c>
      <c r="W2094" s="46">
        <v>3000</v>
      </c>
      <c r="X2094" s="46">
        <v>6.798</v>
      </c>
      <c r="AF2094" s="46">
        <v>39</v>
      </c>
      <c r="AG2094" s="46">
        <v>19500</v>
      </c>
      <c r="AH2094" s="46">
        <v>142169</v>
      </c>
      <c r="AI2094" s="46">
        <v>7.2910000000000004</v>
      </c>
      <c r="AJ2094" s="46">
        <v>39</v>
      </c>
      <c r="AK2094" s="46">
        <v>18200</v>
      </c>
      <c r="AL2094" s="46">
        <v>136881.78599999999</v>
      </c>
      <c r="AM2094" s="46">
        <v>7.5209999999999999</v>
      </c>
      <c r="AN2094" s="46" t="s">
        <v>63</v>
      </c>
      <c r="AO2094" s="46">
        <v>1300</v>
      </c>
      <c r="AP2094" s="46">
        <v>5287.2139999999999</v>
      </c>
      <c r="AQ2094" s="46">
        <v>4.0670000000000002</v>
      </c>
      <c r="AR2094" s="46">
        <v>4186</v>
      </c>
      <c r="AS2094" s="46">
        <v>45</v>
      </c>
      <c r="AT2094" s="46">
        <v>22500</v>
      </c>
      <c r="AU2094" s="46">
        <v>162594</v>
      </c>
      <c r="AV2094" s="46">
        <v>7.226</v>
      </c>
      <c r="AW2094" s="46">
        <v>39</v>
      </c>
      <c r="AX2094" s="46">
        <v>18200</v>
      </c>
      <c r="AY2094" s="46">
        <v>136881.78599999999</v>
      </c>
      <c r="AZ2094" s="46">
        <v>7.5209999999999999</v>
      </c>
      <c r="BA2094" s="46" t="s">
        <v>63</v>
      </c>
      <c r="BB2094" s="46">
        <v>4300</v>
      </c>
      <c r="BC2094" s="46">
        <v>25712.214</v>
      </c>
      <c r="BD2094" s="46">
        <v>5.98</v>
      </c>
      <c r="BE2094" s="46">
        <v>5369</v>
      </c>
      <c r="BF2094" s="46">
        <v>20425</v>
      </c>
      <c r="BG2094" s="46">
        <v>6.81</v>
      </c>
      <c r="BH2094" s="46">
        <v>0</v>
      </c>
      <c r="BJ2094">
        <v>20425</v>
      </c>
      <c r="BK2094">
        <v>6.81</v>
      </c>
      <c r="BL2094">
        <v>716.78</v>
      </c>
    </row>
    <row r="2095" spans="1:64" x14ac:dyDescent="0.25">
      <c r="A2095" s="136">
        <v>43122</v>
      </c>
      <c r="B2095" s="201" t="s">
        <v>67</v>
      </c>
      <c r="C2095" t="s">
        <v>129</v>
      </c>
      <c r="D2095">
        <v>8050</v>
      </c>
      <c r="E2095">
        <v>7650</v>
      </c>
      <c r="F2095">
        <v>8.6180000000000003</v>
      </c>
      <c r="G2095">
        <v>-1671.7</v>
      </c>
      <c r="H2095">
        <v>-2.41</v>
      </c>
      <c r="I2095" s="309">
        <v>67700.5</v>
      </c>
      <c r="J2095">
        <v>8.41</v>
      </c>
      <c r="K2095" s="133">
        <v>0.12652636012403001</v>
      </c>
      <c r="L2095" s="181">
        <v>-432</v>
      </c>
      <c r="M2095" s="133">
        <v>0.12965062237053299</v>
      </c>
      <c r="N2095" s="73">
        <v>-2317.9630000002398</v>
      </c>
      <c r="O2095" s="73">
        <v>-278.12773331335399</v>
      </c>
      <c r="P2095" s="182">
        <v>4</v>
      </c>
      <c r="Q2095" s="182">
        <v>1800</v>
      </c>
      <c r="R2095" s="46">
        <v>7.0060000000000002</v>
      </c>
      <c r="S2095" s="46">
        <v>2</v>
      </c>
      <c r="T2095" s="46">
        <v>800</v>
      </c>
      <c r="U2095" s="46">
        <v>8.4700000000000006</v>
      </c>
      <c r="V2095" s="46" t="s">
        <v>62</v>
      </c>
      <c r="W2095" s="46">
        <v>1000</v>
      </c>
      <c r="X2095" s="46">
        <v>5.835</v>
      </c>
      <c r="Y2095" s="194">
        <v>8.3450000000000006</v>
      </c>
      <c r="Z2095" s="194">
        <v>7.867</v>
      </c>
      <c r="AA2095" s="194">
        <v>8.6820000000000004</v>
      </c>
      <c r="AB2095" s="46">
        <v>8.51</v>
      </c>
      <c r="AC2095" s="46">
        <v>8.5299999999999994</v>
      </c>
      <c r="AD2095" s="46">
        <v>8.2899999999999991</v>
      </c>
      <c r="AE2095" s="46">
        <v>8.41</v>
      </c>
      <c r="AF2095" s="46">
        <v>157</v>
      </c>
      <c r="AG2095" s="46">
        <v>78500</v>
      </c>
      <c r="AH2095" s="46">
        <v>651492</v>
      </c>
      <c r="AI2095" s="46">
        <v>8.2989999999999995</v>
      </c>
      <c r="AJ2095" s="46">
        <v>159</v>
      </c>
      <c r="AK2095" s="46">
        <v>74050</v>
      </c>
      <c r="AL2095" s="46">
        <v>657117.429</v>
      </c>
      <c r="AM2095" s="46">
        <v>8.8740000000000006</v>
      </c>
      <c r="AN2095" s="46" t="s">
        <v>63</v>
      </c>
      <c r="AO2095" s="46">
        <v>4450</v>
      </c>
      <c r="AP2095" s="46">
        <v>5625.4290000000001</v>
      </c>
      <c r="AQ2095" s="46">
        <v>1.264</v>
      </c>
      <c r="AR2095" s="46">
        <v>42578.75</v>
      </c>
      <c r="AS2095" s="46">
        <v>161</v>
      </c>
      <c r="AT2095" s="46">
        <v>80300</v>
      </c>
      <c r="AU2095" s="46">
        <v>664123</v>
      </c>
      <c r="AV2095" s="46">
        <v>8.2710000000000008</v>
      </c>
      <c r="AW2095" s="46">
        <v>161</v>
      </c>
      <c r="AX2095" s="46">
        <v>74850</v>
      </c>
      <c r="AY2095" s="46">
        <v>663876.65300000005</v>
      </c>
      <c r="AZ2095" s="46">
        <v>8.8689999999999998</v>
      </c>
      <c r="BA2095" s="46" t="s">
        <v>63</v>
      </c>
      <c r="BB2095" s="46">
        <v>5450</v>
      </c>
      <c r="BC2095" s="46">
        <v>246.34700000000001</v>
      </c>
      <c r="BD2095" s="46">
        <v>4.4999999999999998E-2</v>
      </c>
      <c r="BE2095" s="46">
        <v>44760.3</v>
      </c>
      <c r="BF2095" s="46">
        <v>12631</v>
      </c>
      <c r="BG2095" s="46">
        <v>7.02</v>
      </c>
      <c r="BH2095" s="46">
        <v>6759.2240000000502</v>
      </c>
      <c r="BI2095">
        <v>8.4499999999999993</v>
      </c>
      <c r="BJ2095">
        <v>-5379.0820000000003</v>
      </c>
      <c r="BK2095">
        <v>-5.38</v>
      </c>
      <c r="BL2095">
        <v>5062.87</v>
      </c>
    </row>
    <row r="2096" spans="1:64" x14ac:dyDescent="0.25">
      <c r="A2096" s="136">
        <v>43122</v>
      </c>
      <c r="B2096" s="201" t="s">
        <v>78</v>
      </c>
      <c r="C2096" t="s">
        <v>142</v>
      </c>
      <c r="D2096">
        <v>100</v>
      </c>
      <c r="E2096">
        <v>100</v>
      </c>
      <c r="F2096">
        <v>8.8810000000000002</v>
      </c>
      <c r="G2096">
        <v>153.87</v>
      </c>
      <c r="H2096">
        <v>17.329999999999998</v>
      </c>
      <c r="I2096" s="309">
        <v>1042</v>
      </c>
      <c r="J2096">
        <v>10.42</v>
      </c>
      <c r="K2096" s="133">
        <v>1.94740758560482E-3</v>
      </c>
      <c r="L2096" s="181">
        <v>-8</v>
      </c>
      <c r="M2096" s="133">
        <v>1.6598379069128701E-3</v>
      </c>
      <c r="N2096" s="73">
        <v>171.86799999999999</v>
      </c>
      <c r="O2096" s="73">
        <v>16.205855283018799</v>
      </c>
      <c r="P2096" s="182">
        <v>0</v>
      </c>
      <c r="Q2096" s="182">
        <v>0</v>
      </c>
      <c r="R2096" s="46">
        <v>0</v>
      </c>
      <c r="S2096" s="46">
        <v>2</v>
      </c>
      <c r="T2096" s="46">
        <v>500</v>
      </c>
      <c r="U2096" s="46">
        <v>10.368</v>
      </c>
      <c r="V2096" s="46" t="s">
        <v>68</v>
      </c>
      <c r="W2096" s="46">
        <v>500</v>
      </c>
      <c r="X2096" s="46">
        <v>10.368</v>
      </c>
      <c r="Y2096" s="194">
        <v>10.098000000000001</v>
      </c>
      <c r="Z2096" s="194">
        <v>10.794</v>
      </c>
      <c r="AA2096" s="194">
        <v>10.669</v>
      </c>
      <c r="AB2096" s="46">
        <v>10.43</v>
      </c>
      <c r="AC2096" s="46">
        <v>10.48</v>
      </c>
      <c r="AD2096" s="46">
        <v>10.199999999999999</v>
      </c>
      <c r="AE2096" s="46">
        <v>10.42</v>
      </c>
      <c r="AF2096" s="46">
        <v>6</v>
      </c>
      <c r="AG2096" s="46">
        <v>3000</v>
      </c>
      <c r="AH2096" s="46">
        <v>30950</v>
      </c>
      <c r="AI2096" s="46">
        <v>10.317</v>
      </c>
      <c r="AJ2096" s="46">
        <v>6</v>
      </c>
      <c r="AK2096" s="46">
        <v>2400</v>
      </c>
      <c r="AL2096" s="46">
        <v>24893.052</v>
      </c>
      <c r="AM2096" s="46">
        <v>10.372</v>
      </c>
      <c r="AN2096" s="46" t="s">
        <v>63</v>
      </c>
      <c r="AO2096" s="46">
        <v>600</v>
      </c>
      <c r="AP2096" s="46">
        <v>6056.9480000000003</v>
      </c>
      <c r="AQ2096" s="46">
        <v>10.095000000000001</v>
      </c>
      <c r="AR2096" s="46">
        <v>132</v>
      </c>
      <c r="AS2096" s="46">
        <v>6</v>
      </c>
      <c r="AT2096" s="46">
        <v>3000</v>
      </c>
      <c r="AU2096" s="46">
        <v>30950</v>
      </c>
      <c r="AV2096" s="46">
        <v>10.317</v>
      </c>
      <c r="AW2096" s="46">
        <v>8</v>
      </c>
      <c r="AX2096" s="46">
        <v>2900</v>
      </c>
      <c r="AY2096" s="46">
        <v>30061.867999999999</v>
      </c>
      <c r="AZ2096" s="46">
        <v>10.366</v>
      </c>
      <c r="BA2096" s="46" t="s">
        <v>63</v>
      </c>
      <c r="BB2096" s="46">
        <v>100</v>
      </c>
      <c r="BC2096" s="46">
        <v>888.13199999999995</v>
      </c>
      <c r="BD2096" s="46">
        <v>8.8810000000000002</v>
      </c>
      <c r="BE2096" s="46">
        <v>142.1</v>
      </c>
      <c r="BF2096" s="46">
        <v>0</v>
      </c>
      <c r="BH2096" s="46">
        <v>5168.8159999999998</v>
      </c>
      <c r="BI2096">
        <v>10.34</v>
      </c>
      <c r="BJ2096">
        <v>-5168.8159999999998</v>
      </c>
      <c r="BK2096">
        <v>-10.34</v>
      </c>
      <c r="BL2096">
        <v>12.67</v>
      </c>
    </row>
    <row r="2097" spans="1:64" x14ac:dyDescent="0.25">
      <c r="A2097" s="136">
        <v>43122</v>
      </c>
      <c r="B2097" s="201" t="s">
        <v>72</v>
      </c>
      <c r="C2097" t="s">
        <v>130</v>
      </c>
      <c r="D2097">
        <v>2400</v>
      </c>
      <c r="E2097">
        <v>1900</v>
      </c>
      <c r="F2097">
        <v>7.0259999999999998</v>
      </c>
      <c r="G2097">
        <v>-61.75</v>
      </c>
      <c r="H2097">
        <v>-0.37</v>
      </c>
      <c r="I2097" s="309">
        <v>16800</v>
      </c>
      <c r="J2097">
        <v>7</v>
      </c>
      <c r="K2097" s="133">
        <v>3.1397742263110401E-2</v>
      </c>
      <c r="L2097" s="181">
        <v>120</v>
      </c>
      <c r="M2097" s="133">
        <v>3.1513147655059602E-2</v>
      </c>
      <c r="N2097" s="73">
        <v>-427.47199999999299</v>
      </c>
      <c r="O2097" s="73">
        <v>-29.633878818441001</v>
      </c>
      <c r="P2097" s="182">
        <v>0</v>
      </c>
      <c r="Q2097" s="182">
        <v>0</v>
      </c>
      <c r="R2097" s="46">
        <v>0</v>
      </c>
      <c r="S2097" s="46">
        <v>12</v>
      </c>
      <c r="T2097" s="46">
        <v>5000</v>
      </c>
      <c r="U2097" s="46">
        <v>8.1539999999999999</v>
      </c>
      <c r="V2097" s="46" t="s">
        <v>68</v>
      </c>
      <c r="W2097" s="46">
        <v>5000</v>
      </c>
      <c r="X2097" s="46">
        <v>8.1539999999999999</v>
      </c>
      <c r="Y2097" s="193">
        <v>6.97</v>
      </c>
      <c r="Z2097" s="194">
        <v>7.0339999999999998</v>
      </c>
      <c r="AA2097" s="194">
        <v>7.1210000000000004</v>
      </c>
      <c r="AB2097" s="46">
        <v>6.95</v>
      </c>
      <c r="AC2097" s="46">
        <v>7</v>
      </c>
      <c r="AD2097" s="46">
        <v>6.82</v>
      </c>
      <c r="AE2097" s="46">
        <v>7</v>
      </c>
      <c r="AF2097" s="46">
        <v>26</v>
      </c>
      <c r="AG2097" s="46">
        <v>13000</v>
      </c>
      <c r="AH2097" s="46">
        <v>102205</v>
      </c>
      <c r="AI2097" s="46">
        <v>7.8620000000000001</v>
      </c>
      <c r="AJ2097" s="46">
        <v>26</v>
      </c>
      <c r="AK2097" s="46">
        <v>12200</v>
      </c>
      <c r="AL2097" s="46">
        <v>45406.483</v>
      </c>
      <c r="AM2097" s="46">
        <v>3.722</v>
      </c>
      <c r="AN2097" s="46" t="s">
        <v>63</v>
      </c>
      <c r="AO2097" s="46">
        <v>800</v>
      </c>
      <c r="AP2097" s="46">
        <v>56798.517</v>
      </c>
      <c r="AQ2097" s="46">
        <v>70.998000000000005</v>
      </c>
      <c r="AR2097" s="46">
        <v>-50508</v>
      </c>
      <c r="AS2097" s="46">
        <v>26</v>
      </c>
      <c r="AT2097" s="46">
        <v>13000</v>
      </c>
      <c r="AU2097" s="46">
        <v>102205</v>
      </c>
      <c r="AV2097" s="46">
        <v>7.8620000000000001</v>
      </c>
      <c r="AW2097" s="46">
        <v>39</v>
      </c>
      <c r="AX2097" s="46">
        <v>17700</v>
      </c>
      <c r="AY2097" s="46">
        <v>86075.713000000003</v>
      </c>
      <c r="AZ2097" s="46">
        <v>4.8630000000000004</v>
      </c>
      <c r="BA2097" s="46" t="s">
        <v>69</v>
      </c>
      <c r="BB2097" s="46">
        <v>4700</v>
      </c>
      <c r="BC2097" s="46">
        <v>16129.287</v>
      </c>
      <c r="BD2097" s="46">
        <v>3.4319999999999999</v>
      </c>
      <c r="BE2097" s="46">
        <v>-38987</v>
      </c>
      <c r="BF2097" s="46">
        <v>0</v>
      </c>
      <c r="BH2097" s="46">
        <v>40669.230000000003</v>
      </c>
      <c r="BI2097">
        <v>8.1300000000000008</v>
      </c>
      <c r="BJ2097">
        <v>-40669.230000000003</v>
      </c>
      <c r="BK2097">
        <v>-8.1300000000000008</v>
      </c>
      <c r="BL2097">
        <v>-7215.43</v>
      </c>
    </row>
    <row r="2098" spans="1:64" x14ac:dyDescent="0.25">
      <c r="A2098" s="136">
        <v>43122</v>
      </c>
      <c r="B2098" s="201" t="s">
        <v>70</v>
      </c>
      <c r="C2098" t="s">
        <v>131</v>
      </c>
      <c r="D2098">
        <v>10400</v>
      </c>
      <c r="E2098">
        <v>10400</v>
      </c>
      <c r="F2098">
        <v>12.188000000000001</v>
      </c>
      <c r="G2098">
        <v>-12981.26</v>
      </c>
      <c r="H2098">
        <v>-10.24</v>
      </c>
      <c r="I2098" s="309">
        <v>113776</v>
      </c>
      <c r="J2098">
        <v>10.94</v>
      </c>
      <c r="K2098" s="133">
        <v>0.21263747165045499</v>
      </c>
      <c r="L2098" s="181">
        <v>1040</v>
      </c>
      <c r="M2098" s="133">
        <v>0.23689832020583801</v>
      </c>
      <c r="N2098" s="73">
        <v>-12772.254000000001</v>
      </c>
      <c r="O2098" s="73">
        <v>-1164.7689665145999</v>
      </c>
      <c r="P2098" s="182">
        <v>2</v>
      </c>
      <c r="Q2098" s="182">
        <v>1000</v>
      </c>
      <c r="R2098" s="46">
        <v>10.885</v>
      </c>
      <c r="S2098" s="46">
        <v>6</v>
      </c>
      <c r="T2098" s="46">
        <v>2400</v>
      </c>
      <c r="U2098" s="46">
        <v>12.755000000000001</v>
      </c>
      <c r="V2098" s="46" t="s">
        <v>68</v>
      </c>
      <c r="W2098" s="46">
        <v>1400</v>
      </c>
      <c r="X2098" s="46">
        <v>14.090999999999999</v>
      </c>
      <c r="Y2098" s="193">
        <v>11.052</v>
      </c>
      <c r="Z2098" s="194">
        <v>12.098000000000001</v>
      </c>
      <c r="AA2098" s="194">
        <v>12.071999999999999</v>
      </c>
      <c r="AB2098" s="46">
        <v>10.82</v>
      </c>
      <c r="AC2098" s="46">
        <v>10.95</v>
      </c>
      <c r="AD2098" s="46">
        <v>10.77</v>
      </c>
      <c r="AE2098" s="46">
        <v>10.94</v>
      </c>
      <c r="AF2098" s="46">
        <v>124</v>
      </c>
      <c r="AG2098" s="46">
        <v>61600</v>
      </c>
      <c r="AH2098" s="46">
        <v>832153</v>
      </c>
      <c r="AI2098" s="46">
        <v>13.509</v>
      </c>
      <c r="AJ2098" s="46">
        <v>124</v>
      </c>
      <c r="AK2098" s="46">
        <v>49800</v>
      </c>
      <c r="AL2098" s="46">
        <v>685335.35800000001</v>
      </c>
      <c r="AM2098" s="46">
        <v>13.762</v>
      </c>
      <c r="AN2098" s="46" t="s">
        <v>63</v>
      </c>
      <c r="AO2098" s="46">
        <v>11800</v>
      </c>
      <c r="AP2098" s="46">
        <v>146817.64199999999</v>
      </c>
      <c r="AQ2098" s="46">
        <v>12.442</v>
      </c>
      <c r="AR2098" s="46">
        <v>12599.4</v>
      </c>
      <c r="AS2098" s="46">
        <v>126</v>
      </c>
      <c r="AT2098" s="46">
        <v>62600</v>
      </c>
      <c r="AU2098" s="46">
        <v>843048</v>
      </c>
      <c r="AV2098" s="46">
        <v>13.467000000000001</v>
      </c>
      <c r="AW2098" s="46">
        <v>131</v>
      </c>
      <c r="AX2098" s="46">
        <v>52200</v>
      </c>
      <c r="AY2098" s="46">
        <v>716291.74600000004</v>
      </c>
      <c r="AZ2098" s="46">
        <v>13.722</v>
      </c>
      <c r="BA2098" s="46" t="s">
        <v>63</v>
      </c>
      <c r="BB2098" s="46">
        <v>10400</v>
      </c>
      <c r="BC2098" s="46">
        <v>126756.254</v>
      </c>
      <c r="BD2098" s="46">
        <v>12.188000000000001</v>
      </c>
      <c r="BE2098" s="46">
        <v>13311</v>
      </c>
      <c r="BF2098" s="46">
        <v>10895</v>
      </c>
      <c r="BG2098" s="46">
        <v>10.9</v>
      </c>
      <c r="BH2098" s="46">
        <v>30956.387999999901</v>
      </c>
      <c r="BI2098">
        <v>12.9</v>
      </c>
      <c r="BJ2098">
        <v>-20061.387999999999</v>
      </c>
      <c r="BK2098">
        <v>-14.33</v>
      </c>
      <c r="BL2098">
        <v>1151.68</v>
      </c>
    </row>
    <row r="2099" spans="1:64" x14ac:dyDescent="0.25">
      <c r="A2099" s="136">
        <v>43122</v>
      </c>
      <c r="B2099" s="201" t="s">
        <v>146</v>
      </c>
      <c r="C2099" t="s">
        <v>148</v>
      </c>
      <c r="D2099">
        <v>40</v>
      </c>
      <c r="E2099">
        <v>40</v>
      </c>
      <c r="F2099">
        <v>100</v>
      </c>
      <c r="G2099">
        <v>-56</v>
      </c>
      <c r="H2099">
        <v>-1.4</v>
      </c>
      <c r="I2099" s="309">
        <v>3944</v>
      </c>
      <c r="J2099">
        <v>98.6</v>
      </c>
      <c r="K2099" s="133">
        <v>7.3709937789111502E-3</v>
      </c>
      <c r="L2099" s="181">
        <v>72.400000000000006</v>
      </c>
      <c r="M2099" s="133">
        <v>7.4756529197881902E-3</v>
      </c>
    </row>
    <row r="2100" spans="1:64" x14ac:dyDescent="0.25">
      <c r="A2100" s="136">
        <v>43122</v>
      </c>
      <c r="B2100" s="201" t="s">
        <v>137</v>
      </c>
      <c r="C2100" t="s">
        <v>138</v>
      </c>
      <c r="D2100">
        <v>100</v>
      </c>
      <c r="E2100">
        <v>100</v>
      </c>
      <c r="F2100">
        <v>-130.48500000000001</v>
      </c>
      <c r="G2100">
        <v>16731.5</v>
      </c>
      <c r="H2100">
        <v>0</v>
      </c>
      <c r="I2100" s="309">
        <v>3683</v>
      </c>
      <c r="J2100">
        <v>36.83</v>
      </c>
      <c r="K2100" s="133">
        <v>6.88320742589497E-3</v>
      </c>
      <c r="L2100" s="181">
        <v>-303</v>
      </c>
      <c r="M2100" s="133">
        <v>0</v>
      </c>
    </row>
    <row r="2101" spans="1:64" x14ac:dyDescent="0.25">
      <c r="A2101" s="136">
        <v>43122</v>
      </c>
      <c r="B2101" s="201" t="s">
        <v>835</v>
      </c>
      <c r="C2101" t="s">
        <v>839</v>
      </c>
      <c r="I2101" s="309">
        <v>1331.6</v>
      </c>
      <c r="K2101" s="133">
        <v>2.4886448569974898E-3</v>
      </c>
      <c r="L2101" s="181">
        <v>0</v>
      </c>
      <c r="M2101" s="133">
        <v>0.24307799393545099</v>
      </c>
    </row>
    <row r="2102" spans="1:64" x14ac:dyDescent="0.25">
      <c r="A2102" s="136">
        <v>43123</v>
      </c>
      <c r="B2102" s="201" t="s">
        <v>132</v>
      </c>
      <c r="C2102" t="s">
        <v>123</v>
      </c>
      <c r="D2102">
        <v>12875700</v>
      </c>
      <c r="E2102">
        <v>12875700</v>
      </c>
      <c r="F2102">
        <v>0.01</v>
      </c>
      <c r="G2102">
        <v>2845.56</v>
      </c>
      <c r="H2102">
        <v>0</v>
      </c>
      <c r="I2102" s="309">
        <v>128757</v>
      </c>
      <c r="J2102">
        <v>0.01</v>
      </c>
      <c r="K2102" s="133">
        <v>0.23933248102763499</v>
      </c>
      <c r="L2102" s="181">
        <v>24.779999999999699</v>
      </c>
      <c r="M2102" s="133">
        <v>0</v>
      </c>
    </row>
    <row r="2103" spans="1:64" x14ac:dyDescent="0.25">
      <c r="A2103" s="136">
        <v>43123</v>
      </c>
      <c r="B2103" s="201" t="s">
        <v>61</v>
      </c>
      <c r="C2103" t="s">
        <v>136</v>
      </c>
      <c r="D2103">
        <v>2300</v>
      </c>
      <c r="E2103">
        <v>2300</v>
      </c>
      <c r="F2103">
        <v>5.3140000000000001</v>
      </c>
      <c r="G2103">
        <v>104.99</v>
      </c>
      <c r="H2103">
        <v>0.87</v>
      </c>
      <c r="I2103" s="309">
        <v>12328</v>
      </c>
      <c r="J2103">
        <v>5.36</v>
      </c>
      <c r="K2103" s="133">
        <v>2.291518772656E-2</v>
      </c>
      <c r="L2103" s="181">
        <v>46.82</v>
      </c>
      <c r="M2103" s="133">
        <v>2.2720033154901099E-2</v>
      </c>
      <c r="N2103" s="73">
        <v>100.639999999998</v>
      </c>
      <c r="O2103" s="73">
        <v>18.766731343283102</v>
      </c>
      <c r="P2103" s="182">
        <v>3</v>
      </c>
      <c r="Q2103" s="182">
        <v>1500</v>
      </c>
      <c r="R2103" s="46">
        <v>5.3970000000000002</v>
      </c>
      <c r="S2103" s="46">
        <v>0</v>
      </c>
      <c r="T2103" s="46">
        <v>0</v>
      </c>
      <c r="U2103" s="46">
        <v>0</v>
      </c>
      <c r="V2103" s="46" t="s">
        <v>62</v>
      </c>
      <c r="W2103" s="46">
        <v>1500</v>
      </c>
      <c r="X2103" s="46">
        <v>5.3970000000000002</v>
      </c>
      <c r="Y2103" s="193">
        <v>5.3929999999999998</v>
      </c>
      <c r="Z2103" s="194">
        <v>4.9400000000000004</v>
      </c>
      <c r="AA2103" s="194">
        <v>5.1829999999999998</v>
      </c>
      <c r="AB2103" s="46">
        <v>5.34</v>
      </c>
      <c r="AC2103" s="46">
        <v>5.37</v>
      </c>
      <c r="AD2103" s="46">
        <v>5.33</v>
      </c>
      <c r="AE2103" s="46">
        <v>5.36</v>
      </c>
      <c r="AF2103" s="46">
        <v>8</v>
      </c>
      <c r="AG2103" s="46">
        <v>4000</v>
      </c>
      <c r="AH2103" s="46">
        <v>21197.4</v>
      </c>
      <c r="AI2103" s="46">
        <v>5.2990000000000004</v>
      </c>
      <c r="AJ2103" s="46">
        <v>8</v>
      </c>
      <c r="AK2103" s="46">
        <v>3200</v>
      </c>
      <c r="AL2103" s="46">
        <v>17080.939999999999</v>
      </c>
      <c r="AM2103" s="46">
        <v>5.3380000000000001</v>
      </c>
      <c r="AN2103" s="46" t="s">
        <v>63</v>
      </c>
      <c r="AO2103" s="46">
        <v>800</v>
      </c>
      <c r="AP2103" s="46">
        <v>4116.46</v>
      </c>
      <c r="AQ2103" s="46">
        <v>5.1459999999999999</v>
      </c>
      <c r="AR2103" s="46">
        <v>124.8</v>
      </c>
      <c r="AS2103" s="46">
        <v>11</v>
      </c>
      <c r="AT2103" s="46">
        <v>5500</v>
      </c>
      <c r="AU2103" s="46">
        <v>29308.3</v>
      </c>
      <c r="AV2103" s="46">
        <v>5.3289999999999997</v>
      </c>
      <c r="AW2103" s="46">
        <v>8</v>
      </c>
      <c r="AX2103" s="46">
        <v>3200</v>
      </c>
      <c r="AY2103" s="46">
        <v>17080.939999999999</v>
      </c>
      <c r="AZ2103" s="46">
        <v>5.3380000000000001</v>
      </c>
      <c r="BA2103" s="46" t="s">
        <v>63</v>
      </c>
      <c r="BB2103" s="46">
        <v>2300</v>
      </c>
      <c r="BC2103" s="46">
        <v>12227.36</v>
      </c>
      <c r="BD2103" s="46">
        <v>5.3159999999999998</v>
      </c>
      <c r="BE2103" s="46">
        <v>28.8</v>
      </c>
      <c r="BF2103" s="46">
        <v>8110.8999999999896</v>
      </c>
      <c r="BG2103" s="46">
        <v>5.41</v>
      </c>
      <c r="BH2103" s="46">
        <v>0</v>
      </c>
      <c r="BJ2103">
        <v>8110.9</v>
      </c>
      <c r="BK2103">
        <v>5.41</v>
      </c>
      <c r="BL2103">
        <v>23.28</v>
      </c>
    </row>
    <row r="2104" spans="1:64" x14ac:dyDescent="0.25">
      <c r="A2104" s="136">
        <v>43123</v>
      </c>
      <c r="B2104" s="201" t="s">
        <v>124</v>
      </c>
      <c r="C2104" t="s">
        <v>125</v>
      </c>
      <c r="D2104">
        <v>100</v>
      </c>
      <c r="E2104">
        <v>100</v>
      </c>
      <c r="F2104">
        <v>-53.579000000000001</v>
      </c>
      <c r="G2104">
        <v>6106.9</v>
      </c>
      <c r="H2104">
        <v>0</v>
      </c>
      <c r="I2104" s="309">
        <v>749</v>
      </c>
      <c r="J2104">
        <v>7.49</v>
      </c>
      <c r="K2104" s="133">
        <v>1.39223520499622E-3</v>
      </c>
      <c r="L2104" s="181">
        <v>32</v>
      </c>
      <c r="M2104" s="133">
        <v>0</v>
      </c>
      <c r="Y2104" s="194">
        <v>6.7430000000000003</v>
      </c>
      <c r="Z2104" s="193">
        <v>5.4660000000000002</v>
      </c>
      <c r="AA2104" s="193">
        <v>6.0309999999999997</v>
      </c>
      <c r="AB2104" s="46">
        <v>7.15</v>
      </c>
      <c r="AC2104" s="46">
        <v>7.53</v>
      </c>
      <c r="AD2104" s="46">
        <v>7.11</v>
      </c>
      <c r="AE2104" s="46">
        <v>7.49</v>
      </c>
    </row>
    <row r="2105" spans="1:64" x14ac:dyDescent="0.25">
      <c r="A2105" s="136">
        <v>43123</v>
      </c>
      <c r="B2105" s="201" t="s">
        <v>71</v>
      </c>
      <c r="C2105" t="s">
        <v>126</v>
      </c>
      <c r="D2105">
        <v>100</v>
      </c>
      <c r="E2105">
        <v>100</v>
      </c>
      <c r="F2105">
        <v>-17.085999999999999</v>
      </c>
      <c r="G2105">
        <v>2446.6</v>
      </c>
      <c r="H2105">
        <v>0</v>
      </c>
      <c r="I2105" s="309">
        <v>738</v>
      </c>
      <c r="J2105">
        <v>7.38</v>
      </c>
      <c r="K2105" s="133">
        <v>1.37178849304034E-3</v>
      </c>
      <c r="L2105" s="181">
        <v>26</v>
      </c>
      <c r="M2105" s="133">
        <v>0</v>
      </c>
      <c r="N2105" s="73">
        <v>1703.3019999999999</v>
      </c>
      <c r="O2105" s="73">
        <v>341.114950423729</v>
      </c>
      <c r="P2105" s="182">
        <v>0</v>
      </c>
      <c r="Q2105" s="182">
        <v>0</v>
      </c>
      <c r="R2105" s="46">
        <v>0</v>
      </c>
      <c r="S2105" s="46">
        <v>7</v>
      </c>
      <c r="T2105" s="46">
        <v>2800</v>
      </c>
      <c r="U2105" s="46">
        <v>6.6749999999999998</v>
      </c>
      <c r="V2105" s="46" t="s">
        <v>68</v>
      </c>
      <c r="W2105" s="46">
        <v>2800</v>
      </c>
      <c r="X2105" s="46">
        <v>6.6749999999999998</v>
      </c>
      <c r="Y2105" s="193">
        <v>7.26</v>
      </c>
      <c r="Z2105" s="194">
        <v>6.2249999999999996</v>
      </c>
      <c r="AA2105" s="194">
        <v>6.5970000000000004</v>
      </c>
      <c r="AB2105" s="46">
        <v>7.12</v>
      </c>
      <c r="AC2105" s="46">
        <v>7.39</v>
      </c>
      <c r="AD2105" s="46">
        <v>7.07</v>
      </c>
      <c r="AE2105" s="46">
        <v>7.38</v>
      </c>
      <c r="AF2105" s="46">
        <v>41</v>
      </c>
      <c r="AG2105" s="46">
        <v>20600</v>
      </c>
      <c r="AH2105" s="46">
        <v>131323.35999999999</v>
      </c>
      <c r="AI2105" s="46">
        <v>6.375</v>
      </c>
      <c r="AJ2105" s="46">
        <v>39</v>
      </c>
      <c r="AK2105" s="46">
        <v>17700</v>
      </c>
      <c r="AL2105" s="46">
        <v>114228.83100000001</v>
      </c>
      <c r="AM2105" s="46">
        <v>6.4539999999999997</v>
      </c>
      <c r="AN2105" s="46" t="s">
        <v>63</v>
      </c>
      <c r="AO2105" s="46">
        <v>2900</v>
      </c>
      <c r="AP2105" s="46">
        <v>17094.528999999999</v>
      </c>
      <c r="AQ2105" s="46">
        <v>5.8949999999999996</v>
      </c>
      <c r="AR2105" s="46">
        <v>1398.3</v>
      </c>
      <c r="AS2105" s="46">
        <v>41</v>
      </c>
      <c r="AT2105" s="46">
        <v>20600</v>
      </c>
      <c r="AU2105" s="46">
        <v>131323.35999999999</v>
      </c>
      <c r="AV2105" s="46">
        <v>6.375</v>
      </c>
      <c r="AW2105" s="46">
        <v>46</v>
      </c>
      <c r="AX2105" s="46">
        <v>20500</v>
      </c>
      <c r="AY2105" s="46">
        <v>132870.462</v>
      </c>
      <c r="AZ2105" s="46">
        <v>6.4809999999999999</v>
      </c>
      <c r="BA2105" s="46" t="s">
        <v>63</v>
      </c>
      <c r="BB2105" s="46">
        <v>100</v>
      </c>
      <c r="BC2105" s="46">
        <v>1547.1020000000001</v>
      </c>
      <c r="BD2105" s="46">
        <v>15.471</v>
      </c>
      <c r="BE2105" s="46">
        <v>2173</v>
      </c>
      <c r="BF2105" s="46">
        <v>0</v>
      </c>
      <c r="BH2105" s="46">
        <v>18641.631000000001</v>
      </c>
      <c r="BI2105">
        <v>6.66</v>
      </c>
      <c r="BJ2105">
        <v>-15547.427</v>
      </c>
      <c r="BK2105">
        <v>-5.55</v>
      </c>
      <c r="BL2105">
        <v>189.47</v>
      </c>
    </row>
    <row r="2106" spans="1:64" x14ac:dyDescent="0.25">
      <c r="A2106" s="136">
        <v>43123</v>
      </c>
      <c r="B2106" s="201" t="s">
        <v>79</v>
      </c>
      <c r="C2106" t="s">
        <v>143</v>
      </c>
      <c r="D2106">
        <v>4400</v>
      </c>
      <c r="E2106">
        <v>4400</v>
      </c>
      <c r="F2106">
        <v>17.143000000000001</v>
      </c>
      <c r="G2106">
        <v>-6921.27</v>
      </c>
      <c r="H2106">
        <v>-9.17</v>
      </c>
      <c r="I2106" s="309">
        <v>68508</v>
      </c>
      <c r="J2106">
        <v>15.57</v>
      </c>
      <c r="K2106" s="133">
        <v>0.127342122061257</v>
      </c>
      <c r="L2106" s="181">
        <v>132</v>
      </c>
      <c r="M2106" s="133">
        <v>0.14020732333934</v>
      </c>
      <c r="N2106" s="73">
        <v>-6967.34800000004</v>
      </c>
      <c r="O2106" s="73">
        <v>-447.549121208229</v>
      </c>
      <c r="P2106" s="182">
        <v>7</v>
      </c>
      <c r="Q2106" s="182">
        <v>4000</v>
      </c>
      <c r="R2106" s="46">
        <v>16.783000000000001</v>
      </c>
      <c r="S2106" s="46">
        <v>0</v>
      </c>
      <c r="T2106" s="46">
        <v>0</v>
      </c>
      <c r="U2106" s="46">
        <v>0</v>
      </c>
      <c r="V2106" s="46" t="s">
        <v>62</v>
      </c>
      <c r="W2106" s="46">
        <v>4000</v>
      </c>
      <c r="X2106" s="46">
        <v>16.783000000000001</v>
      </c>
      <c r="Y2106" s="194">
        <v>15.422000000000001</v>
      </c>
      <c r="Z2106" s="194">
        <v>15.475</v>
      </c>
      <c r="AA2106" s="194">
        <v>15.477</v>
      </c>
      <c r="AB2106" s="46">
        <v>15.54</v>
      </c>
      <c r="AC2106" s="46">
        <v>15.61</v>
      </c>
      <c r="AD2106" s="46">
        <v>15.48</v>
      </c>
      <c r="AE2106" s="46">
        <v>15.57</v>
      </c>
      <c r="AF2106" s="46">
        <v>4</v>
      </c>
      <c r="AG2106" s="46">
        <v>2000</v>
      </c>
      <c r="AH2106" s="46">
        <v>33006.199999999997</v>
      </c>
      <c r="AI2106" s="46">
        <v>16.503</v>
      </c>
      <c r="AJ2106" s="46">
        <v>4</v>
      </c>
      <c r="AK2106" s="46">
        <v>1600</v>
      </c>
      <c r="AL2106" s="46">
        <v>24742.252</v>
      </c>
      <c r="AM2106" s="46">
        <v>15.464</v>
      </c>
      <c r="AN2106" s="46" t="s">
        <v>63</v>
      </c>
      <c r="AO2106" s="46">
        <v>400</v>
      </c>
      <c r="AP2106" s="46">
        <v>8263.9480000000003</v>
      </c>
      <c r="AQ2106" s="46">
        <v>20.66</v>
      </c>
      <c r="AR2106" s="46">
        <v>-1662.4</v>
      </c>
      <c r="AS2106" s="46">
        <v>11</v>
      </c>
      <c r="AT2106" s="46">
        <v>6000</v>
      </c>
      <c r="AU2106" s="46">
        <v>100173.6</v>
      </c>
      <c r="AV2106" s="46">
        <v>16.696000000000002</v>
      </c>
      <c r="AW2106" s="46">
        <v>4</v>
      </c>
      <c r="AX2106" s="46">
        <v>1600</v>
      </c>
      <c r="AY2106" s="46">
        <v>24742.252</v>
      </c>
      <c r="AZ2106" s="46">
        <v>15.464</v>
      </c>
      <c r="BA2106" s="46" t="s">
        <v>63</v>
      </c>
      <c r="BB2106" s="46">
        <v>4400</v>
      </c>
      <c r="BC2106" s="46">
        <v>75431.347999999998</v>
      </c>
      <c r="BD2106" s="46">
        <v>17.143000000000001</v>
      </c>
      <c r="BE2106" s="46">
        <v>-1971.2</v>
      </c>
      <c r="BF2106" s="46">
        <v>67167.399999999994</v>
      </c>
      <c r="BG2106" s="46">
        <v>16.79</v>
      </c>
      <c r="BH2106" s="46">
        <v>0</v>
      </c>
      <c r="BJ2106">
        <v>67167.399999999994</v>
      </c>
      <c r="BK2106">
        <v>16.79</v>
      </c>
      <c r="BL2106">
        <v>-106.77</v>
      </c>
    </row>
    <row r="2107" spans="1:64" x14ac:dyDescent="0.25">
      <c r="A2107" s="136">
        <v>43123</v>
      </c>
      <c r="B2107" s="201" t="s">
        <v>65</v>
      </c>
      <c r="C2107" t="s">
        <v>127</v>
      </c>
      <c r="D2107">
        <v>6800</v>
      </c>
      <c r="E2107">
        <v>5900</v>
      </c>
      <c r="F2107">
        <v>8.8780000000000001</v>
      </c>
      <c r="G2107">
        <v>22796.48</v>
      </c>
      <c r="H2107">
        <v>37.76</v>
      </c>
      <c r="I2107" s="309">
        <v>83164</v>
      </c>
      <c r="J2107">
        <v>12.23</v>
      </c>
      <c r="K2107" s="133">
        <v>0.15458457755448099</v>
      </c>
      <c r="L2107" s="181">
        <v>1798.8</v>
      </c>
      <c r="M2107" s="133">
        <v>0.11221066299374299</v>
      </c>
      <c r="N2107" s="73">
        <v>18582.066999999999</v>
      </c>
      <c r="O2107" s="73">
        <v>1867.00887988152</v>
      </c>
      <c r="P2107" s="182">
        <v>0</v>
      </c>
      <c r="Q2107" s="182">
        <v>0</v>
      </c>
      <c r="R2107" s="46">
        <v>0</v>
      </c>
      <c r="S2107" s="46">
        <v>24</v>
      </c>
      <c r="T2107" s="46">
        <v>10700</v>
      </c>
      <c r="U2107" s="46">
        <v>12.388</v>
      </c>
      <c r="V2107" s="46" t="s">
        <v>68</v>
      </c>
      <c r="W2107" s="46">
        <v>10700</v>
      </c>
      <c r="X2107" s="46">
        <v>12.388</v>
      </c>
      <c r="Y2107" s="193">
        <v>12.457000000000001</v>
      </c>
      <c r="Z2107" s="194">
        <v>11.273999999999999</v>
      </c>
      <c r="AA2107" s="194">
        <v>11.701000000000001</v>
      </c>
      <c r="AB2107" s="46">
        <v>11.98</v>
      </c>
      <c r="AC2107" s="46">
        <v>12.31</v>
      </c>
      <c r="AD2107" s="46">
        <v>11.95</v>
      </c>
      <c r="AE2107" s="46">
        <v>12.23</v>
      </c>
      <c r="AF2107" s="46">
        <v>139</v>
      </c>
      <c r="AG2107" s="46">
        <v>77200</v>
      </c>
      <c r="AH2107" s="46">
        <v>902199.23100000003</v>
      </c>
      <c r="AI2107" s="46">
        <v>11.686999999999999</v>
      </c>
      <c r="AJ2107" s="46">
        <v>159</v>
      </c>
      <c r="AK2107" s="46">
        <v>68900</v>
      </c>
      <c r="AL2107" s="46">
        <v>708695.84900000005</v>
      </c>
      <c r="AM2107" s="46">
        <v>10.286</v>
      </c>
      <c r="AN2107" s="46" t="s">
        <v>63</v>
      </c>
      <c r="AO2107" s="46">
        <v>8300</v>
      </c>
      <c r="AP2107" s="46">
        <v>193503.38200000001</v>
      </c>
      <c r="AQ2107" s="46">
        <v>23.314</v>
      </c>
      <c r="AR2107" s="46">
        <v>-96528.9</v>
      </c>
      <c r="AS2107" s="46">
        <v>140</v>
      </c>
      <c r="AT2107" s="46">
        <v>77300</v>
      </c>
      <c r="AU2107" s="46">
        <v>903487.23100000003</v>
      </c>
      <c r="AV2107" s="46">
        <v>11.688000000000001</v>
      </c>
      <c r="AW2107" s="46">
        <v>183</v>
      </c>
      <c r="AX2107" s="46">
        <v>79600</v>
      </c>
      <c r="AY2107" s="46">
        <v>840996.29599999997</v>
      </c>
      <c r="AZ2107" s="46">
        <v>10.565</v>
      </c>
      <c r="BA2107" s="46" t="s">
        <v>69</v>
      </c>
      <c r="BB2107" s="46">
        <v>2300</v>
      </c>
      <c r="BC2107" s="46">
        <v>62490.934999999998</v>
      </c>
      <c r="BD2107" s="46">
        <v>27.17</v>
      </c>
      <c r="BE2107" s="46">
        <v>-86807.9</v>
      </c>
      <c r="BF2107" s="46">
        <v>1288</v>
      </c>
      <c r="BH2107" s="46">
        <v>132300.44699999999</v>
      </c>
      <c r="BI2107">
        <v>12.36</v>
      </c>
      <c r="BJ2107">
        <v>-131012.447</v>
      </c>
      <c r="BK2107">
        <v>-12.24</v>
      </c>
      <c r="BL2107">
        <v>-7892.8</v>
      </c>
    </row>
    <row r="2108" spans="1:64" x14ac:dyDescent="0.25">
      <c r="A2108" s="136">
        <v>43123</v>
      </c>
      <c r="B2108" s="201" t="s">
        <v>77</v>
      </c>
      <c r="C2108" t="s">
        <v>128</v>
      </c>
      <c r="D2108">
        <v>4300</v>
      </c>
      <c r="E2108">
        <v>4300</v>
      </c>
      <c r="F2108">
        <v>5.9779999999999998</v>
      </c>
      <c r="G2108">
        <v>-595.27</v>
      </c>
      <c r="H2108">
        <v>-2.31</v>
      </c>
      <c r="I2108" s="309">
        <v>25112</v>
      </c>
      <c r="J2108">
        <v>5.84</v>
      </c>
      <c r="K2108" s="133">
        <v>4.6677984603291298E-2</v>
      </c>
      <c r="L2108" s="181">
        <v>0</v>
      </c>
      <c r="M2108" s="133">
        <v>4.7784467714744101E-2</v>
      </c>
      <c r="N2108" s="73">
        <v>-1272.2139999999999</v>
      </c>
      <c r="O2108" s="73">
        <v>-133.073774655173</v>
      </c>
      <c r="P2108" s="182">
        <v>6</v>
      </c>
      <c r="Q2108" s="182">
        <v>3000</v>
      </c>
      <c r="R2108" s="46">
        <v>6.798</v>
      </c>
      <c r="S2108" s="46">
        <v>0</v>
      </c>
      <c r="T2108" s="46">
        <v>0</v>
      </c>
      <c r="U2108" s="46">
        <v>0</v>
      </c>
      <c r="V2108" s="46" t="s">
        <v>62</v>
      </c>
      <c r="W2108" s="46">
        <v>3000</v>
      </c>
      <c r="X2108" s="46">
        <v>6.798</v>
      </c>
      <c r="AF2108" s="46">
        <v>39</v>
      </c>
      <c r="AG2108" s="46">
        <v>19500</v>
      </c>
      <c r="AH2108" s="46">
        <v>142169</v>
      </c>
      <c r="AI2108" s="46">
        <v>7.2910000000000004</v>
      </c>
      <c r="AJ2108" s="46">
        <v>39</v>
      </c>
      <c r="AK2108" s="46">
        <v>18200</v>
      </c>
      <c r="AL2108" s="46">
        <v>136881.78599999999</v>
      </c>
      <c r="AM2108" s="46">
        <v>7.5209999999999999</v>
      </c>
      <c r="AN2108" s="46" t="s">
        <v>63</v>
      </c>
      <c r="AO2108" s="46">
        <v>1300</v>
      </c>
      <c r="AP2108" s="46">
        <v>5287.2139999999999</v>
      </c>
      <c r="AQ2108" s="46">
        <v>4.0670000000000002</v>
      </c>
      <c r="AR2108" s="46">
        <v>4186</v>
      </c>
      <c r="AS2108" s="46">
        <v>45</v>
      </c>
      <c r="AT2108" s="46">
        <v>22500</v>
      </c>
      <c r="AU2108" s="46">
        <v>162594</v>
      </c>
      <c r="AV2108" s="46">
        <v>7.226</v>
      </c>
      <c r="AW2108" s="46">
        <v>39</v>
      </c>
      <c r="AX2108" s="46">
        <v>18200</v>
      </c>
      <c r="AY2108" s="46">
        <v>136881.78599999999</v>
      </c>
      <c r="AZ2108" s="46">
        <v>7.5209999999999999</v>
      </c>
      <c r="BA2108" s="46" t="s">
        <v>63</v>
      </c>
      <c r="BB2108" s="46">
        <v>4300</v>
      </c>
      <c r="BC2108" s="46">
        <v>25712.214</v>
      </c>
      <c r="BD2108" s="46">
        <v>5.98</v>
      </c>
      <c r="BE2108" s="46">
        <v>5369</v>
      </c>
      <c r="BF2108" s="46">
        <v>20425</v>
      </c>
      <c r="BG2108" s="46">
        <v>6.81</v>
      </c>
      <c r="BH2108" s="46">
        <v>0</v>
      </c>
      <c r="BJ2108">
        <v>20425</v>
      </c>
      <c r="BK2108">
        <v>6.81</v>
      </c>
      <c r="BL2108">
        <v>716.78</v>
      </c>
    </row>
    <row r="2109" spans="1:64" x14ac:dyDescent="0.25">
      <c r="A2109" s="136">
        <v>43123</v>
      </c>
      <c r="B2109" s="201" t="s">
        <v>67</v>
      </c>
      <c r="C2109" t="s">
        <v>129</v>
      </c>
      <c r="D2109">
        <v>7650</v>
      </c>
      <c r="E2109">
        <v>7650</v>
      </c>
      <c r="F2109">
        <v>8.6240000000000006</v>
      </c>
      <c r="G2109">
        <v>-335.61</v>
      </c>
      <c r="H2109">
        <v>-0.51</v>
      </c>
      <c r="I2109" s="309">
        <v>65637</v>
      </c>
      <c r="J2109">
        <v>8.58</v>
      </c>
      <c r="K2109" s="133">
        <v>0.122005530240771</v>
      </c>
      <c r="L2109" s="181">
        <v>1336.09</v>
      </c>
      <c r="M2109" s="133">
        <v>0.12262935942254501</v>
      </c>
      <c r="N2109" s="73">
        <v>-796.87100000023202</v>
      </c>
      <c r="O2109" s="73">
        <v>-93.482695363876999</v>
      </c>
      <c r="P2109" s="182">
        <v>2</v>
      </c>
      <c r="Q2109" s="182">
        <v>1000</v>
      </c>
      <c r="R2109" s="46">
        <v>5.8949999999999996</v>
      </c>
      <c r="S2109" s="46">
        <v>1</v>
      </c>
      <c r="T2109" s="46">
        <v>400</v>
      </c>
      <c r="U2109" s="46">
        <v>8.52</v>
      </c>
      <c r="V2109" s="46" t="s">
        <v>62</v>
      </c>
      <c r="W2109" s="46">
        <v>600</v>
      </c>
      <c r="X2109" s="46">
        <v>4.1449999999999996</v>
      </c>
      <c r="Y2109" s="193">
        <v>8.6910000000000007</v>
      </c>
      <c r="Z2109" s="194">
        <v>7.8470000000000004</v>
      </c>
      <c r="AA2109" s="194">
        <v>8.68</v>
      </c>
      <c r="AB2109" s="46">
        <v>8.4600000000000009</v>
      </c>
      <c r="AC2109" s="46">
        <v>8.58</v>
      </c>
      <c r="AD2109" s="46">
        <v>8.36</v>
      </c>
      <c r="AE2109" s="46">
        <v>8.58</v>
      </c>
      <c r="AF2109" s="46">
        <v>159</v>
      </c>
      <c r="AG2109" s="46">
        <v>79300</v>
      </c>
      <c r="AH2109" s="46">
        <v>658218</v>
      </c>
      <c r="AI2109" s="46">
        <v>8.3000000000000007</v>
      </c>
      <c r="AJ2109" s="46">
        <v>161</v>
      </c>
      <c r="AK2109" s="46">
        <v>74850</v>
      </c>
      <c r="AL2109" s="46">
        <v>663876.65300000005</v>
      </c>
      <c r="AM2109" s="46">
        <v>8.8689999999999998</v>
      </c>
      <c r="AN2109" s="46" t="s">
        <v>63</v>
      </c>
      <c r="AO2109" s="46">
        <v>4450</v>
      </c>
      <c r="AP2109" s="46">
        <v>5658.6530000000002</v>
      </c>
      <c r="AQ2109" s="46">
        <v>1.272</v>
      </c>
      <c r="AR2109" s="46">
        <v>42589.65</v>
      </c>
      <c r="AS2109" s="46">
        <v>161</v>
      </c>
      <c r="AT2109" s="46">
        <v>80300</v>
      </c>
      <c r="AU2109" s="46">
        <v>664123</v>
      </c>
      <c r="AV2109" s="46">
        <v>8.2710000000000008</v>
      </c>
      <c r="AW2109" s="46">
        <v>162</v>
      </c>
      <c r="AX2109" s="46">
        <v>75250</v>
      </c>
      <c r="AY2109" s="46">
        <v>667276.245</v>
      </c>
      <c r="AZ2109" s="46">
        <v>8.8670000000000009</v>
      </c>
      <c r="BA2109" s="46" t="s">
        <v>63</v>
      </c>
      <c r="BB2109" s="46">
        <v>5050</v>
      </c>
      <c r="BC2109" s="46">
        <v>3153.2449999999999</v>
      </c>
      <c r="BD2109" s="46">
        <v>0.624</v>
      </c>
      <c r="BE2109" s="46">
        <v>44849</v>
      </c>
      <c r="BF2109" s="46">
        <v>5905</v>
      </c>
      <c r="BG2109" s="46">
        <v>5.91</v>
      </c>
      <c r="BH2109" s="46">
        <v>3399.5919999999501</v>
      </c>
      <c r="BI2109">
        <v>8.5</v>
      </c>
      <c r="BJ2109">
        <v>-2505.4079999999999</v>
      </c>
      <c r="BK2109">
        <v>-4.18</v>
      </c>
      <c r="BL2109">
        <v>4963.83</v>
      </c>
    </row>
    <row r="2110" spans="1:64" x14ac:dyDescent="0.25">
      <c r="A2110" s="136">
        <v>43123</v>
      </c>
      <c r="B2110" s="201" t="s">
        <v>78</v>
      </c>
      <c r="C2110" t="s">
        <v>142</v>
      </c>
      <c r="D2110">
        <v>100</v>
      </c>
      <c r="E2110">
        <v>100</v>
      </c>
      <c r="F2110">
        <v>8.8810000000000002</v>
      </c>
      <c r="G2110">
        <v>151.87</v>
      </c>
      <c r="H2110">
        <v>17.100000000000001</v>
      </c>
      <c r="I2110" s="309">
        <v>1040</v>
      </c>
      <c r="J2110">
        <v>10.4</v>
      </c>
      <c r="K2110" s="133">
        <v>1.9331436758291999E-3</v>
      </c>
      <c r="L2110" s="181">
        <v>-2</v>
      </c>
      <c r="M2110" s="133">
        <v>1.65084893539826E-3</v>
      </c>
      <c r="N2110" s="73">
        <v>171.86799999999999</v>
      </c>
      <c r="O2110" s="73">
        <v>16.205855283018799</v>
      </c>
      <c r="P2110" s="182">
        <v>0</v>
      </c>
      <c r="Q2110" s="182">
        <v>0</v>
      </c>
      <c r="R2110" s="46">
        <v>0</v>
      </c>
      <c r="S2110" s="46">
        <v>2</v>
      </c>
      <c r="T2110" s="46">
        <v>500</v>
      </c>
      <c r="U2110" s="46">
        <v>10.368</v>
      </c>
      <c r="V2110" s="46" t="s">
        <v>68</v>
      </c>
      <c r="W2110" s="46">
        <v>500</v>
      </c>
      <c r="X2110" s="46">
        <v>10.368</v>
      </c>
      <c r="Y2110" s="194">
        <v>9.8559999999999999</v>
      </c>
      <c r="Z2110" s="194">
        <v>10.787000000000001</v>
      </c>
      <c r="AA2110" s="194">
        <v>10.667</v>
      </c>
      <c r="AB2110" s="46">
        <v>10.4</v>
      </c>
      <c r="AC2110" s="46">
        <v>10.5</v>
      </c>
      <c r="AD2110" s="46">
        <v>10.29</v>
      </c>
      <c r="AE2110" s="46">
        <v>10.4</v>
      </c>
      <c r="AF2110" s="46">
        <v>6</v>
      </c>
      <c r="AG2110" s="46">
        <v>3000</v>
      </c>
      <c r="AH2110" s="46">
        <v>30950</v>
      </c>
      <c r="AI2110" s="46">
        <v>10.317</v>
      </c>
      <c r="AJ2110" s="46">
        <v>6</v>
      </c>
      <c r="AK2110" s="46">
        <v>2400</v>
      </c>
      <c r="AL2110" s="46">
        <v>24893.052</v>
      </c>
      <c r="AM2110" s="46">
        <v>10.372</v>
      </c>
      <c r="AN2110" s="46" t="s">
        <v>63</v>
      </c>
      <c r="AO2110" s="46">
        <v>600</v>
      </c>
      <c r="AP2110" s="46">
        <v>6056.9480000000003</v>
      </c>
      <c r="AQ2110" s="46">
        <v>10.095000000000001</v>
      </c>
      <c r="AR2110" s="46">
        <v>132</v>
      </c>
      <c r="AS2110" s="46">
        <v>6</v>
      </c>
      <c r="AT2110" s="46">
        <v>3000</v>
      </c>
      <c r="AU2110" s="46">
        <v>30950</v>
      </c>
      <c r="AV2110" s="46">
        <v>10.317</v>
      </c>
      <c r="AW2110" s="46">
        <v>8</v>
      </c>
      <c r="AX2110" s="46">
        <v>2900</v>
      </c>
      <c r="AY2110" s="46">
        <v>30061.867999999999</v>
      </c>
      <c r="AZ2110" s="46">
        <v>10.366</v>
      </c>
      <c r="BA2110" s="46" t="s">
        <v>63</v>
      </c>
      <c r="BB2110" s="46">
        <v>100</v>
      </c>
      <c r="BC2110" s="46">
        <v>888.13199999999995</v>
      </c>
      <c r="BD2110" s="46">
        <v>8.8810000000000002</v>
      </c>
      <c r="BE2110" s="46">
        <v>142.1</v>
      </c>
      <c r="BF2110" s="46">
        <v>0</v>
      </c>
      <c r="BH2110" s="46">
        <v>5168.8159999999998</v>
      </c>
      <c r="BI2110">
        <v>10.34</v>
      </c>
      <c r="BJ2110">
        <v>-5168.8159999999998</v>
      </c>
      <c r="BK2110">
        <v>-10.34</v>
      </c>
      <c r="BL2110">
        <v>12.69</v>
      </c>
    </row>
    <row r="2111" spans="1:64" x14ac:dyDescent="0.25">
      <c r="A2111" s="136">
        <v>43123</v>
      </c>
      <c r="B2111" s="201" t="s">
        <v>72</v>
      </c>
      <c r="C2111" t="s">
        <v>130</v>
      </c>
      <c r="D2111">
        <v>2400</v>
      </c>
      <c r="E2111">
        <v>2400</v>
      </c>
      <c r="F2111">
        <v>7.0259999999999998</v>
      </c>
      <c r="G2111">
        <v>-133.75</v>
      </c>
      <c r="H2111">
        <v>-0.8</v>
      </c>
      <c r="I2111" s="309">
        <v>16728</v>
      </c>
      <c r="J2111">
        <v>6.97</v>
      </c>
      <c r="K2111" s="133">
        <v>3.1093872508914301E-2</v>
      </c>
      <c r="L2111" s="181">
        <v>-72</v>
      </c>
      <c r="M2111" s="133">
        <v>3.1342485938377997E-2</v>
      </c>
      <c r="N2111" s="73">
        <v>-427.47199999999299</v>
      </c>
      <c r="O2111" s="73">
        <v>-29.633878818441001</v>
      </c>
      <c r="P2111" s="182">
        <v>0</v>
      </c>
      <c r="Q2111" s="182">
        <v>0</v>
      </c>
      <c r="R2111" s="46">
        <v>0</v>
      </c>
      <c r="S2111" s="46">
        <v>12</v>
      </c>
      <c r="T2111" s="46">
        <v>5000</v>
      </c>
      <c r="U2111" s="46">
        <v>8.1539999999999999</v>
      </c>
      <c r="V2111" s="46" t="s">
        <v>68</v>
      </c>
      <c r="W2111" s="46">
        <v>5000</v>
      </c>
      <c r="X2111" s="46">
        <v>8.1539999999999999</v>
      </c>
      <c r="Y2111" s="193">
        <v>26.18</v>
      </c>
      <c r="Z2111" s="194">
        <v>7.032</v>
      </c>
      <c r="AA2111" s="194">
        <v>7.1180000000000003</v>
      </c>
      <c r="AB2111" s="46">
        <v>6.99</v>
      </c>
      <c r="AC2111" s="46">
        <v>7.01</v>
      </c>
      <c r="AD2111" s="46">
        <v>6.91</v>
      </c>
      <c r="AE2111" s="46">
        <v>6.97</v>
      </c>
      <c r="AF2111" s="46">
        <v>26</v>
      </c>
      <c r="AG2111" s="46">
        <v>13000</v>
      </c>
      <c r="AH2111" s="46">
        <v>102205</v>
      </c>
      <c r="AI2111" s="46">
        <v>7.8620000000000001</v>
      </c>
      <c r="AJ2111" s="46">
        <v>26</v>
      </c>
      <c r="AK2111" s="46">
        <v>12200</v>
      </c>
      <c r="AL2111" s="46">
        <v>45406.483</v>
      </c>
      <c r="AM2111" s="46">
        <v>3.722</v>
      </c>
      <c r="AN2111" s="46" t="s">
        <v>63</v>
      </c>
      <c r="AO2111" s="46">
        <v>800</v>
      </c>
      <c r="AP2111" s="46">
        <v>56798.517</v>
      </c>
      <c r="AQ2111" s="46">
        <v>70.998000000000005</v>
      </c>
      <c r="AR2111" s="46">
        <v>-50508</v>
      </c>
      <c r="AS2111" s="46">
        <v>26</v>
      </c>
      <c r="AT2111" s="46">
        <v>13000</v>
      </c>
      <c r="AU2111" s="46">
        <v>102205</v>
      </c>
      <c r="AV2111" s="46">
        <v>7.8620000000000001</v>
      </c>
      <c r="AW2111" s="46">
        <v>39</v>
      </c>
      <c r="AX2111" s="46">
        <v>17700</v>
      </c>
      <c r="AY2111" s="46">
        <v>86075.713000000003</v>
      </c>
      <c r="AZ2111" s="46">
        <v>4.8630000000000004</v>
      </c>
      <c r="BA2111" s="46" t="s">
        <v>69</v>
      </c>
      <c r="BB2111" s="46">
        <v>4700</v>
      </c>
      <c r="BC2111" s="46">
        <v>16129.287</v>
      </c>
      <c r="BD2111" s="46">
        <v>3.4319999999999999</v>
      </c>
      <c r="BE2111" s="46">
        <v>-38987</v>
      </c>
      <c r="BF2111" s="46">
        <v>0</v>
      </c>
      <c r="BH2111" s="46">
        <v>40669.230000000003</v>
      </c>
      <c r="BI2111">
        <v>8.1300000000000008</v>
      </c>
      <c r="BJ2111">
        <v>-40669.230000000003</v>
      </c>
      <c r="BK2111">
        <v>-8.1300000000000008</v>
      </c>
      <c r="BL2111">
        <v>-7246.48</v>
      </c>
    </row>
    <row r="2112" spans="1:64" x14ac:dyDescent="0.25">
      <c r="A2112" s="136">
        <v>43123</v>
      </c>
      <c r="B2112" s="201" t="s">
        <v>70</v>
      </c>
      <c r="C2112" t="s">
        <v>131</v>
      </c>
      <c r="D2112">
        <v>10400</v>
      </c>
      <c r="E2112">
        <v>10400</v>
      </c>
      <c r="F2112">
        <v>12.188000000000001</v>
      </c>
      <c r="G2112">
        <v>-13397.26</v>
      </c>
      <c r="H2112">
        <v>-10.57</v>
      </c>
      <c r="I2112" s="309">
        <v>113360</v>
      </c>
      <c r="J2112">
        <v>10.9</v>
      </c>
      <c r="K2112" s="133">
        <v>0.21071266066538299</v>
      </c>
      <c r="L2112" s="181">
        <v>-416</v>
      </c>
      <c r="M2112" s="133">
        <v>0.235615380321575</v>
      </c>
      <c r="N2112" s="73">
        <v>-12772.254000000001</v>
      </c>
      <c r="O2112" s="73">
        <v>-1164.7689665145999</v>
      </c>
      <c r="P2112" s="182">
        <v>2</v>
      </c>
      <c r="Q2112" s="182">
        <v>1000</v>
      </c>
      <c r="R2112" s="46">
        <v>10.885</v>
      </c>
      <c r="S2112" s="46">
        <v>6</v>
      </c>
      <c r="T2112" s="46">
        <v>2400</v>
      </c>
      <c r="U2112" s="46">
        <v>12.755000000000001</v>
      </c>
      <c r="V2112" s="46" t="s">
        <v>68</v>
      </c>
      <c r="W2112" s="46">
        <v>1400</v>
      </c>
      <c r="X2112" s="46">
        <v>14.090999999999999</v>
      </c>
      <c r="Y2112" s="194">
        <v>10.874000000000001</v>
      </c>
      <c r="Z2112" s="194">
        <v>12.089</v>
      </c>
      <c r="AA2112" s="194">
        <v>12.067</v>
      </c>
      <c r="AB2112" s="46">
        <v>10.92</v>
      </c>
      <c r="AC2112" s="46">
        <v>10.98</v>
      </c>
      <c r="AD2112" s="46">
        <v>10.86</v>
      </c>
      <c r="AE2112" s="46">
        <v>10.9</v>
      </c>
      <c r="AF2112" s="46">
        <v>124</v>
      </c>
      <c r="AG2112" s="46">
        <v>61600</v>
      </c>
      <c r="AH2112" s="46">
        <v>832153</v>
      </c>
      <c r="AI2112" s="46">
        <v>13.509</v>
      </c>
      <c r="AJ2112" s="46">
        <v>124</v>
      </c>
      <c r="AK2112" s="46">
        <v>49800</v>
      </c>
      <c r="AL2112" s="46">
        <v>685335.35800000001</v>
      </c>
      <c r="AM2112" s="46">
        <v>13.762</v>
      </c>
      <c r="AN2112" s="46" t="s">
        <v>63</v>
      </c>
      <c r="AO2112" s="46">
        <v>11800</v>
      </c>
      <c r="AP2112" s="46">
        <v>146817.64199999999</v>
      </c>
      <c r="AQ2112" s="46">
        <v>12.442</v>
      </c>
      <c r="AR2112" s="46">
        <v>12599.4</v>
      </c>
      <c r="AS2112" s="46">
        <v>126</v>
      </c>
      <c r="AT2112" s="46">
        <v>62600</v>
      </c>
      <c r="AU2112" s="46">
        <v>843048</v>
      </c>
      <c r="AV2112" s="46">
        <v>13.467000000000001</v>
      </c>
      <c r="AW2112" s="46">
        <v>131</v>
      </c>
      <c r="AX2112" s="46">
        <v>52200</v>
      </c>
      <c r="AY2112" s="46">
        <v>716291.74600000004</v>
      </c>
      <c r="AZ2112" s="46">
        <v>13.722</v>
      </c>
      <c r="BA2112" s="46" t="s">
        <v>63</v>
      </c>
      <c r="BB2112" s="46">
        <v>10400</v>
      </c>
      <c r="BC2112" s="46">
        <v>126756.254</v>
      </c>
      <c r="BD2112" s="46">
        <v>12.188000000000001</v>
      </c>
      <c r="BE2112" s="46">
        <v>13311</v>
      </c>
      <c r="BF2112" s="46">
        <v>10895</v>
      </c>
      <c r="BG2112" s="46">
        <v>10.9</v>
      </c>
      <c r="BH2112" s="46">
        <v>30956.387999999901</v>
      </c>
      <c r="BI2112">
        <v>12.9</v>
      </c>
      <c r="BJ2112">
        <v>-20061.387999999999</v>
      </c>
      <c r="BK2112">
        <v>-14.33</v>
      </c>
      <c r="BL2112">
        <v>1155.9100000000001</v>
      </c>
    </row>
    <row r="2113" spans="1:64" x14ac:dyDescent="0.25">
      <c r="A2113" s="136">
        <v>43123</v>
      </c>
      <c r="B2113" s="201" t="s">
        <v>146</v>
      </c>
      <c r="C2113" t="s">
        <v>148</v>
      </c>
      <c r="D2113">
        <v>40</v>
      </c>
      <c r="E2113">
        <v>40</v>
      </c>
      <c r="F2113">
        <v>100</v>
      </c>
      <c r="G2113">
        <v>-80</v>
      </c>
      <c r="H2113">
        <v>-2</v>
      </c>
      <c r="I2113" s="309">
        <v>3920</v>
      </c>
      <c r="J2113">
        <v>98</v>
      </c>
      <c r="K2113" s="133">
        <v>7.28646462427931E-3</v>
      </c>
      <c r="L2113" s="181">
        <v>-24</v>
      </c>
      <c r="M2113" s="133">
        <v>7.4351679839584801E-3</v>
      </c>
    </row>
    <row r="2114" spans="1:64" x14ac:dyDescent="0.25">
      <c r="A2114" s="136">
        <v>43123</v>
      </c>
      <c r="B2114" s="201" t="s">
        <v>137</v>
      </c>
      <c r="C2114" t="s">
        <v>138</v>
      </c>
      <c r="D2114">
        <v>100</v>
      </c>
      <c r="E2114">
        <v>100</v>
      </c>
      <c r="F2114">
        <v>-130.48500000000001</v>
      </c>
      <c r="G2114">
        <v>16762.5</v>
      </c>
      <c r="H2114">
        <v>0</v>
      </c>
      <c r="I2114" s="309">
        <v>3714</v>
      </c>
      <c r="J2114">
        <v>37.14</v>
      </c>
      <c r="K2114" s="133">
        <v>6.90355347310544E-3</v>
      </c>
      <c r="L2114" s="181">
        <v>31</v>
      </c>
      <c r="M2114" s="133">
        <v>0</v>
      </c>
    </row>
    <row r="2115" spans="1:64" x14ac:dyDescent="0.25">
      <c r="A2115" s="136">
        <v>43123</v>
      </c>
      <c r="B2115" s="201" t="s">
        <v>835</v>
      </c>
      <c r="C2115" t="s">
        <v>839</v>
      </c>
      <c r="I2115" s="309">
        <v>14228.81</v>
      </c>
      <c r="K2115" s="133">
        <v>2.6448398140457002E-2</v>
      </c>
      <c r="L2115" s="181">
        <v>0</v>
      </c>
      <c r="M2115" s="133">
        <v>0.26578087916809201</v>
      </c>
    </row>
    <row r="2116" spans="1:64" x14ac:dyDescent="0.25">
      <c r="A2116" s="136">
        <v>43124</v>
      </c>
      <c r="B2116" s="201" t="s">
        <v>132</v>
      </c>
      <c r="C2116" t="s">
        <v>123</v>
      </c>
      <c r="D2116">
        <v>13868677</v>
      </c>
      <c r="E2116">
        <v>12876877</v>
      </c>
      <c r="F2116">
        <v>0.01</v>
      </c>
      <c r="G2116">
        <v>2857.33</v>
      </c>
      <c r="H2116">
        <v>0</v>
      </c>
      <c r="I2116" s="309">
        <v>138686.76999999999</v>
      </c>
      <c r="J2116">
        <v>0.01</v>
      </c>
      <c r="K2116" s="133">
        <v>0.25771084188691601</v>
      </c>
      <c r="L2116" s="181">
        <v>11.77</v>
      </c>
      <c r="M2116" s="133">
        <v>0</v>
      </c>
    </row>
    <row r="2117" spans="1:64" x14ac:dyDescent="0.25">
      <c r="A2117" s="136">
        <v>43124</v>
      </c>
      <c r="B2117" s="201" t="s">
        <v>61</v>
      </c>
      <c r="C2117" t="s">
        <v>136</v>
      </c>
      <c r="D2117">
        <v>1800</v>
      </c>
      <c r="E2117">
        <v>1800</v>
      </c>
      <c r="F2117">
        <v>5.2809999999999997</v>
      </c>
      <c r="G2117">
        <v>232.21</v>
      </c>
      <c r="H2117">
        <v>2.44</v>
      </c>
      <c r="I2117" s="309">
        <v>9738</v>
      </c>
      <c r="J2117">
        <v>5.41</v>
      </c>
      <c r="K2117" s="133">
        <v>1.8095368276979801E-2</v>
      </c>
      <c r="L2117" s="181">
        <v>127.22</v>
      </c>
      <c r="M2117" s="133">
        <v>1.7663870488152801E-2</v>
      </c>
      <c r="N2117" s="73">
        <v>299.61499999999802</v>
      </c>
      <c r="O2117" s="73">
        <v>54.947741743118897</v>
      </c>
      <c r="P2117" s="182">
        <v>2</v>
      </c>
      <c r="Q2117" s="182">
        <v>1000</v>
      </c>
      <c r="R2117" s="46">
        <v>5.3849999999999998</v>
      </c>
      <c r="S2117" s="46">
        <v>0</v>
      </c>
      <c r="T2117" s="46">
        <v>0</v>
      </c>
      <c r="U2117" s="46">
        <v>0</v>
      </c>
      <c r="V2117" s="46" t="s">
        <v>62</v>
      </c>
      <c r="W2117" s="46">
        <v>1000</v>
      </c>
      <c r="X2117" s="46">
        <v>5.3849999999999998</v>
      </c>
      <c r="Y2117" s="193">
        <v>5.4390000000000001</v>
      </c>
      <c r="Z2117" s="194">
        <v>4.84</v>
      </c>
      <c r="AA2117" s="194">
        <v>5.2009999999999996</v>
      </c>
      <c r="AB2117" s="46">
        <v>5.35</v>
      </c>
      <c r="AC2117" s="46">
        <v>5.49</v>
      </c>
      <c r="AD2117" s="46">
        <v>5.34</v>
      </c>
      <c r="AE2117" s="46">
        <v>5.41</v>
      </c>
      <c r="AF2117" s="46">
        <v>9</v>
      </c>
      <c r="AG2117" s="46">
        <v>4500</v>
      </c>
      <c r="AH2117" s="46">
        <v>23912.7</v>
      </c>
      <c r="AI2117" s="46">
        <v>5.3140000000000001</v>
      </c>
      <c r="AJ2117" s="46">
        <v>9</v>
      </c>
      <c r="AK2117" s="46">
        <v>3700</v>
      </c>
      <c r="AL2117" s="46">
        <v>19797.915000000001</v>
      </c>
      <c r="AM2117" s="46">
        <v>5.351</v>
      </c>
      <c r="AN2117" s="46" t="s">
        <v>63</v>
      </c>
      <c r="AO2117" s="46">
        <v>800</v>
      </c>
      <c r="AP2117" s="46">
        <v>4114.7849999999999</v>
      </c>
      <c r="AQ2117" s="46">
        <v>5.1429999999999998</v>
      </c>
      <c r="AR2117" s="46">
        <v>136.9</v>
      </c>
      <c r="AS2117" s="46">
        <v>11</v>
      </c>
      <c r="AT2117" s="46">
        <v>5500</v>
      </c>
      <c r="AU2117" s="46">
        <v>29308.3</v>
      </c>
      <c r="AV2117" s="46">
        <v>5.3289999999999997</v>
      </c>
      <c r="AW2117" s="46">
        <v>9</v>
      </c>
      <c r="AX2117" s="46">
        <v>3700</v>
      </c>
      <c r="AY2117" s="46">
        <v>19797.915000000001</v>
      </c>
      <c r="AZ2117" s="46">
        <v>5.351</v>
      </c>
      <c r="BA2117" s="46" t="s">
        <v>63</v>
      </c>
      <c r="BB2117" s="46">
        <v>1800</v>
      </c>
      <c r="BC2117" s="46">
        <v>9510.3850000000002</v>
      </c>
      <c r="BD2117" s="46">
        <v>5.2839999999999998</v>
      </c>
      <c r="BE2117" s="46">
        <v>81.400000000000006</v>
      </c>
      <c r="BF2117" s="46">
        <v>5395.6</v>
      </c>
      <c r="BG2117" s="46">
        <v>5.4</v>
      </c>
      <c r="BH2117" s="46">
        <v>0</v>
      </c>
      <c r="BJ2117">
        <v>5395.6</v>
      </c>
      <c r="BK2117">
        <v>5.4</v>
      </c>
      <c r="BL2117">
        <v>25.3</v>
      </c>
    </row>
    <row r="2118" spans="1:64" x14ac:dyDescent="0.25">
      <c r="A2118" s="136">
        <v>43124</v>
      </c>
      <c r="B2118" s="201" t="s">
        <v>124</v>
      </c>
      <c r="C2118" t="s">
        <v>125</v>
      </c>
      <c r="D2118">
        <v>100</v>
      </c>
      <c r="E2118">
        <v>100</v>
      </c>
      <c r="F2118">
        <v>-53.579000000000001</v>
      </c>
      <c r="G2118">
        <v>6092.9</v>
      </c>
      <c r="H2118">
        <v>0</v>
      </c>
      <c r="I2118" s="309">
        <v>735</v>
      </c>
      <c r="J2118">
        <v>7.35</v>
      </c>
      <c r="K2118" s="133">
        <v>1.36579335423908E-3</v>
      </c>
      <c r="L2118" s="181">
        <v>-14</v>
      </c>
      <c r="M2118" s="133">
        <v>0</v>
      </c>
      <c r="Y2118" s="193">
        <v>7.8380000000000001</v>
      </c>
      <c r="Z2118" s="193">
        <v>5.5410000000000004</v>
      </c>
      <c r="AA2118" s="193">
        <v>6.0579999999999998</v>
      </c>
      <c r="AB2118" s="46">
        <v>7.49</v>
      </c>
      <c r="AC2118" s="46">
        <v>7.66</v>
      </c>
      <c r="AD2118" s="46">
        <v>7.3</v>
      </c>
      <c r="AE2118" s="46">
        <v>7.35</v>
      </c>
    </row>
    <row r="2119" spans="1:64" x14ac:dyDescent="0.25">
      <c r="A2119" s="136">
        <v>43124</v>
      </c>
      <c r="B2119" s="201" t="s">
        <v>71</v>
      </c>
      <c r="C2119" t="s">
        <v>126</v>
      </c>
      <c r="D2119">
        <v>100</v>
      </c>
      <c r="E2119">
        <v>100</v>
      </c>
      <c r="F2119">
        <v>-17.085999999999999</v>
      </c>
      <c r="G2119">
        <v>2447.6</v>
      </c>
      <c r="H2119">
        <v>0</v>
      </c>
      <c r="I2119" s="309">
        <v>739</v>
      </c>
      <c r="J2119">
        <v>7.39</v>
      </c>
      <c r="K2119" s="133">
        <v>1.3732262432417401E-3</v>
      </c>
      <c r="L2119" s="181">
        <v>1</v>
      </c>
      <c r="M2119" s="133">
        <v>0</v>
      </c>
      <c r="N2119" s="73">
        <v>1703.3019999999999</v>
      </c>
      <c r="O2119" s="73">
        <v>341.114950423729</v>
      </c>
      <c r="P2119" s="182">
        <v>0</v>
      </c>
      <c r="Q2119" s="182">
        <v>0</v>
      </c>
      <c r="R2119" s="46">
        <v>0</v>
      </c>
      <c r="S2119" s="46">
        <v>7</v>
      </c>
      <c r="T2119" s="46">
        <v>2800</v>
      </c>
      <c r="U2119" s="46">
        <v>6.6749999999999998</v>
      </c>
      <c r="V2119" s="46" t="s">
        <v>68</v>
      </c>
      <c r="W2119" s="46">
        <v>2800</v>
      </c>
      <c r="X2119" s="46">
        <v>6.6749999999999998</v>
      </c>
      <c r="Y2119" s="193">
        <v>7.47</v>
      </c>
      <c r="Z2119" s="194">
        <v>6.1589999999999998</v>
      </c>
      <c r="AA2119" s="194">
        <v>6.6109999999999998</v>
      </c>
      <c r="AB2119" s="46">
        <v>7.39</v>
      </c>
      <c r="AC2119" s="46">
        <v>7.53</v>
      </c>
      <c r="AD2119" s="46">
        <v>7.3</v>
      </c>
      <c r="AE2119" s="46">
        <v>7.39</v>
      </c>
      <c r="AF2119" s="46">
        <v>41</v>
      </c>
      <c r="AG2119" s="46">
        <v>20600</v>
      </c>
      <c r="AH2119" s="46">
        <v>131323.35999999999</v>
      </c>
      <c r="AI2119" s="46">
        <v>6.375</v>
      </c>
      <c r="AJ2119" s="46">
        <v>39</v>
      </c>
      <c r="AK2119" s="46">
        <v>17700</v>
      </c>
      <c r="AL2119" s="46">
        <v>114228.83100000001</v>
      </c>
      <c r="AM2119" s="46">
        <v>6.4539999999999997</v>
      </c>
      <c r="AN2119" s="46" t="s">
        <v>63</v>
      </c>
      <c r="AO2119" s="46">
        <v>2900</v>
      </c>
      <c r="AP2119" s="46">
        <v>17094.528999999999</v>
      </c>
      <c r="AQ2119" s="46">
        <v>5.8949999999999996</v>
      </c>
      <c r="AR2119" s="46">
        <v>1398.3</v>
      </c>
      <c r="AS2119" s="46">
        <v>41</v>
      </c>
      <c r="AT2119" s="46">
        <v>20600</v>
      </c>
      <c r="AU2119" s="46">
        <v>131323.35999999999</v>
      </c>
      <c r="AV2119" s="46">
        <v>6.375</v>
      </c>
      <c r="AW2119" s="46">
        <v>46</v>
      </c>
      <c r="AX2119" s="46">
        <v>20500</v>
      </c>
      <c r="AY2119" s="46">
        <v>132870.462</v>
      </c>
      <c r="AZ2119" s="46">
        <v>6.4809999999999999</v>
      </c>
      <c r="BA2119" s="46" t="s">
        <v>63</v>
      </c>
      <c r="BB2119" s="46">
        <v>100</v>
      </c>
      <c r="BC2119" s="46">
        <v>1547.1020000000001</v>
      </c>
      <c r="BD2119" s="46">
        <v>15.471</v>
      </c>
      <c r="BE2119" s="46">
        <v>2173</v>
      </c>
      <c r="BF2119" s="46">
        <v>0</v>
      </c>
      <c r="BH2119" s="46">
        <v>18641.631000000001</v>
      </c>
      <c r="BI2119">
        <v>6.66</v>
      </c>
      <c r="BJ2119">
        <v>-15547.427</v>
      </c>
      <c r="BK2119">
        <v>-5.55</v>
      </c>
      <c r="BL2119">
        <v>189.22</v>
      </c>
    </row>
    <row r="2120" spans="1:64" x14ac:dyDescent="0.25">
      <c r="A2120" s="136">
        <v>43124</v>
      </c>
      <c r="B2120" s="201" t="s">
        <v>79</v>
      </c>
      <c r="C2120" t="s">
        <v>143</v>
      </c>
      <c r="D2120">
        <v>4400</v>
      </c>
      <c r="E2120">
        <v>4400</v>
      </c>
      <c r="F2120">
        <v>17.143000000000001</v>
      </c>
      <c r="G2120">
        <v>-6833.27</v>
      </c>
      <c r="H2120">
        <v>-9.06</v>
      </c>
      <c r="I2120" s="309">
        <v>68596</v>
      </c>
      <c r="J2120">
        <v>15.59</v>
      </c>
      <c r="K2120" s="133">
        <v>0.12746661350664501</v>
      </c>
      <c r="L2120" s="181">
        <v>88</v>
      </c>
      <c r="M2120" s="133">
        <v>0.14016434786544901</v>
      </c>
      <c r="N2120" s="73">
        <v>-6967.34800000004</v>
      </c>
      <c r="O2120" s="73">
        <v>-447.549121208229</v>
      </c>
      <c r="P2120" s="182">
        <v>7</v>
      </c>
      <c r="Q2120" s="182">
        <v>4000</v>
      </c>
      <c r="R2120" s="46">
        <v>16.783000000000001</v>
      </c>
      <c r="S2120" s="46">
        <v>0</v>
      </c>
      <c r="T2120" s="46">
        <v>0</v>
      </c>
      <c r="U2120" s="46">
        <v>0</v>
      </c>
      <c r="V2120" s="46" t="s">
        <v>62</v>
      </c>
      <c r="W2120" s="46">
        <v>4000</v>
      </c>
      <c r="X2120" s="46">
        <v>16.783000000000001</v>
      </c>
      <c r="Y2120" s="193">
        <v>30.356000000000002</v>
      </c>
      <c r="Z2120" s="194">
        <v>15.468</v>
      </c>
      <c r="AA2120" s="194">
        <v>15.483000000000001</v>
      </c>
      <c r="AB2120" s="46">
        <v>15.56</v>
      </c>
      <c r="AC2120" s="46">
        <v>15.62</v>
      </c>
      <c r="AD2120" s="46">
        <v>15.41</v>
      </c>
      <c r="AE2120" s="46">
        <v>15.59</v>
      </c>
      <c r="AF2120" s="46">
        <v>4</v>
      </c>
      <c r="AG2120" s="46">
        <v>2000</v>
      </c>
      <c r="AH2120" s="46">
        <v>33006.199999999997</v>
      </c>
      <c r="AI2120" s="46">
        <v>16.503</v>
      </c>
      <c r="AJ2120" s="46">
        <v>4</v>
      </c>
      <c r="AK2120" s="46">
        <v>1600</v>
      </c>
      <c r="AL2120" s="46">
        <v>24742.252</v>
      </c>
      <c r="AM2120" s="46">
        <v>15.464</v>
      </c>
      <c r="AN2120" s="46" t="s">
        <v>63</v>
      </c>
      <c r="AO2120" s="46">
        <v>400</v>
      </c>
      <c r="AP2120" s="46">
        <v>8263.9480000000003</v>
      </c>
      <c r="AQ2120" s="46">
        <v>20.66</v>
      </c>
      <c r="AR2120" s="46">
        <v>-1662.4</v>
      </c>
      <c r="AS2120" s="46">
        <v>11</v>
      </c>
      <c r="AT2120" s="46">
        <v>6000</v>
      </c>
      <c r="AU2120" s="46">
        <v>100173.6</v>
      </c>
      <c r="AV2120" s="46">
        <v>16.696000000000002</v>
      </c>
      <c r="AW2120" s="46">
        <v>4</v>
      </c>
      <c r="AX2120" s="46">
        <v>1600</v>
      </c>
      <c r="AY2120" s="46">
        <v>24742.252</v>
      </c>
      <c r="AZ2120" s="46">
        <v>15.464</v>
      </c>
      <c r="BA2120" s="46" t="s">
        <v>63</v>
      </c>
      <c r="BB2120" s="46">
        <v>4400</v>
      </c>
      <c r="BC2120" s="46">
        <v>75431.347999999998</v>
      </c>
      <c r="BD2120" s="46">
        <v>17.143000000000001</v>
      </c>
      <c r="BE2120" s="46">
        <v>-1971.2</v>
      </c>
      <c r="BF2120" s="46">
        <v>67167.399999999994</v>
      </c>
      <c r="BG2120" s="46">
        <v>16.79</v>
      </c>
      <c r="BH2120" s="46">
        <v>0</v>
      </c>
      <c r="BJ2120">
        <v>67167.399999999994</v>
      </c>
      <c r="BK2120">
        <v>16.79</v>
      </c>
      <c r="BL2120">
        <v>-106.63</v>
      </c>
    </row>
    <row r="2121" spans="1:64" x14ac:dyDescent="0.25">
      <c r="A2121" s="136">
        <v>43124</v>
      </c>
      <c r="B2121" s="201" t="s">
        <v>65</v>
      </c>
      <c r="C2121" t="s">
        <v>127</v>
      </c>
      <c r="D2121">
        <v>6300</v>
      </c>
      <c r="E2121">
        <v>5800</v>
      </c>
      <c r="F2121">
        <v>8.6029999999999998</v>
      </c>
      <c r="G2121">
        <v>22598.3</v>
      </c>
      <c r="H2121">
        <v>41.7</v>
      </c>
      <c r="I2121" s="309">
        <v>76797</v>
      </c>
      <c r="J2121">
        <v>12.19</v>
      </c>
      <c r="K2121" s="133">
        <v>0.14270589418435201</v>
      </c>
      <c r="L2121" s="181">
        <v>-198.18</v>
      </c>
      <c r="M2121" s="133">
        <v>0.10071323029713899</v>
      </c>
      <c r="N2121" s="73">
        <v>19386.886999999999</v>
      </c>
      <c r="O2121" s="73">
        <v>1913.96490936487</v>
      </c>
      <c r="P2121" s="182">
        <v>0</v>
      </c>
      <c r="Q2121" s="182">
        <v>0</v>
      </c>
      <c r="R2121" s="46">
        <v>0</v>
      </c>
      <c r="S2121" s="46">
        <v>25</v>
      </c>
      <c r="T2121" s="46">
        <v>11200</v>
      </c>
      <c r="U2121" s="46">
        <v>12.387</v>
      </c>
      <c r="V2121" s="46" t="s">
        <v>68</v>
      </c>
      <c r="W2121" s="46">
        <v>11200</v>
      </c>
      <c r="X2121" s="46">
        <v>12.387</v>
      </c>
      <c r="Y2121" s="193">
        <v>13.369</v>
      </c>
      <c r="Z2121" s="194">
        <v>11.266</v>
      </c>
      <c r="AA2121" s="194">
        <v>11.71</v>
      </c>
      <c r="AB2121" s="46">
        <v>12.19</v>
      </c>
      <c r="AC2121" s="46">
        <v>12.47</v>
      </c>
      <c r="AD2121" s="46">
        <v>12.09</v>
      </c>
      <c r="AE2121" s="46">
        <v>12.19</v>
      </c>
      <c r="AF2121" s="46">
        <v>139</v>
      </c>
      <c r="AG2121" s="46">
        <v>77200</v>
      </c>
      <c r="AH2121" s="46">
        <v>902199.23100000003</v>
      </c>
      <c r="AI2121" s="46">
        <v>11.686999999999999</v>
      </c>
      <c r="AJ2121" s="46">
        <v>159</v>
      </c>
      <c r="AK2121" s="46">
        <v>68900</v>
      </c>
      <c r="AL2121" s="46">
        <v>708695.84900000005</v>
      </c>
      <c r="AM2121" s="46">
        <v>10.286</v>
      </c>
      <c r="AN2121" s="46" t="s">
        <v>63</v>
      </c>
      <c r="AO2121" s="46">
        <v>8300</v>
      </c>
      <c r="AP2121" s="46">
        <v>193503.38200000001</v>
      </c>
      <c r="AQ2121" s="46">
        <v>23.314</v>
      </c>
      <c r="AR2121" s="46">
        <v>-96528.9</v>
      </c>
      <c r="AS2121" s="46">
        <v>140</v>
      </c>
      <c r="AT2121" s="46">
        <v>77300</v>
      </c>
      <c r="AU2121" s="46">
        <v>903487.23100000003</v>
      </c>
      <c r="AV2121" s="46">
        <v>11.688000000000001</v>
      </c>
      <c r="AW2121" s="46">
        <v>184</v>
      </c>
      <c r="AX2121" s="46">
        <v>80100</v>
      </c>
      <c r="AY2121" s="46">
        <v>847165.11600000004</v>
      </c>
      <c r="AZ2121" s="46">
        <v>10.576000000000001</v>
      </c>
      <c r="BA2121" s="46" t="s">
        <v>69</v>
      </c>
      <c r="BB2121" s="46">
        <v>2800</v>
      </c>
      <c r="BC2121" s="46">
        <v>56322.114999999998</v>
      </c>
      <c r="BD2121" s="46">
        <v>20.114999999999998</v>
      </c>
      <c r="BE2121" s="46">
        <v>-85957.6</v>
      </c>
      <c r="BF2121" s="46">
        <v>1288</v>
      </c>
      <c r="BH2121" s="46">
        <v>138469.26699999999</v>
      </c>
      <c r="BI2121">
        <v>12.36</v>
      </c>
      <c r="BJ2121">
        <v>-137181.26699999999</v>
      </c>
      <c r="BK2121">
        <v>-12.25</v>
      </c>
      <c r="BL2121">
        <v>-7918.7</v>
      </c>
    </row>
    <row r="2122" spans="1:64" x14ac:dyDescent="0.25">
      <c r="A2122" s="136">
        <v>43124</v>
      </c>
      <c r="B2122" s="201" t="s">
        <v>77</v>
      </c>
      <c r="C2122" t="s">
        <v>128</v>
      </c>
      <c r="D2122">
        <v>4300</v>
      </c>
      <c r="E2122">
        <v>4300</v>
      </c>
      <c r="F2122">
        <v>5.9779999999999998</v>
      </c>
      <c r="G2122">
        <v>-595.27</v>
      </c>
      <c r="H2122">
        <v>-2.31</v>
      </c>
      <c r="I2122" s="309">
        <v>25112</v>
      </c>
      <c r="J2122">
        <v>5.84</v>
      </c>
      <c r="K2122" s="133">
        <v>4.6663677158709803E-2</v>
      </c>
      <c r="L2122" s="181">
        <v>0</v>
      </c>
      <c r="M2122" s="133">
        <v>4.7769821117863397E-2</v>
      </c>
      <c r="N2122" s="73">
        <v>-1272.2139999999999</v>
      </c>
      <c r="O2122" s="73">
        <v>-133.073774655173</v>
      </c>
      <c r="P2122" s="182">
        <v>6</v>
      </c>
      <c r="Q2122" s="182">
        <v>3000</v>
      </c>
      <c r="R2122" s="46">
        <v>6.798</v>
      </c>
      <c r="S2122" s="46">
        <v>0</v>
      </c>
      <c r="T2122" s="46">
        <v>0</v>
      </c>
      <c r="U2122" s="46">
        <v>0</v>
      </c>
      <c r="V2122" s="46" t="s">
        <v>62</v>
      </c>
      <c r="W2122" s="46">
        <v>3000</v>
      </c>
      <c r="X2122" s="46">
        <v>6.798</v>
      </c>
      <c r="AF2122" s="46">
        <v>39</v>
      </c>
      <c r="AG2122" s="46">
        <v>19500</v>
      </c>
      <c r="AH2122" s="46">
        <v>142169</v>
      </c>
      <c r="AI2122" s="46">
        <v>7.2910000000000004</v>
      </c>
      <c r="AJ2122" s="46">
        <v>39</v>
      </c>
      <c r="AK2122" s="46">
        <v>18200</v>
      </c>
      <c r="AL2122" s="46">
        <v>136881.78599999999</v>
      </c>
      <c r="AM2122" s="46">
        <v>7.5209999999999999</v>
      </c>
      <c r="AN2122" s="46" t="s">
        <v>63</v>
      </c>
      <c r="AO2122" s="46">
        <v>1300</v>
      </c>
      <c r="AP2122" s="46">
        <v>5287.2139999999999</v>
      </c>
      <c r="AQ2122" s="46">
        <v>4.0670000000000002</v>
      </c>
      <c r="AR2122" s="46">
        <v>4186</v>
      </c>
      <c r="AS2122" s="46">
        <v>45</v>
      </c>
      <c r="AT2122" s="46">
        <v>22500</v>
      </c>
      <c r="AU2122" s="46">
        <v>162594</v>
      </c>
      <c r="AV2122" s="46">
        <v>7.226</v>
      </c>
      <c r="AW2122" s="46">
        <v>39</v>
      </c>
      <c r="AX2122" s="46">
        <v>18200</v>
      </c>
      <c r="AY2122" s="46">
        <v>136881.78599999999</v>
      </c>
      <c r="AZ2122" s="46">
        <v>7.5209999999999999</v>
      </c>
      <c r="BA2122" s="46" t="s">
        <v>63</v>
      </c>
      <c r="BB2122" s="46">
        <v>4300</v>
      </c>
      <c r="BC2122" s="46">
        <v>25712.214</v>
      </c>
      <c r="BD2122" s="46">
        <v>5.98</v>
      </c>
      <c r="BE2122" s="46">
        <v>5369</v>
      </c>
      <c r="BF2122" s="46">
        <v>20425</v>
      </c>
      <c r="BG2122" s="46">
        <v>6.81</v>
      </c>
      <c r="BH2122" s="46">
        <v>0</v>
      </c>
      <c r="BJ2122">
        <v>20425</v>
      </c>
      <c r="BK2122">
        <v>6.81</v>
      </c>
      <c r="BL2122">
        <v>716.78</v>
      </c>
    </row>
    <row r="2123" spans="1:64" x14ac:dyDescent="0.25">
      <c r="A2123" s="136">
        <v>43124</v>
      </c>
      <c r="B2123" s="201" t="s">
        <v>67</v>
      </c>
      <c r="C2123" t="s">
        <v>129</v>
      </c>
      <c r="D2123">
        <v>7650</v>
      </c>
      <c r="E2123">
        <v>7650</v>
      </c>
      <c r="F2123">
        <v>8.6240000000000006</v>
      </c>
      <c r="G2123">
        <v>-794.61</v>
      </c>
      <c r="H2123">
        <v>-1.2</v>
      </c>
      <c r="I2123" s="309">
        <v>65178</v>
      </c>
      <c r="J2123">
        <v>8.52</v>
      </c>
      <c r="K2123" s="133">
        <v>0.12111520985387</v>
      </c>
      <c r="L2123" s="181">
        <v>-459</v>
      </c>
      <c r="M2123" s="133">
        <v>0.12259177183647101</v>
      </c>
      <c r="N2123" s="73">
        <v>-796.87100000023202</v>
      </c>
      <c r="O2123" s="73">
        <v>-93.482695363876999</v>
      </c>
      <c r="P2123" s="182">
        <v>2</v>
      </c>
      <c r="Q2123" s="182">
        <v>1000</v>
      </c>
      <c r="R2123" s="46">
        <v>5.8949999999999996</v>
      </c>
      <c r="S2123" s="46">
        <v>1</v>
      </c>
      <c r="T2123" s="46">
        <v>400</v>
      </c>
      <c r="U2123" s="46">
        <v>8.52</v>
      </c>
      <c r="V2123" s="46" t="s">
        <v>62</v>
      </c>
      <c r="W2123" s="46">
        <v>600</v>
      </c>
      <c r="X2123" s="46">
        <v>4.1449999999999996</v>
      </c>
      <c r="Y2123" s="194">
        <v>8.4250000000000007</v>
      </c>
      <c r="Z2123" s="194">
        <v>7.8639999999999999</v>
      </c>
      <c r="AA2123" s="194">
        <v>8.6780000000000008</v>
      </c>
      <c r="AB2123" s="46">
        <v>8.56</v>
      </c>
      <c r="AC2123" s="46">
        <v>8.59</v>
      </c>
      <c r="AD2123" s="46">
        <v>8.41</v>
      </c>
      <c r="AE2123" s="46">
        <v>8.52</v>
      </c>
      <c r="AF2123" s="46">
        <v>159</v>
      </c>
      <c r="AG2123" s="46">
        <v>79300</v>
      </c>
      <c r="AH2123" s="46">
        <v>658218</v>
      </c>
      <c r="AI2123" s="46">
        <v>8.3000000000000007</v>
      </c>
      <c r="AJ2123" s="46">
        <v>161</v>
      </c>
      <c r="AK2123" s="46">
        <v>74850</v>
      </c>
      <c r="AL2123" s="46">
        <v>663876.65300000005</v>
      </c>
      <c r="AM2123" s="46">
        <v>8.8689999999999998</v>
      </c>
      <c r="AN2123" s="46" t="s">
        <v>63</v>
      </c>
      <c r="AO2123" s="46">
        <v>4450</v>
      </c>
      <c r="AP2123" s="46">
        <v>5658.6530000000002</v>
      </c>
      <c r="AQ2123" s="46">
        <v>1.272</v>
      </c>
      <c r="AR2123" s="46">
        <v>42589.65</v>
      </c>
      <c r="AS2123" s="46">
        <v>161</v>
      </c>
      <c r="AT2123" s="46">
        <v>80300</v>
      </c>
      <c r="AU2123" s="46">
        <v>664123</v>
      </c>
      <c r="AV2123" s="46">
        <v>8.2710000000000008</v>
      </c>
      <c r="AW2123" s="46">
        <v>162</v>
      </c>
      <c r="AX2123" s="46">
        <v>75250</v>
      </c>
      <c r="AY2123" s="46">
        <v>667276.245</v>
      </c>
      <c r="AZ2123" s="46">
        <v>8.8670000000000009</v>
      </c>
      <c r="BA2123" s="46" t="s">
        <v>63</v>
      </c>
      <c r="BB2123" s="46">
        <v>5050</v>
      </c>
      <c r="BC2123" s="46">
        <v>3153.2449999999999</v>
      </c>
      <c r="BD2123" s="46">
        <v>0.624</v>
      </c>
      <c r="BE2123" s="46">
        <v>44849</v>
      </c>
      <c r="BF2123" s="46">
        <v>5905</v>
      </c>
      <c r="BG2123" s="46">
        <v>5.91</v>
      </c>
      <c r="BH2123" s="46">
        <v>3399.5919999999501</v>
      </c>
      <c r="BI2123">
        <v>8.5</v>
      </c>
      <c r="BJ2123">
        <v>-2505.4079999999999</v>
      </c>
      <c r="BK2123">
        <v>-4.18</v>
      </c>
      <c r="BL2123">
        <v>4998.79</v>
      </c>
    </row>
    <row r="2124" spans="1:64" x14ac:dyDescent="0.25">
      <c r="A2124" s="136">
        <v>43124</v>
      </c>
      <c r="B2124" s="201" t="s">
        <v>78</v>
      </c>
      <c r="C2124" t="s">
        <v>142</v>
      </c>
      <c r="D2124">
        <v>100</v>
      </c>
      <c r="E2124">
        <v>100</v>
      </c>
      <c r="F2124">
        <v>8.8810000000000002</v>
      </c>
      <c r="G2124">
        <v>159.87</v>
      </c>
      <c r="H2124">
        <v>18.010000000000002</v>
      </c>
      <c r="I2124" s="309">
        <v>1048</v>
      </c>
      <c r="J2124">
        <v>10.48</v>
      </c>
      <c r="K2124" s="133">
        <v>1.94741691869735E-3</v>
      </c>
      <c r="L2124" s="181">
        <v>8</v>
      </c>
      <c r="M2124" s="133">
        <v>1.65034292748347E-3</v>
      </c>
      <c r="N2124" s="73">
        <v>171.86799999999999</v>
      </c>
      <c r="O2124" s="73">
        <v>16.205855283018799</v>
      </c>
      <c r="P2124" s="182">
        <v>0</v>
      </c>
      <c r="Q2124" s="182">
        <v>0</v>
      </c>
      <c r="R2124" s="46">
        <v>0</v>
      </c>
      <c r="S2124" s="46">
        <v>2</v>
      </c>
      <c r="T2124" s="46">
        <v>500</v>
      </c>
      <c r="U2124" s="46">
        <v>10.368</v>
      </c>
      <c r="V2124" s="46" t="s">
        <v>68</v>
      </c>
      <c r="W2124" s="46">
        <v>500</v>
      </c>
      <c r="X2124" s="46">
        <v>10.368</v>
      </c>
      <c r="Y2124" s="193">
        <v>10.647</v>
      </c>
      <c r="Z2124" s="194">
        <v>10.789</v>
      </c>
      <c r="AA2124" s="194">
        <v>10.659000000000001</v>
      </c>
      <c r="AB2124" s="46">
        <v>10.4</v>
      </c>
      <c r="AC2124" s="46">
        <v>10.6</v>
      </c>
      <c r="AD2124" s="46">
        <v>10.32</v>
      </c>
      <c r="AE2124" s="46">
        <v>10.48</v>
      </c>
      <c r="AF2124" s="46">
        <v>6</v>
      </c>
      <c r="AG2124" s="46">
        <v>3000</v>
      </c>
      <c r="AH2124" s="46">
        <v>30950</v>
      </c>
      <c r="AI2124" s="46">
        <v>10.317</v>
      </c>
      <c r="AJ2124" s="46">
        <v>6</v>
      </c>
      <c r="AK2124" s="46">
        <v>2400</v>
      </c>
      <c r="AL2124" s="46">
        <v>24893.052</v>
      </c>
      <c r="AM2124" s="46">
        <v>10.372</v>
      </c>
      <c r="AN2124" s="46" t="s">
        <v>63</v>
      </c>
      <c r="AO2124" s="46">
        <v>600</v>
      </c>
      <c r="AP2124" s="46">
        <v>6056.9480000000003</v>
      </c>
      <c r="AQ2124" s="46">
        <v>10.095000000000001</v>
      </c>
      <c r="AR2124" s="46">
        <v>132</v>
      </c>
      <c r="AS2124" s="46">
        <v>6</v>
      </c>
      <c r="AT2124" s="46">
        <v>3000</v>
      </c>
      <c r="AU2124" s="46">
        <v>30950</v>
      </c>
      <c r="AV2124" s="46">
        <v>10.317</v>
      </c>
      <c r="AW2124" s="46">
        <v>8</v>
      </c>
      <c r="AX2124" s="46">
        <v>2900</v>
      </c>
      <c r="AY2124" s="46">
        <v>30061.867999999999</v>
      </c>
      <c r="AZ2124" s="46">
        <v>10.366</v>
      </c>
      <c r="BA2124" s="46" t="s">
        <v>63</v>
      </c>
      <c r="BB2124" s="46">
        <v>100</v>
      </c>
      <c r="BC2124" s="46">
        <v>888.13199999999995</v>
      </c>
      <c r="BD2124" s="46">
        <v>8.8810000000000002</v>
      </c>
      <c r="BE2124" s="46">
        <v>142.1</v>
      </c>
      <c r="BF2124" s="46">
        <v>0</v>
      </c>
      <c r="BH2124" s="46">
        <v>5168.8159999999998</v>
      </c>
      <c r="BI2124">
        <v>10.34</v>
      </c>
      <c r="BJ2124">
        <v>-5168.8159999999998</v>
      </c>
      <c r="BK2124">
        <v>-10.34</v>
      </c>
      <c r="BL2124">
        <v>12.6</v>
      </c>
    </row>
    <row r="2125" spans="1:64" x14ac:dyDescent="0.25">
      <c r="A2125" s="136">
        <v>43124</v>
      </c>
      <c r="B2125" s="201" t="s">
        <v>72</v>
      </c>
      <c r="C2125" t="s">
        <v>130</v>
      </c>
      <c r="D2125">
        <v>2000</v>
      </c>
      <c r="E2125">
        <v>2000</v>
      </c>
      <c r="F2125">
        <v>7.0270000000000001</v>
      </c>
      <c r="G2125">
        <v>26.43</v>
      </c>
      <c r="H2125">
        <v>0.19</v>
      </c>
      <c r="I2125" s="309">
        <v>14080</v>
      </c>
      <c r="J2125">
        <v>7.04</v>
      </c>
      <c r="K2125" s="133">
        <v>2.6163769289369001E-2</v>
      </c>
      <c r="L2125" s="181">
        <v>160.18</v>
      </c>
      <c r="M2125" s="133">
        <v>2.6114656475283899E-2</v>
      </c>
      <c r="N2125" s="73">
        <v>-195.28799999999401</v>
      </c>
      <c r="O2125" s="73">
        <v>3.75124843750265</v>
      </c>
      <c r="P2125" s="182">
        <v>0</v>
      </c>
      <c r="Q2125" s="182">
        <v>0</v>
      </c>
      <c r="R2125" s="46">
        <v>0</v>
      </c>
      <c r="S2125" s="46">
        <v>13</v>
      </c>
      <c r="T2125" s="46">
        <v>5400</v>
      </c>
      <c r="U2125" s="46">
        <v>8.0709999999999997</v>
      </c>
      <c r="V2125" s="46" t="s">
        <v>68</v>
      </c>
      <c r="W2125" s="46">
        <v>5400</v>
      </c>
      <c r="X2125" s="46">
        <v>8.0709999999999997</v>
      </c>
      <c r="Y2125" s="193">
        <v>7.0629999999999997</v>
      </c>
      <c r="Z2125" s="194">
        <v>7.032</v>
      </c>
      <c r="AA2125" s="194">
        <v>7.1159999999999997</v>
      </c>
      <c r="AB2125" s="46">
        <v>6.97</v>
      </c>
      <c r="AC2125" s="46">
        <v>7.06</v>
      </c>
      <c r="AD2125" s="46">
        <v>6.93</v>
      </c>
      <c r="AE2125" s="46">
        <v>7.04</v>
      </c>
      <c r="AF2125" s="46">
        <v>26</v>
      </c>
      <c r="AG2125" s="46">
        <v>13000</v>
      </c>
      <c r="AH2125" s="46">
        <v>102205</v>
      </c>
      <c r="AI2125" s="46">
        <v>7.8620000000000001</v>
      </c>
      <c r="AJ2125" s="46">
        <v>26</v>
      </c>
      <c r="AK2125" s="46">
        <v>12200</v>
      </c>
      <c r="AL2125" s="46">
        <v>45406.483</v>
      </c>
      <c r="AM2125" s="46">
        <v>3.722</v>
      </c>
      <c r="AN2125" s="46" t="s">
        <v>63</v>
      </c>
      <c r="AO2125" s="46">
        <v>800</v>
      </c>
      <c r="AP2125" s="46">
        <v>56798.517</v>
      </c>
      <c r="AQ2125" s="46">
        <v>70.998000000000005</v>
      </c>
      <c r="AR2125" s="46">
        <v>-50508</v>
      </c>
      <c r="AS2125" s="46">
        <v>26</v>
      </c>
      <c r="AT2125" s="46">
        <v>13000</v>
      </c>
      <c r="AU2125" s="46">
        <v>102205</v>
      </c>
      <c r="AV2125" s="46">
        <v>7.8620000000000001</v>
      </c>
      <c r="AW2125" s="46">
        <v>40</v>
      </c>
      <c r="AX2125" s="46">
        <v>18100</v>
      </c>
      <c r="AY2125" s="46">
        <v>88883.896999999997</v>
      </c>
      <c r="AZ2125" s="46">
        <v>4.9109999999999996</v>
      </c>
      <c r="BA2125" s="46" t="s">
        <v>69</v>
      </c>
      <c r="BB2125" s="46">
        <v>5100</v>
      </c>
      <c r="BC2125" s="46">
        <v>13321.102999999999</v>
      </c>
      <c r="BD2125" s="46">
        <v>2.6120000000000001</v>
      </c>
      <c r="BE2125" s="46">
        <v>-38363</v>
      </c>
      <c r="BF2125" s="46">
        <v>0</v>
      </c>
      <c r="BH2125" s="46">
        <v>43477.413999999997</v>
      </c>
      <c r="BI2125">
        <v>8.0500000000000007</v>
      </c>
      <c r="BJ2125">
        <v>-43477.413999999997</v>
      </c>
      <c r="BK2125">
        <v>-8.0500000000000007</v>
      </c>
      <c r="BL2125">
        <v>-7174.43</v>
      </c>
    </row>
    <row r="2126" spans="1:64" x14ac:dyDescent="0.25">
      <c r="A2126" s="136">
        <v>43124</v>
      </c>
      <c r="B2126" s="201" t="s">
        <v>70</v>
      </c>
      <c r="C2126" t="s">
        <v>131</v>
      </c>
      <c r="D2126">
        <v>10400</v>
      </c>
      <c r="E2126">
        <v>10400</v>
      </c>
      <c r="F2126">
        <v>12.188000000000001</v>
      </c>
      <c r="G2126">
        <v>-13085.26</v>
      </c>
      <c r="H2126">
        <v>-10.32</v>
      </c>
      <c r="I2126" s="309">
        <v>113672</v>
      </c>
      <c r="J2126">
        <v>10.93</v>
      </c>
      <c r="K2126" s="133">
        <v>0.211227839677639</v>
      </c>
      <c r="L2126" s="181">
        <v>312</v>
      </c>
      <c r="M2126" s="133">
        <v>0.235543160965381</v>
      </c>
      <c r="N2126" s="73">
        <v>-12772.254000000001</v>
      </c>
      <c r="O2126" s="73">
        <v>-1164.7689665145999</v>
      </c>
      <c r="P2126" s="182">
        <v>0</v>
      </c>
      <c r="Q2126" s="182">
        <v>0</v>
      </c>
      <c r="R2126" s="46">
        <v>0</v>
      </c>
      <c r="S2126" s="46">
        <v>4</v>
      </c>
      <c r="T2126" s="46">
        <v>1600</v>
      </c>
      <c r="U2126" s="46">
        <v>13.497999999999999</v>
      </c>
      <c r="V2126" s="46" t="s">
        <v>68</v>
      </c>
      <c r="W2126" s="46">
        <v>1600</v>
      </c>
      <c r="X2126" s="46">
        <v>13.497999999999999</v>
      </c>
      <c r="Y2126" s="194">
        <v>10.788</v>
      </c>
      <c r="Z2126" s="194">
        <v>12.081</v>
      </c>
      <c r="AA2126" s="194">
        <v>12.058999999999999</v>
      </c>
      <c r="AB2126" s="46">
        <v>10.86</v>
      </c>
      <c r="AC2126" s="46">
        <v>10.94</v>
      </c>
      <c r="AD2126" s="46">
        <v>10.79</v>
      </c>
      <c r="AE2126" s="46">
        <v>10.93</v>
      </c>
      <c r="AF2126" s="46">
        <v>126</v>
      </c>
      <c r="AG2126" s="46">
        <v>62600</v>
      </c>
      <c r="AH2126" s="46">
        <v>843048</v>
      </c>
      <c r="AI2126" s="46">
        <v>13.467000000000001</v>
      </c>
      <c r="AJ2126" s="46">
        <v>126</v>
      </c>
      <c r="AK2126" s="46">
        <v>50600</v>
      </c>
      <c r="AL2126" s="46">
        <v>694332.34199999995</v>
      </c>
      <c r="AM2126" s="46">
        <v>13.722</v>
      </c>
      <c r="AN2126" s="46" t="s">
        <v>63</v>
      </c>
      <c r="AO2126" s="46">
        <v>12000</v>
      </c>
      <c r="AP2126" s="46">
        <v>148715.658</v>
      </c>
      <c r="AQ2126" s="46">
        <v>12.393000000000001</v>
      </c>
      <c r="AR2126" s="46">
        <v>12903</v>
      </c>
      <c r="AS2126" s="46">
        <v>126</v>
      </c>
      <c r="AT2126" s="46">
        <v>62600</v>
      </c>
      <c r="AU2126" s="46">
        <v>843048</v>
      </c>
      <c r="AV2126" s="46">
        <v>13.467000000000001</v>
      </c>
      <c r="AW2126" s="46">
        <v>131</v>
      </c>
      <c r="AX2126" s="46">
        <v>52200</v>
      </c>
      <c r="AY2126" s="46">
        <v>716291.74600000004</v>
      </c>
      <c r="AZ2126" s="46">
        <v>13.722</v>
      </c>
      <c r="BA2126" s="46" t="s">
        <v>63</v>
      </c>
      <c r="BB2126" s="46">
        <v>10400</v>
      </c>
      <c r="BC2126" s="46">
        <v>126756.254</v>
      </c>
      <c r="BD2126" s="46">
        <v>12.188000000000001</v>
      </c>
      <c r="BE2126" s="46">
        <v>13311</v>
      </c>
      <c r="BF2126" s="46">
        <v>0</v>
      </c>
      <c r="BH2126" s="46">
        <v>21959.4039999999</v>
      </c>
      <c r="BI2126">
        <v>13.72</v>
      </c>
      <c r="BJ2126">
        <v>-21959.403999999999</v>
      </c>
      <c r="BK2126">
        <v>-13.72</v>
      </c>
      <c r="BL2126">
        <v>1180.51</v>
      </c>
    </row>
    <row r="2127" spans="1:64" x14ac:dyDescent="0.25">
      <c r="A2127" s="136">
        <v>43124</v>
      </c>
      <c r="B2127" s="201" t="s">
        <v>146</v>
      </c>
      <c r="C2127" t="s">
        <v>148</v>
      </c>
      <c r="D2127">
        <v>0</v>
      </c>
      <c r="E2127">
        <v>0</v>
      </c>
      <c r="F2127">
        <v>0</v>
      </c>
      <c r="G2127">
        <v>-4.04</v>
      </c>
      <c r="H2127">
        <v>0</v>
      </c>
      <c r="I2127" s="309">
        <v>0</v>
      </c>
      <c r="J2127">
        <v>99.802000000000007</v>
      </c>
      <c r="K2127" s="133">
        <v>0</v>
      </c>
      <c r="L2127" s="181">
        <v>75.959999999999994</v>
      </c>
      <c r="M2127" s="133">
        <v>0</v>
      </c>
    </row>
    <row r="2128" spans="1:64" x14ac:dyDescent="0.25">
      <c r="A2128" s="136">
        <v>43124</v>
      </c>
      <c r="B2128" s="201" t="s">
        <v>137</v>
      </c>
      <c r="C2128" t="s">
        <v>138</v>
      </c>
      <c r="D2128">
        <v>100</v>
      </c>
      <c r="E2128">
        <v>100</v>
      </c>
      <c r="F2128">
        <v>-130.48500000000001</v>
      </c>
      <c r="G2128">
        <v>16814.5</v>
      </c>
      <c r="H2128">
        <v>0</v>
      </c>
      <c r="I2128" s="309">
        <v>3766</v>
      </c>
      <c r="J2128">
        <v>37.659999999999997</v>
      </c>
      <c r="K2128" s="133">
        <v>6.9980649960059401E-3</v>
      </c>
      <c r="L2128" s="181">
        <v>52</v>
      </c>
      <c r="M2128" s="133">
        <v>0</v>
      </c>
    </row>
    <row r="2129" spans="1:64" x14ac:dyDescent="0.25">
      <c r="A2129" s="136">
        <v>43124</v>
      </c>
      <c r="B2129" s="201" t="s">
        <v>835</v>
      </c>
      <c r="C2129" t="s">
        <v>839</v>
      </c>
      <c r="I2129" s="309">
        <v>20000.990000000002</v>
      </c>
      <c r="K2129" s="133">
        <v>3.71662846533364E-2</v>
      </c>
      <c r="L2129" s="181">
        <v>0</v>
      </c>
      <c r="M2129" s="133">
        <v>0.294877126540253</v>
      </c>
    </row>
    <row r="2130" spans="1:64" x14ac:dyDescent="0.25">
      <c r="A2130" s="136">
        <v>43125</v>
      </c>
      <c r="B2130" s="201" t="s">
        <v>132</v>
      </c>
      <c r="C2130" t="s">
        <v>123</v>
      </c>
      <c r="D2130">
        <v>14263004</v>
      </c>
      <c r="E2130">
        <v>11869904</v>
      </c>
      <c r="F2130">
        <v>0.01</v>
      </c>
      <c r="G2130">
        <v>2869.6</v>
      </c>
      <c r="H2130">
        <v>0</v>
      </c>
      <c r="I2130" s="309">
        <v>142630.04</v>
      </c>
      <c r="J2130">
        <v>0.01</v>
      </c>
      <c r="K2130" s="133">
        <v>0.27604658359788697</v>
      </c>
      <c r="L2130" s="181">
        <v>12.27</v>
      </c>
      <c r="M2130" s="133">
        <v>0</v>
      </c>
    </row>
    <row r="2131" spans="1:64" x14ac:dyDescent="0.25">
      <c r="A2131" s="136">
        <v>43125</v>
      </c>
      <c r="B2131" s="201" t="s">
        <v>61</v>
      </c>
      <c r="C2131" t="s">
        <v>136</v>
      </c>
      <c r="D2131">
        <v>1800</v>
      </c>
      <c r="E2131">
        <v>1800</v>
      </c>
      <c r="F2131">
        <v>5.2809999999999997</v>
      </c>
      <c r="G2131">
        <v>196.21</v>
      </c>
      <c r="H2131">
        <v>2.06</v>
      </c>
      <c r="I2131" s="309">
        <v>9702</v>
      </c>
      <c r="J2131">
        <v>5.39</v>
      </c>
      <c r="K2131" s="133">
        <v>1.8777278293315301E-2</v>
      </c>
      <c r="L2131" s="181">
        <v>-36</v>
      </c>
      <c r="M2131" s="133">
        <v>1.83975329032997E-2</v>
      </c>
      <c r="N2131" s="73">
        <v>299.61499999999802</v>
      </c>
      <c r="O2131" s="73">
        <v>54.947741743118897</v>
      </c>
      <c r="P2131" s="182">
        <v>2</v>
      </c>
      <c r="Q2131" s="182">
        <v>1000</v>
      </c>
      <c r="R2131" s="46">
        <v>5.3849999999999998</v>
      </c>
      <c r="S2131" s="46">
        <v>0</v>
      </c>
      <c r="T2131" s="46">
        <v>0</v>
      </c>
      <c r="U2131" s="46">
        <v>0</v>
      </c>
      <c r="V2131" s="46" t="s">
        <v>62</v>
      </c>
      <c r="W2131" s="46">
        <v>1000</v>
      </c>
      <c r="X2131" s="46">
        <v>5.3849999999999998</v>
      </c>
      <c r="Y2131" s="194">
        <v>5.3559999999999999</v>
      </c>
      <c r="Z2131" s="194">
        <v>4.9379999999999997</v>
      </c>
      <c r="AA2131" s="194">
        <v>5.2089999999999996</v>
      </c>
      <c r="AB2131" s="46">
        <v>5.39</v>
      </c>
      <c r="AC2131" s="46">
        <v>5.42</v>
      </c>
      <c r="AD2131" s="46">
        <v>5.36</v>
      </c>
      <c r="AE2131" s="46">
        <v>5.39</v>
      </c>
      <c r="AF2131" s="46">
        <v>9</v>
      </c>
      <c r="AG2131" s="46">
        <v>4500</v>
      </c>
      <c r="AH2131" s="46">
        <v>23912.7</v>
      </c>
      <c r="AI2131" s="46">
        <v>5.3140000000000001</v>
      </c>
      <c r="AJ2131" s="46">
        <v>9</v>
      </c>
      <c r="AK2131" s="46">
        <v>3700</v>
      </c>
      <c r="AL2131" s="46">
        <v>19797.915000000001</v>
      </c>
      <c r="AM2131" s="46">
        <v>5.351</v>
      </c>
      <c r="AN2131" s="46" t="s">
        <v>63</v>
      </c>
      <c r="AO2131" s="46">
        <v>800</v>
      </c>
      <c r="AP2131" s="46">
        <v>4114.7849999999999</v>
      </c>
      <c r="AQ2131" s="46">
        <v>5.1429999999999998</v>
      </c>
      <c r="AR2131" s="46">
        <v>136.9</v>
      </c>
      <c r="AS2131" s="46">
        <v>11</v>
      </c>
      <c r="AT2131" s="46">
        <v>5500</v>
      </c>
      <c r="AU2131" s="46">
        <v>29308.3</v>
      </c>
      <c r="AV2131" s="46">
        <v>5.3289999999999997</v>
      </c>
      <c r="AW2131" s="46">
        <v>9</v>
      </c>
      <c r="AX2131" s="46">
        <v>3700</v>
      </c>
      <c r="AY2131" s="46">
        <v>19797.915000000001</v>
      </c>
      <c r="AZ2131" s="46">
        <v>5.351</v>
      </c>
      <c r="BA2131" s="46" t="s">
        <v>63</v>
      </c>
      <c r="BB2131" s="46">
        <v>1800</v>
      </c>
      <c r="BC2131" s="46">
        <v>9510.3850000000002</v>
      </c>
      <c r="BD2131" s="46">
        <v>5.2839999999999998</v>
      </c>
      <c r="BE2131" s="46">
        <v>81.400000000000006</v>
      </c>
      <c r="BF2131" s="46">
        <v>5395.6</v>
      </c>
      <c r="BG2131" s="46">
        <v>5.4</v>
      </c>
      <c r="BH2131" s="46">
        <v>0</v>
      </c>
      <c r="BJ2131">
        <v>5395.6</v>
      </c>
      <c r="BK2131">
        <v>5.4</v>
      </c>
      <c r="BL2131">
        <v>25.4</v>
      </c>
    </row>
    <row r="2132" spans="1:64" x14ac:dyDescent="0.25">
      <c r="A2132" s="136">
        <v>43125</v>
      </c>
      <c r="B2132" s="201" t="s">
        <v>124</v>
      </c>
      <c r="C2132" t="s">
        <v>125</v>
      </c>
      <c r="D2132">
        <v>100</v>
      </c>
      <c r="E2132">
        <v>100</v>
      </c>
      <c r="F2132">
        <v>-53.579000000000001</v>
      </c>
      <c r="G2132">
        <v>6092.9</v>
      </c>
      <c r="H2132">
        <v>0</v>
      </c>
      <c r="I2132" s="309">
        <v>735</v>
      </c>
      <c r="J2132">
        <v>7.35</v>
      </c>
      <c r="K2132" s="133">
        <v>1.42252108282692E-3</v>
      </c>
      <c r="L2132" s="181">
        <v>0</v>
      </c>
      <c r="M2132" s="133">
        <v>0</v>
      </c>
      <c r="Y2132" s="193">
        <v>7.9320000000000004</v>
      </c>
      <c r="Z2132" s="193">
        <v>5.5460000000000003</v>
      </c>
      <c r="AA2132" s="193">
        <v>6.0750000000000002</v>
      </c>
      <c r="AB2132" s="46">
        <v>7.33</v>
      </c>
      <c r="AC2132" s="46">
        <v>7.42</v>
      </c>
      <c r="AD2132" s="46">
        <v>7.13</v>
      </c>
      <c r="AE2132" s="46">
        <v>7.35</v>
      </c>
    </row>
    <row r="2133" spans="1:64" x14ac:dyDescent="0.25">
      <c r="A2133" s="136">
        <v>43125</v>
      </c>
      <c r="B2133" s="201" t="s">
        <v>71</v>
      </c>
      <c r="C2133" t="s">
        <v>126</v>
      </c>
      <c r="D2133">
        <v>100</v>
      </c>
      <c r="E2133">
        <v>100</v>
      </c>
      <c r="F2133">
        <v>-17.085999999999999</v>
      </c>
      <c r="G2133">
        <v>2434.6</v>
      </c>
      <c r="H2133">
        <v>0</v>
      </c>
      <c r="I2133" s="309">
        <v>726</v>
      </c>
      <c r="J2133">
        <v>7.26</v>
      </c>
      <c r="K2133" s="133">
        <v>1.4051024573229201E-3</v>
      </c>
      <c r="L2133" s="181">
        <v>-13</v>
      </c>
      <c r="M2133" s="133">
        <v>0</v>
      </c>
      <c r="N2133" s="73">
        <v>1703.3019999999999</v>
      </c>
      <c r="O2133" s="73">
        <v>341.114950423729</v>
      </c>
      <c r="P2133" s="182">
        <v>0</v>
      </c>
      <c r="Q2133" s="182">
        <v>0</v>
      </c>
      <c r="R2133" s="46">
        <v>0</v>
      </c>
      <c r="S2133" s="46">
        <v>7</v>
      </c>
      <c r="T2133" s="46">
        <v>2800</v>
      </c>
      <c r="U2133" s="46">
        <v>6.6749999999999998</v>
      </c>
      <c r="V2133" s="46" t="s">
        <v>68</v>
      </c>
      <c r="W2133" s="46">
        <v>2800</v>
      </c>
      <c r="X2133" s="46">
        <v>6.6749999999999998</v>
      </c>
      <c r="Y2133" s="194">
        <v>6.97</v>
      </c>
      <c r="Z2133" s="194">
        <v>6.1619999999999999</v>
      </c>
      <c r="AA2133" s="194">
        <v>6.6180000000000003</v>
      </c>
      <c r="AB2133" s="46">
        <v>7.3</v>
      </c>
      <c r="AC2133" s="46">
        <v>7.35</v>
      </c>
      <c r="AD2133" s="46">
        <v>7.13</v>
      </c>
      <c r="AE2133" s="46">
        <v>7.26</v>
      </c>
      <c r="AF2133" s="46">
        <v>41</v>
      </c>
      <c r="AG2133" s="46">
        <v>20600</v>
      </c>
      <c r="AH2133" s="46">
        <v>131323.35999999999</v>
      </c>
      <c r="AI2133" s="46">
        <v>6.375</v>
      </c>
      <c r="AJ2133" s="46">
        <v>39</v>
      </c>
      <c r="AK2133" s="46">
        <v>17700</v>
      </c>
      <c r="AL2133" s="46">
        <v>114228.83100000001</v>
      </c>
      <c r="AM2133" s="46">
        <v>6.4539999999999997</v>
      </c>
      <c r="AN2133" s="46" t="s">
        <v>63</v>
      </c>
      <c r="AO2133" s="46">
        <v>2900</v>
      </c>
      <c r="AP2133" s="46">
        <v>17094.528999999999</v>
      </c>
      <c r="AQ2133" s="46">
        <v>5.8949999999999996</v>
      </c>
      <c r="AR2133" s="46">
        <v>1398.3</v>
      </c>
      <c r="AS2133" s="46">
        <v>41</v>
      </c>
      <c r="AT2133" s="46">
        <v>20600</v>
      </c>
      <c r="AU2133" s="46">
        <v>131323.35999999999</v>
      </c>
      <c r="AV2133" s="46">
        <v>6.375</v>
      </c>
      <c r="AW2133" s="46">
        <v>46</v>
      </c>
      <c r="AX2133" s="46">
        <v>20500</v>
      </c>
      <c r="AY2133" s="46">
        <v>132870.462</v>
      </c>
      <c r="AZ2133" s="46">
        <v>6.4809999999999999</v>
      </c>
      <c r="BA2133" s="46" t="s">
        <v>63</v>
      </c>
      <c r="BB2133" s="46">
        <v>100</v>
      </c>
      <c r="BC2133" s="46">
        <v>1547.1020000000001</v>
      </c>
      <c r="BD2133" s="46">
        <v>15.471</v>
      </c>
      <c r="BE2133" s="46">
        <v>2173</v>
      </c>
      <c r="BF2133" s="46">
        <v>0</v>
      </c>
      <c r="BH2133" s="46">
        <v>18641.631000000001</v>
      </c>
      <c r="BI2133">
        <v>6.66</v>
      </c>
      <c r="BJ2133">
        <v>-15547.427</v>
      </c>
      <c r="BK2133">
        <v>-5.55</v>
      </c>
      <c r="BL2133">
        <v>192.6</v>
      </c>
    </row>
    <row r="2134" spans="1:64" x14ac:dyDescent="0.25">
      <c r="A2134" s="136">
        <v>43125</v>
      </c>
      <c r="B2134" s="201" t="s">
        <v>79</v>
      </c>
      <c r="C2134" t="s">
        <v>143</v>
      </c>
      <c r="D2134">
        <v>4400</v>
      </c>
      <c r="E2134">
        <v>4400</v>
      </c>
      <c r="F2134">
        <v>17.143000000000001</v>
      </c>
      <c r="G2134">
        <v>-7097.27</v>
      </c>
      <c r="H2134">
        <v>-9.41</v>
      </c>
      <c r="I2134" s="309">
        <v>68332</v>
      </c>
      <c r="J2134">
        <v>15.53</v>
      </c>
      <c r="K2134" s="133">
        <v>0.132249946437727</v>
      </c>
      <c r="L2134" s="181">
        <v>-264</v>
      </c>
      <c r="M2134" s="133">
        <v>0.14598602290781501</v>
      </c>
      <c r="N2134" s="73">
        <v>-6967.34800000004</v>
      </c>
      <c r="O2134" s="73">
        <v>-447.549121208229</v>
      </c>
      <c r="P2134" s="182">
        <v>7</v>
      </c>
      <c r="Q2134" s="182">
        <v>4000</v>
      </c>
      <c r="R2134" s="46">
        <v>16.783000000000001</v>
      </c>
      <c r="S2134" s="46">
        <v>0</v>
      </c>
      <c r="T2134" s="46">
        <v>0</v>
      </c>
      <c r="U2134" s="46">
        <v>0</v>
      </c>
      <c r="V2134" s="46" t="s">
        <v>62</v>
      </c>
      <c r="W2134" s="46">
        <v>4000</v>
      </c>
      <c r="X2134" s="46">
        <v>16.783000000000001</v>
      </c>
      <c r="Y2134" s="194">
        <v>15.507</v>
      </c>
      <c r="Z2134" s="194">
        <v>15.468999999999999</v>
      </c>
      <c r="AA2134" s="194">
        <v>15.481</v>
      </c>
      <c r="AB2134" s="46">
        <v>15.52</v>
      </c>
      <c r="AC2134" s="46">
        <v>15.68</v>
      </c>
      <c r="AD2134" s="46">
        <v>15.5</v>
      </c>
      <c r="AE2134" s="46">
        <v>15.53</v>
      </c>
      <c r="AF2134" s="46">
        <v>4</v>
      </c>
      <c r="AG2134" s="46">
        <v>2000</v>
      </c>
      <c r="AH2134" s="46">
        <v>33006.199999999997</v>
      </c>
      <c r="AI2134" s="46">
        <v>16.503</v>
      </c>
      <c r="AJ2134" s="46">
        <v>4</v>
      </c>
      <c r="AK2134" s="46">
        <v>1600</v>
      </c>
      <c r="AL2134" s="46">
        <v>24742.252</v>
      </c>
      <c r="AM2134" s="46">
        <v>15.464</v>
      </c>
      <c r="AN2134" s="46" t="s">
        <v>63</v>
      </c>
      <c r="AO2134" s="46">
        <v>400</v>
      </c>
      <c r="AP2134" s="46">
        <v>8263.9480000000003</v>
      </c>
      <c r="AQ2134" s="46">
        <v>20.66</v>
      </c>
      <c r="AR2134" s="46">
        <v>-1662.4</v>
      </c>
      <c r="AS2134" s="46">
        <v>11</v>
      </c>
      <c r="AT2134" s="46">
        <v>6000</v>
      </c>
      <c r="AU2134" s="46">
        <v>100173.6</v>
      </c>
      <c r="AV2134" s="46">
        <v>16.696000000000002</v>
      </c>
      <c r="AW2134" s="46">
        <v>4</v>
      </c>
      <c r="AX2134" s="46">
        <v>1600</v>
      </c>
      <c r="AY2134" s="46">
        <v>24742.252</v>
      </c>
      <c r="AZ2134" s="46">
        <v>15.464</v>
      </c>
      <c r="BA2134" s="46" t="s">
        <v>63</v>
      </c>
      <c r="BB2134" s="46">
        <v>4400</v>
      </c>
      <c r="BC2134" s="46">
        <v>75431.347999999998</v>
      </c>
      <c r="BD2134" s="46">
        <v>17.143000000000001</v>
      </c>
      <c r="BE2134" s="46">
        <v>-1971.2</v>
      </c>
      <c r="BF2134" s="46">
        <v>67167.399999999994</v>
      </c>
      <c r="BG2134" s="46">
        <v>16.79</v>
      </c>
      <c r="BH2134" s="46">
        <v>0</v>
      </c>
      <c r="BJ2134">
        <v>67167.399999999994</v>
      </c>
      <c r="BK2134">
        <v>16.79</v>
      </c>
      <c r="BL2134">
        <v>-107.04</v>
      </c>
    </row>
    <row r="2135" spans="1:64" x14ac:dyDescent="0.25">
      <c r="A2135" s="136">
        <v>43125</v>
      </c>
      <c r="B2135" s="201" t="s">
        <v>65</v>
      </c>
      <c r="C2135" t="s">
        <v>127</v>
      </c>
      <c r="D2135">
        <v>6500</v>
      </c>
      <c r="E2135">
        <v>5300</v>
      </c>
      <c r="F2135">
        <v>8.7040000000000006</v>
      </c>
      <c r="G2135">
        <v>20969.3</v>
      </c>
      <c r="H2135">
        <v>37.06</v>
      </c>
      <c r="I2135" s="309">
        <v>77545</v>
      </c>
      <c r="J2135">
        <v>11.93</v>
      </c>
      <c r="K2135" s="133">
        <v>0.150080812745324</v>
      </c>
      <c r="L2135" s="181">
        <v>-1629</v>
      </c>
      <c r="M2135" s="133">
        <v>0.10949677010298101</v>
      </c>
      <c r="N2135" s="73">
        <v>17271.886999999999</v>
      </c>
      <c r="O2135" s="73">
        <v>1792.2349234400899</v>
      </c>
      <c r="P2135" s="182">
        <v>0</v>
      </c>
      <c r="Q2135" s="182">
        <v>0</v>
      </c>
      <c r="R2135" s="46">
        <v>0</v>
      </c>
      <c r="S2135" s="46">
        <v>24</v>
      </c>
      <c r="T2135" s="46">
        <v>10900</v>
      </c>
      <c r="U2135" s="46">
        <v>12.401999999999999</v>
      </c>
      <c r="V2135" s="46" t="s">
        <v>68</v>
      </c>
      <c r="W2135" s="46">
        <v>10900</v>
      </c>
      <c r="X2135" s="46">
        <v>12.401999999999999</v>
      </c>
      <c r="Y2135" s="194">
        <v>11.945</v>
      </c>
      <c r="Z2135" s="194">
        <v>11.301</v>
      </c>
      <c r="AA2135" s="194">
        <v>11.714</v>
      </c>
      <c r="AB2135" s="46">
        <v>12.16</v>
      </c>
      <c r="AC2135" s="46">
        <v>12.17</v>
      </c>
      <c r="AD2135" s="46">
        <v>11.82</v>
      </c>
      <c r="AE2135" s="46">
        <v>11.93</v>
      </c>
      <c r="AF2135" s="46">
        <v>142</v>
      </c>
      <c r="AG2135" s="46">
        <v>78400</v>
      </c>
      <c r="AH2135" s="46">
        <v>916554.23100000003</v>
      </c>
      <c r="AI2135" s="46">
        <v>11.691000000000001</v>
      </c>
      <c r="AJ2135" s="46">
        <v>162</v>
      </c>
      <c r="AK2135" s="46">
        <v>70200</v>
      </c>
      <c r="AL2135" s="46">
        <v>724211.30299999996</v>
      </c>
      <c r="AM2135" s="46">
        <v>10.316000000000001</v>
      </c>
      <c r="AN2135" s="46" t="s">
        <v>63</v>
      </c>
      <c r="AO2135" s="46">
        <v>8200</v>
      </c>
      <c r="AP2135" s="46">
        <v>192342.92800000001</v>
      </c>
      <c r="AQ2135" s="46">
        <v>23.456</v>
      </c>
      <c r="AR2135" s="46">
        <v>-96525</v>
      </c>
      <c r="AS2135" s="46">
        <v>143</v>
      </c>
      <c r="AT2135" s="46">
        <v>78500</v>
      </c>
      <c r="AU2135" s="46">
        <v>917842.23100000003</v>
      </c>
      <c r="AV2135" s="46">
        <v>11.692</v>
      </c>
      <c r="AW2135" s="46">
        <v>186</v>
      </c>
      <c r="AX2135" s="46">
        <v>81100</v>
      </c>
      <c r="AY2135" s="46">
        <v>859143.11600000004</v>
      </c>
      <c r="AZ2135" s="46">
        <v>10.593999999999999</v>
      </c>
      <c r="BA2135" s="46" t="s">
        <v>69</v>
      </c>
      <c r="BB2135" s="46">
        <v>2600</v>
      </c>
      <c r="BC2135" s="46">
        <v>58699.114999999998</v>
      </c>
      <c r="BD2135" s="46">
        <v>22.577000000000002</v>
      </c>
      <c r="BE2135" s="46">
        <v>-86193</v>
      </c>
      <c r="BF2135" s="46">
        <v>1288</v>
      </c>
      <c r="BH2135" s="46">
        <v>134931.81299999999</v>
      </c>
      <c r="BI2135">
        <v>12.38</v>
      </c>
      <c r="BJ2135">
        <v>-133643.81299999999</v>
      </c>
      <c r="BK2135">
        <v>-12.26</v>
      </c>
      <c r="BL2135">
        <v>-8090.95</v>
      </c>
    </row>
    <row r="2136" spans="1:64" x14ac:dyDescent="0.25">
      <c r="A2136" s="136">
        <v>43125</v>
      </c>
      <c r="B2136" s="201" t="s">
        <v>77</v>
      </c>
      <c r="C2136" t="s">
        <v>128</v>
      </c>
      <c r="D2136">
        <v>4300</v>
      </c>
      <c r="E2136">
        <v>4300</v>
      </c>
      <c r="F2136">
        <v>5.9779999999999998</v>
      </c>
      <c r="G2136">
        <v>-595.27</v>
      </c>
      <c r="H2136">
        <v>-2.31</v>
      </c>
      <c r="I2136" s="309">
        <v>25112</v>
      </c>
      <c r="J2136">
        <v>5.84</v>
      </c>
      <c r="K2136" s="133">
        <v>4.8601835961836197E-2</v>
      </c>
      <c r="L2136" s="181">
        <v>0</v>
      </c>
      <c r="M2136" s="133">
        <v>4.9753923206699302E-2</v>
      </c>
      <c r="N2136" s="73">
        <v>-1272.2139999999999</v>
      </c>
      <c r="O2136" s="73">
        <v>-133.073774655173</v>
      </c>
      <c r="P2136" s="182">
        <v>6</v>
      </c>
      <c r="Q2136" s="182">
        <v>3000</v>
      </c>
      <c r="R2136" s="46">
        <v>6.798</v>
      </c>
      <c r="S2136" s="46">
        <v>0</v>
      </c>
      <c r="T2136" s="46">
        <v>0</v>
      </c>
      <c r="U2136" s="46">
        <v>0</v>
      </c>
      <c r="V2136" s="46" t="s">
        <v>62</v>
      </c>
      <c r="W2136" s="46">
        <v>3000</v>
      </c>
      <c r="X2136" s="46">
        <v>6.798</v>
      </c>
      <c r="AF2136" s="46">
        <v>39</v>
      </c>
      <c r="AG2136" s="46">
        <v>19500</v>
      </c>
      <c r="AH2136" s="46">
        <v>142169</v>
      </c>
      <c r="AI2136" s="46">
        <v>7.2910000000000004</v>
      </c>
      <c r="AJ2136" s="46">
        <v>39</v>
      </c>
      <c r="AK2136" s="46">
        <v>18200</v>
      </c>
      <c r="AL2136" s="46">
        <v>136881.78599999999</v>
      </c>
      <c r="AM2136" s="46">
        <v>7.5209999999999999</v>
      </c>
      <c r="AN2136" s="46" t="s">
        <v>63</v>
      </c>
      <c r="AO2136" s="46">
        <v>1300</v>
      </c>
      <c r="AP2136" s="46">
        <v>5287.2139999999999</v>
      </c>
      <c r="AQ2136" s="46">
        <v>4.0670000000000002</v>
      </c>
      <c r="AR2136" s="46">
        <v>4186</v>
      </c>
      <c r="AS2136" s="46">
        <v>45</v>
      </c>
      <c r="AT2136" s="46">
        <v>22500</v>
      </c>
      <c r="AU2136" s="46">
        <v>162594</v>
      </c>
      <c r="AV2136" s="46">
        <v>7.226</v>
      </c>
      <c r="AW2136" s="46">
        <v>39</v>
      </c>
      <c r="AX2136" s="46">
        <v>18200</v>
      </c>
      <c r="AY2136" s="46">
        <v>136881.78599999999</v>
      </c>
      <c r="AZ2136" s="46">
        <v>7.5209999999999999</v>
      </c>
      <c r="BA2136" s="46" t="s">
        <v>63</v>
      </c>
      <c r="BB2136" s="46">
        <v>4300</v>
      </c>
      <c r="BC2136" s="46">
        <v>25712.214</v>
      </c>
      <c r="BD2136" s="46">
        <v>5.98</v>
      </c>
      <c r="BE2136" s="46">
        <v>5369</v>
      </c>
      <c r="BF2136" s="46">
        <v>20425</v>
      </c>
      <c r="BG2136" s="46">
        <v>6.81</v>
      </c>
      <c r="BH2136" s="46">
        <v>0</v>
      </c>
      <c r="BJ2136">
        <v>20425</v>
      </c>
      <c r="BK2136">
        <v>6.81</v>
      </c>
      <c r="BL2136">
        <v>716.78</v>
      </c>
    </row>
    <row r="2137" spans="1:64" x14ac:dyDescent="0.25">
      <c r="A2137" s="136">
        <v>43125</v>
      </c>
      <c r="B2137" s="201" t="s">
        <v>67</v>
      </c>
      <c r="C2137" t="s">
        <v>129</v>
      </c>
      <c r="D2137">
        <v>7250</v>
      </c>
      <c r="E2137">
        <v>7250</v>
      </c>
      <c r="F2137">
        <v>8.625</v>
      </c>
      <c r="G2137">
        <v>-618.05999999999995</v>
      </c>
      <c r="H2137">
        <v>-0.98</v>
      </c>
      <c r="I2137" s="309">
        <v>61915</v>
      </c>
      <c r="J2137">
        <v>8.5399999999999991</v>
      </c>
      <c r="K2137" s="133">
        <v>0.119830466453372</v>
      </c>
      <c r="L2137" s="181">
        <v>176.55</v>
      </c>
      <c r="M2137" s="133">
        <v>0.121026661528817</v>
      </c>
      <c r="N2137" s="73">
        <v>-40.319000000236002</v>
      </c>
      <c r="O2137" s="73">
        <v>-4.6750395011874604</v>
      </c>
      <c r="P2137" s="182">
        <v>0</v>
      </c>
      <c r="Q2137" s="182">
        <v>0</v>
      </c>
      <c r="R2137" s="46">
        <v>0</v>
      </c>
      <c r="S2137" s="46">
        <v>24</v>
      </c>
      <c r="T2137" s="46">
        <v>10900</v>
      </c>
      <c r="U2137" s="46">
        <v>12.401999999999999</v>
      </c>
      <c r="V2137" s="46" t="s">
        <v>68</v>
      </c>
      <c r="W2137" s="46">
        <v>10900</v>
      </c>
      <c r="X2137" s="46">
        <v>12.401999999999999</v>
      </c>
      <c r="Y2137" s="193">
        <v>8.6280000000000001</v>
      </c>
      <c r="Z2137" s="194">
        <v>7.8339999999999996</v>
      </c>
      <c r="AA2137" s="194">
        <v>8.6769999999999996</v>
      </c>
      <c r="AB2137" s="46">
        <v>8.51</v>
      </c>
      <c r="AC2137" s="46">
        <v>8.64</v>
      </c>
      <c r="AD2137" s="46">
        <v>8.4600000000000009</v>
      </c>
      <c r="AE2137" s="46">
        <v>8.5399999999999991</v>
      </c>
      <c r="AF2137" s="46">
        <v>161</v>
      </c>
      <c r="AG2137" s="46">
        <v>80300</v>
      </c>
      <c r="AH2137" s="46">
        <v>664123</v>
      </c>
      <c r="AI2137" s="46">
        <v>8.2710000000000008</v>
      </c>
      <c r="AJ2137" s="46">
        <v>163</v>
      </c>
      <c r="AK2137" s="46">
        <v>75650</v>
      </c>
      <c r="AL2137" s="46">
        <v>670715.79700000002</v>
      </c>
      <c r="AM2137" s="46">
        <v>8.8659999999999997</v>
      </c>
      <c r="AN2137" s="46" t="s">
        <v>63</v>
      </c>
      <c r="AO2137" s="46">
        <v>4650</v>
      </c>
      <c r="AP2137" s="46">
        <v>6592.7969999999996</v>
      </c>
      <c r="AQ2137" s="46">
        <v>1.4179999999999999</v>
      </c>
      <c r="AR2137" s="46">
        <v>45011.75</v>
      </c>
      <c r="AS2137" s="46">
        <v>161</v>
      </c>
      <c r="AT2137" s="46">
        <v>80300</v>
      </c>
      <c r="AU2137" s="46">
        <v>664123</v>
      </c>
      <c r="AV2137" s="46">
        <v>8.2710000000000008</v>
      </c>
      <c r="AW2137" s="46">
        <v>163</v>
      </c>
      <c r="AX2137" s="46">
        <v>75650</v>
      </c>
      <c r="AY2137" s="46">
        <v>670715.79700000002</v>
      </c>
      <c r="AZ2137" s="46">
        <v>8.8659999999999997</v>
      </c>
      <c r="BA2137" s="46" t="s">
        <v>63</v>
      </c>
      <c r="BB2137" s="46">
        <v>4650</v>
      </c>
      <c r="BC2137" s="46">
        <v>6592.7969999999996</v>
      </c>
      <c r="BD2137" s="46">
        <v>1.4179999999999999</v>
      </c>
      <c r="BE2137" s="46">
        <v>45011.75</v>
      </c>
      <c r="BF2137" s="46">
        <v>0</v>
      </c>
      <c r="BH2137" s="46">
        <v>0</v>
      </c>
      <c r="BI2137">
        <v>0</v>
      </c>
      <c r="BJ2137">
        <v>0</v>
      </c>
      <c r="BK2137">
        <v>0</v>
      </c>
      <c r="BL2137">
        <v>5270.7</v>
      </c>
    </row>
    <row r="2138" spans="1:64" x14ac:dyDescent="0.25">
      <c r="A2138" s="136">
        <v>43125</v>
      </c>
      <c r="B2138" s="201" t="s">
        <v>78</v>
      </c>
      <c r="C2138" t="s">
        <v>142</v>
      </c>
      <c r="D2138">
        <v>100</v>
      </c>
      <c r="E2138">
        <v>100</v>
      </c>
      <c r="F2138">
        <v>8.8810000000000002</v>
      </c>
      <c r="G2138">
        <v>142.87</v>
      </c>
      <c r="H2138">
        <v>16.09</v>
      </c>
      <c r="I2138" s="309">
        <v>1031</v>
      </c>
      <c r="J2138">
        <v>10.31</v>
      </c>
      <c r="K2138" s="133">
        <v>1.9954003216252399E-3</v>
      </c>
      <c r="L2138" s="181">
        <v>-17</v>
      </c>
      <c r="M2138" s="133">
        <v>1.71888931876336E-3</v>
      </c>
      <c r="N2138" s="73">
        <v>171.86799999999999</v>
      </c>
      <c r="O2138" s="73">
        <v>16.205855283018799</v>
      </c>
      <c r="P2138" s="182">
        <v>0</v>
      </c>
      <c r="Q2138" s="182">
        <v>0</v>
      </c>
      <c r="R2138" s="46">
        <v>0</v>
      </c>
      <c r="S2138" s="46">
        <v>2</v>
      </c>
      <c r="T2138" s="46">
        <v>500</v>
      </c>
      <c r="U2138" s="46">
        <v>10.368</v>
      </c>
      <c r="V2138" s="46" t="s">
        <v>68</v>
      </c>
      <c r="W2138" s="46">
        <v>500</v>
      </c>
      <c r="X2138" s="46">
        <v>10.368</v>
      </c>
      <c r="Y2138" s="194">
        <v>10.32</v>
      </c>
      <c r="Z2138" s="194">
        <v>10.766999999999999</v>
      </c>
      <c r="AA2138" s="194">
        <v>10.651999999999999</v>
      </c>
      <c r="AB2138" s="46">
        <v>10.35</v>
      </c>
      <c r="AC2138" s="46">
        <v>10.5</v>
      </c>
      <c r="AD2138" s="46">
        <v>10.29</v>
      </c>
      <c r="AE2138" s="46">
        <v>10.31</v>
      </c>
      <c r="AF2138" s="46">
        <v>6</v>
      </c>
      <c r="AG2138" s="46">
        <v>3000</v>
      </c>
      <c r="AH2138" s="46">
        <v>30950</v>
      </c>
      <c r="AI2138" s="46">
        <v>10.317</v>
      </c>
      <c r="AJ2138" s="46">
        <v>6</v>
      </c>
      <c r="AK2138" s="46">
        <v>2400</v>
      </c>
      <c r="AL2138" s="46">
        <v>24893.052</v>
      </c>
      <c r="AM2138" s="46">
        <v>10.372</v>
      </c>
      <c r="AN2138" s="46" t="s">
        <v>63</v>
      </c>
      <c r="AO2138" s="46">
        <v>600</v>
      </c>
      <c r="AP2138" s="46">
        <v>6056.9480000000003</v>
      </c>
      <c r="AQ2138" s="46">
        <v>10.095000000000001</v>
      </c>
      <c r="AR2138" s="46">
        <v>132</v>
      </c>
      <c r="AS2138" s="46">
        <v>6</v>
      </c>
      <c r="AT2138" s="46">
        <v>3000</v>
      </c>
      <c r="AU2138" s="46">
        <v>30950</v>
      </c>
      <c r="AV2138" s="46">
        <v>10.317</v>
      </c>
      <c r="AW2138" s="46">
        <v>8</v>
      </c>
      <c r="AX2138" s="46">
        <v>2900</v>
      </c>
      <c r="AY2138" s="46">
        <v>30061.867999999999</v>
      </c>
      <c r="AZ2138" s="46">
        <v>10.366</v>
      </c>
      <c r="BA2138" s="46" t="s">
        <v>63</v>
      </c>
      <c r="BB2138" s="46">
        <v>100</v>
      </c>
      <c r="BC2138" s="46">
        <v>888.13199999999995</v>
      </c>
      <c r="BD2138" s="46">
        <v>8.8810000000000002</v>
      </c>
      <c r="BE2138" s="46">
        <v>142.1</v>
      </c>
      <c r="BF2138" s="46">
        <v>0</v>
      </c>
      <c r="BH2138" s="46">
        <v>5168.8159999999998</v>
      </c>
      <c r="BI2138">
        <v>10.34</v>
      </c>
      <c r="BJ2138">
        <v>-5168.8159999999998</v>
      </c>
      <c r="BK2138">
        <v>-10.34</v>
      </c>
      <c r="BL2138">
        <v>12.8</v>
      </c>
    </row>
    <row r="2139" spans="1:64" x14ac:dyDescent="0.25">
      <c r="A2139" s="136">
        <v>43125</v>
      </c>
      <c r="B2139" s="201" t="s">
        <v>72</v>
      </c>
      <c r="C2139" t="s">
        <v>130</v>
      </c>
      <c r="D2139">
        <v>1600</v>
      </c>
      <c r="E2139">
        <v>1600</v>
      </c>
      <c r="F2139">
        <v>6.9909999999999997</v>
      </c>
      <c r="G2139">
        <v>286.55</v>
      </c>
      <c r="H2139">
        <v>2.56</v>
      </c>
      <c r="I2139" s="309">
        <v>11472</v>
      </c>
      <c r="J2139">
        <v>7.17</v>
      </c>
      <c r="K2139" s="133">
        <v>2.2202941309102601E-2</v>
      </c>
      <c r="L2139" s="181">
        <v>260.12</v>
      </c>
      <c r="M2139" s="133">
        <v>2.1648351627083499E-2</v>
      </c>
      <c r="N2139" s="73">
        <v>96.836000000005697</v>
      </c>
      <c r="O2139" s="73">
        <v>44.281881363006697</v>
      </c>
      <c r="P2139" s="182">
        <v>0</v>
      </c>
      <c r="Q2139" s="182">
        <v>0</v>
      </c>
      <c r="R2139" s="46">
        <v>0</v>
      </c>
      <c r="S2139" s="46">
        <v>14</v>
      </c>
      <c r="T2139" s="46">
        <v>5800</v>
      </c>
      <c r="U2139" s="46">
        <v>8.0109999999999992</v>
      </c>
      <c r="V2139" s="46" t="s">
        <v>68</v>
      </c>
      <c r="W2139" s="46">
        <v>5800</v>
      </c>
      <c r="X2139" s="46">
        <v>8.0109999999999992</v>
      </c>
      <c r="Y2139" s="193">
        <v>7.1760000000000002</v>
      </c>
      <c r="Z2139" s="194">
        <v>7.0289999999999999</v>
      </c>
      <c r="AA2139" s="194">
        <v>7.1159999999999997</v>
      </c>
      <c r="AB2139" s="46">
        <v>7.09</v>
      </c>
      <c r="AC2139" s="46">
        <v>7.23</v>
      </c>
      <c r="AD2139" s="46">
        <v>7.06</v>
      </c>
      <c r="AE2139" s="46">
        <v>7.17</v>
      </c>
      <c r="AF2139" s="46">
        <v>26</v>
      </c>
      <c r="AG2139" s="46">
        <v>13000</v>
      </c>
      <c r="AH2139" s="46">
        <v>102205</v>
      </c>
      <c r="AI2139" s="46">
        <v>7.8620000000000001</v>
      </c>
      <c r="AJ2139" s="46">
        <v>26</v>
      </c>
      <c r="AK2139" s="46">
        <v>12200</v>
      </c>
      <c r="AL2139" s="46">
        <v>45406.483</v>
      </c>
      <c r="AM2139" s="46">
        <v>3.722</v>
      </c>
      <c r="AN2139" s="46" t="s">
        <v>63</v>
      </c>
      <c r="AO2139" s="46">
        <v>800</v>
      </c>
      <c r="AP2139" s="46">
        <v>56798.517</v>
      </c>
      <c r="AQ2139" s="46">
        <v>70.998000000000005</v>
      </c>
      <c r="AR2139" s="46">
        <v>-50508</v>
      </c>
      <c r="AS2139" s="46">
        <v>26</v>
      </c>
      <c r="AT2139" s="46">
        <v>13000</v>
      </c>
      <c r="AU2139" s="46">
        <v>102205</v>
      </c>
      <c r="AV2139" s="46">
        <v>7.8620000000000001</v>
      </c>
      <c r="AW2139" s="46">
        <v>41</v>
      </c>
      <c r="AX2139" s="46">
        <v>18500</v>
      </c>
      <c r="AY2139" s="46">
        <v>91752.020999999993</v>
      </c>
      <c r="AZ2139" s="46">
        <v>4.96</v>
      </c>
      <c r="BA2139" s="46" t="s">
        <v>69</v>
      </c>
      <c r="BB2139" s="46">
        <v>5500</v>
      </c>
      <c r="BC2139" s="46">
        <v>10452.978999999999</v>
      </c>
      <c r="BD2139" s="46">
        <v>1.901</v>
      </c>
      <c r="BE2139" s="46">
        <v>-37726</v>
      </c>
      <c r="BF2139" s="46">
        <v>0</v>
      </c>
      <c r="BH2139" s="46">
        <v>46345.538</v>
      </c>
      <c r="BI2139">
        <v>7.99</v>
      </c>
      <c r="BJ2139">
        <v>-46345.538</v>
      </c>
      <c r="BK2139">
        <v>-7.99</v>
      </c>
      <c r="BL2139">
        <v>-7044.35</v>
      </c>
    </row>
    <row r="2140" spans="1:64" x14ac:dyDescent="0.25">
      <c r="A2140" s="136">
        <v>43125</v>
      </c>
      <c r="B2140" s="201" t="s">
        <v>70</v>
      </c>
      <c r="C2140" t="s">
        <v>131</v>
      </c>
      <c r="D2140">
        <v>10000</v>
      </c>
      <c r="E2140">
        <v>10000</v>
      </c>
      <c r="F2140">
        <v>12.237</v>
      </c>
      <c r="G2140">
        <v>-12966.66</v>
      </c>
      <c r="H2140">
        <v>-10.6</v>
      </c>
      <c r="I2140" s="309">
        <v>109400</v>
      </c>
      <c r="J2140">
        <v>10.94</v>
      </c>
      <c r="K2140" s="133">
        <v>0.21173307001532601</v>
      </c>
      <c r="L2140" s="181">
        <v>118.6</v>
      </c>
      <c r="M2140" s="133">
        <v>0.236828780523964</v>
      </c>
      <c r="N2140" s="73">
        <v>-12365.654</v>
      </c>
      <c r="O2140" s="73">
        <v>-1123.5882884545499</v>
      </c>
      <c r="P2140" s="182">
        <v>0</v>
      </c>
      <c r="Q2140" s="182">
        <v>0</v>
      </c>
      <c r="R2140" s="46">
        <v>0</v>
      </c>
      <c r="S2140" s="46">
        <v>5</v>
      </c>
      <c r="T2140" s="46">
        <v>2000</v>
      </c>
      <c r="U2140" s="46">
        <v>12.997999999999999</v>
      </c>
      <c r="V2140" s="46" t="s">
        <v>68</v>
      </c>
      <c r="W2140" s="46">
        <v>2000</v>
      </c>
      <c r="X2140" s="46">
        <v>12.997999999999999</v>
      </c>
      <c r="Y2140" s="193">
        <v>10.991</v>
      </c>
      <c r="Z2140" s="194">
        <v>12.095000000000001</v>
      </c>
      <c r="AA2140" s="194">
        <v>12.05</v>
      </c>
      <c r="AB2140" s="46">
        <v>10.92</v>
      </c>
      <c r="AC2140" s="46">
        <v>11.03</v>
      </c>
      <c r="AD2140" s="46">
        <v>10.89</v>
      </c>
      <c r="AE2140" s="46">
        <v>10.94</v>
      </c>
      <c r="AF2140" s="46">
        <v>126</v>
      </c>
      <c r="AG2140" s="46">
        <v>62600</v>
      </c>
      <c r="AH2140" s="46">
        <v>843048</v>
      </c>
      <c r="AI2140" s="46">
        <v>13.467000000000001</v>
      </c>
      <c r="AJ2140" s="46">
        <v>126</v>
      </c>
      <c r="AK2140" s="46">
        <v>50600</v>
      </c>
      <c r="AL2140" s="46">
        <v>694332.34199999995</v>
      </c>
      <c r="AM2140" s="46">
        <v>13.722</v>
      </c>
      <c r="AN2140" s="46" t="s">
        <v>63</v>
      </c>
      <c r="AO2140" s="46">
        <v>12000</v>
      </c>
      <c r="AP2140" s="46">
        <v>148715.658</v>
      </c>
      <c r="AQ2140" s="46">
        <v>12.393000000000001</v>
      </c>
      <c r="AR2140" s="46">
        <v>12903</v>
      </c>
      <c r="AS2140" s="46">
        <v>126</v>
      </c>
      <c r="AT2140" s="46">
        <v>62600</v>
      </c>
      <c r="AU2140" s="46">
        <v>843048</v>
      </c>
      <c r="AV2140" s="46">
        <v>13.467000000000001</v>
      </c>
      <c r="AW2140" s="46">
        <v>132</v>
      </c>
      <c r="AX2140" s="46">
        <v>52600</v>
      </c>
      <c r="AY2140" s="46">
        <v>720682.34600000002</v>
      </c>
      <c r="AZ2140" s="46">
        <v>13.701000000000001</v>
      </c>
      <c r="BA2140" s="46" t="s">
        <v>63</v>
      </c>
      <c r="BB2140" s="46">
        <v>10000</v>
      </c>
      <c r="BC2140" s="46">
        <v>122365.65399999999</v>
      </c>
      <c r="BD2140" s="46">
        <v>12.237</v>
      </c>
      <c r="BE2140" s="46">
        <v>12308.4</v>
      </c>
      <c r="BF2140" s="46">
        <v>0</v>
      </c>
      <c r="BH2140" s="46">
        <v>26350.003999999801</v>
      </c>
      <c r="BI2140">
        <v>13.18</v>
      </c>
      <c r="BJ2140">
        <v>-26350.004000000001</v>
      </c>
      <c r="BK2140">
        <v>-13.18</v>
      </c>
      <c r="BL2140">
        <v>1179.43</v>
      </c>
    </row>
    <row r="2141" spans="1:64" x14ac:dyDescent="0.25">
      <c r="A2141" s="136">
        <v>43125</v>
      </c>
      <c r="B2141" s="201" t="s">
        <v>137</v>
      </c>
      <c r="C2141" t="s">
        <v>138</v>
      </c>
      <c r="D2141">
        <v>100</v>
      </c>
      <c r="E2141">
        <v>100</v>
      </c>
      <c r="F2141">
        <v>-130.48500000000001</v>
      </c>
      <c r="G2141">
        <v>16745.5</v>
      </c>
      <c r="H2141">
        <v>0</v>
      </c>
      <c r="I2141" s="309">
        <v>3697</v>
      </c>
      <c r="J2141">
        <v>36.97</v>
      </c>
      <c r="K2141" s="133">
        <v>7.1551842764777098E-3</v>
      </c>
      <c r="L2141" s="181">
        <v>-69</v>
      </c>
      <c r="M2141" s="133">
        <v>0</v>
      </c>
    </row>
    <row r="2142" spans="1:64" x14ac:dyDescent="0.25">
      <c r="A2142" s="136">
        <v>43125</v>
      </c>
      <c r="B2142" s="201" t="s">
        <v>835</v>
      </c>
      <c r="C2142" t="s">
        <v>839</v>
      </c>
      <c r="I2142" s="309">
        <v>4391.26</v>
      </c>
      <c r="K2142" s="133">
        <v>8.4988570478565107E-3</v>
      </c>
      <c r="L2142" s="181">
        <v>0</v>
      </c>
      <c r="M2142" s="133">
        <v>0.284545440645743</v>
      </c>
    </row>
    <row r="2143" spans="1:64" x14ac:dyDescent="0.25">
      <c r="A2143" s="136">
        <v>43126</v>
      </c>
      <c r="B2143" s="201" t="s">
        <v>132</v>
      </c>
      <c r="C2143" t="s">
        <v>123</v>
      </c>
      <c r="D2143">
        <v>14264290</v>
      </c>
      <c r="E2143">
        <v>14264290</v>
      </c>
      <c r="F2143">
        <v>0.01</v>
      </c>
      <c r="G2143">
        <v>2882.46</v>
      </c>
      <c r="H2143">
        <v>0</v>
      </c>
      <c r="I2143" s="309">
        <v>142642.9</v>
      </c>
      <c r="J2143">
        <v>0.01</v>
      </c>
      <c r="K2143" s="133">
        <v>0.27435534584390597</v>
      </c>
      <c r="L2143" s="181">
        <v>12.860000000000101</v>
      </c>
      <c r="M2143" s="133">
        <v>0</v>
      </c>
    </row>
    <row r="2144" spans="1:64" x14ac:dyDescent="0.25">
      <c r="A2144" s="136">
        <v>43126</v>
      </c>
      <c r="B2144" s="201" t="s">
        <v>61</v>
      </c>
      <c r="C2144" t="s">
        <v>136</v>
      </c>
      <c r="D2144">
        <v>1800</v>
      </c>
      <c r="E2144">
        <v>1800</v>
      </c>
      <c r="F2144">
        <v>5.2809999999999997</v>
      </c>
      <c r="G2144">
        <v>214.21</v>
      </c>
      <c r="H2144">
        <v>2.25</v>
      </c>
      <c r="I2144" s="309">
        <v>9720</v>
      </c>
      <c r="J2144">
        <v>5.4</v>
      </c>
      <c r="K2144" s="133">
        <v>1.8695174884994399E-2</v>
      </c>
      <c r="L2144" s="181">
        <v>18</v>
      </c>
      <c r="M2144" s="133">
        <v>1.82831693899209E-2</v>
      </c>
      <c r="N2144" s="73">
        <v>299.61499999999802</v>
      </c>
      <c r="O2144" s="73">
        <v>54.947741743118897</v>
      </c>
      <c r="P2144" s="182">
        <v>2</v>
      </c>
      <c r="Q2144" s="182">
        <v>1000</v>
      </c>
      <c r="R2144" s="46">
        <v>5.3849999999999998</v>
      </c>
      <c r="S2144" s="46">
        <v>0</v>
      </c>
      <c r="T2144" s="46">
        <v>0</v>
      </c>
      <c r="U2144" s="46">
        <v>0</v>
      </c>
      <c r="V2144" s="46" t="s">
        <v>62</v>
      </c>
      <c r="W2144" s="46">
        <v>1000</v>
      </c>
      <c r="X2144" s="46">
        <v>5.3849999999999998</v>
      </c>
      <c r="Y2144" s="193">
        <v>5.7229999999999999</v>
      </c>
      <c r="Z2144" s="194">
        <v>4.93</v>
      </c>
      <c r="AA2144" s="194">
        <v>5.2140000000000004</v>
      </c>
      <c r="AB2144" s="46">
        <v>5.39</v>
      </c>
      <c r="AC2144" s="46">
        <v>5.41</v>
      </c>
      <c r="AD2144" s="46">
        <v>5.37</v>
      </c>
      <c r="AE2144" s="46">
        <v>5.4</v>
      </c>
      <c r="AF2144" s="46">
        <v>9</v>
      </c>
      <c r="AG2144" s="46">
        <v>4500</v>
      </c>
      <c r="AH2144" s="46">
        <v>23912.7</v>
      </c>
      <c r="AI2144" s="46">
        <v>5.3140000000000001</v>
      </c>
      <c r="AJ2144" s="46">
        <v>9</v>
      </c>
      <c r="AK2144" s="46">
        <v>3700</v>
      </c>
      <c r="AL2144" s="46">
        <v>19797.915000000001</v>
      </c>
      <c r="AM2144" s="46">
        <v>5.351</v>
      </c>
      <c r="AN2144" s="46" t="s">
        <v>63</v>
      </c>
      <c r="AO2144" s="46">
        <v>800</v>
      </c>
      <c r="AP2144" s="46">
        <v>4114.7849999999999</v>
      </c>
      <c r="AQ2144" s="46">
        <v>5.1429999999999998</v>
      </c>
      <c r="AR2144" s="46">
        <v>136.9</v>
      </c>
      <c r="AS2144" s="46">
        <v>11</v>
      </c>
      <c r="AT2144" s="46">
        <v>5500</v>
      </c>
      <c r="AU2144" s="46">
        <v>29308.3</v>
      </c>
      <c r="AV2144" s="46">
        <v>5.3289999999999997</v>
      </c>
      <c r="AW2144" s="46">
        <v>9</v>
      </c>
      <c r="AX2144" s="46">
        <v>3700</v>
      </c>
      <c r="AY2144" s="46">
        <v>19797.915000000001</v>
      </c>
      <c r="AZ2144" s="46">
        <v>5.351</v>
      </c>
      <c r="BA2144" s="46" t="s">
        <v>63</v>
      </c>
      <c r="BB2144" s="46">
        <v>1800</v>
      </c>
      <c r="BC2144" s="46">
        <v>9510.3850000000002</v>
      </c>
      <c r="BD2144" s="46">
        <v>5.2839999999999998</v>
      </c>
      <c r="BE2144" s="46">
        <v>81.400000000000006</v>
      </c>
      <c r="BF2144" s="46">
        <v>5395.6</v>
      </c>
      <c r="BG2144" s="46">
        <v>5.4</v>
      </c>
      <c r="BH2144" s="46">
        <v>0</v>
      </c>
      <c r="BJ2144">
        <v>5395.6</v>
      </c>
      <c r="BK2144">
        <v>5.4</v>
      </c>
      <c r="BL2144">
        <v>25.35</v>
      </c>
    </row>
    <row r="2145" spans="1:64" x14ac:dyDescent="0.25">
      <c r="A2145" s="136">
        <v>43126</v>
      </c>
      <c r="B2145" s="201" t="s">
        <v>124</v>
      </c>
      <c r="C2145" t="s">
        <v>125</v>
      </c>
      <c r="D2145">
        <v>100</v>
      </c>
      <c r="E2145">
        <v>100</v>
      </c>
      <c r="F2145">
        <v>-53.579000000000001</v>
      </c>
      <c r="G2145">
        <v>6099.9</v>
      </c>
      <c r="H2145">
        <v>0</v>
      </c>
      <c r="I2145" s="309">
        <v>742</v>
      </c>
      <c r="J2145">
        <v>7.42</v>
      </c>
      <c r="K2145" s="133">
        <v>1.4271419510973099E-3</v>
      </c>
      <c r="L2145" s="181">
        <v>7</v>
      </c>
      <c r="M2145" s="133">
        <v>0</v>
      </c>
      <c r="Y2145" s="193">
        <v>7.5010000000000003</v>
      </c>
      <c r="Z2145" s="193">
        <v>5.6420000000000003</v>
      </c>
      <c r="AA2145" s="193">
        <v>6.0940000000000003</v>
      </c>
      <c r="AB2145" s="46">
        <v>7.29</v>
      </c>
      <c r="AC2145" s="46">
        <v>7.55</v>
      </c>
      <c r="AD2145" s="46">
        <v>7.27</v>
      </c>
      <c r="AE2145" s="46">
        <v>7.42</v>
      </c>
    </row>
    <row r="2146" spans="1:64" x14ac:dyDescent="0.25">
      <c r="A2146" s="136">
        <v>43126</v>
      </c>
      <c r="B2146" s="201" t="s">
        <v>71</v>
      </c>
      <c r="C2146" t="s">
        <v>126</v>
      </c>
      <c r="D2146">
        <v>100</v>
      </c>
      <c r="E2146">
        <v>100</v>
      </c>
      <c r="F2146">
        <v>-17.085999999999999</v>
      </c>
      <c r="G2146">
        <v>2446.6</v>
      </c>
      <c r="H2146">
        <v>0</v>
      </c>
      <c r="I2146" s="309">
        <v>738</v>
      </c>
      <c r="J2146">
        <v>7.38</v>
      </c>
      <c r="K2146" s="133">
        <v>1.41944846349031E-3</v>
      </c>
      <c r="L2146" s="181">
        <v>12</v>
      </c>
      <c r="M2146" s="133">
        <v>0</v>
      </c>
      <c r="N2146" s="73">
        <v>1703.3019999999999</v>
      </c>
      <c r="O2146" s="73">
        <v>341.114950423729</v>
      </c>
      <c r="P2146" s="182">
        <v>0</v>
      </c>
      <c r="Q2146" s="182">
        <v>0</v>
      </c>
      <c r="R2146" s="46">
        <v>0</v>
      </c>
      <c r="S2146" s="46">
        <v>7</v>
      </c>
      <c r="T2146" s="46">
        <v>2800</v>
      </c>
      <c r="U2146" s="46">
        <v>6.6749999999999998</v>
      </c>
      <c r="V2146" s="46" t="s">
        <v>68</v>
      </c>
      <c r="W2146" s="46">
        <v>2800</v>
      </c>
      <c r="X2146" s="46">
        <v>6.6749999999999998</v>
      </c>
      <c r="Y2146" s="193">
        <v>7.3760000000000003</v>
      </c>
      <c r="Z2146" s="194">
        <v>6.1109999999999998</v>
      </c>
      <c r="AA2146" s="194">
        <v>6.6260000000000003</v>
      </c>
      <c r="AB2146" s="46">
        <v>7.2</v>
      </c>
      <c r="AC2146" s="46">
        <v>7.44</v>
      </c>
      <c r="AD2146" s="46">
        <v>7.15</v>
      </c>
      <c r="AE2146" s="46">
        <v>7.38</v>
      </c>
      <c r="AF2146" s="46">
        <v>41</v>
      </c>
      <c r="AG2146" s="46">
        <v>20600</v>
      </c>
      <c r="AH2146" s="46">
        <v>131323.35999999999</v>
      </c>
      <c r="AI2146" s="46">
        <v>6.375</v>
      </c>
      <c r="AJ2146" s="46">
        <v>39</v>
      </c>
      <c r="AK2146" s="46">
        <v>17700</v>
      </c>
      <c r="AL2146" s="46">
        <v>114228.83100000001</v>
      </c>
      <c r="AM2146" s="46">
        <v>6.4539999999999997</v>
      </c>
      <c r="AN2146" s="46" t="s">
        <v>63</v>
      </c>
      <c r="AO2146" s="46">
        <v>2900</v>
      </c>
      <c r="AP2146" s="46">
        <v>17094.528999999999</v>
      </c>
      <c r="AQ2146" s="46">
        <v>5.8949999999999996</v>
      </c>
      <c r="AR2146" s="46">
        <v>1398.3</v>
      </c>
      <c r="AS2146" s="46">
        <v>41</v>
      </c>
      <c r="AT2146" s="46">
        <v>20600</v>
      </c>
      <c r="AU2146" s="46">
        <v>131323.35999999999</v>
      </c>
      <c r="AV2146" s="46">
        <v>6.375</v>
      </c>
      <c r="AW2146" s="46">
        <v>46</v>
      </c>
      <c r="AX2146" s="46">
        <v>20500</v>
      </c>
      <c r="AY2146" s="46">
        <v>132870.462</v>
      </c>
      <c r="AZ2146" s="46">
        <v>6.4809999999999999</v>
      </c>
      <c r="BA2146" s="46" t="s">
        <v>63</v>
      </c>
      <c r="BB2146" s="46">
        <v>100</v>
      </c>
      <c r="BC2146" s="46">
        <v>1547.1020000000001</v>
      </c>
      <c r="BD2146" s="46">
        <v>15.471</v>
      </c>
      <c r="BE2146" s="46">
        <v>2173</v>
      </c>
      <c r="BF2146" s="46">
        <v>0</v>
      </c>
      <c r="BH2146" s="46">
        <v>18641.631000000001</v>
      </c>
      <c r="BI2146">
        <v>6.66</v>
      </c>
      <c r="BJ2146">
        <v>-15547.427</v>
      </c>
      <c r="BK2146">
        <v>-5.55</v>
      </c>
      <c r="BL2146">
        <v>189.47</v>
      </c>
    </row>
    <row r="2147" spans="1:64" x14ac:dyDescent="0.25">
      <c r="A2147" s="136">
        <v>43126</v>
      </c>
      <c r="B2147" s="201" t="s">
        <v>79</v>
      </c>
      <c r="C2147" t="s">
        <v>143</v>
      </c>
      <c r="D2147">
        <v>4400</v>
      </c>
      <c r="E2147">
        <v>4400</v>
      </c>
      <c r="F2147">
        <v>17.143000000000001</v>
      </c>
      <c r="G2147">
        <v>-7185.27</v>
      </c>
      <c r="H2147">
        <v>-9.52</v>
      </c>
      <c r="I2147" s="309">
        <v>68244</v>
      </c>
      <c r="J2147">
        <v>15.51</v>
      </c>
      <c r="K2147" s="133">
        <v>0.13125859206291701</v>
      </c>
      <c r="L2147" s="181">
        <v>-88</v>
      </c>
      <c r="M2147" s="133">
        <v>0.14507853848739299</v>
      </c>
      <c r="N2147" s="73">
        <v>-6967.34800000004</v>
      </c>
      <c r="O2147" s="73">
        <v>-447.549121208229</v>
      </c>
      <c r="P2147" s="182">
        <v>7</v>
      </c>
      <c r="Q2147" s="182">
        <v>4000</v>
      </c>
      <c r="R2147" s="46">
        <v>16.783000000000001</v>
      </c>
      <c r="S2147" s="46">
        <v>0</v>
      </c>
      <c r="T2147" s="46">
        <v>0</v>
      </c>
      <c r="U2147" s="46">
        <v>0</v>
      </c>
      <c r="V2147" s="46" t="s">
        <v>62</v>
      </c>
      <c r="W2147" s="46">
        <v>4000</v>
      </c>
      <c r="X2147" s="46">
        <v>16.783000000000001</v>
      </c>
      <c r="Y2147" s="194">
        <v>15.489000000000001</v>
      </c>
      <c r="Z2147" s="194">
        <v>15.47</v>
      </c>
      <c r="AA2147" s="194">
        <v>15.481999999999999</v>
      </c>
      <c r="AB2147" s="46">
        <v>15.5</v>
      </c>
      <c r="AC2147" s="46">
        <v>15.61</v>
      </c>
      <c r="AD2147" s="46">
        <v>15.49</v>
      </c>
      <c r="AE2147" s="46">
        <v>15.51</v>
      </c>
      <c r="AF2147" s="46">
        <v>4</v>
      </c>
      <c r="AG2147" s="46">
        <v>2000</v>
      </c>
      <c r="AH2147" s="46">
        <v>33006.199999999997</v>
      </c>
      <c r="AI2147" s="46">
        <v>16.503</v>
      </c>
      <c r="AJ2147" s="46">
        <v>4</v>
      </c>
      <c r="AK2147" s="46">
        <v>1600</v>
      </c>
      <c r="AL2147" s="46">
        <v>24742.252</v>
      </c>
      <c r="AM2147" s="46">
        <v>15.464</v>
      </c>
      <c r="AN2147" s="46" t="s">
        <v>63</v>
      </c>
      <c r="AO2147" s="46">
        <v>400</v>
      </c>
      <c r="AP2147" s="46">
        <v>8263.9480000000003</v>
      </c>
      <c r="AQ2147" s="46">
        <v>20.66</v>
      </c>
      <c r="AR2147" s="46">
        <v>-1662.4</v>
      </c>
      <c r="AS2147" s="46">
        <v>11</v>
      </c>
      <c r="AT2147" s="46">
        <v>6000</v>
      </c>
      <c r="AU2147" s="46">
        <v>100173.6</v>
      </c>
      <c r="AV2147" s="46">
        <v>16.696000000000002</v>
      </c>
      <c r="AW2147" s="46">
        <v>4</v>
      </c>
      <c r="AX2147" s="46">
        <v>1600</v>
      </c>
      <c r="AY2147" s="46">
        <v>24742.252</v>
      </c>
      <c r="AZ2147" s="46">
        <v>15.464</v>
      </c>
      <c r="BA2147" s="46" t="s">
        <v>63</v>
      </c>
      <c r="BB2147" s="46">
        <v>4400</v>
      </c>
      <c r="BC2147" s="46">
        <v>75431.347999999998</v>
      </c>
      <c r="BD2147" s="46">
        <v>17.143000000000001</v>
      </c>
      <c r="BE2147" s="46">
        <v>-1971.2</v>
      </c>
      <c r="BF2147" s="46">
        <v>67167.399999999994</v>
      </c>
      <c r="BG2147" s="46">
        <v>16.79</v>
      </c>
      <c r="BH2147" s="46">
        <v>0</v>
      </c>
      <c r="BJ2147">
        <v>67167.399999999994</v>
      </c>
      <c r="BK2147">
        <v>16.79</v>
      </c>
      <c r="BL2147">
        <v>-107.18</v>
      </c>
    </row>
    <row r="2148" spans="1:64" x14ac:dyDescent="0.25">
      <c r="A2148" s="136">
        <v>43126</v>
      </c>
      <c r="B2148" s="201" t="s">
        <v>65</v>
      </c>
      <c r="C2148" t="s">
        <v>127</v>
      </c>
      <c r="D2148">
        <v>4900</v>
      </c>
      <c r="E2148">
        <v>4900</v>
      </c>
      <c r="F2148">
        <v>7.5730000000000004</v>
      </c>
      <c r="G2148">
        <v>23015.8</v>
      </c>
      <c r="H2148">
        <v>62.02</v>
      </c>
      <c r="I2148" s="309">
        <v>60123</v>
      </c>
      <c r="J2148">
        <v>12.27</v>
      </c>
      <c r="K2148" s="133">
        <v>0.115638888848819</v>
      </c>
      <c r="L2148" s="181">
        <v>2046.5</v>
      </c>
      <c r="M2148" s="133">
        <v>7.1370945832558E-2</v>
      </c>
      <c r="N2148" s="73">
        <v>19027.378999999899</v>
      </c>
      <c r="O2148" s="73">
        <v>1889.4791592659999</v>
      </c>
      <c r="P2148" s="182">
        <v>0</v>
      </c>
      <c r="Q2148" s="182">
        <v>0</v>
      </c>
      <c r="R2148" s="46">
        <v>0</v>
      </c>
      <c r="S2148" s="46">
        <v>28</v>
      </c>
      <c r="T2148" s="46">
        <v>12500</v>
      </c>
      <c r="U2148" s="46">
        <v>12.375999999999999</v>
      </c>
      <c r="V2148" s="46" t="s">
        <v>68</v>
      </c>
      <c r="W2148" s="46">
        <v>12500</v>
      </c>
      <c r="X2148" s="46">
        <v>12.375999999999999</v>
      </c>
      <c r="Y2148" s="193">
        <v>12.276999999999999</v>
      </c>
      <c r="Z2148" s="194">
        <v>11.272</v>
      </c>
      <c r="AA2148" s="194">
        <v>11.723000000000001</v>
      </c>
      <c r="AB2148" s="46">
        <v>11.98</v>
      </c>
      <c r="AC2148" s="46">
        <v>12.36</v>
      </c>
      <c r="AD2148" s="46">
        <v>11.93</v>
      </c>
      <c r="AE2148" s="46">
        <v>12.27</v>
      </c>
      <c r="AF2148" s="46">
        <v>142</v>
      </c>
      <c r="AG2148" s="46">
        <v>78400</v>
      </c>
      <c r="AH2148" s="46">
        <v>916554.23100000003</v>
      </c>
      <c r="AI2148" s="46">
        <v>11.691000000000001</v>
      </c>
      <c r="AJ2148" s="46">
        <v>162</v>
      </c>
      <c r="AK2148" s="46">
        <v>70200</v>
      </c>
      <c r="AL2148" s="46">
        <v>724211.30299999996</v>
      </c>
      <c r="AM2148" s="46">
        <v>10.316000000000001</v>
      </c>
      <c r="AN2148" s="46" t="s">
        <v>63</v>
      </c>
      <c r="AO2148" s="46">
        <v>8200</v>
      </c>
      <c r="AP2148" s="46">
        <v>192342.92800000001</v>
      </c>
      <c r="AQ2148" s="46">
        <v>23.456</v>
      </c>
      <c r="AR2148" s="46">
        <v>-96525</v>
      </c>
      <c r="AS2148" s="46">
        <v>143</v>
      </c>
      <c r="AT2148" s="46">
        <v>78500</v>
      </c>
      <c r="AU2148" s="46">
        <v>917842.23100000003</v>
      </c>
      <c r="AV2148" s="46">
        <v>11.692</v>
      </c>
      <c r="AW2148" s="46">
        <v>190</v>
      </c>
      <c r="AX2148" s="46">
        <v>82700</v>
      </c>
      <c r="AY2148" s="46">
        <v>878611.60800000001</v>
      </c>
      <c r="AZ2148" s="46">
        <v>10.624000000000001</v>
      </c>
      <c r="BA2148" s="46" t="s">
        <v>69</v>
      </c>
      <c r="BB2148" s="46">
        <v>4200</v>
      </c>
      <c r="BC2148" s="46">
        <v>39230.623</v>
      </c>
      <c r="BD2148" s="46">
        <v>9.3409999999999993</v>
      </c>
      <c r="BE2148" s="46">
        <v>-83838</v>
      </c>
      <c r="BF2148" s="46">
        <v>1288</v>
      </c>
      <c r="BH2148" s="46">
        <v>154400.30499999999</v>
      </c>
      <c r="BI2148">
        <v>12.35</v>
      </c>
      <c r="BJ2148">
        <v>-153112.30499999999</v>
      </c>
      <c r="BK2148">
        <v>-12.25</v>
      </c>
      <c r="BL2148">
        <v>-7866.75</v>
      </c>
    </row>
    <row r="2149" spans="1:64" x14ac:dyDescent="0.25">
      <c r="A2149" s="136">
        <v>43126</v>
      </c>
      <c r="B2149" s="201" t="s">
        <v>77</v>
      </c>
      <c r="C2149" t="s">
        <v>128</v>
      </c>
      <c r="D2149">
        <v>4300</v>
      </c>
      <c r="E2149">
        <v>4300</v>
      </c>
      <c r="F2149">
        <v>5.9779999999999998</v>
      </c>
      <c r="G2149">
        <v>-595.27</v>
      </c>
      <c r="H2149">
        <v>-2.31</v>
      </c>
      <c r="I2149" s="309">
        <v>25112</v>
      </c>
      <c r="J2149">
        <v>5.84</v>
      </c>
      <c r="K2149" s="133">
        <v>4.82997151967057E-2</v>
      </c>
      <c r="L2149" s="181">
        <v>0</v>
      </c>
      <c r="M2149" s="133">
        <v>4.94446407886594E-2</v>
      </c>
      <c r="N2149" s="73">
        <v>-1272.2139999999999</v>
      </c>
      <c r="O2149" s="73">
        <v>-133.073774655173</v>
      </c>
      <c r="P2149" s="182">
        <v>6</v>
      </c>
      <c r="Q2149" s="182">
        <v>3000</v>
      </c>
      <c r="R2149" s="46">
        <v>6.798</v>
      </c>
      <c r="S2149" s="46">
        <v>0</v>
      </c>
      <c r="T2149" s="46">
        <v>0</v>
      </c>
      <c r="U2149" s="46">
        <v>0</v>
      </c>
      <c r="V2149" s="46" t="s">
        <v>62</v>
      </c>
      <c r="W2149" s="46">
        <v>3000</v>
      </c>
      <c r="X2149" s="46">
        <v>6.798</v>
      </c>
      <c r="AF2149" s="46">
        <v>39</v>
      </c>
      <c r="AG2149" s="46">
        <v>19500</v>
      </c>
      <c r="AH2149" s="46">
        <v>142169</v>
      </c>
      <c r="AI2149" s="46">
        <v>7.2910000000000004</v>
      </c>
      <c r="AJ2149" s="46">
        <v>39</v>
      </c>
      <c r="AK2149" s="46">
        <v>18200</v>
      </c>
      <c r="AL2149" s="46">
        <v>136881.78599999999</v>
      </c>
      <c r="AM2149" s="46">
        <v>7.5209999999999999</v>
      </c>
      <c r="AN2149" s="46" t="s">
        <v>63</v>
      </c>
      <c r="AO2149" s="46">
        <v>1300</v>
      </c>
      <c r="AP2149" s="46">
        <v>5287.2139999999999</v>
      </c>
      <c r="AQ2149" s="46">
        <v>4.0670000000000002</v>
      </c>
      <c r="AR2149" s="46">
        <v>4186</v>
      </c>
      <c r="AS2149" s="46">
        <v>45</v>
      </c>
      <c r="AT2149" s="46">
        <v>22500</v>
      </c>
      <c r="AU2149" s="46">
        <v>162594</v>
      </c>
      <c r="AV2149" s="46">
        <v>7.226</v>
      </c>
      <c r="AW2149" s="46">
        <v>39</v>
      </c>
      <c r="AX2149" s="46">
        <v>18200</v>
      </c>
      <c r="AY2149" s="46">
        <v>136881.78599999999</v>
      </c>
      <c r="AZ2149" s="46">
        <v>7.5209999999999999</v>
      </c>
      <c r="BA2149" s="46" t="s">
        <v>63</v>
      </c>
      <c r="BB2149" s="46">
        <v>4300</v>
      </c>
      <c r="BC2149" s="46">
        <v>25712.214</v>
      </c>
      <c r="BD2149" s="46">
        <v>5.98</v>
      </c>
      <c r="BE2149" s="46">
        <v>5369</v>
      </c>
      <c r="BF2149" s="46">
        <v>20425</v>
      </c>
      <c r="BG2149" s="46">
        <v>6.81</v>
      </c>
      <c r="BH2149" s="46">
        <v>0</v>
      </c>
      <c r="BJ2149">
        <v>20425</v>
      </c>
      <c r="BK2149">
        <v>6.81</v>
      </c>
      <c r="BL2149">
        <v>716.78</v>
      </c>
    </row>
    <row r="2150" spans="1:64" x14ac:dyDescent="0.25">
      <c r="A2150" s="136">
        <v>43126</v>
      </c>
      <c r="B2150" s="201" t="s">
        <v>67</v>
      </c>
      <c r="C2150" t="s">
        <v>129</v>
      </c>
      <c r="D2150">
        <v>5650</v>
      </c>
      <c r="E2150">
        <v>5650</v>
      </c>
      <c r="F2150">
        <v>8.6110000000000007</v>
      </c>
      <c r="G2150">
        <v>782.53</v>
      </c>
      <c r="H2150">
        <v>1.62</v>
      </c>
      <c r="I2150" s="309">
        <v>49437.5</v>
      </c>
      <c r="J2150">
        <v>8.75</v>
      </c>
      <c r="K2150" s="133">
        <v>9.50866983926862E-2</v>
      </c>
      <c r="L2150" s="181">
        <v>1400.59</v>
      </c>
      <c r="M2150" s="133">
        <v>9.3581602178410994E-2</v>
      </c>
      <c r="N2150" s="73">
        <v>893.26899999977502</v>
      </c>
      <c r="O2150" s="73">
        <v>101.80414657922201</v>
      </c>
      <c r="P2150" s="182">
        <v>0</v>
      </c>
      <c r="Q2150" s="182">
        <v>0</v>
      </c>
      <c r="R2150" s="46">
        <v>0</v>
      </c>
      <c r="S2150" s="46">
        <v>4</v>
      </c>
      <c r="T2150" s="46">
        <v>1600</v>
      </c>
      <c r="U2150" s="46">
        <v>8.6950000000000003</v>
      </c>
      <c r="V2150" s="46" t="s">
        <v>68</v>
      </c>
      <c r="W2150" s="46">
        <v>1600</v>
      </c>
      <c r="X2150" s="46">
        <v>8.6950000000000003</v>
      </c>
      <c r="Y2150" s="193">
        <v>8.6790000000000003</v>
      </c>
      <c r="Z2150" s="194">
        <v>7.742</v>
      </c>
      <c r="AA2150" s="194">
        <v>8.6769999999999996</v>
      </c>
      <c r="AB2150" s="46">
        <v>8.6</v>
      </c>
      <c r="AC2150" s="46">
        <v>8.7899999999999991</v>
      </c>
      <c r="AD2150" s="46">
        <v>8.5299999999999994</v>
      </c>
      <c r="AE2150" s="46">
        <v>8.75</v>
      </c>
      <c r="AF2150" s="46">
        <v>161</v>
      </c>
      <c r="AG2150" s="46">
        <v>80300</v>
      </c>
      <c r="AH2150" s="46">
        <v>664123</v>
      </c>
      <c r="AI2150" s="46">
        <v>8.2710000000000008</v>
      </c>
      <c r="AJ2150" s="46">
        <v>163</v>
      </c>
      <c r="AK2150" s="46">
        <v>75650</v>
      </c>
      <c r="AL2150" s="46">
        <v>670715.79700000002</v>
      </c>
      <c r="AM2150" s="46">
        <v>8.8659999999999997</v>
      </c>
      <c r="AN2150" s="46" t="s">
        <v>63</v>
      </c>
      <c r="AO2150" s="46">
        <v>4650</v>
      </c>
      <c r="AP2150" s="46">
        <v>6592.7969999999996</v>
      </c>
      <c r="AQ2150" s="46">
        <v>1.4179999999999999</v>
      </c>
      <c r="AR2150" s="46">
        <v>45011.75</v>
      </c>
      <c r="AS2150" s="46">
        <v>161</v>
      </c>
      <c r="AT2150" s="46">
        <v>80300</v>
      </c>
      <c r="AU2150" s="46">
        <v>664123</v>
      </c>
      <c r="AV2150" s="46">
        <v>8.2710000000000008</v>
      </c>
      <c r="AW2150" s="46">
        <v>167</v>
      </c>
      <c r="AX2150" s="46">
        <v>77250</v>
      </c>
      <c r="AY2150" s="46">
        <v>684593.88500000001</v>
      </c>
      <c r="AZ2150" s="46">
        <v>8.8620000000000001</v>
      </c>
      <c r="BA2150" s="46" t="s">
        <v>63</v>
      </c>
      <c r="BB2150" s="46">
        <v>3050</v>
      </c>
      <c r="BC2150" s="46">
        <v>20470.884999999998</v>
      </c>
      <c r="BD2150" s="46">
        <v>6.7119999999999997</v>
      </c>
      <c r="BE2150" s="46">
        <v>45654.75</v>
      </c>
      <c r="BF2150" s="46">
        <v>0</v>
      </c>
      <c r="BH2150" s="46">
        <v>13878.088</v>
      </c>
      <c r="BI2150">
        <v>8.67</v>
      </c>
      <c r="BJ2150">
        <v>13878.088</v>
      </c>
      <c r="BK2150">
        <v>8.67</v>
      </c>
      <c r="BL2150">
        <v>5144.2</v>
      </c>
    </row>
    <row r="2151" spans="1:64" x14ac:dyDescent="0.25">
      <c r="A2151" s="136">
        <v>43126</v>
      </c>
      <c r="B2151" s="201" t="s">
        <v>78</v>
      </c>
      <c r="C2151" t="s">
        <v>142</v>
      </c>
      <c r="D2151">
        <v>100</v>
      </c>
      <c r="E2151">
        <v>100</v>
      </c>
      <c r="F2151">
        <v>8.8810000000000002</v>
      </c>
      <c r="G2151">
        <v>146.87</v>
      </c>
      <c r="H2151">
        <v>16.54</v>
      </c>
      <c r="I2151" s="309">
        <v>1035</v>
      </c>
      <c r="J2151">
        <v>10.35</v>
      </c>
      <c r="K2151" s="133">
        <v>1.9906899183095902E-3</v>
      </c>
      <c r="L2151" s="181">
        <v>4</v>
      </c>
      <c r="M2151" s="133">
        <v>1.7082042870997999E-3</v>
      </c>
      <c r="N2151" s="73">
        <v>171.86799999999999</v>
      </c>
      <c r="O2151" s="73">
        <v>16.205855283018799</v>
      </c>
      <c r="P2151" s="182">
        <v>0</v>
      </c>
      <c r="Q2151" s="182">
        <v>0</v>
      </c>
      <c r="R2151" s="46">
        <v>0</v>
      </c>
      <c r="S2151" s="46">
        <v>2</v>
      </c>
      <c r="T2151" s="46">
        <v>500</v>
      </c>
      <c r="U2151" s="46">
        <v>10.368</v>
      </c>
      <c r="V2151" s="46" t="s">
        <v>68</v>
      </c>
      <c r="W2151" s="46">
        <v>500</v>
      </c>
      <c r="X2151" s="46">
        <v>10.368</v>
      </c>
      <c r="Y2151" s="193">
        <v>10.61</v>
      </c>
      <c r="Z2151" s="194">
        <v>10.768000000000001</v>
      </c>
      <c r="AA2151" s="194">
        <v>10.647</v>
      </c>
      <c r="AB2151" s="46">
        <v>10.210000000000001</v>
      </c>
      <c r="AC2151" s="46">
        <v>10.39</v>
      </c>
      <c r="AD2151" s="46">
        <v>10.199999999999999</v>
      </c>
      <c r="AE2151" s="46">
        <v>10.35</v>
      </c>
      <c r="AF2151" s="46">
        <v>6</v>
      </c>
      <c r="AG2151" s="46">
        <v>3000</v>
      </c>
      <c r="AH2151" s="46">
        <v>30950</v>
      </c>
      <c r="AI2151" s="46">
        <v>10.317</v>
      </c>
      <c r="AJ2151" s="46">
        <v>6</v>
      </c>
      <c r="AK2151" s="46">
        <v>2400</v>
      </c>
      <c r="AL2151" s="46">
        <v>24893.052</v>
      </c>
      <c r="AM2151" s="46">
        <v>10.372</v>
      </c>
      <c r="AN2151" s="46" t="s">
        <v>63</v>
      </c>
      <c r="AO2151" s="46">
        <v>600</v>
      </c>
      <c r="AP2151" s="46">
        <v>6056.9480000000003</v>
      </c>
      <c r="AQ2151" s="46">
        <v>10.095000000000001</v>
      </c>
      <c r="AR2151" s="46">
        <v>132</v>
      </c>
      <c r="AS2151" s="46">
        <v>6</v>
      </c>
      <c r="AT2151" s="46">
        <v>3000</v>
      </c>
      <c r="AU2151" s="46">
        <v>30950</v>
      </c>
      <c r="AV2151" s="46">
        <v>10.317</v>
      </c>
      <c r="AW2151" s="46">
        <v>8</v>
      </c>
      <c r="AX2151" s="46">
        <v>2900</v>
      </c>
      <c r="AY2151" s="46">
        <v>30061.867999999999</v>
      </c>
      <c r="AZ2151" s="46">
        <v>10.366</v>
      </c>
      <c r="BA2151" s="46" t="s">
        <v>63</v>
      </c>
      <c r="BB2151" s="46">
        <v>100</v>
      </c>
      <c r="BC2151" s="46">
        <v>888.13199999999995</v>
      </c>
      <c r="BD2151" s="46">
        <v>8.8810000000000002</v>
      </c>
      <c r="BE2151" s="46">
        <v>142.1</v>
      </c>
      <c r="BF2151" s="46">
        <v>0</v>
      </c>
      <c r="BH2151" s="46">
        <v>5168.8159999999998</v>
      </c>
      <c r="BI2151">
        <v>10.34</v>
      </c>
      <c r="BJ2151">
        <v>-5168.8159999999998</v>
      </c>
      <c r="BK2151">
        <v>-10.34</v>
      </c>
      <c r="BL2151">
        <v>12.75</v>
      </c>
    </row>
    <row r="2152" spans="1:64" x14ac:dyDescent="0.25">
      <c r="A2152" s="136">
        <v>43126</v>
      </c>
      <c r="B2152" s="201" t="s">
        <v>72</v>
      </c>
      <c r="C2152" t="s">
        <v>130</v>
      </c>
      <c r="D2152">
        <v>2100</v>
      </c>
      <c r="E2152">
        <v>1600</v>
      </c>
      <c r="F2152">
        <v>7.01</v>
      </c>
      <c r="G2152">
        <v>42.55</v>
      </c>
      <c r="H2152">
        <v>0.28999999999999998</v>
      </c>
      <c r="I2152" s="309">
        <v>14763</v>
      </c>
      <c r="J2152">
        <v>7.03</v>
      </c>
      <c r="K2152" s="133">
        <v>2.83947393855115E-2</v>
      </c>
      <c r="L2152" s="181">
        <v>-244</v>
      </c>
      <c r="M2152" s="133">
        <v>2.83128999110921E-2</v>
      </c>
      <c r="N2152" s="73">
        <v>-116.163999999994</v>
      </c>
      <c r="O2152" s="73">
        <v>14.9423834277647</v>
      </c>
      <c r="P2152" s="182">
        <v>0</v>
      </c>
      <c r="Q2152" s="182">
        <v>0</v>
      </c>
      <c r="R2152" s="46">
        <v>0</v>
      </c>
      <c r="S2152" s="46">
        <v>13</v>
      </c>
      <c r="T2152" s="46">
        <v>5300</v>
      </c>
      <c r="U2152" s="46">
        <v>7.984</v>
      </c>
      <c r="V2152" s="46" t="s">
        <v>68</v>
      </c>
      <c r="W2152" s="46">
        <v>5300</v>
      </c>
      <c r="X2152" s="46">
        <v>7.984</v>
      </c>
      <c r="Y2152" s="194">
        <v>7.0960000000000001</v>
      </c>
      <c r="Z2152" s="194">
        <v>7.032</v>
      </c>
      <c r="AA2152" s="194">
        <v>7.1159999999999997</v>
      </c>
      <c r="AB2152" s="46">
        <v>7.14</v>
      </c>
      <c r="AC2152" s="46">
        <v>7.22</v>
      </c>
      <c r="AD2152" s="46">
        <v>7.03</v>
      </c>
      <c r="AE2152" s="46">
        <v>7.03</v>
      </c>
      <c r="AF2152" s="46">
        <v>27</v>
      </c>
      <c r="AG2152" s="46">
        <v>13500</v>
      </c>
      <c r="AH2152" s="46">
        <v>105740</v>
      </c>
      <c r="AI2152" s="46">
        <v>7.8330000000000002</v>
      </c>
      <c r="AJ2152" s="46">
        <v>27</v>
      </c>
      <c r="AK2152" s="46">
        <v>12700</v>
      </c>
      <c r="AL2152" s="46">
        <v>49542.338000000003</v>
      </c>
      <c r="AM2152" s="46">
        <v>3.9009999999999998</v>
      </c>
      <c r="AN2152" s="46" t="s">
        <v>63</v>
      </c>
      <c r="AO2152" s="46">
        <v>800</v>
      </c>
      <c r="AP2152" s="46">
        <v>56197.661999999997</v>
      </c>
      <c r="AQ2152" s="46">
        <v>70.247</v>
      </c>
      <c r="AR2152" s="46">
        <v>-49936.4</v>
      </c>
      <c r="AS2152" s="46">
        <v>27</v>
      </c>
      <c r="AT2152" s="46">
        <v>13500</v>
      </c>
      <c r="AU2152" s="46">
        <v>105740</v>
      </c>
      <c r="AV2152" s="46">
        <v>7.8330000000000002</v>
      </c>
      <c r="AW2152" s="46">
        <v>41</v>
      </c>
      <c r="AX2152" s="46">
        <v>18500</v>
      </c>
      <c r="AY2152" s="46">
        <v>91752.020999999993</v>
      </c>
      <c r="AZ2152" s="46">
        <v>4.96</v>
      </c>
      <c r="BA2152" s="46" t="s">
        <v>69</v>
      </c>
      <c r="BB2152" s="46">
        <v>5000</v>
      </c>
      <c r="BC2152" s="46">
        <v>13987.978999999999</v>
      </c>
      <c r="BD2152" s="46">
        <v>2.798</v>
      </c>
      <c r="BE2152" s="46">
        <v>-38785.5</v>
      </c>
      <c r="BF2152" s="46">
        <v>0</v>
      </c>
      <c r="BH2152" s="46">
        <v>42209.682999999997</v>
      </c>
      <c r="BI2152">
        <v>7.96</v>
      </c>
      <c r="BJ2152">
        <v>-42209.682999999997</v>
      </c>
      <c r="BK2152">
        <v>-7.96</v>
      </c>
      <c r="BL2152">
        <v>-7103.33</v>
      </c>
    </row>
    <row r="2153" spans="1:64" x14ac:dyDescent="0.25">
      <c r="A2153" s="136">
        <v>43126</v>
      </c>
      <c r="B2153" s="201" t="s">
        <v>70</v>
      </c>
      <c r="C2153" t="s">
        <v>131</v>
      </c>
      <c r="D2153">
        <v>10000</v>
      </c>
      <c r="E2153">
        <v>10000</v>
      </c>
      <c r="F2153">
        <v>12.237</v>
      </c>
      <c r="G2153">
        <v>-12866.66</v>
      </c>
      <c r="H2153">
        <v>-10.52</v>
      </c>
      <c r="I2153" s="309">
        <v>109500</v>
      </c>
      <c r="J2153">
        <v>10.95</v>
      </c>
      <c r="K2153" s="133">
        <v>0.21060922324144901</v>
      </c>
      <c r="L2153" s="181">
        <v>100</v>
      </c>
      <c r="M2153" s="133">
        <v>0.23535659555479899</v>
      </c>
      <c r="N2153" s="73">
        <v>-12365.654</v>
      </c>
      <c r="O2153" s="73">
        <v>-1123.5882884545499</v>
      </c>
      <c r="P2153" s="182">
        <v>0</v>
      </c>
      <c r="Q2153" s="182">
        <v>0</v>
      </c>
      <c r="R2153" s="46">
        <v>0</v>
      </c>
      <c r="S2153" s="46">
        <v>5</v>
      </c>
      <c r="T2153" s="46">
        <v>2000</v>
      </c>
      <c r="U2153" s="46">
        <v>12.997999999999999</v>
      </c>
      <c r="V2153" s="46" t="s">
        <v>68</v>
      </c>
      <c r="W2153" s="46">
        <v>2000</v>
      </c>
      <c r="X2153" s="46">
        <v>12.997999999999999</v>
      </c>
      <c r="Y2153" s="194">
        <v>10.801</v>
      </c>
      <c r="Z2153" s="194">
        <v>12.089</v>
      </c>
      <c r="AA2153" s="194">
        <v>12.042</v>
      </c>
      <c r="AB2153" s="46">
        <v>10.95</v>
      </c>
      <c r="AC2153" s="46">
        <v>11.05</v>
      </c>
      <c r="AD2153" s="46">
        <v>10.88</v>
      </c>
      <c r="AE2153" s="46">
        <v>10.95</v>
      </c>
      <c r="AF2153" s="46">
        <v>126</v>
      </c>
      <c r="AG2153" s="46">
        <v>62600</v>
      </c>
      <c r="AH2153" s="46">
        <v>843048</v>
      </c>
      <c r="AI2153" s="46">
        <v>13.467000000000001</v>
      </c>
      <c r="AJ2153" s="46">
        <v>126</v>
      </c>
      <c r="AK2153" s="46">
        <v>50600</v>
      </c>
      <c r="AL2153" s="46">
        <v>694332.34199999995</v>
      </c>
      <c r="AM2153" s="46">
        <v>13.722</v>
      </c>
      <c r="AN2153" s="46" t="s">
        <v>63</v>
      </c>
      <c r="AO2153" s="46">
        <v>12000</v>
      </c>
      <c r="AP2153" s="46">
        <v>148715.658</v>
      </c>
      <c r="AQ2153" s="46">
        <v>12.393000000000001</v>
      </c>
      <c r="AR2153" s="46">
        <v>12903</v>
      </c>
      <c r="AS2153" s="46">
        <v>126</v>
      </c>
      <c r="AT2153" s="46">
        <v>62600</v>
      </c>
      <c r="AU2153" s="46">
        <v>843048</v>
      </c>
      <c r="AV2153" s="46">
        <v>13.467000000000001</v>
      </c>
      <c r="AW2153" s="46">
        <v>132</v>
      </c>
      <c r="AX2153" s="46">
        <v>52600</v>
      </c>
      <c r="AY2153" s="46">
        <v>720682.34600000002</v>
      </c>
      <c r="AZ2153" s="46">
        <v>13.701000000000001</v>
      </c>
      <c r="BA2153" s="46" t="s">
        <v>63</v>
      </c>
      <c r="BB2153" s="46">
        <v>10000</v>
      </c>
      <c r="BC2153" s="46">
        <v>122365.65399999999</v>
      </c>
      <c r="BD2153" s="46">
        <v>12.237</v>
      </c>
      <c r="BE2153" s="46">
        <v>12308.4</v>
      </c>
      <c r="BF2153" s="46">
        <v>0</v>
      </c>
      <c r="BH2153" s="46">
        <v>26350.003999999801</v>
      </c>
      <c r="BI2153">
        <v>13.18</v>
      </c>
      <c r="BJ2153">
        <v>-26350.004000000001</v>
      </c>
      <c r="BK2153">
        <v>-13.18</v>
      </c>
      <c r="BL2153">
        <v>1178.3599999999999</v>
      </c>
    </row>
    <row r="2154" spans="1:64" x14ac:dyDescent="0.25">
      <c r="A2154" s="136">
        <v>43126</v>
      </c>
      <c r="B2154" s="201" t="s">
        <v>137</v>
      </c>
      <c r="C2154" t="s">
        <v>138</v>
      </c>
      <c r="D2154">
        <v>100</v>
      </c>
      <c r="E2154">
        <v>100</v>
      </c>
      <c r="F2154">
        <v>-130.48500000000001</v>
      </c>
      <c r="G2154">
        <v>16708.5</v>
      </c>
      <c r="H2154">
        <v>0</v>
      </c>
      <c r="I2154" s="309">
        <v>3660</v>
      </c>
      <c r="J2154">
        <v>36.6</v>
      </c>
      <c r="K2154" s="133">
        <v>7.0395411603991201E-3</v>
      </c>
      <c r="L2154" s="181">
        <v>-37</v>
      </c>
      <c r="M2154" s="133">
        <v>0</v>
      </c>
    </row>
    <row r="2155" spans="1:64" x14ac:dyDescent="0.25">
      <c r="A2155" s="136">
        <v>43126</v>
      </c>
      <c r="B2155" s="201" t="s">
        <v>835</v>
      </c>
      <c r="C2155" t="s">
        <v>839</v>
      </c>
      <c r="I2155" s="309">
        <v>34202.85</v>
      </c>
      <c r="K2155" s="133">
        <v>6.5784800649714995E-2</v>
      </c>
      <c r="L2155" s="181">
        <v>0</v>
      </c>
      <c r="M2155" s="133">
        <v>0.34014014649362101</v>
      </c>
    </row>
    <row r="2156" spans="1:64" x14ac:dyDescent="0.25">
      <c r="A2156" s="136">
        <v>43129</v>
      </c>
      <c r="B2156" s="201" t="s">
        <v>132</v>
      </c>
      <c r="C2156" t="s">
        <v>123</v>
      </c>
      <c r="D2156">
        <v>16465624</v>
      </c>
      <c r="E2156">
        <v>13465624</v>
      </c>
      <c r="F2156">
        <v>0.01</v>
      </c>
      <c r="G2156">
        <v>2895.8</v>
      </c>
      <c r="H2156">
        <v>0</v>
      </c>
      <c r="I2156" s="309">
        <v>164656.24</v>
      </c>
      <c r="J2156">
        <v>0.01</v>
      </c>
      <c r="K2156" s="133">
        <v>0.31747040223681999</v>
      </c>
      <c r="L2156" s="181">
        <v>13.340000000000099</v>
      </c>
      <c r="M2156" s="133">
        <v>0</v>
      </c>
    </row>
    <row r="2157" spans="1:64" x14ac:dyDescent="0.25">
      <c r="A2157" s="136">
        <v>43129</v>
      </c>
      <c r="B2157" s="201" t="s">
        <v>61</v>
      </c>
      <c r="C2157" t="s">
        <v>136</v>
      </c>
      <c r="D2157">
        <v>1800</v>
      </c>
      <c r="E2157">
        <v>1800</v>
      </c>
      <c r="F2157">
        <v>5.2809999999999997</v>
      </c>
      <c r="G2157">
        <v>106.21</v>
      </c>
      <c r="H2157">
        <v>1.1200000000000001</v>
      </c>
      <c r="I2157" s="309">
        <v>9612</v>
      </c>
      <c r="J2157">
        <v>5.34</v>
      </c>
      <c r="K2157" s="133">
        <v>1.8532704902652401E-2</v>
      </c>
      <c r="L2157" s="181">
        <v>-108</v>
      </c>
      <c r="M2157" s="133">
        <v>1.8327923526486101E-2</v>
      </c>
      <c r="N2157" s="73">
        <v>299.61499999999802</v>
      </c>
      <c r="O2157" s="73">
        <v>54.947741743118897</v>
      </c>
      <c r="P2157" s="182">
        <v>2</v>
      </c>
      <c r="Q2157" s="182">
        <v>1000</v>
      </c>
      <c r="R2157" s="46">
        <v>5.3849999999999998</v>
      </c>
      <c r="S2157" s="46">
        <v>0</v>
      </c>
      <c r="T2157" s="46">
        <v>0</v>
      </c>
      <c r="U2157" s="46">
        <v>0</v>
      </c>
      <c r="V2157" s="46" t="s">
        <v>62</v>
      </c>
      <c r="W2157" s="46">
        <v>1000</v>
      </c>
      <c r="X2157" s="46">
        <v>5.3849999999999998</v>
      </c>
      <c r="Y2157" s="194">
        <v>5.35</v>
      </c>
      <c r="Z2157" s="194">
        <v>5.0570000000000004</v>
      </c>
      <c r="AA2157" s="194">
        <v>5.2190000000000003</v>
      </c>
      <c r="AB2157" s="46">
        <v>5.39</v>
      </c>
      <c r="AC2157" s="46">
        <v>5.41</v>
      </c>
      <c r="AD2157" s="46">
        <v>5.32</v>
      </c>
      <c r="AE2157" s="46">
        <v>5.34</v>
      </c>
      <c r="AF2157" s="46">
        <v>9</v>
      </c>
      <c r="AG2157" s="46">
        <v>4500</v>
      </c>
      <c r="AH2157" s="46">
        <v>23912.7</v>
      </c>
      <c r="AI2157" s="46">
        <v>5.3140000000000001</v>
      </c>
      <c r="AJ2157" s="46">
        <v>9</v>
      </c>
      <c r="AK2157" s="46">
        <v>3700</v>
      </c>
      <c r="AL2157" s="46">
        <v>19797.915000000001</v>
      </c>
      <c r="AM2157" s="46">
        <v>5.351</v>
      </c>
      <c r="AN2157" s="46" t="s">
        <v>63</v>
      </c>
      <c r="AO2157" s="46">
        <v>800</v>
      </c>
      <c r="AP2157" s="46">
        <v>4114.7849999999999</v>
      </c>
      <c r="AQ2157" s="46">
        <v>5.1429999999999998</v>
      </c>
      <c r="AR2157" s="46">
        <v>136.9</v>
      </c>
      <c r="AS2157" s="46">
        <v>11</v>
      </c>
      <c r="AT2157" s="46">
        <v>5500</v>
      </c>
      <c r="AU2157" s="46">
        <v>29308.3</v>
      </c>
      <c r="AV2157" s="46">
        <v>5.3289999999999997</v>
      </c>
      <c r="AW2157" s="46">
        <v>9</v>
      </c>
      <c r="AX2157" s="46">
        <v>3700</v>
      </c>
      <c r="AY2157" s="46">
        <v>19797.915000000001</v>
      </c>
      <c r="AZ2157" s="46">
        <v>5.351</v>
      </c>
      <c r="BA2157" s="46" t="s">
        <v>63</v>
      </c>
      <c r="BB2157" s="46">
        <v>1800</v>
      </c>
      <c r="BC2157" s="46">
        <v>9510.3850000000002</v>
      </c>
      <c r="BD2157" s="46">
        <v>5.2839999999999998</v>
      </c>
      <c r="BE2157" s="46">
        <v>81.400000000000006</v>
      </c>
      <c r="BF2157" s="46">
        <v>5395.6</v>
      </c>
      <c r="BG2157" s="46">
        <v>5.4</v>
      </c>
      <c r="BH2157" s="46">
        <v>0</v>
      </c>
      <c r="BJ2157">
        <v>5395.6</v>
      </c>
      <c r="BK2157">
        <v>5.4</v>
      </c>
      <c r="BL2157">
        <v>25.64</v>
      </c>
    </row>
    <row r="2158" spans="1:64" x14ac:dyDescent="0.25">
      <c r="A2158" s="136">
        <v>43129</v>
      </c>
      <c r="B2158" s="201" t="s">
        <v>124</v>
      </c>
      <c r="C2158" t="s">
        <v>125</v>
      </c>
      <c r="D2158">
        <v>100</v>
      </c>
      <c r="E2158">
        <v>100</v>
      </c>
      <c r="F2158">
        <v>-53.579000000000001</v>
      </c>
      <c r="G2158">
        <v>6100.9</v>
      </c>
      <c r="H2158">
        <v>0</v>
      </c>
      <c r="I2158" s="309">
        <v>743</v>
      </c>
      <c r="J2158">
        <v>7.43</v>
      </c>
      <c r="K2158" s="133">
        <v>1.43256343556708E-3</v>
      </c>
      <c r="L2158" s="181">
        <v>1</v>
      </c>
      <c r="M2158" s="133">
        <v>0</v>
      </c>
      <c r="Y2158" s="193">
        <v>7.774</v>
      </c>
      <c r="Z2158" s="193">
        <v>5.6769999999999996</v>
      </c>
      <c r="AA2158" s="193">
        <v>6.1130000000000004</v>
      </c>
      <c r="AB2158" s="46">
        <v>7.37</v>
      </c>
      <c r="AC2158" s="46">
        <v>7.69</v>
      </c>
      <c r="AD2158" s="46">
        <v>7.36</v>
      </c>
      <c r="AE2158" s="46">
        <v>7.43</v>
      </c>
    </row>
    <row r="2159" spans="1:64" x14ac:dyDescent="0.25">
      <c r="A2159" s="136">
        <v>43129</v>
      </c>
      <c r="B2159" s="201" t="s">
        <v>71</v>
      </c>
      <c r="C2159" t="s">
        <v>126</v>
      </c>
      <c r="D2159">
        <v>100</v>
      </c>
      <c r="E2159">
        <v>100</v>
      </c>
      <c r="F2159">
        <v>-17.085999999999999</v>
      </c>
      <c r="G2159">
        <v>2436.6</v>
      </c>
      <c r="H2159">
        <v>0</v>
      </c>
      <c r="I2159" s="309">
        <v>728</v>
      </c>
      <c r="J2159">
        <v>7.28</v>
      </c>
      <c r="K2159" s="133">
        <v>1.4036422356565701E-3</v>
      </c>
      <c r="L2159" s="181">
        <v>-10</v>
      </c>
      <c r="M2159" s="133">
        <v>0</v>
      </c>
      <c r="N2159" s="73">
        <v>1703.3019999999999</v>
      </c>
      <c r="O2159" s="73">
        <v>341.114950423729</v>
      </c>
      <c r="P2159" s="182">
        <v>0</v>
      </c>
      <c r="Q2159" s="182">
        <v>0</v>
      </c>
      <c r="R2159" s="46">
        <v>0</v>
      </c>
      <c r="S2159" s="46">
        <v>7</v>
      </c>
      <c r="T2159" s="46">
        <v>2800</v>
      </c>
      <c r="U2159" s="46">
        <v>6.6749999999999998</v>
      </c>
      <c r="V2159" s="46" t="s">
        <v>68</v>
      </c>
      <c r="W2159" s="46">
        <v>2800</v>
      </c>
      <c r="X2159" s="46">
        <v>6.6749999999999998</v>
      </c>
      <c r="Y2159" s="194">
        <v>7.1429999999999998</v>
      </c>
      <c r="Z2159" s="194">
        <v>6.13</v>
      </c>
      <c r="AA2159" s="194">
        <v>6.6319999999999997</v>
      </c>
      <c r="AB2159" s="46">
        <v>7.35</v>
      </c>
      <c r="AC2159" s="46">
        <v>7.45</v>
      </c>
      <c r="AD2159" s="46">
        <v>7.22</v>
      </c>
      <c r="AE2159" s="46">
        <v>7.28</v>
      </c>
      <c r="AF2159" s="46">
        <v>41</v>
      </c>
      <c r="AG2159" s="46">
        <v>20600</v>
      </c>
      <c r="AH2159" s="46">
        <v>131323.35999999999</v>
      </c>
      <c r="AI2159" s="46">
        <v>6.375</v>
      </c>
      <c r="AJ2159" s="46">
        <v>39</v>
      </c>
      <c r="AK2159" s="46">
        <v>17700</v>
      </c>
      <c r="AL2159" s="46">
        <v>114228.83100000001</v>
      </c>
      <c r="AM2159" s="46">
        <v>6.4539999999999997</v>
      </c>
      <c r="AN2159" s="46" t="s">
        <v>63</v>
      </c>
      <c r="AO2159" s="46">
        <v>2900</v>
      </c>
      <c r="AP2159" s="46">
        <v>17094.528999999999</v>
      </c>
      <c r="AQ2159" s="46">
        <v>5.8949999999999996</v>
      </c>
      <c r="AR2159" s="46">
        <v>1398.3</v>
      </c>
      <c r="AS2159" s="46">
        <v>41</v>
      </c>
      <c r="AT2159" s="46">
        <v>20600</v>
      </c>
      <c r="AU2159" s="46">
        <v>131323.35999999999</v>
      </c>
      <c r="AV2159" s="46">
        <v>6.375</v>
      </c>
      <c r="AW2159" s="46">
        <v>46</v>
      </c>
      <c r="AX2159" s="46">
        <v>20500</v>
      </c>
      <c r="AY2159" s="46">
        <v>132870.462</v>
      </c>
      <c r="AZ2159" s="46">
        <v>6.4809999999999999</v>
      </c>
      <c r="BA2159" s="46" t="s">
        <v>63</v>
      </c>
      <c r="BB2159" s="46">
        <v>100</v>
      </c>
      <c r="BC2159" s="46">
        <v>1547.1020000000001</v>
      </c>
      <c r="BD2159" s="46">
        <v>15.471</v>
      </c>
      <c r="BE2159" s="46">
        <v>2173</v>
      </c>
      <c r="BF2159" s="46">
        <v>0</v>
      </c>
      <c r="BH2159" s="46">
        <v>18641.631000000001</v>
      </c>
      <c r="BI2159">
        <v>6.66</v>
      </c>
      <c r="BJ2159">
        <v>-15547.427</v>
      </c>
      <c r="BK2159">
        <v>-5.55</v>
      </c>
      <c r="BL2159">
        <v>192.07</v>
      </c>
    </row>
    <row r="2160" spans="1:64" x14ac:dyDescent="0.25">
      <c r="A2160" s="136">
        <v>43129</v>
      </c>
      <c r="B2160" s="201" t="s">
        <v>79</v>
      </c>
      <c r="C2160" t="s">
        <v>143</v>
      </c>
      <c r="D2160">
        <v>4400</v>
      </c>
      <c r="E2160">
        <v>4400</v>
      </c>
      <c r="F2160">
        <v>17.143000000000001</v>
      </c>
      <c r="G2160">
        <v>-6613.27</v>
      </c>
      <c r="H2160">
        <v>-8.77</v>
      </c>
      <c r="I2160" s="309">
        <v>68816</v>
      </c>
      <c r="J2160">
        <v>15.64</v>
      </c>
      <c r="K2160" s="133">
        <v>0.13268275286942599</v>
      </c>
      <c r="L2160" s="181">
        <v>572</v>
      </c>
      <c r="M2160" s="133">
        <v>0.14543366645156999</v>
      </c>
      <c r="N2160" s="73">
        <v>-6967.34800000004</v>
      </c>
      <c r="O2160" s="73">
        <v>-447.549121208229</v>
      </c>
      <c r="P2160" s="182">
        <v>7</v>
      </c>
      <c r="Q2160" s="182">
        <v>4000</v>
      </c>
      <c r="R2160" s="46">
        <v>16.783000000000001</v>
      </c>
      <c r="S2160" s="46">
        <v>0</v>
      </c>
      <c r="T2160" s="46">
        <v>0</v>
      </c>
      <c r="U2160" s="46">
        <v>0</v>
      </c>
      <c r="V2160" s="46" t="s">
        <v>62</v>
      </c>
      <c r="W2160" s="46">
        <v>4000</v>
      </c>
      <c r="X2160" s="46">
        <v>16.783000000000001</v>
      </c>
      <c r="Y2160" s="193">
        <v>16.603999999999999</v>
      </c>
      <c r="Z2160" s="194">
        <v>15.462999999999999</v>
      </c>
      <c r="AA2160" s="194">
        <v>15.497999999999999</v>
      </c>
      <c r="AB2160" s="46">
        <v>15.56</v>
      </c>
      <c r="AC2160" s="46">
        <v>15.98</v>
      </c>
      <c r="AD2160" s="46">
        <v>15.5</v>
      </c>
      <c r="AE2160" s="46">
        <v>15.64</v>
      </c>
      <c r="AF2160" s="46">
        <v>4</v>
      </c>
      <c r="AG2160" s="46">
        <v>2000</v>
      </c>
      <c r="AH2160" s="46">
        <v>33006.199999999997</v>
      </c>
      <c r="AI2160" s="46">
        <v>16.503</v>
      </c>
      <c r="AJ2160" s="46">
        <v>4</v>
      </c>
      <c r="AK2160" s="46">
        <v>1600</v>
      </c>
      <c r="AL2160" s="46">
        <v>24742.252</v>
      </c>
      <c r="AM2160" s="46">
        <v>15.464</v>
      </c>
      <c r="AN2160" s="46" t="s">
        <v>63</v>
      </c>
      <c r="AO2160" s="46">
        <v>400</v>
      </c>
      <c r="AP2160" s="46">
        <v>8263.9480000000003</v>
      </c>
      <c r="AQ2160" s="46">
        <v>20.66</v>
      </c>
      <c r="AR2160" s="46">
        <v>-1662.4</v>
      </c>
      <c r="AS2160" s="46">
        <v>11</v>
      </c>
      <c r="AT2160" s="46">
        <v>6000</v>
      </c>
      <c r="AU2160" s="46">
        <v>100173.6</v>
      </c>
      <c r="AV2160" s="46">
        <v>16.696000000000002</v>
      </c>
      <c r="AW2160" s="46">
        <v>4</v>
      </c>
      <c r="AX2160" s="46">
        <v>1600</v>
      </c>
      <c r="AY2160" s="46">
        <v>24742.252</v>
      </c>
      <c r="AZ2160" s="46">
        <v>15.464</v>
      </c>
      <c r="BA2160" s="46" t="s">
        <v>63</v>
      </c>
      <c r="BB2160" s="46">
        <v>4400</v>
      </c>
      <c r="BC2160" s="46">
        <v>75431.347999999998</v>
      </c>
      <c r="BD2160" s="46">
        <v>17.143000000000001</v>
      </c>
      <c r="BE2160" s="46">
        <v>-1971.2</v>
      </c>
      <c r="BF2160" s="46">
        <v>67167.399999999994</v>
      </c>
      <c r="BG2160" s="46">
        <v>16.79</v>
      </c>
      <c r="BH2160" s="46">
        <v>0</v>
      </c>
      <c r="BJ2160">
        <v>67167.399999999994</v>
      </c>
      <c r="BK2160">
        <v>16.79</v>
      </c>
      <c r="BL2160">
        <v>-106.29</v>
      </c>
    </row>
    <row r="2161" spans="1:64" x14ac:dyDescent="0.25">
      <c r="A2161" s="136">
        <v>43129</v>
      </c>
      <c r="B2161" s="201" t="s">
        <v>65</v>
      </c>
      <c r="C2161" t="s">
        <v>127</v>
      </c>
      <c r="D2161">
        <v>5700</v>
      </c>
      <c r="E2161">
        <v>4100</v>
      </c>
      <c r="F2161">
        <v>8.1890000000000001</v>
      </c>
      <c r="G2161">
        <v>22180.93</v>
      </c>
      <c r="H2161">
        <v>47.52</v>
      </c>
      <c r="I2161" s="309">
        <v>68856</v>
      </c>
      <c r="J2161">
        <v>12.08</v>
      </c>
      <c r="K2161" s="133">
        <v>0.13275987606918799</v>
      </c>
      <c r="L2161" s="181">
        <v>-834.86999999999898</v>
      </c>
      <c r="M2161" s="133">
        <v>8.9993268687124803E-2</v>
      </c>
      <c r="N2161" s="73">
        <v>17271.5109999999</v>
      </c>
      <c r="O2161" s="73">
        <v>1799.6898887008999</v>
      </c>
      <c r="P2161" s="182">
        <v>0</v>
      </c>
      <c r="Q2161" s="182">
        <v>0</v>
      </c>
      <c r="R2161" s="46">
        <v>0</v>
      </c>
      <c r="S2161" s="46">
        <v>26</v>
      </c>
      <c r="T2161" s="46">
        <v>11500</v>
      </c>
      <c r="U2161" s="46">
        <v>12.414</v>
      </c>
      <c r="V2161" s="46" t="s">
        <v>68</v>
      </c>
      <c r="W2161" s="46">
        <v>11500</v>
      </c>
      <c r="X2161" s="46">
        <v>12.414</v>
      </c>
      <c r="Y2161" s="194">
        <v>12.087</v>
      </c>
      <c r="Z2161" s="194">
        <v>11.326000000000001</v>
      </c>
      <c r="AA2161" s="194">
        <v>11.73</v>
      </c>
      <c r="AB2161" s="46">
        <v>12.23</v>
      </c>
      <c r="AC2161" s="46">
        <v>12.39</v>
      </c>
      <c r="AD2161" s="46">
        <v>11.92</v>
      </c>
      <c r="AE2161" s="46">
        <v>12.08</v>
      </c>
      <c r="AF2161" s="46">
        <v>146</v>
      </c>
      <c r="AG2161" s="46">
        <v>80000</v>
      </c>
      <c r="AH2161" s="46">
        <v>935970.23100000003</v>
      </c>
      <c r="AI2161" s="46">
        <v>11.7</v>
      </c>
      <c r="AJ2161" s="46">
        <v>166</v>
      </c>
      <c r="AK2161" s="46">
        <v>72000</v>
      </c>
      <c r="AL2161" s="46">
        <v>745971.50100000005</v>
      </c>
      <c r="AM2161" s="46">
        <v>10.361000000000001</v>
      </c>
      <c r="AN2161" s="46" t="s">
        <v>63</v>
      </c>
      <c r="AO2161" s="46">
        <v>8000</v>
      </c>
      <c r="AP2161" s="46">
        <v>189998.73</v>
      </c>
      <c r="AQ2161" s="46">
        <v>23.75</v>
      </c>
      <c r="AR2161" s="46">
        <v>-96408</v>
      </c>
      <c r="AS2161" s="46">
        <v>147</v>
      </c>
      <c r="AT2161" s="46">
        <v>80100</v>
      </c>
      <c r="AU2161" s="46">
        <v>937258.23100000003</v>
      </c>
      <c r="AV2161" s="46">
        <v>11.701000000000001</v>
      </c>
      <c r="AW2161" s="46">
        <v>192</v>
      </c>
      <c r="AX2161" s="46">
        <v>83500</v>
      </c>
      <c r="AY2161" s="46">
        <v>888459.74</v>
      </c>
      <c r="AZ2161" s="46">
        <v>10.64</v>
      </c>
      <c r="BA2161" s="46" t="s">
        <v>69</v>
      </c>
      <c r="BB2161" s="46">
        <v>3400</v>
      </c>
      <c r="BC2161" s="46">
        <v>48798.491000000002</v>
      </c>
      <c r="BD2161" s="46">
        <v>14.352</v>
      </c>
      <c r="BE2161" s="46">
        <v>-84986.1</v>
      </c>
      <c r="BF2161" s="46">
        <v>1288</v>
      </c>
      <c r="BG2161" s="46">
        <v>13.66</v>
      </c>
      <c r="BH2161" s="46">
        <v>142488.239</v>
      </c>
      <c r="BI2161">
        <v>12.39</v>
      </c>
      <c r="BJ2161">
        <v>-141200.239</v>
      </c>
      <c r="BK2161">
        <v>-12.28</v>
      </c>
      <c r="BL2161">
        <v>-7980.79</v>
      </c>
    </row>
    <row r="2162" spans="1:64" x14ac:dyDescent="0.25">
      <c r="A2162" s="136">
        <v>43129</v>
      </c>
      <c r="B2162" s="201" t="s">
        <v>77</v>
      </c>
      <c r="C2162" t="s">
        <v>128</v>
      </c>
      <c r="D2162">
        <v>4300</v>
      </c>
      <c r="E2162">
        <v>4300</v>
      </c>
      <c r="F2162">
        <v>5.9779999999999998</v>
      </c>
      <c r="G2162">
        <v>-595.27</v>
      </c>
      <c r="H2162">
        <v>-2.31</v>
      </c>
      <c r="I2162" s="309">
        <v>25112</v>
      </c>
      <c r="J2162">
        <v>5.84</v>
      </c>
      <c r="K2162" s="133">
        <v>4.8417944810175501E-2</v>
      </c>
      <c r="L2162" s="181">
        <v>0</v>
      </c>
      <c r="M2162" s="133">
        <v>4.9565672988224001E-2</v>
      </c>
      <c r="N2162" s="73">
        <v>-1272.2139999999999</v>
      </c>
      <c r="O2162" s="73">
        <v>-133.073774655173</v>
      </c>
      <c r="P2162" s="182">
        <v>6</v>
      </c>
      <c r="Q2162" s="182">
        <v>3000</v>
      </c>
      <c r="R2162" s="46">
        <v>6.798</v>
      </c>
      <c r="S2162" s="46">
        <v>0</v>
      </c>
      <c r="T2162" s="46">
        <v>0</v>
      </c>
      <c r="U2162" s="46">
        <v>0</v>
      </c>
      <c r="V2162" s="46" t="s">
        <v>62</v>
      </c>
      <c r="W2162" s="46">
        <v>3000</v>
      </c>
      <c r="X2162" s="46">
        <v>6.798</v>
      </c>
      <c r="AF2162" s="46">
        <v>39</v>
      </c>
      <c r="AG2162" s="46">
        <v>19500</v>
      </c>
      <c r="AH2162" s="46">
        <v>142169</v>
      </c>
      <c r="AI2162" s="46">
        <v>7.2910000000000004</v>
      </c>
      <c r="AJ2162" s="46">
        <v>39</v>
      </c>
      <c r="AK2162" s="46">
        <v>18200</v>
      </c>
      <c r="AL2162" s="46">
        <v>136881.78599999999</v>
      </c>
      <c r="AM2162" s="46">
        <v>7.5209999999999999</v>
      </c>
      <c r="AN2162" s="46" t="s">
        <v>63</v>
      </c>
      <c r="AO2162" s="46">
        <v>1300</v>
      </c>
      <c r="AP2162" s="46">
        <v>5287.2139999999999</v>
      </c>
      <c r="AQ2162" s="46">
        <v>4.0670000000000002</v>
      </c>
      <c r="AR2162" s="46">
        <v>4186</v>
      </c>
      <c r="AS2162" s="46">
        <v>45</v>
      </c>
      <c r="AT2162" s="46">
        <v>22500</v>
      </c>
      <c r="AU2162" s="46">
        <v>162594</v>
      </c>
      <c r="AV2162" s="46">
        <v>7.226</v>
      </c>
      <c r="AW2162" s="46">
        <v>39</v>
      </c>
      <c r="AX2162" s="46">
        <v>18200</v>
      </c>
      <c r="AY2162" s="46">
        <v>136881.78599999999</v>
      </c>
      <c r="AZ2162" s="46">
        <v>7.5209999999999999</v>
      </c>
      <c r="BA2162" s="46" t="s">
        <v>63</v>
      </c>
      <c r="BB2162" s="46">
        <v>4300</v>
      </c>
      <c r="BC2162" s="46">
        <v>25712.214</v>
      </c>
      <c r="BD2162" s="46">
        <v>5.98</v>
      </c>
      <c r="BE2162" s="46">
        <v>5369</v>
      </c>
      <c r="BF2162" s="46">
        <v>20425</v>
      </c>
      <c r="BG2162" s="46">
        <v>6.81</v>
      </c>
      <c r="BH2162" s="46">
        <v>0</v>
      </c>
      <c r="BJ2162">
        <v>20425</v>
      </c>
      <c r="BK2162">
        <v>6.81</v>
      </c>
      <c r="BL2162">
        <v>716.78</v>
      </c>
    </row>
    <row r="2163" spans="1:64" x14ac:dyDescent="0.25">
      <c r="A2163" s="136">
        <v>43129</v>
      </c>
      <c r="B2163" s="201" t="s">
        <v>67</v>
      </c>
      <c r="C2163" t="s">
        <v>129</v>
      </c>
      <c r="D2163">
        <v>4850</v>
      </c>
      <c r="E2163">
        <v>4850</v>
      </c>
      <c r="F2163">
        <v>8.5839999999999996</v>
      </c>
      <c r="G2163">
        <v>999.49</v>
      </c>
      <c r="H2163">
        <v>2.4</v>
      </c>
      <c r="I2163" s="309">
        <v>42631.5</v>
      </c>
      <c r="J2163">
        <v>8.7899999999999991</v>
      </c>
      <c r="K2163" s="133">
        <v>8.2196942265649803E-2</v>
      </c>
      <c r="L2163" s="181">
        <v>216.96</v>
      </c>
      <c r="M2163" s="133">
        <v>8.0269845592413E-2</v>
      </c>
      <c r="N2163" s="73">
        <v>1142.7289999997699</v>
      </c>
      <c r="O2163" s="73">
        <v>129.49633055552999</v>
      </c>
      <c r="P2163" s="182">
        <v>0</v>
      </c>
      <c r="Q2163" s="182">
        <v>0</v>
      </c>
      <c r="R2163" s="46">
        <v>0</v>
      </c>
      <c r="S2163" s="46">
        <v>6</v>
      </c>
      <c r="T2163" s="46">
        <v>2400</v>
      </c>
      <c r="U2163" s="46">
        <v>8.73</v>
      </c>
      <c r="V2163" s="46" t="s">
        <v>68</v>
      </c>
      <c r="W2163" s="46">
        <v>2400</v>
      </c>
      <c r="X2163" s="46">
        <v>8.73</v>
      </c>
      <c r="Y2163" s="194">
        <v>8.3469999999999995</v>
      </c>
      <c r="Z2163" s="194">
        <v>7.7510000000000003</v>
      </c>
      <c r="AA2163" s="194">
        <v>8.6780000000000008</v>
      </c>
      <c r="AB2163" s="46">
        <v>8.73</v>
      </c>
      <c r="AC2163" s="46">
        <v>8.8699999999999992</v>
      </c>
      <c r="AD2163" s="46">
        <v>8.6199999999999992</v>
      </c>
      <c r="AE2163" s="46">
        <v>8.7899999999999991</v>
      </c>
      <c r="AF2163" s="46">
        <v>161</v>
      </c>
      <c r="AG2163" s="46">
        <v>80300</v>
      </c>
      <c r="AH2163" s="46">
        <v>664123</v>
      </c>
      <c r="AI2163" s="46">
        <v>8.2710000000000008</v>
      </c>
      <c r="AJ2163" s="46">
        <v>163</v>
      </c>
      <c r="AK2163" s="46">
        <v>75650</v>
      </c>
      <c r="AL2163" s="46">
        <v>670715.79700000002</v>
      </c>
      <c r="AM2163" s="46">
        <v>8.8659999999999997</v>
      </c>
      <c r="AN2163" s="46" t="s">
        <v>63</v>
      </c>
      <c r="AO2163" s="46">
        <v>4650</v>
      </c>
      <c r="AP2163" s="46">
        <v>6592.7969999999996</v>
      </c>
      <c r="AQ2163" s="46">
        <v>1.4179999999999999</v>
      </c>
      <c r="AR2163" s="46">
        <v>45011.75</v>
      </c>
      <c r="AS2163" s="46">
        <v>161</v>
      </c>
      <c r="AT2163" s="46">
        <v>80300</v>
      </c>
      <c r="AU2163" s="46">
        <v>664123</v>
      </c>
      <c r="AV2163" s="46">
        <v>8.2710000000000008</v>
      </c>
      <c r="AW2163" s="46">
        <v>169</v>
      </c>
      <c r="AX2163" s="46">
        <v>78050</v>
      </c>
      <c r="AY2163" s="46">
        <v>691616.84499999997</v>
      </c>
      <c r="AZ2163" s="46">
        <v>8.8610000000000007</v>
      </c>
      <c r="BA2163" s="46" t="s">
        <v>63</v>
      </c>
      <c r="BB2163" s="46">
        <v>2250</v>
      </c>
      <c r="BC2163" s="46">
        <v>27493.845000000001</v>
      </c>
      <c r="BD2163" s="46">
        <v>12.218999999999999</v>
      </c>
      <c r="BE2163" s="46">
        <v>46049.5</v>
      </c>
      <c r="BF2163" s="46">
        <v>0</v>
      </c>
      <c r="BH2163" s="46">
        <v>20901.047999999999</v>
      </c>
      <c r="BI2163">
        <v>8.7100000000000009</v>
      </c>
      <c r="BJ2163">
        <v>20901.047999999999</v>
      </c>
      <c r="BK2163">
        <v>8.7100000000000009</v>
      </c>
      <c r="BL2163">
        <v>5120.79</v>
      </c>
    </row>
    <row r="2164" spans="1:64" x14ac:dyDescent="0.25">
      <c r="A2164" s="136">
        <v>43129</v>
      </c>
      <c r="B2164" s="201" t="s">
        <v>78</v>
      </c>
      <c r="C2164" t="s">
        <v>142</v>
      </c>
      <c r="D2164">
        <v>100</v>
      </c>
      <c r="E2164">
        <v>100</v>
      </c>
      <c r="F2164">
        <v>8.8810000000000002</v>
      </c>
      <c r="G2164">
        <v>133.87</v>
      </c>
      <c r="H2164">
        <v>15.08</v>
      </c>
      <c r="I2164" s="309">
        <v>1022</v>
      </c>
      <c r="J2164">
        <v>10.220000000000001</v>
      </c>
      <c r="K2164" s="133">
        <v>1.9704977539024898E-3</v>
      </c>
      <c r="L2164" s="181">
        <v>-13</v>
      </c>
      <c r="M2164" s="133">
        <v>1.7123856851011901E-3</v>
      </c>
      <c r="N2164" s="73">
        <v>171.86799999999999</v>
      </c>
      <c r="O2164" s="73">
        <v>16.205855283018799</v>
      </c>
      <c r="P2164" s="182">
        <v>0</v>
      </c>
      <c r="Q2164" s="182">
        <v>0</v>
      </c>
      <c r="R2164" s="46">
        <v>0</v>
      </c>
      <c r="S2164" s="46">
        <v>2</v>
      </c>
      <c r="T2164" s="46">
        <v>500</v>
      </c>
      <c r="U2164" s="46">
        <v>10.368</v>
      </c>
      <c r="V2164" s="46" t="s">
        <v>68</v>
      </c>
      <c r="W2164" s="46">
        <v>500</v>
      </c>
      <c r="X2164" s="46">
        <v>10.368</v>
      </c>
      <c r="Y2164" s="194">
        <v>10.250999999999999</v>
      </c>
      <c r="Z2164" s="194">
        <v>10.734999999999999</v>
      </c>
      <c r="AA2164" s="194">
        <v>10.637</v>
      </c>
      <c r="AB2164" s="46">
        <v>10.37</v>
      </c>
      <c r="AC2164" s="46">
        <v>10.4</v>
      </c>
      <c r="AD2164" s="46">
        <v>10.18</v>
      </c>
      <c r="AE2164" s="46">
        <v>10.220000000000001</v>
      </c>
      <c r="AF2164" s="46">
        <v>6</v>
      </c>
      <c r="AG2164" s="46">
        <v>3000</v>
      </c>
      <c r="AH2164" s="46">
        <v>30950</v>
      </c>
      <c r="AI2164" s="46">
        <v>10.317</v>
      </c>
      <c r="AJ2164" s="46">
        <v>6</v>
      </c>
      <c r="AK2164" s="46">
        <v>2400</v>
      </c>
      <c r="AL2164" s="46">
        <v>24893.052</v>
      </c>
      <c r="AM2164" s="46">
        <v>10.372</v>
      </c>
      <c r="AN2164" s="46" t="s">
        <v>63</v>
      </c>
      <c r="AO2164" s="46">
        <v>600</v>
      </c>
      <c r="AP2164" s="46">
        <v>6056.9480000000003</v>
      </c>
      <c r="AQ2164" s="46">
        <v>10.095000000000001</v>
      </c>
      <c r="AR2164" s="46">
        <v>132</v>
      </c>
      <c r="AS2164" s="46">
        <v>6</v>
      </c>
      <c r="AT2164" s="46">
        <v>3000</v>
      </c>
      <c r="AU2164" s="46">
        <v>30950</v>
      </c>
      <c r="AV2164" s="46">
        <v>10.317</v>
      </c>
      <c r="AW2164" s="46">
        <v>8</v>
      </c>
      <c r="AX2164" s="46">
        <v>2900</v>
      </c>
      <c r="AY2164" s="46">
        <v>30061.867999999999</v>
      </c>
      <c r="AZ2164" s="46">
        <v>10.366</v>
      </c>
      <c r="BA2164" s="46" t="s">
        <v>63</v>
      </c>
      <c r="BB2164" s="46">
        <v>100</v>
      </c>
      <c r="BC2164" s="46">
        <v>888.13199999999995</v>
      </c>
      <c r="BD2164" s="46">
        <v>8.8810000000000002</v>
      </c>
      <c r="BE2164" s="46">
        <v>142.1</v>
      </c>
      <c r="BF2164" s="46">
        <v>0</v>
      </c>
      <c r="BH2164" s="46">
        <v>5168.8159999999998</v>
      </c>
      <c r="BI2164">
        <v>10.34</v>
      </c>
      <c r="BJ2164">
        <v>-5168.8159999999998</v>
      </c>
      <c r="BK2164">
        <v>-10.34</v>
      </c>
      <c r="BL2164">
        <v>12.92</v>
      </c>
    </row>
    <row r="2165" spans="1:64" x14ac:dyDescent="0.25">
      <c r="A2165" s="136">
        <v>43129</v>
      </c>
      <c r="B2165" s="201" t="s">
        <v>72</v>
      </c>
      <c r="C2165" t="s">
        <v>130</v>
      </c>
      <c r="D2165">
        <v>2600</v>
      </c>
      <c r="E2165">
        <v>1700</v>
      </c>
      <c r="F2165">
        <v>6.9960000000000004</v>
      </c>
      <c r="G2165">
        <v>-302.45</v>
      </c>
      <c r="H2165">
        <v>-1.66</v>
      </c>
      <c r="I2165" s="309">
        <v>17888</v>
      </c>
      <c r="J2165">
        <v>6.88</v>
      </c>
      <c r="K2165" s="133">
        <v>3.4489494933275702E-2</v>
      </c>
      <c r="L2165" s="181">
        <v>-345</v>
      </c>
      <c r="M2165" s="133">
        <v>3.5072642727471202E-2</v>
      </c>
      <c r="N2165" s="73">
        <v>-394.16399999999601</v>
      </c>
      <c r="O2165" s="73">
        <v>-24.872694516592102</v>
      </c>
      <c r="P2165" s="182">
        <v>0</v>
      </c>
      <c r="Q2165" s="182">
        <v>0</v>
      </c>
      <c r="R2165" s="46">
        <v>0</v>
      </c>
      <c r="S2165" s="46">
        <v>12</v>
      </c>
      <c r="T2165" s="46">
        <v>4900</v>
      </c>
      <c r="U2165" s="46">
        <v>8.0609999999999999</v>
      </c>
      <c r="V2165" s="46" t="s">
        <v>68</v>
      </c>
      <c r="W2165" s="46">
        <v>4900</v>
      </c>
      <c r="X2165" s="46">
        <v>8.0609999999999999</v>
      </c>
      <c r="Y2165" s="194">
        <v>6.907</v>
      </c>
      <c r="Z2165" s="194">
        <v>7.0250000000000004</v>
      </c>
      <c r="AA2165" s="194">
        <v>7.1139999999999999</v>
      </c>
      <c r="AB2165" s="46">
        <v>7.03</v>
      </c>
      <c r="AC2165" s="46">
        <v>7.09</v>
      </c>
      <c r="AD2165" s="46">
        <v>6.8</v>
      </c>
      <c r="AE2165" s="46">
        <v>6.88</v>
      </c>
      <c r="AF2165" s="46">
        <v>28</v>
      </c>
      <c r="AG2165" s="46">
        <v>14000</v>
      </c>
      <c r="AH2165" s="46">
        <v>109210</v>
      </c>
      <c r="AI2165" s="46">
        <v>7.8010000000000002</v>
      </c>
      <c r="AJ2165" s="46">
        <v>28</v>
      </c>
      <c r="AK2165" s="46">
        <v>13100</v>
      </c>
      <c r="AL2165" s="46">
        <v>52350.521999999997</v>
      </c>
      <c r="AM2165" s="46">
        <v>3.996</v>
      </c>
      <c r="AN2165" s="46" t="s">
        <v>63</v>
      </c>
      <c r="AO2165" s="46">
        <v>900</v>
      </c>
      <c r="AP2165" s="46">
        <v>56859.478000000003</v>
      </c>
      <c r="AQ2165" s="46">
        <v>63.177</v>
      </c>
      <c r="AR2165" s="46">
        <v>-49845.5</v>
      </c>
      <c r="AS2165" s="46">
        <v>28</v>
      </c>
      <c r="AT2165" s="46">
        <v>14000</v>
      </c>
      <c r="AU2165" s="46">
        <v>109210</v>
      </c>
      <c r="AV2165" s="46">
        <v>7.8010000000000002</v>
      </c>
      <c r="AW2165" s="46">
        <v>41</v>
      </c>
      <c r="AX2165" s="46">
        <v>18500</v>
      </c>
      <c r="AY2165" s="46">
        <v>91752.020999999993</v>
      </c>
      <c r="AZ2165" s="46">
        <v>4.96</v>
      </c>
      <c r="BA2165" s="46" t="s">
        <v>69</v>
      </c>
      <c r="BB2165" s="46">
        <v>4500</v>
      </c>
      <c r="BC2165" s="46">
        <v>17457.978999999999</v>
      </c>
      <c r="BD2165" s="46">
        <v>3.88</v>
      </c>
      <c r="BE2165" s="46">
        <v>-39774</v>
      </c>
      <c r="BF2165" s="46">
        <v>0</v>
      </c>
      <c r="BH2165" s="46">
        <v>39401.499000000003</v>
      </c>
      <c r="BI2165">
        <v>8.0399999999999991</v>
      </c>
      <c r="BJ2165">
        <v>-39401.499000000003</v>
      </c>
      <c r="BK2165">
        <v>-8.0399999999999991</v>
      </c>
      <c r="BL2165">
        <v>-7244.99</v>
      </c>
    </row>
    <row r="2166" spans="1:64" x14ac:dyDescent="0.25">
      <c r="A2166" s="136">
        <v>43129</v>
      </c>
      <c r="B2166" s="201" t="s">
        <v>70</v>
      </c>
      <c r="C2166" t="s">
        <v>131</v>
      </c>
      <c r="D2166">
        <v>10000</v>
      </c>
      <c r="E2166">
        <v>10000</v>
      </c>
      <c r="F2166">
        <v>12.237</v>
      </c>
      <c r="G2166">
        <v>-13566.66</v>
      </c>
      <c r="H2166">
        <v>-11.09</v>
      </c>
      <c r="I2166" s="309">
        <v>108800</v>
      </c>
      <c r="J2166">
        <v>10.88</v>
      </c>
      <c r="K2166" s="133">
        <v>0.20977510335087199</v>
      </c>
      <c r="L2166" s="181">
        <v>-700</v>
      </c>
      <c r="M2166" s="133">
        <v>0.23593270908273001</v>
      </c>
      <c r="N2166" s="73">
        <v>-12365.654</v>
      </c>
      <c r="O2166" s="73">
        <v>-1123.5882884545499</v>
      </c>
      <c r="P2166" s="182">
        <v>0</v>
      </c>
      <c r="Q2166" s="182">
        <v>0</v>
      </c>
      <c r="R2166" s="46">
        <v>0</v>
      </c>
      <c r="S2166" s="46">
        <v>5</v>
      </c>
      <c r="T2166" s="46">
        <v>2000</v>
      </c>
      <c r="U2166" s="46">
        <v>12.997999999999999</v>
      </c>
      <c r="V2166" s="46" t="s">
        <v>68</v>
      </c>
      <c r="W2166" s="46">
        <v>2000</v>
      </c>
      <c r="X2166" s="46">
        <v>12.997999999999999</v>
      </c>
      <c r="Y2166" s="194">
        <v>10.87</v>
      </c>
      <c r="Z2166" s="194">
        <v>12.079000000000001</v>
      </c>
      <c r="AA2166" s="194">
        <v>12.038</v>
      </c>
      <c r="AB2166" s="46">
        <v>11</v>
      </c>
      <c r="AC2166" s="46">
        <v>11.01</v>
      </c>
      <c r="AD2166" s="46">
        <v>10.85</v>
      </c>
      <c r="AE2166" s="46">
        <v>10.88</v>
      </c>
      <c r="AF2166" s="46">
        <v>126</v>
      </c>
      <c r="AG2166" s="46">
        <v>62600</v>
      </c>
      <c r="AH2166" s="46">
        <v>843048</v>
      </c>
      <c r="AI2166" s="46">
        <v>13.467000000000001</v>
      </c>
      <c r="AJ2166" s="46">
        <v>126</v>
      </c>
      <c r="AK2166" s="46">
        <v>50600</v>
      </c>
      <c r="AL2166" s="46">
        <v>694332.34199999995</v>
      </c>
      <c r="AM2166" s="46">
        <v>13.722</v>
      </c>
      <c r="AN2166" s="46" t="s">
        <v>63</v>
      </c>
      <c r="AO2166" s="46">
        <v>12000</v>
      </c>
      <c r="AP2166" s="46">
        <v>148715.658</v>
      </c>
      <c r="AQ2166" s="46">
        <v>12.393000000000001</v>
      </c>
      <c r="AR2166" s="46">
        <v>12903</v>
      </c>
      <c r="AS2166" s="46">
        <v>126</v>
      </c>
      <c r="AT2166" s="46">
        <v>62600</v>
      </c>
      <c r="AU2166" s="46">
        <v>843048</v>
      </c>
      <c r="AV2166" s="46">
        <v>13.467000000000001</v>
      </c>
      <c r="AW2166" s="46">
        <v>132</v>
      </c>
      <c r="AX2166" s="46">
        <v>52600</v>
      </c>
      <c r="AY2166" s="46">
        <v>720682.34600000002</v>
      </c>
      <c r="AZ2166" s="46">
        <v>13.701000000000001</v>
      </c>
      <c r="BA2166" s="46" t="s">
        <v>63</v>
      </c>
      <c r="BB2166" s="46">
        <v>10000</v>
      </c>
      <c r="BC2166" s="46">
        <v>122365.65399999999</v>
      </c>
      <c r="BD2166" s="46">
        <v>12.237</v>
      </c>
      <c r="BE2166" s="46">
        <v>12308.4</v>
      </c>
      <c r="BF2166" s="46">
        <v>0</v>
      </c>
      <c r="BH2166" s="46">
        <v>26350.003999999801</v>
      </c>
      <c r="BI2166">
        <v>13.18</v>
      </c>
      <c r="BJ2166">
        <v>-26350.004000000001</v>
      </c>
      <c r="BK2166">
        <v>-13.18</v>
      </c>
      <c r="BL2166">
        <v>1185.94</v>
      </c>
    </row>
    <row r="2167" spans="1:64" x14ac:dyDescent="0.25">
      <c r="A2167" s="136">
        <v>43129</v>
      </c>
      <c r="B2167" s="201" t="s">
        <v>137</v>
      </c>
      <c r="C2167" t="s">
        <v>138</v>
      </c>
      <c r="D2167">
        <v>100</v>
      </c>
      <c r="E2167">
        <v>100</v>
      </c>
      <c r="F2167">
        <v>-130.48500000000001</v>
      </c>
      <c r="G2167">
        <v>16646.5</v>
      </c>
      <c r="H2167">
        <v>0</v>
      </c>
      <c r="I2167" s="309">
        <v>3598</v>
      </c>
      <c r="J2167">
        <v>35.979999999999997</v>
      </c>
      <c r="K2167" s="133">
        <v>6.9372318185334297E-3</v>
      </c>
      <c r="L2167" s="181">
        <v>-62</v>
      </c>
      <c r="M2167" s="133">
        <v>0</v>
      </c>
    </row>
    <row r="2168" spans="1:64" x14ac:dyDescent="0.25">
      <c r="A2168" s="136">
        <v>43129</v>
      </c>
      <c r="B2168" s="201" t="s">
        <v>835</v>
      </c>
      <c r="C2168" t="s">
        <v>839</v>
      </c>
      <c r="I2168" s="309">
        <v>6187.94</v>
      </c>
      <c r="K2168" s="133">
        <v>1.19308433182812E-2</v>
      </c>
      <c r="L2168" s="181">
        <v>0</v>
      </c>
      <c r="M2168" s="133">
        <v>0.32940124555510097</v>
      </c>
    </row>
    <row r="2169" spans="1:64" x14ac:dyDescent="0.25">
      <c r="A2169" s="136">
        <v>43130</v>
      </c>
      <c r="B2169" s="201" t="s">
        <v>132</v>
      </c>
      <c r="C2169" t="s">
        <v>123</v>
      </c>
      <c r="D2169">
        <v>16469285</v>
      </c>
      <c r="E2169">
        <v>16469285</v>
      </c>
      <c r="F2169">
        <v>0.01</v>
      </c>
      <c r="G2169">
        <v>2932.41</v>
      </c>
      <c r="H2169">
        <v>0</v>
      </c>
      <c r="I2169" s="309">
        <v>164692.85</v>
      </c>
      <c r="J2169">
        <v>0.01</v>
      </c>
      <c r="K2169" s="133">
        <v>0.31929566328808601</v>
      </c>
      <c r="L2169" s="181">
        <v>36.609999999999701</v>
      </c>
      <c r="M2169" s="133">
        <v>0</v>
      </c>
    </row>
    <row r="2170" spans="1:64" x14ac:dyDescent="0.25">
      <c r="A2170" s="136">
        <v>43130</v>
      </c>
      <c r="B2170" s="201" t="s">
        <v>61</v>
      </c>
      <c r="C2170" t="s">
        <v>136</v>
      </c>
      <c r="D2170">
        <v>1800</v>
      </c>
      <c r="E2170">
        <v>1800</v>
      </c>
      <c r="F2170">
        <v>5.2809999999999997</v>
      </c>
      <c r="G2170">
        <v>52.21</v>
      </c>
      <c r="H2170">
        <v>0.55000000000000004</v>
      </c>
      <c r="I2170" s="309">
        <v>9558</v>
      </c>
      <c r="J2170">
        <v>5.31</v>
      </c>
      <c r="K2170" s="133">
        <v>1.8530421628549901E-2</v>
      </c>
      <c r="L2170" s="181">
        <v>-54</v>
      </c>
      <c r="M2170" s="133">
        <v>1.84292003151761E-2</v>
      </c>
      <c r="N2170" s="73">
        <v>299.61499999999802</v>
      </c>
      <c r="O2170" s="73">
        <v>54.947741743118897</v>
      </c>
      <c r="P2170" s="182">
        <v>2</v>
      </c>
      <c r="Q2170" s="182">
        <v>1000</v>
      </c>
      <c r="R2170" s="46">
        <v>5.3849999999999998</v>
      </c>
      <c r="S2170" s="46">
        <v>0</v>
      </c>
      <c r="T2170" s="46">
        <v>0</v>
      </c>
      <c r="U2170" s="46">
        <v>0</v>
      </c>
      <c r="V2170" s="46" t="s">
        <v>62</v>
      </c>
      <c r="W2170" s="46">
        <v>1000</v>
      </c>
      <c r="X2170" s="46">
        <v>5.3849999999999998</v>
      </c>
      <c r="Y2170" s="194">
        <v>5.274</v>
      </c>
      <c r="Z2170" s="194">
        <v>5.0679999999999996</v>
      </c>
      <c r="AA2170" s="194">
        <v>5.2220000000000004</v>
      </c>
      <c r="AB2170" s="46">
        <v>5.33</v>
      </c>
      <c r="AC2170" s="46">
        <v>5.35</v>
      </c>
      <c r="AD2170" s="46">
        <v>5.31</v>
      </c>
      <c r="AE2170" s="46">
        <v>5.31</v>
      </c>
      <c r="AF2170" s="46">
        <v>9</v>
      </c>
      <c r="AG2170" s="46">
        <v>4500</v>
      </c>
      <c r="AH2170" s="46">
        <v>23912.7</v>
      </c>
      <c r="AI2170" s="46">
        <v>5.3140000000000001</v>
      </c>
      <c r="AJ2170" s="46">
        <v>9</v>
      </c>
      <c r="AK2170" s="46">
        <v>3700</v>
      </c>
      <c r="AL2170" s="46">
        <v>19797.915000000001</v>
      </c>
      <c r="AM2170" s="46">
        <v>5.351</v>
      </c>
      <c r="AN2170" s="46" t="s">
        <v>63</v>
      </c>
      <c r="AO2170" s="46">
        <v>800</v>
      </c>
      <c r="AP2170" s="46">
        <v>4114.7849999999999</v>
      </c>
      <c r="AQ2170" s="46">
        <v>5.1429999999999998</v>
      </c>
      <c r="AR2170" s="46">
        <v>136.9</v>
      </c>
      <c r="AS2170" s="46">
        <v>11</v>
      </c>
      <c r="AT2170" s="46">
        <v>5500</v>
      </c>
      <c r="AU2170" s="46">
        <v>29308.3</v>
      </c>
      <c r="AV2170" s="46">
        <v>5.3289999999999997</v>
      </c>
      <c r="AW2170" s="46">
        <v>9</v>
      </c>
      <c r="AX2170" s="46">
        <v>3700</v>
      </c>
      <c r="AY2170" s="46">
        <v>19797.915000000001</v>
      </c>
      <c r="AZ2170" s="46">
        <v>5.351</v>
      </c>
      <c r="BA2170" s="46" t="s">
        <v>63</v>
      </c>
      <c r="BB2170" s="46">
        <v>1800</v>
      </c>
      <c r="BC2170" s="46">
        <v>9510.3850000000002</v>
      </c>
      <c r="BD2170" s="46">
        <v>5.2839999999999998</v>
      </c>
      <c r="BE2170" s="46">
        <v>81.400000000000006</v>
      </c>
      <c r="BF2170" s="46">
        <v>5395.6</v>
      </c>
      <c r="BG2170" s="46">
        <v>5.4</v>
      </c>
      <c r="BH2170" s="46">
        <v>0</v>
      </c>
      <c r="BJ2170">
        <v>5395.6</v>
      </c>
      <c r="BK2170">
        <v>5.4</v>
      </c>
      <c r="BL2170">
        <v>25.78</v>
      </c>
    </row>
    <row r="2171" spans="1:64" x14ac:dyDescent="0.25">
      <c r="A2171" s="136">
        <v>43130</v>
      </c>
      <c r="B2171" s="201" t="s">
        <v>124</v>
      </c>
      <c r="C2171" t="s">
        <v>125</v>
      </c>
      <c r="D2171">
        <v>100</v>
      </c>
      <c r="E2171">
        <v>100</v>
      </c>
      <c r="F2171">
        <v>-53.579000000000001</v>
      </c>
      <c r="G2171">
        <v>6085.9</v>
      </c>
      <c r="H2171">
        <v>0</v>
      </c>
      <c r="I2171" s="309">
        <v>728</v>
      </c>
      <c r="J2171">
        <v>7.28</v>
      </c>
      <c r="K2171" s="133">
        <v>1.41139850864034E-3</v>
      </c>
      <c r="L2171" s="181">
        <v>-15</v>
      </c>
      <c r="M2171" s="133">
        <v>0</v>
      </c>
      <c r="Y2171" s="194">
        <v>7.2720000000000002</v>
      </c>
      <c r="Z2171" s="193">
        <v>5.5529999999999999</v>
      </c>
      <c r="AA2171" s="193">
        <v>6.1230000000000002</v>
      </c>
      <c r="AB2171" s="46">
        <v>7.4</v>
      </c>
      <c r="AC2171" s="46">
        <v>7.42</v>
      </c>
      <c r="AD2171" s="46">
        <v>7.21</v>
      </c>
      <c r="AE2171" s="46">
        <v>7.28</v>
      </c>
    </row>
    <row r="2172" spans="1:64" x14ac:dyDescent="0.25">
      <c r="A2172" s="136">
        <v>43130</v>
      </c>
      <c r="B2172" s="201" t="s">
        <v>71</v>
      </c>
      <c r="C2172" t="s">
        <v>126</v>
      </c>
      <c r="D2172">
        <v>100</v>
      </c>
      <c r="E2172">
        <v>100</v>
      </c>
      <c r="F2172">
        <v>-17.085999999999999</v>
      </c>
      <c r="G2172">
        <v>2423.6</v>
      </c>
      <c r="H2172">
        <v>0</v>
      </c>
      <c r="I2172" s="309">
        <v>715</v>
      </c>
      <c r="J2172">
        <v>7.15</v>
      </c>
      <c r="K2172" s="133">
        <v>1.38619496384319E-3</v>
      </c>
      <c r="L2172" s="181">
        <v>-13</v>
      </c>
      <c r="M2172" s="133">
        <v>0</v>
      </c>
      <c r="N2172" s="73">
        <v>1703.3019999999999</v>
      </c>
      <c r="O2172" s="73">
        <v>341.114950423729</v>
      </c>
      <c r="P2172" s="182">
        <v>0</v>
      </c>
      <c r="Q2172" s="182">
        <v>0</v>
      </c>
      <c r="R2172" s="46">
        <v>0</v>
      </c>
      <c r="S2172" s="46">
        <v>7</v>
      </c>
      <c r="T2172" s="46">
        <v>2800</v>
      </c>
      <c r="U2172" s="46">
        <v>6.6749999999999998</v>
      </c>
      <c r="V2172" s="46" t="s">
        <v>68</v>
      </c>
      <c r="W2172" s="46">
        <v>2800</v>
      </c>
      <c r="X2172" s="46">
        <v>6.6749999999999998</v>
      </c>
      <c r="Y2172" s="194">
        <v>7.0979999999999999</v>
      </c>
      <c r="Z2172" s="194">
        <v>6.157</v>
      </c>
      <c r="AA2172" s="194">
        <v>6.6369999999999996</v>
      </c>
      <c r="AB2172" s="46">
        <v>7.25</v>
      </c>
      <c r="AC2172" s="46">
        <v>7.31</v>
      </c>
      <c r="AD2172" s="46">
        <v>7.13</v>
      </c>
      <c r="AE2172" s="46">
        <v>7.15</v>
      </c>
      <c r="AF2172" s="46">
        <v>41</v>
      </c>
      <c r="AG2172" s="46">
        <v>20600</v>
      </c>
      <c r="AH2172" s="46">
        <v>131323.35999999999</v>
      </c>
      <c r="AI2172" s="46">
        <v>6.375</v>
      </c>
      <c r="AJ2172" s="46">
        <v>39</v>
      </c>
      <c r="AK2172" s="46">
        <v>17700</v>
      </c>
      <c r="AL2172" s="46">
        <v>114228.83100000001</v>
      </c>
      <c r="AM2172" s="46">
        <v>6.4539999999999997</v>
      </c>
      <c r="AN2172" s="46" t="s">
        <v>63</v>
      </c>
      <c r="AO2172" s="46">
        <v>2900</v>
      </c>
      <c r="AP2172" s="46">
        <v>17094.528999999999</v>
      </c>
      <c r="AQ2172" s="46">
        <v>5.8949999999999996</v>
      </c>
      <c r="AR2172" s="46">
        <v>1398.3</v>
      </c>
      <c r="AS2172" s="46">
        <v>41</v>
      </c>
      <c r="AT2172" s="46">
        <v>20600</v>
      </c>
      <c r="AU2172" s="46">
        <v>131323.35999999999</v>
      </c>
      <c r="AV2172" s="46">
        <v>6.375</v>
      </c>
      <c r="AW2172" s="46">
        <v>46</v>
      </c>
      <c r="AX2172" s="46">
        <v>20500</v>
      </c>
      <c r="AY2172" s="46">
        <v>132870.462</v>
      </c>
      <c r="AZ2172" s="46">
        <v>6.4809999999999999</v>
      </c>
      <c r="BA2172" s="46" t="s">
        <v>63</v>
      </c>
      <c r="BB2172" s="46">
        <v>100</v>
      </c>
      <c r="BC2172" s="46">
        <v>1547.1020000000001</v>
      </c>
      <c r="BD2172" s="46">
        <v>15.471</v>
      </c>
      <c r="BE2172" s="46">
        <v>2173</v>
      </c>
      <c r="BF2172" s="46">
        <v>0</v>
      </c>
      <c r="BH2172" s="46">
        <v>18641.631000000001</v>
      </c>
      <c r="BI2172">
        <v>6.66</v>
      </c>
      <c r="BJ2172">
        <v>-15547.427</v>
      </c>
      <c r="BK2172">
        <v>-5.55</v>
      </c>
      <c r="BL2172">
        <v>195.57</v>
      </c>
    </row>
    <row r="2173" spans="1:64" x14ac:dyDescent="0.25">
      <c r="A2173" s="136">
        <v>43130</v>
      </c>
      <c r="B2173" s="201" t="s">
        <v>79</v>
      </c>
      <c r="C2173" t="s">
        <v>143</v>
      </c>
      <c r="D2173">
        <v>3200</v>
      </c>
      <c r="E2173">
        <v>3200</v>
      </c>
      <c r="F2173">
        <v>17.548999999999999</v>
      </c>
      <c r="G2173">
        <v>-4571.97</v>
      </c>
      <c r="H2173">
        <v>-8.14</v>
      </c>
      <c r="I2173" s="309">
        <v>51584</v>
      </c>
      <c r="J2173">
        <v>16.12</v>
      </c>
      <c r="K2173" s="133">
        <v>0.100007665755087</v>
      </c>
      <c r="L2173" s="181">
        <v>2041.3</v>
      </c>
      <c r="M2173" s="133">
        <v>0.108871500424796</v>
      </c>
      <c r="N2173" s="73">
        <v>-4190.3760000000502</v>
      </c>
      <c r="O2173" s="73">
        <v>-257.89906477832898</v>
      </c>
      <c r="P2173" s="182">
        <v>5</v>
      </c>
      <c r="Q2173" s="182">
        <v>3000</v>
      </c>
      <c r="R2173" s="46">
        <v>17.204999999999998</v>
      </c>
      <c r="S2173" s="46">
        <v>1</v>
      </c>
      <c r="T2173" s="46">
        <v>400</v>
      </c>
      <c r="U2173" s="46">
        <v>16.239999999999998</v>
      </c>
      <c r="V2173" s="46" t="s">
        <v>62</v>
      </c>
      <c r="W2173" s="46">
        <v>2600</v>
      </c>
      <c r="X2173" s="46">
        <v>17.353000000000002</v>
      </c>
      <c r="Y2173" s="193">
        <v>15.978999999999999</v>
      </c>
      <c r="Z2173" s="194">
        <v>15.441000000000001</v>
      </c>
      <c r="AA2173" s="194">
        <v>15.542999999999999</v>
      </c>
      <c r="AB2173" s="46">
        <v>15.57</v>
      </c>
      <c r="AC2173" s="46">
        <v>16.260000000000002</v>
      </c>
      <c r="AD2173" s="46">
        <v>15.56</v>
      </c>
      <c r="AE2173" s="46">
        <v>16.12</v>
      </c>
      <c r="AF2173" s="46">
        <v>6</v>
      </c>
      <c r="AG2173" s="46">
        <v>3000</v>
      </c>
      <c r="AH2173" s="46">
        <v>48531.8</v>
      </c>
      <c r="AI2173" s="46">
        <v>16.177</v>
      </c>
      <c r="AJ2173" s="46">
        <v>6</v>
      </c>
      <c r="AK2173" s="46">
        <v>2400</v>
      </c>
      <c r="AL2173" s="46">
        <v>37530.959999999999</v>
      </c>
      <c r="AM2173" s="46">
        <v>15.638</v>
      </c>
      <c r="AN2173" s="46" t="s">
        <v>63</v>
      </c>
      <c r="AO2173" s="46">
        <v>600</v>
      </c>
      <c r="AP2173" s="46">
        <v>11000.84</v>
      </c>
      <c r="AQ2173" s="46">
        <v>18.335000000000001</v>
      </c>
      <c r="AR2173" s="46">
        <v>-1293.5999999999999</v>
      </c>
      <c r="AS2173" s="46">
        <v>11</v>
      </c>
      <c r="AT2173" s="46">
        <v>6000</v>
      </c>
      <c r="AU2173" s="46">
        <v>100173.6</v>
      </c>
      <c r="AV2173" s="46">
        <v>16.696000000000002</v>
      </c>
      <c r="AW2173" s="46">
        <v>7</v>
      </c>
      <c r="AX2173" s="46">
        <v>2800</v>
      </c>
      <c r="AY2173" s="46">
        <v>44015.224000000002</v>
      </c>
      <c r="AZ2173" s="46">
        <v>15.72</v>
      </c>
      <c r="BA2173" s="46" t="s">
        <v>63</v>
      </c>
      <c r="BB2173" s="46">
        <v>3200</v>
      </c>
      <c r="BC2173" s="46">
        <v>56158.375999999997</v>
      </c>
      <c r="BD2173" s="46">
        <v>17.548999999999999</v>
      </c>
      <c r="BE2173" s="46">
        <v>-2732.8</v>
      </c>
      <c r="BF2173" s="46">
        <v>51641.8</v>
      </c>
      <c r="BG2173" s="46">
        <v>17.21</v>
      </c>
      <c r="BH2173" s="46">
        <v>6484.2640000000001</v>
      </c>
      <c r="BI2173">
        <v>16.21</v>
      </c>
      <c r="BJ2173">
        <v>45157.536</v>
      </c>
      <c r="BK2173">
        <v>17.37</v>
      </c>
      <c r="BL2173">
        <v>-80.25</v>
      </c>
    </row>
    <row r="2174" spans="1:64" x14ac:dyDescent="0.25">
      <c r="A2174" s="136">
        <v>43130</v>
      </c>
      <c r="B2174" s="201" t="s">
        <v>65</v>
      </c>
      <c r="C2174" t="s">
        <v>127</v>
      </c>
      <c r="D2174">
        <v>6400</v>
      </c>
      <c r="E2174">
        <v>5200</v>
      </c>
      <c r="F2174">
        <v>8.5619999999999994</v>
      </c>
      <c r="G2174">
        <v>19888.8</v>
      </c>
      <c r="H2174">
        <v>36.299999999999997</v>
      </c>
      <c r="I2174" s="309">
        <v>74688</v>
      </c>
      <c r="J2174">
        <v>11.67</v>
      </c>
      <c r="K2174" s="133">
        <v>0.144800181062266</v>
      </c>
      <c r="L2174" s="181">
        <v>-2292.13</v>
      </c>
      <c r="M2174" s="133">
        <v>0.106241084003686</v>
      </c>
      <c r="N2174" s="73">
        <v>15734.380999999999</v>
      </c>
      <c r="O2174" s="73">
        <v>1711.3709608853601</v>
      </c>
      <c r="P2174" s="182">
        <v>0</v>
      </c>
      <c r="Q2174" s="182">
        <v>0</v>
      </c>
      <c r="R2174" s="46">
        <v>0</v>
      </c>
      <c r="S2174" s="46">
        <v>24</v>
      </c>
      <c r="T2174" s="46">
        <v>10600</v>
      </c>
      <c r="U2174" s="46">
        <v>12.461</v>
      </c>
      <c r="V2174" s="46" t="s">
        <v>68</v>
      </c>
      <c r="W2174" s="46">
        <v>10600</v>
      </c>
      <c r="X2174" s="46">
        <v>12.461</v>
      </c>
      <c r="Y2174" s="194">
        <v>11.839</v>
      </c>
      <c r="Z2174" s="194">
        <v>11.364000000000001</v>
      </c>
      <c r="AA2174" s="194">
        <v>11.733000000000001</v>
      </c>
      <c r="AB2174" s="46">
        <v>12.02</v>
      </c>
      <c r="AC2174" s="46">
        <v>12.28</v>
      </c>
      <c r="AD2174" s="46">
        <v>11.96</v>
      </c>
      <c r="AE2174" s="46">
        <v>11.67</v>
      </c>
      <c r="AF2174" s="46">
        <v>149</v>
      </c>
      <c r="AG2174" s="46">
        <v>81200</v>
      </c>
      <c r="AH2174" s="46">
        <v>950213.23100000003</v>
      </c>
      <c r="AI2174" s="46">
        <v>11.702</v>
      </c>
      <c r="AJ2174" s="46">
        <v>169</v>
      </c>
      <c r="AK2174" s="46">
        <v>73400</v>
      </c>
      <c r="AL2174" s="46">
        <v>762742.69799999997</v>
      </c>
      <c r="AM2174" s="46">
        <v>10.391999999999999</v>
      </c>
      <c r="AN2174" s="46" t="s">
        <v>63</v>
      </c>
      <c r="AO2174" s="46">
        <v>7800</v>
      </c>
      <c r="AP2174" s="46">
        <v>187470.533</v>
      </c>
      <c r="AQ2174" s="46">
        <v>24.035</v>
      </c>
      <c r="AR2174" s="46">
        <v>-96154</v>
      </c>
      <c r="AS2174" s="46">
        <v>150</v>
      </c>
      <c r="AT2174" s="46">
        <v>81300</v>
      </c>
      <c r="AU2174" s="46">
        <v>951501.23100000003</v>
      </c>
      <c r="AV2174" s="46">
        <v>11.704000000000001</v>
      </c>
      <c r="AW2174" s="46">
        <v>193</v>
      </c>
      <c r="AX2174" s="46">
        <v>84000</v>
      </c>
      <c r="AY2174" s="46">
        <v>894578.61</v>
      </c>
      <c r="AZ2174" s="46">
        <v>10.65</v>
      </c>
      <c r="BA2174" s="46" t="s">
        <v>69</v>
      </c>
      <c r="BB2174" s="46">
        <v>2700</v>
      </c>
      <c r="BC2174" s="46">
        <v>56922.620999999999</v>
      </c>
      <c r="BD2174" s="46">
        <v>21.082000000000001</v>
      </c>
      <c r="BE2174" s="46">
        <v>-85690.2</v>
      </c>
      <c r="BF2174" s="46">
        <v>1288</v>
      </c>
      <c r="BH2174" s="46">
        <v>131835.91200000001</v>
      </c>
      <c r="BI2174">
        <v>12.44</v>
      </c>
      <c r="BJ2174">
        <v>-130547.912</v>
      </c>
      <c r="BK2174">
        <v>-12.32</v>
      </c>
      <c r="BL2174">
        <v>-8239.42</v>
      </c>
    </row>
    <row r="2175" spans="1:64" x14ac:dyDescent="0.25">
      <c r="A2175" s="136">
        <v>43130</v>
      </c>
      <c r="B2175" s="201" t="s">
        <v>77</v>
      </c>
      <c r="C2175" t="s">
        <v>128</v>
      </c>
      <c r="D2175">
        <v>4300</v>
      </c>
      <c r="E2175">
        <v>4300</v>
      </c>
      <c r="F2175">
        <v>5.9779999999999998</v>
      </c>
      <c r="G2175">
        <v>-595.27</v>
      </c>
      <c r="H2175">
        <v>-2.31</v>
      </c>
      <c r="I2175" s="309">
        <v>25112</v>
      </c>
      <c r="J2175">
        <v>5.84</v>
      </c>
      <c r="K2175" s="133">
        <v>4.8685493611231E-2</v>
      </c>
      <c r="L2175" s="181">
        <v>0</v>
      </c>
      <c r="M2175" s="133">
        <v>4.9839563927492399E-2</v>
      </c>
      <c r="N2175" s="73">
        <v>-1272.2139999999999</v>
      </c>
      <c r="O2175" s="73">
        <v>-133.073774655173</v>
      </c>
      <c r="P2175" s="182">
        <v>6</v>
      </c>
      <c r="Q2175" s="182">
        <v>3000</v>
      </c>
      <c r="R2175" s="46">
        <v>6.798</v>
      </c>
      <c r="S2175" s="46">
        <v>0</v>
      </c>
      <c r="T2175" s="46">
        <v>0</v>
      </c>
      <c r="U2175" s="46">
        <v>0</v>
      </c>
      <c r="V2175" s="46" t="s">
        <v>62</v>
      </c>
      <c r="W2175" s="46">
        <v>3000</v>
      </c>
      <c r="X2175" s="46">
        <v>6.798</v>
      </c>
      <c r="AF2175" s="46">
        <v>39</v>
      </c>
      <c r="AG2175" s="46">
        <v>19500</v>
      </c>
      <c r="AH2175" s="46">
        <v>142169</v>
      </c>
      <c r="AI2175" s="46">
        <v>7.2910000000000004</v>
      </c>
      <c r="AJ2175" s="46">
        <v>39</v>
      </c>
      <c r="AK2175" s="46">
        <v>18200</v>
      </c>
      <c r="AL2175" s="46">
        <v>136881.78599999999</v>
      </c>
      <c r="AM2175" s="46">
        <v>7.5209999999999999</v>
      </c>
      <c r="AN2175" s="46" t="s">
        <v>63</v>
      </c>
      <c r="AO2175" s="46">
        <v>1300</v>
      </c>
      <c r="AP2175" s="46">
        <v>5287.2139999999999</v>
      </c>
      <c r="AQ2175" s="46">
        <v>4.0670000000000002</v>
      </c>
      <c r="AR2175" s="46">
        <v>4186</v>
      </c>
      <c r="AS2175" s="46">
        <v>45</v>
      </c>
      <c r="AT2175" s="46">
        <v>22500</v>
      </c>
      <c r="AU2175" s="46">
        <v>162594</v>
      </c>
      <c r="AV2175" s="46">
        <v>7.226</v>
      </c>
      <c r="AW2175" s="46">
        <v>39</v>
      </c>
      <c r="AX2175" s="46">
        <v>18200</v>
      </c>
      <c r="AY2175" s="46">
        <v>136881.78599999999</v>
      </c>
      <c r="AZ2175" s="46">
        <v>7.5209999999999999</v>
      </c>
      <c r="BA2175" s="46" t="s">
        <v>63</v>
      </c>
      <c r="BB2175" s="46">
        <v>4300</v>
      </c>
      <c r="BC2175" s="46">
        <v>25712.214</v>
      </c>
      <c r="BD2175" s="46">
        <v>5.98</v>
      </c>
      <c r="BE2175" s="46">
        <v>5369</v>
      </c>
      <c r="BF2175" s="46">
        <v>20425</v>
      </c>
      <c r="BG2175" s="46">
        <v>6.81</v>
      </c>
      <c r="BH2175" s="46">
        <v>0</v>
      </c>
      <c r="BJ2175">
        <v>20425</v>
      </c>
      <c r="BK2175">
        <v>6.81</v>
      </c>
      <c r="BL2175">
        <v>716.78</v>
      </c>
    </row>
    <row r="2176" spans="1:64" x14ac:dyDescent="0.25">
      <c r="A2176" s="136">
        <v>43130</v>
      </c>
      <c r="B2176" s="201" t="s">
        <v>67</v>
      </c>
      <c r="C2176" t="s">
        <v>129</v>
      </c>
      <c r="D2176">
        <v>5350</v>
      </c>
      <c r="E2176">
        <v>4850</v>
      </c>
      <c r="F2176">
        <v>8.5839999999999996</v>
      </c>
      <c r="G2176">
        <v>136.49</v>
      </c>
      <c r="H2176">
        <v>0.3</v>
      </c>
      <c r="I2176" s="309">
        <v>46063.5</v>
      </c>
      <c r="J2176">
        <v>8.61</v>
      </c>
      <c r="K2176" s="133">
        <v>8.9304883520266706E-2</v>
      </c>
      <c r="L2176" s="181">
        <v>-863</v>
      </c>
      <c r="M2176" s="133">
        <v>8.9040265687238801E-2</v>
      </c>
      <c r="N2176" s="73">
        <v>-26.271000000226199</v>
      </c>
      <c r="O2176" s="73">
        <v>-3.0603571678585202</v>
      </c>
      <c r="P2176" s="182">
        <v>0</v>
      </c>
      <c r="Q2176" s="182">
        <v>0</v>
      </c>
      <c r="R2176" s="46">
        <v>0</v>
      </c>
      <c r="S2176" s="46">
        <v>5</v>
      </c>
      <c r="T2176" s="46">
        <v>2000</v>
      </c>
      <c r="U2176" s="46">
        <v>8.7479999999999993</v>
      </c>
      <c r="V2176" s="46" t="s">
        <v>68</v>
      </c>
      <c r="W2176" s="46">
        <v>2000</v>
      </c>
      <c r="X2176" s="46">
        <v>8.7479999999999993</v>
      </c>
      <c r="Y2176" s="194">
        <v>8.6449999999999996</v>
      </c>
      <c r="Z2176" s="194">
        <v>7.81</v>
      </c>
      <c r="AA2176" s="194">
        <v>8.6780000000000008</v>
      </c>
      <c r="AB2176" s="46">
        <v>8.7899999999999991</v>
      </c>
      <c r="AC2176" s="46">
        <v>8.7899999999999991</v>
      </c>
      <c r="AD2176" s="46">
        <v>8.6300000000000008</v>
      </c>
      <c r="AE2176" s="46">
        <v>8.61</v>
      </c>
      <c r="AF2176" s="46">
        <v>162</v>
      </c>
      <c r="AG2176" s="46">
        <v>80800</v>
      </c>
      <c r="AH2176" s="46">
        <v>668418</v>
      </c>
      <c r="AI2176" s="46">
        <v>8.2729999999999997</v>
      </c>
      <c r="AJ2176" s="46">
        <v>164</v>
      </c>
      <c r="AK2176" s="46">
        <v>76050</v>
      </c>
      <c r="AL2176" s="46">
        <v>674163.34100000001</v>
      </c>
      <c r="AM2176" s="46">
        <v>8.8650000000000002</v>
      </c>
      <c r="AN2176" s="46" t="s">
        <v>63</v>
      </c>
      <c r="AO2176" s="46">
        <v>4750</v>
      </c>
      <c r="AP2176" s="46">
        <v>5745.3410000000003</v>
      </c>
      <c r="AQ2176" s="46">
        <v>1.21</v>
      </c>
      <c r="AR2176" s="46">
        <v>45021.599999999999</v>
      </c>
      <c r="AS2176" s="46">
        <v>162</v>
      </c>
      <c r="AT2176" s="46">
        <v>80800</v>
      </c>
      <c r="AU2176" s="46">
        <v>668418</v>
      </c>
      <c r="AV2176" s="46">
        <v>8.2729999999999997</v>
      </c>
      <c r="AW2176" s="46">
        <v>169</v>
      </c>
      <c r="AX2176" s="46">
        <v>78050</v>
      </c>
      <c r="AY2176" s="46">
        <v>691616.84499999997</v>
      </c>
      <c r="AZ2176" s="46">
        <v>8.8610000000000007</v>
      </c>
      <c r="BA2176" s="46" t="s">
        <v>63</v>
      </c>
      <c r="BB2176" s="46">
        <v>2750</v>
      </c>
      <c r="BC2176" s="46">
        <v>23198.845000000001</v>
      </c>
      <c r="BD2176" s="46">
        <v>8.4359999999999999</v>
      </c>
      <c r="BE2176" s="46">
        <v>45893.4</v>
      </c>
      <c r="BF2176" s="46">
        <v>0</v>
      </c>
      <c r="BH2176" s="46">
        <v>17453.504000000001</v>
      </c>
      <c r="BI2176">
        <v>8.73</v>
      </c>
      <c r="BJ2176">
        <v>17453.504000000001</v>
      </c>
      <c r="BK2176">
        <v>8.73</v>
      </c>
      <c r="BL2176">
        <v>5228.99</v>
      </c>
    </row>
    <row r="2177" spans="1:64" x14ac:dyDescent="0.25">
      <c r="A2177" s="136">
        <v>43130</v>
      </c>
      <c r="B2177" s="201" t="s">
        <v>78</v>
      </c>
      <c r="C2177" t="s">
        <v>142</v>
      </c>
      <c r="D2177">
        <v>100</v>
      </c>
      <c r="E2177">
        <v>100</v>
      </c>
      <c r="F2177">
        <v>8.8810000000000002</v>
      </c>
      <c r="G2177">
        <v>115.87</v>
      </c>
      <c r="H2177">
        <v>13.05</v>
      </c>
      <c r="I2177" s="309">
        <v>1004</v>
      </c>
      <c r="J2177">
        <v>10.039999999999999</v>
      </c>
      <c r="K2177" s="133">
        <v>1.94648915202596E-3</v>
      </c>
      <c r="L2177" s="181">
        <v>-18</v>
      </c>
      <c r="M2177" s="133">
        <v>1.72184801851476E-3</v>
      </c>
      <c r="N2177" s="73">
        <v>171.86799999999999</v>
      </c>
      <c r="O2177" s="73">
        <v>16.205855283018799</v>
      </c>
      <c r="P2177" s="182">
        <v>0</v>
      </c>
      <c r="Q2177" s="182">
        <v>0</v>
      </c>
      <c r="R2177" s="46">
        <v>0</v>
      </c>
      <c r="S2177" s="46">
        <v>2</v>
      </c>
      <c r="T2177" s="46">
        <v>500</v>
      </c>
      <c r="U2177" s="46">
        <v>10.368</v>
      </c>
      <c r="V2177" s="46" t="s">
        <v>68</v>
      </c>
      <c r="W2177" s="46">
        <v>500</v>
      </c>
      <c r="X2177" s="46">
        <v>10.368</v>
      </c>
      <c r="Y2177" s="194">
        <v>10.105</v>
      </c>
      <c r="Z2177" s="194">
        <v>10.686</v>
      </c>
      <c r="AA2177" s="194">
        <v>10.625999999999999</v>
      </c>
      <c r="AB2177" s="46">
        <v>10.27</v>
      </c>
      <c r="AC2177" s="46">
        <v>10.28</v>
      </c>
      <c r="AD2177" s="46">
        <v>9.91</v>
      </c>
      <c r="AE2177" s="46">
        <v>10.039999999999999</v>
      </c>
      <c r="AF2177" s="46">
        <v>6</v>
      </c>
      <c r="AG2177" s="46">
        <v>3000</v>
      </c>
      <c r="AH2177" s="46">
        <v>30950</v>
      </c>
      <c r="AI2177" s="46">
        <v>10.317</v>
      </c>
      <c r="AJ2177" s="46">
        <v>6</v>
      </c>
      <c r="AK2177" s="46">
        <v>2400</v>
      </c>
      <c r="AL2177" s="46">
        <v>24893.052</v>
      </c>
      <c r="AM2177" s="46">
        <v>10.372</v>
      </c>
      <c r="AN2177" s="46" t="s">
        <v>63</v>
      </c>
      <c r="AO2177" s="46">
        <v>600</v>
      </c>
      <c r="AP2177" s="46">
        <v>6056.9480000000003</v>
      </c>
      <c r="AQ2177" s="46">
        <v>10.095000000000001</v>
      </c>
      <c r="AR2177" s="46">
        <v>132</v>
      </c>
      <c r="AS2177" s="46">
        <v>6</v>
      </c>
      <c r="AT2177" s="46">
        <v>3000</v>
      </c>
      <c r="AU2177" s="46">
        <v>30950</v>
      </c>
      <c r="AV2177" s="46">
        <v>10.317</v>
      </c>
      <c r="AW2177" s="46">
        <v>8</v>
      </c>
      <c r="AX2177" s="46">
        <v>2900</v>
      </c>
      <c r="AY2177" s="46">
        <v>30061.867999999999</v>
      </c>
      <c r="AZ2177" s="46">
        <v>10.366</v>
      </c>
      <c r="BA2177" s="46" t="s">
        <v>63</v>
      </c>
      <c r="BB2177" s="46">
        <v>100</v>
      </c>
      <c r="BC2177" s="46">
        <v>888.13199999999995</v>
      </c>
      <c r="BD2177" s="46">
        <v>8.8810000000000002</v>
      </c>
      <c r="BE2177" s="46">
        <v>142.1</v>
      </c>
      <c r="BF2177" s="46">
        <v>0</v>
      </c>
      <c r="BH2177" s="46">
        <v>5168.8159999999998</v>
      </c>
      <c r="BI2177">
        <v>10.34</v>
      </c>
      <c r="BJ2177">
        <v>-5168.8159999999998</v>
      </c>
      <c r="BK2177">
        <v>-10.34</v>
      </c>
      <c r="BL2177">
        <v>13.15</v>
      </c>
    </row>
    <row r="2178" spans="1:64" x14ac:dyDescent="0.25">
      <c r="A2178" s="136">
        <v>43130</v>
      </c>
      <c r="B2178" s="201" t="s">
        <v>72</v>
      </c>
      <c r="C2178" t="s">
        <v>130</v>
      </c>
      <c r="D2178">
        <v>3100</v>
      </c>
      <c r="E2178">
        <v>2600</v>
      </c>
      <c r="F2178">
        <v>6.95</v>
      </c>
      <c r="G2178">
        <v>-620.45000000000005</v>
      </c>
      <c r="H2178">
        <v>-2.88</v>
      </c>
      <c r="I2178" s="309">
        <v>20925</v>
      </c>
      <c r="J2178">
        <v>6.75</v>
      </c>
      <c r="K2178" s="133">
        <v>4.0568013452333899E-2</v>
      </c>
      <c r="L2178" s="181">
        <v>-318</v>
      </c>
      <c r="M2178" s="133">
        <v>4.1770901096133198E-2</v>
      </c>
      <c r="N2178" s="73">
        <v>-997.16399999999601</v>
      </c>
      <c r="O2178" s="73">
        <v>-115.68153328357999</v>
      </c>
      <c r="P2178" s="182">
        <v>1</v>
      </c>
      <c r="Q2178" s="182">
        <v>500</v>
      </c>
      <c r="R2178" s="46">
        <v>6.7</v>
      </c>
      <c r="S2178" s="46">
        <v>12</v>
      </c>
      <c r="T2178" s="46">
        <v>4900</v>
      </c>
      <c r="U2178" s="46">
        <v>8.0609999999999999</v>
      </c>
      <c r="V2178" s="46" t="s">
        <v>68</v>
      </c>
      <c r="W2178" s="46">
        <v>4400</v>
      </c>
      <c r="X2178" s="46">
        <v>8.2159999999999993</v>
      </c>
      <c r="Y2178" s="194">
        <v>6.7149999999999999</v>
      </c>
      <c r="Z2178" s="194">
        <v>7.0119999999999996</v>
      </c>
      <c r="AA2178" s="194">
        <v>7.1020000000000003</v>
      </c>
      <c r="AB2178" s="46">
        <v>6.89</v>
      </c>
      <c r="AC2178" s="46">
        <v>6.89</v>
      </c>
      <c r="AD2178" s="46">
        <v>6.64</v>
      </c>
      <c r="AE2178" s="46">
        <v>6.75</v>
      </c>
      <c r="AF2178" s="46">
        <v>28</v>
      </c>
      <c r="AG2178" s="46">
        <v>14000</v>
      </c>
      <c r="AH2178" s="46">
        <v>109210</v>
      </c>
      <c r="AI2178" s="46">
        <v>7.8010000000000002</v>
      </c>
      <c r="AJ2178" s="46">
        <v>28</v>
      </c>
      <c r="AK2178" s="46">
        <v>13100</v>
      </c>
      <c r="AL2178" s="46">
        <v>52350.521999999997</v>
      </c>
      <c r="AM2178" s="46">
        <v>3.996</v>
      </c>
      <c r="AN2178" s="46" t="s">
        <v>63</v>
      </c>
      <c r="AO2178" s="46">
        <v>900</v>
      </c>
      <c r="AP2178" s="46">
        <v>56859.478000000003</v>
      </c>
      <c r="AQ2178" s="46">
        <v>63.177</v>
      </c>
      <c r="AR2178" s="46">
        <v>-49845.5</v>
      </c>
      <c r="AS2178" s="46">
        <v>29</v>
      </c>
      <c r="AT2178" s="46">
        <v>14500</v>
      </c>
      <c r="AU2178" s="46">
        <v>112565</v>
      </c>
      <c r="AV2178" s="46">
        <v>7.7629999999999999</v>
      </c>
      <c r="AW2178" s="46">
        <v>41</v>
      </c>
      <c r="AX2178" s="46">
        <v>18500</v>
      </c>
      <c r="AY2178" s="46">
        <v>91752.020999999993</v>
      </c>
      <c r="AZ2178" s="46">
        <v>4.96</v>
      </c>
      <c r="BA2178" s="46" t="s">
        <v>69</v>
      </c>
      <c r="BB2178" s="46">
        <v>4000</v>
      </c>
      <c r="BC2178" s="46">
        <v>20812.978999999999</v>
      </c>
      <c r="BD2178" s="46">
        <v>5.2030000000000003</v>
      </c>
      <c r="BE2178" s="46">
        <v>-40643.5</v>
      </c>
      <c r="BF2178" s="46">
        <v>3355</v>
      </c>
      <c r="BG2178" s="46">
        <v>6.71</v>
      </c>
      <c r="BH2178" s="46">
        <v>39401.499000000003</v>
      </c>
      <c r="BI2178">
        <v>8.0399999999999991</v>
      </c>
      <c r="BJ2178">
        <v>-36046.499000000003</v>
      </c>
      <c r="BK2178">
        <v>-8.19</v>
      </c>
      <c r="BL2178">
        <v>-7384.52</v>
      </c>
    </row>
    <row r="2179" spans="1:64" x14ac:dyDescent="0.25">
      <c r="A2179" s="136">
        <v>43130</v>
      </c>
      <c r="B2179" s="201" t="s">
        <v>70</v>
      </c>
      <c r="C2179" t="s">
        <v>131</v>
      </c>
      <c r="D2179">
        <v>10000</v>
      </c>
      <c r="E2179">
        <v>10000</v>
      </c>
      <c r="F2179">
        <v>12.237</v>
      </c>
      <c r="G2179">
        <v>-14866.66</v>
      </c>
      <c r="H2179">
        <v>-12.15</v>
      </c>
      <c r="I2179" s="309">
        <v>107500</v>
      </c>
      <c r="J2179">
        <v>10.75</v>
      </c>
      <c r="K2179" s="133">
        <v>0.20841392813026999</v>
      </c>
      <c r="L2179" s="181">
        <v>-1300</v>
      </c>
      <c r="M2179" s="133">
        <v>0.23723643053749899</v>
      </c>
      <c r="N2179" s="73">
        <v>-12365.654</v>
      </c>
      <c r="O2179" s="73">
        <v>-1123.5882884545499</v>
      </c>
      <c r="P2179" s="182">
        <v>0</v>
      </c>
      <c r="Q2179" s="182">
        <v>0</v>
      </c>
      <c r="R2179" s="46">
        <v>0</v>
      </c>
      <c r="S2179" s="46">
        <v>5</v>
      </c>
      <c r="T2179" s="46">
        <v>2000</v>
      </c>
      <c r="U2179" s="46">
        <v>12.997999999999999</v>
      </c>
      <c r="V2179" s="46" t="s">
        <v>68</v>
      </c>
      <c r="W2179" s="46">
        <v>2000</v>
      </c>
      <c r="X2179" s="46">
        <v>12.997999999999999</v>
      </c>
      <c r="Y2179" s="194">
        <v>10.795999999999999</v>
      </c>
      <c r="Z2179" s="194">
        <v>12.071</v>
      </c>
      <c r="AA2179" s="194">
        <v>12.032</v>
      </c>
      <c r="AB2179" s="46">
        <v>10.89</v>
      </c>
      <c r="AC2179" s="46">
        <v>10.95</v>
      </c>
      <c r="AD2179" s="46">
        <v>10.85</v>
      </c>
      <c r="AE2179" s="46">
        <v>10.75</v>
      </c>
      <c r="AF2179" s="46">
        <v>126</v>
      </c>
      <c r="AG2179" s="46">
        <v>62600</v>
      </c>
      <c r="AH2179" s="46">
        <v>843048</v>
      </c>
      <c r="AI2179" s="46">
        <v>13.467000000000001</v>
      </c>
      <c r="AJ2179" s="46">
        <v>126</v>
      </c>
      <c r="AK2179" s="46">
        <v>50600</v>
      </c>
      <c r="AL2179" s="46">
        <v>694332.34199999995</v>
      </c>
      <c r="AM2179" s="46">
        <v>13.722</v>
      </c>
      <c r="AN2179" s="46" t="s">
        <v>63</v>
      </c>
      <c r="AO2179" s="46">
        <v>12000</v>
      </c>
      <c r="AP2179" s="46">
        <v>148715.658</v>
      </c>
      <c r="AQ2179" s="46">
        <v>12.393000000000001</v>
      </c>
      <c r="AR2179" s="46">
        <v>12903</v>
      </c>
      <c r="AS2179" s="46">
        <v>126</v>
      </c>
      <c r="AT2179" s="46">
        <v>62600</v>
      </c>
      <c r="AU2179" s="46">
        <v>843048</v>
      </c>
      <c r="AV2179" s="46">
        <v>13.467000000000001</v>
      </c>
      <c r="AW2179" s="46">
        <v>132</v>
      </c>
      <c r="AX2179" s="46">
        <v>52600</v>
      </c>
      <c r="AY2179" s="46">
        <v>720682.34600000002</v>
      </c>
      <c r="AZ2179" s="46">
        <v>13.701000000000001</v>
      </c>
      <c r="BA2179" s="46" t="s">
        <v>63</v>
      </c>
      <c r="BB2179" s="46">
        <v>10000</v>
      </c>
      <c r="BC2179" s="46">
        <v>122365.65399999999</v>
      </c>
      <c r="BD2179" s="46">
        <v>12.237</v>
      </c>
      <c r="BE2179" s="46">
        <v>12308.4</v>
      </c>
      <c r="BF2179" s="46">
        <v>0</v>
      </c>
      <c r="BH2179" s="46">
        <v>26350.003999999801</v>
      </c>
      <c r="BI2179">
        <v>13.18</v>
      </c>
      <c r="BJ2179">
        <v>-26350.004000000001</v>
      </c>
      <c r="BK2179">
        <v>-13.18</v>
      </c>
      <c r="BL2179">
        <v>1200.28</v>
      </c>
    </row>
    <row r="2180" spans="1:64" x14ac:dyDescent="0.25">
      <c r="A2180" s="136">
        <v>43130</v>
      </c>
      <c r="B2180" s="201" t="s">
        <v>137</v>
      </c>
      <c r="C2180" t="s">
        <v>138</v>
      </c>
      <c r="D2180">
        <v>100</v>
      </c>
      <c r="E2180">
        <v>100</v>
      </c>
      <c r="F2180">
        <v>-130.48500000000001</v>
      </c>
      <c r="G2180">
        <v>16591.5</v>
      </c>
      <c r="H2180">
        <v>0</v>
      </c>
      <c r="I2180" s="309">
        <v>3543</v>
      </c>
      <c r="J2180">
        <v>35.43</v>
      </c>
      <c r="K2180" s="133">
        <v>6.8689353243306496E-3</v>
      </c>
      <c r="L2180" s="181">
        <v>-55</v>
      </c>
      <c r="M2180" s="133">
        <v>0</v>
      </c>
    </row>
    <row r="2181" spans="1:64" x14ac:dyDescent="0.25">
      <c r="A2181" s="136">
        <v>43130</v>
      </c>
      <c r="B2181" s="201" t="s">
        <v>835</v>
      </c>
      <c r="C2181" t="s">
        <v>839</v>
      </c>
      <c r="I2181" s="309">
        <v>9687.11</v>
      </c>
      <c r="K2181" s="133">
        <v>1.8780731603069901E-2</v>
      </c>
      <c r="L2181" s="181">
        <v>0</v>
      </c>
      <c r="M2181" s="133">
        <v>0.33807639489115598</v>
      </c>
    </row>
    <row r="2182" spans="1:64" x14ac:dyDescent="0.25">
      <c r="A2182" s="136">
        <v>43131</v>
      </c>
      <c r="B2182" s="201" t="s">
        <v>132</v>
      </c>
      <c r="C2182" t="s">
        <v>123</v>
      </c>
      <c r="D2182">
        <v>15395882</v>
      </c>
      <c r="E2182">
        <v>13470882</v>
      </c>
      <c r="F2182">
        <v>0.01</v>
      </c>
      <c r="G2182">
        <v>2948.38</v>
      </c>
      <c r="H2182">
        <v>0</v>
      </c>
      <c r="I2182" s="309">
        <v>153958.82</v>
      </c>
      <c r="J2182">
        <v>0.01</v>
      </c>
      <c r="K2182" s="133">
        <v>0.30451566408460601</v>
      </c>
      <c r="L2182" s="181">
        <v>15.970000000000301</v>
      </c>
      <c r="M2182" s="133">
        <v>0</v>
      </c>
    </row>
    <row r="2183" spans="1:64" x14ac:dyDescent="0.25">
      <c r="A2183" s="136">
        <v>43131</v>
      </c>
      <c r="B2183" s="201" t="s">
        <v>61</v>
      </c>
      <c r="C2183" t="s">
        <v>136</v>
      </c>
      <c r="D2183">
        <v>1800</v>
      </c>
      <c r="E2183">
        <v>1800</v>
      </c>
      <c r="F2183">
        <v>5.2809999999999997</v>
      </c>
      <c r="G2183">
        <v>-19.79</v>
      </c>
      <c r="H2183">
        <v>-0.21</v>
      </c>
      <c r="I2183" s="309">
        <v>9486</v>
      </c>
      <c r="J2183">
        <v>5.27</v>
      </c>
      <c r="K2183" s="133">
        <v>1.8762391069940501E-2</v>
      </c>
      <c r="L2183" s="181">
        <v>-72</v>
      </c>
      <c r="M2183" s="133">
        <v>1.8801533777011301E-2</v>
      </c>
      <c r="N2183" s="73">
        <v>299.61499999999802</v>
      </c>
      <c r="O2183" s="73">
        <v>54.947741743118897</v>
      </c>
      <c r="P2183" s="182">
        <v>2</v>
      </c>
      <c r="Q2183" s="182">
        <v>1000</v>
      </c>
      <c r="R2183" s="46">
        <v>5.3849999999999998</v>
      </c>
      <c r="S2183" s="46">
        <v>0</v>
      </c>
      <c r="T2183" s="46">
        <v>0</v>
      </c>
      <c r="U2183" s="46">
        <v>0</v>
      </c>
      <c r="V2183" s="46" t="s">
        <v>62</v>
      </c>
      <c r="W2183" s="46">
        <v>1000</v>
      </c>
      <c r="X2183" s="46">
        <v>5.3849999999999998</v>
      </c>
      <c r="AF2183" s="46">
        <v>9</v>
      </c>
      <c r="AG2183" s="46">
        <v>4500</v>
      </c>
      <c r="AH2183" s="46">
        <v>23912.7</v>
      </c>
      <c r="AI2183" s="46">
        <v>5.3140000000000001</v>
      </c>
      <c r="AJ2183" s="46">
        <v>9</v>
      </c>
      <c r="AK2183" s="46">
        <v>3700</v>
      </c>
      <c r="AL2183" s="46">
        <v>19797.915000000001</v>
      </c>
      <c r="AM2183" s="46">
        <v>5.351</v>
      </c>
      <c r="AN2183" s="46" t="s">
        <v>63</v>
      </c>
      <c r="AO2183" s="46">
        <v>800</v>
      </c>
      <c r="AP2183" s="46">
        <v>4114.7849999999999</v>
      </c>
      <c r="AQ2183" s="46">
        <v>5.1429999999999998</v>
      </c>
      <c r="AR2183" s="46">
        <v>136.9</v>
      </c>
      <c r="AS2183" s="46">
        <v>11</v>
      </c>
      <c r="AT2183" s="46">
        <v>5500</v>
      </c>
      <c r="AU2183" s="46">
        <v>29308.3</v>
      </c>
      <c r="AV2183" s="46">
        <v>5.3289999999999997</v>
      </c>
      <c r="AW2183" s="46">
        <v>9</v>
      </c>
      <c r="AX2183" s="46">
        <v>3700</v>
      </c>
      <c r="AY2183" s="46">
        <v>19797.915000000001</v>
      </c>
      <c r="AZ2183" s="46">
        <v>5.351</v>
      </c>
      <c r="BA2183" s="46" t="s">
        <v>63</v>
      </c>
      <c r="BB2183" s="46">
        <v>1800</v>
      </c>
      <c r="BC2183" s="46">
        <v>9510.3850000000002</v>
      </c>
      <c r="BD2183" s="46">
        <v>5.2839999999999998</v>
      </c>
      <c r="BE2183" s="46">
        <v>81.400000000000006</v>
      </c>
      <c r="BF2183" s="46">
        <v>5395.6</v>
      </c>
      <c r="BG2183" s="46">
        <v>5.4</v>
      </c>
      <c r="BH2183" s="46">
        <v>0</v>
      </c>
      <c r="BJ2183">
        <v>5395.6</v>
      </c>
      <c r="BK2183">
        <v>5.4</v>
      </c>
      <c r="BL2183">
        <v>25.98</v>
      </c>
    </row>
    <row r="2184" spans="1:64" x14ac:dyDescent="0.25">
      <c r="A2184" s="136">
        <v>43131</v>
      </c>
      <c r="B2184" s="201" t="s">
        <v>124</v>
      </c>
      <c r="C2184" t="s">
        <v>125</v>
      </c>
      <c r="D2184">
        <v>100</v>
      </c>
      <c r="E2184">
        <v>100</v>
      </c>
      <c r="F2184">
        <v>-53.579000000000001</v>
      </c>
      <c r="G2184">
        <v>6105.9</v>
      </c>
      <c r="H2184">
        <v>0</v>
      </c>
      <c r="I2184" s="309">
        <v>748</v>
      </c>
      <c r="J2184">
        <v>7.48</v>
      </c>
      <c r="K2184" s="133">
        <v>1.47947169727129E-3</v>
      </c>
      <c r="L2184" s="181">
        <v>20</v>
      </c>
      <c r="M2184" s="133">
        <v>0</v>
      </c>
    </row>
    <row r="2185" spans="1:64" x14ac:dyDescent="0.25">
      <c r="A2185" s="136">
        <v>43131</v>
      </c>
      <c r="B2185" s="201" t="s">
        <v>71</v>
      </c>
      <c r="C2185" t="s">
        <v>126</v>
      </c>
      <c r="D2185">
        <v>100</v>
      </c>
      <c r="E2185">
        <v>100</v>
      </c>
      <c r="F2185">
        <v>-17.085999999999999</v>
      </c>
      <c r="G2185">
        <v>2430.6</v>
      </c>
      <c r="H2185">
        <v>0</v>
      </c>
      <c r="I2185" s="309">
        <v>722</v>
      </c>
      <c r="J2185">
        <v>7.22</v>
      </c>
      <c r="K2185" s="133">
        <v>1.4280462104677399E-3</v>
      </c>
      <c r="L2185" s="181">
        <v>7</v>
      </c>
      <c r="M2185" s="133">
        <v>0</v>
      </c>
      <c r="N2185" s="73">
        <v>1703.3019999999999</v>
      </c>
      <c r="O2185" s="73">
        <v>341.114950423729</v>
      </c>
      <c r="P2185" s="182">
        <v>0</v>
      </c>
      <c r="Q2185" s="182">
        <v>0</v>
      </c>
      <c r="R2185" s="46">
        <v>0</v>
      </c>
      <c r="S2185" s="46">
        <v>7</v>
      </c>
      <c r="T2185" s="46">
        <v>2800</v>
      </c>
      <c r="U2185" s="46">
        <v>6.6749999999999998</v>
      </c>
      <c r="V2185" s="46" t="s">
        <v>68</v>
      </c>
      <c r="W2185" s="46">
        <v>2800</v>
      </c>
      <c r="X2185" s="46">
        <v>6.6749999999999998</v>
      </c>
      <c r="AF2185" s="46">
        <v>41</v>
      </c>
      <c r="AG2185" s="46">
        <v>20600</v>
      </c>
      <c r="AH2185" s="46">
        <v>131323.35999999999</v>
      </c>
      <c r="AI2185" s="46">
        <v>6.375</v>
      </c>
      <c r="AJ2185" s="46">
        <v>39</v>
      </c>
      <c r="AK2185" s="46">
        <v>17700</v>
      </c>
      <c r="AL2185" s="46">
        <v>114228.83100000001</v>
      </c>
      <c r="AM2185" s="46">
        <v>6.4539999999999997</v>
      </c>
      <c r="AN2185" s="46" t="s">
        <v>63</v>
      </c>
      <c r="AO2185" s="46">
        <v>2900</v>
      </c>
      <c r="AP2185" s="46">
        <v>17094.528999999999</v>
      </c>
      <c r="AQ2185" s="46">
        <v>5.8949999999999996</v>
      </c>
      <c r="AR2185" s="46">
        <v>1398.3</v>
      </c>
      <c r="AS2185" s="46">
        <v>41</v>
      </c>
      <c r="AT2185" s="46">
        <v>20600</v>
      </c>
      <c r="AU2185" s="46">
        <v>131323.35999999999</v>
      </c>
      <c r="AV2185" s="46">
        <v>6.375</v>
      </c>
      <c r="AW2185" s="46">
        <v>46</v>
      </c>
      <c r="AX2185" s="46">
        <v>20500</v>
      </c>
      <c r="AY2185" s="46">
        <v>132870.462</v>
      </c>
      <c r="AZ2185" s="46">
        <v>6.4809999999999999</v>
      </c>
      <c r="BA2185" s="46" t="s">
        <v>63</v>
      </c>
      <c r="BB2185" s="46">
        <v>100</v>
      </c>
      <c r="BC2185" s="46">
        <v>1547.1020000000001</v>
      </c>
      <c r="BD2185" s="46">
        <v>15.471</v>
      </c>
      <c r="BE2185" s="46">
        <v>2173</v>
      </c>
      <c r="BF2185" s="46">
        <v>0</v>
      </c>
      <c r="BH2185" s="46">
        <v>18641.631000000001</v>
      </c>
      <c r="BI2185">
        <v>6.66</v>
      </c>
      <c r="BJ2185">
        <v>-15547.427</v>
      </c>
      <c r="BK2185">
        <v>-5.55</v>
      </c>
      <c r="BL2185">
        <v>193.67</v>
      </c>
    </row>
    <row r="2186" spans="1:64" x14ac:dyDescent="0.25">
      <c r="A2186" s="136">
        <v>43131</v>
      </c>
      <c r="B2186" s="201" t="s">
        <v>79</v>
      </c>
      <c r="C2186" t="s">
        <v>143</v>
      </c>
      <c r="D2186">
        <v>3700</v>
      </c>
      <c r="E2186">
        <v>3200</v>
      </c>
      <c r="F2186">
        <v>17.321000000000002</v>
      </c>
      <c r="G2186">
        <v>-5293.13</v>
      </c>
      <c r="H2186">
        <v>-8.26</v>
      </c>
      <c r="I2186" s="309">
        <v>58793</v>
      </c>
      <c r="J2186">
        <v>15.89</v>
      </c>
      <c r="K2186" s="133">
        <v>0.116286870986191</v>
      </c>
      <c r="L2186" s="181">
        <v>-721.16</v>
      </c>
      <c r="M2186" s="133">
        <v>0.12675617048482399</v>
      </c>
      <c r="N2186" s="73">
        <v>-5443.6760000000504</v>
      </c>
      <c r="O2186" s="73">
        <v>-343.27786511041302</v>
      </c>
      <c r="P2186" s="182">
        <v>5</v>
      </c>
      <c r="Q2186" s="182">
        <v>3000</v>
      </c>
      <c r="R2186" s="46">
        <v>17.108000000000001</v>
      </c>
      <c r="S2186" s="46">
        <v>0</v>
      </c>
      <c r="T2186" s="46">
        <v>0</v>
      </c>
      <c r="U2186" s="46">
        <v>0</v>
      </c>
      <c r="V2186" s="46" t="s">
        <v>62</v>
      </c>
      <c r="W2186" s="46">
        <v>3000</v>
      </c>
      <c r="X2186" s="46">
        <v>17.108000000000001</v>
      </c>
      <c r="AF2186" s="46">
        <v>7</v>
      </c>
      <c r="AG2186" s="46">
        <v>3500</v>
      </c>
      <c r="AH2186" s="46">
        <v>56752.1</v>
      </c>
      <c r="AI2186" s="46">
        <v>16.215</v>
      </c>
      <c r="AJ2186" s="46">
        <v>7</v>
      </c>
      <c r="AK2186" s="46">
        <v>2800</v>
      </c>
      <c r="AL2186" s="46">
        <v>44015.224000000002</v>
      </c>
      <c r="AM2186" s="46">
        <v>15.72</v>
      </c>
      <c r="AN2186" s="46" t="s">
        <v>63</v>
      </c>
      <c r="AO2186" s="46">
        <v>700</v>
      </c>
      <c r="AP2186" s="46">
        <v>12736.876</v>
      </c>
      <c r="AQ2186" s="46">
        <v>18.196000000000002</v>
      </c>
      <c r="AR2186" s="46">
        <v>-1386</v>
      </c>
      <c r="AS2186" s="46">
        <v>12</v>
      </c>
      <c r="AT2186" s="46">
        <v>6500</v>
      </c>
      <c r="AU2186" s="46">
        <v>108103.9</v>
      </c>
      <c r="AV2186" s="46">
        <v>16.631</v>
      </c>
      <c r="AW2186" s="46">
        <v>7</v>
      </c>
      <c r="AX2186" s="46">
        <v>2800</v>
      </c>
      <c r="AY2186" s="46">
        <v>44015.224000000002</v>
      </c>
      <c r="AZ2186" s="46">
        <v>15.72</v>
      </c>
      <c r="BA2186" s="46" t="s">
        <v>63</v>
      </c>
      <c r="BB2186" s="46">
        <v>3700</v>
      </c>
      <c r="BC2186" s="46">
        <v>64088.675999999999</v>
      </c>
      <c r="BD2186" s="46">
        <v>17.321000000000002</v>
      </c>
      <c r="BE2186" s="46">
        <v>-2550.8000000000002</v>
      </c>
      <c r="BF2186" s="46">
        <v>51351.8</v>
      </c>
      <c r="BG2186" s="46">
        <v>17.12</v>
      </c>
      <c r="BH2186" s="46">
        <v>0</v>
      </c>
      <c r="BJ2186">
        <v>51351.8</v>
      </c>
      <c r="BK2186">
        <v>17.12</v>
      </c>
      <c r="BL2186">
        <v>-87.22</v>
      </c>
    </row>
    <row r="2187" spans="1:64" x14ac:dyDescent="0.25">
      <c r="A2187" s="136">
        <v>43131</v>
      </c>
      <c r="B2187" s="201" t="s">
        <v>65</v>
      </c>
      <c r="C2187" t="s">
        <v>127</v>
      </c>
      <c r="D2187">
        <v>6000</v>
      </c>
      <c r="E2187">
        <v>5600</v>
      </c>
      <c r="F2187">
        <v>8.3409999999999993</v>
      </c>
      <c r="G2187">
        <v>20752.310000000001</v>
      </c>
      <c r="H2187">
        <v>41.47</v>
      </c>
      <c r="I2187" s="309">
        <v>70800</v>
      </c>
      <c r="J2187">
        <v>11.8</v>
      </c>
      <c r="K2187" s="133">
        <v>0.14003555637273701</v>
      </c>
      <c r="L2187" s="181">
        <v>863.51000000000204</v>
      </c>
      <c r="M2187" s="133">
        <v>9.8989493140116999E-2</v>
      </c>
      <c r="N2187" s="73">
        <v>16349.893</v>
      </c>
      <c r="O2187" s="73">
        <v>1750.5204394524501</v>
      </c>
      <c r="P2187" s="182">
        <v>0</v>
      </c>
      <c r="Q2187" s="182">
        <v>0</v>
      </c>
      <c r="R2187" s="46">
        <v>0</v>
      </c>
      <c r="S2187" s="46">
        <v>25</v>
      </c>
      <c r="T2187" s="46">
        <v>11000</v>
      </c>
      <c r="U2187" s="46">
        <v>12.436999999999999</v>
      </c>
      <c r="V2187" s="46" t="s">
        <v>68</v>
      </c>
      <c r="W2187" s="46">
        <v>11000</v>
      </c>
      <c r="X2187" s="46">
        <v>12.436999999999999</v>
      </c>
      <c r="AF2187" s="46">
        <v>150</v>
      </c>
      <c r="AG2187" s="46">
        <v>81600</v>
      </c>
      <c r="AH2187" s="46">
        <v>954930.23100000003</v>
      </c>
      <c r="AI2187" s="46">
        <v>11.702999999999999</v>
      </c>
      <c r="AJ2187" s="46">
        <v>170</v>
      </c>
      <c r="AK2187" s="46">
        <v>73800</v>
      </c>
      <c r="AL2187" s="46">
        <v>767500.93</v>
      </c>
      <c r="AM2187" s="46">
        <v>10.4</v>
      </c>
      <c r="AN2187" s="46" t="s">
        <v>63</v>
      </c>
      <c r="AO2187" s="46">
        <v>7800</v>
      </c>
      <c r="AP2187" s="46">
        <v>187429.30100000001</v>
      </c>
      <c r="AQ2187" s="46">
        <v>24.029</v>
      </c>
      <c r="AR2187" s="46">
        <v>-96161.4</v>
      </c>
      <c r="AS2187" s="46">
        <v>151</v>
      </c>
      <c r="AT2187" s="46">
        <v>81700</v>
      </c>
      <c r="AU2187" s="46">
        <v>956218.23100000003</v>
      </c>
      <c r="AV2187" s="46">
        <v>11.704000000000001</v>
      </c>
      <c r="AW2187" s="46">
        <v>195</v>
      </c>
      <c r="AX2187" s="46">
        <v>84800</v>
      </c>
      <c r="AY2187" s="46">
        <v>904047.12199999997</v>
      </c>
      <c r="AZ2187" s="46">
        <v>10.661</v>
      </c>
      <c r="BA2187" s="46" t="s">
        <v>69</v>
      </c>
      <c r="BB2187" s="46">
        <v>3100</v>
      </c>
      <c r="BC2187" s="46">
        <v>52171.108999999997</v>
      </c>
      <c r="BD2187" s="46">
        <v>16.829000000000001</v>
      </c>
      <c r="BE2187" s="46">
        <v>-85213.1</v>
      </c>
      <c r="BF2187" s="46">
        <v>1288</v>
      </c>
      <c r="BH2187" s="46">
        <v>136546.19200000001</v>
      </c>
      <c r="BI2187">
        <v>12.41</v>
      </c>
      <c r="BJ2187">
        <v>-135258.19200000001</v>
      </c>
      <c r="BK2187">
        <v>-12.3</v>
      </c>
      <c r="BL2187">
        <v>-8149.27</v>
      </c>
    </row>
    <row r="2188" spans="1:64" x14ac:dyDescent="0.25">
      <c r="A2188" s="136">
        <v>43131</v>
      </c>
      <c r="B2188" s="201" t="s">
        <v>77</v>
      </c>
      <c r="C2188" t="s">
        <v>128</v>
      </c>
      <c r="D2188">
        <v>4300</v>
      </c>
      <c r="E2188">
        <v>4300</v>
      </c>
      <c r="F2188">
        <v>5.9779999999999998</v>
      </c>
      <c r="G2188">
        <v>-595.27</v>
      </c>
      <c r="H2188">
        <v>-2.31</v>
      </c>
      <c r="I2188" s="309">
        <v>25112</v>
      </c>
      <c r="J2188">
        <v>5.84</v>
      </c>
      <c r="K2188" s="133">
        <v>4.9669108638872597E-2</v>
      </c>
      <c r="L2188" s="181">
        <v>0</v>
      </c>
      <c r="M2188" s="133">
        <v>5.08464951592398E-2</v>
      </c>
      <c r="N2188" s="73">
        <v>-1272.2139999999999</v>
      </c>
      <c r="O2188" s="73">
        <v>-133.073774655173</v>
      </c>
      <c r="P2188" s="182">
        <v>6</v>
      </c>
      <c r="Q2188" s="182">
        <v>3000</v>
      </c>
      <c r="R2188" s="46">
        <v>6.798</v>
      </c>
      <c r="S2188" s="46">
        <v>0</v>
      </c>
      <c r="T2188" s="46">
        <v>0</v>
      </c>
      <c r="U2188" s="46">
        <v>0</v>
      </c>
      <c r="V2188" s="46" t="s">
        <v>62</v>
      </c>
      <c r="W2188" s="46">
        <v>3000</v>
      </c>
      <c r="X2188" s="46">
        <v>6.798</v>
      </c>
      <c r="AF2188" s="46">
        <v>39</v>
      </c>
      <c r="AG2188" s="46">
        <v>19500</v>
      </c>
      <c r="AH2188" s="46">
        <v>142169</v>
      </c>
      <c r="AI2188" s="46">
        <v>7.2910000000000004</v>
      </c>
      <c r="AJ2188" s="46">
        <v>39</v>
      </c>
      <c r="AK2188" s="46">
        <v>18200</v>
      </c>
      <c r="AL2188" s="46">
        <v>136881.78599999999</v>
      </c>
      <c r="AM2188" s="46">
        <v>7.5209999999999999</v>
      </c>
      <c r="AN2188" s="46" t="s">
        <v>63</v>
      </c>
      <c r="AO2188" s="46">
        <v>1300</v>
      </c>
      <c r="AP2188" s="46">
        <v>5287.2139999999999</v>
      </c>
      <c r="AQ2188" s="46">
        <v>4.0670000000000002</v>
      </c>
      <c r="AR2188" s="46">
        <v>4186</v>
      </c>
      <c r="AS2188" s="46">
        <v>45</v>
      </c>
      <c r="AT2188" s="46">
        <v>22500</v>
      </c>
      <c r="AU2188" s="46">
        <v>162594</v>
      </c>
      <c r="AV2188" s="46">
        <v>7.226</v>
      </c>
      <c r="AW2188" s="46">
        <v>39</v>
      </c>
      <c r="AX2188" s="46">
        <v>18200</v>
      </c>
      <c r="AY2188" s="46">
        <v>136881.78599999999</v>
      </c>
      <c r="AZ2188" s="46">
        <v>7.5209999999999999</v>
      </c>
      <c r="BA2188" s="46" t="s">
        <v>63</v>
      </c>
      <c r="BB2188" s="46">
        <v>4300</v>
      </c>
      <c r="BC2188" s="46">
        <v>25712.214</v>
      </c>
      <c r="BD2188" s="46">
        <v>5.98</v>
      </c>
      <c r="BE2188" s="46">
        <v>5369</v>
      </c>
      <c r="BF2188" s="46">
        <v>20425</v>
      </c>
      <c r="BG2188" s="46">
        <v>6.81</v>
      </c>
      <c r="BH2188" s="46">
        <v>0</v>
      </c>
      <c r="BJ2188">
        <v>20425</v>
      </c>
      <c r="BK2188">
        <v>6.81</v>
      </c>
      <c r="BL2188">
        <v>716.78</v>
      </c>
    </row>
    <row r="2189" spans="1:64" x14ac:dyDescent="0.25">
      <c r="A2189" s="136">
        <v>43131</v>
      </c>
      <c r="B2189" s="201" t="s">
        <v>67</v>
      </c>
      <c r="C2189" t="s">
        <v>129</v>
      </c>
      <c r="D2189">
        <v>5150</v>
      </c>
      <c r="E2189">
        <v>4150</v>
      </c>
      <c r="F2189">
        <v>8.5660000000000007</v>
      </c>
      <c r="G2189">
        <v>791.59</v>
      </c>
      <c r="H2189">
        <v>1.8</v>
      </c>
      <c r="I2189" s="309">
        <v>44908</v>
      </c>
      <c r="J2189">
        <v>8.7200000000000006</v>
      </c>
      <c r="K2189" s="133">
        <v>8.8823683129758302E-2</v>
      </c>
      <c r="L2189" s="181">
        <v>655.1</v>
      </c>
      <c r="M2189" s="133">
        <v>8.72579946259575E-2</v>
      </c>
      <c r="N2189" s="73">
        <v>531.83299999977305</v>
      </c>
      <c r="O2189" s="73">
        <v>61.311082295244901</v>
      </c>
      <c r="P2189" s="182">
        <v>0</v>
      </c>
      <c r="Q2189" s="182">
        <v>0</v>
      </c>
      <c r="R2189" s="46">
        <v>0</v>
      </c>
      <c r="S2189" s="46">
        <v>6</v>
      </c>
      <c r="T2189" s="46">
        <v>2400</v>
      </c>
      <c r="U2189" s="46">
        <v>8.7420000000000009</v>
      </c>
      <c r="V2189" s="46" t="s">
        <v>68</v>
      </c>
      <c r="W2189" s="46">
        <v>2400</v>
      </c>
      <c r="X2189" s="46">
        <v>8.7420000000000009</v>
      </c>
      <c r="AF2189" s="46">
        <v>164</v>
      </c>
      <c r="AG2189" s="46">
        <v>81800</v>
      </c>
      <c r="AH2189" s="46">
        <v>676978</v>
      </c>
      <c r="AI2189" s="46">
        <v>8.2759999999999998</v>
      </c>
      <c r="AJ2189" s="46">
        <v>166</v>
      </c>
      <c r="AK2189" s="46">
        <v>76850</v>
      </c>
      <c r="AL2189" s="46">
        <v>681058.429</v>
      </c>
      <c r="AM2189" s="46">
        <v>8.8620000000000001</v>
      </c>
      <c r="AN2189" s="46" t="s">
        <v>63</v>
      </c>
      <c r="AO2189" s="46">
        <v>4950</v>
      </c>
      <c r="AP2189" s="46">
        <v>4080.4290000000001</v>
      </c>
      <c r="AQ2189" s="46">
        <v>0.82399999999999995</v>
      </c>
      <c r="AR2189" s="46">
        <v>45034.1</v>
      </c>
      <c r="AS2189" s="46">
        <v>164</v>
      </c>
      <c r="AT2189" s="46">
        <v>81800</v>
      </c>
      <c r="AU2189" s="46">
        <v>676978</v>
      </c>
      <c r="AV2189" s="46">
        <v>8.2759999999999998</v>
      </c>
      <c r="AW2189" s="46">
        <v>172</v>
      </c>
      <c r="AX2189" s="46">
        <v>79250</v>
      </c>
      <c r="AY2189" s="46">
        <v>701987.44900000002</v>
      </c>
      <c r="AZ2189" s="46">
        <v>8.8580000000000005</v>
      </c>
      <c r="BA2189" s="46" t="s">
        <v>63</v>
      </c>
      <c r="BB2189" s="46">
        <v>2550</v>
      </c>
      <c r="BC2189" s="46">
        <v>25009.449000000001</v>
      </c>
      <c r="BD2189" s="46">
        <v>9.8079999999999998</v>
      </c>
      <c r="BE2189" s="46">
        <v>46123.5</v>
      </c>
      <c r="BF2189" s="46">
        <v>0</v>
      </c>
      <c r="BH2189" s="46">
        <v>20929.02</v>
      </c>
      <c r="BI2189">
        <v>8.7200000000000006</v>
      </c>
      <c r="BJ2189">
        <v>20929.02</v>
      </c>
      <c r="BK2189">
        <v>8.7200000000000006</v>
      </c>
      <c r="BL2189">
        <v>5164.46</v>
      </c>
    </row>
    <row r="2190" spans="1:64" x14ac:dyDescent="0.25">
      <c r="A2190" s="136">
        <v>43131</v>
      </c>
      <c r="B2190" s="201" t="s">
        <v>78</v>
      </c>
      <c r="C2190" t="s">
        <v>142</v>
      </c>
      <c r="D2190">
        <v>600</v>
      </c>
      <c r="E2190">
        <v>100</v>
      </c>
      <c r="F2190">
        <v>9.6890000000000001</v>
      </c>
      <c r="G2190">
        <v>42.87</v>
      </c>
      <c r="H2190">
        <v>0.73</v>
      </c>
      <c r="I2190" s="309">
        <v>5856</v>
      </c>
      <c r="J2190">
        <v>9.76</v>
      </c>
      <c r="K2190" s="133">
        <v>1.15826019508298E-2</v>
      </c>
      <c r="L2190" s="181">
        <v>-73</v>
      </c>
      <c r="M2190" s="133">
        <v>1.1497809234704099E-2</v>
      </c>
      <c r="N2190" s="73">
        <v>90.867999999999498</v>
      </c>
      <c r="O2190" s="73">
        <v>9.2299355691056402</v>
      </c>
      <c r="P2190" s="182">
        <v>0</v>
      </c>
      <c r="Q2190" s="182">
        <v>0</v>
      </c>
      <c r="R2190" s="46">
        <v>0</v>
      </c>
      <c r="S2190" s="46">
        <v>1</v>
      </c>
      <c r="T2190" s="46">
        <v>100</v>
      </c>
      <c r="U2190" s="46">
        <v>10.6</v>
      </c>
      <c r="V2190" s="46" t="s">
        <v>68</v>
      </c>
      <c r="W2190" s="46">
        <v>100</v>
      </c>
      <c r="X2190" s="46">
        <v>10.6</v>
      </c>
      <c r="AF2190" s="46">
        <v>7</v>
      </c>
      <c r="AG2190" s="46">
        <v>3500</v>
      </c>
      <c r="AH2190" s="46">
        <v>35875</v>
      </c>
      <c r="AI2190" s="46">
        <v>10.25</v>
      </c>
      <c r="AJ2190" s="46">
        <v>7</v>
      </c>
      <c r="AK2190" s="46">
        <v>2800</v>
      </c>
      <c r="AL2190" s="46">
        <v>29007.928</v>
      </c>
      <c r="AM2190" s="46">
        <v>10.36</v>
      </c>
      <c r="AN2190" s="46" t="s">
        <v>63</v>
      </c>
      <c r="AO2190" s="46">
        <v>700</v>
      </c>
      <c r="AP2190" s="46">
        <v>6867.0720000000001</v>
      </c>
      <c r="AQ2190" s="46">
        <v>9.81</v>
      </c>
      <c r="AR2190" s="46">
        <v>308</v>
      </c>
      <c r="AS2190" s="46">
        <v>7</v>
      </c>
      <c r="AT2190" s="46">
        <v>3500</v>
      </c>
      <c r="AU2190" s="46">
        <v>35875</v>
      </c>
      <c r="AV2190" s="46">
        <v>10.25</v>
      </c>
      <c r="AW2190" s="46">
        <v>8</v>
      </c>
      <c r="AX2190" s="46">
        <v>2900</v>
      </c>
      <c r="AY2190" s="46">
        <v>30061.867999999999</v>
      </c>
      <c r="AZ2190" s="46">
        <v>10.366</v>
      </c>
      <c r="BA2190" s="46" t="s">
        <v>63</v>
      </c>
      <c r="BB2190" s="46">
        <v>600</v>
      </c>
      <c r="BC2190" s="46">
        <v>5813.1319999999996</v>
      </c>
      <c r="BD2190" s="46">
        <v>9.6890000000000001</v>
      </c>
      <c r="BE2190" s="46">
        <v>336.4</v>
      </c>
      <c r="BF2190" s="46">
        <v>0</v>
      </c>
      <c r="BH2190" s="46">
        <v>1053.94</v>
      </c>
      <c r="BI2190">
        <v>10.54</v>
      </c>
      <c r="BJ2190">
        <v>-1053.94</v>
      </c>
      <c r="BK2190">
        <v>-10.54</v>
      </c>
      <c r="BL2190">
        <v>31.56</v>
      </c>
    </row>
    <row r="2191" spans="1:64" x14ac:dyDescent="0.25">
      <c r="A2191" s="136">
        <v>43131</v>
      </c>
      <c r="B2191" s="201" t="s">
        <v>72</v>
      </c>
      <c r="C2191" t="s">
        <v>130</v>
      </c>
      <c r="D2191">
        <v>3100</v>
      </c>
      <c r="E2191">
        <v>2700</v>
      </c>
      <c r="F2191">
        <v>6.95</v>
      </c>
      <c r="G2191">
        <v>-589.45000000000005</v>
      </c>
      <c r="H2191">
        <v>-2.73</v>
      </c>
      <c r="I2191" s="309">
        <v>20956</v>
      </c>
      <c r="J2191">
        <v>6.76</v>
      </c>
      <c r="K2191" s="133">
        <v>4.1448942363659397E-2</v>
      </c>
      <c r="L2191" s="181">
        <v>31</v>
      </c>
      <c r="M2191" s="133">
        <v>4.2614817486595999E-2</v>
      </c>
      <c r="N2191" s="73">
        <v>-997.16399999999601</v>
      </c>
      <c r="O2191" s="73">
        <v>-115.68153328357999</v>
      </c>
      <c r="P2191" s="182">
        <v>0</v>
      </c>
      <c r="Q2191" s="182">
        <v>0</v>
      </c>
      <c r="R2191" s="46">
        <v>0</v>
      </c>
      <c r="S2191" s="46">
        <v>11</v>
      </c>
      <c r="T2191" s="46">
        <v>4500</v>
      </c>
      <c r="U2191" s="46">
        <v>8.1389999999999993</v>
      </c>
      <c r="V2191" s="46" t="s">
        <v>68</v>
      </c>
      <c r="W2191" s="46">
        <v>4500</v>
      </c>
      <c r="X2191" s="46">
        <v>8.1389999999999993</v>
      </c>
      <c r="AF2191" s="46">
        <v>29</v>
      </c>
      <c r="AG2191" s="46">
        <v>14500</v>
      </c>
      <c r="AH2191" s="46">
        <v>112565</v>
      </c>
      <c r="AI2191" s="46">
        <v>7.7629999999999999</v>
      </c>
      <c r="AJ2191" s="46">
        <v>29</v>
      </c>
      <c r="AK2191" s="46">
        <v>13500</v>
      </c>
      <c r="AL2191" s="46">
        <v>55218.646000000001</v>
      </c>
      <c r="AM2191" s="46">
        <v>4.09</v>
      </c>
      <c r="AN2191" s="46" t="s">
        <v>63</v>
      </c>
      <c r="AO2191" s="46">
        <v>1000</v>
      </c>
      <c r="AP2191" s="46">
        <v>57346.353999999999</v>
      </c>
      <c r="AQ2191" s="46">
        <v>57.345999999999997</v>
      </c>
      <c r="AR2191" s="46">
        <v>-49585.5</v>
      </c>
      <c r="AS2191" s="46">
        <v>29</v>
      </c>
      <c r="AT2191" s="46">
        <v>14500</v>
      </c>
      <c r="AU2191" s="46">
        <v>112565</v>
      </c>
      <c r="AV2191" s="46">
        <v>7.7629999999999999</v>
      </c>
      <c r="AW2191" s="46">
        <v>41</v>
      </c>
      <c r="AX2191" s="46">
        <v>18500</v>
      </c>
      <c r="AY2191" s="46">
        <v>91752.020999999993</v>
      </c>
      <c r="AZ2191" s="46">
        <v>4.96</v>
      </c>
      <c r="BA2191" s="46" t="s">
        <v>69</v>
      </c>
      <c r="BB2191" s="46">
        <v>4000</v>
      </c>
      <c r="BC2191" s="46">
        <v>20812.978999999999</v>
      </c>
      <c r="BD2191" s="46">
        <v>5.2030000000000003</v>
      </c>
      <c r="BE2191" s="46">
        <v>-40643.5</v>
      </c>
      <c r="BF2191" s="46">
        <v>0</v>
      </c>
      <c r="BH2191" s="46">
        <v>36533.375</v>
      </c>
      <c r="BI2191">
        <v>8.1199999999999992</v>
      </c>
      <c r="BJ2191">
        <v>-36533.375</v>
      </c>
      <c r="BK2191">
        <v>-8.1199999999999992</v>
      </c>
      <c r="BL2191">
        <v>-7335.13</v>
      </c>
    </row>
    <row r="2192" spans="1:64" x14ac:dyDescent="0.25">
      <c r="A2192" s="136">
        <v>43131</v>
      </c>
      <c r="B2192" s="201" t="s">
        <v>70</v>
      </c>
      <c r="C2192" t="s">
        <v>131</v>
      </c>
      <c r="D2192">
        <v>11000</v>
      </c>
      <c r="E2192">
        <v>10000</v>
      </c>
      <c r="F2192">
        <v>12.005000000000001</v>
      </c>
      <c r="G2192">
        <v>-25571.66</v>
      </c>
      <c r="H2192">
        <v>-19.37</v>
      </c>
      <c r="I2192" s="309">
        <v>106480</v>
      </c>
      <c r="J2192">
        <v>9.68</v>
      </c>
      <c r="K2192" s="133">
        <v>0.21060714749391299</v>
      </c>
      <c r="L2192" s="181">
        <v>-10705</v>
      </c>
      <c r="M2192" s="133">
        <v>0.26118541918140598</v>
      </c>
      <c r="N2192" s="73">
        <v>-25570.653999999999</v>
      </c>
      <c r="O2192" s="73">
        <v>-2640.2756893595101</v>
      </c>
      <c r="P2192" s="182">
        <v>1</v>
      </c>
      <c r="Q2192" s="182">
        <v>1000</v>
      </c>
      <c r="R2192" s="46">
        <v>9.68</v>
      </c>
      <c r="S2192" s="46">
        <v>5</v>
      </c>
      <c r="T2192" s="46">
        <v>2000</v>
      </c>
      <c r="U2192" s="46">
        <v>12.997999999999999</v>
      </c>
      <c r="V2192" s="46" t="s">
        <v>68</v>
      </c>
      <c r="W2192" s="46">
        <v>1000</v>
      </c>
      <c r="X2192" s="46">
        <v>16.315999999999999</v>
      </c>
      <c r="AF2192" s="46">
        <v>126</v>
      </c>
      <c r="AG2192" s="46">
        <v>62600</v>
      </c>
      <c r="AH2192" s="46">
        <v>843048</v>
      </c>
      <c r="AI2192" s="46">
        <v>13.467000000000001</v>
      </c>
      <c r="AJ2192" s="46">
        <v>126</v>
      </c>
      <c r="AK2192" s="46">
        <v>50600</v>
      </c>
      <c r="AL2192" s="46">
        <v>694332.34199999995</v>
      </c>
      <c r="AM2192" s="46">
        <v>13.722</v>
      </c>
      <c r="AN2192" s="46" t="s">
        <v>63</v>
      </c>
      <c r="AO2192" s="46">
        <v>12000</v>
      </c>
      <c r="AP2192" s="46">
        <v>148715.658</v>
      </c>
      <c r="AQ2192" s="46">
        <v>12.393000000000001</v>
      </c>
      <c r="AR2192" s="46">
        <v>12903</v>
      </c>
      <c r="AS2192" s="46">
        <v>127</v>
      </c>
      <c r="AT2192" s="46">
        <v>63600</v>
      </c>
      <c r="AU2192" s="46">
        <v>852733</v>
      </c>
      <c r="AV2192" s="46">
        <v>13.407999999999999</v>
      </c>
      <c r="AW2192" s="46">
        <v>132</v>
      </c>
      <c r="AX2192" s="46">
        <v>52600</v>
      </c>
      <c r="AY2192" s="46">
        <v>720682.34600000002</v>
      </c>
      <c r="AZ2192" s="46">
        <v>13.701000000000001</v>
      </c>
      <c r="BA2192" s="46" t="s">
        <v>63</v>
      </c>
      <c r="BB2192" s="46">
        <v>11000</v>
      </c>
      <c r="BC2192" s="46">
        <v>132050.65400000001</v>
      </c>
      <c r="BD2192" s="46">
        <v>12.005000000000001</v>
      </c>
      <c r="BE2192" s="46">
        <v>15411.8</v>
      </c>
      <c r="BF2192" s="46">
        <v>9685</v>
      </c>
      <c r="BG2192" s="46">
        <v>9.69</v>
      </c>
      <c r="BH2192" s="46">
        <v>26350.003999999801</v>
      </c>
      <c r="BI2192">
        <v>13.18</v>
      </c>
      <c r="BJ2192">
        <v>-16665.004000000001</v>
      </c>
      <c r="BK2192">
        <v>-16.670000000000002</v>
      </c>
      <c r="BL2192">
        <v>1332.95</v>
      </c>
    </row>
    <row r="2193" spans="1:64" x14ac:dyDescent="0.25">
      <c r="A2193" s="136">
        <v>43131</v>
      </c>
      <c r="B2193" s="201" t="s">
        <v>137</v>
      </c>
      <c r="C2193" t="s">
        <v>138</v>
      </c>
      <c r="D2193">
        <v>100</v>
      </c>
      <c r="E2193">
        <v>100</v>
      </c>
      <c r="F2193">
        <v>-130.48500000000001</v>
      </c>
      <c r="G2193">
        <v>16355.5</v>
      </c>
      <c r="H2193">
        <v>0</v>
      </c>
      <c r="I2193" s="309">
        <v>3307</v>
      </c>
      <c r="J2193">
        <v>33.07</v>
      </c>
      <c r="K2193" s="133">
        <v>6.5409263407435296E-3</v>
      </c>
      <c r="L2193" s="181">
        <v>-236</v>
      </c>
      <c r="M2193" s="133">
        <v>0</v>
      </c>
    </row>
    <row r="2194" spans="1:64" x14ac:dyDescent="0.25">
      <c r="A2194" s="136">
        <v>43131</v>
      </c>
      <c r="B2194" s="201" t="s">
        <v>835</v>
      </c>
      <c r="C2194" t="s">
        <v>839</v>
      </c>
      <c r="I2194" s="309">
        <v>4459.0600000000004</v>
      </c>
      <c r="K2194" s="133">
        <v>8.8195896610087296E-3</v>
      </c>
      <c r="L2194" s="181">
        <v>0</v>
      </c>
      <c r="M2194" s="133">
        <v>0.31333525374561499</v>
      </c>
    </row>
    <row r="2195" spans="1:64" x14ac:dyDescent="0.25">
      <c r="A2195" s="136">
        <v>43132</v>
      </c>
      <c r="B2195" s="201" t="s">
        <v>132</v>
      </c>
      <c r="C2195" t="s">
        <v>123</v>
      </c>
      <c r="D2195">
        <v>10397478</v>
      </c>
      <c r="E2195">
        <v>10397478</v>
      </c>
      <c r="F2195">
        <v>0.01</v>
      </c>
      <c r="G2195">
        <v>2964.34</v>
      </c>
      <c r="H2195">
        <v>0</v>
      </c>
      <c r="I2195" s="309">
        <v>103974.78</v>
      </c>
      <c r="J2195">
        <v>0.01</v>
      </c>
      <c r="K2195" s="133">
        <v>0.21408125827295299</v>
      </c>
      <c r="L2195" s="181">
        <v>15.96</v>
      </c>
      <c r="M2195" s="133">
        <v>0</v>
      </c>
    </row>
    <row r="2196" spans="1:64" x14ac:dyDescent="0.25">
      <c r="A2196" s="136">
        <v>43132</v>
      </c>
      <c r="B2196" s="201" t="s">
        <v>61</v>
      </c>
      <c r="C2196" t="s">
        <v>136</v>
      </c>
      <c r="D2196">
        <v>1800</v>
      </c>
      <c r="E2196">
        <v>1800</v>
      </c>
      <c r="F2196">
        <v>5.2809999999999997</v>
      </c>
      <c r="G2196">
        <v>-199.79</v>
      </c>
      <c r="H2196">
        <v>-2.1</v>
      </c>
      <c r="I2196" s="309">
        <v>9306</v>
      </c>
      <c r="J2196">
        <v>5.17</v>
      </c>
      <c r="K2196" s="133">
        <v>1.9160802162679302E-2</v>
      </c>
      <c r="L2196" s="181">
        <v>-180</v>
      </c>
      <c r="M2196" s="133">
        <v>1.9572164365997801E-2</v>
      </c>
      <c r="N2196" s="73">
        <v>299.61499999999802</v>
      </c>
      <c r="O2196" s="73">
        <v>54.947741743118897</v>
      </c>
      <c r="P2196" s="182">
        <v>2</v>
      </c>
      <c r="Q2196" s="182">
        <v>1000</v>
      </c>
      <c r="R2196" s="46">
        <v>5.3849999999999998</v>
      </c>
      <c r="S2196" s="46">
        <v>0</v>
      </c>
      <c r="T2196" s="46">
        <v>0</v>
      </c>
      <c r="U2196" s="46">
        <v>0</v>
      </c>
      <c r="V2196" s="46" t="s">
        <v>62</v>
      </c>
      <c r="W2196" s="46">
        <v>1000</v>
      </c>
      <c r="X2196" s="46">
        <v>5.3849999999999998</v>
      </c>
      <c r="AF2196" s="46">
        <v>9</v>
      </c>
      <c r="AG2196" s="46">
        <v>4500</v>
      </c>
      <c r="AH2196" s="46">
        <v>23912.7</v>
      </c>
      <c r="AI2196" s="46">
        <v>5.3140000000000001</v>
      </c>
      <c r="AJ2196" s="46">
        <v>9</v>
      </c>
      <c r="AK2196" s="46">
        <v>3700</v>
      </c>
      <c r="AL2196" s="46">
        <v>19797.915000000001</v>
      </c>
      <c r="AM2196" s="46">
        <v>5.351</v>
      </c>
      <c r="AN2196" s="46" t="s">
        <v>63</v>
      </c>
      <c r="AO2196" s="46">
        <v>800</v>
      </c>
      <c r="AP2196" s="46">
        <v>4114.7849999999999</v>
      </c>
      <c r="AQ2196" s="46">
        <v>5.1429999999999998</v>
      </c>
      <c r="AR2196" s="46">
        <v>136.9</v>
      </c>
      <c r="AS2196" s="46">
        <v>11</v>
      </c>
      <c r="AT2196" s="46">
        <v>5500</v>
      </c>
      <c r="AU2196" s="46">
        <v>29308.3</v>
      </c>
      <c r="AV2196" s="46">
        <v>5.3289999999999997</v>
      </c>
      <c r="AW2196" s="46">
        <v>9</v>
      </c>
      <c r="AX2196" s="46">
        <v>3700</v>
      </c>
      <c r="AY2196" s="46">
        <v>19797.915000000001</v>
      </c>
      <c r="AZ2196" s="46">
        <v>5.351</v>
      </c>
      <c r="BA2196" s="46" t="s">
        <v>63</v>
      </c>
      <c r="BB2196" s="46">
        <v>1800</v>
      </c>
      <c r="BC2196" s="46">
        <v>9510.3850000000002</v>
      </c>
      <c r="BD2196" s="46">
        <v>5.2839999999999998</v>
      </c>
      <c r="BE2196" s="46">
        <v>81.400000000000006</v>
      </c>
      <c r="BF2196" s="46">
        <v>5395.6</v>
      </c>
      <c r="BG2196" s="46">
        <v>5.4</v>
      </c>
      <c r="BH2196" s="46">
        <v>0</v>
      </c>
      <c r="BJ2196">
        <v>5395.6</v>
      </c>
      <c r="BK2196">
        <v>5.4</v>
      </c>
      <c r="BL2196">
        <v>26.48</v>
      </c>
    </row>
    <row r="2197" spans="1:64" x14ac:dyDescent="0.25">
      <c r="A2197" s="136">
        <v>43132</v>
      </c>
      <c r="B2197" s="201" t="s">
        <v>124</v>
      </c>
      <c r="C2197" t="s">
        <v>125</v>
      </c>
      <c r="D2197">
        <v>100</v>
      </c>
      <c r="E2197">
        <v>100</v>
      </c>
      <c r="F2197">
        <v>-53.579000000000001</v>
      </c>
      <c r="G2197">
        <v>6125.9</v>
      </c>
      <c r="H2197">
        <v>0</v>
      </c>
      <c r="I2197" s="309">
        <v>768</v>
      </c>
      <c r="J2197">
        <v>7.68</v>
      </c>
      <c r="K2197" s="133">
        <v>1.5812912165202801E-3</v>
      </c>
      <c r="L2197" s="181">
        <v>20</v>
      </c>
      <c r="M2197" s="133">
        <v>0</v>
      </c>
    </row>
    <row r="2198" spans="1:64" x14ac:dyDescent="0.25">
      <c r="A2198" s="136">
        <v>43132</v>
      </c>
      <c r="B2198" s="201" t="s">
        <v>71</v>
      </c>
      <c r="C2198" t="s">
        <v>126</v>
      </c>
      <c r="D2198">
        <v>100</v>
      </c>
      <c r="E2198">
        <v>100</v>
      </c>
      <c r="F2198">
        <v>-17.085999999999999</v>
      </c>
      <c r="G2198">
        <v>2446.6</v>
      </c>
      <c r="H2198">
        <v>0</v>
      </c>
      <c r="I2198" s="309">
        <v>738</v>
      </c>
      <c r="J2198">
        <v>7.38</v>
      </c>
      <c r="K2198" s="133">
        <v>1.5195220283749501E-3</v>
      </c>
      <c r="L2198" s="181">
        <v>16</v>
      </c>
      <c r="M2198" s="133">
        <v>0</v>
      </c>
      <c r="N2198" s="73">
        <v>1703.3019999999999</v>
      </c>
      <c r="O2198" s="73">
        <v>341.114950423729</v>
      </c>
      <c r="P2198" s="182">
        <v>0</v>
      </c>
      <c r="Q2198" s="182">
        <v>0</v>
      </c>
      <c r="R2198" s="46">
        <v>0</v>
      </c>
      <c r="S2198" s="46">
        <v>7</v>
      </c>
      <c r="T2198" s="46">
        <v>2800</v>
      </c>
      <c r="U2198" s="46">
        <v>6.6749999999999998</v>
      </c>
      <c r="V2198" s="46" t="s">
        <v>68</v>
      </c>
      <c r="W2198" s="46">
        <v>2800</v>
      </c>
      <c r="X2198" s="46">
        <v>6.6749999999999998</v>
      </c>
      <c r="AF2198" s="46">
        <v>41</v>
      </c>
      <c r="AG2198" s="46">
        <v>20600</v>
      </c>
      <c r="AH2198" s="46">
        <v>131323.35999999999</v>
      </c>
      <c r="AI2198" s="46">
        <v>6.375</v>
      </c>
      <c r="AJ2198" s="46">
        <v>39</v>
      </c>
      <c r="AK2198" s="46">
        <v>17700</v>
      </c>
      <c r="AL2198" s="46">
        <v>114228.83100000001</v>
      </c>
      <c r="AM2198" s="46">
        <v>6.4539999999999997</v>
      </c>
      <c r="AN2198" s="46" t="s">
        <v>63</v>
      </c>
      <c r="AO2198" s="46">
        <v>2900</v>
      </c>
      <c r="AP2198" s="46">
        <v>17094.528999999999</v>
      </c>
      <c r="AQ2198" s="46">
        <v>5.8949999999999996</v>
      </c>
      <c r="AR2198" s="46">
        <v>1398.3</v>
      </c>
      <c r="AS2198" s="46">
        <v>41</v>
      </c>
      <c r="AT2198" s="46">
        <v>20600</v>
      </c>
      <c r="AU2198" s="46">
        <v>131323.35999999999</v>
      </c>
      <c r="AV2198" s="46">
        <v>6.375</v>
      </c>
      <c r="AW2198" s="46">
        <v>46</v>
      </c>
      <c r="AX2198" s="46">
        <v>20500</v>
      </c>
      <c r="AY2198" s="46">
        <v>132870.462</v>
      </c>
      <c r="AZ2198" s="46">
        <v>6.4809999999999999</v>
      </c>
      <c r="BA2198" s="46" t="s">
        <v>63</v>
      </c>
      <c r="BB2198" s="46">
        <v>100</v>
      </c>
      <c r="BC2198" s="46">
        <v>1547.1020000000001</v>
      </c>
      <c r="BD2198" s="46">
        <v>15.471</v>
      </c>
      <c r="BE2198" s="46">
        <v>2173</v>
      </c>
      <c r="BF2198" s="46">
        <v>0</v>
      </c>
      <c r="BH2198" s="46">
        <v>18641.631000000001</v>
      </c>
      <c r="BI2198">
        <v>6.66</v>
      </c>
      <c r="BJ2198">
        <v>-15547.427</v>
      </c>
      <c r="BK2198">
        <v>-5.55</v>
      </c>
      <c r="BL2198">
        <v>189.47</v>
      </c>
    </row>
    <row r="2199" spans="1:64" x14ac:dyDescent="0.25">
      <c r="A2199" s="136">
        <v>43132</v>
      </c>
      <c r="B2199" s="201" t="s">
        <v>79</v>
      </c>
      <c r="C2199" t="s">
        <v>143</v>
      </c>
      <c r="D2199">
        <v>4700</v>
      </c>
      <c r="E2199">
        <v>3700</v>
      </c>
      <c r="F2199">
        <v>16.88</v>
      </c>
      <c r="G2199">
        <v>-8460.43</v>
      </c>
      <c r="H2199">
        <v>-10.66</v>
      </c>
      <c r="I2199" s="309">
        <v>70876</v>
      </c>
      <c r="J2199">
        <v>15.08</v>
      </c>
      <c r="K2199" s="133">
        <v>0.145931765966264</v>
      </c>
      <c r="L2199" s="181">
        <v>-3167.3</v>
      </c>
      <c r="M2199" s="133">
        <v>0.163351562381609</v>
      </c>
      <c r="N2199" s="73">
        <v>-8369.2760000000599</v>
      </c>
      <c r="O2199" s="73">
        <v>-553.97956039735504</v>
      </c>
      <c r="P2199" s="182">
        <v>7</v>
      </c>
      <c r="Q2199" s="182">
        <v>4000</v>
      </c>
      <c r="R2199" s="46">
        <v>16.640999999999998</v>
      </c>
      <c r="S2199" s="46">
        <v>0</v>
      </c>
      <c r="T2199" s="46">
        <v>0</v>
      </c>
      <c r="U2199" s="46">
        <v>0</v>
      </c>
      <c r="V2199" s="46" t="s">
        <v>62</v>
      </c>
      <c r="W2199" s="46">
        <v>4000</v>
      </c>
      <c r="X2199" s="46">
        <v>16.640999999999998</v>
      </c>
      <c r="AF2199" s="46">
        <v>7</v>
      </c>
      <c r="AG2199" s="46">
        <v>3500</v>
      </c>
      <c r="AH2199" s="46">
        <v>56752.1</v>
      </c>
      <c r="AI2199" s="46">
        <v>16.215</v>
      </c>
      <c r="AJ2199" s="46">
        <v>7</v>
      </c>
      <c r="AK2199" s="46">
        <v>2800</v>
      </c>
      <c r="AL2199" s="46">
        <v>44015.224000000002</v>
      </c>
      <c r="AM2199" s="46">
        <v>15.72</v>
      </c>
      <c r="AN2199" s="46" t="s">
        <v>63</v>
      </c>
      <c r="AO2199" s="46">
        <v>700</v>
      </c>
      <c r="AP2199" s="46">
        <v>12736.876</v>
      </c>
      <c r="AQ2199" s="46">
        <v>18.196000000000002</v>
      </c>
      <c r="AR2199" s="46">
        <v>-1386</v>
      </c>
      <c r="AS2199" s="46">
        <v>14</v>
      </c>
      <c r="AT2199" s="46">
        <v>7500</v>
      </c>
      <c r="AU2199" s="46">
        <v>123354.5</v>
      </c>
      <c r="AV2199" s="46">
        <v>16.446999999999999</v>
      </c>
      <c r="AW2199" s="46">
        <v>7</v>
      </c>
      <c r="AX2199" s="46">
        <v>2800</v>
      </c>
      <c r="AY2199" s="46">
        <v>44015.224000000002</v>
      </c>
      <c r="AZ2199" s="46">
        <v>15.72</v>
      </c>
      <c r="BA2199" s="46" t="s">
        <v>63</v>
      </c>
      <c r="BB2199" s="46">
        <v>4700</v>
      </c>
      <c r="BC2199" s="46">
        <v>79339.275999999998</v>
      </c>
      <c r="BD2199" s="46">
        <v>16.881</v>
      </c>
      <c r="BE2199" s="46">
        <v>-2035.6</v>
      </c>
      <c r="BF2199" s="46">
        <v>66602.399999999994</v>
      </c>
      <c r="BG2199" s="46">
        <v>16.649999999999999</v>
      </c>
      <c r="BH2199" s="46">
        <v>0</v>
      </c>
      <c r="BJ2199">
        <v>66602.399999999994</v>
      </c>
      <c r="BK2199">
        <v>16.649999999999999</v>
      </c>
      <c r="BL2199">
        <v>-91.91</v>
      </c>
    </row>
    <row r="2200" spans="1:64" x14ac:dyDescent="0.25">
      <c r="A2200" s="136">
        <v>43132</v>
      </c>
      <c r="B2200" s="201" t="s">
        <v>65</v>
      </c>
      <c r="C2200" t="s">
        <v>127</v>
      </c>
      <c r="D2200">
        <v>6400</v>
      </c>
      <c r="E2200">
        <v>6000</v>
      </c>
      <c r="F2200">
        <v>8.5399999999999991</v>
      </c>
      <c r="G2200">
        <v>19071.310000000001</v>
      </c>
      <c r="H2200">
        <v>34.9</v>
      </c>
      <c r="I2200" s="309">
        <v>73728</v>
      </c>
      <c r="J2200">
        <v>11.52</v>
      </c>
      <c r="K2200" s="133">
        <v>0.15180395678594699</v>
      </c>
      <c r="L2200" s="181">
        <v>-1681</v>
      </c>
      <c r="M2200" s="133">
        <v>0.11253664560035399</v>
      </c>
      <c r="N2200" s="73">
        <v>14724.893</v>
      </c>
      <c r="O2200" s="73">
        <v>1650.4729171807001</v>
      </c>
      <c r="P2200" s="182">
        <v>0</v>
      </c>
      <c r="Q2200" s="182">
        <v>0</v>
      </c>
      <c r="R2200" s="46">
        <v>0</v>
      </c>
      <c r="S2200" s="46">
        <v>24</v>
      </c>
      <c r="T2200" s="46">
        <v>10600</v>
      </c>
      <c r="U2200" s="46">
        <v>12.471</v>
      </c>
      <c r="V2200" s="46" t="s">
        <v>68</v>
      </c>
      <c r="W2200" s="46">
        <v>10600</v>
      </c>
      <c r="X2200" s="46">
        <v>12.471</v>
      </c>
      <c r="AF2200" s="46">
        <v>151</v>
      </c>
      <c r="AG2200" s="46">
        <v>82000</v>
      </c>
      <c r="AH2200" s="46">
        <v>959539.23100000003</v>
      </c>
      <c r="AI2200" s="46">
        <v>11.702</v>
      </c>
      <c r="AJ2200" s="46">
        <v>171</v>
      </c>
      <c r="AK2200" s="46">
        <v>74200</v>
      </c>
      <c r="AL2200" s="46">
        <v>772111.31</v>
      </c>
      <c r="AM2200" s="46">
        <v>10.406000000000001</v>
      </c>
      <c r="AN2200" s="46" t="s">
        <v>63</v>
      </c>
      <c r="AO2200" s="46">
        <v>7800</v>
      </c>
      <c r="AP2200" s="46">
        <v>187427.921</v>
      </c>
      <c r="AQ2200" s="46">
        <v>24.029</v>
      </c>
      <c r="AR2200" s="46">
        <v>-96163.199999999997</v>
      </c>
      <c r="AS2200" s="46">
        <v>152</v>
      </c>
      <c r="AT2200" s="46">
        <v>82100</v>
      </c>
      <c r="AU2200" s="46">
        <v>960827.23100000003</v>
      </c>
      <c r="AV2200" s="46">
        <v>11.702999999999999</v>
      </c>
      <c r="AW2200" s="46">
        <v>195</v>
      </c>
      <c r="AX2200" s="46">
        <v>84800</v>
      </c>
      <c r="AY2200" s="46">
        <v>904047.12199999997</v>
      </c>
      <c r="AZ2200" s="46">
        <v>10.661</v>
      </c>
      <c r="BA2200" s="46" t="s">
        <v>69</v>
      </c>
      <c r="BB2200" s="46">
        <v>2700</v>
      </c>
      <c r="BC2200" s="46">
        <v>56780.108999999997</v>
      </c>
      <c r="BD2200" s="46">
        <v>21.03</v>
      </c>
      <c r="BE2200" s="46">
        <v>-85548.2</v>
      </c>
      <c r="BF2200" s="46">
        <v>1288</v>
      </c>
      <c r="BH2200" s="46">
        <v>131935.81200000001</v>
      </c>
      <c r="BI2200">
        <v>12.45</v>
      </c>
      <c r="BJ2200">
        <v>-130647.81200000001</v>
      </c>
      <c r="BK2200">
        <v>-12.33</v>
      </c>
      <c r="BL2200">
        <v>-8347.5</v>
      </c>
    </row>
    <row r="2201" spans="1:64" x14ac:dyDescent="0.25">
      <c r="A2201" s="136">
        <v>43132</v>
      </c>
      <c r="B2201" s="201" t="s">
        <v>77</v>
      </c>
      <c r="C2201" t="s">
        <v>128</v>
      </c>
      <c r="D2201">
        <v>4300</v>
      </c>
      <c r="E2201">
        <v>4300</v>
      </c>
      <c r="F2201">
        <v>5.9779999999999998</v>
      </c>
      <c r="G2201">
        <v>-595.27</v>
      </c>
      <c r="H2201">
        <v>-2.31</v>
      </c>
      <c r="I2201" s="309">
        <v>25112</v>
      </c>
      <c r="J2201">
        <v>5.84</v>
      </c>
      <c r="K2201" s="133">
        <v>5.1704928423512E-2</v>
      </c>
      <c r="L2201" s="181">
        <v>0</v>
      </c>
      <c r="M2201" s="133">
        <v>5.2930573244420798E-2</v>
      </c>
      <c r="N2201" s="73">
        <v>-1272.2139999999999</v>
      </c>
      <c r="O2201" s="73">
        <v>-133.073774655173</v>
      </c>
      <c r="P2201" s="182">
        <v>6</v>
      </c>
      <c r="Q2201" s="182">
        <v>3000</v>
      </c>
      <c r="R2201" s="46">
        <v>6.798</v>
      </c>
      <c r="S2201" s="46">
        <v>0</v>
      </c>
      <c r="T2201" s="46">
        <v>0</v>
      </c>
      <c r="U2201" s="46">
        <v>0</v>
      </c>
      <c r="V2201" s="46" t="s">
        <v>62</v>
      </c>
      <c r="W2201" s="46">
        <v>3000</v>
      </c>
      <c r="X2201" s="46">
        <v>6.798</v>
      </c>
      <c r="AF2201" s="46">
        <v>39</v>
      </c>
      <c r="AG2201" s="46">
        <v>19500</v>
      </c>
      <c r="AH2201" s="46">
        <v>142169</v>
      </c>
      <c r="AI2201" s="46">
        <v>7.2910000000000004</v>
      </c>
      <c r="AJ2201" s="46">
        <v>39</v>
      </c>
      <c r="AK2201" s="46">
        <v>18200</v>
      </c>
      <c r="AL2201" s="46">
        <v>136881.78599999999</v>
      </c>
      <c r="AM2201" s="46">
        <v>7.5209999999999999</v>
      </c>
      <c r="AN2201" s="46" t="s">
        <v>63</v>
      </c>
      <c r="AO2201" s="46">
        <v>1300</v>
      </c>
      <c r="AP2201" s="46">
        <v>5287.2139999999999</v>
      </c>
      <c r="AQ2201" s="46">
        <v>4.0670000000000002</v>
      </c>
      <c r="AR2201" s="46">
        <v>4186</v>
      </c>
      <c r="AS2201" s="46">
        <v>45</v>
      </c>
      <c r="AT2201" s="46">
        <v>22500</v>
      </c>
      <c r="AU2201" s="46">
        <v>162594</v>
      </c>
      <c r="AV2201" s="46">
        <v>7.226</v>
      </c>
      <c r="AW2201" s="46">
        <v>39</v>
      </c>
      <c r="AX2201" s="46">
        <v>18200</v>
      </c>
      <c r="AY2201" s="46">
        <v>136881.78599999999</v>
      </c>
      <c r="AZ2201" s="46">
        <v>7.5209999999999999</v>
      </c>
      <c r="BA2201" s="46" t="s">
        <v>63</v>
      </c>
      <c r="BB2201" s="46">
        <v>4300</v>
      </c>
      <c r="BC2201" s="46">
        <v>25712.214</v>
      </c>
      <c r="BD2201" s="46">
        <v>5.98</v>
      </c>
      <c r="BE2201" s="46">
        <v>5369</v>
      </c>
      <c r="BF2201" s="46">
        <v>20425</v>
      </c>
      <c r="BG2201" s="46">
        <v>6.81</v>
      </c>
      <c r="BH2201" s="46">
        <v>0</v>
      </c>
      <c r="BJ2201">
        <v>20425</v>
      </c>
      <c r="BK2201">
        <v>6.81</v>
      </c>
      <c r="BL2201">
        <v>716.78</v>
      </c>
    </row>
    <row r="2202" spans="1:64" x14ac:dyDescent="0.25">
      <c r="A2202" s="136">
        <v>43132</v>
      </c>
      <c r="B2202" s="201" t="s">
        <v>67</v>
      </c>
      <c r="C2202" t="s">
        <v>129</v>
      </c>
      <c r="D2202">
        <v>5650</v>
      </c>
      <c r="E2202">
        <v>5150</v>
      </c>
      <c r="F2202">
        <v>8.5489999999999995</v>
      </c>
      <c r="G2202">
        <v>-1236.9100000000001</v>
      </c>
      <c r="H2202">
        <v>-2.56</v>
      </c>
      <c r="I2202" s="309">
        <v>47064.5</v>
      </c>
      <c r="J2202">
        <v>8.33</v>
      </c>
      <c r="K2202" s="133">
        <v>9.6904531848852296E-2</v>
      </c>
      <c r="L2202" s="181">
        <v>-2028.5</v>
      </c>
      <c r="M2202" s="133">
        <v>9.9451296065813294E-2</v>
      </c>
      <c r="N2202" s="73">
        <v>-1069.66700000023</v>
      </c>
      <c r="O2202" s="73">
        <v>-127.886622787108</v>
      </c>
      <c r="P2202" s="182">
        <v>1</v>
      </c>
      <c r="Q2202" s="182">
        <v>500</v>
      </c>
      <c r="R2202" s="46">
        <v>8.36</v>
      </c>
      <c r="S2202" s="46">
        <v>6</v>
      </c>
      <c r="T2202" s="46">
        <v>2400</v>
      </c>
      <c r="U2202" s="46">
        <v>8.7420000000000009</v>
      </c>
      <c r="V2202" s="46" t="s">
        <v>68</v>
      </c>
      <c r="W2202" s="46">
        <v>1900</v>
      </c>
      <c r="X2202" s="46">
        <v>8.843</v>
      </c>
      <c r="AF2202" s="46">
        <v>164</v>
      </c>
      <c r="AG2202" s="46">
        <v>81800</v>
      </c>
      <c r="AH2202" s="46">
        <v>676978</v>
      </c>
      <c r="AI2202" s="46">
        <v>8.2759999999999998</v>
      </c>
      <c r="AJ2202" s="46">
        <v>166</v>
      </c>
      <c r="AK2202" s="46">
        <v>76850</v>
      </c>
      <c r="AL2202" s="46">
        <v>681058.429</v>
      </c>
      <c r="AM2202" s="46">
        <v>8.8620000000000001</v>
      </c>
      <c r="AN2202" s="46" t="s">
        <v>63</v>
      </c>
      <c r="AO2202" s="46">
        <v>4950</v>
      </c>
      <c r="AP2202" s="46">
        <v>4080.4290000000001</v>
      </c>
      <c r="AQ2202" s="46">
        <v>0.82399999999999995</v>
      </c>
      <c r="AR2202" s="46">
        <v>45034.1</v>
      </c>
      <c r="AS2202" s="46">
        <v>165</v>
      </c>
      <c r="AT2202" s="46">
        <v>82300</v>
      </c>
      <c r="AU2202" s="46">
        <v>681163</v>
      </c>
      <c r="AV2202" s="46">
        <v>8.2769999999999992</v>
      </c>
      <c r="AW2202" s="46">
        <v>172</v>
      </c>
      <c r="AX2202" s="46">
        <v>79250</v>
      </c>
      <c r="AY2202" s="46">
        <v>701987.44900000002</v>
      </c>
      <c r="AZ2202" s="46">
        <v>8.8580000000000005</v>
      </c>
      <c r="BA2202" s="46" t="s">
        <v>63</v>
      </c>
      <c r="BB2202" s="46">
        <v>3050</v>
      </c>
      <c r="BC2202" s="46">
        <v>20824.449000000001</v>
      </c>
      <c r="BD2202" s="46">
        <v>6.8280000000000003</v>
      </c>
      <c r="BE2202" s="46">
        <v>46044.25</v>
      </c>
      <c r="BF2202" s="46">
        <v>4185</v>
      </c>
      <c r="BG2202" s="46">
        <v>8.3699999999999992</v>
      </c>
      <c r="BH2202" s="46">
        <v>20929.02</v>
      </c>
      <c r="BI2202">
        <v>8.7200000000000006</v>
      </c>
      <c r="BJ2202">
        <v>16744.02</v>
      </c>
      <c r="BK2202">
        <v>8.81</v>
      </c>
      <c r="BL2202">
        <v>5406.25</v>
      </c>
    </row>
    <row r="2203" spans="1:64" x14ac:dyDescent="0.25">
      <c r="A2203" s="136">
        <v>43132</v>
      </c>
      <c r="B2203" s="201" t="s">
        <v>78</v>
      </c>
      <c r="C2203" t="s">
        <v>142</v>
      </c>
      <c r="D2203">
        <v>1600</v>
      </c>
      <c r="E2203">
        <v>600</v>
      </c>
      <c r="F2203">
        <v>9.43</v>
      </c>
      <c r="G2203">
        <v>-528.13</v>
      </c>
      <c r="H2203">
        <v>-3.5</v>
      </c>
      <c r="I2203" s="309">
        <v>14560</v>
      </c>
      <c r="J2203">
        <v>9.1</v>
      </c>
      <c r="K2203" s="133">
        <v>2.9978645979863602E-2</v>
      </c>
      <c r="L2203" s="181">
        <v>-571</v>
      </c>
      <c r="M2203" s="133">
        <v>3.1066051357703201E-2</v>
      </c>
      <c r="N2203" s="73">
        <v>-544.13200000000097</v>
      </c>
      <c r="O2203" s="73">
        <v>-59.830575797579897</v>
      </c>
      <c r="P2203" s="182">
        <v>2</v>
      </c>
      <c r="Q2203" s="182">
        <v>1000</v>
      </c>
      <c r="R2203" s="46">
        <v>9.2650000000000006</v>
      </c>
      <c r="S2203" s="46">
        <v>1</v>
      </c>
      <c r="T2203" s="46">
        <v>100</v>
      </c>
      <c r="U2203" s="46">
        <v>10.6</v>
      </c>
      <c r="V2203" s="46" t="s">
        <v>62</v>
      </c>
      <c r="W2203" s="46">
        <v>900</v>
      </c>
      <c r="X2203" s="46">
        <v>9.1170000000000009</v>
      </c>
      <c r="AF2203" s="46">
        <v>7</v>
      </c>
      <c r="AG2203" s="46">
        <v>3500</v>
      </c>
      <c r="AH2203" s="46">
        <v>35875</v>
      </c>
      <c r="AI2203" s="46">
        <v>10.25</v>
      </c>
      <c r="AJ2203" s="46">
        <v>7</v>
      </c>
      <c r="AK2203" s="46">
        <v>2800</v>
      </c>
      <c r="AL2203" s="46">
        <v>29007.928</v>
      </c>
      <c r="AM2203" s="46">
        <v>10.36</v>
      </c>
      <c r="AN2203" s="46" t="s">
        <v>63</v>
      </c>
      <c r="AO2203" s="46">
        <v>700</v>
      </c>
      <c r="AP2203" s="46">
        <v>6867.0720000000001</v>
      </c>
      <c r="AQ2203" s="46">
        <v>9.81</v>
      </c>
      <c r="AR2203" s="46">
        <v>308</v>
      </c>
      <c r="AS2203" s="46">
        <v>9</v>
      </c>
      <c r="AT2203" s="46">
        <v>4500</v>
      </c>
      <c r="AU2203" s="46">
        <v>45150</v>
      </c>
      <c r="AV2203" s="46">
        <v>10.032999999999999</v>
      </c>
      <c r="AW2203" s="46">
        <v>8</v>
      </c>
      <c r="AX2203" s="46">
        <v>2900</v>
      </c>
      <c r="AY2203" s="46">
        <v>30061.867999999999</v>
      </c>
      <c r="AZ2203" s="46">
        <v>10.366</v>
      </c>
      <c r="BA2203" s="46" t="s">
        <v>63</v>
      </c>
      <c r="BB2203" s="46">
        <v>1600</v>
      </c>
      <c r="BC2203" s="46">
        <v>15088.132</v>
      </c>
      <c r="BD2203" s="46">
        <v>9.43</v>
      </c>
      <c r="BE2203" s="46">
        <v>965.7</v>
      </c>
      <c r="BF2203" s="46">
        <v>9275</v>
      </c>
      <c r="BG2203" s="46">
        <v>9.2799999999999994</v>
      </c>
      <c r="BH2203" s="46">
        <v>1053.94</v>
      </c>
      <c r="BI2203">
        <v>10.54</v>
      </c>
      <c r="BJ2203">
        <v>8221.06</v>
      </c>
      <c r="BK2203">
        <v>9.1300000000000008</v>
      </c>
      <c r="BL2203">
        <v>33.85</v>
      </c>
    </row>
    <row r="2204" spans="1:64" x14ac:dyDescent="0.25">
      <c r="A2204" s="136">
        <v>43132</v>
      </c>
      <c r="B2204" s="201" t="s">
        <v>72</v>
      </c>
      <c r="C2204" t="s">
        <v>130</v>
      </c>
      <c r="D2204">
        <v>3600</v>
      </c>
      <c r="E2204">
        <v>3100</v>
      </c>
      <c r="F2204">
        <v>6.8849999999999998</v>
      </c>
      <c r="G2204">
        <v>-2213.4499999999998</v>
      </c>
      <c r="H2204">
        <v>-8.93</v>
      </c>
      <c r="I2204" s="309">
        <v>22572</v>
      </c>
      <c r="J2204">
        <v>6.27</v>
      </c>
      <c r="K2204" s="133">
        <v>4.6475137160541198E-2</v>
      </c>
      <c r="L2204" s="181">
        <v>-1624</v>
      </c>
      <c r="M2204" s="133">
        <v>5.1032570810550099E-2</v>
      </c>
      <c r="N2204" s="73">
        <v>-25027.164000000001</v>
      </c>
      <c r="O2204" s="73">
        <v>-230.71209783616399</v>
      </c>
      <c r="P2204" s="182">
        <v>0</v>
      </c>
      <c r="Q2204" s="182">
        <v>0</v>
      </c>
      <c r="R2204" s="46">
        <v>0</v>
      </c>
      <c r="S2204" s="46">
        <v>10</v>
      </c>
      <c r="T2204" s="46">
        <v>4000</v>
      </c>
      <c r="U2204" s="46">
        <v>7.9950000000000001</v>
      </c>
      <c r="V2204" s="46" t="s">
        <v>68</v>
      </c>
      <c r="W2204" s="46">
        <v>4000</v>
      </c>
      <c r="X2204" s="46">
        <v>7.9950000000000001</v>
      </c>
      <c r="AF2204" s="46">
        <v>30</v>
      </c>
      <c r="AG2204" s="46">
        <v>15000</v>
      </c>
      <c r="AH2204" s="46">
        <v>115805</v>
      </c>
      <c r="AI2204" s="46">
        <v>7.72</v>
      </c>
      <c r="AJ2204" s="46">
        <v>30</v>
      </c>
      <c r="AK2204" s="46">
        <v>14000</v>
      </c>
      <c r="AL2204" s="46">
        <v>59854.000999999997</v>
      </c>
      <c r="AM2204" s="46">
        <v>4.2750000000000004</v>
      </c>
      <c r="AN2204" s="46" t="s">
        <v>63</v>
      </c>
      <c r="AO2204" s="46">
        <v>1000</v>
      </c>
      <c r="AP2204" s="46">
        <v>55950.999000000003</v>
      </c>
      <c r="AQ2204" s="46">
        <v>55.951000000000001</v>
      </c>
      <c r="AR2204" s="46">
        <v>-48230</v>
      </c>
      <c r="AS2204" s="46">
        <v>30</v>
      </c>
      <c r="AT2204" s="46">
        <v>15000</v>
      </c>
      <c r="AU2204" s="46">
        <v>115805</v>
      </c>
      <c r="AV2204" s="46">
        <v>7.72</v>
      </c>
      <c r="AW2204" s="46">
        <v>41</v>
      </c>
      <c r="AX2204" s="46">
        <v>18500</v>
      </c>
      <c r="AY2204" s="46">
        <v>91752.020999999993</v>
      </c>
      <c r="AZ2204" s="46">
        <v>4.96</v>
      </c>
      <c r="BA2204" s="46" t="s">
        <v>69</v>
      </c>
      <c r="BB2204" s="46">
        <v>3500</v>
      </c>
      <c r="BC2204" s="46">
        <v>24052.978999999999</v>
      </c>
      <c r="BD2204" s="46">
        <v>6.8719999999999999</v>
      </c>
      <c r="BE2204" s="46">
        <v>-41400</v>
      </c>
      <c r="BF2204" s="46">
        <v>0</v>
      </c>
      <c r="BH2204" s="46">
        <v>31898.02</v>
      </c>
      <c r="BI2204">
        <v>7.97</v>
      </c>
      <c r="BJ2204">
        <v>-31898.02</v>
      </c>
      <c r="BK2204">
        <v>-7.97</v>
      </c>
      <c r="BL2204">
        <v>-7692.19</v>
      </c>
    </row>
    <row r="2205" spans="1:64" x14ac:dyDescent="0.25">
      <c r="A2205" s="136">
        <v>43132</v>
      </c>
      <c r="B2205" s="201" t="s">
        <v>70</v>
      </c>
      <c r="C2205" t="s">
        <v>131</v>
      </c>
      <c r="D2205">
        <v>12000</v>
      </c>
      <c r="E2205">
        <v>11000</v>
      </c>
      <c r="F2205">
        <v>11.731</v>
      </c>
      <c r="G2205">
        <v>-36246.660000000003</v>
      </c>
      <c r="H2205">
        <v>-25.75</v>
      </c>
      <c r="I2205" s="309">
        <v>104520</v>
      </c>
      <c r="J2205">
        <v>8.7100000000000009</v>
      </c>
      <c r="K2205" s="133">
        <v>0.21520385149830601</v>
      </c>
      <c r="L2205" s="181">
        <v>-10675</v>
      </c>
      <c r="M2205" s="133">
        <v>0.28983474353762501</v>
      </c>
      <c r="N2205" s="73">
        <v>-36245.654000000002</v>
      </c>
      <c r="O2205" s="73">
        <v>-4159.3032345579804</v>
      </c>
      <c r="P2205" s="182">
        <v>1</v>
      </c>
      <c r="Q2205" s="182">
        <v>500</v>
      </c>
      <c r="R2205" s="46">
        <v>8.36</v>
      </c>
      <c r="S2205" s="46">
        <v>6</v>
      </c>
      <c r="T2205" s="46">
        <v>2400</v>
      </c>
      <c r="U2205" s="46">
        <v>8.7420000000000009</v>
      </c>
      <c r="V2205" s="46" t="s">
        <v>68</v>
      </c>
      <c r="W2205" s="46">
        <v>1900</v>
      </c>
      <c r="X2205" s="46">
        <v>8.843</v>
      </c>
      <c r="AF2205" s="46">
        <v>128</v>
      </c>
      <c r="AG2205" s="46">
        <v>64600</v>
      </c>
      <c r="AH2205" s="46">
        <v>861448</v>
      </c>
      <c r="AI2205" s="46">
        <v>13.335000000000001</v>
      </c>
      <c r="AJ2205" s="46">
        <v>131</v>
      </c>
      <c r="AK2205" s="46">
        <v>52600</v>
      </c>
      <c r="AL2205" s="46">
        <v>720277.34600000002</v>
      </c>
      <c r="AM2205" s="46">
        <v>13.693</v>
      </c>
      <c r="AN2205" s="46" t="s">
        <v>63</v>
      </c>
      <c r="AO2205" s="46">
        <v>12000</v>
      </c>
      <c r="AP2205" s="46">
        <v>141170.65400000001</v>
      </c>
      <c r="AQ2205" s="46">
        <v>11.763999999999999</v>
      </c>
      <c r="AR2205" s="46">
        <v>18830.8</v>
      </c>
      <c r="AS2205" s="46">
        <v>128</v>
      </c>
      <c r="AT2205" s="46">
        <v>64600</v>
      </c>
      <c r="AU2205" s="46">
        <v>861448</v>
      </c>
      <c r="AV2205" s="46">
        <v>13.335000000000001</v>
      </c>
      <c r="AW2205" s="46">
        <v>132</v>
      </c>
      <c r="AX2205" s="46">
        <v>52600</v>
      </c>
      <c r="AY2205" s="46">
        <v>720682.34600000002</v>
      </c>
      <c r="AZ2205" s="46">
        <v>13.701000000000001</v>
      </c>
      <c r="BA2205" s="46" t="s">
        <v>63</v>
      </c>
      <c r="BB2205" s="46">
        <v>12000</v>
      </c>
      <c r="BC2205" s="46">
        <v>140765.65400000001</v>
      </c>
      <c r="BD2205" s="46">
        <v>11.73</v>
      </c>
      <c r="BE2205" s="46">
        <v>19251.599999999999</v>
      </c>
      <c r="BF2205" s="46">
        <v>0</v>
      </c>
      <c r="BG2205" s="46">
        <v>0</v>
      </c>
      <c r="BH2205" s="46">
        <v>405</v>
      </c>
      <c r="BI2205">
        <v>0.17</v>
      </c>
      <c r="BJ2205">
        <v>-405</v>
      </c>
      <c r="BK2205">
        <v>-0.21</v>
      </c>
      <c r="BL2205">
        <v>2161.9699999999998</v>
      </c>
    </row>
    <row r="2206" spans="1:64" x14ac:dyDescent="0.25">
      <c r="A2206" s="136">
        <v>43132</v>
      </c>
      <c r="B2206" s="201" t="s">
        <v>137</v>
      </c>
      <c r="C2206" t="s">
        <v>138</v>
      </c>
      <c r="D2206">
        <v>100</v>
      </c>
      <c r="E2206">
        <v>100</v>
      </c>
      <c r="F2206">
        <v>-130.48500000000001</v>
      </c>
      <c r="G2206">
        <v>16323.5</v>
      </c>
      <c r="H2206">
        <v>0</v>
      </c>
      <c r="I2206" s="309">
        <v>3275</v>
      </c>
      <c r="J2206">
        <v>32.75</v>
      </c>
      <c r="K2206" s="133">
        <v>6.7431363725311303E-3</v>
      </c>
      <c r="L2206" s="181">
        <v>-32</v>
      </c>
      <c r="M2206" s="133">
        <v>0</v>
      </c>
    </row>
    <row r="2207" spans="1:64" x14ac:dyDescent="0.25">
      <c r="A2207" s="136">
        <v>43132</v>
      </c>
      <c r="B2207" s="201" t="s">
        <v>835</v>
      </c>
      <c r="C2207" t="s">
        <v>839</v>
      </c>
      <c r="I2207" s="309">
        <v>9184.76</v>
      </c>
      <c r="K2207" s="133">
        <v>1.8911172283654701E-2</v>
      </c>
      <c r="L2207" s="181">
        <v>0</v>
      </c>
      <c r="M2207" s="133">
        <v>0.23299243055660801</v>
      </c>
    </row>
    <row r="2208" spans="1:64" x14ac:dyDescent="0.25">
      <c r="A2208" s="136">
        <v>43135</v>
      </c>
      <c r="B2208" s="201" t="s">
        <v>132</v>
      </c>
      <c r="C2208" t="s">
        <v>123</v>
      </c>
      <c r="D2208">
        <v>8399886</v>
      </c>
      <c r="E2208">
        <v>8399886</v>
      </c>
      <c r="F2208">
        <v>0.01</v>
      </c>
      <c r="G2208">
        <v>2988.42</v>
      </c>
      <c r="H2208">
        <v>0</v>
      </c>
      <c r="I2208" s="309">
        <v>83998.86</v>
      </c>
      <c r="J2208">
        <v>0.01</v>
      </c>
      <c r="K2208" s="133">
        <v>0.176168750813219</v>
      </c>
      <c r="L2208" s="181">
        <v>24.079999999999899</v>
      </c>
      <c r="M2208" s="133">
        <v>0</v>
      </c>
    </row>
    <row r="2209" spans="1:64" x14ac:dyDescent="0.25">
      <c r="A2209" s="136">
        <v>43135</v>
      </c>
      <c r="B2209" s="201" t="s">
        <v>61</v>
      </c>
      <c r="C2209" t="s">
        <v>136</v>
      </c>
      <c r="D2209">
        <v>2300</v>
      </c>
      <c r="E2209">
        <v>2300</v>
      </c>
      <c r="F2209">
        <v>5.2679999999999998</v>
      </c>
      <c r="G2209">
        <v>-132.84</v>
      </c>
      <c r="H2209">
        <v>-1.1000000000000001</v>
      </c>
      <c r="I2209" s="309">
        <v>11983</v>
      </c>
      <c r="J2209">
        <v>5.21</v>
      </c>
      <c r="K2209" s="133">
        <v>2.5131652274742799E-2</v>
      </c>
      <c r="L2209" s="181">
        <v>66.95</v>
      </c>
      <c r="M2209" s="133">
        <v>2.5410254351699801E-2</v>
      </c>
      <c r="N2209" s="73">
        <v>-137.685000000001</v>
      </c>
      <c r="O2209" s="73">
        <v>-26.413849808061698</v>
      </c>
      <c r="P2209" s="182">
        <v>3</v>
      </c>
      <c r="Q2209" s="182">
        <v>1500</v>
      </c>
      <c r="R2209" s="46">
        <v>5.327</v>
      </c>
      <c r="S2209" s="46">
        <v>0</v>
      </c>
      <c r="T2209" s="46">
        <v>0</v>
      </c>
      <c r="U2209" s="46">
        <v>0</v>
      </c>
      <c r="V2209" s="46" t="s">
        <v>62</v>
      </c>
      <c r="W2209" s="46">
        <v>1500</v>
      </c>
      <c r="X2209" s="46">
        <v>5.327</v>
      </c>
      <c r="AF2209" s="46">
        <v>9</v>
      </c>
      <c r="AG2209" s="46">
        <v>4500</v>
      </c>
      <c r="AH2209" s="46">
        <v>23912.7</v>
      </c>
      <c r="AI2209" s="46">
        <v>5.3140000000000001</v>
      </c>
      <c r="AJ2209" s="46">
        <v>9</v>
      </c>
      <c r="AK2209" s="46">
        <v>3700</v>
      </c>
      <c r="AL2209" s="46">
        <v>19797.915000000001</v>
      </c>
      <c r="AM2209" s="46">
        <v>5.351</v>
      </c>
      <c r="AN2209" s="46" t="s">
        <v>63</v>
      </c>
      <c r="AO2209" s="46">
        <v>800</v>
      </c>
      <c r="AP2209" s="46">
        <v>4114.7849999999999</v>
      </c>
      <c r="AQ2209" s="46">
        <v>5.1429999999999998</v>
      </c>
      <c r="AR2209" s="46">
        <v>136.9</v>
      </c>
      <c r="AS2209" s="46">
        <v>12</v>
      </c>
      <c r="AT2209" s="46">
        <v>6000</v>
      </c>
      <c r="AU2209" s="46">
        <v>31918.6</v>
      </c>
      <c r="AV2209" s="46">
        <v>5.32</v>
      </c>
      <c r="AW2209" s="46">
        <v>9</v>
      </c>
      <c r="AX2209" s="46">
        <v>3700</v>
      </c>
      <c r="AY2209" s="46">
        <v>19797.915000000001</v>
      </c>
      <c r="AZ2209" s="46">
        <v>5.351</v>
      </c>
      <c r="BA2209" s="46" t="s">
        <v>63</v>
      </c>
      <c r="BB2209" s="46">
        <v>2300</v>
      </c>
      <c r="BC2209" s="46">
        <v>12120.684999999999</v>
      </c>
      <c r="BD2209" s="46">
        <v>5.27</v>
      </c>
      <c r="BE2209" s="46">
        <v>114.7</v>
      </c>
      <c r="BF2209" s="46">
        <v>8005.9</v>
      </c>
      <c r="BG2209" s="46">
        <v>5.34</v>
      </c>
      <c r="BH2209" s="46">
        <v>0</v>
      </c>
      <c r="BJ2209">
        <v>8005.9</v>
      </c>
      <c r="BK2209">
        <v>5.34</v>
      </c>
      <c r="BL2209">
        <v>26.28</v>
      </c>
    </row>
    <row r="2210" spans="1:64" x14ac:dyDescent="0.25">
      <c r="A2210" s="136">
        <v>43135</v>
      </c>
      <c r="B2210" s="201" t="s">
        <v>124</v>
      </c>
      <c r="C2210" t="s">
        <v>125</v>
      </c>
      <c r="D2210">
        <v>100</v>
      </c>
      <c r="E2210">
        <v>100</v>
      </c>
      <c r="F2210">
        <v>-53.579000000000001</v>
      </c>
      <c r="G2210">
        <v>6117.9</v>
      </c>
      <c r="H2210">
        <v>0</v>
      </c>
      <c r="I2210" s="309">
        <v>760</v>
      </c>
      <c r="J2210">
        <v>7.6</v>
      </c>
      <c r="K2210" s="133">
        <v>1.59392937735162E-3</v>
      </c>
      <c r="L2210" s="181">
        <v>-8</v>
      </c>
      <c r="M2210" s="133">
        <v>0</v>
      </c>
    </row>
    <row r="2211" spans="1:64" x14ac:dyDescent="0.25">
      <c r="A2211" s="136">
        <v>43135</v>
      </c>
      <c r="B2211" s="201" t="s">
        <v>71</v>
      </c>
      <c r="C2211" t="s">
        <v>126</v>
      </c>
      <c r="D2211">
        <v>100</v>
      </c>
      <c r="E2211">
        <v>100</v>
      </c>
      <c r="F2211">
        <v>-17.085999999999999</v>
      </c>
      <c r="G2211">
        <v>2450.6</v>
      </c>
      <c r="H2211">
        <v>0</v>
      </c>
      <c r="I2211" s="309">
        <v>742</v>
      </c>
      <c r="J2211">
        <v>7.42</v>
      </c>
      <c r="K2211" s="133">
        <v>1.5561784184143499E-3</v>
      </c>
      <c r="L2211" s="181">
        <v>4</v>
      </c>
      <c r="M2211" s="133">
        <v>0</v>
      </c>
      <c r="N2211" s="73">
        <v>1703.3019999999999</v>
      </c>
      <c r="O2211" s="73">
        <v>341.114950423729</v>
      </c>
      <c r="P2211" s="182">
        <v>0</v>
      </c>
      <c r="Q2211" s="182">
        <v>0</v>
      </c>
      <c r="R2211" s="46">
        <v>0</v>
      </c>
      <c r="S2211" s="46">
        <v>7</v>
      </c>
      <c r="T2211" s="46">
        <v>2800</v>
      </c>
      <c r="U2211" s="46">
        <v>6.6749999999999998</v>
      </c>
      <c r="V2211" s="46" t="s">
        <v>68</v>
      </c>
      <c r="W2211" s="46">
        <v>2800</v>
      </c>
      <c r="X2211" s="46">
        <v>6.6749999999999998</v>
      </c>
      <c r="AF2211" s="46">
        <v>41</v>
      </c>
      <c r="AG2211" s="46">
        <v>20600</v>
      </c>
      <c r="AH2211" s="46">
        <v>131323.35999999999</v>
      </c>
      <c r="AI2211" s="46">
        <v>6.375</v>
      </c>
      <c r="AJ2211" s="46">
        <v>39</v>
      </c>
      <c r="AK2211" s="46">
        <v>17700</v>
      </c>
      <c r="AL2211" s="46">
        <v>114228.83100000001</v>
      </c>
      <c r="AM2211" s="46">
        <v>6.4539999999999997</v>
      </c>
      <c r="AN2211" s="46" t="s">
        <v>63</v>
      </c>
      <c r="AO2211" s="46">
        <v>2900</v>
      </c>
      <c r="AP2211" s="46">
        <v>17094.528999999999</v>
      </c>
      <c r="AQ2211" s="46">
        <v>5.8949999999999996</v>
      </c>
      <c r="AR2211" s="46">
        <v>1398.3</v>
      </c>
      <c r="AS2211" s="46">
        <v>41</v>
      </c>
      <c r="AT2211" s="46">
        <v>20600</v>
      </c>
      <c r="AU2211" s="46">
        <v>131323.35999999999</v>
      </c>
      <c r="AV2211" s="46">
        <v>6.375</v>
      </c>
      <c r="AW2211" s="46">
        <v>46</v>
      </c>
      <c r="AX2211" s="46">
        <v>20500</v>
      </c>
      <c r="AY2211" s="46">
        <v>132870.462</v>
      </c>
      <c r="AZ2211" s="46">
        <v>6.4809999999999999</v>
      </c>
      <c r="BA2211" s="46" t="s">
        <v>63</v>
      </c>
      <c r="BB2211" s="46">
        <v>100</v>
      </c>
      <c r="BC2211" s="46">
        <v>1547.1020000000001</v>
      </c>
      <c r="BD2211" s="46">
        <v>15.471</v>
      </c>
      <c r="BE2211" s="46">
        <v>2173</v>
      </c>
      <c r="BF2211" s="46">
        <v>0</v>
      </c>
      <c r="BH2211" s="46">
        <v>18641.631000000001</v>
      </c>
      <c r="BI2211">
        <v>6.66</v>
      </c>
      <c r="BJ2211">
        <v>-15547.427</v>
      </c>
      <c r="BK2211">
        <v>-5.55</v>
      </c>
      <c r="BL2211">
        <v>188.45</v>
      </c>
    </row>
    <row r="2212" spans="1:64" x14ac:dyDescent="0.25">
      <c r="A2212" s="136">
        <v>43135</v>
      </c>
      <c r="B2212" s="201" t="s">
        <v>79</v>
      </c>
      <c r="C2212" t="s">
        <v>143</v>
      </c>
      <c r="D2212">
        <v>5200</v>
      </c>
      <c r="E2212">
        <v>5200</v>
      </c>
      <c r="F2212">
        <v>16.669</v>
      </c>
      <c r="G2212">
        <v>-10288.58</v>
      </c>
      <c r="H2212">
        <v>-11.87</v>
      </c>
      <c r="I2212" s="309">
        <v>76388</v>
      </c>
      <c r="J2212">
        <v>14.69</v>
      </c>
      <c r="K2212" s="133">
        <v>0.16020668062780999</v>
      </c>
      <c r="L2212" s="181">
        <v>-1828.15</v>
      </c>
      <c r="M2212" s="133">
        <v>0.181784667355748</v>
      </c>
      <c r="N2212" s="73">
        <v>-10395.576000000099</v>
      </c>
      <c r="O2212" s="73">
        <v>-708.27390674847004</v>
      </c>
      <c r="P2212" s="182">
        <v>8</v>
      </c>
      <c r="Q2212" s="182">
        <v>4500</v>
      </c>
      <c r="R2212" s="46">
        <v>16.422000000000001</v>
      </c>
      <c r="S2212" s="46">
        <v>0</v>
      </c>
      <c r="T2212" s="46">
        <v>0</v>
      </c>
      <c r="U2212" s="46">
        <v>0</v>
      </c>
      <c r="V2212" s="46" t="s">
        <v>62</v>
      </c>
      <c r="W2212" s="46">
        <v>4500</v>
      </c>
      <c r="X2212" s="46">
        <v>16.422000000000001</v>
      </c>
      <c r="AF2212" s="46">
        <v>7</v>
      </c>
      <c r="AG2212" s="46">
        <v>3500</v>
      </c>
      <c r="AH2212" s="46">
        <v>56752.1</v>
      </c>
      <c r="AI2212" s="46">
        <v>16.215</v>
      </c>
      <c r="AJ2212" s="46">
        <v>7</v>
      </c>
      <c r="AK2212" s="46">
        <v>2800</v>
      </c>
      <c r="AL2212" s="46">
        <v>44015.224000000002</v>
      </c>
      <c r="AM2212" s="46">
        <v>15.72</v>
      </c>
      <c r="AN2212" s="46" t="s">
        <v>63</v>
      </c>
      <c r="AO2212" s="46">
        <v>700</v>
      </c>
      <c r="AP2212" s="46">
        <v>12736.876</v>
      </c>
      <c r="AQ2212" s="46">
        <v>18.196000000000002</v>
      </c>
      <c r="AR2212" s="46">
        <v>-1386</v>
      </c>
      <c r="AS2212" s="46">
        <v>15</v>
      </c>
      <c r="AT2212" s="46">
        <v>8000</v>
      </c>
      <c r="AU2212" s="46">
        <v>130694.8</v>
      </c>
      <c r="AV2212" s="46">
        <v>16.337</v>
      </c>
      <c r="AW2212" s="46">
        <v>7</v>
      </c>
      <c r="AX2212" s="46">
        <v>2800</v>
      </c>
      <c r="AY2212" s="46">
        <v>44015.224000000002</v>
      </c>
      <c r="AZ2212" s="46">
        <v>15.72</v>
      </c>
      <c r="BA2212" s="46" t="s">
        <v>63</v>
      </c>
      <c r="BB2212" s="46">
        <v>5200</v>
      </c>
      <c r="BC2212" s="46">
        <v>86679.576000000001</v>
      </c>
      <c r="BD2212" s="46">
        <v>16.669</v>
      </c>
      <c r="BE2212" s="46">
        <v>-1727.6</v>
      </c>
      <c r="BF2212" s="46">
        <v>73942.7</v>
      </c>
      <c r="BG2212" s="46">
        <v>16.43</v>
      </c>
      <c r="BH2212" s="46">
        <v>0</v>
      </c>
      <c r="BJ2212">
        <v>73942.7</v>
      </c>
      <c r="BK2212">
        <v>16.43</v>
      </c>
      <c r="BL2212">
        <v>-94.35</v>
      </c>
    </row>
    <row r="2213" spans="1:64" x14ac:dyDescent="0.25">
      <c r="A2213" s="136">
        <v>43135</v>
      </c>
      <c r="B2213" s="201" t="s">
        <v>65</v>
      </c>
      <c r="C2213" t="s">
        <v>127</v>
      </c>
      <c r="D2213">
        <v>6800</v>
      </c>
      <c r="E2213">
        <v>6800</v>
      </c>
      <c r="F2213">
        <v>8.69</v>
      </c>
      <c r="G2213">
        <v>17818.310000000001</v>
      </c>
      <c r="H2213">
        <v>30.15</v>
      </c>
      <c r="I2213" s="309">
        <v>76908</v>
      </c>
      <c r="J2213">
        <v>11.31</v>
      </c>
      <c r="K2213" s="133">
        <v>0.16129726388599799</v>
      </c>
      <c r="L2213" s="181">
        <v>-1253</v>
      </c>
      <c r="M2213" s="133">
        <v>0.12392735893368501</v>
      </c>
      <c r="N2213" s="73">
        <v>11903.893</v>
      </c>
      <c r="O2213" s="73">
        <v>1461.36890485545</v>
      </c>
      <c r="P2213" s="182">
        <v>0</v>
      </c>
      <c r="Q2213" s="182">
        <v>0</v>
      </c>
      <c r="R2213" s="46">
        <v>0</v>
      </c>
      <c r="S2213" s="46">
        <v>23</v>
      </c>
      <c r="T2213" s="46">
        <v>10200</v>
      </c>
      <c r="U2213" s="46">
        <v>12.471</v>
      </c>
      <c r="V2213" s="46" t="s">
        <v>68</v>
      </c>
      <c r="W2213" s="46">
        <v>10200</v>
      </c>
      <c r="X2213" s="46">
        <v>12.471</v>
      </c>
      <c r="AF2213" s="46">
        <v>152</v>
      </c>
      <c r="AG2213" s="46">
        <v>82400</v>
      </c>
      <c r="AH2213" s="46">
        <v>963972.23100000003</v>
      </c>
      <c r="AI2213" s="46">
        <v>11.699</v>
      </c>
      <c r="AJ2213" s="46">
        <v>172</v>
      </c>
      <c r="AK2213" s="46">
        <v>74600</v>
      </c>
      <c r="AL2213" s="46">
        <v>777081.33</v>
      </c>
      <c r="AM2213" s="46">
        <v>10.417</v>
      </c>
      <c r="AN2213" s="46" t="s">
        <v>63</v>
      </c>
      <c r="AO2213" s="46">
        <v>7800</v>
      </c>
      <c r="AP2213" s="46">
        <v>186890.90100000001</v>
      </c>
      <c r="AQ2213" s="46">
        <v>23.96</v>
      </c>
      <c r="AR2213" s="46">
        <v>-95637.2</v>
      </c>
      <c r="AS2213" s="46">
        <v>153</v>
      </c>
      <c r="AT2213" s="46">
        <v>82500</v>
      </c>
      <c r="AU2213" s="46">
        <v>965260.23100000003</v>
      </c>
      <c r="AV2213" s="46">
        <v>11.7</v>
      </c>
      <c r="AW2213" s="46">
        <v>195</v>
      </c>
      <c r="AX2213" s="46">
        <v>84800</v>
      </c>
      <c r="AY2213" s="46">
        <v>904047.12199999997</v>
      </c>
      <c r="AZ2213" s="46">
        <v>10.661</v>
      </c>
      <c r="BA2213" s="46" t="s">
        <v>69</v>
      </c>
      <c r="BB2213" s="46">
        <v>2300</v>
      </c>
      <c r="BC2213" s="46">
        <v>61213.108999999997</v>
      </c>
      <c r="BD2213" s="46">
        <v>26.614000000000001</v>
      </c>
      <c r="BE2213" s="46">
        <v>-85717.5</v>
      </c>
      <c r="BF2213" s="46">
        <v>1288</v>
      </c>
      <c r="BH2213" s="46">
        <v>126965.792</v>
      </c>
      <c r="BI2213">
        <v>12.45</v>
      </c>
      <c r="BJ2213">
        <v>-125677.792</v>
      </c>
      <c r="BK2213">
        <v>-12.32</v>
      </c>
      <c r="BL2213">
        <v>-8455.99</v>
      </c>
    </row>
    <row r="2214" spans="1:64" x14ac:dyDescent="0.25">
      <c r="A2214" s="136">
        <v>43135</v>
      </c>
      <c r="B2214" s="201" t="s">
        <v>77</v>
      </c>
      <c r="C2214" t="s">
        <v>128</v>
      </c>
      <c r="D2214">
        <v>4300</v>
      </c>
      <c r="E2214">
        <v>4300</v>
      </c>
      <c r="F2214">
        <v>5.9779999999999998</v>
      </c>
      <c r="G2214">
        <v>-595.27</v>
      </c>
      <c r="H2214">
        <v>-2.31</v>
      </c>
      <c r="I2214" s="309">
        <v>25112</v>
      </c>
      <c r="J2214">
        <v>5.84</v>
      </c>
      <c r="K2214" s="133">
        <v>5.2666782268492002E-2</v>
      </c>
      <c r="L2214" s="181">
        <v>0</v>
      </c>
      <c r="M2214" s="133">
        <v>5.3915227453302697E-2</v>
      </c>
      <c r="N2214" s="73">
        <v>-1272.2139999999999</v>
      </c>
      <c r="O2214" s="73">
        <v>-133.073774655173</v>
      </c>
      <c r="P2214" s="182">
        <v>6</v>
      </c>
      <c r="Q2214" s="182">
        <v>3000</v>
      </c>
      <c r="R2214" s="46">
        <v>6.798</v>
      </c>
      <c r="S2214" s="46">
        <v>0</v>
      </c>
      <c r="T2214" s="46">
        <v>0</v>
      </c>
      <c r="U2214" s="46">
        <v>0</v>
      </c>
      <c r="V2214" s="46" t="s">
        <v>62</v>
      </c>
      <c r="W2214" s="46">
        <v>3000</v>
      </c>
      <c r="X2214" s="46">
        <v>6.798</v>
      </c>
      <c r="AF2214" s="46">
        <v>39</v>
      </c>
      <c r="AG2214" s="46">
        <v>19500</v>
      </c>
      <c r="AH2214" s="46">
        <v>142169</v>
      </c>
      <c r="AI2214" s="46">
        <v>7.2910000000000004</v>
      </c>
      <c r="AJ2214" s="46">
        <v>39</v>
      </c>
      <c r="AK2214" s="46">
        <v>18200</v>
      </c>
      <c r="AL2214" s="46">
        <v>136881.78599999999</v>
      </c>
      <c r="AM2214" s="46">
        <v>7.5209999999999999</v>
      </c>
      <c r="AN2214" s="46" t="s">
        <v>63</v>
      </c>
      <c r="AO2214" s="46">
        <v>1300</v>
      </c>
      <c r="AP2214" s="46">
        <v>5287.2139999999999</v>
      </c>
      <c r="AQ2214" s="46">
        <v>4.0670000000000002</v>
      </c>
      <c r="AR2214" s="46">
        <v>4186</v>
      </c>
      <c r="AS2214" s="46">
        <v>45</v>
      </c>
      <c r="AT2214" s="46">
        <v>22500</v>
      </c>
      <c r="AU2214" s="46">
        <v>162594</v>
      </c>
      <c r="AV2214" s="46">
        <v>7.226</v>
      </c>
      <c r="AW2214" s="46">
        <v>39</v>
      </c>
      <c r="AX2214" s="46">
        <v>18200</v>
      </c>
      <c r="AY2214" s="46">
        <v>136881.78599999999</v>
      </c>
      <c r="AZ2214" s="46">
        <v>7.5209999999999999</v>
      </c>
      <c r="BA2214" s="46" t="s">
        <v>63</v>
      </c>
      <c r="BB2214" s="46">
        <v>4300</v>
      </c>
      <c r="BC2214" s="46">
        <v>25712.214</v>
      </c>
      <c r="BD2214" s="46">
        <v>5.98</v>
      </c>
      <c r="BE2214" s="46">
        <v>5369</v>
      </c>
      <c r="BF2214" s="46">
        <v>20425</v>
      </c>
      <c r="BG2214" s="46">
        <v>6.81</v>
      </c>
      <c r="BH2214" s="46">
        <v>0</v>
      </c>
      <c r="BJ2214">
        <v>20425</v>
      </c>
      <c r="BK2214">
        <v>6.81</v>
      </c>
      <c r="BL2214">
        <v>716.78</v>
      </c>
    </row>
    <row r="2215" spans="1:64" x14ac:dyDescent="0.25">
      <c r="A2215" s="136">
        <v>43135</v>
      </c>
      <c r="B2215" s="201" t="s">
        <v>67</v>
      </c>
      <c r="C2215" t="s">
        <v>129</v>
      </c>
      <c r="D2215">
        <v>5750</v>
      </c>
      <c r="E2215">
        <v>5750</v>
      </c>
      <c r="F2215">
        <v>8.5299999999999994</v>
      </c>
      <c r="G2215">
        <v>-1090.75</v>
      </c>
      <c r="H2215">
        <v>-2.23</v>
      </c>
      <c r="I2215" s="309">
        <v>47955</v>
      </c>
      <c r="J2215">
        <v>8.34</v>
      </c>
      <c r="K2215" s="133">
        <v>0.100574846435391</v>
      </c>
      <c r="L2215" s="181">
        <v>146.16</v>
      </c>
      <c r="M2215" s="133">
        <v>0.10286244968321499</v>
      </c>
      <c r="N2215" s="73">
        <v>-978.01100000022404</v>
      </c>
      <c r="O2215" s="73">
        <v>-116.928468241654</v>
      </c>
      <c r="P2215" s="182">
        <v>1</v>
      </c>
      <c r="Q2215" s="182">
        <v>500</v>
      </c>
      <c r="R2215" s="46">
        <v>8.15</v>
      </c>
      <c r="S2215" s="46">
        <v>6</v>
      </c>
      <c r="T2215" s="46">
        <v>2400</v>
      </c>
      <c r="U2215" s="46">
        <v>8.7420000000000009</v>
      </c>
      <c r="V2215" s="46" t="s">
        <v>68</v>
      </c>
      <c r="W2215" s="46">
        <v>1900</v>
      </c>
      <c r="X2215" s="46">
        <v>8.8979999999999997</v>
      </c>
      <c r="AF2215" s="46">
        <v>165</v>
      </c>
      <c r="AG2215" s="46">
        <v>82300</v>
      </c>
      <c r="AH2215" s="46">
        <v>681163</v>
      </c>
      <c r="AI2215" s="46">
        <v>8.2769999999999992</v>
      </c>
      <c r="AJ2215" s="46">
        <v>167</v>
      </c>
      <c r="AK2215" s="46">
        <v>77250</v>
      </c>
      <c r="AL2215" s="46">
        <v>684394.08499999996</v>
      </c>
      <c r="AM2215" s="46">
        <v>8.859</v>
      </c>
      <c r="AN2215" s="46" t="s">
        <v>63</v>
      </c>
      <c r="AO2215" s="46">
        <v>5050</v>
      </c>
      <c r="AP2215" s="46">
        <v>3231.085</v>
      </c>
      <c r="AQ2215" s="46">
        <v>0.64</v>
      </c>
      <c r="AR2215" s="46">
        <v>44959.5</v>
      </c>
      <c r="AS2215" s="46">
        <v>166</v>
      </c>
      <c r="AT2215" s="46">
        <v>82800</v>
      </c>
      <c r="AU2215" s="46">
        <v>685243</v>
      </c>
      <c r="AV2215" s="46">
        <v>8.2759999999999998</v>
      </c>
      <c r="AW2215" s="46">
        <v>173</v>
      </c>
      <c r="AX2215" s="46">
        <v>79650</v>
      </c>
      <c r="AY2215" s="46">
        <v>705323.10499999998</v>
      </c>
      <c r="AZ2215" s="46">
        <v>8.8550000000000004</v>
      </c>
      <c r="BA2215" s="46" t="s">
        <v>63</v>
      </c>
      <c r="BB2215" s="46">
        <v>3150</v>
      </c>
      <c r="BC2215" s="46">
        <v>20080.105</v>
      </c>
      <c r="BD2215" s="46">
        <v>6.375</v>
      </c>
      <c r="BE2215" s="46">
        <v>46117.35</v>
      </c>
      <c r="BF2215" s="46">
        <v>4080</v>
      </c>
      <c r="BG2215" s="46">
        <v>8.16</v>
      </c>
      <c r="BH2215" s="46">
        <v>20929.02</v>
      </c>
      <c r="BI2215">
        <v>8.7200000000000006</v>
      </c>
      <c r="BJ2215">
        <v>16849.02</v>
      </c>
      <c r="BK2215">
        <v>8.8699999999999992</v>
      </c>
      <c r="BL2215">
        <v>5390.83</v>
      </c>
    </row>
    <row r="2216" spans="1:64" x14ac:dyDescent="0.25">
      <c r="A2216" s="136">
        <v>43135</v>
      </c>
      <c r="B2216" s="201" t="s">
        <v>78</v>
      </c>
      <c r="C2216" t="s">
        <v>142</v>
      </c>
      <c r="D2216">
        <v>1600</v>
      </c>
      <c r="E2216">
        <v>1600</v>
      </c>
      <c r="F2216">
        <v>9.43</v>
      </c>
      <c r="G2216">
        <v>-544.13</v>
      </c>
      <c r="H2216">
        <v>-3.6</v>
      </c>
      <c r="I2216" s="309">
        <v>14544</v>
      </c>
      <c r="J2216">
        <v>9.09</v>
      </c>
      <c r="K2216" s="133">
        <v>3.0502774821318399E-2</v>
      </c>
      <c r="L2216" s="181">
        <v>-16</v>
      </c>
      <c r="M2216" s="133">
        <v>3.1643965337237297E-2</v>
      </c>
      <c r="N2216" s="73">
        <v>-544.13200000000097</v>
      </c>
      <c r="O2216" s="73">
        <v>-59.830575797579897</v>
      </c>
      <c r="P2216" s="182">
        <v>2</v>
      </c>
      <c r="Q2216" s="182">
        <v>1000</v>
      </c>
      <c r="R2216" s="46">
        <v>9.2650000000000006</v>
      </c>
      <c r="S2216" s="46">
        <v>1</v>
      </c>
      <c r="T2216" s="46">
        <v>100</v>
      </c>
      <c r="U2216" s="46">
        <v>10.6</v>
      </c>
      <c r="V2216" s="46" t="s">
        <v>62</v>
      </c>
      <c r="W2216" s="46">
        <v>900</v>
      </c>
      <c r="X2216" s="46">
        <v>9.1170000000000009</v>
      </c>
      <c r="AF2216" s="46">
        <v>7</v>
      </c>
      <c r="AG2216" s="46">
        <v>3500</v>
      </c>
      <c r="AH2216" s="46">
        <v>35875</v>
      </c>
      <c r="AI2216" s="46">
        <v>10.25</v>
      </c>
      <c r="AJ2216" s="46">
        <v>7</v>
      </c>
      <c r="AK2216" s="46">
        <v>2800</v>
      </c>
      <c r="AL2216" s="46">
        <v>29007.928</v>
      </c>
      <c r="AM2216" s="46">
        <v>10.36</v>
      </c>
      <c r="AN2216" s="46" t="s">
        <v>63</v>
      </c>
      <c r="AO2216" s="46">
        <v>700</v>
      </c>
      <c r="AP2216" s="46">
        <v>6867.0720000000001</v>
      </c>
      <c r="AQ2216" s="46">
        <v>9.81</v>
      </c>
      <c r="AR2216" s="46">
        <v>308</v>
      </c>
      <c r="AS2216" s="46">
        <v>9</v>
      </c>
      <c r="AT2216" s="46">
        <v>4500</v>
      </c>
      <c r="AU2216" s="46">
        <v>45150</v>
      </c>
      <c r="AV2216" s="46">
        <v>10.032999999999999</v>
      </c>
      <c r="AW2216" s="46">
        <v>8</v>
      </c>
      <c r="AX2216" s="46">
        <v>2900</v>
      </c>
      <c r="AY2216" s="46">
        <v>30061.867999999999</v>
      </c>
      <c r="AZ2216" s="46">
        <v>10.366</v>
      </c>
      <c r="BA2216" s="46" t="s">
        <v>63</v>
      </c>
      <c r="BB2216" s="46">
        <v>1600</v>
      </c>
      <c r="BC2216" s="46">
        <v>15088.132</v>
      </c>
      <c r="BD2216" s="46">
        <v>9.43</v>
      </c>
      <c r="BE2216" s="46">
        <v>965.7</v>
      </c>
      <c r="BF2216" s="46">
        <v>9275</v>
      </c>
      <c r="BG2216" s="46">
        <v>9.2799999999999994</v>
      </c>
      <c r="BH2216" s="46">
        <v>1053.94</v>
      </c>
      <c r="BI2216">
        <v>10.54</v>
      </c>
      <c r="BJ2216">
        <v>8221.06</v>
      </c>
      <c r="BK2216">
        <v>9.1300000000000008</v>
      </c>
      <c r="BL2216">
        <v>33.880000000000003</v>
      </c>
    </row>
    <row r="2217" spans="1:64" x14ac:dyDescent="0.25">
      <c r="A2217" s="136">
        <v>43135</v>
      </c>
      <c r="B2217" s="201" t="s">
        <v>72</v>
      </c>
      <c r="C2217" t="s">
        <v>130</v>
      </c>
      <c r="D2217">
        <v>4000</v>
      </c>
      <c r="E2217">
        <v>4000</v>
      </c>
      <c r="F2217">
        <v>6.8109999999999999</v>
      </c>
      <c r="G2217">
        <v>-2602.4499999999998</v>
      </c>
      <c r="H2217">
        <v>-9.56</v>
      </c>
      <c r="I2217" s="309">
        <v>24640</v>
      </c>
      <c r="J2217">
        <v>6.16</v>
      </c>
      <c r="K2217" s="133">
        <v>5.1676868234136801E-2</v>
      </c>
      <c r="L2217" s="181">
        <v>-389</v>
      </c>
      <c r="M2217" s="133">
        <v>5.7134922850042999E-2</v>
      </c>
      <c r="N2217" s="73">
        <v>-27479.164000000001</v>
      </c>
      <c r="O2217" s="73">
        <v>-443.89767911908399</v>
      </c>
      <c r="P2217" s="182">
        <v>0</v>
      </c>
      <c r="Q2217" s="182">
        <v>0</v>
      </c>
      <c r="R2217" s="46">
        <v>0</v>
      </c>
      <c r="S2217" s="46">
        <v>9</v>
      </c>
      <c r="T2217" s="46">
        <v>3600</v>
      </c>
      <c r="U2217" s="46">
        <v>7.98</v>
      </c>
      <c r="V2217" s="46" t="s">
        <v>68</v>
      </c>
      <c r="W2217" s="46">
        <v>3600</v>
      </c>
      <c r="X2217" s="46">
        <v>7.98</v>
      </c>
      <c r="AF2217" s="46">
        <v>31</v>
      </c>
      <c r="AG2217" s="46">
        <v>15400</v>
      </c>
      <c r="AH2217" s="46">
        <v>118262</v>
      </c>
      <c r="AI2217" s="46">
        <v>7.6790000000000003</v>
      </c>
      <c r="AJ2217" s="46">
        <v>31</v>
      </c>
      <c r="AK2217" s="46">
        <v>14400</v>
      </c>
      <c r="AL2217" s="46">
        <v>63097.749000000003</v>
      </c>
      <c r="AM2217" s="46">
        <v>4.3819999999999997</v>
      </c>
      <c r="AN2217" s="46" t="s">
        <v>63</v>
      </c>
      <c r="AO2217" s="46">
        <v>1000</v>
      </c>
      <c r="AP2217" s="46">
        <v>55164.250999999997</v>
      </c>
      <c r="AQ2217" s="46">
        <v>55.164000000000001</v>
      </c>
      <c r="AR2217" s="46">
        <v>-47476.800000000003</v>
      </c>
      <c r="AS2217" s="46">
        <v>31</v>
      </c>
      <c r="AT2217" s="46">
        <v>15400</v>
      </c>
      <c r="AU2217" s="46">
        <v>118262</v>
      </c>
      <c r="AV2217" s="46">
        <v>7.6790000000000003</v>
      </c>
      <c r="AW2217" s="46">
        <v>41</v>
      </c>
      <c r="AX2217" s="46">
        <v>18500</v>
      </c>
      <c r="AY2217" s="46">
        <v>91752.020999999993</v>
      </c>
      <c r="AZ2217" s="46">
        <v>4.96</v>
      </c>
      <c r="BA2217" s="46" t="s">
        <v>69</v>
      </c>
      <c r="BB2217" s="46">
        <v>3100</v>
      </c>
      <c r="BC2217" s="46">
        <v>26509.978999999999</v>
      </c>
      <c r="BD2217" s="46">
        <v>8.5519999999999996</v>
      </c>
      <c r="BE2217" s="46">
        <v>-41872.6</v>
      </c>
      <c r="BF2217" s="46">
        <v>0</v>
      </c>
      <c r="BH2217" s="46">
        <v>28654.272000000001</v>
      </c>
      <c r="BI2217">
        <v>7.96</v>
      </c>
      <c r="BJ2217">
        <v>-28654.272000000001</v>
      </c>
      <c r="BK2217">
        <v>-7.96</v>
      </c>
      <c r="BL2217">
        <v>-7707.27</v>
      </c>
    </row>
    <row r="2218" spans="1:64" x14ac:dyDescent="0.25">
      <c r="A2218" s="136">
        <v>43135</v>
      </c>
      <c r="B2218" s="201" t="s">
        <v>70</v>
      </c>
      <c r="C2218" t="s">
        <v>131</v>
      </c>
      <c r="D2218">
        <v>13000</v>
      </c>
      <c r="E2218">
        <v>13000</v>
      </c>
      <c r="F2218">
        <v>11.477</v>
      </c>
      <c r="G2218">
        <v>-41821.660000000003</v>
      </c>
      <c r="H2218">
        <v>-28.03</v>
      </c>
      <c r="I2218" s="309">
        <v>107380</v>
      </c>
      <c r="J2218">
        <v>8.26</v>
      </c>
      <c r="K2218" s="133">
        <v>0.22520544281581201</v>
      </c>
      <c r="L2218" s="181">
        <v>-5575</v>
      </c>
      <c r="M2218" s="133">
        <v>0.31291698555740599</v>
      </c>
      <c r="N2218" s="73">
        <v>-39610.654000000002</v>
      </c>
      <c r="O2218" s="73">
        <v>-4696.4233301304903</v>
      </c>
      <c r="P2218" s="182">
        <v>1</v>
      </c>
      <c r="Q2218" s="182">
        <v>1000</v>
      </c>
      <c r="R2218" s="46">
        <v>8.43</v>
      </c>
      <c r="S2218" s="46">
        <v>0</v>
      </c>
      <c r="T2218" s="46">
        <v>0</v>
      </c>
      <c r="U2218" s="46">
        <v>0</v>
      </c>
      <c r="V2218" s="46" t="s">
        <v>62</v>
      </c>
      <c r="W2218" s="46">
        <v>1000</v>
      </c>
      <c r="X2218" s="46">
        <v>8.43</v>
      </c>
      <c r="AF2218" s="46">
        <v>128</v>
      </c>
      <c r="AG2218" s="46">
        <v>64600</v>
      </c>
      <c r="AH2218" s="46">
        <v>861448</v>
      </c>
      <c r="AI2218" s="46">
        <v>13.335000000000001</v>
      </c>
      <c r="AJ2218" s="46">
        <v>131</v>
      </c>
      <c r="AK2218" s="46">
        <v>52600</v>
      </c>
      <c r="AL2218" s="46">
        <v>720277.34600000002</v>
      </c>
      <c r="AM2218" s="46">
        <v>13.693</v>
      </c>
      <c r="AN2218" s="46" t="s">
        <v>63</v>
      </c>
      <c r="AO2218" s="46">
        <v>12000</v>
      </c>
      <c r="AP2218" s="46">
        <v>141170.65400000001</v>
      </c>
      <c r="AQ2218" s="46">
        <v>11.763999999999999</v>
      </c>
      <c r="AR2218" s="46">
        <v>18830.8</v>
      </c>
      <c r="AS2218" s="46">
        <v>129</v>
      </c>
      <c r="AT2218" s="46">
        <v>65600</v>
      </c>
      <c r="AU2218" s="46">
        <v>869883</v>
      </c>
      <c r="AV2218" s="46">
        <v>13.26</v>
      </c>
      <c r="AW2218" s="46">
        <v>132</v>
      </c>
      <c r="AX2218" s="46">
        <v>52600</v>
      </c>
      <c r="AY2218" s="46">
        <v>720682.34600000002</v>
      </c>
      <c r="AZ2218" s="46">
        <v>13.701000000000001</v>
      </c>
      <c r="BA2218" s="46" t="s">
        <v>63</v>
      </c>
      <c r="BB2218" s="46">
        <v>13000</v>
      </c>
      <c r="BC2218" s="46">
        <v>149200.65400000001</v>
      </c>
      <c r="BD2218" s="46">
        <v>11.477</v>
      </c>
      <c r="BE2218" s="46">
        <v>23196.6</v>
      </c>
      <c r="BF2218" s="46">
        <v>8435</v>
      </c>
      <c r="BG2218" s="46">
        <v>8.44</v>
      </c>
      <c r="BH2218" s="46">
        <v>405</v>
      </c>
      <c r="BJ2218">
        <v>8030</v>
      </c>
      <c r="BK2218">
        <v>8.0299999999999994</v>
      </c>
      <c r="BL2218">
        <v>2279.7600000000002</v>
      </c>
    </row>
    <row r="2219" spans="1:64" x14ac:dyDescent="0.25">
      <c r="A2219" s="136">
        <v>43135</v>
      </c>
      <c r="B2219" s="201" t="s">
        <v>137</v>
      </c>
      <c r="C2219" t="s">
        <v>138</v>
      </c>
      <c r="D2219">
        <v>100</v>
      </c>
      <c r="E2219">
        <v>100</v>
      </c>
      <c r="F2219">
        <v>-130.48500000000001</v>
      </c>
      <c r="G2219">
        <v>16281.5</v>
      </c>
      <c r="H2219">
        <v>0</v>
      </c>
      <c r="I2219" s="309">
        <v>3233</v>
      </c>
      <c r="J2219">
        <v>32.33</v>
      </c>
      <c r="K2219" s="133">
        <v>6.78049168023394E-3</v>
      </c>
      <c r="L2219" s="181">
        <v>-42</v>
      </c>
      <c r="M2219" s="133">
        <v>0</v>
      </c>
    </row>
    <row r="2220" spans="1:64" x14ac:dyDescent="0.25">
      <c r="A2220" s="136">
        <v>43135</v>
      </c>
      <c r="B2220" s="201" t="s">
        <v>835</v>
      </c>
      <c r="C2220" t="s">
        <v>839</v>
      </c>
      <c r="I2220" s="309">
        <v>3165.22</v>
      </c>
      <c r="K2220" s="133">
        <v>6.6383383470801404E-3</v>
      </c>
      <c r="L2220" s="181">
        <v>0</v>
      </c>
      <c r="M2220" s="133">
        <v>0.182807089160299</v>
      </c>
    </row>
    <row r="2221" spans="1:64" x14ac:dyDescent="0.25">
      <c r="A2221" s="136">
        <v>43136</v>
      </c>
      <c r="B2221" s="201" t="s">
        <v>132</v>
      </c>
      <c r="C2221" t="s">
        <v>123</v>
      </c>
      <c r="D2221">
        <v>7786086</v>
      </c>
      <c r="E2221">
        <v>5399886</v>
      </c>
      <c r="F2221">
        <v>0.01</v>
      </c>
      <c r="G2221">
        <v>2988.42</v>
      </c>
      <c r="H2221">
        <v>0</v>
      </c>
      <c r="I2221" s="309">
        <v>77860.86</v>
      </c>
      <c r="J2221">
        <v>0.01</v>
      </c>
      <c r="K2221" s="133">
        <v>0.16226244449694699</v>
      </c>
      <c r="L2221" s="181">
        <v>0</v>
      </c>
      <c r="M2221" s="133">
        <v>0</v>
      </c>
    </row>
    <row r="2222" spans="1:64" x14ac:dyDescent="0.25">
      <c r="A2222" s="136">
        <v>43136</v>
      </c>
      <c r="B2222" s="201" t="s">
        <v>61</v>
      </c>
      <c r="C2222" t="s">
        <v>136</v>
      </c>
      <c r="D2222">
        <v>2300</v>
      </c>
      <c r="E2222">
        <v>2300</v>
      </c>
      <c r="F2222">
        <v>5.2679999999999998</v>
      </c>
      <c r="G2222">
        <v>5.16</v>
      </c>
      <c r="H2222">
        <v>0.04</v>
      </c>
      <c r="I2222" s="309">
        <v>12121</v>
      </c>
      <c r="J2222">
        <v>5.27</v>
      </c>
      <c r="K2222" s="133">
        <v>2.5260228178156499E-2</v>
      </c>
      <c r="L2222" s="181">
        <v>138</v>
      </c>
      <c r="M2222" s="133">
        <v>2.5249474710835398E-2</v>
      </c>
      <c r="N2222" s="73">
        <v>-137.685000000001</v>
      </c>
      <c r="O2222" s="73">
        <v>-26.413849808061698</v>
      </c>
      <c r="P2222" s="182">
        <v>3</v>
      </c>
      <c r="Q2222" s="182">
        <v>1500</v>
      </c>
      <c r="R2222" s="46">
        <v>5.327</v>
      </c>
      <c r="S2222" s="46">
        <v>0</v>
      </c>
      <c r="T2222" s="46">
        <v>0</v>
      </c>
      <c r="U2222" s="46">
        <v>0</v>
      </c>
      <c r="V2222" s="46" t="s">
        <v>62</v>
      </c>
      <c r="W2222" s="46">
        <v>1500</v>
      </c>
      <c r="X2222" s="46">
        <v>5.327</v>
      </c>
      <c r="AF2222" s="46">
        <v>9</v>
      </c>
      <c r="AG2222" s="46">
        <v>4500</v>
      </c>
      <c r="AH2222" s="46">
        <v>23912.7</v>
      </c>
      <c r="AI2222" s="46">
        <v>5.3140000000000001</v>
      </c>
      <c r="AJ2222" s="46">
        <v>9</v>
      </c>
      <c r="AK2222" s="46">
        <v>3700</v>
      </c>
      <c r="AL2222" s="46">
        <v>19797.915000000001</v>
      </c>
      <c r="AM2222" s="46">
        <v>5.351</v>
      </c>
      <c r="AN2222" s="46" t="s">
        <v>63</v>
      </c>
      <c r="AO2222" s="46">
        <v>800</v>
      </c>
      <c r="AP2222" s="46">
        <v>4114.7849999999999</v>
      </c>
      <c r="AQ2222" s="46">
        <v>5.1429999999999998</v>
      </c>
      <c r="AR2222" s="46">
        <v>136.9</v>
      </c>
      <c r="AS2222" s="46">
        <v>12</v>
      </c>
      <c r="AT2222" s="46">
        <v>6000</v>
      </c>
      <c r="AU2222" s="46">
        <v>31918.6</v>
      </c>
      <c r="AV2222" s="46">
        <v>5.32</v>
      </c>
      <c r="AW2222" s="46">
        <v>9</v>
      </c>
      <c r="AX2222" s="46">
        <v>3700</v>
      </c>
      <c r="AY2222" s="46">
        <v>19797.915000000001</v>
      </c>
      <c r="AZ2222" s="46">
        <v>5.351</v>
      </c>
      <c r="BA2222" s="46" t="s">
        <v>63</v>
      </c>
      <c r="BB2222" s="46">
        <v>2300</v>
      </c>
      <c r="BC2222" s="46">
        <v>12120.684999999999</v>
      </c>
      <c r="BD2222" s="46">
        <v>5.27</v>
      </c>
      <c r="BE2222" s="46">
        <v>114.7</v>
      </c>
      <c r="BF2222" s="46">
        <v>8005.9</v>
      </c>
      <c r="BG2222" s="46">
        <v>5.34</v>
      </c>
      <c r="BH2222" s="46">
        <v>0</v>
      </c>
      <c r="BJ2222">
        <v>8005.9</v>
      </c>
      <c r="BK2222">
        <v>5.34</v>
      </c>
      <c r="BL2222">
        <v>25.98</v>
      </c>
    </row>
    <row r="2223" spans="1:64" x14ac:dyDescent="0.25">
      <c r="A2223" s="136">
        <v>43136</v>
      </c>
      <c r="B2223" s="201" t="s">
        <v>124</v>
      </c>
      <c r="C2223" t="s">
        <v>125</v>
      </c>
      <c r="D2223">
        <v>100</v>
      </c>
      <c r="E2223">
        <v>100</v>
      </c>
      <c r="F2223">
        <v>-53.579000000000001</v>
      </c>
      <c r="G2223">
        <v>6132.9</v>
      </c>
      <c r="H2223">
        <v>0</v>
      </c>
      <c r="I2223" s="309">
        <v>775</v>
      </c>
      <c r="J2223">
        <v>7.75</v>
      </c>
      <c r="K2223" s="133">
        <v>1.61510410346269E-3</v>
      </c>
      <c r="L2223" s="181">
        <v>15</v>
      </c>
      <c r="M2223" s="133">
        <v>0</v>
      </c>
    </row>
    <row r="2224" spans="1:64" x14ac:dyDescent="0.25">
      <c r="A2224" s="136">
        <v>43136</v>
      </c>
      <c r="B2224" s="201" t="s">
        <v>71</v>
      </c>
      <c r="C2224" t="s">
        <v>126</v>
      </c>
      <c r="D2224">
        <v>100</v>
      </c>
      <c r="E2224">
        <v>100</v>
      </c>
      <c r="F2224">
        <v>-17.085999999999999</v>
      </c>
      <c r="G2224">
        <v>2522.6</v>
      </c>
      <c r="H2224">
        <v>0</v>
      </c>
      <c r="I2224" s="309">
        <v>814</v>
      </c>
      <c r="J2224">
        <v>8.14</v>
      </c>
      <c r="K2224" s="133">
        <v>1.69638030995953E-3</v>
      </c>
      <c r="L2224" s="181">
        <v>72</v>
      </c>
      <c r="M2224" s="133">
        <v>0</v>
      </c>
      <c r="N2224" s="73">
        <v>1703.3019999999999</v>
      </c>
      <c r="O2224" s="73">
        <v>341.114950423729</v>
      </c>
      <c r="P2224" s="182">
        <v>0</v>
      </c>
      <c r="Q2224" s="182">
        <v>0</v>
      </c>
      <c r="R2224" s="46">
        <v>0</v>
      </c>
      <c r="S2224" s="46">
        <v>7</v>
      </c>
      <c r="T2224" s="46">
        <v>2800</v>
      </c>
      <c r="U2224" s="46">
        <v>6.6749999999999998</v>
      </c>
      <c r="V2224" s="46" t="s">
        <v>68</v>
      </c>
      <c r="W2224" s="46">
        <v>2800</v>
      </c>
      <c r="X2224" s="46">
        <v>6.6749999999999998</v>
      </c>
      <c r="AF2224" s="46">
        <v>41</v>
      </c>
      <c r="AG2224" s="46">
        <v>20600</v>
      </c>
      <c r="AH2224" s="46">
        <v>131323.35999999999</v>
      </c>
      <c r="AI2224" s="46">
        <v>6.375</v>
      </c>
      <c r="AJ2224" s="46">
        <v>39</v>
      </c>
      <c r="AK2224" s="46">
        <v>17700</v>
      </c>
      <c r="AL2224" s="46">
        <v>114228.83100000001</v>
      </c>
      <c r="AM2224" s="46">
        <v>6.4539999999999997</v>
      </c>
      <c r="AN2224" s="46" t="s">
        <v>63</v>
      </c>
      <c r="AO2224" s="46">
        <v>2900</v>
      </c>
      <c r="AP2224" s="46">
        <v>17094.528999999999</v>
      </c>
      <c r="AQ2224" s="46">
        <v>5.8949999999999996</v>
      </c>
      <c r="AR2224" s="46">
        <v>1398.3</v>
      </c>
      <c r="AS2224" s="46">
        <v>41</v>
      </c>
      <c r="AT2224" s="46">
        <v>20600</v>
      </c>
      <c r="AU2224" s="46">
        <v>131323.35999999999</v>
      </c>
      <c r="AV2224" s="46">
        <v>6.375</v>
      </c>
      <c r="AW2224" s="46">
        <v>46</v>
      </c>
      <c r="AX2224" s="46">
        <v>20500</v>
      </c>
      <c r="AY2224" s="46">
        <v>132870.462</v>
      </c>
      <c r="AZ2224" s="46">
        <v>6.4809999999999999</v>
      </c>
      <c r="BA2224" s="46" t="s">
        <v>63</v>
      </c>
      <c r="BB2224" s="46">
        <v>100</v>
      </c>
      <c r="BC2224" s="46">
        <v>1547.1020000000001</v>
      </c>
      <c r="BD2224" s="46">
        <v>15.471</v>
      </c>
      <c r="BE2224" s="46">
        <v>2173</v>
      </c>
      <c r="BF2224" s="46">
        <v>0</v>
      </c>
      <c r="BH2224" s="46">
        <v>18641.631000000001</v>
      </c>
      <c r="BI2224">
        <v>6.66</v>
      </c>
      <c r="BJ2224">
        <v>-15547.427</v>
      </c>
      <c r="BK2224">
        <v>-5.55</v>
      </c>
      <c r="BL2224">
        <v>171.78</v>
      </c>
    </row>
    <row r="2225" spans="1:64" x14ac:dyDescent="0.25">
      <c r="A2225" s="136">
        <v>43136</v>
      </c>
      <c r="B2225" s="201" t="s">
        <v>79</v>
      </c>
      <c r="C2225" t="s">
        <v>143</v>
      </c>
      <c r="D2225">
        <v>5200</v>
      </c>
      <c r="E2225">
        <v>5200</v>
      </c>
      <c r="F2225">
        <v>16.669</v>
      </c>
      <c r="G2225">
        <v>-11016.58</v>
      </c>
      <c r="H2225">
        <v>-12.71</v>
      </c>
      <c r="I2225" s="309">
        <v>75660</v>
      </c>
      <c r="J2225">
        <v>14.55</v>
      </c>
      <c r="K2225" s="133">
        <v>0.15767584060385501</v>
      </c>
      <c r="L2225" s="181">
        <v>-728</v>
      </c>
      <c r="M2225" s="133">
        <v>0.180634451654339</v>
      </c>
      <c r="N2225" s="73">
        <v>-10395.576000000099</v>
      </c>
      <c r="O2225" s="73">
        <v>-708.27390674847004</v>
      </c>
      <c r="P2225" s="182">
        <v>8</v>
      </c>
      <c r="Q2225" s="182">
        <v>4500</v>
      </c>
      <c r="R2225" s="46">
        <v>16.422000000000001</v>
      </c>
      <c r="S2225" s="46">
        <v>0</v>
      </c>
      <c r="T2225" s="46">
        <v>0</v>
      </c>
      <c r="U2225" s="46">
        <v>0</v>
      </c>
      <c r="V2225" s="46" t="s">
        <v>62</v>
      </c>
      <c r="W2225" s="46">
        <v>4500</v>
      </c>
      <c r="X2225" s="46">
        <v>16.422000000000001</v>
      </c>
      <c r="AF2225" s="46">
        <v>7</v>
      </c>
      <c r="AG2225" s="46">
        <v>3500</v>
      </c>
      <c r="AH2225" s="46">
        <v>56752.1</v>
      </c>
      <c r="AI2225" s="46">
        <v>16.215</v>
      </c>
      <c r="AJ2225" s="46">
        <v>7</v>
      </c>
      <c r="AK2225" s="46">
        <v>2800</v>
      </c>
      <c r="AL2225" s="46">
        <v>44015.224000000002</v>
      </c>
      <c r="AM2225" s="46">
        <v>15.72</v>
      </c>
      <c r="AN2225" s="46" t="s">
        <v>63</v>
      </c>
      <c r="AO2225" s="46">
        <v>700</v>
      </c>
      <c r="AP2225" s="46">
        <v>12736.876</v>
      </c>
      <c r="AQ2225" s="46">
        <v>18.196000000000002</v>
      </c>
      <c r="AR2225" s="46">
        <v>-1386</v>
      </c>
      <c r="AS2225" s="46">
        <v>15</v>
      </c>
      <c r="AT2225" s="46">
        <v>8000</v>
      </c>
      <c r="AU2225" s="46">
        <v>130694.8</v>
      </c>
      <c r="AV2225" s="46">
        <v>16.337</v>
      </c>
      <c r="AW2225" s="46">
        <v>7</v>
      </c>
      <c r="AX2225" s="46">
        <v>2800</v>
      </c>
      <c r="AY2225" s="46">
        <v>44015.224000000002</v>
      </c>
      <c r="AZ2225" s="46">
        <v>15.72</v>
      </c>
      <c r="BA2225" s="46" t="s">
        <v>63</v>
      </c>
      <c r="BB2225" s="46">
        <v>5200</v>
      </c>
      <c r="BC2225" s="46">
        <v>86679.576000000001</v>
      </c>
      <c r="BD2225" s="46">
        <v>16.669</v>
      </c>
      <c r="BE2225" s="46">
        <v>-1727.6</v>
      </c>
      <c r="BF2225" s="46">
        <v>73942.7</v>
      </c>
      <c r="BG2225" s="46">
        <v>16.43</v>
      </c>
      <c r="BH2225" s="46">
        <v>0</v>
      </c>
      <c r="BJ2225">
        <v>73942.7</v>
      </c>
      <c r="BK2225">
        <v>16.43</v>
      </c>
      <c r="BL2225">
        <v>-95.26</v>
      </c>
    </row>
    <row r="2226" spans="1:64" x14ac:dyDescent="0.25">
      <c r="A2226" s="136">
        <v>43136</v>
      </c>
      <c r="B2226" s="201" t="s">
        <v>65</v>
      </c>
      <c r="C2226" t="s">
        <v>127</v>
      </c>
      <c r="D2226">
        <v>6400</v>
      </c>
      <c r="E2226">
        <v>6400</v>
      </c>
      <c r="F2226">
        <v>8.5139999999999993</v>
      </c>
      <c r="G2226">
        <v>19112.7</v>
      </c>
      <c r="H2226">
        <v>35.07</v>
      </c>
      <c r="I2226" s="309">
        <v>73600</v>
      </c>
      <c r="J2226">
        <v>11.5</v>
      </c>
      <c r="K2226" s="133">
        <v>0.153382789696586</v>
      </c>
      <c r="L2226" s="181">
        <v>1294.3900000000001</v>
      </c>
      <c r="M2226" s="133">
        <v>0.113551821698842</v>
      </c>
      <c r="N2226" s="73">
        <v>15022.281000000001</v>
      </c>
      <c r="O2226" s="73">
        <v>1673.3896429097899</v>
      </c>
      <c r="P2226" s="182">
        <v>0</v>
      </c>
      <c r="Q2226" s="182">
        <v>0</v>
      </c>
      <c r="R2226" s="46">
        <v>0</v>
      </c>
      <c r="S2226" s="46">
        <v>24</v>
      </c>
      <c r="T2226" s="46">
        <v>10600</v>
      </c>
      <c r="U2226" s="46">
        <v>12.436</v>
      </c>
      <c r="V2226" s="46" t="s">
        <v>68</v>
      </c>
      <c r="W2226" s="46">
        <v>10600</v>
      </c>
      <c r="X2226" s="46">
        <v>12.436</v>
      </c>
      <c r="AF2226" s="46">
        <v>152</v>
      </c>
      <c r="AG2226" s="46">
        <v>82400</v>
      </c>
      <c r="AH2226" s="46">
        <v>963972.23100000003</v>
      </c>
      <c r="AI2226" s="46">
        <v>11.699</v>
      </c>
      <c r="AJ2226" s="46">
        <v>172</v>
      </c>
      <c r="AK2226" s="46">
        <v>74600</v>
      </c>
      <c r="AL2226" s="46">
        <v>777081.33</v>
      </c>
      <c r="AM2226" s="46">
        <v>10.417</v>
      </c>
      <c r="AN2226" s="46" t="s">
        <v>63</v>
      </c>
      <c r="AO2226" s="46">
        <v>7800</v>
      </c>
      <c r="AP2226" s="46">
        <v>186890.90100000001</v>
      </c>
      <c r="AQ2226" s="46">
        <v>23.96</v>
      </c>
      <c r="AR2226" s="46">
        <v>-95637.2</v>
      </c>
      <c r="AS2226" s="46">
        <v>153</v>
      </c>
      <c r="AT2226" s="46">
        <v>82500</v>
      </c>
      <c r="AU2226" s="46">
        <v>965260.23100000003</v>
      </c>
      <c r="AV2226" s="46">
        <v>11.7</v>
      </c>
      <c r="AW2226" s="46">
        <v>196</v>
      </c>
      <c r="AX2226" s="46">
        <v>85200</v>
      </c>
      <c r="AY2226" s="46">
        <v>908649.51</v>
      </c>
      <c r="AZ2226" s="46">
        <v>10.664999999999999</v>
      </c>
      <c r="BA2226" s="46" t="s">
        <v>69</v>
      </c>
      <c r="BB2226" s="46">
        <v>2700</v>
      </c>
      <c r="BC2226" s="46">
        <v>56610.720999999998</v>
      </c>
      <c r="BD2226" s="46">
        <v>20.966999999999999</v>
      </c>
      <c r="BE2226" s="46">
        <v>-85387.5</v>
      </c>
      <c r="BF2226" s="46">
        <v>1288</v>
      </c>
      <c r="BH2226" s="46">
        <v>131568.18</v>
      </c>
      <c r="BI2226">
        <v>12.41</v>
      </c>
      <c r="BJ2226">
        <v>-130280.18</v>
      </c>
      <c r="BK2226">
        <v>-12.29</v>
      </c>
      <c r="BL2226">
        <v>-8316.2800000000007</v>
      </c>
    </row>
    <row r="2227" spans="1:64" x14ac:dyDescent="0.25">
      <c r="A2227" s="136">
        <v>43136</v>
      </c>
      <c r="B2227" s="201" t="s">
        <v>77</v>
      </c>
      <c r="C2227" t="s">
        <v>128</v>
      </c>
      <c r="D2227">
        <v>4300</v>
      </c>
      <c r="E2227">
        <v>4300</v>
      </c>
      <c r="F2227">
        <v>5.9779999999999998</v>
      </c>
      <c r="G2227">
        <v>-595.27</v>
      </c>
      <c r="H2227">
        <v>-2.31</v>
      </c>
      <c r="I2227" s="309">
        <v>25112</v>
      </c>
      <c r="J2227">
        <v>5.84</v>
      </c>
      <c r="K2227" s="133">
        <v>5.2333540962780901E-2</v>
      </c>
      <c r="L2227" s="181">
        <v>0</v>
      </c>
      <c r="M2227" s="133">
        <v>5.3574086794610801E-2</v>
      </c>
      <c r="N2227" s="73">
        <v>-1272.2139999999999</v>
      </c>
      <c r="O2227" s="73">
        <v>-133.073774655173</v>
      </c>
      <c r="P2227" s="182">
        <v>6</v>
      </c>
      <c r="Q2227" s="182">
        <v>3000</v>
      </c>
      <c r="R2227" s="46">
        <v>6.798</v>
      </c>
      <c r="S2227" s="46">
        <v>0</v>
      </c>
      <c r="T2227" s="46">
        <v>0</v>
      </c>
      <c r="U2227" s="46">
        <v>0</v>
      </c>
      <c r="V2227" s="46" t="s">
        <v>62</v>
      </c>
      <c r="W2227" s="46">
        <v>3000</v>
      </c>
      <c r="X2227" s="46">
        <v>6.798</v>
      </c>
      <c r="AF2227" s="46">
        <v>39</v>
      </c>
      <c r="AG2227" s="46">
        <v>19500</v>
      </c>
      <c r="AH2227" s="46">
        <v>142169</v>
      </c>
      <c r="AI2227" s="46">
        <v>7.2910000000000004</v>
      </c>
      <c r="AJ2227" s="46">
        <v>39</v>
      </c>
      <c r="AK2227" s="46">
        <v>18200</v>
      </c>
      <c r="AL2227" s="46">
        <v>136881.78599999999</v>
      </c>
      <c r="AM2227" s="46">
        <v>7.5209999999999999</v>
      </c>
      <c r="AN2227" s="46" t="s">
        <v>63</v>
      </c>
      <c r="AO2227" s="46">
        <v>1300</v>
      </c>
      <c r="AP2227" s="46">
        <v>5287.2139999999999</v>
      </c>
      <c r="AQ2227" s="46">
        <v>4.0670000000000002</v>
      </c>
      <c r="AR2227" s="46">
        <v>4186</v>
      </c>
      <c r="AS2227" s="46">
        <v>45</v>
      </c>
      <c r="AT2227" s="46">
        <v>22500</v>
      </c>
      <c r="AU2227" s="46">
        <v>162594</v>
      </c>
      <c r="AV2227" s="46">
        <v>7.226</v>
      </c>
      <c r="AW2227" s="46">
        <v>39</v>
      </c>
      <c r="AX2227" s="46">
        <v>18200</v>
      </c>
      <c r="AY2227" s="46">
        <v>136881.78599999999</v>
      </c>
      <c r="AZ2227" s="46">
        <v>7.5209999999999999</v>
      </c>
      <c r="BA2227" s="46" t="s">
        <v>63</v>
      </c>
      <c r="BB2227" s="46">
        <v>4300</v>
      </c>
      <c r="BC2227" s="46">
        <v>25712.214</v>
      </c>
      <c r="BD2227" s="46">
        <v>5.98</v>
      </c>
      <c r="BE2227" s="46">
        <v>5369</v>
      </c>
      <c r="BF2227" s="46">
        <v>20425</v>
      </c>
      <c r="BG2227" s="46">
        <v>6.81</v>
      </c>
      <c r="BH2227" s="46">
        <v>0</v>
      </c>
      <c r="BJ2227">
        <v>20425</v>
      </c>
      <c r="BK2227">
        <v>6.81</v>
      </c>
      <c r="BL2227">
        <v>716.78</v>
      </c>
    </row>
    <row r="2228" spans="1:64" x14ac:dyDescent="0.25">
      <c r="A2228" s="136">
        <v>43136</v>
      </c>
      <c r="B2228" s="201" t="s">
        <v>67</v>
      </c>
      <c r="C2228" t="s">
        <v>129</v>
      </c>
      <c r="D2228">
        <v>4550</v>
      </c>
      <c r="E2228">
        <v>4550</v>
      </c>
      <c r="F2228">
        <v>8.5340000000000007</v>
      </c>
      <c r="G2228">
        <v>208.01</v>
      </c>
      <c r="H2228">
        <v>0.54</v>
      </c>
      <c r="I2228" s="309">
        <v>39039</v>
      </c>
      <c r="J2228">
        <v>8.58</v>
      </c>
      <c r="K2228" s="133">
        <v>8.1357482703329195E-2</v>
      </c>
      <c r="L2228" s="181">
        <v>1298.76</v>
      </c>
      <c r="M2228" s="133">
        <v>8.0923988761959803E-2</v>
      </c>
      <c r="N2228" s="73">
        <v>296.74899999977799</v>
      </c>
      <c r="O2228" s="73">
        <v>34.488444825555597</v>
      </c>
      <c r="P2228" s="182">
        <v>0</v>
      </c>
      <c r="Q2228" s="182">
        <v>0</v>
      </c>
      <c r="R2228" s="46">
        <v>0</v>
      </c>
      <c r="S2228" s="46">
        <v>8</v>
      </c>
      <c r="T2228" s="46">
        <v>3200</v>
      </c>
      <c r="U2228" s="46">
        <v>8.6989999999999998</v>
      </c>
      <c r="V2228" s="46" t="s">
        <v>68</v>
      </c>
      <c r="W2228" s="46">
        <v>3200</v>
      </c>
      <c r="X2228" s="46">
        <v>8.6989999999999998</v>
      </c>
      <c r="AF2228" s="46">
        <v>166</v>
      </c>
      <c r="AG2228" s="46">
        <v>82800</v>
      </c>
      <c r="AH2228" s="46">
        <v>685243</v>
      </c>
      <c r="AI2228" s="46">
        <v>8.2759999999999998</v>
      </c>
      <c r="AJ2228" s="46">
        <v>168</v>
      </c>
      <c r="AK2228" s="46">
        <v>77650</v>
      </c>
      <c r="AL2228" s="46">
        <v>687769.701</v>
      </c>
      <c r="AM2228" s="46">
        <v>8.8569999999999993</v>
      </c>
      <c r="AN2228" s="46" t="s">
        <v>63</v>
      </c>
      <c r="AO2228" s="46">
        <v>5150</v>
      </c>
      <c r="AP2228" s="46">
        <v>2526.701</v>
      </c>
      <c r="AQ2228" s="46">
        <v>0.49099999999999999</v>
      </c>
      <c r="AR2228" s="46">
        <v>45114.65</v>
      </c>
      <c r="AS2228" s="46">
        <v>166</v>
      </c>
      <c r="AT2228" s="46">
        <v>82800</v>
      </c>
      <c r="AU2228" s="46">
        <v>685243</v>
      </c>
      <c r="AV2228" s="46">
        <v>8.2759999999999998</v>
      </c>
      <c r="AW2228" s="46">
        <v>176</v>
      </c>
      <c r="AX2228" s="46">
        <v>80850</v>
      </c>
      <c r="AY2228" s="46">
        <v>715537.86499999999</v>
      </c>
      <c r="AZ2228" s="46">
        <v>8.85</v>
      </c>
      <c r="BA2228" s="46" t="s">
        <v>63</v>
      </c>
      <c r="BB2228" s="46">
        <v>1950</v>
      </c>
      <c r="BC2228" s="46">
        <v>30294.865000000002</v>
      </c>
      <c r="BD2228" s="46">
        <v>15.536</v>
      </c>
      <c r="BE2228" s="46">
        <v>46407.9</v>
      </c>
      <c r="BF2228" s="46">
        <v>0</v>
      </c>
      <c r="BH2228" s="46">
        <v>27768.164000000099</v>
      </c>
      <c r="BI2228">
        <v>8.68</v>
      </c>
      <c r="BJ2228">
        <v>27768.164000000001</v>
      </c>
      <c r="BK2228">
        <v>8.68</v>
      </c>
      <c r="BL2228">
        <v>5258.12</v>
      </c>
    </row>
    <row r="2229" spans="1:64" x14ac:dyDescent="0.25">
      <c r="A2229" s="136">
        <v>43136</v>
      </c>
      <c r="B2229" s="201" t="s">
        <v>78</v>
      </c>
      <c r="C2229" t="s">
        <v>142</v>
      </c>
      <c r="D2229">
        <v>1600</v>
      </c>
      <c r="E2229">
        <v>1600</v>
      </c>
      <c r="F2229">
        <v>9.43</v>
      </c>
      <c r="G2229">
        <v>-592.13</v>
      </c>
      <c r="H2229">
        <v>-3.92</v>
      </c>
      <c r="I2229" s="309">
        <v>14496</v>
      </c>
      <c r="J2229">
        <v>9.06</v>
      </c>
      <c r="K2229" s="133">
        <v>3.0209740753284101E-2</v>
      </c>
      <c r="L2229" s="181">
        <v>-48</v>
      </c>
      <c r="M2229" s="133">
        <v>3.1443742808488502E-2</v>
      </c>
      <c r="N2229" s="73">
        <v>-544.13200000000097</v>
      </c>
      <c r="O2229" s="73">
        <v>-59.830575797579897</v>
      </c>
      <c r="P2229" s="182">
        <v>2</v>
      </c>
      <c r="Q2229" s="182">
        <v>1000</v>
      </c>
      <c r="R2229" s="46">
        <v>9.2650000000000006</v>
      </c>
      <c r="S2229" s="46">
        <v>1</v>
      </c>
      <c r="T2229" s="46">
        <v>100</v>
      </c>
      <c r="U2229" s="46">
        <v>10.6</v>
      </c>
      <c r="V2229" s="46" t="s">
        <v>62</v>
      </c>
      <c r="W2229" s="46">
        <v>900</v>
      </c>
      <c r="X2229" s="46">
        <v>9.1170000000000009</v>
      </c>
      <c r="AF2229" s="46">
        <v>7</v>
      </c>
      <c r="AG2229" s="46">
        <v>3500</v>
      </c>
      <c r="AH2229" s="46">
        <v>35875</v>
      </c>
      <c r="AI2229" s="46">
        <v>10.25</v>
      </c>
      <c r="AJ2229" s="46">
        <v>7</v>
      </c>
      <c r="AK2229" s="46">
        <v>2800</v>
      </c>
      <c r="AL2229" s="46">
        <v>29007.928</v>
      </c>
      <c r="AM2229" s="46">
        <v>10.36</v>
      </c>
      <c r="AN2229" s="46" t="s">
        <v>63</v>
      </c>
      <c r="AO2229" s="46">
        <v>700</v>
      </c>
      <c r="AP2229" s="46">
        <v>6867.0720000000001</v>
      </c>
      <c r="AQ2229" s="46">
        <v>9.81</v>
      </c>
      <c r="AR2229" s="46">
        <v>308</v>
      </c>
      <c r="AS2229" s="46">
        <v>9</v>
      </c>
      <c r="AT2229" s="46">
        <v>4500</v>
      </c>
      <c r="AU2229" s="46">
        <v>45150</v>
      </c>
      <c r="AV2229" s="46">
        <v>10.032999999999999</v>
      </c>
      <c r="AW2229" s="46">
        <v>8</v>
      </c>
      <c r="AX2229" s="46">
        <v>2900</v>
      </c>
      <c r="AY2229" s="46">
        <v>30061.867999999999</v>
      </c>
      <c r="AZ2229" s="46">
        <v>10.366</v>
      </c>
      <c r="BA2229" s="46" t="s">
        <v>63</v>
      </c>
      <c r="BB2229" s="46">
        <v>1600</v>
      </c>
      <c r="BC2229" s="46">
        <v>15088.132</v>
      </c>
      <c r="BD2229" s="46">
        <v>9.43</v>
      </c>
      <c r="BE2229" s="46">
        <v>965.7</v>
      </c>
      <c r="BF2229" s="46">
        <v>9275</v>
      </c>
      <c r="BG2229" s="46">
        <v>9.2799999999999994</v>
      </c>
      <c r="BH2229" s="46">
        <v>1053.94</v>
      </c>
      <c r="BI2229">
        <v>10.54</v>
      </c>
      <c r="BJ2229">
        <v>8221.06</v>
      </c>
      <c r="BK2229">
        <v>9.1300000000000008</v>
      </c>
      <c r="BL2229">
        <v>34</v>
      </c>
    </row>
    <row r="2230" spans="1:64" x14ac:dyDescent="0.25">
      <c r="A2230" s="136">
        <v>43136</v>
      </c>
      <c r="B2230" s="201" t="s">
        <v>72</v>
      </c>
      <c r="C2230" t="s">
        <v>130</v>
      </c>
      <c r="D2230">
        <v>4000</v>
      </c>
      <c r="E2230">
        <v>4000</v>
      </c>
      <c r="F2230">
        <v>6.8109999999999999</v>
      </c>
      <c r="G2230">
        <v>-2322.4499999999998</v>
      </c>
      <c r="H2230">
        <v>-8.5299999999999994</v>
      </c>
      <c r="I2230" s="309">
        <v>24920</v>
      </c>
      <c r="J2230">
        <v>6.23</v>
      </c>
      <c r="K2230" s="133">
        <v>5.1933411946181098E-2</v>
      </c>
      <c r="L2230" s="181">
        <v>280</v>
      </c>
      <c r="M2230" s="133">
        <v>5.67734100430674E-2</v>
      </c>
      <c r="N2230" s="73">
        <v>-27479.164000000001</v>
      </c>
      <c r="O2230" s="73">
        <v>-443.89767911908399</v>
      </c>
      <c r="P2230" s="182">
        <v>0</v>
      </c>
      <c r="Q2230" s="182">
        <v>0</v>
      </c>
      <c r="R2230" s="46">
        <v>0</v>
      </c>
      <c r="S2230" s="46">
        <v>9</v>
      </c>
      <c r="T2230" s="46">
        <v>3600</v>
      </c>
      <c r="U2230" s="46">
        <v>7.98</v>
      </c>
      <c r="V2230" s="46" t="s">
        <v>68</v>
      </c>
      <c r="W2230" s="46">
        <v>3600</v>
      </c>
      <c r="X2230" s="46">
        <v>7.98</v>
      </c>
      <c r="AF2230" s="46">
        <v>31</v>
      </c>
      <c r="AG2230" s="46">
        <v>15400</v>
      </c>
      <c r="AH2230" s="46">
        <v>118262</v>
      </c>
      <c r="AI2230" s="46">
        <v>7.6790000000000003</v>
      </c>
      <c r="AJ2230" s="46">
        <v>31</v>
      </c>
      <c r="AK2230" s="46">
        <v>14400</v>
      </c>
      <c r="AL2230" s="46">
        <v>63097.749000000003</v>
      </c>
      <c r="AM2230" s="46">
        <v>4.3819999999999997</v>
      </c>
      <c r="AN2230" s="46" t="s">
        <v>63</v>
      </c>
      <c r="AO2230" s="46">
        <v>1000</v>
      </c>
      <c r="AP2230" s="46">
        <v>55164.250999999997</v>
      </c>
      <c r="AQ2230" s="46">
        <v>55.164000000000001</v>
      </c>
      <c r="AR2230" s="46">
        <v>-47476.800000000003</v>
      </c>
      <c r="AS2230" s="46">
        <v>31</v>
      </c>
      <c r="AT2230" s="46">
        <v>15400</v>
      </c>
      <c r="AU2230" s="46">
        <v>118262</v>
      </c>
      <c r="AV2230" s="46">
        <v>7.6790000000000003</v>
      </c>
      <c r="AW2230" s="46">
        <v>41</v>
      </c>
      <c r="AX2230" s="46">
        <v>18500</v>
      </c>
      <c r="AY2230" s="46">
        <v>91752.020999999993</v>
      </c>
      <c r="AZ2230" s="46">
        <v>4.96</v>
      </c>
      <c r="BA2230" s="46" t="s">
        <v>69</v>
      </c>
      <c r="BB2230" s="46">
        <v>3100</v>
      </c>
      <c r="BC2230" s="46">
        <v>26509.978999999999</v>
      </c>
      <c r="BD2230" s="46">
        <v>8.5519999999999996</v>
      </c>
      <c r="BE2230" s="46">
        <v>-41872.6</v>
      </c>
      <c r="BF2230" s="46">
        <v>0</v>
      </c>
      <c r="BH2230" s="46">
        <v>28654.272000000001</v>
      </c>
      <c r="BI2230">
        <v>7.96</v>
      </c>
      <c r="BJ2230">
        <v>-28654.272000000001</v>
      </c>
      <c r="BK2230">
        <v>-7.96</v>
      </c>
      <c r="BL2230">
        <v>-7620.67</v>
      </c>
    </row>
    <row r="2231" spans="1:64" x14ac:dyDescent="0.25">
      <c r="A2231" s="136">
        <v>43136</v>
      </c>
      <c r="B2231" s="201" t="s">
        <v>70</v>
      </c>
      <c r="C2231" t="s">
        <v>131</v>
      </c>
      <c r="D2231">
        <v>13500</v>
      </c>
      <c r="E2231">
        <v>13000</v>
      </c>
      <c r="F2231">
        <v>11.36</v>
      </c>
      <c r="G2231">
        <v>-40911.660000000003</v>
      </c>
      <c r="H2231">
        <v>-26.67</v>
      </c>
      <c r="I2231" s="309">
        <v>112455</v>
      </c>
      <c r="J2231">
        <v>8.33</v>
      </c>
      <c r="K2231" s="133">
        <v>0.23435681542567399</v>
      </c>
      <c r="L2231" s="181">
        <v>910</v>
      </c>
      <c r="M2231" s="133">
        <v>0.319616931484346</v>
      </c>
      <c r="N2231" s="73">
        <v>-41045.654000000002</v>
      </c>
      <c r="O2231" s="73">
        <v>-4930.9051890625096</v>
      </c>
      <c r="P2231" s="182">
        <v>2</v>
      </c>
      <c r="Q2231" s="182">
        <v>1500</v>
      </c>
      <c r="R2231" s="46">
        <v>8.3930000000000007</v>
      </c>
      <c r="S2231" s="46">
        <v>0</v>
      </c>
      <c r="T2231" s="46">
        <v>0</v>
      </c>
      <c r="U2231" s="46">
        <v>0</v>
      </c>
      <c r="V2231" s="46" t="s">
        <v>62</v>
      </c>
      <c r="W2231" s="46">
        <v>1500</v>
      </c>
      <c r="X2231" s="46">
        <v>8.3930000000000007</v>
      </c>
      <c r="AF2231" s="46">
        <v>128</v>
      </c>
      <c r="AG2231" s="46">
        <v>64600</v>
      </c>
      <c r="AH2231" s="46">
        <v>861448</v>
      </c>
      <c r="AI2231" s="46">
        <v>13.335000000000001</v>
      </c>
      <c r="AJ2231" s="46">
        <v>131</v>
      </c>
      <c r="AK2231" s="46">
        <v>52600</v>
      </c>
      <c r="AL2231" s="46">
        <v>720277.34600000002</v>
      </c>
      <c r="AM2231" s="46">
        <v>13.693</v>
      </c>
      <c r="AN2231" s="46" t="s">
        <v>63</v>
      </c>
      <c r="AO2231" s="46">
        <v>12000</v>
      </c>
      <c r="AP2231" s="46">
        <v>141170.65400000001</v>
      </c>
      <c r="AQ2231" s="46">
        <v>11.763999999999999</v>
      </c>
      <c r="AR2231" s="46">
        <v>18830.8</v>
      </c>
      <c r="AS2231" s="46">
        <v>130</v>
      </c>
      <c r="AT2231" s="46">
        <v>66100</v>
      </c>
      <c r="AU2231" s="46">
        <v>874048</v>
      </c>
      <c r="AV2231" s="46">
        <v>13.223000000000001</v>
      </c>
      <c r="AW2231" s="46">
        <v>132</v>
      </c>
      <c r="AX2231" s="46">
        <v>52600</v>
      </c>
      <c r="AY2231" s="46">
        <v>720682.34600000002</v>
      </c>
      <c r="AZ2231" s="46">
        <v>13.701000000000001</v>
      </c>
      <c r="BA2231" s="46" t="s">
        <v>63</v>
      </c>
      <c r="BB2231" s="46">
        <v>13500</v>
      </c>
      <c r="BC2231" s="46">
        <v>153365.65400000001</v>
      </c>
      <c r="BD2231" s="46">
        <v>11.36</v>
      </c>
      <c r="BE2231" s="46">
        <v>25142.799999999999</v>
      </c>
      <c r="BF2231" s="46">
        <v>12600</v>
      </c>
      <c r="BG2231" s="46">
        <v>8.4</v>
      </c>
      <c r="BH2231" s="46">
        <v>405</v>
      </c>
      <c r="BJ2231">
        <v>12195</v>
      </c>
      <c r="BK2231">
        <v>8.1300000000000008</v>
      </c>
      <c r="BL2231">
        <v>2260.6</v>
      </c>
    </row>
    <row r="2232" spans="1:64" x14ac:dyDescent="0.25">
      <c r="A2232" s="136">
        <v>43136</v>
      </c>
      <c r="B2232" s="201" t="s">
        <v>137</v>
      </c>
      <c r="C2232" t="s">
        <v>138</v>
      </c>
      <c r="D2232">
        <v>100</v>
      </c>
      <c r="E2232">
        <v>100</v>
      </c>
      <c r="F2232">
        <v>-130.48500000000001</v>
      </c>
      <c r="G2232">
        <v>16085.5</v>
      </c>
      <c r="H2232">
        <v>0</v>
      </c>
      <c r="I2232" s="309">
        <v>3037</v>
      </c>
      <c r="J2232">
        <v>30.37</v>
      </c>
      <c r="K2232" s="133">
        <v>6.3291240802789703E-3</v>
      </c>
      <c r="L2232" s="181">
        <v>-196</v>
      </c>
      <c r="M2232" s="133">
        <v>0</v>
      </c>
    </row>
    <row r="2233" spans="1:64" x14ac:dyDescent="0.25">
      <c r="A2233" s="136">
        <v>43136</v>
      </c>
      <c r="B2233" s="201" t="s">
        <v>835</v>
      </c>
      <c r="C2233" t="s">
        <v>839</v>
      </c>
      <c r="I2233" s="309">
        <v>19955.37</v>
      </c>
      <c r="K2233" s="133">
        <v>4.1587096739504899E-2</v>
      </c>
      <c r="L2233" s="181">
        <v>0</v>
      </c>
      <c r="M2233" s="133">
        <v>0.20384954123645199</v>
      </c>
    </row>
    <row r="2234" spans="1:64" x14ac:dyDescent="0.25">
      <c r="A2234" s="136">
        <v>43137</v>
      </c>
      <c r="B2234" s="201" t="s">
        <v>132</v>
      </c>
      <c r="C2234" t="s">
        <v>123</v>
      </c>
      <c r="D2234">
        <v>4788280</v>
      </c>
      <c r="E2234">
        <v>4788280</v>
      </c>
      <c r="F2234">
        <v>8.9999999999999993E-3</v>
      </c>
      <c r="G2234">
        <v>3010.36</v>
      </c>
      <c r="H2234">
        <v>11.11</v>
      </c>
      <c r="I2234" s="309">
        <v>47882.8</v>
      </c>
      <c r="J2234">
        <v>0.01</v>
      </c>
      <c r="K2234" s="133">
        <v>0.102879833047054</v>
      </c>
      <c r="L2234" s="181">
        <v>21.940000000000101</v>
      </c>
      <c r="M2234" s="133">
        <v>0</v>
      </c>
    </row>
    <row r="2235" spans="1:64" x14ac:dyDescent="0.25">
      <c r="A2235" s="136">
        <v>43137</v>
      </c>
      <c r="B2235" s="201" t="s">
        <v>61</v>
      </c>
      <c r="C2235" t="s">
        <v>136</v>
      </c>
      <c r="D2235">
        <v>2300</v>
      </c>
      <c r="E2235">
        <v>2300</v>
      </c>
      <c r="F2235">
        <v>5.2679999999999998</v>
      </c>
      <c r="G2235">
        <v>-293.83999999999997</v>
      </c>
      <c r="H2235">
        <v>-2.4300000000000002</v>
      </c>
      <c r="I2235" s="309">
        <v>11822</v>
      </c>
      <c r="J2235">
        <v>5.14</v>
      </c>
      <c r="K2235" s="133">
        <v>2.5400465016295299E-2</v>
      </c>
      <c r="L2235" s="181">
        <v>-299</v>
      </c>
      <c r="M2235" s="133">
        <v>2.6031802576808601E-2</v>
      </c>
      <c r="N2235" s="73">
        <v>-137.685000000001</v>
      </c>
      <c r="O2235" s="73">
        <v>-26.413849808061698</v>
      </c>
      <c r="P2235" s="182">
        <v>3</v>
      </c>
      <c r="Q2235" s="182">
        <v>1500</v>
      </c>
      <c r="R2235" s="46">
        <v>5.327</v>
      </c>
      <c r="S2235" s="46">
        <v>0</v>
      </c>
      <c r="T2235" s="46">
        <v>0</v>
      </c>
      <c r="U2235" s="46">
        <v>0</v>
      </c>
      <c r="V2235" s="46" t="s">
        <v>62</v>
      </c>
      <c r="W2235" s="46">
        <v>1500</v>
      </c>
      <c r="X2235" s="46">
        <v>5.327</v>
      </c>
      <c r="AF2235" s="46">
        <v>9</v>
      </c>
      <c r="AG2235" s="46">
        <v>4500</v>
      </c>
      <c r="AH2235" s="46">
        <v>23912.7</v>
      </c>
      <c r="AI2235" s="46">
        <v>5.3140000000000001</v>
      </c>
      <c r="AJ2235" s="46">
        <v>9</v>
      </c>
      <c r="AK2235" s="46">
        <v>3700</v>
      </c>
      <c r="AL2235" s="46">
        <v>19797.915000000001</v>
      </c>
      <c r="AM2235" s="46">
        <v>5.351</v>
      </c>
      <c r="AN2235" s="46" t="s">
        <v>63</v>
      </c>
      <c r="AO2235" s="46">
        <v>800</v>
      </c>
      <c r="AP2235" s="46">
        <v>4114.7849999999999</v>
      </c>
      <c r="AQ2235" s="46">
        <v>5.1429999999999998</v>
      </c>
      <c r="AR2235" s="46">
        <v>136.9</v>
      </c>
      <c r="AS2235" s="46">
        <v>12</v>
      </c>
      <c r="AT2235" s="46">
        <v>6000</v>
      </c>
      <c r="AU2235" s="46">
        <v>31918.6</v>
      </c>
      <c r="AV2235" s="46">
        <v>5.32</v>
      </c>
      <c r="AW2235" s="46">
        <v>9</v>
      </c>
      <c r="AX2235" s="46">
        <v>3700</v>
      </c>
      <c r="AY2235" s="46">
        <v>19797.915000000001</v>
      </c>
      <c r="AZ2235" s="46">
        <v>5.351</v>
      </c>
      <c r="BA2235" s="46" t="s">
        <v>63</v>
      </c>
      <c r="BB2235" s="46">
        <v>2300</v>
      </c>
      <c r="BC2235" s="46">
        <v>12120.684999999999</v>
      </c>
      <c r="BD2235" s="46">
        <v>5.27</v>
      </c>
      <c r="BE2235" s="46">
        <v>114.7</v>
      </c>
      <c r="BF2235" s="46">
        <v>8005.9</v>
      </c>
      <c r="BG2235" s="46">
        <v>5.34</v>
      </c>
      <c r="BH2235" s="46">
        <v>0</v>
      </c>
      <c r="BJ2235">
        <v>8005.9</v>
      </c>
      <c r="BK2235">
        <v>5.34</v>
      </c>
      <c r="BL2235">
        <v>26.63</v>
      </c>
    </row>
    <row r="2236" spans="1:64" x14ac:dyDescent="0.25">
      <c r="A2236" s="136">
        <v>43137</v>
      </c>
      <c r="B2236" s="201" t="s">
        <v>124</v>
      </c>
      <c r="C2236" t="s">
        <v>125</v>
      </c>
      <c r="D2236">
        <v>100</v>
      </c>
      <c r="E2236">
        <v>100</v>
      </c>
      <c r="F2236">
        <v>-53.579000000000001</v>
      </c>
      <c r="G2236">
        <v>6114.9</v>
      </c>
      <c r="H2236">
        <v>0</v>
      </c>
      <c r="I2236" s="309">
        <v>757</v>
      </c>
      <c r="J2236">
        <v>7.57</v>
      </c>
      <c r="K2236" s="133">
        <v>1.6264720028197901E-3</v>
      </c>
      <c r="L2236" s="181">
        <v>-18</v>
      </c>
      <c r="M2236" s="133">
        <v>0</v>
      </c>
    </row>
    <row r="2237" spans="1:64" x14ac:dyDescent="0.25">
      <c r="A2237" s="136">
        <v>43137</v>
      </c>
      <c r="B2237" s="201" t="s">
        <v>71</v>
      </c>
      <c r="C2237" t="s">
        <v>126</v>
      </c>
      <c r="D2237">
        <v>100</v>
      </c>
      <c r="E2237">
        <v>100</v>
      </c>
      <c r="F2237">
        <v>-17.085999999999999</v>
      </c>
      <c r="G2237">
        <v>2509.6</v>
      </c>
      <c r="H2237">
        <v>0</v>
      </c>
      <c r="I2237" s="309">
        <v>801</v>
      </c>
      <c r="J2237">
        <v>8.01</v>
      </c>
      <c r="K2237" s="133">
        <v>1.7210093451237201E-3</v>
      </c>
      <c r="L2237" s="181">
        <v>-13</v>
      </c>
      <c r="M2237" s="133">
        <v>0</v>
      </c>
      <c r="N2237" s="73">
        <v>1703.3019999999999</v>
      </c>
      <c r="O2237" s="73">
        <v>341.114950423729</v>
      </c>
      <c r="P2237" s="182">
        <v>0</v>
      </c>
      <c r="Q2237" s="182">
        <v>0</v>
      </c>
      <c r="R2237" s="46">
        <v>0</v>
      </c>
      <c r="S2237" s="46">
        <v>7</v>
      </c>
      <c r="T2237" s="46">
        <v>2800</v>
      </c>
      <c r="U2237" s="46">
        <v>6.6749999999999998</v>
      </c>
      <c r="V2237" s="46" t="s">
        <v>68</v>
      </c>
      <c r="W2237" s="46">
        <v>2800</v>
      </c>
      <c r="X2237" s="46">
        <v>6.6749999999999998</v>
      </c>
      <c r="AF2237" s="46">
        <v>41</v>
      </c>
      <c r="AG2237" s="46">
        <v>20600</v>
      </c>
      <c r="AH2237" s="46">
        <v>131323.35999999999</v>
      </c>
      <c r="AI2237" s="46">
        <v>6.375</v>
      </c>
      <c r="AJ2237" s="46">
        <v>39</v>
      </c>
      <c r="AK2237" s="46">
        <v>17700</v>
      </c>
      <c r="AL2237" s="46">
        <v>114228.83100000001</v>
      </c>
      <c r="AM2237" s="46">
        <v>6.4539999999999997</v>
      </c>
      <c r="AN2237" s="46" t="s">
        <v>63</v>
      </c>
      <c r="AO2237" s="46">
        <v>2900</v>
      </c>
      <c r="AP2237" s="46">
        <v>17094.528999999999</v>
      </c>
      <c r="AQ2237" s="46">
        <v>5.8949999999999996</v>
      </c>
      <c r="AR2237" s="46">
        <v>1398.3</v>
      </c>
      <c r="AS2237" s="46">
        <v>41</v>
      </c>
      <c r="AT2237" s="46">
        <v>20600</v>
      </c>
      <c r="AU2237" s="46">
        <v>131323.35999999999</v>
      </c>
      <c r="AV2237" s="46">
        <v>6.375</v>
      </c>
      <c r="AW2237" s="46">
        <v>46</v>
      </c>
      <c r="AX2237" s="46">
        <v>20500</v>
      </c>
      <c r="AY2237" s="46">
        <v>132870.462</v>
      </c>
      <c r="AZ2237" s="46">
        <v>6.4809999999999999</v>
      </c>
      <c r="BA2237" s="46" t="s">
        <v>63</v>
      </c>
      <c r="BB2237" s="46">
        <v>100</v>
      </c>
      <c r="BC2237" s="46">
        <v>1547.1020000000001</v>
      </c>
      <c r="BD2237" s="46">
        <v>15.471</v>
      </c>
      <c r="BE2237" s="46">
        <v>2173</v>
      </c>
      <c r="BF2237" s="46">
        <v>0</v>
      </c>
      <c r="BH2237" s="46">
        <v>18641.631000000001</v>
      </c>
      <c r="BI2237">
        <v>6.66</v>
      </c>
      <c r="BJ2237">
        <v>-15547.427</v>
      </c>
      <c r="BK2237">
        <v>-5.55</v>
      </c>
      <c r="BL2237">
        <v>174.57</v>
      </c>
    </row>
    <row r="2238" spans="1:64" x14ac:dyDescent="0.25">
      <c r="A2238" s="136">
        <v>43137</v>
      </c>
      <c r="B2238" s="201" t="s">
        <v>79</v>
      </c>
      <c r="C2238" t="s">
        <v>143</v>
      </c>
      <c r="D2238">
        <v>6200</v>
      </c>
      <c r="E2238">
        <v>5200</v>
      </c>
      <c r="F2238">
        <v>16.262</v>
      </c>
      <c r="G2238">
        <v>-15757.86</v>
      </c>
      <c r="H2238">
        <v>-15.63</v>
      </c>
      <c r="I2238" s="309">
        <v>85064</v>
      </c>
      <c r="J2238">
        <v>13.72</v>
      </c>
      <c r="K2238" s="133">
        <v>0.18276646558502299</v>
      </c>
      <c r="L2238" s="181">
        <v>-4741.28</v>
      </c>
      <c r="M2238" s="133">
        <v>0.21662342478496199</v>
      </c>
      <c r="N2238" s="73">
        <v>-14149.1760000001</v>
      </c>
      <c r="O2238" s="73">
        <v>-1011.59523690988</v>
      </c>
      <c r="P2238" s="182">
        <v>10</v>
      </c>
      <c r="Q2238" s="182">
        <v>5500</v>
      </c>
      <c r="R2238" s="46">
        <v>16.006</v>
      </c>
      <c r="S2238" s="46">
        <v>0</v>
      </c>
      <c r="T2238" s="46">
        <v>0</v>
      </c>
      <c r="U2238" s="46">
        <v>0</v>
      </c>
      <c r="V2238" s="46" t="s">
        <v>62</v>
      </c>
      <c r="W2238" s="46">
        <v>5500</v>
      </c>
      <c r="X2238" s="46">
        <v>16.006</v>
      </c>
      <c r="AF2238" s="46">
        <v>7</v>
      </c>
      <c r="AG2238" s="46">
        <v>3500</v>
      </c>
      <c r="AH2238" s="46">
        <v>56752.1</v>
      </c>
      <c r="AI2238" s="46">
        <v>16.215</v>
      </c>
      <c r="AJ2238" s="46">
        <v>7</v>
      </c>
      <c r="AK2238" s="46">
        <v>2800</v>
      </c>
      <c r="AL2238" s="46">
        <v>44015.224000000002</v>
      </c>
      <c r="AM2238" s="46">
        <v>15.72</v>
      </c>
      <c r="AN2238" s="46" t="s">
        <v>63</v>
      </c>
      <c r="AO2238" s="46">
        <v>700</v>
      </c>
      <c r="AP2238" s="46">
        <v>12736.876</v>
      </c>
      <c r="AQ2238" s="46">
        <v>18.196000000000002</v>
      </c>
      <c r="AR2238" s="46">
        <v>-1386</v>
      </c>
      <c r="AS2238" s="46">
        <v>17</v>
      </c>
      <c r="AT2238" s="46">
        <v>9000</v>
      </c>
      <c r="AU2238" s="46">
        <v>144840.4</v>
      </c>
      <c r="AV2238" s="46">
        <v>16.093</v>
      </c>
      <c r="AW2238" s="46">
        <v>7</v>
      </c>
      <c r="AX2238" s="46">
        <v>2800</v>
      </c>
      <c r="AY2238" s="46">
        <v>44015.224000000002</v>
      </c>
      <c r="AZ2238" s="46">
        <v>15.72</v>
      </c>
      <c r="BA2238" s="46" t="s">
        <v>63</v>
      </c>
      <c r="BB2238" s="46">
        <v>6200</v>
      </c>
      <c r="BC2238" s="46">
        <v>100825.17600000001</v>
      </c>
      <c r="BD2238" s="46">
        <v>16.262</v>
      </c>
      <c r="BE2238" s="46">
        <v>-1044.4000000000001</v>
      </c>
      <c r="BF2238" s="46">
        <v>88088.3</v>
      </c>
      <c r="BG2238" s="46">
        <v>16.02</v>
      </c>
      <c r="BH2238" s="46">
        <v>0</v>
      </c>
      <c r="BJ2238">
        <v>88088.3</v>
      </c>
      <c r="BK2238">
        <v>16.02</v>
      </c>
      <c r="BL2238">
        <v>-101.02</v>
      </c>
    </row>
    <row r="2239" spans="1:64" x14ac:dyDescent="0.25">
      <c r="A2239" s="136">
        <v>43137</v>
      </c>
      <c r="B2239" s="201" t="s">
        <v>65</v>
      </c>
      <c r="C2239" t="s">
        <v>127</v>
      </c>
      <c r="D2239">
        <v>7300</v>
      </c>
      <c r="E2239">
        <v>6400</v>
      </c>
      <c r="F2239">
        <v>8.8339999999999996</v>
      </c>
      <c r="G2239">
        <v>16173.7</v>
      </c>
      <c r="H2239">
        <v>25.09</v>
      </c>
      <c r="I2239" s="309">
        <v>80665</v>
      </c>
      <c r="J2239">
        <v>11.05</v>
      </c>
      <c r="K2239" s="133">
        <v>0.173314879930592</v>
      </c>
      <c r="L2239" s="181">
        <v>-2939</v>
      </c>
      <c r="M2239" s="133">
        <v>0.138564456902843</v>
      </c>
      <c r="N2239" s="73">
        <v>11964.281000000001</v>
      </c>
      <c r="O2239" s="73">
        <v>1468.14752104429</v>
      </c>
      <c r="P2239" s="182">
        <v>1</v>
      </c>
      <c r="Q2239" s="182">
        <v>500</v>
      </c>
      <c r="R2239" s="46">
        <v>11.06</v>
      </c>
      <c r="S2239" s="46">
        <v>23</v>
      </c>
      <c r="T2239" s="46">
        <v>10200</v>
      </c>
      <c r="U2239" s="46">
        <v>12.401999999999999</v>
      </c>
      <c r="V2239" s="46" t="s">
        <v>68</v>
      </c>
      <c r="W2239" s="46">
        <v>9700</v>
      </c>
      <c r="X2239" s="46">
        <v>12.471</v>
      </c>
      <c r="AF2239" s="46">
        <v>153</v>
      </c>
      <c r="AG2239" s="46">
        <v>82800</v>
      </c>
      <c r="AH2239" s="46">
        <v>968441.23100000003</v>
      </c>
      <c r="AI2239" s="46">
        <v>11.696</v>
      </c>
      <c r="AJ2239" s="46">
        <v>173</v>
      </c>
      <c r="AK2239" s="46">
        <v>75000</v>
      </c>
      <c r="AL2239" s="46">
        <v>782387.01399999997</v>
      </c>
      <c r="AM2239" s="46">
        <v>10.432</v>
      </c>
      <c r="AN2239" s="46" t="s">
        <v>63</v>
      </c>
      <c r="AO2239" s="46">
        <v>7800</v>
      </c>
      <c r="AP2239" s="46">
        <v>186054.217</v>
      </c>
      <c r="AQ2239" s="46">
        <v>23.853000000000002</v>
      </c>
      <c r="AR2239" s="46">
        <v>-94800</v>
      </c>
      <c r="AS2239" s="46">
        <v>155</v>
      </c>
      <c r="AT2239" s="46">
        <v>83400</v>
      </c>
      <c r="AU2239" s="46">
        <v>975264.23100000003</v>
      </c>
      <c r="AV2239" s="46">
        <v>11.694000000000001</v>
      </c>
      <c r="AW2239" s="46">
        <v>196</v>
      </c>
      <c r="AX2239" s="46">
        <v>85200</v>
      </c>
      <c r="AY2239" s="46">
        <v>908649.51</v>
      </c>
      <c r="AZ2239" s="46">
        <v>10.664999999999999</v>
      </c>
      <c r="BA2239" s="46" t="s">
        <v>69</v>
      </c>
      <c r="BB2239" s="46">
        <v>1800</v>
      </c>
      <c r="BC2239" s="46">
        <v>66614.721000000005</v>
      </c>
      <c r="BD2239" s="46">
        <v>37.008000000000003</v>
      </c>
      <c r="BE2239" s="46">
        <v>-85818.6</v>
      </c>
      <c r="BF2239" s="46">
        <v>6823</v>
      </c>
      <c r="BG2239" s="46">
        <v>13.65</v>
      </c>
      <c r="BH2239" s="46">
        <v>126262.496</v>
      </c>
      <c r="BI2239">
        <v>12.38</v>
      </c>
      <c r="BJ2239">
        <v>-119439.496</v>
      </c>
      <c r="BK2239">
        <v>-12.31</v>
      </c>
      <c r="BL2239">
        <v>-8579.19</v>
      </c>
    </row>
    <row r="2240" spans="1:64" x14ac:dyDescent="0.25">
      <c r="A2240" s="136">
        <v>43137</v>
      </c>
      <c r="B2240" s="201" t="s">
        <v>77</v>
      </c>
      <c r="C2240" t="s">
        <v>128</v>
      </c>
      <c r="D2240">
        <v>4300</v>
      </c>
      <c r="E2240">
        <v>4300</v>
      </c>
      <c r="F2240">
        <v>5.9779999999999998</v>
      </c>
      <c r="G2240">
        <v>-595.27</v>
      </c>
      <c r="H2240">
        <v>-2.31</v>
      </c>
      <c r="I2240" s="309">
        <v>25112</v>
      </c>
      <c r="J2240">
        <v>5.84</v>
      </c>
      <c r="K2240" s="133">
        <v>5.3955039544003401E-2</v>
      </c>
      <c r="L2240" s="181">
        <v>0</v>
      </c>
      <c r="M2240" s="133">
        <v>5.5234022356577497E-2</v>
      </c>
      <c r="N2240" s="73">
        <v>-1272.2139999999999</v>
      </c>
      <c r="O2240" s="73">
        <v>-133.073774655173</v>
      </c>
      <c r="P2240" s="182">
        <v>6</v>
      </c>
      <c r="Q2240" s="182">
        <v>3000</v>
      </c>
      <c r="R2240" s="46">
        <v>6.798</v>
      </c>
      <c r="S2240" s="46">
        <v>0</v>
      </c>
      <c r="T2240" s="46">
        <v>0</v>
      </c>
      <c r="U2240" s="46">
        <v>0</v>
      </c>
      <c r="V2240" s="46" t="s">
        <v>62</v>
      </c>
      <c r="W2240" s="46">
        <v>3000</v>
      </c>
      <c r="X2240" s="46">
        <v>6.798</v>
      </c>
      <c r="AF2240" s="46">
        <v>39</v>
      </c>
      <c r="AG2240" s="46">
        <v>19500</v>
      </c>
      <c r="AH2240" s="46">
        <v>142169</v>
      </c>
      <c r="AI2240" s="46">
        <v>7.2910000000000004</v>
      </c>
      <c r="AJ2240" s="46">
        <v>39</v>
      </c>
      <c r="AK2240" s="46">
        <v>18200</v>
      </c>
      <c r="AL2240" s="46">
        <v>136881.78599999999</v>
      </c>
      <c r="AM2240" s="46">
        <v>7.5209999999999999</v>
      </c>
      <c r="AN2240" s="46" t="s">
        <v>63</v>
      </c>
      <c r="AO2240" s="46">
        <v>1300</v>
      </c>
      <c r="AP2240" s="46">
        <v>5287.2139999999999</v>
      </c>
      <c r="AQ2240" s="46">
        <v>4.0670000000000002</v>
      </c>
      <c r="AR2240" s="46">
        <v>4186</v>
      </c>
      <c r="AS2240" s="46">
        <v>45</v>
      </c>
      <c r="AT2240" s="46">
        <v>22500</v>
      </c>
      <c r="AU2240" s="46">
        <v>162594</v>
      </c>
      <c r="AV2240" s="46">
        <v>7.226</v>
      </c>
      <c r="AW2240" s="46">
        <v>39</v>
      </c>
      <c r="AX2240" s="46">
        <v>18200</v>
      </c>
      <c r="AY2240" s="46">
        <v>136881.78599999999</v>
      </c>
      <c r="AZ2240" s="46">
        <v>7.5209999999999999</v>
      </c>
      <c r="BA2240" s="46" t="s">
        <v>63</v>
      </c>
      <c r="BB2240" s="46">
        <v>4300</v>
      </c>
      <c r="BC2240" s="46">
        <v>25712.214</v>
      </c>
      <c r="BD2240" s="46">
        <v>5.98</v>
      </c>
      <c r="BE2240" s="46">
        <v>5369</v>
      </c>
      <c r="BF2240" s="46">
        <v>20425</v>
      </c>
      <c r="BG2240" s="46">
        <v>6.81</v>
      </c>
      <c r="BH2240" s="46">
        <v>0</v>
      </c>
      <c r="BJ2240">
        <v>20425</v>
      </c>
      <c r="BK2240">
        <v>6.81</v>
      </c>
      <c r="BL2240">
        <v>716.78</v>
      </c>
    </row>
    <row r="2241" spans="1:64" x14ac:dyDescent="0.25">
      <c r="A2241" s="136">
        <v>43137</v>
      </c>
      <c r="B2241" s="201" t="s">
        <v>67</v>
      </c>
      <c r="C2241" t="s">
        <v>129</v>
      </c>
      <c r="D2241">
        <v>3050</v>
      </c>
      <c r="E2241">
        <v>2550</v>
      </c>
      <c r="F2241">
        <v>8.4120000000000008</v>
      </c>
      <c r="G2241">
        <v>605.04</v>
      </c>
      <c r="H2241">
        <v>2.35</v>
      </c>
      <c r="I2241" s="309">
        <v>26260.5</v>
      </c>
      <c r="J2241">
        <v>8.61</v>
      </c>
      <c r="K2241" s="133">
        <v>5.6422679035731997E-2</v>
      </c>
      <c r="L2241" s="181">
        <v>397.03</v>
      </c>
      <c r="M2241" s="133">
        <v>5.5122704636014597E-2</v>
      </c>
      <c r="N2241" s="73">
        <v>1212.7609999997701</v>
      </c>
      <c r="O2241" s="73">
        <v>137.58849256524101</v>
      </c>
      <c r="P2241" s="182">
        <v>0</v>
      </c>
      <c r="Q2241" s="182">
        <v>0</v>
      </c>
      <c r="R2241" s="46">
        <v>0</v>
      </c>
      <c r="S2241" s="46">
        <v>12</v>
      </c>
      <c r="T2241" s="46">
        <v>4800</v>
      </c>
      <c r="U2241" s="46">
        <v>8.7309999999999999</v>
      </c>
      <c r="V2241" s="46" t="s">
        <v>68</v>
      </c>
      <c r="W2241" s="46">
        <v>4800</v>
      </c>
      <c r="X2241" s="46">
        <v>8.7309999999999999</v>
      </c>
      <c r="AF2241" s="46">
        <v>167</v>
      </c>
      <c r="AG2241" s="46">
        <v>83300</v>
      </c>
      <c r="AH2241" s="46">
        <v>689513</v>
      </c>
      <c r="AI2241" s="46">
        <v>8.2769999999999992</v>
      </c>
      <c r="AJ2241" s="46">
        <v>169</v>
      </c>
      <c r="AK2241" s="46">
        <v>78050</v>
      </c>
      <c r="AL2241" s="46">
        <v>691177.28500000003</v>
      </c>
      <c r="AM2241" s="46">
        <v>8.8559999999999999</v>
      </c>
      <c r="AN2241" s="46" t="s">
        <v>63</v>
      </c>
      <c r="AO2241" s="46">
        <v>5250</v>
      </c>
      <c r="AP2241" s="46">
        <v>1664.2850000000001</v>
      </c>
      <c r="AQ2241" s="46">
        <v>0.317</v>
      </c>
      <c r="AR2241" s="46">
        <v>45190.95</v>
      </c>
      <c r="AS2241" s="46">
        <v>167</v>
      </c>
      <c r="AT2241" s="46">
        <v>83300</v>
      </c>
      <c r="AU2241" s="46">
        <v>689513</v>
      </c>
      <c r="AV2241" s="46">
        <v>8.2769999999999992</v>
      </c>
      <c r="AW2241" s="46">
        <v>181</v>
      </c>
      <c r="AX2241" s="46">
        <v>82850</v>
      </c>
      <c r="AY2241" s="46">
        <v>732983.37699999998</v>
      </c>
      <c r="AZ2241" s="46">
        <v>8.8469999999999995</v>
      </c>
      <c r="BA2241" s="46" t="s">
        <v>63</v>
      </c>
      <c r="BB2241" s="46">
        <v>450</v>
      </c>
      <c r="BC2241" s="46">
        <v>43470.377</v>
      </c>
      <c r="BD2241" s="46">
        <v>96.600999999999999</v>
      </c>
      <c r="BE2241" s="46">
        <v>47224.5</v>
      </c>
      <c r="BF2241" s="46">
        <v>0</v>
      </c>
      <c r="BH2241" s="46">
        <v>41806.092000000099</v>
      </c>
      <c r="BI2241">
        <v>8.7100000000000009</v>
      </c>
      <c r="BJ2241">
        <v>41806.091999999997</v>
      </c>
      <c r="BK2241">
        <v>8.7100000000000009</v>
      </c>
      <c r="BL2241">
        <v>5248.66</v>
      </c>
    </row>
    <row r="2242" spans="1:64" x14ac:dyDescent="0.25">
      <c r="A2242" s="136">
        <v>43137</v>
      </c>
      <c r="B2242" s="201" t="s">
        <v>78</v>
      </c>
      <c r="C2242" t="s">
        <v>142</v>
      </c>
      <c r="D2242">
        <v>2600</v>
      </c>
      <c r="E2242">
        <v>1600</v>
      </c>
      <c r="F2242">
        <v>9.1549999999999994</v>
      </c>
      <c r="G2242">
        <v>-1703.13</v>
      </c>
      <c r="H2242">
        <v>-7.15</v>
      </c>
      <c r="I2242" s="309">
        <v>22100</v>
      </c>
      <c r="J2242">
        <v>8.5</v>
      </c>
      <c r="K2242" s="133">
        <v>4.7483528748107497E-2</v>
      </c>
      <c r="L2242" s="181">
        <v>-1111</v>
      </c>
      <c r="M2242" s="133">
        <v>5.1142832925336702E-2</v>
      </c>
      <c r="N2242" s="73">
        <v>-1495.1320000000001</v>
      </c>
      <c r="O2242" s="73">
        <v>-174.17067995337999</v>
      </c>
      <c r="P2242" s="182">
        <v>3</v>
      </c>
      <c r="Q2242" s="182">
        <v>1500</v>
      </c>
      <c r="R2242" s="46">
        <v>8.8330000000000002</v>
      </c>
      <c r="S2242" s="46">
        <v>0</v>
      </c>
      <c r="T2242" s="46">
        <v>0</v>
      </c>
      <c r="U2242" s="46">
        <v>0</v>
      </c>
      <c r="V2242" s="46" t="s">
        <v>62</v>
      </c>
      <c r="W2242" s="46">
        <v>1500</v>
      </c>
      <c r="X2242" s="46">
        <v>8.8330000000000002</v>
      </c>
      <c r="AF2242" s="46">
        <v>8</v>
      </c>
      <c r="AG2242" s="46">
        <v>4000</v>
      </c>
      <c r="AH2242" s="46">
        <v>40600</v>
      </c>
      <c r="AI2242" s="46">
        <v>10.15</v>
      </c>
      <c r="AJ2242" s="46">
        <v>8</v>
      </c>
      <c r="AK2242" s="46">
        <v>2900</v>
      </c>
      <c r="AL2242" s="46">
        <v>30061.867999999999</v>
      </c>
      <c r="AM2242" s="46">
        <v>10.366</v>
      </c>
      <c r="AN2242" s="46" t="s">
        <v>63</v>
      </c>
      <c r="AO2242" s="46">
        <v>1100</v>
      </c>
      <c r="AP2242" s="46">
        <v>10538.132</v>
      </c>
      <c r="AQ2242" s="46">
        <v>9.58</v>
      </c>
      <c r="AR2242" s="46">
        <v>626.4</v>
      </c>
      <c r="AS2242" s="46">
        <v>11</v>
      </c>
      <c r="AT2242" s="46">
        <v>5500</v>
      </c>
      <c r="AU2242" s="46">
        <v>53865</v>
      </c>
      <c r="AV2242" s="46">
        <v>9.7940000000000005</v>
      </c>
      <c r="AW2242" s="46">
        <v>8</v>
      </c>
      <c r="AX2242" s="46">
        <v>2900</v>
      </c>
      <c r="AY2242" s="46">
        <v>30061.867999999999</v>
      </c>
      <c r="AZ2242" s="46">
        <v>10.366</v>
      </c>
      <c r="BA2242" s="46" t="s">
        <v>63</v>
      </c>
      <c r="BB2242" s="46">
        <v>2600</v>
      </c>
      <c r="BC2242" s="46">
        <v>23803.132000000001</v>
      </c>
      <c r="BD2242" s="46">
        <v>9.1549999999999994</v>
      </c>
      <c r="BE2242" s="46">
        <v>1658.8</v>
      </c>
      <c r="BF2242" s="46">
        <v>13265</v>
      </c>
      <c r="BG2242" s="46">
        <v>8.84</v>
      </c>
      <c r="BH2242" s="46">
        <v>0</v>
      </c>
      <c r="BJ2242">
        <v>13265</v>
      </c>
      <c r="BK2242">
        <v>8.84</v>
      </c>
      <c r="BL2242">
        <v>73.69</v>
      </c>
    </row>
    <row r="2243" spans="1:64" x14ac:dyDescent="0.25">
      <c r="A2243" s="136">
        <v>43137</v>
      </c>
      <c r="B2243" s="201" t="s">
        <v>72</v>
      </c>
      <c r="C2243" t="s">
        <v>130</v>
      </c>
      <c r="D2243">
        <v>4000</v>
      </c>
      <c r="E2243">
        <v>4000</v>
      </c>
      <c r="F2243">
        <v>6.8109999999999999</v>
      </c>
      <c r="G2243">
        <v>-4362.45</v>
      </c>
      <c r="H2243">
        <v>-16.02</v>
      </c>
      <c r="I2243" s="309">
        <v>22880</v>
      </c>
      <c r="J2243">
        <v>5.72</v>
      </c>
      <c r="K2243" s="133">
        <v>4.9159417998040703E-2</v>
      </c>
      <c r="L2243" s="181">
        <v>-2040</v>
      </c>
      <c r="M2243" s="133">
        <v>5.8532473201080598E-2</v>
      </c>
      <c r="N2243" s="73">
        <v>-27479.164000000001</v>
      </c>
      <c r="O2243" s="73">
        <v>-443.89767911908399</v>
      </c>
      <c r="P2243" s="182">
        <v>0</v>
      </c>
      <c r="Q2243" s="182">
        <v>0</v>
      </c>
      <c r="R2243" s="46">
        <v>0</v>
      </c>
      <c r="S2243" s="46">
        <v>9</v>
      </c>
      <c r="T2243" s="46">
        <v>3600</v>
      </c>
      <c r="U2243" s="46">
        <v>7.98</v>
      </c>
      <c r="V2243" s="46" t="s">
        <v>68</v>
      </c>
      <c r="W2243" s="46">
        <v>3600</v>
      </c>
      <c r="X2243" s="46">
        <v>7.98</v>
      </c>
      <c r="AF2243" s="46">
        <v>31</v>
      </c>
      <c r="AG2243" s="46">
        <v>15400</v>
      </c>
      <c r="AH2243" s="46">
        <v>118262</v>
      </c>
      <c r="AI2243" s="46">
        <v>7.6790000000000003</v>
      </c>
      <c r="AJ2243" s="46">
        <v>31</v>
      </c>
      <c r="AK2243" s="46">
        <v>14400</v>
      </c>
      <c r="AL2243" s="46">
        <v>63097.749000000003</v>
      </c>
      <c r="AM2243" s="46">
        <v>4.3819999999999997</v>
      </c>
      <c r="AN2243" s="46" t="s">
        <v>63</v>
      </c>
      <c r="AO2243" s="46">
        <v>1000</v>
      </c>
      <c r="AP2243" s="46">
        <v>55164.250999999997</v>
      </c>
      <c r="AQ2243" s="46">
        <v>55.164000000000001</v>
      </c>
      <c r="AR2243" s="46">
        <v>-47476.800000000003</v>
      </c>
      <c r="AS2243" s="46">
        <v>31</v>
      </c>
      <c r="AT2243" s="46">
        <v>15400</v>
      </c>
      <c r="AU2243" s="46">
        <v>118262</v>
      </c>
      <c r="AV2243" s="46">
        <v>7.6790000000000003</v>
      </c>
      <c r="AW2243" s="46">
        <v>41</v>
      </c>
      <c r="AX2243" s="46">
        <v>18500</v>
      </c>
      <c r="AY2243" s="46">
        <v>91752.020999999993</v>
      </c>
      <c r="AZ2243" s="46">
        <v>4.96</v>
      </c>
      <c r="BA2243" s="46" t="s">
        <v>69</v>
      </c>
      <c r="BB2243" s="46">
        <v>3100</v>
      </c>
      <c r="BC2243" s="46">
        <v>26509.978999999999</v>
      </c>
      <c r="BD2243" s="46">
        <v>8.5519999999999996</v>
      </c>
      <c r="BE2243" s="46">
        <v>-41872.6</v>
      </c>
      <c r="BF2243" s="46">
        <v>0</v>
      </c>
      <c r="BH2243" s="46">
        <v>28654.272000000001</v>
      </c>
      <c r="BI2243">
        <v>7.96</v>
      </c>
      <c r="BJ2243">
        <v>-28654.272000000001</v>
      </c>
      <c r="BK2243">
        <v>-7.96</v>
      </c>
      <c r="BL2243">
        <v>-8300.14</v>
      </c>
    </row>
    <row r="2244" spans="1:64" x14ac:dyDescent="0.25">
      <c r="A2244" s="136">
        <v>43137</v>
      </c>
      <c r="B2244" s="201" t="s">
        <v>70</v>
      </c>
      <c r="C2244" t="s">
        <v>131</v>
      </c>
      <c r="D2244">
        <v>13100</v>
      </c>
      <c r="E2244">
        <v>13100</v>
      </c>
      <c r="F2244">
        <v>11.451000000000001</v>
      </c>
      <c r="G2244">
        <v>-44286.03</v>
      </c>
      <c r="H2244">
        <v>-29.52</v>
      </c>
      <c r="I2244" s="309">
        <v>105717</v>
      </c>
      <c r="J2244">
        <v>8.07</v>
      </c>
      <c r="K2244" s="133">
        <v>0.227141004916909</v>
      </c>
      <c r="L2244" s="181">
        <v>-3374.37</v>
      </c>
      <c r="M2244" s="133">
        <v>0.322292904403087</v>
      </c>
      <c r="N2244" s="73">
        <v>-39569.025999999998</v>
      </c>
      <c r="O2244" s="73">
        <v>-4691.4877208778198</v>
      </c>
      <c r="P2244" s="182">
        <v>2</v>
      </c>
      <c r="Q2244" s="182">
        <v>1500</v>
      </c>
      <c r="R2244" s="46">
        <v>8.3930000000000007</v>
      </c>
      <c r="S2244" s="46">
        <v>1</v>
      </c>
      <c r="T2244" s="46">
        <v>400</v>
      </c>
      <c r="U2244" s="46">
        <v>8.43</v>
      </c>
      <c r="V2244" s="46" t="s">
        <v>62</v>
      </c>
      <c r="W2244" s="46">
        <v>1100</v>
      </c>
      <c r="X2244" s="46">
        <v>8.3800000000000008</v>
      </c>
      <c r="AF2244" s="46">
        <v>128</v>
      </c>
      <c r="AG2244" s="46">
        <v>64600</v>
      </c>
      <c r="AH2244" s="46">
        <v>861448</v>
      </c>
      <c r="AI2244" s="46">
        <v>13.335000000000001</v>
      </c>
      <c r="AJ2244" s="46">
        <v>131</v>
      </c>
      <c r="AK2244" s="46">
        <v>52600</v>
      </c>
      <c r="AL2244" s="46">
        <v>720277.34600000002</v>
      </c>
      <c r="AM2244" s="46">
        <v>13.693</v>
      </c>
      <c r="AN2244" s="46" t="s">
        <v>63</v>
      </c>
      <c r="AO2244" s="46">
        <v>12000</v>
      </c>
      <c r="AP2244" s="46">
        <v>141170.65400000001</v>
      </c>
      <c r="AQ2244" s="46">
        <v>11.763999999999999</v>
      </c>
      <c r="AR2244" s="46">
        <v>18830.8</v>
      </c>
      <c r="AS2244" s="46">
        <v>130</v>
      </c>
      <c r="AT2244" s="46">
        <v>66100</v>
      </c>
      <c r="AU2244" s="46">
        <v>874048</v>
      </c>
      <c r="AV2244" s="46">
        <v>13.223000000000001</v>
      </c>
      <c r="AW2244" s="46">
        <v>133</v>
      </c>
      <c r="AX2244" s="46">
        <v>53000</v>
      </c>
      <c r="AY2244" s="46">
        <v>724045.97400000005</v>
      </c>
      <c r="AZ2244" s="46">
        <v>13.661</v>
      </c>
      <c r="BA2244" s="46" t="s">
        <v>63</v>
      </c>
      <c r="BB2244" s="46">
        <v>13100</v>
      </c>
      <c r="BC2244" s="46">
        <v>150002.02600000001</v>
      </c>
      <c r="BD2244" s="46">
        <v>11.451000000000001</v>
      </c>
      <c r="BE2244" s="46">
        <v>23214</v>
      </c>
      <c r="BF2244" s="46">
        <v>12600</v>
      </c>
      <c r="BG2244" s="46">
        <v>8.4</v>
      </c>
      <c r="BH2244" s="46">
        <v>3768.6280000000302</v>
      </c>
      <c r="BI2244">
        <v>9.42</v>
      </c>
      <c r="BJ2244">
        <v>8831.3719999999994</v>
      </c>
      <c r="BK2244">
        <v>8.0299999999999994</v>
      </c>
      <c r="BL2244">
        <v>2333.4299999999998</v>
      </c>
    </row>
    <row r="2245" spans="1:64" x14ac:dyDescent="0.25">
      <c r="A2245" s="136">
        <v>43137</v>
      </c>
      <c r="B2245" s="201" t="s">
        <v>137</v>
      </c>
      <c r="C2245" t="s">
        <v>138</v>
      </c>
      <c r="D2245">
        <v>100</v>
      </c>
      <c r="E2245">
        <v>100</v>
      </c>
      <c r="F2245">
        <v>-130.48500000000001</v>
      </c>
      <c r="G2245">
        <v>15781.5</v>
      </c>
      <c r="H2245">
        <v>0</v>
      </c>
      <c r="I2245" s="309">
        <v>2733</v>
      </c>
      <c r="J2245">
        <v>27.33</v>
      </c>
      <c r="K2245" s="133">
        <v>5.8720581026505802E-3</v>
      </c>
      <c r="L2245" s="181">
        <v>-304</v>
      </c>
      <c r="M2245" s="133">
        <v>0</v>
      </c>
    </row>
    <row r="2246" spans="1:64" x14ac:dyDescent="0.25">
      <c r="A2246" s="136">
        <v>43137</v>
      </c>
      <c r="B2246" s="201" t="s">
        <v>835</v>
      </c>
      <c r="C2246" t="s">
        <v>839</v>
      </c>
      <c r="I2246" s="309">
        <v>33630.25</v>
      </c>
      <c r="K2246" s="133">
        <v>7.2257146727649005E-2</v>
      </c>
      <c r="L2246" s="181">
        <v>0</v>
      </c>
      <c r="M2246" s="133">
        <v>0.175136979774702</v>
      </c>
    </row>
    <row r="2247" spans="1:64" x14ac:dyDescent="0.25">
      <c r="A2247" s="136">
        <v>43138</v>
      </c>
      <c r="B2247" s="201" t="s">
        <v>132</v>
      </c>
      <c r="C2247" t="s">
        <v>123</v>
      </c>
      <c r="D2247">
        <v>4789017</v>
      </c>
      <c r="E2247">
        <v>4789017</v>
      </c>
      <c r="F2247">
        <v>8.9999999999999993E-3</v>
      </c>
      <c r="G2247">
        <v>3017.73</v>
      </c>
      <c r="H2247">
        <v>11.11</v>
      </c>
      <c r="I2247" s="309">
        <v>47890.17</v>
      </c>
      <c r="J2247">
        <v>0.01</v>
      </c>
      <c r="K2247" s="133">
        <v>0.10321338173446901</v>
      </c>
      <c r="L2247" s="181">
        <v>7.36999999999989</v>
      </c>
      <c r="M2247" s="133">
        <v>0</v>
      </c>
    </row>
    <row r="2248" spans="1:64" x14ac:dyDescent="0.25">
      <c r="A2248" s="136">
        <v>43138</v>
      </c>
      <c r="B2248" s="201" t="s">
        <v>61</v>
      </c>
      <c r="C2248" t="s">
        <v>136</v>
      </c>
      <c r="D2248">
        <v>2300</v>
      </c>
      <c r="E2248">
        <v>2300</v>
      </c>
      <c r="F2248">
        <v>5.2679999999999998</v>
      </c>
      <c r="G2248">
        <v>-316.83999999999997</v>
      </c>
      <c r="H2248">
        <v>-2.62</v>
      </c>
      <c r="I2248" s="309">
        <v>11799</v>
      </c>
      <c r="J2248">
        <v>5.13</v>
      </c>
      <c r="K2248" s="133">
        <v>2.5429324871575901E-2</v>
      </c>
      <c r="L2248" s="181">
        <v>-23</v>
      </c>
      <c r="M2248" s="133">
        <v>2.6112181663872702E-2</v>
      </c>
      <c r="N2248" s="73">
        <v>-137.685000000001</v>
      </c>
      <c r="O2248" s="73">
        <v>-26.413849808061698</v>
      </c>
      <c r="P2248" s="182">
        <v>3</v>
      </c>
      <c r="Q2248" s="182">
        <v>1500</v>
      </c>
      <c r="R2248" s="46">
        <v>5.327</v>
      </c>
      <c r="S2248" s="46">
        <v>0</v>
      </c>
      <c r="T2248" s="46">
        <v>0</v>
      </c>
      <c r="U2248" s="46">
        <v>0</v>
      </c>
      <c r="V2248" s="46" t="s">
        <v>62</v>
      </c>
      <c r="W2248" s="46">
        <v>1500</v>
      </c>
      <c r="X2248" s="46">
        <v>5.327</v>
      </c>
      <c r="AF2248" s="46">
        <v>9</v>
      </c>
      <c r="AG2248" s="46">
        <v>4500</v>
      </c>
      <c r="AH2248" s="46">
        <v>23912.7</v>
      </c>
      <c r="AI2248" s="46">
        <v>5.3140000000000001</v>
      </c>
      <c r="AJ2248" s="46">
        <v>9</v>
      </c>
      <c r="AK2248" s="46">
        <v>3700</v>
      </c>
      <c r="AL2248" s="46">
        <v>19797.915000000001</v>
      </c>
      <c r="AM2248" s="46">
        <v>5.351</v>
      </c>
      <c r="AN2248" s="46" t="s">
        <v>63</v>
      </c>
      <c r="AO2248" s="46">
        <v>800</v>
      </c>
      <c r="AP2248" s="46">
        <v>4114.7849999999999</v>
      </c>
      <c r="AQ2248" s="46">
        <v>5.1429999999999998</v>
      </c>
      <c r="AR2248" s="46">
        <v>136.9</v>
      </c>
      <c r="AS2248" s="46">
        <v>12</v>
      </c>
      <c r="AT2248" s="46">
        <v>6000</v>
      </c>
      <c r="AU2248" s="46">
        <v>31918.6</v>
      </c>
      <c r="AV2248" s="46">
        <v>5.32</v>
      </c>
      <c r="AW2248" s="46">
        <v>9</v>
      </c>
      <c r="AX2248" s="46">
        <v>3700</v>
      </c>
      <c r="AY2248" s="46">
        <v>19797.915000000001</v>
      </c>
      <c r="AZ2248" s="46">
        <v>5.351</v>
      </c>
      <c r="BA2248" s="46" t="s">
        <v>63</v>
      </c>
      <c r="BB2248" s="46">
        <v>2300</v>
      </c>
      <c r="BC2248" s="46">
        <v>12120.684999999999</v>
      </c>
      <c r="BD2248" s="46">
        <v>5.27</v>
      </c>
      <c r="BE2248" s="46">
        <v>114.7</v>
      </c>
      <c r="BF2248" s="46">
        <v>8005.9</v>
      </c>
      <c r="BG2248" s="46">
        <v>5.34</v>
      </c>
      <c r="BH2248" s="46">
        <v>0</v>
      </c>
      <c r="BJ2248">
        <v>8005.9</v>
      </c>
      <c r="BK2248">
        <v>5.34</v>
      </c>
      <c r="BL2248">
        <v>26.69</v>
      </c>
    </row>
    <row r="2249" spans="1:64" x14ac:dyDescent="0.25">
      <c r="A2249" s="136">
        <v>43138</v>
      </c>
      <c r="B2249" s="201" t="s">
        <v>124</v>
      </c>
      <c r="C2249" t="s">
        <v>125</v>
      </c>
      <c r="D2249">
        <v>100</v>
      </c>
      <c r="E2249">
        <v>100</v>
      </c>
      <c r="F2249">
        <v>-53.579000000000001</v>
      </c>
      <c r="G2249">
        <v>6070.9</v>
      </c>
      <c r="H2249">
        <v>0</v>
      </c>
      <c r="I2249" s="309">
        <v>713</v>
      </c>
      <c r="J2249">
        <v>7.13</v>
      </c>
      <c r="K2249" s="133">
        <v>1.53666485578724E-3</v>
      </c>
      <c r="L2249" s="181">
        <v>-44</v>
      </c>
      <c r="M2249" s="133">
        <v>0</v>
      </c>
    </row>
    <row r="2250" spans="1:64" x14ac:dyDescent="0.25">
      <c r="A2250" s="136">
        <v>43138</v>
      </c>
      <c r="B2250" s="201" t="s">
        <v>71</v>
      </c>
      <c r="C2250" t="s">
        <v>126</v>
      </c>
      <c r="D2250">
        <v>100</v>
      </c>
      <c r="E2250">
        <v>100</v>
      </c>
      <c r="F2250">
        <v>-17.085999999999999</v>
      </c>
      <c r="G2250">
        <v>2483.6</v>
      </c>
      <c r="H2250">
        <v>0</v>
      </c>
      <c r="I2250" s="309">
        <v>775</v>
      </c>
      <c r="J2250">
        <v>7.75</v>
      </c>
      <c r="K2250" s="133">
        <v>1.67028788672526E-3</v>
      </c>
      <c r="L2250" s="181">
        <v>-26</v>
      </c>
      <c r="M2250" s="133">
        <v>0</v>
      </c>
      <c r="N2250" s="73">
        <v>1703.3019999999999</v>
      </c>
      <c r="O2250" s="73">
        <v>341.114950423729</v>
      </c>
      <c r="P2250" s="182">
        <v>0</v>
      </c>
      <c r="Q2250" s="182">
        <v>0</v>
      </c>
      <c r="R2250" s="46">
        <v>0</v>
      </c>
      <c r="S2250" s="46">
        <v>7</v>
      </c>
      <c r="T2250" s="46">
        <v>2800</v>
      </c>
      <c r="U2250" s="46">
        <v>6.6749999999999998</v>
      </c>
      <c r="V2250" s="46" t="s">
        <v>68</v>
      </c>
      <c r="W2250" s="46">
        <v>2800</v>
      </c>
      <c r="X2250" s="46">
        <v>6.6749999999999998</v>
      </c>
      <c r="AF2250" s="46">
        <v>41</v>
      </c>
      <c r="AG2250" s="46">
        <v>20600</v>
      </c>
      <c r="AH2250" s="46">
        <v>131323.35999999999</v>
      </c>
      <c r="AI2250" s="46">
        <v>6.375</v>
      </c>
      <c r="AJ2250" s="46">
        <v>39</v>
      </c>
      <c r="AK2250" s="46">
        <v>17700</v>
      </c>
      <c r="AL2250" s="46">
        <v>114228.83100000001</v>
      </c>
      <c r="AM2250" s="46">
        <v>6.4539999999999997</v>
      </c>
      <c r="AN2250" s="46" t="s">
        <v>63</v>
      </c>
      <c r="AO2250" s="46">
        <v>2900</v>
      </c>
      <c r="AP2250" s="46">
        <v>17094.528999999999</v>
      </c>
      <c r="AQ2250" s="46">
        <v>5.8949999999999996</v>
      </c>
      <c r="AR2250" s="46">
        <v>1398.3</v>
      </c>
      <c r="AS2250" s="46">
        <v>41</v>
      </c>
      <c r="AT2250" s="46">
        <v>20600</v>
      </c>
      <c r="AU2250" s="46">
        <v>131323.35999999999</v>
      </c>
      <c r="AV2250" s="46">
        <v>6.375</v>
      </c>
      <c r="AW2250" s="46">
        <v>46</v>
      </c>
      <c r="AX2250" s="46">
        <v>20500</v>
      </c>
      <c r="AY2250" s="46">
        <v>132870.462</v>
      </c>
      <c r="AZ2250" s="46">
        <v>6.4809999999999999</v>
      </c>
      <c r="BA2250" s="46" t="s">
        <v>63</v>
      </c>
      <c r="BB2250" s="46">
        <v>100</v>
      </c>
      <c r="BC2250" s="46">
        <v>1547.1020000000001</v>
      </c>
      <c r="BD2250" s="46">
        <v>15.471</v>
      </c>
      <c r="BE2250" s="46">
        <v>2173</v>
      </c>
      <c r="BF2250" s="46">
        <v>0</v>
      </c>
      <c r="BH2250" s="46">
        <v>18641.631000000001</v>
      </c>
      <c r="BI2250">
        <v>6.66</v>
      </c>
      <c r="BJ2250">
        <v>-15547.427</v>
      </c>
      <c r="BK2250">
        <v>-5.55</v>
      </c>
      <c r="BL2250">
        <v>180.43</v>
      </c>
    </row>
    <row r="2251" spans="1:64" x14ac:dyDescent="0.25">
      <c r="A2251" s="136">
        <v>43138</v>
      </c>
      <c r="B2251" s="201" t="s">
        <v>79</v>
      </c>
      <c r="C2251" t="s">
        <v>143</v>
      </c>
      <c r="D2251">
        <v>6200</v>
      </c>
      <c r="E2251">
        <v>6200</v>
      </c>
      <c r="F2251">
        <v>16.262</v>
      </c>
      <c r="G2251">
        <v>-14517.86</v>
      </c>
      <c r="H2251">
        <v>-14.4</v>
      </c>
      <c r="I2251" s="309">
        <v>86304</v>
      </c>
      <c r="J2251">
        <v>13.92</v>
      </c>
      <c r="K2251" s="133">
        <v>0.18600325906572501</v>
      </c>
      <c r="L2251" s="181">
        <v>1240</v>
      </c>
      <c r="M2251" s="133">
        <v>0.217292298677561</v>
      </c>
      <c r="N2251" s="73">
        <v>-14149.1760000001</v>
      </c>
      <c r="O2251" s="73">
        <v>-1011.59523690988</v>
      </c>
      <c r="P2251" s="182">
        <v>10</v>
      </c>
      <c r="Q2251" s="182">
        <v>5500</v>
      </c>
      <c r="R2251" s="46">
        <v>16.006</v>
      </c>
      <c r="S2251" s="46">
        <v>0</v>
      </c>
      <c r="T2251" s="46">
        <v>0</v>
      </c>
      <c r="U2251" s="46">
        <v>0</v>
      </c>
      <c r="V2251" s="46" t="s">
        <v>62</v>
      </c>
      <c r="W2251" s="46">
        <v>5500</v>
      </c>
      <c r="X2251" s="46">
        <v>16.006</v>
      </c>
      <c r="AF2251" s="46">
        <v>7</v>
      </c>
      <c r="AG2251" s="46">
        <v>3500</v>
      </c>
      <c r="AH2251" s="46">
        <v>56752.1</v>
      </c>
      <c r="AI2251" s="46">
        <v>16.215</v>
      </c>
      <c r="AJ2251" s="46">
        <v>7</v>
      </c>
      <c r="AK2251" s="46">
        <v>2800</v>
      </c>
      <c r="AL2251" s="46">
        <v>44015.224000000002</v>
      </c>
      <c r="AM2251" s="46">
        <v>15.72</v>
      </c>
      <c r="AN2251" s="46" t="s">
        <v>63</v>
      </c>
      <c r="AO2251" s="46">
        <v>700</v>
      </c>
      <c r="AP2251" s="46">
        <v>12736.876</v>
      </c>
      <c r="AQ2251" s="46">
        <v>18.196000000000002</v>
      </c>
      <c r="AR2251" s="46">
        <v>-1386</v>
      </c>
      <c r="AS2251" s="46">
        <v>17</v>
      </c>
      <c r="AT2251" s="46">
        <v>9000</v>
      </c>
      <c r="AU2251" s="46">
        <v>144840.4</v>
      </c>
      <c r="AV2251" s="46">
        <v>16.093</v>
      </c>
      <c r="AW2251" s="46">
        <v>7</v>
      </c>
      <c r="AX2251" s="46">
        <v>2800</v>
      </c>
      <c r="AY2251" s="46">
        <v>44015.224000000002</v>
      </c>
      <c r="AZ2251" s="46">
        <v>15.72</v>
      </c>
      <c r="BA2251" s="46" t="s">
        <v>63</v>
      </c>
      <c r="BB2251" s="46">
        <v>6200</v>
      </c>
      <c r="BC2251" s="46">
        <v>100825.17600000001</v>
      </c>
      <c r="BD2251" s="46">
        <v>16.262</v>
      </c>
      <c r="BE2251" s="46">
        <v>-1044.4000000000001</v>
      </c>
      <c r="BF2251" s="46">
        <v>88088.3</v>
      </c>
      <c r="BG2251" s="46">
        <v>16.02</v>
      </c>
      <c r="BH2251" s="46">
        <v>0</v>
      </c>
      <c r="BJ2251">
        <v>88088.3</v>
      </c>
      <c r="BK2251">
        <v>16.02</v>
      </c>
      <c r="BL2251">
        <v>-99.57</v>
      </c>
    </row>
    <row r="2252" spans="1:64" x14ac:dyDescent="0.25">
      <c r="A2252" s="136">
        <v>43138</v>
      </c>
      <c r="B2252" s="201" t="s">
        <v>65</v>
      </c>
      <c r="C2252" t="s">
        <v>127</v>
      </c>
      <c r="D2252">
        <v>8500</v>
      </c>
      <c r="E2252">
        <v>6900</v>
      </c>
      <c r="F2252">
        <v>9.0980000000000008</v>
      </c>
      <c r="G2252">
        <v>13621.21</v>
      </c>
      <c r="H2252">
        <v>17.61</v>
      </c>
      <c r="I2252" s="309">
        <v>90950</v>
      </c>
      <c r="J2252">
        <v>10.7</v>
      </c>
      <c r="K2252" s="133">
        <v>0.19601636554537</v>
      </c>
      <c r="L2252" s="181">
        <v>-2552.4899999999998</v>
      </c>
      <c r="M2252" s="133">
        <v>0.16665979513822099</v>
      </c>
      <c r="N2252" s="73">
        <v>8828.7889999999497</v>
      </c>
      <c r="O2252" s="73">
        <v>1231.55895946897</v>
      </c>
      <c r="P2252" s="182">
        <v>0</v>
      </c>
      <c r="Q2252" s="182">
        <v>0</v>
      </c>
      <c r="R2252" s="46">
        <v>0</v>
      </c>
      <c r="S2252" s="46">
        <v>19</v>
      </c>
      <c r="T2252" s="46">
        <v>8200</v>
      </c>
      <c r="U2252" s="46">
        <v>12.3</v>
      </c>
      <c r="V2252" s="46" t="s">
        <v>68</v>
      </c>
      <c r="W2252" s="46">
        <v>8200</v>
      </c>
      <c r="X2252" s="46">
        <v>12.3</v>
      </c>
      <c r="AF2252" s="46">
        <v>158</v>
      </c>
      <c r="AG2252" s="46">
        <v>84900</v>
      </c>
      <c r="AH2252" s="46">
        <v>991296.23100000003</v>
      </c>
      <c r="AI2252" s="46">
        <v>11.676</v>
      </c>
      <c r="AJ2252" s="46">
        <v>178</v>
      </c>
      <c r="AK2252" s="46">
        <v>77400</v>
      </c>
      <c r="AL2252" s="46">
        <v>812463.88199999998</v>
      </c>
      <c r="AM2252" s="46">
        <v>10.497</v>
      </c>
      <c r="AN2252" s="46" t="s">
        <v>63</v>
      </c>
      <c r="AO2252" s="46">
        <v>7500</v>
      </c>
      <c r="AP2252" s="46">
        <v>178832.34899999999</v>
      </c>
      <c r="AQ2252" s="46">
        <v>23.844000000000001</v>
      </c>
      <c r="AR2252" s="46">
        <v>-91254.6</v>
      </c>
      <c r="AS2252" s="46">
        <v>159</v>
      </c>
      <c r="AT2252" s="46">
        <v>85000</v>
      </c>
      <c r="AU2252" s="46">
        <v>992584.23100000003</v>
      </c>
      <c r="AV2252" s="46">
        <v>11.677</v>
      </c>
      <c r="AW2252" s="46">
        <v>197</v>
      </c>
      <c r="AX2252" s="46">
        <v>85600</v>
      </c>
      <c r="AY2252" s="46">
        <v>913132.01800000004</v>
      </c>
      <c r="AZ2252" s="46">
        <v>10.667</v>
      </c>
      <c r="BA2252" s="46" t="s">
        <v>69</v>
      </c>
      <c r="BB2252" s="46">
        <v>600</v>
      </c>
      <c r="BC2252" s="46">
        <v>79452.213000000003</v>
      </c>
      <c r="BD2252" s="46">
        <v>132.41999999999999</v>
      </c>
      <c r="BE2252" s="46">
        <v>-85850</v>
      </c>
      <c r="BF2252" s="46">
        <v>1288</v>
      </c>
      <c r="BH2252" s="46">
        <v>100668.136</v>
      </c>
      <c r="BI2252">
        <v>12.28</v>
      </c>
      <c r="BJ2252">
        <v>-99380.135999999999</v>
      </c>
      <c r="BK2252">
        <v>-12.12</v>
      </c>
      <c r="BL2252">
        <v>-8528.4699999999993</v>
      </c>
    </row>
    <row r="2253" spans="1:64" x14ac:dyDescent="0.25">
      <c r="A2253" s="136">
        <v>43138</v>
      </c>
      <c r="B2253" s="201" t="s">
        <v>77</v>
      </c>
      <c r="C2253" t="s">
        <v>128</v>
      </c>
      <c r="D2253">
        <v>4300</v>
      </c>
      <c r="E2253">
        <v>4300</v>
      </c>
      <c r="F2253">
        <v>5.9779999999999998</v>
      </c>
      <c r="G2253">
        <v>-595.27</v>
      </c>
      <c r="H2253">
        <v>-2.31</v>
      </c>
      <c r="I2253" s="309">
        <v>25112</v>
      </c>
      <c r="J2253">
        <v>5.84</v>
      </c>
      <c r="K2253" s="133">
        <v>5.4121637950251197E-2</v>
      </c>
      <c r="L2253" s="181">
        <v>0</v>
      </c>
      <c r="M2253" s="133">
        <v>5.5404569911968501E-2</v>
      </c>
      <c r="N2253" s="73">
        <v>-1272.2139999999999</v>
      </c>
      <c r="O2253" s="73">
        <v>-133.073774655173</v>
      </c>
      <c r="P2253" s="182">
        <v>6</v>
      </c>
      <c r="Q2253" s="182">
        <v>3000</v>
      </c>
      <c r="R2253" s="46">
        <v>6.798</v>
      </c>
      <c r="S2253" s="46">
        <v>0</v>
      </c>
      <c r="T2253" s="46">
        <v>0</v>
      </c>
      <c r="U2253" s="46">
        <v>0</v>
      </c>
      <c r="V2253" s="46" t="s">
        <v>62</v>
      </c>
      <c r="W2253" s="46">
        <v>3000</v>
      </c>
      <c r="X2253" s="46">
        <v>6.798</v>
      </c>
      <c r="AF2253" s="46">
        <v>39</v>
      </c>
      <c r="AG2253" s="46">
        <v>19500</v>
      </c>
      <c r="AH2253" s="46">
        <v>142169</v>
      </c>
      <c r="AI2253" s="46">
        <v>7.2910000000000004</v>
      </c>
      <c r="AJ2253" s="46">
        <v>39</v>
      </c>
      <c r="AK2253" s="46">
        <v>18200</v>
      </c>
      <c r="AL2253" s="46">
        <v>136881.78599999999</v>
      </c>
      <c r="AM2253" s="46">
        <v>7.5209999999999999</v>
      </c>
      <c r="AN2253" s="46" t="s">
        <v>63</v>
      </c>
      <c r="AO2253" s="46">
        <v>1300</v>
      </c>
      <c r="AP2253" s="46">
        <v>5287.2139999999999</v>
      </c>
      <c r="AQ2253" s="46">
        <v>4.0670000000000002</v>
      </c>
      <c r="AR2253" s="46">
        <v>4186</v>
      </c>
      <c r="AS2253" s="46">
        <v>45</v>
      </c>
      <c r="AT2253" s="46">
        <v>22500</v>
      </c>
      <c r="AU2253" s="46">
        <v>162594</v>
      </c>
      <c r="AV2253" s="46">
        <v>7.226</v>
      </c>
      <c r="AW2253" s="46">
        <v>39</v>
      </c>
      <c r="AX2253" s="46">
        <v>18200</v>
      </c>
      <c r="AY2253" s="46">
        <v>136881.78599999999</v>
      </c>
      <c r="AZ2253" s="46">
        <v>7.5209999999999999</v>
      </c>
      <c r="BA2253" s="46" t="s">
        <v>63</v>
      </c>
      <c r="BB2253" s="46">
        <v>4300</v>
      </c>
      <c r="BC2253" s="46">
        <v>25712.214</v>
      </c>
      <c r="BD2253" s="46">
        <v>5.98</v>
      </c>
      <c r="BE2253" s="46">
        <v>5369</v>
      </c>
      <c r="BF2253" s="46">
        <v>20425</v>
      </c>
      <c r="BG2253" s="46">
        <v>6.81</v>
      </c>
      <c r="BH2253" s="46">
        <v>0</v>
      </c>
      <c r="BJ2253">
        <v>20425</v>
      </c>
      <c r="BK2253">
        <v>6.81</v>
      </c>
      <c r="BL2253">
        <v>716.78</v>
      </c>
    </row>
    <row r="2254" spans="1:64" x14ac:dyDescent="0.25">
      <c r="A2254" s="136">
        <v>43138</v>
      </c>
      <c r="B2254" s="201" t="s">
        <v>67</v>
      </c>
      <c r="C2254" t="s">
        <v>129</v>
      </c>
      <c r="D2254">
        <v>3050</v>
      </c>
      <c r="E2254">
        <v>1850</v>
      </c>
      <c r="F2254">
        <v>8.3659999999999997</v>
      </c>
      <c r="G2254">
        <v>1110.48</v>
      </c>
      <c r="H2254">
        <v>4.3499999999999996</v>
      </c>
      <c r="I2254" s="309">
        <v>26626.5</v>
      </c>
      <c r="J2254">
        <v>8.73</v>
      </c>
      <c r="K2254" s="133">
        <v>5.7385703762438803E-2</v>
      </c>
      <c r="L2254" s="181">
        <v>505.44</v>
      </c>
      <c r="M2254" s="133">
        <v>5.4992385965728197E-2</v>
      </c>
      <c r="N2254" s="73">
        <v>1169.2049999997701</v>
      </c>
      <c r="O2254" s="73">
        <v>133.55661685711701</v>
      </c>
      <c r="P2254" s="182">
        <v>0</v>
      </c>
      <c r="Q2254" s="182">
        <v>0</v>
      </c>
      <c r="R2254" s="46">
        <v>0</v>
      </c>
      <c r="S2254" s="46">
        <v>12</v>
      </c>
      <c r="T2254" s="46">
        <v>4800</v>
      </c>
      <c r="U2254" s="46">
        <v>8.7620000000000005</v>
      </c>
      <c r="V2254" s="46" t="s">
        <v>68</v>
      </c>
      <c r="W2254" s="46">
        <v>4800</v>
      </c>
      <c r="X2254" s="46">
        <v>8.7620000000000005</v>
      </c>
      <c r="AF2254" s="46">
        <v>170</v>
      </c>
      <c r="AG2254" s="46">
        <v>84500</v>
      </c>
      <c r="AH2254" s="46">
        <v>699904</v>
      </c>
      <c r="AI2254" s="46">
        <v>8.2829999999999995</v>
      </c>
      <c r="AJ2254" s="46">
        <v>172</v>
      </c>
      <c r="AK2254" s="46">
        <v>79250</v>
      </c>
      <c r="AL2254" s="46">
        <v>701559.87699999998</v>
      </c>
      <c r="AM2254" s="46">
        <v>8.8520000000000003</v>
      </c>
      <c r="AN2254" s="46" t="s">
        <v>63</v>
      </c>
      <c r="AO2254" s="46">
        <v>5250</v>
      </c>
      <c r="AP2254" s="46">
        <v>1655.877</v>
      </c>
      <c r="AQ2254" s="46">
        <v>0.315</v>
      </c>
      <c r="AR2254" s="46">
        <v>45093.25</v>
      </c>
      <c r="AS2254" s="46">
        <v>170</v>
      </c>
      <c r="AT2254" s="46">
        <v>84500</v>
      </c>
      <c r="AU2254" s="46">
        <v>699904</v>
      </c>
      <c r="AV2254" s="46">
        <v>8.2829999999999995</v>
      </c>
      <c r="AW2254" s="46">
        <v>184</v>
      </c>
      <c r="AX2254" s="46">
        <v>84050</v>
      </c>
      <c r="AY2254" s="46">
        <v>743513.821</v>
      </c>
      <c r="AZ2254" s="46">
        <v>8.8460000000000001</v>
      </c>
      <c r="BA2254" s="46" t="s">
        <v>63</v>
      </c>
      <c r="BB2254" s="46">
        <v>450</v>
      </c>
      <c r="BC2254" s="46">
        <v>43609.821000000004</v>
      </c>
      <c r="BD2254" s="46">
        <v>96.911000000000001</v>
      </c>
      <c r="BE2254" s="46">
        <v>47320.15</v>
      </c>
      <c r="BF2254" s="46">
        <v>0</v>
      </c>
      <c r="BH2254" s="46">
        <v>41953.944000000098</v>
      </c>
      <c r="BI2254">
        <v>8.74</v>
      </c>
      <c r="BJ2254">
        <v>41953.944000000003</v>
      </c>
      <c r="BK2254">
        <v>8.74</v>
      </c>
      <c r="BL2254">
        <v>5165.32</v>
      </c>
    </row>
    <row r="2255" spans="1:64" x14ac:dyDescent="0.25">
      <c r="A2255" s="136">
        <v>43138</v>
      </c>
      <c r="B2255" s="201" t="s">
        <v>78</v>
      </c>
      <c r="C2255" t="s">
        <v>142</v>
      </c>
      <c r="D2255">
        <v>2600</v>
      </c>
      <c r="E2255">
        <v>2600</v>
      </c>
      <c r="F2255">
        <v>9.1549999999999994</v>
      </c>
      <c r="G2255">
        <v>-1677.13</v>
      </c>
      <c r="H2255">
        <v>-7.04</v>
      </c>
      <c r="I2255" s="309">
        <v>22126</v>
      </c>
      <c r="J2255">
        <v>8.51</v>
      </c>
      <c r="K2255" s="133">
        <v>4.7686180363461998E-2</v>
      </c>
      <c r="L2255" s="181">
        <v>26</v>
      </c>
      <c r="M2255" s="133">
        <v>5.1300748006640702E-2</v>
      </c>
      <c r="N2255" s="73">
        <v>-1495.1320000000001</v>
      </c>
      <c r="O2255" s="73">
        <v>-174.17067995337999</v>
      </c>
      <c r="P2255" s="182">
        <v>3</v>
      </c>
      <c r="Q2255" s="182">
        <v>1500</v>
      </c>
      <c r="R2255" s="46">
        <v>8.8330000000000002</v>
      </c>
      <c r="S2255" s="46">
        <v>0</v>
      </c>
      <c r="T2255" s="46">
        <v>0</v>
      </c>
      <c r="U2255" s="46">
        <v>0</v>
      </c>
      <c r="V2255" s="46" t="s">
        <v>62</v>
      </c>
      <c r="W2255" s="46">
        <v>1500</v>
      </c>
      <c r="X2255" s="46">
        <v>8.8330000000000002</v>
      </c>
      <c r="AF2255" s="46">
        <v>8</v>
      </c>
      <c r="AG2255" s="46">
        <v>4000</v>
      </c>
      <c r="AH2255" s="46">
        <v>40600</v>
      </c>
      <c r="AI2255" s="46">
        <v>10.15</v>
      </c>
      <c r="AJ2255" s="46">
        <v>8</v>
      </c>
      <c r="AK2255" s="46">
        <v>2900</v>
      </c>
      <c r="AL2255" s="46">
        <v>30061.867999999999</v>
      </c>
      <c r="AM2255" s="46">
        <v>10.366</v>
      </c>
      <c r="AN2255" s="46" t="s">
        <v>63</v>
      </c>
      <c r="AO2255" s="46">
        <v>1100</v>
      </c>
      <c r="AP2255" s="46">
        <v>10538.132</v>
      </c>
      <c r="AQ2255" s="46">
        <v>9.58</v>
      </c>
      <c r="AR2255" s="46">
        <v>626.4</v>
      </c>
      <c r="AS2255" s="46">
        <v>11</v>
      </c>
      <c r="AT2255" s="46">
        <v>5500</v>
      </c>
      <c r="AU2255" s="46">
        <v>53865</v>
      </c>
      <c r="AV2255" s="46">
        <v>9.7940000000000005</v>
      </c>
      <c r="AW2255" s="46">
        <v>8</v>
      </c>
      <c r="AX2255" s="46">
        <v>2900</v>
      </c>
      <c r="AY2255" s="46">
        <v>30061.867999999999</v>
      </c>
      <c r="AZ2255" s="46">
        <v>10.366</v>
      </c>
      <c r="BA2255" s="46" t="s">
        <v>63</v>
      </c>
      <c r="BB2255" s="46">
        <v>2600</v>
      </c>
      <c r="BC2255" s="46">
        <v>23803.132000000001</v>
      </c>
      <c r="BD2255" s="46">
        <v>9.1549999999999994</v>
      </c>
      <c r="BE2255" s="46">
        <v>1658.8</v>
      </c>
      <c r="BF2255" s="46">
        <v>13265</v>
      </c>
      <c r="BG2255" s="46">
        <v>8.84</v>
      </c>
      <c r="BH2255" s="46">
        <v>0</v>
      </c>
      <c r="BJ2255">
        <v>13265</v>
      </c>
      <c r="BK2255">
        <v>8.84</v>
      </c>
      <c r="BL2255">
        <v>73.61</v>
      </c>
    </row>
    <row r="2256" spans="1:64" x14ac:dyDescent="0.25">
      <c r="A2256" s="136">
        <v>43138</v>
      </c>
      <c r="B2256" s="201" t="s">
        <v>72</v>
      </c>
      <c r="C2256" t="s">
        <v>130</v>
      </c>
      <c r="D2256">
        <v>4500</v>
      </c>
      <c r="E2256">
        <v>4000</v>
      </c>
      <c r="F2256">
        <v>6.694</v>
      </c>
      <c r="G2256">
        <v>-4157.45</v>
      </c>
      <c r="H2256">
        <v>-13.8</v>
      </c>
      <c r="I2256" s="309">
        <v>25965</v>
      </c>
      <c r="J2256">
        <v>5.77</v>
      </c>
      <c r="K2256" s="133">
        <v>5.5960032230737103E-2</v>
      </c>
      <c r="L2256" s="181">
        <v>205</v>
      </c>
      <c r="M2256" s="133">
        <v>6.4920210778693199E-2</v>
      </c>
      <c r="N2256" s="73">
        <v>-30354.164000000001</v>
      </c>
      <c r="O2256" s="73">
        <v>-738.31830834782295</v>
      </c>
      <c r="P2256" s="182">
        <v>0</v>
      </c>
      <c r="Q2256" s="182">
        <v>0</v>
      </c>
      <c r="R2256" s="46">
        <v>0</v>
      </c>
      <c r="S2256" s="46">
        <v>8</v>
      </c>
      <c r="T2256" s="46">
        <v>3200</v>
      </c>
      <c r="U2256" s="46">
        <v>8.0549999999999997</v>
      </c>
      <c r="V2256" s="46" t="s">
        <v>68</v>
      </c>
      <c r="W2256" s="46">
        <v>3200</v>
      </c>
      <c r="X2256" s="46">
        <v>8.0549999999999997</v>
      </c>
      <c r="AF2256" s="46">
        <v>32</v>
      </c>
      <c r="AG2256" s="46">
        <v>15900</v>
      </c>
      <c r="AH2256" s="46">
        <v>121142</v>
      </c>
      <c r="AI2256" s="46">
        <v>7.6189999999999998</v>
      </c>
      <c r="AJ2256" s="46">
        <v>32</v>
      </c>
      <c r="AK2256" s="46">
        <v>14800</v>
      </c>
      <c r="AL2256" s="46">
        <v>66041.797000000006</v>
      </c>
      <c r="AM2256" s="46">
        <v>4.4619999999999997</v>
      </c>
      <c r="AN2256" s="46" t="s">
        <v>63</v>
      </c>
      <c r="AO2256" s="46">
        <v>1100</v>
      </c>
      <c r="AP2256" s="46">
        <v>55100.203000000001</v>
      </c>
      <c r="AQ2256" s="46">
        <v>50.091000000000001</v>
      </c>
      <c r="AR2256" s="46">
        <v>-46723.6</v>
      </c>
      <c r="AS2256" s="46">
        <v>32</v>
      </c>
      <c r="AT2256" s="46">
        <v>15900</v>
      </c>
      <c r="AU2256" s="46">
        <v>121142</v>
      </c>
      <c r="AV2256" s="46">
        <v>7.6189999999999998</v>
      </c>
      <c r="AW2256" s="46">
        <v>41</v>
      </c>
      <c r="AX2256" s="46">
        <v>18500</v>
      </c>
      <c r="AY2256" s="46">
        <v>91752.020999999993</v>
      </c>
      <c r="AZ2256" s="46">
        <v>4.96</v>
      </c>
      <c r="BA2256" s="46" t="s">
        <v>69</v>
      </c>
      <c r="BB2256" s="46">
        <v>2600</v>
      </c>
      <c r="BC2256" s="46">
        <v>29389.978999999999</v>
      </c>
      <c r="BD2256" s="46">
        <v>11.304</v>
      </c>
      <c r="BE2256" s="46">
        <v>-42278.1</v>
      </c>
      <c r="BF2256" s="46">
        <v>0</v>
      </c>
      <c r="BH2256" s="46">
        <v>25710.223999999998</v>
      </c>
      <c r="BI2256">
        <v>8.0299999999999994</v>
      </c>
      <c r="BJ2256">
        <v>-25710.223999999998</v>
      </c>
      <c r="BK2256">
        <v>-8.0299999999999994</v>
      </c>
      <c r="BL2256">
        <v>-8097.68</v>
      </c>
    </row>
    <row r="2257" spans="1:64" x14ac:dyDescent="0.25">
      <c r="A2257" s="136">
        <v>43138</v>
      </c>
      <c r="B2257" s="201" t="s">
        <v>70</v>
      </c>
      <c r="C2257" t="s">
        <v>131</v>
      </c>
      <c r="D2257">
        <v>14100</v>
      </c>
      <c r="E2257">
        <v>13100</v>
      </c>
      <c r="F2257">
        <v>11.212</v>
      </c>
      <c r="G2257">
        <v>-45142.03</v>
      </c>
      <c r="H2257">
        <v>-28.56</v>
      </c>
      <c r="I2257" s="309">
        <v>112941</v>
      </c>
      <c r="J2257">
        <v>8.01</v>
      </c>
      <c r="K2257" s="133">
        <v>0.24341159253501601</v>
      </c>
      <c r="L2257" s="181">
        <v>-856</v>
      </c>
      <c r="M2257" s="133">
        <v>0.34070215497525902</v>
      </c>
      <c r="N2257" s="73">
        <v>-46128.025999999998</v>
      </c>
      <c r="O2257" s="73">
        <v>-5806.6702754408097</v>
      </c>
      <c r="P2257" s="182">
        <v>4</v>
      </c>
      <c r="Q2257" s="182">
        <v>2500</v>
      </c>
      <c r="R2257" s="46">
        <v>8.2639999999999993</v>
      </c>
      <c r="S2257" s="46">
        <v>1</v>
      </c>
      <c r="T2257" s="46">
        <v>400</v>
      </c>
      <c r="U2257" s="46">
        <v>8.43</v>
      </c>
      <c r="V2257" s="46" t="s">
        <v>62</v>
      </c>
      <c r="W2257" s="46">
        <v>2100</v>
      </c>
      <c r="X2257" s="46">
        <v>8.2319999999999993</v>
      </c>
      <c r="AF2257" s="46">
        <v>128</v>
      </c>
      <c r="AG2257" s="46">
        <v>64600</v>
      </c>
      <c r="AH2257" s="46">
        <v>861448</v>
      </c>
      <c r="AI2257" s="46">
        <v>13.335000000000001</v>
      </c>
      <c r="AJ2257" s="46">
        <v>131</v>
      </c>
      <c r="AK2257" s="46">
        <v>52600</v>
      </c>
      <c r="AL2257" s="46">
        <v>720277.34600000002</v>
      </c>
      <c r="AM2257" s="46">
        <v>13.693</v>
      </c>
      <c r="AN2257" s="46" t="s">
        <v>63</v>
      </c>
      <c r="AO2257" s="46">
        <v>12000</v>
      </c>
      <c r="AP2257" s="46">
        <v>141170.65400000001</v>
      </c>
      <c r="AQ2257" s="46">
        <v>11.763999999999999</v>
      </c>
      <c r="AR2257" s="46">
        <v>18830.8</v>
      </c>
      <c r="AS2257" s="46">
        <v>132</v>
      </c>
      <c r="AT2257" s="46">
        <v>67100</v>
      </c>
      <c r="AU2257" s="46">
        <v>882128</v>
      </c>
      <c r="AV2257" s="46">
        <v>13.146000000000001</v>
      </c>
      <c r="AW2257" s="46">
        <v>133</v>
      </c>
      <c r="AX2257" s="46">
        <v>53000</v>
      </c>
      <c r="AY2257" s="46">
        <v>724045.97400000005</v>
      </c>
      <c r="AZ2257" s="46">
        <v>13.661</v>
      </c>
      <c r="BA2257" s="46" t="s">
        <v>63</v>
      </c>
      <c r="BB2257" s="46">
        <v>14100</v>
      </c>
      <c r="BC2257" s="46">
        <v>158082.02600000001</v>
      </c>
      <c r="BD2257" s="46">
        <v>11.211</v>
      </c>
      <c r="BE2257" s="46">
        <v>27295</v>
      </c>
      <c r="BF2257" s="46">
        <v>20680</v>
      </c>
      <c r="BG2257" s="46">
        <v>8.27</v>
      </c>
      <c r="BH2257" s="46">
        <v>3768.6280000000302</v>
      </c>
      <c r="BI2257">
        <v>9.42</v>
      </c>
      <c r="BJ2257">
        <v>16911.371999999999</v>
      </c>
      <c r="BK2257">
        <v>8.0500000000000007</v>
      </c>
      <c r="BL2257">
        <v>2350.91</v>
      </c>
    </row>
    <row r="2258" spans="1:64" x14ac:dyDescent="0.25">
      <c r="A2258" s="136">
        <v>43138</v>
      </c>
      <c r="B2258" s="201" t="s">
        <v>137</v>
      </c>
      <c r="C2258" t="s">
        <v>138</v>
      </c>
      <c r="D2258">
        <v>100</v>
      </c>
      <c r="E2258">
        <v>100</v>
      </c>
      <c r="F2258">
        <v>-130.48500000000001</v>
      </c>
      <c r="G2258">
        <v>15866.5</v>
      </c>
      <c r="H2258">
        <v>0</v>
      </c>
      <c r="I2258" s="309">
        <v>2818</v>
      </c>
      <c r="J2258">
        <v>28.18</v>
      </c>
      <c r="K2258" s="133">
        <v>6.0733822771506796E-3</v>
      </c>
      <c r="L2258" s="181">
        <v>85</v>
      </c>
      <c r="M2258" s="133">
        <v>0</v>
      </c>
    </row>
    <row r="2259" spans="1:64" x14ac:dyDescent="0.25">
      <c r="A2259" s="136">
        <v>43138</v>
      </c>
      <c r="B2259" s="201" t="s">
        <v>835</v>
      </c>
      <c r="C2259" t="s">
        <v>839</v>
      </c>
      <c r="I2259" s="309">
        <v>9972.2000000000007</v>
      </c>
      <c r="K2259" s="133">
        <v>2.14921869212924E-2</v>
      </c>
      <c r="L2259" s="181">
        <v>0</v>
      </c>
      <c r="M2259" s="133">
        <v>0.124705568655761</v>
      </c>
    </row>
    <row r="2260" spans="1:64" x14ac:dyDescent="0.25">
      <c r="A2260" s="136">
        <v>43139</v>
      </c>
      <c r="B2260" s="201" t="s">
        <v>132</v>
      </c>
      <c r="C2260" t="s">
        <v>123</v>
      </c>
      <c r="D2260">
        <v>6789475</v>
      </c>
      <c r="E2260">
        <v>4789475</v>
      </c>
      <c r="F2260">
        <v>0.01</v>
      </c>
      <c r="G2260">
        <v>3022.31</v>
      </c>
      <c r="H2260">
        <v>0</v>
      </c>
      <c r="I2260" s="309">
        <v>67894.75</v>
      </c>
      <c r="J2260">
        <v>0.01</v>
      </c>
      <c r="K2260" s="133">
        <v>0.14483024721149801</v>
      </c>
      <c r="L2260" s="181">
        <v>4.5799999999999299</v>
      </c>
      <c r="M2260" s="133">
        <v>0</v>
      </c>
    </row>
    <row r="2261" spans="1:64" x14ac:dyDescent="0.25">
      <c r="A2261" s="136">
        <v>43139</v>
      </c>
      <c r="B2261" s="201" t="s">
        <v>61</v>
      </c>
      <c r="C2261" t="s">
        <v>136</v>
      </c>
      <c r="D2261">
        <v>2300</v>
      </c>
      <c r="E2261">
        <v>2300</v>
      </c>
      <c r="F2261">
        <v>5.2679999999999998</v>
      </c>
      <c r="G2261">
        <v>-362.84</v>
      </c>
      <c r="H2261">
        <v>-3</v>
      </c>
      <c r="I2261" s="309">
        <v>11753</v>
      </c>
      <c r="J2261">
        <v>5.1100000000000003</v>
      </c>
      <c r="K2261" s="133">
        <v>2.50710091056634E-2</v>
      </c>
      <c r="L2261" s="181">
        <v>-46</v>
      </c>
      <c r="M2261" s="133">
        <v>2.58450042510645E-2</v>
      </c>
      <c r="N2261" s="73">
        <v>-137.685000000001</v>
      </c>
      <c r="O2261" s="73">
        <v>-26.413849808061698</v>
      </c>
      <c r="P2261" s="182">
        <v>3</v>
      </c>
      <c r="Q2261" s="182">
        <v>1500</v>
      </c>
      <c r="R2261" s="46">
        <v>5.327</v>
      </c>
      <c r="S2261" s="46">
        <v>0</v>
      </c>
      <c r="T2261" s="46">
        <v>0</v>
      </c>
      <c r="U2261" s="46">
        <v>0</v>
      </c>
      <c r="V2261" s="46" t="s">
        <v>62</v>
      </c>
      <c r="W2261" s="46">
        <v>1500</v>
      </c>
      <c r="X2261" s="46">
        <v>5.327</v>
      </c>
      <c r="AF2261" s="46">
        <v>9</v>
      </c>
      <c r="AG2261" s="46">
        <v>4500</v>
      </c>
      <c r="AH2261" s="46">
        <v>23912.7</v>
      </c>
      <c r="AI2261" s="46">
        <v>5.3140000000000001</v>
      </c>
      <c r="AJ2261" s="46">
        <v>9</v>
      </c>
      <c r="AK2261" s="46">
        <v>3700</v>
      </c>
      <c r="AL2261" s="46">
        <v>19797.915000000001</v>
      </c>
      <c r="AM2261" s="46">
        <v>5.351</v>
      </c>
      <c r="AN2261" s="46" t="s">
        <v>63</v>
      </c>
      <c r="AO2261" s="46">
        <v>800</v>
      </c>
      <c r="AP2261" s="46">
        <v>4114.7849999999999</v>
      </c>
      <c r="AQ2261" s="46">
        <v>5.1429999999999998</v>
      </c>
      <c r="AR2261" s="46">
        <v>136.9</v>
      </c>
      <c r="AS2261" s="46">
        <v>12</v>
      </c>
      <c r="AT2261" s="46">
        <v>6000</v>
      </c>
      <c r="AU2261" s="46">
        <v>31918.6</v>
      </c>
      <c r="AV2261" s="46">
        <v>5.32</v>
      </c>
      <c r="AW2261" s="46">
        <v>9</v>
      </c>
      <c r="AX2261" s="46">
        <v>3700</v>
      </c>
      <c r="AY2261" s="46">
        <v>19797.915000000001</v>
      </c>
      <c r="AZ2261" s="46">
        <v>5.351</v>
      </c>
      <c r="BA2261" s="46" t="s">
        <v>63</v>
      </c>
      <c r="BB2261" s="46">
        <v>2300</v>
      </c>
      <c r="BC2261" s="46">
        <v>12120.684999999999</v>
      </c>
      <c r="BD2261" s="46">
        <v>5.27</v>
      </c>
      <c r="BE2261" s="46">
        <v>114.7</v>
      </c>
      <c r="BF2261" s="46">
        <v>8005.9</v>
      </c>
      <c r="BG2261" s="46">
        <v>5.34</v>
      </c>
      <c r="BH2261" s="46">
        <v>0</v>
      </c>
      <c r="BJ2261">
        <v>8005.9</v>
      </c>
      <c r="BK2261">
        <v>5.34</v>
      </c>
      <c r="BL2261">
        <v>26.79</v>
      </c>
    </row>
    <row r="2262" spans="1:64" x14ac:dyDescent="0.25">
      <c r="A2262" s="136">
        <v>43139</v>
      </c>
      <c r="B2262" s="201" t="s">
        <v>124</v>
      </c>
      <c r="C2262" t="s">
        <v>125</v>
      </c>
      <c r="D2262">
        <v>100</v>
      </c>
      <c r="E2262">
        <v>100</v>
      </c>
      <c r="F2262">
        <v>-53.579000000000001</v>
      </c>
      <c r="G2262">
        <v>6039.9</v>
      </c>
      <c r="H2262">
        <v>0</v>
      </c>
      <c r="I2262" s="309">
        <v>682</v>
      </c>
      <c r="J2262">
        <v>6.82</v>
      </c>
      <c r="K2262" s="133">
        <v>1.4548139377233401E-3</v>
      </c>
      <c r="L2262" s="181">
        <v>-31</v>
      </c>
      <c r="M2262" s="133">
        <v>0</v>
      </c>
    </row>
    <row r="2263" spans="1:64" x14ac:dyDescent="0.25">
      <c r="A2263" s="136">
        <v>43139</v>
      </c>
      <c r="B2263" s="201" t="s">
        <v>71</v>
      </c>
      <c r="C2263" t="s">
        <v>126</v>
      </c>
      <c r="D2263">
        <v>100</v>
      </c>
      <c r="E2263">
        <v>100</v>
      </c>
      <c r="F2263">
        <v>-17.085999999999999</v>
      </c>
      <c r="G2263">
        <v>2433.6</v>
      </c>
      <c r="H2263">
        <v>0</v>
      </c>
      <c r="I2263" s="309">
        <v>725</v>
      </c>
      <c r="J2263">
        <v>7.25</v>
      </c>
      <c r="K2263" s="133">
        <v>1.5465397431809701E-3</v>
      </c>
      <c r="L2263" s="181">
        <v>-50</v>
      </c>
      <c r="M2263" s="133">
        <v>0</v>
      </c>
      <c r="N2263" s="73">
        <v>1703.3019999999999</v>
      </c>
      <c r="O2263" s="73">
        <v>341.114950423729</v>
      </c>
      <c r="P2263" s="182">
        <v>0</v>
      </c>
      <c r="Q2263" s="182">
        <v>0</v>
      </c>
      <c r="R2263" s="46">
        <v>0</v>
      </c>
      <c r="S2263" s="46">
        <v>7</v>
      </c>
      <c r="T2263" s="46">
        <v>2800</v>
      </c>
      <c r="U2263" s="46">
        <v>6.6749999999999998</v>
      </c>
      <c r="V2263" s="46" t="s">
        <v>68</v>
      </c>
      <c r="W2263" s="46">
        <v>2800</v>
      </c>
      <c r="X2263" s="46">
        <v>6.6749999999999998</v>
      </c>
      <c r="AF2263" s="46">
        <v>41</v>
      </c>
      <c r="AG2263" s="46">
        <v>20600</v>
      </c>
      <c r="AH2263" s="46">
        <v>131323.35999999999</v>
      </c>
      <c r="AI2263" s="46">
        <v>6.375</v>
      </c>
      <c r="AJ2263" s="46">
        <v>39</v>
      </c>
      <c r="AK2263" s="46">
        <v>17700</v>
      </c>
      <c r="AL2263" s="46">
        <v>114228.83100000001</v>
      </c>
      <c r="AM2263" s="46">
        <v>6.4539999999999997</v>
      </c>
      <c r="AN2263" s="46" t="s">
        <v>63</v>
      </c>
      <c r="AO2263" s="46">
        <v>2900</v>
      </c>
      <c r="AP2263" s="46">
        <v>17094.528999999999</v>
      </c>
      <c r="AQ2263" s="46">
        <v>5.8949999999999996</v>
      </c>
      <c r="AR2263" s="46">
        <v>1398.3</v>
      </c>
      <c r="AS2263" s="46">
        <v>41</v>
      </c>
      <c r="AT2263" s="46">
        <v>20600</v>
      </c>
      <c r="AU2263" s="46">
        <v>131323.35999999999</v>
      </c>
      <c r="AV2263" s="46">
        <v>6.375</v>
      </c>
      <c r="AW2263" s="46">
        <v>46</v>
      </c>
      <c r="AX2263" s="46">
        <v>20500</v>
      </c>
      <c r="AY2263" s="46">
        <v>132870.462</v>
      </c>
      <c r="AZ2263" s="46">
        <v>6.4809999999999999</v>
      </c>
      <c r="BA2263" s="46" t="s">
        <v>63</v>
      </c>
      <c r="BB2263" s="46">
        <v>100</v>
      </c>
      <c r="BC2263" s="46">
        <v>1547.1020000000001</v>
      </c>
      <c r="BD2263" s="46">
        <v>15.471</v>
      </c>
      <c r="BE2263" s="46">
        <v>2173</v>
      </c>
      <c r="BF2263" s="46">
        <v>0</v>
      </c>
      <c r="BH2263" s="46">
        <v>18641.631000000001</v>
      </c>
      <c r="BI2263">
        <v>6.66</v>
      </c>
      <c r="BJ2263">
        <v>-15547.427</v>
      </c>
      <c r="BK2263">
        <v>-5.55</v>
      </c>
      <c r="BL2263">
        <v>192.87</v>
      </c>
    </row>
    <row r="2264" spans="1:64" x14ac:dyDescent="0.25">
      <c r="A2264" s="136">
        <v>43139</v>
      </c>
      <c r="B2264" s="201" t="s">
        <v>79</v>
      </c>
      <c r="C2264" t="s">
        <v>143</v>
      </c>
      <c r="D2264">
        <v>6200</v>
      </c>
      <c r="E2264">
        <v>6200</v>
      </c>
      <c r="F2264">
        <v>16.262</v>
      </c>
      <c r="G2264">
        <v>-13277.86</v>
      </c>
      <c r="H2264">
        <v>-13.17</v>
      </c>
      <c r="I2264" s="309">
        <v>87544</v>
      </c>
      <c r="J2264">
        <v>14.12</v>
      </c>
      <c r="K2264" s="133">
        <v>0.186745207278669</v>
      </c>
      <c r="L2264" s="181">
        <v>1240</v>
      </c>
      <c r="M2264" s="133">
        <v>0.21506898409852099</v>
      </c>
      <c r="N2264" s="73">
        <v>-14149.1760000001</v>
      </c>
      <c r="O2264" s="73">
        <v>-1011.59523690988</v>
      </c>
      <c r="P2264" s="182">
        <v>10</v>
      </c>
      <c r="Q2264" s="182">
        <v>5500</v>
      </c>
      <c r="R2264" s="46">
        <v>16.006</v>
      </c>
      <c r="S2264" s="46">
        <v>0</v>
      </c>
      <c r="T2264" s="46">
        <v>0</v>
      </c>
      <c r="U2264" s="46">
        <v>0</v>
      </c>
      <c r="V2264" s="46" t="s">
        <v>62</v>
      </c>
      <c r="W2264" s="46">
        <v>5500</v>
      </c>
      <c r="X2264" s="46">
        <v>16.006</v>
      </c>
      <c r="AF2264" s="46">
        <v>7</v>
      </c>
      <c r="AG2264" s="46">
        <v>3500</v>
      </c>
      <c r="AH2264" s="46">
        <v>56752.1</v>
      </c>
      <c r="AI2264" s="46">
        <v>16.215</v>
      </c>
      <c r="AJ2264" s="46">
        <v>7</v>
      </c>
      <c r="AK2264" s="46">
        <v>2800</v>
      </c>
      <c r="AL2264" s="46">
        <v>44015.224000000002</v>
      </c>
      <c r="AM2264" s="46">
        <v>15.72</v>
      </c>
      <c r="AN2264" s="46" t="s">
        <v>63</v>
      </c>
      <c r="AO2264" s="46">
        <v>700</v>
      </c>
      <c r="AP2264" s="46">
        <v>12736.876</v>
      </c>
      <c r="AQ2264" s="46">
        <v>18.196000000000002</v>
      </c>
      <c r="AR2264" s="46">
        <v>-1386</v>
      </c>
      <c r="AS2264" s="46">
        <v>17</v>
      </c>
      <c r="AT2264" s="46">
        <v>9000</v>
      </c>
      <c r="AU2264" s="46">
        <v>144840.4</v>
      </c>
      <c r="AV2264" s="46">
        <v>16.093</v>
      </c>
      <c r="AW2264" s="46">
        <v>7</v>
      </c>
      <c r="AX2264" s="46">
        <v>2800</v>
      </c>
      <c r="AY2264" s="46">
        <v>44015.224000000002</v>
      </c>
      <c r="AZ2264" s="46">
        <v>15.72</v>
      </c>
      <c r="BA2264" s="46" t="s">
        <v>63</v>
      </c>
      <c r="BB2264" s="46">
        <v>6200</v>
      </c>
      <c r="BC2264" s="46">
        <v>100825.17600000001</v>
      </c>
      <c r="BD2264" s="46">
        <v>16.262</v>
      </c>
      <c r="BE2264" s="46">
        <v>-1044.4000000000001</v>
      </c>
      <c r="BF2264" s="46">
        <v>88088.3</v>
      </c>
      <c r="BG2264" s="46">
        <v>16.02</v>
      </c>
      <c r="BH2264" s="46">
        <v>0</v>
      </c>
      <c r="BJ2264">
        <v>88088.3</v>
      </c>
      <c r="BK2264">
        <v>16.02</v>
      </c>
      <c r="BL2264">
        <v>-98.16</v>
      </c>
    </row>
    <row r="2265" spans="1:64" x14ac:dyDescent="0.25">
      <c r="A2265" s="136">
        <v>43139</v>
      </c>
      <c r="B2265" s="201" t="s">
        <v>65</v>
      </c>
      <c r="C2265" t="s">
        <v>127</v>
      </c>
      <c r="D2265">
        <v>8100</v>
      </c>
      <c r="E2265">
        <v>8100</v>
      </c>
      <c r="F2265">
        <v>9.0129999999999999</v>
      </c>
      <c r="G2265">
        <v>14149.88</v>
      </c>
      <c r="H2265">
        <v>19.38</v>
      </c>
      <c r="I2265" s="309">
        <v>87156</v>
      </c>
      <c r="J2265">
        <v>10.76</v>
      </c>
      <c r="K2265" s="133">
        <v>0.18591754187128401</v>
      </c>
      <c r="L2265" s="181">
        <v>528.66999999999996</v>
      </c>
      <c r="M2265" s="133">
        <v>0.15573360837991601</v>
      </c>
      <c r="N2265" s="73">
        <v>10434.457</v>
      </c>
      <c r="O2265" s="73">
        <v>1358.1396578716401</v>
      </c>
      <c r="P2265" s="182">
        <v>0</v>
      </c>
      <c r="Q2265" s="182">
        <v>0</v>
      </c>
      <c r="R2265" s="46">
        <v>0</v>
      </c>
      <c r="S2265" s="46">
        <v>20</v>
      </c>
      <c r="T2265" s="46">
        <v>8600</v>
      </c>
      <c r="U2265" s="46">
        <v>12.231999999999999</v>
      </c>
      <c r="V2265" s="46" t="s">
        <v>68</v>
      </c>
      <c r="W2265" s="46">
        <v>8600</v>
      </c>
      <c r="X2265" s="46">
        <v>12.231999999999999</v>
      </c>
      <c r="AF2265" s="46">
        <v>158</v>
      </c>
      <c r="AG2265" s="46">
        <v>84900</v>
      </c>
      <c r="AH2265" s="46">
        <v>991296.23100000003</v>
      </c>
      <c r="AI2265" s="46">
        <v>11.676</v>
      </c>
      <c r="AJ2265" s="46">
        <v>178</v>
      </c>
      <c r="AK2265" s="46">
        <v>77400</v>
      </c>
      <c r="AL2265" s="46">
        <v>812463.88199999998</v>
      </c>
      <c r="AM2265" s="46">
        <v>10.497</v>
      </c>
      <c r="AN2265" s="46" t="s">
        <v>63</v>
      </c>
      <c r="AO2265" s="46">
        <v>7500</v>
      </c>
      <c r="AP2265" s="46">
        <v>178832.34899999999</v>
      </c>
      <c r="AQ2265" s="46">
        <v>23.844000000000001</v>
      </c>
      <c r="AR2265" s="46">
        <v>-91254.6</v>
      </c>
      <c r="AS2265" s="46">
        <v>159</v>
      </c>
      <c r="AT2265" s="46">
        <v>85000</v>
      </c>
      <c r="AU2265" s="46">
        <v>992584.23100000003</v>
      </c>
      <c r="AV2265" s="46">
        <v>11.677</v>
      </c>
      <c r="AW2265" s="46">
        <v>198</v>
      </c>
      <c r="AX2265" s="46">
        <v>86000</v>
      </c>
      <c r="AY2265" s="46">
        <v>917454.68599999999</v>
      </c>
      <c r="AZ2265" s="46">
        <v>10.667999999999999</v>
      </c>
      <c r="BA2265" s="46" t="s">
        <v>69</v>
      </c>
      <c r="BB2265" s="46">
        <v>1000</v>
      </c>
      <c r="BC2265" s="46">
        <v>75129.544999999998</v>
      </c>
      <c r="BD2265" s="46">
        <v>75.13</v>
      </c>
      <c r="BE2265" s="46">
        <v>-85765</v>
      </c>
      <c r="BF2265" s="46">
        <v>1288</v>
      </c>
      <c r="BH2265" s="46">
        <v>104990.804</v>
      </c>
      <c r="BI2265">
        <v>12.21</v>
      </c>
      <c r="BJ2265">
        <v>-103702.804</v>
      </c>
      <c r="BK2265">
        <v>-12.06</v>
      </c>
      <c r="BL2265">
        <v>-8480.91</v>
      </c>
    </row>
    <row r="2266" spans="1:64" x14ac:dyDescent="0.25">
      <c r="A2266" s="136">
        <v>43139</v>
      </c>
      <c r="B2266" s="201" t="s">
        <v>77</v>
      </c>
      <c r="C2266" t="s">
        <v>128</v>
      </c>
      <c r="D2266">
        <v>4300</v>
      </c>
      <c r="E2266">
        <v>4300</v>
      </c>
      <c r="F2266">
        <v>5.9779999999999998</v>
      </c>
      <c r="G2266">
        <v>-595.27</v>
      </c>
      <c r="H2266">
        <v>-2.31</v>
      </c>
      <c r="I2266" s="309">
        <v>25112</v>
      </c>
      <c r="J2266">
        <v>5.84</v>
      </c>
      <c r="K2266" s="133">
        <v>5.3567870387255898E-2</v>
      </c>
      <c r="L2266" s="181">
        <v>0</v>
      </c>
      <c r="M2266" s="133">
        <v>5.4837675508529499E-2</v>
      </c>
      <c r="N2266" s="73">
        <v>-1272.2139999999999</v>
      </c>
      <c r="O2266" s="73">
        <v>-133.073774655173</v>
      </c>
      <c r="P2266" s="182">
        <v>6</v>
      </c>
      <c r="Q2266" s="182">
        <v>3000</v>
      </c>
      <c r="R2266" s="46">
        <v>6.798</v>
      </c>
      <c r="S2266" s="46">
        <v>0</v>
      </c>
      <c r="T2266" s="46">
        <v>0</v>
      </c>
      <c r="U2266" s="46">
        <v>0</v>
      </c>
      <c r="V2266" s="46" t="s">
        <v>62</v>
      </c>
      <c r="W2266" s="46">
        <v>3000</v>
      </c>
      <c r="X2266" s="46">
        <v>6.798</v>
      </c>
      <c r="AF2266" s="46">
        <v>39</v>
      </c>
      <c r="AG2266" s="46">
        <v>19500</v>
      </c>
      <c r="AH2266" s="46">
        <v>142169</v>
      </c>
      <c r="AI2266" s="46">
        <v>7.2910000000000004</v>
      </c>
      <c r="AJ2266" s="46">
        <v>39</v>
      </c>
      <c r="AK2266" s="46">
        <v>18200</v>
      </c>
      <c r="AL2266" s="46">
        <v>136881.78599999999</v>
      </c>
      <c r="AM2266" s="46">
        <v>7.5209999999999999</v>
      </c>
      <c r="AN2266" s="46" t="s">
        <v>63</v>
      </c>
      <c r="AO2266" s="46">
        <v>1300</v>
      </c>
      <c r="AP2266" s="46">
        <v>5287.2139999999999</v>
      </c>
      <c r="AQ2266" s="46">
        <v>4.0670000000000002</v>
      </c>
      <c r="AR2266" s="46">
        <v>4186</v>
      </c>
      <c r="AS2266" s="46">
        <v>45</v>
      </c>
      <c r="AT2266" s="46">
        <v>22500</v>
      </c>
      <c r="AU2266" s="46">
        <v>162594</v>
      </c>
      <c r="AV2266" s="46">
        <v>7.226</v>
      </c>
      <c r="AW2266" s="46">
        <v>39</v>
      </c>
      <c r="AX2266" s="46">
        <v>18200</v>
      </c>
      <c r="AY2266" s="46">
        <v>136881.78599999999</v>
      </c>
      <c r="AZ2266" s="46">
        <v>7.5209999999999999</v>
      </c>
      <c r="BA2266" s="46" t="s">
        <v>63</v>
      </c>
      <c r="BB2266" s="46">
        <v>4300</v>
      </c>
      <c r="BC2266" s="46">
        <v>25712.214</v>
      </c>
      <c r="BD2266" s="46">
        <v>5.98</v>
      </c>
      <c r="BE2266" s="46">
        <v>5369</v>
      </c>
      <c r="BF2266" s="46">
        <v>20425</v>
      </c>
      <c r="BG2266" s="46">
        <v>6.81</v>
      </c>
      <c r="BH2266" s="46">
        <v>0</v>
      </c>
      <c r="BJ2266">
        <v>20425</v>
      </c>
      <c r="BK2266">
        <v>6.81</v>
      </c>
      <c r="BL2266">
        <v>716.78</v>
      </c>
    </row>
    <row r="2267" spans="1:64" x14ac:dyDescent="0.25">
      <c r="A2267" s="136">
        <v>43139</v>
      </c>
      <c r="B2267" s="201" t="s">
        <v>67</v>
      </c>
      <c r="C2267" t="s">
        <v>129</v>
      </c>
      <c r="D2267">
        <v>2250</v>
      </c>
      <c r="E2267">
        <v>2250</v>
      </c>
      <c r="F2267">
        <v>8.1690000000000005</v>
      </c>
      <c r="G2267">
        <v>1913.83</v>
      </c>
      <c r="H2267">
        <v>10.42</v>
      </c>
      <c r="I2267" s="309">
        <v>20295</v>
      </c>
      <c r="J2267">
        <v>9.02</v>
      </c>
      <c r="K2267" s="133">
        <v>4.3292447017734902E-2</v>
      </c>
      <c r="L2267" s="181">
        <v>803.35</v>
      </c>
      <c r="M2267" s="133">
        <v>3.9209944732642402E-2</v>
      </c>
      <c r="N2267" s="73">
        <v>1889.05299999977</v>
      </c>
      <c r="O2267" s="73">
        <v>209.55698928965299</v>
      </c>
      <c r="P2267" s="182">
        <v>0</v>
      </c>
      <c r="Q2267" s="182">
        <v>0</v>
      </c>
      <c r="R2267" s="46">
        <v>0</v>
      </c>
      <c r="S2267" s="46">
        <v>14</v>
      </c>
      <c r="T2267" s="46">
        <v>5600</v>
      </c>
      <c r="U2267" s="46">
        <v>8.7870000000000008</v>
      </c>
      <c r="V2267" s="46" t="s">
        <v>68</v>
      </c>
      <c r="W2267" s="46">
        <v>5600</v>
      </c>
      <c r="X2267" s="46">
        <v>8.7870000000000008</v>
      </c>
      <c r="AF2267" s="46">
        <v>170</v>
      </c>
      <c r="AG2267" s="46">
        <v>84500</v>
      </c>
      <c r="AH2267" s="46">
        <v>699904</v>
      </c>
      <c r="AI2267" s="46">
        <v>8.2829999999999995</v>
      </c>
      <c r="AJ2267" s="46">
        <v>172</v>
      </c>
      <c r="AK2267" s="46">
        <v>79250</v>
      </c>
      <c r="AL2267" s="46">
        <v>701559.87699999998</v>
      </c>
      <c r="AM2267" s="46">
        <v>8.8520000000000003</v>
      </c>
      <c r="AN2267" s="46" t="s">
        <v>63</v>
      </c>
      <c r="AO2267" s="46">
        <v>5250</v>
      </c>
      <c r="AP2267" s="46">
        <v>1655.877</v>
      </c>
      <c r="AQ2267" s="46">
        <v>0.315</v>
      </c>
      <c r="AR2267" s="46">
        <v>45093.25</v>
      </c>
      <c r="AS2267" s="46">
        <v>170</v>
      </c>
      <c r="AT2267" s="46">
        <v>84500</v>
      </c>
      <c r="AU2267" s="46">
        <v>699904</v>
      </c>
      <c r="AV2267" s="46">
        <v>8.2829999999999995</v>
      </c>
      <c r="AW2267" s="46">
        <v>186</v>
      </c>
      <c r="AX2267" s="46">
        <v>84850</v>
      </c>
      <c r="AY2267" s="46">
        <v>750648.66899999999</v>
      </c>
      <c r="AZ2267" s="46">
        <v>8.8469999999999995</v>
      </c>
      <c r="BA2267" s="46" t="s">
        <v>69</v>
      </c>
      <c r="BB2267" s="46">
        <v>350</v>
      </c>
      <c r="BC2267" s="46">
        <v>50744.669000000002</v>
      </c>
      <c r="BD2267" s="46">
        <v>144.98500000000001</v>
      </c>
      <c r="BE2267" s="46">
        <v>47658</v>
      </c>
      <c r="BF2267" s="46">
        <v>0</v>
      </c>
      <c r="BH2267" s="46">
        <v>49088.792000000103</v>
      </c>
      <c r="BI2267">
        <v>8.77</v>
      </c>
      <c r="BJ2267">
        <v>49088.792000000001</v>
      </c>
      <c r="BK2267">
        <v>8.77</v>
      </c>
      <c r="BL2267">
        <v>4999.25</v>
      </c>
    </row>
    <row r="2268" spans="1:64" x14ac:dyDescent="0.25">
      <c r="A2268" s="136">
        <v>43139</v>
      </c>
      <c r="B2268" s="201" t="s">
        <v>78</v>
      </c>
      <c r="C2268" t="s">
        <v>142</v>
      </c>
      <c r="D2268">
        <v>2600</v>
      </c>
      <c r="E2268">
        <v>2600</v>
      </c>
      <c r="F2268">
        <v>9.1549999999999994</v>
      </c>
      <c r="G2268">
        <v>-1521.13</v>
      </c>
      <c r="H2268">
        <v>-6.39</v>
      </c>
      <c r="I2268" s="309">
        <v>22282</v>
      </c>
      <c r="J2268">
        <v>8.57</v>
      </c>
      <c r="K2268" s="133">
        <v>4.7531032493184001E-2</v>
      </c>
      <c r="L2268" s="181">
        <v>156</v>
      </c>
      <c r="M2268" s="133">
        <v>5.0775843527038997E-2</v>
      </c>
      <c r="N2268" s="73">
        <v>-1495.1320000000001</v>
      </c>
      <c r="O2268" s="73">
        <v>-174.17067995337999</v>
      </c>
      <c r="P2268" s="182">
        <v>3</v>
      </c>
      <c r="Q2268" s="182">
        <v>1500</v>
      </c>
      <c r="R2268" s="46">
        <v>8.8330000000000002</v>
      </c>
      <c r="S2268" s="46">
        <v>0</v>
      </c>
      <c r="T2268" s="46">
        <v>0</v>
      </c>
      <c r="U2268" s="46">
        <v>0</v>
      </c>
      <c r="V2268" s="46" t="s">
        <v>62</v>
      </c>
      <c r="W2268" s="46">
        <v>1500</v>
      </c>
      <c r="X2268" s="46">
        <v>8.8330000000000002</v>
      </c>
      <c r="AF2268" s="46">
        <v>8</v>
      </c>
      <c r="AG2268" s="46">
        <v>4000</v>
      </c>
      <c r="AH2268" s="46">
        <v>40600</v>
      </c>
      <c r="AI2268" s="46">
        <v>10.15</v>
      </c>
      <c r="AJ2268" s="46">
        <v>8</v>
      </c>
      <c r="AK2268" s="46">
        <v>2900</v>
      </c>
      <c r="AL2268" s="46">
        <v>30061.867999999999</v>
      </c>
      <c r="AM2268" s="46">
        <v>10.366</v>
      </c>
      <c r="AN2268" s="46" t="s">
        <v>63</v>
      </c>
      <c r="AO2268" s="46">
        <v>1100</v>
      </c>
      <c r="AP2268" s="46">
        <v>10538.132</v>
      </c>
      <c r="AQ2268" s="46">
        <v>9.58</v>
      </c>
      <c r="AR2268" s="46">
        <v>626.4</v>
      </c>
      <c r="AS2268" s="46">
        <v>11</v>
      </c>
      <c r="AT2268" s="46">
        <v>5500</v>
      </c>
      <c r="AU2268" s="46">
        <v>53865</v>
      </c>
      <c r="AV2268" s="46">
        <v>9.7940000000000005</v>
      </c>
      <c r="AW2268" s="46">
        <v>8</v>
      </c>
      <c r="AX2268" s="46">
        <v>2900</v>
      </c>
      <c r="AY2268" s="46">
        <v>30061.867999999999</v>
      </c>
      <c r="AZ2268" s="46">
        <v>10.366</v>
      </c>
      <c r="BA2268" s="46" t="s">
        <v>63</v>
      </c>
      <c r="BB2268" s="46">
        <v>2600</v>
      </c>
      <c r="BC2268" s="46">
        <v>23803.132000000001</v>
      </c>
      <c r="BD2268" s="46">
        <v>9.1549999999999994</v>
      </c>
      <c r="BE2268" s="46">
        <v>1658.8</v>
      </c>
      <c r="BF2268" s="46">
        <v>13265</v>
      </c>
      <c r="BG2268" s="46">
        <v>8.84</v>
      </c>
      <c r="BH2268" s="46">
        <v>0</v>
      </c>
      <c r="BJ2268">
        <v>13265</v>
      </c>
      <c r="BK2268">
        <v>8.84</v>
      </c>
      <c r="BL2268">
        <v>73.09</v>
      </c>
    </row>
    <row r="2269" spans="1:64" x14ac:dyDescent="0.25">
      <c r="A2269" s="136">
        <v>43139</v>
      </c>
      <c r="B2269" s="201" t="s">
        <v>72</v>
      </c>
      <c r="C2269" t="s">
        <v>130</v>
      </c>
      <c r="D2269">
        <v>4500</v>
      </c>
      <c r="E2269">
        <v>4500</v>
      </c>
      <c r="F2269">
        <v>6.694</v>
      </c>
      <c r="G2269">
        <v>-3707.45</v>
      </c>
      <c r="H2269">
        <v>-12.31</v>
      </c>
      <c r="I2269" s="309">
        <v>26415</v>
      </c>
      <c r="J2269">
        <v>5.87</v>
      </c>
      <c r="K2269" s="133">
        <v>5.6347375608448699E-2</v>
      </c>
      <c r="L2269" s="181">
        <v>450</v>
      </c>
      <c r="M2269" s="133">
        <v>6.4255953223422896E-2</v>
      </c>
      <c r="N2269" s="73">
        <v>-30354.164000000001</v>
      </c>
      <c r="O2269" s="73">
        <v>-738.31830834782295</v>
      </c>
      <c r="P2269" s="182">
        <v>0</v>
      </c>
      <c r="Q2269" s="182">
        <v>0</v>
      </c>
      <c r="R2269" s="46">
        <v>0</v>
      </c>
      <c r="S2269" s="46">
        <v>8</v>
      </c>
      <c r="T2269" s="46">
        <v>3200</v>
      </c>
      <c r="U2269" s="46">
        <v>8.0549999999999997</v>
      </c>
      <c r="V2269" s="46" t="s">
        <v>68</v>
      </c>
      <c r="W2269" s="46">
        <v>3200</v>
      </c>
      <c r="X2269" s="46">
        <v>8.0549999999999997</v>
      </c>
      <c r="AF2269" s="46">
        <v>32</v>
      </c>
      <c r="AG2269" s="46">
        <v>15900</v>
      </c>
      <c r="AH2269" s="46">
        <v>121142</v>
      </c>
      <c r="AI2269" s="46">
        <v>7.6189999999999998</v>
      </c>
      <c r="AJ2269" s="46">
        <v>32</v>
      </c>
      <c r="AK2269" s="46">
        <v>14800</v>
      </c>
      <c r="AL2269" s="46">
        <v>66041.797000000006</v>
      </c>
      <c r="AM2269" s="46">
        <v>4.4619999999999997</v>
      </c>
      <c r="AN2269" s="46" t="s">
        <v>63</v>
      </c>
      <c r="AO2269" s="46">
        <v>1100</v>
      </c>
      <c r="AP2269" s="46">
        <v>55100.203000000001</v>
      </c>
      <c r="AQ2269" s="46">
        <v>50.091000000000001</v>
      </c>
      <c r="AR2269" s="46">
        <v>-46723.6</v>
      </c>
      <c r="AS2269" s="46">
        <v>32</v>
      </c>
      <c r="AT2269" s="46">
        <v>15900</v>
      </c>
      <c r="AU2269" s="46">
        <v>121142</v>
      </c>
      <c r="AV2269" s="46">
        <v>7.6189999999999998</v>
      </c>
      <c r="AW2269" s="46">
        <v>41</v>
      </c>
      <c r="AX2269" s="46">
        <v>18500</v>
      </c>
      <c r="AY2269" s="46">
        <v>91752.020999999993</v>
      </c>
      <c r="AZ2269" s="46">
        <v>4.96</v>
      </c>
      <c r="BA2269" s="46" t="s">
        <v>69</v>
      </c>
      <c r="BB2269" s="46">
        <v>2600</v>
      </c>
      <c r="BC2269" s="46">
        <v>29389.978999999999</v>
      </c>
      <c r="BD2269" s="46">
        <v>11.304</v>
      </c>
      <c r="BE2269" s="46">
        <v>-42278.1</v>
      </c>
      <c r="BF2269" s="46">
        <v>0</v>
      </c>
      <c r="BH2269" s="46">
        <v>25710.223999999998</v>
      </c>
      <c r="BI2269">
        <v>8.0299999999999994</v>
      </c>
      <c r="BJ2269">
        <v>-25710.223999999998</v>
      </c>
      <c r="BK2269">
        <v>-8.0299999999999994</v>
      </c>
      <c r="BL2269">
        <v>-7959.73</v>
      </c>
    </row>
    <row r="2270" spans="1:64" x14ac:dyDescent="0.25">
      <c r="A2270" s="136">
        <v>43139</v>
      </c>
      <c r="B2270" s="201" t="s">
        <v>70</v>
      </c>
      <c r="C2270" t="s">
        <v>131</v>
      </c>
      <c r="D2270">
        <v>14100</v>
      </c>
      <c r="E2270">
        <v>14100</v>
      </c>
      <c r="F2270">
        <v>11.212</v>
      </c>
      <c r="G2270">
        <v>-43450.03</v>
      </c>
      <c r="H2270">
        <v>-27.49</v>
      </c>
      <c r="I2270" s="309">
        <v>114633</v>
      </c>
      <c r="J2270">
        <v>8.1300000000000008</v>
      </c>
      <c r="K2270" s="133">
        <v>0.24453033155870901</v>
      </c>
      <c r="L2270" s="181">
        <v>1692</v>
      </c>
      <c r="M2270" s="133">
        <v>0.33721612223099301</v>
      </c>
      <c r="N2270" s="73">
        <v>-46128.025999999998</v>
      </c>
      <c r="O2270" s="73">
        <v>-5806.6702754408097</v>
      </c>
      <c r="P2270" s="182">
        <v>4</v>
      </c>
      <c r="Q2270" s="182">
        <v>2500</v>
      </c>
      <c r="R2270" s="46">
        <v>8.2639999999999993</v>
      </c>
      <c r="S2270" s="46">
        <v>1</v>
      </c>
      <c r="T2270" s="46">
        <v>400</v>
      </c>
      <c r="U2270" s="46">
        <v>8.43</v>
      </c>
      <c r="V2270" s="46" t="s">
        <v>62</v>
      </c>
      <c r="W2270" s="46">
        <v>2100</v>
      </c>
      <c r="X2270" s="46">
        <v>8.2319999999999993</v>
      </c>
      <c r="AF2270" s="46">
        <v>128</v>
      </c>
      <c r="AG2270" s="46">
        <v>64600</v>
      </c>
      <c r="AH2270" s="46">
        <v>861448</v>
      </c>
      <c r="AI2270" s="46">
        <v>13.335000000000001</v>
      </c>
      <c r="AJ2270" s="46">
        <v>131</v>
      </c>
      <c r="AK2270" s="46">
        <v>52600</v>
      </c>
      <c r="AL2270" s="46">
        <v>720277.34600000002</v>
      </c>
      <c r="AM2270" s="46">
        <v>13.693</v>
      </c>
      <c r="AN2270" s="46" t="s">
        <v>63</v>
      </c>
      <c r="AO2270" s="46">
        <v>12000</v>
      </c>
      <c r="AP2270" s="46">
        <v>141170.65400000001</v>
      </c>
      <c r="AQ2270" s="46">
        <v>11.763999999999999</v>
      </c>
      <c r="AR2270" s="46">
        <v>18830.8</v>
      </c>
      <c r="AS2270" s="46">
        <v>132</v>
      </c>
      <c r="AT2270" s="46">
        <v>67100</v>
      </c>
      <c r="AU2270" s="46">
        <v>882128</v>
      </c>
      <c r="AV2270" s="46">
        <v>13.146000000000001</v>
      </c>
      <c r="AW2270" s="46">
        <v>133</v>
      </c>
      <c r="AX2270" s="46">
        <v>53000</v>
      </c>
      <c r="AY2270" s="46">
        <v>724045.97400000005</v>
      </c>
      <c r="AZ2270" s="46">
        <v>13.661</v>
      </c>
      <c r="BA2270" s="46" t="s">
        <v>63</v>
      </c>
      <c r="BB2270" s="46">
        <v>14100</v>
      </c>
      <c r="BC2270" s="46">
        <v>158082.02600000001</v>
      </c>
      <c r="BD2270" s="46">
        <v>11.211</v>
      </c>
      <c r="BE2270" s="46">
        <v>27295</v>
      </c>
      <c r="BF2270" s="46">
        <v>20680</v>
      </c>
      <c r="BG2270" s="46">
        <v>8.27</v>
      </c>
      <c r="BH2270" s="46">
        <v>3768.6280000000302</v>
      </c>
      <c r="BI2270">
        <v>9.42</v>
      </c>
      <c r="BJ2270">
        <v>16911.371999999999</v>
      </c>
      <c r="BK2270">
        <v>8.0500000000000007</v>
      </c>
      <c r="BL2270">
        <v>2316.21</v>
      </c>
    </row>
    <row r="2271" spans="1:64" x14ac:dyDescent="0.25">
      <c r="A2271" s="136">
        <v>43139</v>
      </c>
      <c r="B2271" s="201" t="s">
        <v>137</v>
      </c>
      <c r="C2271" t="s">
        <v>138</v>
      </c>
      <c r="D2271">
        <v>100</v>
      </c>
      <c r="E2271">
        <v>100</v>
      </c>
      <c r="F2271">
        <v>-130.48500000000001</v>
      </c>
      <c r="G2271">
        <v>15915.5</v>
      </c>
      <c r="H2271">
        <v>0</v>
      </c>
      <c r="I2271" s="309">
        <v>2867</v>
      </c>
      <c r="J2271">
        <v>28.67</v>
      </c>
      <c r="K2271" s="133">
        <v>6.1157647499308198E-3</v>
      </c>
      <c r="L2271" s="181">
        <v>49</v>
      </c>
      <c r="M2271" s="133">
        <v>0</v>
      </c>
    </row>
    <row r="2272" spans="1:64" x14ac:dyDescent="0.25">
      <c r="A2272" s="136">
        <v>43139</v>
      </c>
      <c r="B2272" s="201" t="s">
        <v>835</v>
      </c>
      <c r="C2272" t="s">
        <v>839</v>
      </c>
      <c r="I2272" s="309">
        <v>1429.72</v>
      </c>
      <c r="K2272" s="133">
        <v>3.0498190367182001E-3</v>
      </c>
      <c r="L2272" s="181">
        <v>0</v>
      </c>
      <c r="M2272" s="133">
        <v>0.14788006624821601</v>
      </c>
    </row>
    <row r="2273" spans="1:64" x14ac:dyDescent="0.25">
      <c r="A2273" s="136">
        <v>43142</v>
      </c>
      <c r="B2273" s="201" t="s">
        <v>132</v>
      </c>
      <c r="C2273" t="s">
        <v>123</v>
      </c>
      <c r="D2273">
        <v>2590664</v>
      </c>
      <c r="E2273">
        <v>2590664</v>
      </c>
      <c r="F2273">
        <v>8.9999999999999993E-3</v>
      </c>
      <c r="G2273">
        <v>3034.2</v>
      </c>
      <c r="H2273">
        <v>11.11</v>
      </c>
      <c r="I2273" s="309">
        <v>25906.639999999999</v>
      </c>
      <c r="J2273">
        <v>0.01</v>
      </c>
      <c r="K2273" s="133">
        <v>5.5571538705416298E-2</v>
      </c>
      <c r="L2273" s="181">
        <v>11.889999999999899</v>
      </c>
      <c r="M2273" s="133">
        <v>0</v>
      </c>
    </row>
    <row r="2274" spans="1:64" x14ac:dyDescent="0.25">
      <c r="A2274" s="136">
        <v>43142</v>
      </c>
      <c r="B2274" s="201" t="s">
        <v>61</v>
      </c>
      <c r="C2274" t="s">
        <v>136</v>
      </c>
      <c r="D2274">
        <v>2800</v>
      </c>
      <c r="E2274">
        <v>2800</v>
      </c>
      <c r="F2274">
        <v>5.2069999999999999</v>
      </c>
      <c r="G2274">
        <v>-832.89</v>
      </c>
      <c r="H2274">
        <v>-5.7</v>
      </c>
      <c r="I2274" s="309">
        <v>13748</v>
      </c>
      <c r="J2274">
        <v>4.91</v>
      </c>
      <c r="K2274" s="133">
        <v>2.94904130416783E-2</v>
      </c>
      <c r="L2274" s="181">
        <v>-470.05</v>
      </c>
      <c r="M2274" s="133">
        <v>3.1277019829449797E-2</v>
      </c>
      <c r="N2274" s="73">
        <v>-809.98500000000104</v>
      </c>
      <c r="O2274" s="73">
        <v>-164.54878201219501</v>
      </c>
      <c r="P2274" s="182">
        <v>4</v>
      </c>
      <c r="Q2274" s="182">
        <v>2000</v>
      </c>
      <c r="R2274" s="46">
        <v>5.2249999999999996</v>
      </c>
      <c r="S2274" s="46">
        <v>0</v>
      </c>
      <c r="T2274" s="46">
        <v>0</v>
      </c>
      <c r="U2274" s="46">
        <v>0</v>
      </c>
      <c r="V2274" s="46" t="s">
        <v>62</v>
      </c>
      <c r="W2274" s="46">
        <v>2000</v>
      </c>
      <c r="X2274" s="46">
        <v>5.2249999999999996</v>
      </c>
      <c r="AF2274" s="46">
        <v>9</v>
      </c>
      <c r="AG2274" s="46">
        <v>4500</v>
      </c>
      <c r="AH2274" s="46">
        <v>23912.7</v>
      </c>
      <c r="AI2274" s="46">
        <v>5.3140000000000001</v>
      </c>
      <c r="AJ2274" s="46">
        <v>9</v>
      </c>
      <c r="AK2274" s="46">
        <v>3700</v>
      </c>
      <c r="AL2274" s="46">
        <v>19797.915000000001</v>
      </c>
      <c r="AM2274" s="46">
        <v>5.351</v>
      </c>
      <c r="AN2274" s="46" t="s">
        <v>63</v>
      </c>
      <c r="AO2274" s="46">
        <v>800</v>
      </c>
      <c r="AP2274" s="46">
        <v>4114.7849999999999</v>
      </c>
      <c r="AQ2274" s="46">
        <v>5.1429999999999998</v>
      </c>
      <c r="AR2274" s="46">
        <v>136.9</v>
      </c>
      <c r="AS2274" s="46">
        <v>13</v>
      </c>
      <c r="AT2274" s="46">
        <v>6500</v>
      </c>
      <c r="AU2274" s="46">
        <v>34383.9</v>
      </c>
      <c r="AV2274" s="46">
        <v>5.29</v>
      </c>
      <c r="AW2274" s="46">
        <v>9</v>
      </c>
      <c r="AX2274" s="46">
        <v>3700</v>
      </c>
      <c r="AY2274" s="46">
        <v>19797.915000000001</v>
      </c>
      <c r="AZ2274" s="46">
        <v>5.351</v>
      </c>
      <c r="BA2274" s="46" t="s">
        <v>63</v>
      </c>
      <c r="BB2274" s="46">
        <v>2800</v>
      </c>
      <c r="BC2274" s="46">
        <v>14585.985000000001</v>
      </c>
      <c r="BD2274" s="46">
        <v>5.2089999999999996</v>
      </c>
      <c r="BE2274" s="46">
        <v>225.7</v>
      </c>
      <c r="BF2274" s="46">
        <v>10471.200000000001</v>
      </c>
      <c r="BG2274" s="46">
        <v>5.24</v>
      </c>
      <c r="BH2274" s="46">
        <v>0</v>
      </c>
      <c r="BJ2274">
        <v>10471.200000000001</v>
      </c>
      <c r="BK2274">
        <v>5.24</v>
      </c>
      <c r="BL2274">
        <v>27.88</v>
      </c>
    </row>
    <row r="2275" spans="1:64" x14ac:dyDescent="0.25">
      <c r="A2275" s="136">
        <v>43142</v>
      </c>
      <c r="B2275" s="201" t="s">
        <v>124</v>
      </c>
      <c r="C2275" t="s">
        <v>125</v>
      </c>
      <c r="D2275">
        <v>100</v>
      </c>
      <c r="E2275">
        <v>100</v>
      </c>
      <c r="F2275">
        <v>-53.579000000000001</v>
      </c>
      <c r="G2275">
        <v>6025.9</v>
      </c>
      <c r="H2275">
        <v>0</v>
      </c>
      <c r="I2275" s="309">
        <v>668</v>
      </c>
      <c r="J2275">
        <v>6.68</v>
      </c>
      <c r="K2275" s="133">
        <v>1.4329063072331301E-3</v>
      </c>
      <c r="L2275" s="181">
        <v>-14</v>
      </c>
      <c r="M2275" s="133">
        <v>0</v>
      </c>
    </row>
    <row r="2276" spans="1:64" x14ac:dyDescent="0.25">
      <c r="A2276" s="136">
        <v>43142</v>
      </c>
      <c r="B2276" s="201" t="s">
        <v>71</v>
      </c>
      <c r="C2276" t="s">
        <v>126</v>
      </c>
      <c r="D2276">
        <v>100</v>
      </c>
      <c r="E2276">
        <v>100</v>
      </c>
      <c r="F2276">
        <v>-17.085999999999999</v>
      </c>
      <c r="G2276">
        <v>2398.6</v>
      </c>
      <c r="H2276">
        <v>0</v>
      </c>
      <c r="I2276" s="309">
        <v>690</v>
      </c>
      <c r="J2276">
        <v>6.9</v>
      </c>
      <c r="K2276" s="133">
        <v>1.4800978323216501E-3</v>
      </c>
      <c r="L2276" s="181">
        <v>-35</v>
      </c>
      <c r="M2276" s="133">
        <v>0</v>
      </c>
      <c r="N2276" s="73">
        <v>1703.3019999999999</v>
      </c>
      <c r="O2276" s="73">
        <v>341.114950423729</v>
      </c>
      <c r="P2276" s="182">
        <v>0</v>
      </c>
      <c r="Q2276" s="182">
        <v>0</v>
      </c>
      <c r="R2276" s="46">
        <v>0</v>
      </c>
      <c r="S2276" s="46">
        <v>7</v>
      </c>
      <c r="T2276" s="46">
        <v>2800</v>
      </c>
      <c r="U2276" s="46">
        <v>6.6749999999999998</v>
      </c>
      <c r="V2276" s="46" t="s">
        <v>68</v>
      </c>
      <c r="W2276" s="46">
        <v>2800</v>
      </c>
      <c r="X2276" s="46">
        <v>6.6749999999999998</v>
      </c>
      <c r="AF2276" s="46">
        <v>41</v>
      </c>
      <c r="AG2276" s="46">
        <v>20600</v>
      </c>
      <c r="AH2276" s="46">
        <v>131323.35999999999</v>
      </c>
      <c r="AI2276" s="46">
        <v>6.375</v>
      </c>
      <c r="AJ2276" s="46">
        <v>39</v>
      </c>
      <c r="AK2276" s="46">
        <v>17700</v>
      </c>
      <c r="AL2276" s="46">
        <v>114228.83100000001</v>
      </c>
      <c r="AM2276" s="46">
        <v>6.4539999999999997</v>
      </c>
      <c r="AN2276" s="46" t="s">
        <v>63</v>
      </c>
      <c r="AO2276" s="46">
        <v>2900</v>
      </c>
      <c r="AP2276" s="46">
        <v>17094.528999999999</v>
      </c>
      <c r="AQ2276" s="46">
        <v>5.8949999999999996</v>
      </c>
      <c r="AR2276" s="46">
        <v>1398.3</v>
      </c>
      <c r="AS2276" s="46">
        <v>41</v>
      </c>
      <c r="AT2276" s="46">
        <v>20600</v>
      </c>
      <c r="AU2276" s="46">
        <v>131323.35999999999</v>
      </c>
      <c r="AV2276" s="46">
        <v>6.375</v>
      </c>
      <c r="AW2276" s="46">
        <v>46</v>
      </c>
      <c r="AX2276" s="46">
        <v>20500</v>
      </c>
      <c r="AY2276" s="46">
        <v>132870.462</v>
      </c>
      <c r="AZ2276" s="46">
        <v>6.4809999999999999</v>
      </c>
      <c r="BA2276" s="46" t="s">
        <v>63</v>
      </c>
      <c r="BB2276" s="46">
        <v>100</v>
      </c>
      <c r="BC2276" s="46">
        <v>1547.1020000000001</v>
      </c>
      <c r="BD2276" s="46">
        <v>15.471</v>
      </c>
      <c r="BE2276" s="46">
        <v>2173</v>
      </c>
      <c r="BF2276" s="46">
        <v>0</v>
      </c>
      <c r="BH2276" s="46">
        <v>18641.631000000001</v>
      </c>
      <c r="BI2276">
        <v>6.66</v>
      </c>
      <c r="BJ2276">
        <v>-15547.427</v>
      </c>
      <c r="BK2276">
        <v>-5.55</v>
      </c>
      <c r="BL2276">
        <v>202.65</v>
      </c>
    </row>
    <row r="2277" spans="1:64" x14ac:dyDescent="0.25">
      <c r="A2277" s="136">
        <v>43142</v>
      </c>
      <c r="B2277" s="201" t="s">
        <v>79</v>
      </c>
      <c r="C2277" t="s">
        <v>143</v>
      </c>
      <c r="D2277">
        <v>6200</v>
      </c>
      <c r="E2277">
        <v>6200</v>
      </c>
      <c r="F2277">
        <v>16.262</v>
      </c>
      <c r="G2277">
        <v>-15261.86</v>
      </c>
      <c r="H2277">
        <v>-15.14</v>
      </c>
      <c r="I2277" s="309">
        <v>85560</v>
      </c>
      <c r="J2277">
        <v>13.8</v>
      </c>
      <c r="K2277" s="133">
        <v>0.183532131207884</v>
      </c>
      <c r="L2277" s="181">
        <v>-1984</v>
      </c>
      <c r="M2277" s="133">
        <v>0.21626987889367599</v>
      </c>
      <c r="N2277" s="73">
        <v>-14149.1760000001</v>
      </c>
      <c r="O2277" s="73">
        <v>-1011.59523690988</v>
      </c>
      <c r="P2277" s="182">
        <v>10</v>
      </c>
      <c r="Q2277" s="182">
        <v>5500</v>
      </c>
      <c r="R2277" s="46">
        <v>16.006</v>
      </c>
      <c r="S2277" s="46">
        <v>0</v>
      </c>
      <c r="T2277" s="46">
        <v>0</v>
      </c>
      <c r="U2277" s="46">
        <v>0</v>
      </c>
      <c r="V2277" s="46" t="s">
        <v>62</v>
      </c>
      <c r="W2277" s="46">
        <v>5500</v>
      </c>
      <c r="X2277" s="46">
        <v>16.006</v>
      </c>
      <c r="AF2277" s="46">
        <v>7</v>
      </c>
      <c r="AG2277" s="46">
        <v>3500</v>
      </c>
      <c r="AH2277" s="46">
        <v>56752.1</v>
      </c>
      <c r="AI2277" s="46">
        <v>16.215</v>
      </c>
      <c r="AJ2277" s="46">
        <v>7</v>
      </c>
      <c r="AK2277" s="46">
        <v>2800</v>
      </c>
      <c r="AL2277" s="46">
        <v>44015.224000000002</v>
      </c>
      <c r="AM2277" s="46">
        <v>15.72</v>
      </c>
      <c r="AN2277" s="46" t="s">
        <v>63</v>
      </c>
      <c r="AO2277" s="46">
        <v>700</v>
      </c>
      <c r="AP2277" s="46">
        <v>12736.876</v>
      </c>
      <c r="AQ2277" s="46">
        <v>18.196000000000002</v>
      </c>
      <c r="AR2277" s="46">
        <v>-1386</v>
      </c>
      <c r="AS2277" s="46">
        <v>17</v>
      </c>
      <c r="AT2277" s="46">
        <v>9000</v>
      </c>
      <c r="AU2277" s="46">
        <v>144840.4</v>
      </c>
      <c r="AV2277" s="46">
        <v>16.093</v>
      </c>
      <c r="AW2277" s="46">
        <v>7</v>
      </c>
      <c r="AX2277" s="46">
        <v>2800</v>
      </c>
      <c r="AY2277" s="46">
        <v>44015.224000000002</v>
      </c>
      <c r="AZ2277" s="46">
        <v>15.72</v>
      </c>
      <c r="BA2277" s="46" t="s">
        <v>63</v>
      </c>
      <c r="BB2277" s="46">
        <v>6200</v>
      </c>
      <c r="BC2277" s="46">
        <v>100825.17600000001</v>
      </c>
      <c r="BD2277" s="46">
        <v>16.262</v>
      </c>
      <c r="BE2277" s="46">
        <v>-1044.4000000000001</v>
      </c>
      <c r="BF2277" s="46">
        <v>88088.3</v>
      </c>
      <c r="BG2277" s="46">
        <v>16.02</v>
      </c>
      <c r="BH2277" s="46">
        <v>0</v>
      </c>
      <c r="BJ2277">
        <v>88088.3</v>
      </c>
      <c r="BK2277">
        <v>16.02</v>
      </c>
      <c r="BL2277">
        <v>-100.43</v>
      </c>
    </row>
    <row r="2278" spans="1:64" x14ac:dyDescent="0.25">
      <c r="A2278" s="136">
        <v>43142</v>
      </c>
      <c r="B2278" s="201" t="s">
        <v>65</v>
      </c>
      <c r="C2278" t="s">
        <v>127</v>
      </c>
      <c r="D2278">
        <v>9800</v>
      </c>
      <c r="E2278">
        <v>9800</v>
      </c>
      <c r="F2278">
        <v>9.2140000000000004</v>
      </c>
      <c r="G2278">
        <v>12304.84</v>
      </c>
      <c r="H2278">
        <v>13.63</v>
      </c>
      <c r="I2278" s="309">
        <v>102606</v>
      </c>
      <c r="J2278">
        <v>10.47</v>
      </c>
      <c r="K2278" s="133">
        <v>0.22009698287419599</v>
      </c>
      <c r="L2278" s="181">
        <v>-1845.04</v>
      </c>
      <c r="M2278" s="133">
        <v>0.193702248075551</v>
      </c>
      <c r="N2278" s="73">
        <v>4396.4169999999604</v>
      </c>
      <c r="O2278" s="73">
        <v>858.77539749998402</v>
      </c>
      <c r="P2278" s="182">
        <v>0</v>
      </c>
      <c r="Q2278" s="182">
        <v>0</v>
      </c>
      <c r="R2278" s="46">
        <v>0</v>
      </c>
      <c r="S2278" s="46">
        <v>16</v>
      </c>
      <c r="T2278" s="46">
        <v>6800</v>
      </c>
      <c r="U2278" s="46">
        <v>12.255000000000001</v>
      </c>
      <c r="V2278" s="46" t="s">
        <v>68</v>
      </c>
      <c r="W2278" s="46">
        <v>6800</v>
      </c>
      <c r="X2278" s="46">
        <v>12.255000000000001</v>
      </c>
      <c r="AF2278" s="46">
        <v>163</v>
      </c>
      <c r="AG2278" s="46">
        <v>87000</v>
      </c>
      <c r="AH2278" s="46">
        <v>1012622.231</v>
      </c>
      <c r="AI2278" s="46">
        <v>11.638999999999999</v>
      </c>
      <c r="AJ2278" s="46">
        <v>183</v>
      </c>
      <c r="AK2278" s="46">
        <v>79600</v>
      </c>
      <c r="AL2278" s="46">
        <v>838317.97699999996</v>
      </c>
      <c r="AM2278" s="46">
        <v>10.532</v>
      </c>
      <c r="AN2278" s="46" t="s">
        <v>63</v>
      </c>
      <c r="AO2278" s="46">
        <v>7400</v>
      </c>
      <c r="AP2278" s="46">
        <v>174304.25399999999</v>
      </c>
      <c r="AQ2278" s="46">
        <v>23.555</v>
      </c>
      <c r="AR2278" s="46">
        <v>-88117.2</v>
      </c>
      <c r="AS2278" s="46">
        <v>164</v>
      </c>
      <c r="AT2278" s="46">
        <v>87100</v>
      </c>
      <c r="AU2278" s="46">
        <v>1013910.231</v>
      </c>
      <c r="AV2278" s="46">
        <v>11.641</v>
      </c>
      <c r="AW2278" s="46">
        <v>199</v>
      </c>
      <c r="AX2278" s="46">
        <v>86400</v>
      </c>
      <c r="AY2278" s="46">
        <v>921485.64599999995</v>
      </c>
      <c r="AZ2278" s="46">
        <v>10.664999999999999</v>
      </c>
      <c r="BA2278" s="46" t="s">
        <v>63</v>
      </c>
      <c r="BB2278" s="46">
        <v>700</v>
      </c>
      <c r="BC2278" s="46">
        <v>92424.585000000006</v>
      </c>
      <c r="BD2278" s="46">
        <v>132.035</v>
      </c>
      <c r="BE2278" s="46">
        <v>-84326.399999999994</v>
      </c>
      <c r="BF2278" s="46">
        <v>1288</v>
      </c>
      <c r="BH2278" s="46">
        <v>83167.668999999994</v>
      </c>
      <c r="BI2278">
        <v>12.23</v>
      </c>
      <c r="BJ2278">
        <v>-81879.668999999994</v>
      </c>
      <c r="BK2278">
        <v>-12.04</v>
      </c>
      <c r="BL2278">
        <v>-8416.16</v>
      </c>
    </row>
    <row r="2279" spans="1:64" x14ac:dyDescent="0.25">
      <c r="A2279" s="136">
        <v>43142</v>
      </c>
      <c r="B2279" s="201" t="s">
        <v>77</v>
      </c>
      <c r="C2279" t="s">
        <v>128</v>
      </c>
      <c r="D2279">
        <v>4300</v>
      </c>
      <c r="E2279">
        <v>4300</v>
      </c>
      <c r="F2279">
        <v>5.9779999999999998</v>
      </c>
      <c r="G2279">
        <v>-595.27</v>
      </c>
      <c r="H2279">
        <v>-2.31</v>
      </c>
      <c r="I2279" s="309">
        <v>25112</v>
      </c>
      <c r="J2279">
        <v>5.84</v>
      </c>
      <c r="K2279" s="133">
        <v>5.3866980819219097E-2</v>
      </c>
      <c r="L2279" s="181">
        <v>0</v>
      </c>
      <c r="M2279" s="133">
        <v>5.5143876234648302E-2</v>
      </c>
      <c r="N2279" s="73">
        <v>-1272.2139999999999</v>
      </c>
      <c r="O2279" s="73">
        <v>-133.073774655173</v>
      </c>
      <c r="P2279" s="182">
        <v>6</v>
      </c>
      <c r="Q2279" s="182">
        <v>3000</v>
      </c>
      <c r="R2279" s="46">
        <v>6.798</v>
      </c>
      <c r="S2279" s="46">
        <v>0</v>
      </c>
      <c r="T2279" s="46">
        <v>0</v>
      </c>
      <c r="U2279" s="46">
        <v>0</v>
      </c>
      <c r="V2279" s="46" t="s">
        <v>62</v>
      </c>
      <c r="W2279" s="46">
        <v>3000</v>
      </c>
      <c r="X2279" s="46">
        <v>6.798</v>
      </c>
      <c r="AF2279" s="46">
        <v>39</v>
      </c>
      <c r="AG2279" s="46">
        <v>19500</v>
      </c>
      <c r="AH2279" s="46">
        <v>142169</v>
      </c>
      <c r="AI2279" s="46">
        <v>7.2910000000000004</v>
      </c>
      <c r="AJ2279" s="46">
        <v>39</v>
      </c>
      <c r="AK2279" s="46">
        <v>18200</v>
      </c>
      <c r="AL2279" s="46">
        <v>136881.78599999999</v>
      </c>
      <c r="AM2279" s="46">
        <v>7.5209999999999999</v>
      </c>
      <c r="AN2279" s="46" t="s">
        <v>63</v>
      </c>
      <c r="AO2279" s="46">
        <v>1300</v>
      </c>
      <c r="AP2279" s="46">
        <v>5287.2139999999999</v>
      </c>
      <c r="AQ2279" s="46">
        <v>4.0670000000000002</v>
      </c>
      <c r="AR2279" s="46">
        <v>4186</v>
      </c>
      <c r="AS2279" s="46">
        <v>45</v>
      </c>
      <c r="AT2279" s="46">
        <v>22500</v>
      </c>
      <c r="AU2279" s="46">
        <v>162594</v>
      </c>
      <c r="AV2279" s="46">
        <v>7.226</v>
      </c>
      <c r="AW2279" s="46">
        <v>39</v>
      </c>
      <c r="AX2279" s="46">
        <v>18200</v>
      </c>
      <c r="AY2279" s="46">
        <v>136881.78599999999</v>
      </c>
      <c r="AZ2279" s="46">
        <v>7.5209999999999999</v>
      </c>
      <c r="BA2279" s="46" t="s">
        <v>63</v>
      </c>
      <c r="BB2279" s="46">
        <v>4300</v>
      </c>
      <c r="BC2279" s="46">
        <v>25712.214</v>
      </c>
      <c r="BD2279" s="46">
        <v>5.98</v>
      </c>
      <c r="BE2279" s="46">
        <v>5369</v>
      </c>
      <c r="BF2279" s="46">
        <v>20425</v>
      </c>
      <c r="BG2279" s="46">
        <v>6.81</v>
      </c>
      <c r="BH2279" s="46">
        <v>0</v>
      </c>
      <c r="BJ2279">
        <v>20425</v>
      </c>
      <c r="BK2279">
        <v>6.81</v>
      </c>
      <c r="BL2279">
        <v>716.78</v>
      </c>
    </row>
    <row r="2280" spans="1:64" x14ac:dyDescent="0.25">
      <c r="A2280" s="136">
        <v>43142</v>
      </c>
      <c r="B2280" s="201" t="s">
        <v>67</v>
      </c>
      <c r="C2280" t="s">
        <v>129</v>
      </c>
      <c r="D2280">
        <v>2950</v>
      </c>
      <c r="E2280">
        <v>2950</v>
      </c>
      <c r="F2280">
        <v>8.2170000000000005</v>
      </c>
      <c r="G2280">
        <v>1749.38</v>
      </c>
      <c r="H2280">
        <v>7.22</v>
      </c>
      <c r="I2280" s="309">
        <v>25989.5</v>
      </c>
      <c r="J2280">
        <v>8.81</v>
      </c>
      <c r="K2280" s="133">
        <v>5.5749279149454302E-2</v>
      </c>
      <c r="L2280" s="181">
        <v>-164.45</v>
      </c>
      <c r="M2280" s="133">
        <v>5.1996737778574803E-2</v>
      </c>
      <c r="N2280" s="73">
        <v>626.10499999976298</v>
      </c>
      <c r="O2280" s="73">
        <v>74.233920225358702</v>
      </c>
      <c r="P2280" s="182">
        <v>0</v>
      </c>
      <c r="Q2280" s="182">
        <v>0</v>
      </c>
      <c r="R2280" s="46">
        <v>0</v>
      </c>
      <c r="S2280" s="46">
        <v>13</v>
      </c>
      <c r="T2280" s="46">
        <v>5200</v>
      </c>
      <c r="U2280" s="46">
        <v>8.7899999999999991</v>
      </c>
      <c r="V2280" s="46" t="s">
        <v>68</v>
      </c>
      <c r="W2280" s="46">
        <v>5200</v>
      </c>
      <c r="X2280" s="46">
        <v>8.7899999999999991</v>
      </c>
      <c r="AF2280" s="46">
        <v>173</v>
      </c>
      <c r="AG2280" s="46">
        <v>86000</v>
      </c>
      <c r="AH2280" s="46">
        <v>712694</v>
      </c>
      <c r="AI2280" s="46">
        <v>8.2870000000000008</v>
      </c>
      <c r="AJ2280" s="46">
        <v>175</v>
      </c>
      <c r="AK2280" s="46">
        <v>80450</v>
      </c>
      <c r="AL2280" s="46">
        <v>711982.429</v>
      </c>
      <c r="AM2280" s="46">
        <v>8.85</v>
      </c>
      <c r="AN2280" s="46" t="s">
        <v>63</v>
      </c>
      <c r="AO2280" s="46">
        <v>5550</v>
      </c>
      <c r="AP2280" s="46">
        <v>711.57100000000003</v>
      </c>
      <c r="AQ2280" s="46">
        <v>0.128</v>
      </c>
      <c r="AR2280" s="46">
        <v>45293.35</v>
      </c>
      <c r="AS2280" s="46">
        <v>173</v>
      </c>
      <c r="AT2280" s="46">
        <v>86000</v>
      </c>
      <c r="AU2280" s="46">
        <v>712694</v>
      </c>
      <c r="AV2280" s="46">
        <v>8.2870000000000008</v>
      </c>
      <c r="AW2280" s="46">
        <v>188</v>
      </c>
      <c r="AX2280" s="46">
        <v>85650</v>
      </c>
      <c r="AY2280" s="46">
        <v>757579.72100000002</v>
      </c>
      <c r="AZ2280" s="46">
        <v>8.8450000000000006</v>
      </c>
      <c r="BA2280" s="46" t="s">
        <v>63</v>
      </c>
      <c r="BB2280" s="46">
        <v>350</v>
      </c>
      <c r="BC2280" s="46">
        <v>44885.720999999998</v>
      </c>
      <c r="BD2280" s="46">
        <v>128.245</v>
      </c>
      <c r="BE2280" s="46">
        <v>47792.7</v>
      </c>
      <c r="BF2280" s="46">
        <v>0</v>
      </c>
      <c r="BH2280" s="46">
        <v>45597.292000000001</v>
      </c>
      <c r="BI2280">
        <v>8.77</v>
      </c>
      <c r="BJ2280">
        <v>44174.15</v>
      </c>
      <c r="BK2280">
        <v>8.5</v>
      </c>
      <c r="BL2280">
        <v>5141.13</v>
      </c>
    </row>
    <row r="2281" spans="1:64" x14ac:dyDescent="0.25">
      <c r="A2281" s="136">
        <v>43142</v>
      </c>
      <c r="B2281" s="201" t="s">
        <v>78</v>
      </c>
      <c r="C2281" t="s">
        <v>142</v>
      </c>
      <c r="D2281">
        <v>3100</v>
      </c>
      <c r="E2281">
        <v>3100</v>
      </c>
      <c r="F2281">
        <v>9.02</v>
      </c>
      <c r="G2281">
        <v>246.87</v>
      </c>
      <c r="H2281">
        <v>0.89</v>
      </c>
      <c r="I2281" s="309">
        <v>28210</v>
      </c>
      <c r="J2281">
        <v>9.1</v>
      </c>
      <c r="K2281" s="133">
        <v>6.0512405579411101E-2</v>
      </c>
      <c r="L2281" s="181">
        <v>1768</v>
      </c>
      <c r="M2281" s="133">
        <v>5.9982852315838303E-2</v>
      </c>
      <c r="N2281" s="73">
        <v>-2202.1320000000001</v>
      </c>
      <c r="O2281" s="73">
        <v>-264.86533501805098</v>
      </c>
      <c r="P2281" s="182">
        <v>4</v>
      </c>
      <c r="Q2281" s="182">
        <v>2000</v>
      </c>
      <c r="R2281" s="46">
        <v>8.7029999999999994</v>
      </c>
      <c r="S2281" s="46">
        <v>0</v>
      </c>
      <c r="T2281" s="46">
        <v>0</v>
      </c>
      <c r="U2281" s="46">
        <v>0</v>
      </c>
      <c r="V2281" s="46" t="s">
        <v>62</v>
      </c>
      <c r="W2281" s="46">
        <v>2000</v>
      </c>
      <c r="X2281" s="46">
        <v>8.7029999999999994</v>
      </c>
      <c r="AF2281" s="46">
        <v>8</v>
      </c>
      <c r="AG2281" s="46">
        <v>4000</v>
      </c>
      <c r="AH2281" s="46">
        <v>40600</v>
      </c>
      <c r="AI2281" s="46">
        <v>10.15</v>
      </c>
      <c r="AJ2281" s="46">
        <v>8</v>
      </c>
      <c r="AK2281" s="46">
        <v>2900</v>
      </c>
      <c r="AL2281" s="46">
        <v>30061.867999999999</v>
      </c>
      <c r="AM2281" s="46">
        <v>10.366</v>
      </c>
      <c r="AN2281" s="46" t="s">
        <v>63</v>
      </c>
      <c r="AO2281" s="46">
        <v>1100</v>
      </c>
      <c r="AP2281" s="46">
        <v>10538.132</v>
      </c>
      <c r="AQ2281" s="46">
        <v>9.58</v>
      </c>
      <c r="AR2281" s="46">
        <v>626.4</v>
      </c>
      <c r="AS2281" s="46">
        <v>12</v>
      </c>
      <c r="AT2281" s="46">
        <v>6000</v>
      </c>
      <c r="AU2281" s="46">
        <v>58025</v>
      </c>
      <c r="AV2281" s="46">
        <v>9.6709999999999994</v>
      </c>
      <c r="AW2281" s="46">
        <v>8</v>
      </c>
      <c r="AX2281" s="46">
        <v>2900</v>
      </c>
      <c r="AY2281" s="46">
        <v>30061.867999999999</v>
      </c>
      <c r="AZ2281" s="46">
        <v>10.366</v>
      </c>
      <c r="BA2281" s="46" t="s">
        <v>63</v>
      </c>
      <c r="BB2281" s="46">
        <v>3100</v>
      </c>
      <c r="BC2281" s="46">
        <v>27963.132000000001</v>
      </c>
      <c r="BD2281" s="46">
        <v>9.02</v>
      </c>
      <c r="BE2281" s="46">
        <v>2015.5</v>
      </c>
      <c r="BF2281" s="46">
        <v>17425</v>
      </c>
      <c r="BG2281" s="46">
        <v>8.7100000000000009</v>
      </c>
      <c r="BH2281" s="46">
        <v>0</v>
      </c>
      <c r="BJ2281">
        <v>17425</v>
      </c>
      <c r="BK2281">
        <v>8.7100000000000009</v>
      </c>
      <c r="BL2281">
        <v>68.84</v>
      </c>
    </row>
    <row r="2282" spans="1:64" x14ac:dyDescent="0.25">
      <c r="A2282" s="136">
        <v>43142</v>
      </c>
      <c r="B2282" s="201" t="s">
        <v>72</v>
      </c>
      <c r="C2282" t="s">
        <v>130</v>
      </c>
      <c r="D2282">
        <v>4100</v>
      </c>
      <c r="E2282">
        <v>4100</v>
      </c>
      <c r="F2282">
        <v>6.758</v>
      </c>
      <c r="G2282">
        <v>-2695.87</v>
      </c>
      <c r="H2282">
        <v>-9.74</v>
      </c>
      <c r="I2282" s="309">
        <v>25010</v>
      </c>
      <c r="J2282">
        <v>6.1</v>
      </c>
      <c r="K2282" s="133">
        <v>5.36481837483542E-2</v>
      </c>
      <c r="L2282" s="181">
        <v>1011.58</v>
      </c>
      <c r="M2282" s="133">
        <v>5.9431011782007798E-2</v>
      </c>
      <c r="N2282" s="73">
        <v>-27932.588</v>
      </c>
      <c r="O2282" s="73">
        <v>-471.691099174915</v>
      </c>
      <c r="P2282" s="182">
        <v>0</v>
      </c>
      <c r="Q2282" s="182">
        <v>0</v>
      </c>
      <c r="R2282" s="46">
        <v>0</v>
      </c>
      <c r="S2282" s="46">
        <v>9</v>
      </c>
      <c r="T2282" s="46">
        <v>3600</v>
      </c>
      <c r="U2282" s="46">
        <v>7.8330000000000002</v>
      </c>
      <c r="V2282" s="46" t="s">
        <v>68</v>
      </c>
      <c r="W2282" s="46">
        <v>3600</v>
      </c>
      <c r="X2282" s="46">
        <v>7.8330000000000002</v>
      </c>
      <c r="AF2282" s="46">
        <v>32</v>
      </c>
      <c r="AG2282" s="46">
        <v>15900</v>
      </c>
      <c r="AH2282" s="46">
        <v>121142</v>
      </c>
      <c r="AI2282" s="46">
        <v>7.6189999999999998</v>
      </c>
      <c r="AJ2282" s="46">
        <v>32</v>
      </c>
      <c r="AK2282" s="46">
        <v>14800</v>
      </c>
      <c r="AL2282" s="46">
        <v>66041.797000000006</v>
      </c>
      <c r="AM2282" s="46">
        <v>4.4619999999999997</v>
      </c>
      <c r="AN2282" s="46" t="s">
        <v>63</v>
      </c>
      <c r="AO2282" s="46">
        <v>1100</v>
      </c>
      <c r="AP2282" s="46">
        <v>55100.203000000001</v>
      </c>
      <c r="AQ2282" s="46">
        <v>50.091000000000001</v>
      </c>
      <c r="AR2282" s="46">
        <v>-46723.6</v>
      </c>
      <c r="AS2282" s="46">
        <v>32</v>
      </c>
      <c r="AT2282" s="46">
        <v>15900</v>
      </c>
      <c r="AU2282" s="46">
        <v>121142</v>
      </c>
      <c r="AV2282" s="46">
        <v>7.6189999999999998</v>
      </c>
      <c r="AW2282" s="46">
        <v>42</v>
      </c>
      <c r="AX2282" s="46">
        <v>18900</v>
      </c>
      <c r="AY2282" s="46">
        <v>94168.596999999994</v>
      </c>
      <c r="AZ2282" s="46">
        <v>4.9820000000000002</v>
      </c>
      <c r="BA2282" s="46" t="s">
        <v>69</v>
      </c>
      <c r="BB2282" s="46">
        <v>3000</v>
      </c>
      <c r="BC2282" s="46">
        <v>26973.402999999998</v>
      </c>
      <c r="BD2282" s="46">
        <v>8.9909999999999997</v>
      </c>
      <c r="BE2282" s="46">
        <v>-41928.300000000003</v>
      </c>
      <c r="BF2282" s="46">
        <v>0</v>
      </c>
      <c r="BH2282" s="46">
        <v>28126.799999999999</v>
      </c>
      <c r="BI2282">
        <v>7.81</v>
      </c>
      <c r="BJ2282">
        <v>-28126.799999999999</v>
      </c>
      <c r="BK2282">
        <v>-7.81</v>
      </c>
      <c r="BL2282">
        <v>-7659.61</v>
      </c>
    </row>
    <row r="2283" spans="1:64" x14ac:dyDescent="0.25">
      <c r="A2283" s="136">
        <v>43142</v>
      </c>
      <c r="B2283" s="201" t="s">
        <v>70</v>
      </c>
      <c r="C2283" t="s">
        <v>131</v>
      </c>
      <c r="D2283">
        <v>14100</v>
      </c>
      <c r="E2283">
        <v>14100</v>
      </c>
      <c r="F2283">
        <v>11.212</v>
      </c>
      <c r="G2283">
        <v>-44296.03</v>
      </c>
      <c r="H2283">
        <v>-28.02</v>
      </c>
      <c r="I2283" s="309">
        <v>113787</v>
      </c>
      <c r="J2283">
        <v>8.07</v>
      </c>
      <c r="K2283" s="133">
        <v>0.24408100296577301</v>
      </c>
      <c r="L2283" s="181">
        <v>-846</v>
      </c>
      <c r="M2283" s="133">
        <v>0.33909905801425799</v>
      </c>
      <c r="N2283" s="73">
        <v>-46128.025999999998</v>
      </c>
      <c r="O2283" s="73">
        <v>-5806.6702754408097</v>
      </c>
      <c r="P2283" s="182">
        <v>4</v>
      </c>
      <c r="Q2283" s="182">
        <v>2500</v>
      </c>
      <c r="R2283" s="46">
        <v>8.2639999999999993</v>
      </c>
      <c r="S2283" s="46">
        <v>1</v>
      </c>
      <c r="T2283" s="46">
        <v>400</v>
      </c>
      <c r="U2283" s="46">
        <v>8.43</v>
      </c>
      <c r="V2283" s="46" t="s">
        <v>62</v>
      </c>
      <c r="W2283" s="46">
        <v>2100</v>
      </c>
      <c r="X2283" s="46">
        <v>8.2319999999999993</v>
      </c>
      <c r="AF2283" s="46">
        <v>128</v>
      </c>
      <c r="AG2283" s="46">
        <v>64600</v>
      </c>
      <c r="AH2283" s="46">
        <v>861448</v>
      </c>
      <c r="AI2283" s="46">
        <v>13.335000000000001</v>
      </c>
      <c r="AJ2283" s="46">
        <v>131</v>
      </c>
      <c r="AK2283" s="46">
        <v>52600</v>
      </c>
      <c r="AL2283" s="46">
        <v>720277.34600000002</v>
      </c>
      <c r="AM2283" s="46">
        <v>13.693</v>
      </c>
      <c r="AN2283" s="46" t="s">
        <v>63</v>
      </c>
      <c r="AO2283" s="46">
        <v>12000</v>
      </c>
      <c r="AP2283" s="46">
        <v>141170.65400000001</v>
      </c>
      <c r="AQ2283" s="46">
        <v>11.763999999999999</v>
      </c>
      <c r="AR2283" s="46">
        <v>18830.8</v>
      </c>
      <c r="AS2283" s="46">
        <v>132</v>
      </c>
      <c r="AT2283" s="46">
        <v>67100</v>
      </c>
      <c r="AU2283" s="46">
        <v>882128</v>
      </c>
      <c r="AV2283" s="46">
        <v>13.146000000000001</v>
      </c>
      <c r="AW2283" s="46">
        <v>133</v>
      </c>
      <c r="AX2283" s="46">
        <v>53000</v>
      </c>
      <c r="AY2283" s="46">
        <v>724045.97400000005</v>
      </c>
      <c r="AZ2283" s="46">
        <v>13.661</v>
      </c>
      <c r="BA2283" s="46" t="s">
        <v>63</v>
      </c>
      <c r="BB2283" s="46">
        <v>14100</v>
      </c>
      <c r="BC2283" s="46">
        <v>158082.02600000001</v>
      </c>
      <c r="BD2283" s="46">
        <v>11.211</v>
      </c>
      <c r="BE2283" s="46">
        <v>27295</v>
      </c>
      <c r="BF2283" s="46">
        <v>20680</v>
      </c>
      <c r="BG2283" s="46">
        <v>8.27</v>
      </c>
      <c r="BH2283" s="46">
        <v>3768.6280000000302</v>
      </c>
      <c r="BI2283">
        <v>9.42</v>
      </c>
      <c r="BJ2283">
        <v>16911.371999999999</v>
      </c>
      <c r="BK2283">
        <v>8.0500000000000007</v>
      </c>
      <c r="BL2283">
        <v>2333.4299999999998</v>
      </c>
    </row>
    <row r="2284" spans="1:64" x14ac:dyDescent="0.25">
      <c r="A2284" s="136">
        <v>43142</v>
      </c>
      <c r="B2284" s="201" t="s">
        <v>137</v>
      </c>
      <c r="C2284" t="s">
        <v>138</v>
      </c>
      <c r="D2284">
        <v>100</v>
      </c>
      <c r="E2284">
        <v>100</v>
      </c>
      <c r="F2284">
        <v>-130.48500000000001</v>
      </c>
      <c r="G2284">
        <v>15879.5</v>
      </c>
      <c r="H2284">
        <v>0</v>
      </c>
      <c r="I2284" s="309">
        <v>2831</v>
      </c>
      <c r="J2284">
        <v>28.31</v>
      </c>
      <c r="K2284" s="133">
        <v>6.0726912511631596E-3</v>
      </c>
      <c r="L2284" s="181">
        <v>-36</v>
      </c>
      <c r="M2284" s="133">
        <v>0</v>
      </c>
    </row>
    <row r="2285" spans="1:64" x14ac:dyDescent="0.25">
      <c r="A2285" s="136">
        <v>43142</v>
      </c>
      <c r="B2285" s="201" t="s">
        <v>835</v>
      </c>
      <c r="C2285" t="s">
        <v>839</v>
      </c>
      <c r="I2285" s="309">
        <v>16067.26</v>
      </c>
      <c r="K2285" s="133">
        <v>3.4465386517896102E-2</v>
      </c>
      <c r="L2285" s="181">
        <v>0</v>
      </c>
      <c r="M2285" s="133">
        <v>9.00369252233124E-2</v>
      </c>
    </row>
    <row r="2286" spans="1:64" x14ac:dyDescent="0.25">
      <c r="A2286" s="136">
        <v>43143</v>
      </c>
      <c r="B2286" s="201" t="s">
        <v>132</v>
      </c>
      <c r="C2286" t="s">
        <v>123</v>
      </c>
      <c r="D2286">
        <v>2590664</v>
      </c>
      <c r="E2286">
        <v>2590664</v>
      </c>
      <c r="F2286">
        <v>8.9999999999999993E-3</v>
      </c>
      <c r="G2286">
        <v>3034.2</v>
      </c>
      <c r="H2286">
        <v>11.11</v>
      </c>
      <c r="I2286" s="309">
        <v>25906.639999999999</v>
      </c>
      <c r="J2286">
        <v>0.01</v>
      </c>
      <c r="K2286" s="133">
        <v>5.6119199555407201E-2</v>
      </c>
      <c r="L2286" s="181">
        <v>0</v>
      </c>
      <c r="M2286" s="133">
        <v>0</v>
      </c>
    </row>
    <row r="2287" spans="1:64" x14ac:dyDescent="0.25">
      <c r="A2287" s="136">
        <v>43143</v>
      </c>
      <c r="B2287" s="201" t="s">
        <v>61</v>
      </c>
      <c r="C2287" t="s">
        <v>136</v>
      </c>
      <c r="D2287">
        <v>2800</v>
      </c>
      <c r="E2287">
        <v>2800</v>
      </c>
      <c r="F2287">
        <v>5.2069999999999999</v>
      </c>
      <c r="G2287">
        <v>-748.89</v>
      </c>
      <c r="H2287">
        <v>-5.13</v>
      </c>
      <c r="I2287" s="309">
        <v>13832</v>
      </c>
      <c r="J2287">
        <v>4.9400000000000004</v>
      </c>
      <c r="K2287" s="133">
        <v>2.9963004397729399E-2</v>
      </c>
      <c r="L2287" s="181">
        <v>84</v>
      </c>
      <c r="M2287" s="133">
        <v>3.1585256737479001E-2</v>
      </c>
      <c r="N2287" s="73">
        <v>-809.98500000000104</v>
      </c>
      <c r="O2287" s="73">
        <v>-164.54878201219501</v>
      </c>
      <c r="P2287" s="182">
        <v>4</v>
      </c>
      <c r="Q2287" s="182">
        <v>2000</v>
      </c>
      <c r="R2287" s="46">
        <v>5.2249999999999996</v>
      </c>
      <c r="S2287" s="46">
        <v>0</v>
      </c>
      <c r="T2287" s="46">
        <v>0</v>
      </c>
      <c r="U2287" s="46">
        <v>0</v>
      </c>
      <c r="V2287" s="46" t="s">
        <v>62</v>
      </c>
      <c r="W2287" s="46">
        <v>2000</v>
      </c>
      <c r="X2287" s="46">
        <v>5.2249999999999996</v>
      </c>
      <c r="AF2287" s="46">
        <v>9</v>
      </c>
      <c r="AG2287" s="46">
        <v>4500</v>
      </c>
      <c r="AH2287" s="46">
        <v>23912.7</v>
      </c>
      <c r="AI2287" s="46">
        <v>5.3140000000000001</v>
      </c>
      <c r="AJ2287" s="46">
        <v>9</v>
      </c>
      <c r="AK2287" s="46">
        <v>3700</v>
      </c>
      <c r="AL2287" s="46">
        <v>19797.915000000001</v>
      </c>
      <c r="AM2287" s="46">
        <v>5.351</v>
      </c>
      <c r="AN2287" s="46" t="s">
        <v>63</v>
      </c>
      <c r="AO2287" s="46">
        <v>800</v>
      </c>
      <c r="AP2287" s="46">
        <v>4114.7849999999999</v>
      </c>
      <c r="AQ2287" s="46">
        <v>5.1429999999999998</v>
      </c>
      <c r="AR2287" s="46">
        <v>136.9</v>
      </c>
      <c r="AS2287" s="46">
        <v>13</v>
      </c>
      <c r="AT2287" s="46">
        <v>6500</v>
      </c>
      <c r="AU2287" s="46">
        <v>34383.9</v>
      </c>
      <c r="AV2287" s="46">
        <v>5.29</v>
      </c>
      <c r="AW2287" s="46">
        <v>9</v>
      </c>
      <c r="AX2287" s="46">
        <v>3700</v>
      </c>
      <c r="AY2287" s="46">
        <v>19797.915000000001</v>
      </c>
      <c r="AZ2287" s="46">
        <v>5.351</v>
      </c>
      <c r="BA2287" s="46" t="s">
        <v>63</v>
      </c>
      <c r="BB2287" s="46">
        <v>2800</v>
      </c>
      <c r="BC2287" s="46">
        <v>14585.985000000001</v>
      </c>
      <c r="BD2287" s="46">
        <v>5.2089999999999996</v>
      </c>
      <c r="BE2287" s="46">
        <v>225.7</v>
      </c>
      <c r="BF2287" s="46">
        <v>10471.200000000001</v>
      </c>
      <c r="BG2287" s="46">
        <v>5.24</v>
      </c>
      <c r="BH2287" s="46">
        <v>0</v>
      </c>
      <c r="BJ2287">
        <v>10471.200000000001</v>
      </c>
      <c r="BK2287">
        <v>5.24</v>
      </c>
      <c r="BL2287">
        <v>27.71</v>
      </c>
    </row>
    <row r="2288" spans="1:64" x14ac:dyDescent="0.25">
      <c r="A2288" s="136">
        <v>43143</v>
      </c>
      <c r="B2288" s="201" t="s">
        <v>124</v>
      </c>
      <c r="C2288" t="s">
        <v>125</v>
      </c>
      <c r="D2288">
        <v>100</v>
      </c>
      <c r="E2288">
        <v>100</v>
      </c>
      <c r="F2288">
        <v>-53.579000000000001</v>
      </c>
      <c r="G2288">
        <v>6018.9</v>
      </c>
      <c r="H2288">
        <v>0</v>
      </c>
      <c r="I2288" s="309">
        <v>661</v>
      </c>
      <c r="J2288">
        <v>6.61</v>
      </c>
      <c r="K2288" s="133">
        <v>1.43186422114655E-3</v>
      </c>
      <c r="L2288" s="181">
        <v>-7</v>
      </c>
      <c r="M2288" s="133">
        <v>0</v>
      </c>
    </row>
    <row r="2289" spans="1:64" x14ac:dyDescent="0.25">
      <c r="A2289" s="136">
        <v>43143</v>
      </c>
      <c r="B2289" s="201" t="s">
        <v>71</v>
      </c>
      <c r="C2289" t="s">
        <v>126</v>
      </c>
      <c r="D2289">
        <v>100</v>
      </c>
      <c r="E2289">
        <v>100</v>
      </c>
      <c r="F2289">
        <v>-17.085999999999999</v>
      </c>
      <c r="G2289">
        <v>2379.6</v>
      </c>
      <c r="H2289">
        <v>0</v>
      </c>
      <c r="I2289" s="309">
        <v>671</v>
      </c>
      <c r="J2289">
        <v>6.71</v>
      </c>
      <c r="K2289" s="133">
        <v>1.45352631223803E-3</v>
      </c>
      <c r="L2289" s="181">
        <v>-19</v>
      </c>
      <c r="M2289" s="133">
        <v>0</v>
      </c>
      <c r="N2289" s="73">
        <v>1703.3019999999999</v>
      </c>
      <c r="O2289" s="73">
        <v>341.114950423729</v>
      </c>
      <c r="P2289" s="182">
        <v>0</v>
      </c>
      <c r="Q2289" s="182">
        <v>0</v>
      </c>
      <c r="R2289" s="46">
        <v>0</v>
      </c>
      <c r="S2289" s="46">
        <v>7</v>
      </c>
      <c r="T2289" s="46">
        <v>2800</v>
      </c>
      <c r="U2289" s="46">
        <v>6.6749999999999998</v>
      </c>
      <c r="V2289" s="46" t="s">
        <v>68</v>
      </c>
      <c r="W2289" s="46">
        <v>2800</v>
      </c>
      <c r="X2289" s="46">
        <v>6.6749999999999998</v>
      </c>
      <c r="AF2289" s="46">
        <v>41</v>
      </c>
      <c r="AG2289" s="46">
        <v>20600</v>
      </c>
      <c r="AH2289" s="46">
        <v>131323.35999999999</v>
      </c>
      <c r="AI2289" s="46">
        <v>6.375</v>
      </c>
      <c r="AJ2289" s="46">
        <v>39</v>
      </c>
      <c r="AK2289" s="46">
        <v>17700</v>
      </c>
      <c r="AL2289" s="46">
        <v>114228.83100000001</v>
      </c>
      <c r="AM2289" s="46">
        <v>6.4539999999999997</v>
      </c>
      <c r="AN2289" s="46" t="s">
        <v>63</v>
      </c>
      <c r="AO2289" s="46">
        <v>2900</v>
      </c>
      <c r="AP2289" s="46">
        <v>17094.528999999999</v>
      </c>
      <c r="AQ2289" s="46">
        <v>5.8949999999999996</v>
      </c>
      <c r="AR2289" s="46">
        <v>1398.3</v>
      </c>
      <c r="AS2289" s="46">
        <v>41</v>
      </c>
      <c r="AT2289" s="46">
        <v>20600</v>
      </c>
      <c r="AU2289" s="46">
        <v>131323.35999999999</v>
      </c>
      <c r="AV2289" s="46">
        <v>6.375</v>
      </c>
      <c r="AW2289" s="46">
        <v>46</v>
      </c>
      <c r="AX2289" s="46">
        <v>20500</v>
      </c>
      <c r="AY2289" s="46">
        <v>132870.462</v>
      </c>
      <c r="AZ2289" s="46">
        <v>6.4809999999999999</v>
      </c>
      <c r="BA2289" s="46" t="s">
        <v>63</v>
      </c>
      <c r="BB2289" s="46">
        <v>100</v>
      </c>
      <c r="BC2289" s="46">
        <v>1547.1020000000001</v>
      </c>
      <c r="BD2289" s="46">
        <v>15.471</v>
      </c>
      <c r="BE2289" s="46">
        <v>2173</v>
      </c>
      <c r="BF2289" s="46">
        <v>0</v>
      </c>
      <c r="BH2289" s="46">
        <v>18641.631000000001</v>
      </c>
      <c r="BI2289">
        <v>6.66</v>
      </c>
      <c r="BJ2289">
        <v>-15547.427</v>
      </c>
      <c r="BK2289">
        <v>-5.55</v>
      </c>
      <c r="BL2289">
        <v>208.39</v>
      </c>
    </row>
    <row r="2290" spans="1:64" x14ac:dyDescent="0.25">
      <c r="A2290" s="136">
        <v>43143</v>
      </c>
      <c r="B2290" s="201" t="s">
        <v>79</v>
      </c>
      <c r="C2290" t="s">
        <v>143</v>
      </c>
      <c r="D2290">
        <v>6200</v>
      </c>
      <c r="E2290">
        <v>6200</v>
      </c>
      <c r="F2290">
        <v>16.262</v>
      </c>
      <c r="G2290">
        <v>-13277.86</v>
      </c>
      <c r="H2290">
        <v>-13.17</v>
      </c>
      <c r="I2290" s="309">
        <v>87544</v>
      </c>
      <c r="J2290">
        <v>14.12</v>
      </c>
      <c r="K2290" s="133">
        <v>0.18963861025121601</v>
      </c>
      <c r="L2290" s="181">
        <v>1984</v>
      </c>
      <c r="M2290" s="133">
        <v>0.21840123153320301</v>
      </c>
      <c r="N2290" s="73">
        <v>-14149.1760000001</v>
      </c>
      <c r="O2290" s="73">
        <v>-1011.59523690988</v>
      </c>
      <c r="P2290" s="182">
        <v>10</v>
      </c>
      <c r="Q2290" s="182">
        <v>5500</v>
      </c>
      <c r="R2290" s="46">
        <v>16.006</v>
      </c>
      <c r="S2290" s="46">
        <v>0</v>
      </c>
      <c r="T2290" s="46">
        <v>0</v>
      </c>
      <c r="U2290" s="46">
        <v>0</v>
      </c>
      <c r="V2290" s="46" t="s">
        <v>62</v>
      </c>
      <c r="W2290" s="46">
        <v>5500</v>
      </c>
      <c r="X2290" s="46">
        <v>16.006</v>
      </c>
      <c r="AF2290" s="46">
        <v>7</v>
      </c>
      <c r="AG2290" s="46">
        <v>3500</v>
      </c>
      <c r="AH2290" s="46">
        <v>56752.1</v>
      </c>
      <c r="AI2290" s="46">
        <v>16.215</v>
      </c>
      <c r="AJ2290" s="46">
        <v>7</v>
      </c>
      <c r="AK2290" s="46">
        <v>2800</v>
      </c>
      <c r="AL2290" s="46">
        <v>44015.224000000002</v>
      </c>
      <c r="AM2290" s="46">
        <v>15.72</v>
      </c>
      <c r="AN2290" s="46" t="s">
        <v>63</v>
      </c>
      <c r="AO2290" s="46">
        <v>700</v>
      </c>
      <c r="AP2290" s="46">
        <v>12736.876</v>
      </c>
      <c r="AQ2290" s="46">
        <v>18.196000000000002</v>
      </c>
      <c r="AR2290" s="46">
        <v>-1386</v>
      </c>
      <c r="AS2290" s="46">
        <v>17</v>
      </c>
      <c r="AT2290" s="46">
        <v>9000</v>
      </c>
      <c r="AU2290" s="46">
        <v>144840.4</v>
      </c>
      <c r="AV2290" s="46">
        <v>16.093</v>
      </c>
      <c r="AW2290" s="46">
        <v>7</v>
      </c>
      <c r="AX2290" s="46">
        <v>2800</v>
      </c>
      <c r="AY2290" s="46">
        <v>44015.224000000002</v>
      </c>
      <c r="AZ2290" s="46">
        <v>15.72</v>
      </c>
      <c r="BA2290" s="46" t="s">
        <v>63</v>
      </c>
      <c r="BB2290" s="46">
        <v>6200</v>
      </c>
      <c r="BC2290" s="46">
        <v>100825.17600000001</v>
      </c>
      <c r="BD2290" s="46">
        <v>16.262</v>
      </c>
      <c r="BE2290" s="46">
        <v>-1044.4000000000001</v>
      </c>
      <c r="BF2290" s="46">
        <v>88088.3</v>
      </c>
      <c r="BG2290" s="46">
        <v>16.02</v>
      </c>
      <c r="BH2290" s="46">
        <v>0</v>
      </c>
      <c r="BJ2290">
        <v>88088.3</v>
      </c>
      <c r="BK2290">
        <v>16.02</v>
      </c>
      <c r="BL2290">
        <v>-98.16</v>
      </c>
    </row>
    <row r="2291" spans="1:64" x14ac:dyDescent="0.25">
      <c r="A2291" s="136">
        <v>43143</v>
      </c>
      <c r="B2291" s="201" t="s">
        <v>65</v>
      </c>
      <c r="C2291" t="s">
        <v>127</v>
      </c>
      <c r="D2291">
        <v>9800</v>
      </c>
      <c r="E2291">
        <v>9800</v>
      </c>
      <c r="F2291">
        <v>9.2140000000000004</v>
      </c>
      <c r="G2291">
        <v>8776.84</v>
      </c>
      <c r="H2291">
        <v>9.73</v>
      </c>
      <c r="I2291" s="309">
        <v>99078</v>
      </c>
      <c r="J2291">
        <v>10.11</v>
      </c>
      <c r="K2291" s="133">
        <v>0.21462366611612499</v>
      </c>
      <c r="L2291" s="181">
        <v>-3528</v>
      </c>
      <c r="M2291" s="133">
        <v>0.195611195358594</v>
      </c>
      <c r="N2291" s="73">
        <v>4396.4169999999604</v>
      </c>
      <c r="O2291" s="73">
        <v>858.77539749998402</v>
      </c>
      <c r="P2291" s="182">
        <v>0</v>
      </c>
      <c r="Q2291" s="182">
        <v>0</v>
      </c>
      <c r="R2291" s="46">
        <v>0</v>
      </c>
      <c r="S2291" s="46">
        <v>16</v>
      </c>
      <c r="T2291" s="46">
        <v>6800</v>
      </c>
      <c r="U2291" s="46">
        <v>12.255000000000001</v>
      </c>
      <c r="V2291" s="46" t="s">
        <v>68</v>
      </c>
      <c r="W2291" s="46">
        <v>6800</v>
      </c>
      <c r="X2291" s="46">
        <v>12.255000000000001</v>
      </c>
      <c r="AF2291" s="46">
        <v>163</v>
      </c>
      <c r="AG2291" s="46">
        <v>87000</v>
      </c>
      <c r="AH2291" s="46">
        <v>1012622.231</v>
      </c>
      <c r="AI2291" s="46">
        <v>11.638999999999999</v>
      </c>
      <c r="AJ2291" s="46">
        <v>183</v>
      </c>
      <c r="AK2291" s="46">
        <v>79600</v>
      </c>
      <c r="AL2291" s="46">
        <v>838317.97699999996</v>
      </c>
      <c r="AM2291" s="46">
        <v>10.532</v>
      </c>
      <c r="AN2291" s="46" t="s">
        <v>63</v>
      </c>
      <c r="AO2291" s="46">
        <v>7400</v>
      </c>
      <c r="AP2291" s="46">
        <v>174304.25399999999</v>
      </c>
      <c r="AQ2291" s="46">
        <v>23.555</v>
      </c>
      <c r="AR2291" s="46">
        <v>-88117.2</v>
      </c>
      <c r="AS2291" s="46">
        <v>164</v>
      </c>
      <c r="AT2291" s="46">
        <v>87100</v>
      </c>
      <c r="AU2291" s="46">
        <v>1013910.231</v>
      </c>
      <c r="AV2291" s="46">
        <v>11.641</v>
      </c>
      <c r="AW2291" s="46">
        <v>199</v>
      </c>
      <c r="AX2291" s="46">
        <v>86400</v>
      </c>
      <c r="AY2291" s="46">
        <v>921485.64599999995</v>
      </c>
      <c r="AZ2291" s="46">
        <v>10.664999999999999</v>
      </c>
      <c r="BA2291" s="46" t="s">
        <v>63</v>
      </c>
      <c r="BB2291" s="46">
        <v>700</v>
      </c>
      <c r="BC2291" s="46">
        <v>92424.585000000006</v>
      </c>
      <c r="BD2291" s="46">
        <v>132.035</v>
      </c>
      <c r="BE2291" s="46">
        <v>-84326.399999999994</v>
      </c>
      <c r="BF2291" s="46">
        <v>1288</v>
      </c>
      <c r="BH2291" s="46">
        <v>83167.668999999994</v>
      </c>
      <c r="BI2291">
        <v>12.23</v>
      </c>
      <c r="BJ2291">
        <v>-81879.668999999994</v>
      </c>
      <c r="BK2291">
        <v>-12.04</v>
      </c>
      <c r="BL2291">
        <v>-8715.85</v>
      </c>
    </row>
    <row r="2292" spans="1:64" x14ac:dyDescent="0.25">
      <c r="A2292" s="136">
        <v>43143</v>
      </c>
      <c r="B2292" s="201" t="s">
        <v>77</v>
      </c>
      <c r="C2292" t="s">
        <v>128</v>
      </c>
      <c r="D2292">
        <v>4300</v>
      </c>
      <c r="E2292">
        <v>4300</v>
      </c>
      <c r="F2292">
        <v>5.9779999999999998</v>
      </c>
      <c r="G2292">
        <v>-595.27</v>
      </c>
      <c r="H2292">
        <v>-2.31</v>
      </c>
      <c r="I2292" s="309">
        <v>25112</v>
      </c>
      <c r="J2292">
        <v>5.84</v>
      </c>
      <c r="K2292" s="133">
        <v>5.4397843148914202E-2</v>
      </c>
      <c r="L2292" s="181">
        <v>0</v>
      </c>
      <c r="M2292" s="133">
        <v>5.5687322445316503E-2</v>
      </c>
      <c r="N2292" s="73">
        <v>-1272.2139999999999</v>
      </c>
      <c r="O2292" s="73">
        <v>-133.073774655173</v>
      </c>
      <c r="P2292" s="182">
        <v>6</v>
      </c>
      <c r="Q2292" s="182">
        <v>3000</v>
      </c>
      <c r="R2292" s="46">
        <v>6.798</v>
      </c>
      <c r="S2292" s="46">
        <v>0</v>
      </c>
      <c r="T2292" s="46">
        <v>0</v>
      </c>
      <c r="U2292" s="46">
        <v>0</v>
      </c>
      <c r="V2292" s="46" t="s">
        <v>62</v>
      </c>
      <c r="W2292" s="46">
        <v>3000</v>
      </c>
      <c r="X2292" s="46">
        <v>6.798</v>
      </c>
      <c r="AF2292" s="46">
        <v>39</v>
      </c>
      <c r="AG2292" s="46">
        <v>19500</v>
      </c>
      <c r="AH2292" s="46">
        <v>142169</v>
      </c>
      <c r="AI2292" s="46">
        <v>7.2910000000000004</v>
      </c>
      <c r="AJ2292" s="46">
        <v>39</v>
      </c>
      <c r="AK2292" s="46">
        <v>18200</v>
      </c>
      <c r="AL2292" s="46">
        <v>136881.78599999999</v>
      </c>
      <c r="AM2292" s="46">
        <v>7.5209999999999999</v>
      </c>
      <c r="AN2292" s="46" t="s">
        <v>63</v>
      </c>
      <c r="AO2292" s="46">
        <v>1300</v>
      </c>
      <c r="AP2292" s="46">
        <v>5287.2139999999999</v>
      </c>
      <c r="AQ2292" s="46">
        <v>4.0670000000000002</v>
      </c>
      <c r="AR2292" s="46">
        <v>4186</v>
      </c>
      <c r="AS2292" s="46">
        <v>45</v>
      </c>
      <c r="AT2292" s="46">
        <v>22500</v>
      </c>
      <c r="AU2292" s="46">
        <v>162594</v>
      </c>
      <c r="AV2292" s="46">
        <v>7.226</v>
      </c>
      <c r="AW2292" s="46">
        <v>39</v>
      </c>
      <c r="AX2292" s="46">
        <v>18200</v>
      </c>
      <c r="AY2292" s="46">
        <v>136881.78599999999</v>
      </c>
      <c r="AZ2292" s="46">
        <v>7.5209999999999999</v>
      </c>
      <c r="BA2292" s="46" t="s">
        <v>63</v>
      </c>
      <c r="BB2292" s="46">
        <v>4300</v>
      </c>
      <c r="BC2292" s="46">
        <v>25712.214</v>
      </c>
      <c r="BD2292" s="46">
        <v>5.98</v>
      </c>
      <c r="BE2292" s="46">
        <v>5369</v>
      </c>
      <c r="BF2292" s="46">
        <v>20425</v>
      </c>
      <c r="BG2292" s="46">
        <v>6.81</v>
      </c>
      <c r="BH2292" s="46">
        <v>0</v>
      </c>
      <c r="BJ2292">
        <v>20425</v>
      </c>
      <c r="BK2292">
        <v>6.81</v>
      </c>
      <c r="BL2292">
        <v>716.78</v>
      </c>
    </row>
    <row r="2293" spans="1:64" x14ac:dyDescent="0.25">
      <c r="A2293" s="136">
        <v>43143</v>
      </c>
      <c r="B2293" s="201" t="s">
        <v>67</v>
      </c>
      <c r="C2293" t="s">
        <v>129</v>
      </c>
      <c r="D2293">
        <v>2550</v>
      </c>
      <c r="E2293">
        <v>2550</v>
      </c>
      <c r="F2293">
        <v>8.1560000000000006</v>
      </c>
      <c r="G2293">
        <v>1158.93</v>
      </c>
      <c r="H2293">
        <v>5.57</v>
      </c>
      <c r="I2293" s="309">
        <v>21955.5</v>
      </c>
      <c r="J2293">
        <v>8.61</v>
      </c>
      <c r="K2293" s="133">
        <v>4.7560204095889798E-2</v>
      </c>
      <c r="L2293" s="181">
        <v>-590.45000000000005</v>
      </c>
      <c r="M2293" s="133">
        <v>4.5049719373025397E-2</v>
      </c>
      <c r="N2293" s="73">
        <v>1207.6529999997699</v>
      </c>
      <c r="O2293" s="73">
        <v>139.866648145976</v>
      </c>
      <c r="P2293" s="182">
        <v>0</v>
      </c>
      <c r="Q2293" s="182">
        <v>0</v>
      </c>
      <c r="R2293" s="46">
        <v>0</v>
      </c>
      <c r="S2293" s="46">
        <v>14</v>
      </c>
      <c r="T2293" s="46">
        <v>5600</v>
      </c>
      <c r="U2293" s="46">
        <v>8.7789999999999999</v>
      </c>
      <c r="V2293" s="46" t="s">
        <v>68</v>
      </c>
      <c r="W2293" s="46">
        <v>5600</v>
      </c>
      <c r="X2293" s="46">
        <v>8.7789999999999999</v>
      </c>
      <c r="AF2293" s="46">
        <v>173</v>
      </c>
      <c r="AG2293" s="46">
        <v>86000</v>
      </c>
      <c r="AH2293" s="46">
        <v>712694</v>
      </c>
      <c r="AI2293" s="46">
        <v>8.2870000000000008</v>
      </c>
      <c r="AJ2293" s="46">
        <v>175</v>
      </c>
      <c r="AK2293" s="46">
        <v>80450</v>
      </c>
      <c r="AL2293" s="46">
        <v>711982.429</v>
      </c>
      <c r="AM2293" s="46">
        <v>8.85</v>
      </c>
      <c r="AN2293" s="46" t="s">
        <v>63</v>
      </c>
      <c r="AO2293" s="46">
        <v>5550</v>
      </c>
      <c r="AP2293" s="46">
        <v>711.57100000000003</v>
      </c>
      <c r="AQ2293" s="46">
        <v>0.128</v>
      </c>
      <c r="AR2293" s="46">
        <v>45293.35</v>
      </c>
      <c r="AS2293" s="46">
        <v>173</v>
      </c>
      <c r="AT2293" s="46">
        <v>86000</v>
      </c>
      <c r="AU2293" s="46">
        <v>712694</v>
      </c>
      <c r="AV2293" s="46">
        <v>8.2870000000000008</v>
      </c>
      <c r="AW2293" s="46">
        <v>189</v>
      </c>
      <c r="AX2293" s="46">
        <v>86050</v>
      </c>
      <c r="AY2293" s="46">
        <v>761023.26899999997</v>
      </c>
      <c r="AZ2293" s="46">
        <v>8.8439999999999994</v>
      </c>
      <c r="BA2293" s="46" t="s">
        <v>69</v>
      </c>
      <c r="BB2293" s="46">
        <v>50</v>
      </c>
      <c r="BC2293" s="46">
        <v>48329.269</v>
      </c>
      <c r="BD2293" s="46">
        <v>966.58500000000004</v>
      </c>
      <c r="BE2293" s="46">
        <v>47902</v>
      </c>
      <c r="BF2293" s="46">
        <v>0</v>
      </c>
      <c r="BH2293" s="46">
        <v>49040.84</v>
      </c>
      <c r="BI2293">
        <v>8.76</v>
      </c>
      <c r="BJ2293">
        <v>47617.697999999997</v>
      </c>
      <c r="BK2293">
        <v>8.5</v>
      </c>
      <c r="BL2293">
        <v>5260.55</v>
      </c>
    </row>
    <row r="2294" spans="1:64" x14ac:dyDescent="0.25">
      <c r="A2294" s="136">
        <v>43143</v>
      </c>
      <c r="B2294" s="201" t="s">
        <v>78</v>
      </c>
      <c r="C2294" t="s">
        <v>142</v>
      </c>
      <c r="D2294">
        <v>3100</v>
      </c>
      <c r="E2294">
        <v>3100</v>
      </c>
      <c r="F2294">
        <v>9.02</v>
      </c>
      <c r="G2294">
        <v>-1830.13</v>
      </c>
      <c r="H2294">
        <v>-6.54</v>
      </c>
      <c r="I2294" s="309">
        <v>26133</v>
      </c>
      <c r="J2294">
        <v>8.43</v>
      </c>
      <c r="K2294" s="133">
        <v>5.6609542649353903E-2</v>
      </c>
      <c r="L2294" s="181">
        <v>-2077</v>
      </c>
      <c r="M2294" s="133">
        <v>6.0573986926278203E-2</v>
      </c>
      <c r="N2294" s="73">
        <v>-2202.1320000000001</v>
      </c>
      <c r="O2294" s="73">
        <v>-264.86533501805098</v>
      </c>
      <c r="P2294" s="182">
        <v>4</v>
      </c>
      <c r="Q2294" s="182">
        <v>2000</v>
      </c>
      <c r="R2294" s="46">
        <v>8.7029999999999994</v>
      </c>
      <c r="S2294" s="46">
        <v>0</v>
      </c>
      <c r="T2294" s="46">
        <v>0</v>
      </c>
      <c r="U2294" s="46">
        <v>0</v>
      </c>
      <c r="V2294" s="46" t="s">
        <v>62</v>
      </c>
      <c r="W2294" s="46">
        <v>2000</v>
      </c>
      <c r="X2294" s="46">
        <v>8.7029999999999994</v>
      </c>
      <c r="AF2294" s="46">
        <v>8</v>
      </c>
      <c r="AG2294" s="46">
        <v>4000</v>
      </c>
      <c r="AH2294" s="46">
        <v>40600</v>
      </c>
      <c r="AI2294" s="46">
        <v>10.15</v>
      </c>
      <c r="AJ2294" s="46">
        <v>8</v>
      </c>
      <c r="AK2294" s="46">
        <v>2900</v>
      </c>
      <c r="AL2294" s="46">
        <v>30061.867999999999</v>
      </c>
      <c r="AM2294" s="46">
        <v>10.366</v>
      </c>
      <c r="AN2294" s="46" t="s">
        <v>63</v>
      </c>
      <c r="AO2294" s="46">
        <v>1100</v>
      </c>
      <c r="AP2294" s="46">
        <v>10538.132</v>
      </c>
      <c r="AQ2294" s="46">
        <v>9.58</v>
      </c>
      <c r="AR2294" s="46">
        <v>626.4</v>
      </c>
      <c r="AS2294" s="46">
        <v>12</v>
      </c>
      <c r="AT2294" s="46">
        <v>6000</v>
      </c>
      <c r="AU2294" s="46">
        <v>58025</v>
      </c>
      <c r="AV2294" s="46">
        <v>9.6709999999999994</v>
      </c>
      <c r="AW2294" s="46">
        <v>8</v>
      </c>
      <c r="AX2294" s="46">
        <v>2900</v>
      </c>
      <c r="AY2294" s="46">
        <v>30061.867999999999</v>
      </c>
      <c r="AZ2294" s="46">
        <v>10.366</v>
      </c>
      <c r="BA2294" s="46" t="s">
        <v>63</v>
      </c>
      <c r="BB2294" s="46">
        <v>3100</v>
      </c>
      <c r="BC2294" s="46">
        <v>27963.132000000001</v>
      </c>
      <c r="BD2294" s="46">
        <v>9.02</v>
      </c>
      <c r="BE2294" s="46">
        <v>2015.5</v>
      </c>
      <c r="BF2294" s="46">
        <v>17425</v>
      </c>
      <c r="BG2294" s="46">
        <v>8.7100000000000009</v>
      </c>
      <c r="BH2294" s="46">
        <v>0</v>
      </c>
      <c r="BJ2294">
        <v>17425</v>
      </c>
      <c r="BK2294">
        <v>8.7100000000000009</v>
      </c>
      <c r="BL2294">
        <v>74.31</v>
      </c>
    </row>
    <row r="2295" spans="1:64" x14ac:dyDescent="0.25">
      <c r="A2295" s="136">
        <v>43143</v>
      </c>
      <c r="B2295" s="201" t="s">
        <v>72</v>
      </c>
      <c r="C2295" t="s">
        <v>130</v>
      </c>
      <c r="D2295">
        <v>4100</v>
      </c>
      <c r="E2295">
        <v>4100</v>
      </c>
      <c r="F2295">
        <v>6.758</v>
      </c>
      <c r="G2295">
        <v>-2490.87</v>
      </c>
      <c r="H2295">
        <v>-9</v>
      </c>
      <c r="I2295" s="309">
        <v>25215</v>
      </c>
      <c r="J2295">
        <v>6.15</v>
      </c>
      <c r="K2295" s="133">
        <v>5.4620962687156403E-2</v>
      </c>
      <c r="L2295" s="181">
        <v>205</v>
      </c>
      <c r="M2295" s="133">
        <v>6.0016707970858903E-2</v>
      </c>
      <c r="N2295" s="73">
        <v>-2515.0679999999902</v>
      </c>
      <c r="O2295" s="73">
        <v>-471.691099174915</v>
      </c>
      <c r="P2295" s="182">
        <v>0</v>
      </c>
      <c r="Q2295" s="182">
        <v>0</v>
      </c>
      <c r="R2295" s="46">
        <v>0</v>
      </c>
      <c r="S2295" s="46">
        <v>9</v>
      </c>
      <c r="T2295" s="46">
        <v>3600</v>
      </c>
      <c r="U2295" s="46">
        <v>7.8330000000000002</v>
      </c>
      <c r="V2295" s="46" t="s">
        <v>68</v>
      </c>
      <c r="W2295" s="46">
        <v>3600</v>
      </c>
      <c r="X2295" s="46">
        <v>7.8330000000000002</v>
      </c>
      <c r="AF2295" s="46">
        <v>32</v>
      </c>
      <c r="AG2295" s="46">
        <v>15900</v>
      </c>
      <c r="AH2295" s="46">
        <v>121142</v>
      </c>
      <c r="AI2295" s="46">
        <v>7.6189999999999998</v>
      </c>
      <c r="AJ2295" s="46">
        <v>32</v>
      </c>
      <c r="AK2295" s="46">
        <v>14800</v>
      </c>
      <c r="AL2295" s="46">
        <v>66041.797000000006</v>
      </c>
      <c r="AM2295" s="46">
        <v>4.4619999999999997</v>
      </c>
      <c r="AN2295" s="46" t="s">
        <v>63</v>
      </c>
      <c r="AO2295" s="46">
        <v>1100</v>
      </c>
      <c r="AP2295" s="46">
        <v>55100.203000000001</v>
      </c>
      <c r="AQ2295" s="46">
        <v>50.091000000000001</v>
      </c>
      <c r="AR2295" s="46">
        <v>-46723.6</v>
      </c>
      <c r="AS2295" s="46">
        <v>32</v>
      </c>
      <c r="AT2295" s="46">
        <v>15900</v>
      </c>
      <c r="AU2295" s="46">
        <v>121142</v>
      </c>
      <c r="AV2295" s="46">
        <v>7.6189999999999998</v>
      </c>
      <c r="AW2295" s="46">
        <v>42</v>
      </c>
      <c r="AX2295" s="46">
        <v>18900</v>
      </c>
      <c r="AY2295" s="46">
        <v>94168.596999999994</v>
      </c>
      <c r="AZ2295" s="46">
        <v>4.9820000000000002</v>
      </c>
      <c r="BA2295" s="46" t="s">
        <v>69</v>
      </c>
      <c r="BB2295" s="46">
        <v>3000</v>
      </c>
      <c r="BC2295" s="46">
        <v>26973.402999999998</v>
      </c>
      <c r="BD2295" s="46">
        <v>8.9909999999999997</v>
      </c>
      <c r="BE2295" s="46">
        <v>-41928.300000000003</v>
      </c>
      <c r="BF2295" s="46">
        <v>0</v>
      </c>
      <c r="BH2295" s="46">
        <v>28126.799999999999</v>
      </c>
      <c r="BI2295">
        <v>7.81</v>
      </c>
      <c r="BJ2295">
        <v>-28126.799999999999</v>
      </c>
      <c r="BK2295">
        <v>-7.81</v>
      </c>
      <c r="BL2295">
        <v>-7597.33</v>
      </c>
    </row>
    <row r="2296" spans="1:64" x14ac:dyDescent="0.25">
      <c r="A2296" s="136">
        <v>43143</v>
      </c>
      <c r="B2296" s="201" t="s">
        <v>70</v>
      </c>
      <c r="C2296" t="s">
        <v>131</v>
      </c>
      <c r="D2296">
        <v>14100</v>
      </c>
      <c r="E2296">
        <v>14100</v>
      </c>
      <c r="F2296">
        <v>11.212</v>
      </c>
      <c r="G2296">
        <v>-45001.03</v>
      </c>
      <c r="H2296">
        <v>-28.47</v>
      </c>
      <c r="I2296" s="309">
        <v>113082</v>
      </c>
      <c r="J2296">
        <v>8.02</v>
      </c>
      <c r="K2296" s="133">
        <v>0.244959258480627</v>
      </c>
      <c r="L2296" s="181">
        <v>-705</v>
      </c>
      <c r="M2296" s="133">
        <v>0.342440899587651</v>
      </c>
      <c r="N2296" s="73">
        <v>-46128.025999999998</v>
      </c>
      <c r="O2296" s="73">
        <v>-5806.6702754408097</v>
      </c>
      <c r="P2296" s="182">
        <v>4</v>
      </c>
      <c r="Q2296" s="182">
        <v>2500</v>
      </c>
      <c r="R2296" s="46">
        <v>8.2639999999999993</v>
      </c>
      <c r="S2296" s="46">
        <v>1</v>
      </c>
      <c r="T2296" s="46">
        <v>400</v>
      </c>
      <c r="U2296" s="46">
        <v>8.43</v>
      </c>
      <c r="V2296" s="46" t="s">
        <v>62</v>
      </c>
      <c r="W2296" s="46">
        <v>2100</v>
      </c>
      <c r="X2296" s="46">
        <v>8.2319999999999993</v>
      </c>
      <c r="AF2296" s="46">
        <v>128</v>
      </c>
      <c r="AG2296" s="46">
        <v>64600</v>
      </c>
      <c r="AH2296" s="46">
        <v>861448</v>
      </c>
      <c r="AI2296" s="46">
        <v>13.335000000000001</v>
      </c>
      <c r="AJ2296" s="46">
        <v>131</v>
      </c>
      <c r="AK2296" s="46">
        <v>52600</v>
      </c>
      <c r="AL2296" s="46">
        <v>720277.34600000002</v>
      </c>
      <c r="AM2296" s="46">
        <v>13.693</v>
      </c>
      <c r="AN2296" s="46" t="s">
        <v>63</v>
      </c>
      <c r="AO2296" s="46">
        <v>12000</v>
      </c>
      <c r="AP2296" s="46">
        <v>141170.65400000001</v>
      </c>
      <c r="AQ2296" s="46">
        <v>11.763999999999999</v>
      </c>
      <c r="AR2296" s="46">
        <v>18830.8</v>
      </c>
      <c r="AS2296" s="46">
        <v>132</v>
      </c>
      <c r="AT2296" s="46">
        <v>67100</v>
      </c>
      <c r="AU2296" s="46">
        <v>882128</v>
      </c>
      <c r="AV2296" s="46">
        <v>13.146000000000001</v>
      </c>
      <c r="AW2296" s="46">
        <v>133</v>
      </c>
      <c r="AX2296" s="46">
        <v>53000</v>
      </c>
      <c r="AY2296" s="46">
        <v>724045.97400000005</v>
      </c>
      <c r="AZ2296" s="46">
        <v>13.661</v>
      </c>
      <c r="BA2296" s="46" t="s">
        <v>63</v>
      </c>
      <c r="BB2296" s="46">
        <v>14100</v>
      </c>
      <c r="BC2296" s="46">
        <v>158082.02600000001</v>
      </c>
      <c r="BD2296" s="46">
        <v>11.211</v>
      </c>
      <c r="BE2296" s="46">
        <v>27295</v>
      </c>
      <c r="BF2296" s="46">
        <v>20680</v>
      </c>
      <c r="BG2296" s="46">
        <v>8.27</v>
      </c>
      <c r="BH2296" s="46">
        <v>3768.6280000000302</v>
      </c>
      <c r="BI2296">
        <v>9.42</v>
      </c>
      <c r="BJ2296">
        <v>16911.371999999999</v>
      </c>
      <c r="BK2296">
        <v>8.0500000000000007</v>
      </c>
      <c r="BL2296">
        <v>2347.98</v>
      </c>
    </row>
    <row r="2297" spans="1:64" x14ac:dyDescent="0.25">
      <c r="A2297" s="136">
        <v>43143</v>
      </c>
      <c r="B2297" s="201" t="s">
        <v>137</v>
      </c>
      <c r="C2297" t="s">
        <v>138</v>
      </c>
      <c r="D2297">
        <v>100</v>
      </c>
      <c r="E2297">
        <v>100</v>
      </c>
      <c r="F2297">
        <v>-130.48500000000001</v>
      </c>
      <c r="G2297">
        <v>15983.5</v>
      </c>
      <c r="H2297">
        <v>0</v>
      </c>
      <c r="I2297" s="309">
        <v>2935</v>
      </c>
      <c r="J2297">
        <v>29.35</v>
      </c>
      <c r="K2297" s="133">
        <v>6.3578237353481698E-3</v>
      </c>
      <c r="L2297" s="181">
        <v>104</v>
      </c>
      <c r="M2297" s="133">
        <v>0</v>
      </c>
    </row>
    <row r="2298" spans="1:64" x14ac:dyDescent="0.25">
      <c r="A2298" s="136">
        <v>43143</v>
      </c>
      <c r="B2298" s="201" t="s">
        <v>835</v>
      </c>
      <c r="C2298" t="s">
        <v>839</v>
      </c>
      <c r="I2298" s="309">
        <v>19510.810000000001</v>
      </c>
      <c r="K2298" s="133">
        <v>4.2264494348847798E-2</v>
      </c>
      <c r="L2298" s="181">
        <v>0</v>
      </c>
      <c r="M2298" s="133">
        <v>9.8383693904255096E-2</v>
      </c>
    </row>
    <row r="2299" spans="1:64" x14ac:dyDescent="0.25">
      <c r="A2299" s="136">
        <v>43144</v>
      </c>
      <c r="B2299" s="201" t="s">
        <v>132</v>
      </c>
      <c r="C2299" t="s">
        <v>123</v>
      </c>
      <c r="D2299">
        <v>5926352</v>
      </c>
      <c r="E2299">
        <v>2591352</v>
      </c>
      <c r="F2299">
        <v>8.9999999999999993E-3</v>
      </c>
      <c r="G2299">
        <v>3041.08</v>
      </c>
      <c r="H2299">
        <v>11.11</v>
      </c>
      <c r="I2299" s="309">
        <v>59263.519999999997</v>
      </c>
      <c r="J2299">
        <v>0.01</v>
      </c>
      <c r="K2299" s="133">
        <v>0.12758977763021201</v>
      </c>
      <c r="L2299" s="181">
        <v>6.88000000000011</v>
      </c>
      <c r="M2299" s="133">
        <v>0</v>
      </c>
    </row>
    <row r="2300" spans="1:64" x14ac:dyDescent="0.25">
      <c r="A2300" s="136">
        <v>43144</v>
      </c>
      <c r="B2300" s="201" t="s">
        <v>61</v>
      </c>
      <c r="C2300" t="s">
        <v>136</v>
      </c>
      <c r="D2300">
        <v>2800</v>
      </c>
      <c r="E2300">
        <v>2800</v>
      </c>
      <c r="F2300">
        <v>5.2069999999999999</v>
      </c>
      <c r="G2300">
        <v>-720.89</v>
      </c>
      <c r="H2300">
        <v>-4.93</v>
      </c>
      <c r="I2300" s="309">
        <v>13860</v>
      </c>
      <c r="J2300">
        <v>4.95</v>
      </c>
      <c r="K2300" s="133">
        <v>2.9839508654813801E-2</v>
      </c>
      <c r="L2300" s="181">
        <v>28</v>
      </c>
      <c r="M2300" s="133">
        <v>3.1391529101723603E-2</v>
      </c>
      <c r="N2300" s="73">
        <v>-809.98500000000104</v>
      </c>
      <c r="O2300" s="73">
        <v>-164.54878201219501</v>
      </c>
      <c r="P2300" s="182">
        <v>4</v>
      </c>
      <c r="Q2300" s="182">
        <v>2000</v>
      </c>
      <c r="R2300" s="46">
        <v>5.2249999999999996</v>
      </c>
      <c r="S2300" s="46">
        <v>0</v>
      </c>
      <c r="T2300" s="46">
        <v>0</v>
      </c>
      <c r="U2300" s="46">
        <v>0</v>
      </c>
      <c r="V2300" s="46" t="s">
        <v>62</v>
      </c>
      <c r="W2300" s="46">
        <v>2000</v>
      </c>
      <c r="X2300" s="46">
        <v>5.2249999999999996</v>
      </c>
      <c r="AF2300" s="46">
        <v>9</v>
      </c>
      <c r="AG2300" s="46">
        <v>4500</v>
      </c>
      <c r="AH2300" s="46">
        <v>23912.7</v>
      </c>
      <c r="AI2300" s="46">
        <v>5.3140000000000001</v>
      </c>
      <c r="AJ2300" s="46">
        <v>9</v>
      </c>
      <c r="AK2300" s="46">
        <v>3700</v>
      </c>
      <c r="AL2300" s="46">
        <v>19797.915000000001</v>
      </c>
      <c r="AM2300" s="46">
        <v>5.351</v>
      </c>
      <c r="AN2300" s="46" t="s">
        <v>63</v>
      </c>
      <c r="AO2300" s="46">
        <v>800</v>
      </c>
      <c r="AP2300" s="46">
        <v>4114.7849999999999</v>
      </c>
      <c r="AQ2300" s="46">
        <v>5.1429999999999998</v>
      </c>
      <c r="AR2300" s="46">
        <v>136.9</v>
      </c>
      <c r="AS2300" s="46">
        <v>13</v>
      </c>
      <c r="AT2300" s="46">
        <v>6500</v>
      </c>
      <c r="AU2300" s="46">
        <v>34383.9</v>
      </c>
      <c r="AV2300" s="46">
        <v>5.29</v>
      </c>
      <c r="AW2300" s="46">
        <v>9</v>
      </c>
      <c r="AX2300" s="46">
        <v>3700</v>
      </c>
      <c r="AY2300" s="46">
        <v>19797.915000000001</v>
      </c>
      <c r="AZ2300" s="46">
        <v>5.351</v>
      </c>
      <c r="BA2300" s="46" t="s">
        <v>63</v>
      </c>
      <c r="BB2300" s="46">
        <v>2800</v>
      </c>
      <c r="BC2300" s="46">
        <v>14585.985000000001</v>
      </c>
      <c r="BD2300" s="46">
        <v>5.2089999999999996</v>
      </c>
      <c r="BE2300" s="46">
        <v>225.7</v>
      </c>
      <c r="BF2300" s="46">
        <v>10471.200000000001</v>
      </c>
      <c r="BG2300" s="46">
        <v>5.24</v>
      </c>
      <c r="BH2300" s="46">
        <v>0</v>
      </c>
      <c r="BJ2300">
        <v>10471.200000000001</v>
      </c>
      <c r="BK2300">
        <v>5.24</v>
      </c>
      <c r="BL2300">
        <v>27.66</v>
      </c>
    </row>
    <row r="2301" spans="1:64" x14ac:dyDescent="0.25">
      <c r="A2301" s="136">
        <v>43144</v>
      </c>
      <c r="B2301" s="201" t="s">
        <v>124</v>
      </c>
      <c r="C2301" t="s">
        <v>125</v>
      </c>
      <c r="D2301">
        <v>100</v>
      </c>
      <c r="E2301">
        <v>100</v>
      </c>
      <c r="F2301">
        <v>-53.579000000000001</v>
      </c>
      <c r="G2301">
        <v>6038.9</v>
      </c>
      <c r="H2301">
        <v>0</v>
      </c>
      <c r="I2301" s="309">
        <v>681</v>
      </c>
      <c r="J2301">
        <v>6.81</v>
      </c>
      <c r="K2301" s="133">
        <v>1.4661403603122799E-3</v>
      </c>
      <c r="L2301" s="181">
        <v>20</v>
      </c>
      <c r="M2301" s="133">
        <v>0</v>
      </c>
    </row>
    <row r="2302" spans="1:64" x14ac:dyDescent="0.25">
      <c r="A2302" s="136">
        <v>43144</v>
      </c>
      <c r="B2302" s="201" t="s">
        <v>71</v>
      </c>
      <c r="C2302" t="s">
        <v>126</v>
      </c>
      <c r="D2302">
        <v>100</v>
      </c>
      <c r="E2302">
        <v>100</v>
      </c>
      <c r="F2302">
        <v>-17.085999999999999</v>
      </c>
      <c r="G2302">
        <v>2389.6</v>
      </c>
      <c r="H2302">
        <v>0</v>
      </c>
      <c r="I2302" s="309">
        <v>681</v>
      </c>
      <c r="J2302">
        <v>6.81</v>
      </c>
      <c r="K2302" s="133">
        <v>1.4661403603122799E-3</v>
      </c>
      <c r="L2302" s="181">
        <v>10</v>
      </c>
      <c r="M2302" s="133">
        <v>0</v>
      </c>
      <c r="N2302" s="73">
        <v>1703.3019999999999</v>
      </c>
      <c r="O2302" s="73">
        <v>341.114950423729</v>
      </c>
      <c r="P2302" s="182">
        <v>0</v>
      </c>
      <c r="Q2302" s="182">
        <v>0</v>
      </c>
      <c r="R2302" s="46">
        <v>0</v>
      </c>
      <c r="S2302" s="46">
        <v>7</v>
      </c>
      <c r="T2302" s="46">
        <v>2800</v>
      </c>
      <c r="U2302" s="46">
        <v>6.6749999999999998</v>
      </c>
      <c r="V2302" s="46" t="s">
        <v>68</v>
      </c>
      <c r="W2302" s="46">
        <v>2800</v>
      </c>
      <c r="X2302" s="46">
        <v>6.6749999999999998</v>
      </c>
      <c r="AF2302" s="46">
        <v>41</v>
      </c>
      <c r="AG2302" s="46">
        <v>20600</v>
      </c>
      <c r="AH2302" s="46">
        <v>131323.35999999999</v>
      </c>
      <c r="AI2302" s="46">
        <v>6.375</v>
      </c>
      <c r="AJ2302" s="46">
        <v>39</v>
      </c>
      <c r="AK2302" s="46">
        <v>17700</v>
      </c>
      <c r="AL2302" s="46">
        <v>114228.83100000001</v>
      </c>
      <c r="AM2302" s="46">
        <v>6.4539999999999997</v>
      </c>
      <c r="AN2302" s="46" t="s">
        <v>63</v>
      </c>
      <c r="AO2302" s="46">
        <v>2900</v>
      </c>
      <c r="AP2302" s="46">
        <v>17094.528999999999</v>
      </c>
      <c r="AQ2302" s="46">
        <v>5.8949999999999996</v>
      </c>
      <c r="AR2302" s="46">
        <v>1398.3</v>
      </c>
      <c r="AS2302" s="46">
        <v>41</v>
      </c>
      <c r="AT2302" s="46">
        <v>20600</v>
      </c>
      <c r="AU2302" s="46">
        <v>131323.35999999999</v>
      </c>
      <c r="AV2302" s="46">
        <v>6.375</v>
      </c>
      <c r="AW2302" s="46">
        <v>46</v>
      </c>
      <c r="AX2302" s="46">
        <v>20500</v>
      </c>
      <c r="AY2302" s="46">
        <v>132870.462</v>
      </c>
      <c r="AZ2302" s="46">
        <v>6.4809999999999999</v>
      </c>
      <c r="BA2302" s="46" t="s">
        <v>63</v>
      </c>
      <c r="BB2302" s="46">
        <v>100</v>
      </c>
      <c r="BC2302" s="46">
        <v>1547.1020000000001</v>
      </c>
      <c r="BD2302" s="46">
        <v>15.471</v>
      </c>
      <c r="BE2302" s="46">
        <v>2173</v>
      </c>
      <c r="BF2302" s="46">
        <v>0</v>
      </c>
      <c r="BH2302" s="46">
        <v>18641.631000000001</v>
      </c>
      <c r="BI2302">
        <v>6.66</v>
      </c>
      <c r="BJ2302">
        <v>-15547.427</v>
      </c>
      <c r="BK2302">
        <v>-5.55</v>
      </c>
      <c r="BL2302">
        <v>205.33</v>
      </c>
    </row>
    <row r="2303" spans="1:64" x14ac:dyDescent="0.25">
      <c r="A2303" s="136">
        <v>43144</v>
      </c>
      <c r="B2303" s="201" t="s">
        <v>79</v>
      </c>
      <c r="C2303" t="s">
        <v>143</v>
      </c>
      <c r="D2303">
        <v>6200</v>
      </c>
      <c r="E2303">
        <v>5800</v>
      </c>
      <c r="F2303">
        <v>16.262</v>
      </c>
      <c r="G2303">
        <v>-13587.86</v>
      </c>
      <c r="H2303">
        <v>-13.48</v>
      </c>
      <c r="I2303" s="309">
        <v>87234</v>
      </c>
      <c r="J2303">
        <v>14.07</v>
      </c>
      <c r="K2303" s="133">
        <v>0.18780805901832801</v>
      </c>
      <c r="L2303" s="181">
        <v>-310</v>
      </c>
      <c r="M2303" s="133">
        <v>0.21706167128892001</v>
      </c>
      <c r="N2303" s="73">
        <v>-14149.1760000001</v>
      </c>
      <c r="O2303" s="73">
        <v>-1011.59523690988</v>
      </c>
      <c r="P2303" s="182">
        <v>10</v>
      </c>
      <c r="Q2303" s="182">
        <v>5500</v>
      </c>
      <c r="R2303" s="46">
        <v>16.006</v>
      </c>
      <c r="S2303" s="46">
        <v>0</v>
      </c>
      <c r="T2303" s="46">
        <v>0</v>
      </c>
      <c r="U2303" s="46">
        <v>0</v>
      </c>
      <c r="V2303" s="46" t="s">
        <v>62</v>
      </c>
      <c r="W2303" s="46">
        <v>5500</v>
      </c>
      <c r="X2303" s="46">
        <v>16.006</v>
      </c>
      <c r="AF2303" s="46">
        <v>7</v>
      </c>
      <c r="AG2303" s="46">
        <v>3500</v>
      </c>
      <c r="AH2303" s="46">
        <v>56752.1</v>
      </c>
      <c r="AI2303" s="46">
        <v>16.215</v>
      </c>
      <c r="AJ2303" s="46">
        <v>7</v>
      </c>
      <c r="AK2303" s="46">
        <v>2800</v>
      </c>
      <c r="AL2303" s="46">
        <v>44015.224000000002</v>
      </c>
      <c r="AM2303" s="46">
        <v>15.72</v>
      </c>
      <c r="AN2303" s="46" t="s">
        <v>63</v>
      </c>
      <c r="AO2303" s="46">
        <v>700</v>
      </c>
      <c r="AP2303" s="46">
        <v>12736.876</v>
      </c>
      <c r="AQ2303" s="46">
        <v>18.196000000000002</v>
      </c>
      <c r="AR2303" s="46">
        <v>-1386</v>
      </c>
      <c r="AS2303" s="46">
        <v>17</v>
      </c>
      <c r="AT2303" s="46">
        <v>9000</v>
      </c>
      <c r="AU2303" s="46">
        <v>144840.4</v>
      </c>
      <c r="AV2303" s="46">
        <v>16.093</v>
      </c>
      <c r="AW2303" s="46">
        <v>7</v>
      </c>
      <c r="AX2303" s="46">
        <v>2800</v>
      </c>
      <c r="AY2303" s="46">
        <v>44015.224000000002</v>
      </c>
      <c r="AZ2303" s="46">
        <v>15.72</v>
      </c>
      <c r="BA2303" s="46" t="s">
        <v>63</v>
      </c>
      <c r="BB2303" s="46">
        <v>6200</v>
      </c>
      <c r="BC2303" s="46">
        <v>100825.17600000001</v>
      </c>
      <c r="BD2303" s="46">
        <v>16.262</v>
      </c>
      <c r="BE2303" s="46">
        <v>-1044.4000000000001</v>
      </c>
      <c r="BF2303" s="46">
        <v>88088.3</v>
      </c>
      <c r="BG2303" s="46">
        <v>16.02</v>
      </c>
      <c r="BH2303" s="46">
        <v>0</v>
      </c>
      <c r="BJ2303">
        <v>88088.3</v>
      </c>
      <c r="BK2303">
        <v>16.02</v>
      </c>
      <c r="BL2303">
        <v>-98.51</v>
      </c>
    </row>
    <row r="2304" spans="1:64" x14ac:dyDescent="0.25">
      <c r="A2304" s="136">
        <v>43144</v>
      </c>
      <c r="B2304" s="201" t="s">
        <v>65</v>
      </c>
      <c r="C2304" t="s">
        <v>127</v>
      </c>
      <c r="D2304">
        <v>9400</v>
      </c>
      <c r="E2304">
        <v>9400</v>
      </c>
      <c r="F2304">
        <v>9.17</v>
      </c>
      <c r="G2304">
        <v>9023.73</v>
      </c>
      <c r="H2304">
        <v>10.47</v>
      </c>
      <c r="I2304" s="309">
        <v>95222</v>
      </c>
      <c r="J2304">
        <v>10.130000000000001</v>
      </c>
      <c r="K2304" s="133">
        <v>0.20500560556483999</v>
      </c>
      <c r="L2304" s="181">
        <v>246.88999999999899</v>
      </c>
      <c r="M2304" s="133">
        <v>0.185578212387805</v>
      </c>
      <c r="N2304" s="73">
        <v>6151.3049999999703</v>
      </c>
      <c r="O2304" s="73">
        <v>1014.36206913909</v>
      </c>
      <c r="P2304" s="182">
        <v>0</v>
      </c>
      <c r="Q2304" s="182">
        <v>0</v>
      </c>
      <c r="R2304" s="46">
        <v>0</v>
      </c>
      <c r="S2304" s="46">
        <v>17</v>
      </c>
      <c r="T2304" s="46">
        <v>7200</v>
      </c>
      <c r="U2304" s="46">
        <v>12.145</v>
      </c>
      <c r="V2304" s="46" t="s">
        <v>68</v>
      </c>
      <c r="W2304" s="46">
        <v>7200</v>
      </c>
      <c r="X2304" s="46">
        <v>12.145</v>
      </c>
      <c r="AF2304" s="46">
        <v>163</v>
      </c>
      <c r="AG2304" s="46">
        <v>87000</v>
      </c>
      <c r="AH2304" s="46">
        <v>1012622.231</v>
      </c>
      <c r="AI2304" s="46">
        <v>11.638999999999999</v>
      </c>
      <c r="AJ2304" s="46">
        <v>183</v>
      </c>
      <c r="AK2304" s="46">
        <v>79600</v>
      </c>
      <c r="AL2304" s="46">
        <v>838317.97699999996</v>
      </c>
      <c r="AM2304" s="46">
        <v>10.532</v>
      </c>
      <c r="AN2304" s="46" t="s">
        <v>63</v>
      </c>
      <c r="AO2304" s="46">
        <v>7400</v>
      </c>
      <c r="AP2304" s="46">
        <v>174304.25399999999</v>
      </c>
      <c r="AQ2304" s="46">
        <v>23.555</v>
      </c>
      <c r="AR2304" s="46">
        <v>-88117.2</v>
      </c>
      <c r="AS2304" s="46">
        <v>164</v>
      </c>
      <c r="AT2304" s="46">
        <v>87100</v>
      </c>
      <c r="AU2304" s="46">
        <v>1013910.231</v>
      </c>
      <c r="AV2304" s="46">
        <v>11.641</v>
      </c>
      <c r="AW2304" s="46">
        <v>200</v>
      </c>
      <c r="AX2304" s="46">
        <v>86800</v>
      </c>
      <c r="AY2304" s="46">
        <v>925588.53399999999</v>
      </c>
      <c r="AZ2304" s="46">
        <v>10.663</v>
      </c>
      <c r="BA2304" s="46" t="s">
        <v>63</v>
      </c>
      <c r="BB2304" s="46">
        <v>300</v>
      </c>
      <c r="BC2304" s="46">
        <v>88321.697</v>
      </c>
      <c r="BD2304" s="46">
        <v>294.40600000000001</v>
      </c>
      <c r="BE2304" s="46">
        <v>-84890.4</v>
      </c>
      <c r="BF2304" s="46">
        <v>1288</v>
      </c>
      <c r="BH2304" s="46">
        <v>87270.557000000001</v>
      </c>
      <c r="BI2304">
        <v>12.12</v>
      </c>
      <c r="BJ2304">
        <v>-85982.557000000001</v>
      </c>
      <c r="BK2304">
        <v>-11.94</v>
      </c>
      <c r="BL2304">
        <v>-8698.64</v>
      </c>
    </row>
    <row r="2305" spans="1:64" x14ac:dyDescent="0.25">
      <c r="A2305" s="136">
        <v>43144</v>
      </c>
      <c r="B2305" s="201" t="s">
        <v>77</v>
      </c>
      <c r="C2305" t="s">
        <v>128</v>
      </c>
      <c r="D2305">
        <v>4300</v>
      </c>
      <c r="E2305">
        <v>4300</v>
      </c>
      <c r="F2305">
        <v>5.9779999999999998</v>
      </c>
      <c r="G2305">
        <v>-595.27</v>
      </c>
      <c r="H2305">
        <v>-2.31</v>
      </c>
      <c r="I2305" s="309">
        <v>25112</v>
      </c>
      <c r="J2305">
        <v>5.84</v>
      </c>
      <c r="K2305" s="133">
        <v>5.4064194901853199E-2</v>
      </c>
      <c r="L2305" s="181">
        <v>0</v>
      </c>
      <c r="M2305" s="133">
        <v>5.5345765198891499E-2</v>
      </c>
      <c r="N2305" s="73">
        <v>-1272.2139999999999</v>
      </c>
      <c r="O2305" s="73">
        <v>-133.073774655173</v>
      </c>
      <c r="P2305" s="182">
        <v>6</v>
      </c>
      <c r="Q2305" s="182">
        <v>3000</v>
      </c>
      <c r="R2305" s="46">
        <v>6.798</v>
      </c>
      <c r="S2305" s="46">
        <v>0</v>
      </c>
      <c r="T2305" s="46">
        <v>0</v>
      </c>
      <c r="U2305" s="46">
        <v>0</v>
      </c>
      <c r="V2305" s="46" t="s">
        <v>62</v>
      </c>
      <c r="W2305" s="46">
        <v>3000</v>
      </c>
      <c r="X2305" s="46">
        <v>6.798</v>
      </c>
      <c r="AF2305" s="46">
        <v>39</v>
      </c>
      <c r="AG2305" s="46">
        <v>19500</v>
      </c>
      <c r="AH2305" s="46">
        <v>142169</v>
      </c>
      <c r="AI2305" s="46">
        <v>7.2910000000000004</v>
      </c>
      <c r="AJ2305" s="46">
        <v>39</v>
      </c>
      <c r="AK2305" s="46">
        <v>18200</v>
      </c>
      <c r="AL2305" s="46">
        <v>136881.78599999999</v>
      </c>
      <c r="AM2305" s="46">
        <v>7.5209999999999999</v>
      </c>
      <c r="AN2305" s="46" t="s">
        <v>63</v>
      </c>
      <c r="AO2305" s="46">
        <v>1300</v>
      </c>
      <c r="AP2305" s="46">
        <v>5287.2139999999999</v>
      </c>
      <c r="AQ2305" s="46">
        <v>4.0670000000000002</v>
      </c>
      <c r="AR2305" s="46">
        <v>4186</v>
      </c>
      <c r="AS2305" s="46">
        <v>45</v>
      </c>
      <c r="AT2305" s="46">
        <v>22500</v>
      </c>
      <c r="AU2305" s="46">
        <v>162594</v>
      </c>
      <c r="AV2305" s="46">
        <v>7.226</v>
      </c>
      <c r="AW2305" s="46">
        <v>39</v>
      </c>
      <c r="AX2305" s="46">
        <v>18200</v>
      </c>
      <c r="AY2305" s="46">
        <v>136881.78599999999</v>
      </c>
      <c r="AZ2305" s="46">
        <v>7.5209999999999999</v>
      </c>
      <c r="BA2305" s="46" t="s">
        <v>63</v>
      </c>
      <c r="BB2305" s="46">
        <v>4300</v>
      </c>
      <c r="BC2305" s="46">
        <v>25712.214</v>
      </c>
      <c r="BD2305" s="46">
        <v>5.98</v>
      </c>
      <c r="BE2305" s="46">
        <v>5369</v>
      </c>
      <c r="BF2305" s="46">
        <v>20425</v>
      </c>
      <c r="BG2305" s="46">
        <v>6.81</v>
      </c>
      <c r="BH2305" s="46">
        <v>0</v>
      </c>
      <c r="BJ2305">
        <v>20425</v>
      </c>
      <c r="BK2305">
        <v>6.81</v>
      </c>
      <c r="BL2305">
        <v>716.78</v>
      </c>
    </row>
    <row r="2306" spans="1:64" x14ac:dyDescent="0.25">
      <c r="A2306" s="136">
        <v>43144</v>
      </c>
      <c r="B2306" s="201" t="s">
        <v>67</v>
      </c>
      <c r="C2306" t="s">
        <v>129</v>
      </c>
      <c r="D2306">
        <v>950</v>
      </c>
      <c r="E2306">
        <v>550</v>
      </c>
      <c r="F2306">
        <v>6.7270000000000003</v>
      </c>
      <c r="G2306">
        <v>2396.5</v>
      </c>
      <c r="H2306">
        <v>37.51</v>
      </c>
      <c r="I2306" s="309">
        <v>8787.5</v>
      </c>
      <c r="J2306">
        <v>9.25</v>
      </c>
      <c r="K2306" s="133">
        <v>1.8918808247054601E-2</v>
      </c>
      <c r="L2306" s="181">
        <v>1237.57</v>
      </c>
      <c r="M2306" s="133">
        <v>1.3759328990830801E-2</v>
      </c>
      <c r="N2306" s="73">
        <v>2375.2129999997601</v>
      </c>
      <c r="O2306" s="73">
        <v>257.20751825566299</v>
      </c>
      <c r="P2306" s="182">
        <v>0</v>
      </c>
      <c r="Q2306" s="182">
        <v>0</v>
      </c>
      <c r="R2306" s="46">
        <v>0</v>
      </c>
      <c r="S2306" s="46">
        <v>18</v>
      </c>
      <c r="T2306" s="46">
        <v>7200</v>
      </c>
      <c r="U2306" s="46">
        <v>8.8330000000000002</v>
      </c>
      <c r="V2306" s="46" t="s">
        <v>68</v>
      </c>
      <c r="W2306" s="46">
        <v>7200</v>
      </c>
      <c r="X2306" s="46">
        <v>8.8330000000000002</v>
      </c>
      <c r="AF2306" s="46">
        <v>173</v>
      </c>
      <c r="AG2306" s="46">
        <v>86000</v>
      </c>
      <c r="AH2306" s="46">
        <v>712694</v>
      </c>
      <c r="AI2306" s="46">
        <v>8.2870000000000008</v>
      </c>
      <c r="AJ2306" s="46">
        <v>175</v>
      </c>
      <c r="AK2306" s="46">
        <v>80450</v>
      </c>
      <c r="AL2306" s="46">
        <v>711982.429</v>
      </c>
      <c r="AM2306" s="46">
        <v>8.85</v>
      </c>
      <c r="AN2306" s="46" t="s">
        <v>63</v>
      </c>
      <c r="AO2306" s="46">
        <v>5550</v>
      </c>
      <c r="AP2306" s="46">
        <v>711.57100000000003</v>
      </c>
      <c r="AQ2306" s="46">
        <v>0.128</v>
      </c>
      <c r="AR2306" s="46">
        <v>45293.35</v>
      </c>
      <c r="AS2306" s="46">
        <v>173</v>
      </c>
      <c r="AT2306" s="46">
        <v>86000</v>
      </c>
      <c r="AU2306" s="46">
        <v>712694</v>
      </c>
      <c r="AV2306" s="46">
        <v>8.2870000000000008</v>
      </c>
      <c r="AW2306" s="46">
        <v>193</v>
      </c>
      <c r="AX2306" s="46">
        <v>87650</v>
      </c>
      <c r="AY2306" s="46">
        <v>775428.82900000003</v>
      </c>
      <c r="AZ2306" s="46">
        <v>8.8469999999999995</v>
      </c>
      <c r="BA2306" s="46" t="s">
        <v>69</v>
      </c>
      <c r="BB2306" s="46">
        <v>1650</v>
      </c>
      <c r="BC2306" s="46">
        <v>62734.828999999998</v>
      </c>
      <c r="BD2306" s="46">
        <v>38.021000000000001</v>
      </c>
      <c r="BE2306" s="46">
        <v>48160</v>
      </c>
      <c r="BF2306" s="46">
        <v>0</v>
      </c>
      <c r="BH2306" s="46">
        <v>63446.400000000001</v>
      </c>
      <c r="BI2306">
        <v>8.81</v>
      </c>
      <c r="BJ2306">
        <v>62023.258000000002</v>
      </c>
      <c r="BK2306">
        <v>8.61</v>
      </c>
      <c r="BL2306">
        <v>4896.58</v>
      </c>
    </row>
    <row r="2307" spans="1:64" x14ac:dyDescent="0.25">
      <c r="A2307" s="136">
        <v>43144</v>
      </c>
      <c r="B2307" s="201" t="s">
        <v>78</v>
      </c>
      <c r="C2307" t="s">
        <v>142</v>
      </c>
      <c r="D2307">
        <v>2700</v>
      </c>
      <c r="E2307">
        <v>2700</v>
      </c>
      <c r="F2307">
        <v>9.0890000000000004</v>
      </c>
      <c r="G2307">
        <v>-1589.56</v>
      </c>
      <c r="H2307">
        <v>-6.48</v>
      </c>
      <c r="I2307" s="309">
        <v>22950</v>
      </c>
      <c r="J2307">
        <v>8.5</v>
      </c>
      <c r="K2307" s="133">
        <v>4.94095760193346E-2</v>
      </c>
      <c r="L2307" s="181">
        <v>240.57</v>
      </c>
      <c r="M2307" s="133">
        <v>5.2831775830109902E-2</v>
      </c>
      <c r="N2307" s="73">
        <v>-1373.5640000000001</v>
      </c>
      <c r="O2307" s="73">
        <v>-160.00899976689999</v>
      </c>
      <c r="P2307" s="182">
        <v>3</v>
      </c>
      <c r="Q2307" s="182">
        <v>1500</v>
      </c>
      <c r="R2307" s="46">
        <v>8.7430000000000003</v>
      </c>
      <c r="S2307" s="46">
        <v>0</v>
      </c>
      <c r="T2307" s="46">
        <v>0</v>
      </c>
      <c r="U2307" s="46">
        <v>0</v>
      </c>
      <c r="V2307" s="46" t="s">
        <v>62</v>
      </c>
      <c r="W2307" s="46">
        <v>1500</v>
      </c>
      <c r="X2307" s="46">
        <v>8.7430000000000003</v>
      </c>
      <c r="AF2307" s="46">
        <v>9</v>
      </c>
      <c r="AG2307" s="46">
        <v>4500</v>
      </c>
      <c r="AH2307" s="46">
        <v>44895</v>
      </c>
      <c r="AI2307" s="46">
        <v>9.9770000000000003</v>
      </c>
      <c r="AJ2307" s="46">
        <v>9</v>
      </c>
      <c r="AK2307" s="46">
        <v>3300</v>
      </c>
      <c r="AL2307" s="46">
        <v>33485.436000000002</v>
      </c>
      <c r="AM2307" s="46">
        <v>10.147</v>
      </c>
      <c r="AN2307" s="46" t="s">
        <v>63</v>
      </c>
      <c r="AO2307" s="46">
        <v>1200</v>
      </c>
      <c r="AP2307" s="46">
        <v>11409.564</v>
      </c>
      <c r="AQ2307" s="46">
        <v>9.5079999999999991</v>
      </c>
      <c r="AR2307" s="46">
        <v>561</v>
      </c>
      <c r="AS2307" s="46">
        <v>12</v>
      </c>
      <c r="AT2307" s="46">
        <v>6000</v>
      </c>
      <c r="AU2307" s="46">
        <v>58025</v>
      </c>
      <c r="AV2307" s="46">
        <v>9.6709999999999994</v>
      </c>
      <c r="AW2307" s="46">
        <v>9</v>
      </c>
      <c r="AX2307" s="46">
        <v>3300</v>
      </c>
      <c r="AY2307" s="46">
        <v>33485.436000000002</v>
      </c>
      <c r="AZ2307" s="46">
        <v>10.147</v>
      </c>
      <c r="BA2307" s="46" t="s">
        <v>63</v>
      </c>
      <c r="BB2307" s="46">
        <v>2700</v>
      </c>
      <c r="BC2307" s="46">
        <v>24539.563999999998</v>
      </c>
      <c r="BD2307" s="46">
        <v>9.0890000000000004</v>
      </c>
      <c r="BE2307" s="46">
        <v>1570.8</v>
      </c>
      <c r="BF2307" s="46">
        <v>13130</v>
      </c>
      <c r="BG2307" s="46">
        <v>8.75</v>
      </c>
      <c r="BH2307" s="46">
        <v>0</v>
      </c>
      <c r="BJ2307">
        <v>13130</v>
      </c>
      <c r="BK2307">
        <v>8.75</v>
      </c>
      <c r="BL2307">
        <v>66</v>
      </c>
    </row>
    <row r="2308" spans="1:64" x14ac:dyDescent="0.25">
      <c r="A2308" s="136">
        <v>43144</v>
      </c>
      <c r="B2308" s="201" t="s">
        <v>72</v>
      </c>
      <c r="C2308" t="s">
        <v>130</v>
      </c>
      <c r="D2308">
        <v>4100</v>
      </c>
      <c r="E2308">
        <v>4100</v>
      </c>
      <c r="F2308">
        <v>6.758</v>
      </c>
      <c r="G2308">
        <v>-2408.87</v>
      </c>
      <c r="H2308">
        <v>-8.6999999999999993</v>
      </c>
      <c r="I2308" s="309">
        <v>25297</v>
      </c>
      <c r="J2308">
        <v>6.17</v>
      </c>
      <c r="K2308" s="133">
        <v>5.4462485601791198E-2</v>
      </c>
      <c r="L2308" s="181">
        <v>82</v>
      </c>
      <c r="M2308" s="133">
        <v>5.9648596511843198E-2</v>
      </c>
      <c r="N2308" s="73">
        <v>-2515.0679999999902</v>
      </c>
      <c r="O2308" s="73">
        <v>-471.691099174915</v>
      </c>
      <c r="P2308" s="182">
        <v>0</v>
      </c>
      <c r="Q2308" s="182">
        <v>0</v>
      </c>
      <c r="R2308" s="46">
        <v>0</v>
      </c>
      <c r="S2308" s="46">
        <v>9</v>
      </c>
      <c r="T2308" s="46">
        <v>3600</v>
      </c>
      <c r="U2308" s="46">
        <v>7.8330000000000002</v>
      </c>
      <c r="V2308" s="46" t="s">
        <v>68</v>
      </c>
      <c r="W2308" s="46">
        <v>3600</v>
      </c>
      <c r="X2308" s="46">
        <v>7.8330000000000002</v>
      </c>
      <c r="AF2308" s="46">
        <v>32</v>
      </c>
      <c r="AG2308" s="46">
        <v>15900</v>
      </c>
      <c r="AH2308" s="46">
        <v>121142</v>
      </c>
      <c r="AI2308" s="46">
        <v>7.6189999999999998</v>
      </c>
      <c r="AJ2308" s="46">
        <v>32</v>
      </c>
      <c r="AK2308" s="46">
        <v>14800</v>
      </c>
      <c r="AL2308" s="46">
        <v>66041.797000000006</v>
      </c>
      <c r="AM2308" s="46">
        <v>4.4619999999999997</v>
      </c>
      <c r="AN2308" s="46" t="s">
        <v>63</v>
      </c>
      <c r="AO2308" s="46">
        <v>1100</v>
      </c>
      <c r="AP2308" s="46">
        <v>55100.203000000001</v>
      </c>
      <c r="AQ2308" s="46">
        <v>50.091000000000001</v>
      </c>
      <c r="AR2308" s="46">
        <v>-46723.6</v>
      </c>
      <c r="AS2308" s="46">
        <v>32</v>
      </c>
      <c r="AT2308" s="46">
        <v>15900</v>
      </c>
      <c r="AU2308" s="46">
        <v>121142</v>
      </c>
      <c r="AV2308" s="46">
        <v>7.6189999999999998</v>
      </c>
      <c r="AW2308" s="46">
        <v>42</v>
      </c>
      <c r="AX2308" s="46">
        <v>18900</v>
      </c>
      <c r="AY2308" s="46">
        <v>94168.596999999994</v>
      </c>
      <c r="AZ2308" s="46">
        <v>4.9820000000000002</v>
      </c>
      <c r="BA2308" s="46" t="s">
        <v>69</v>
      </c>
      <c r="BB2308" s="46">
        <v>3000</v>
      </c>
      <c r="BC2308" s="46">
        <v>26973.402999999998</v>
      </c>
      <c r="BD2308" s="46">
        <v>8.9909999999999997</v>
      </c>
      <c r="BE2308" s="46">
        <v>-41928.300000000003</v>
      </c>
      <c r="BF2308" s="46">
        <v>0</v>
      </c>
      <c r="BH2308" s="46">
        <v>28126.799999999999</v>
      </c>
      <c r="BI2308">
        <v>7.81</v>
      </c>
      <c r="BJ2308">
        <v>-28126.799999999999</v>
      </c>
      <c r="BK2308">
        <v>-7.81</v>
      </c>
      <c r="BL2308">
        <v>-7572.71</v>
      </c>
    </row>
    <row r="2309" spans="1:64" x14ac:dyDescent="0.25">
      <c r="A2309" s="136">
        <v>43144</v>
      </c>
      <c r="B2309" s="201" t="s">
        <v>70</v>
      </c>
      <c r="C2309" t="s">
        <v>131</v>
      </c>
      <c r="D2309">
        <v>15100</v>
      </c>
      <c r="E2309">
        <v>14100</v>
      </c>
      <c r="F2309">
        <v>11.005000000000001</v>
      </c>
      <c r="G2309">
        <v>-43707.03</v>
      </c>
      <c r="H2309">
        <v>-26.31</v>
      </c>
      <c r="I2309" s="309">
        <v>122461</v>
      </c>
      <c r="J2309">
        <v>8.11</v>
      </c>
      <c r="K2309" s="133">
        <v>0.26364906705462898</v>
      </c>
      <c r="L2309" s="181">
        <v>1294</v>
      </c>
      <c r="M2309" s="133">
        <v>0.35774692419468701</v>
      </c>
      <c r="N2309" s="73">
        <v>-44159.025999999998</v>
      </c>
      <c r="O2309" s="73">
        <v>-5462.4933771039696</v>
      </c>
      <c r="P2309" s="182">
        <v>5</v>
      </c>
      <c r="Q2309" s="182">
        <v>3500</v>
      </c>
      <c r="R2309" s="46">
        <v>8.2110000000000003</v>
      </c>
      <c r="S2309" s="46">
        <v>1</v>
      </c>
      <c r="T2309" s="46">
        <v>400</v>
      </c>
      <c r="U2309" s="46">
        <v>8.43</v>
      </c>
      <c r="V2309" s="46" t="s">
        <v>62</v>
      </c>
      <c r="W2309" s="46">
        <v>3100</v>
      </c>
      <c r="X2309" s="46">
        <v>8.1829999999999998</v>
      </c>
      <c r="AF2309" s="46">
        <v>128</v>
      </c>
      <c r="AG2309" s="46">
        <v>64600</v>
      </c>
      <c r="AH2309" s="46">
        <v>861448</v>
      </c>
      <c r="AI2309" s="46">
        <v>13.335000000000001</v>
      </c>
      <c r="AJ2309" s="46">
        <v>131</v>
      </c>
      <c r="AK2309" s="46">
        <v>52600</v>
      </c>
      <c r="AL2309" s="46">
        <v>720277.34600000002</v>
      </c>
      <c r="AM2309" s="46">
        <v>13.693</v>
      </c>
      <c r="AN2309" s="46" t="s">
        <v>63</v>
      </c>
      <c r="AO2309" s="46">
        <v>12000</v>
      </c>
      <c r="AP2309" s="46">
        <v>141170.65400000001</v>
      </c>
      <c r="AQ2309" s="46">
        <v>11.763999999999999</v>
      </c>
      <c r="AR2309" s="46">
        <v>18830.8</v>
      </c>
      <c r="AS2309" s="46">
        <v>133</v>
      </c>
      <c r="AT2309" s="46">
        <v>68100</v>
      </c>
      <c r="AU2309" s="46">
        <v>890213</v>
      </c>
      <c r="AV2309" s="46">
        <v>13.071999999999999</v>
      </c>
      <c r="AW2309" s="46">
        <v>133</v>
      </c>
      <c r="AX2309" s="46">
        <v>53000</v>
      </c>
      <c r="AY2309" s="46">
        <v>724045.97400000005</v>
      </c>
      <c r="AZ2309" s="46">
        <v>13.661</v>
      </c>
      <c r="BA2309" s="46" t="s">
        <v>63</v>
      </c>
      <c r="BB2309" s="46">
        <v>15100</v>
      </c>
      <c r="BC2309" s="46">
        <v>166167.02600000001</v>
      </c>
      <c r="BD2309" s="46">
        <v>11.004</v>
      </c>
      <c r="BE2309" s="46">
        <v>31217</v>
      </c>
      <c r="BF2309" s="46">
        <v>28765</v>
      </c>
      <c r="BG2309" s="46">
        <v>8.2200000000000006</v>
      </c>
      <c r="BH2309" s="46">
        <v>3768.6280000000302</v>
      </c>
      <c r="BI2309">
        <v>9.42</v>
      </c>
      <c r="BJ2309">
        <v>24996.371999999999</v>
      </c>
      <c r="BK2309">
        <v>8.06</v>
      </c>
      <c r="BL2309">
        <v>2321.92</v>
      </c>
    </row>
    <row r="2310" spans="1:64" x14ac:dyDescent="0.25">
      <c r="A2310" s="136">
        <v>43144</v>
      </c>
      <c r="B2310" s="201" t="s">
        <v>137</v>
      </c>
      <c r="C2310" t="s">
        <v>138</v>
      </c>
      <c r="D2310">
        <v>100</v>
      </c>
      <c r="E2310">
        <v>100</v>
      </c>
      <c r="F2310">
        <v>-130.48500000000001</v>
      </c>
      <c r="G2310">
        <v>15976.5</v>
      </c>
      <c r="H2310">
        <v>0</v>
      </c>
      <c r="I2310" s="309">
        <v>2928</v>
      </c>
      <c r="J2310">
        <v>29.28</v>
      </c>
      <c r="K2310" s="133">
        <v>6.3037576725321004E-3</v>
      </c>
      <c r="L2310" s="181">
        <v>-7</v>
      </c>
      <c r="M2310" s="133">
        <v>0</v>
      </c>
    </row>
    <row r="2311" spans="1:64" x14ac:dyDescent="0.25">
      <c r="A2311" s="136">
        <v>43144</v>
      </c>
      <c r="B2311" s="201" t="s">
        <v>835</v>
      </c>
      <c r="C2311" t="s">
        <v>839</v>
      </c>
      <c r="I2311" s="309">
        <v>7.84</v>
      </c>
      <c r="K2311" s="133">
        <v>1.6878913986561399E-5</v>
      </c>
      <c r="L2311" s="181">
        <v>0</v>
      </c>
      <c r="M2311" s="133">
        <v>0.127606656544198</v>
      </c>
    </row>
    <row r="2312" spans="1:64" x14ac:dyDescent="0.25">
      <c r="A2312" s="136">
        <v>43145</v>
      </c>
      <c r="B2312" s="201" t="s">
        <v>132</v>
      </c>
      <c r="C2312" t="s">
        <v>123</v>
      </c>
      <c r="D2312">
        <v>4927186</v>
      </c>
      <c r="E2312">
        <v>4927186</v>
      </c>
      <c r="F2312">
        <v>8.9999999999999993E-3</v>
      </c>
      <c r="G2312">
        <v>3049.42</v>
      </c>
      <c r="H2312">
        <v>11.11</v>
      </c>
      <c r="I2312" s="309">
        <v>49271.86</v>
      </c>
      <c r="J2312">
        <v>0.01</v>
      </c>
      <c r="K2312" s="133">
        <v>0.10564231296259601</v>
      </c>
      <c r="L2312" s="181">
        <v>8.3400000000001508</v>
      </c>
      <c r="M2312" s="133">
        <v>0</v>
      </c>
    </row>
    <row r="2313" spans="1:64" x14ac:dyDescent="0.25">
      <c r="A2313" s="136">
        <v>43145</v>
      </c>
      <c r="B2313" s="201" t="s">
        <v>61</v>
      </c>
      <c r="C2313" t="s">
        <v>136</v>
      </c>
      <c r="D2313">
        <v>2800</v>
      </c>
      <c r="E2313">
        <v>2800</v>
      </c>
      <c r="F2313">
        <v>5.2069999999999999</v>
      </c>
      <c r="G2313">
        <v>-804.89</v>
      </c>
      <c r="H2313">
        <v>-5.51</v>
      </c>
      <c r="I2313" s="309">
        <v>13776</v>
      </c>
      <c r="J2313">
        <v>4.92</v>
      </c>
      <c r="K2313" s="133">
        <v>2.9536707227466701E-2</v>
      </c>
      <c r="L2313" s="181">
        <v>-84</v>
      </c>
      <c r="M2313" s="133">
        <v>3.12624476659333E-2</v>
      </c>
      <c r="N2313" s="73">
        <v>-809.98500000000104</v>
      </c>
      <c r="O2313" s="73">
        <v>-164.54878201219501</v>
      </c>
      <c r="P2313" s="182">
        <v>4</v>
      </c>
      <c r="Q2313" s="182">
        <v>2000</v>
      </c>
      <c r="R2313" s="46">
        <v>5.2249999999999996</v>
      </c>
      <c r="S2313" s="46">
        <v>0</v>
      </c>
      <c r="T2313" s="46">
        <v>0</v>
      </c>
      <c r="U2313" s="46">
        <v>0</v>
      </c>
      <c r="V2313" s="46" t="s">
        <v>62</v>
      </c>
      <c r="W2313" s="46">
        <v>2000</v>
      </c>
      <c r="X2313" s="46">
        <v>5.2249999999999996</v>
      </c>
      <c r="AF2313" s="46">
        <v>9</v>
      </c>
      <c r="AG2313" s="46">
        <v>4500</v>
      </c>
      <c r="AH2313" s="46">
        <v>23912.7</v>
      </c>
      <c r="AI2313" s="46">
        <v>5.3140000000000001</v>
      </c>
      <c r="AJ2313" s="46">
        <v>9</v>
      </c>
      <c r="AK2313" s="46">
        <v>3700</v>
      </c>
      <c r="AL2313" s="46">
        <v>19797.915000000001</v>
      </c>
      <c r="AM2313" s="46">
        <v>5.351</v>
      </c>
      <c r="AN2313" s="46" t="s">
        <v>63</v>
      </c>
      <c r="AO2313" s="46">
        <v>800</v>
      </c>
      <c r="AP2313" s="46">
        <v>4114.7849999999999</v>
      </c>
      <c r="AQ2313" s="46">
        <v>5.1429999999999998</v>
      </c>
      <c r="AR2313" s="46">
        <v>136.9</v>
      </c>
      <c r="AS2313" s="46">
        <v>13</v>
      </c>
      <c r="AT2313" s="46">
        <v>6500</v>
      </c>
      <c r="AU2313" s="46">
        <v>34383.9</v>
      </c>
      <c r="AV2313" s="46">
        <v>5.29</v>
      </c>
      <c r="AW2313" s="46">
        <v>9</v>
      </c>
      <c r="AX2313" s="46">
        <v>3700</v>
      </c>
      <c r="AY2313" s="46">
        <v>19797.915000000001</v>
      </c>
      <c r="AZ2313" s="46">
        <v>5.351</v>
      </c>
      <c r="BA2313" s="46" t="s">
        <v>63</v>
      </c>
      <c r="BB2313" s="46">
        <v>2800</v>
      </c>
      <c r="BC2313" s="46">
        <v>14585.985000000001</v>
      </c>
      <c r="BD2313" s="46">
        <v>5.2089999999999996</v>
      </c>
      <c r="BE2313" s="46">
        <v>225.7</v>
      </c>
      <c r="BF2313" s="46">
        <v>10471.200000000001</v>
      </c>
      <c r="BG2313" s="46">
        <v>5.24</v>
      </c>
      <c r="BH2313" s="46">
        <v>0</v>
      </c>
      <c r="BJ2313">
        <v>10471.200000000001</v>
      </c>
      <c r="BK2313">
        <v>5.24</v>
      </c>
      <c r="BL2313">
        <v>27.83</v>
      </c>
    </row>
    <row r="2314" spans="1:64" x14ac:dyDescent="0.25">
      <c r="A2314" s="136">
        <v>43145</v>
      </c>
      <c r="B2314" s="201" t="s">
        <v>124</v>
      </c>
      <c r="C2314" t="s">
        <v>125</v>
      </c>
      <c r="D2314">
        <v>100</v>
      </c>
      <c r="E2314">
        <v>100</v>
      </c>
      <c r="F2314">
        <v>-53.579000000000001</v>
      </c>
      <c r="G2314">
        <v>6045.9</v>
      </c>
      <c r="H2314">
        <v>0</v>
      </c>
      <c r="I2314" s="309">
        <v>688</v>
      </c>
      <c r="J2314">
        <v>6.88</v>
      </c>
      <c r="K2314" s="133">
        <v>1.4751201054367801E-3</v>
      </c>
      <c r="L2314" s="181">
        <v>7</v>
      </c>
      <c r="M2314" s="133">
        <v>0</v>
      </c>
    </row>
    <row r="2315" spans="1:64" x14ac:dyDescent="0.25">
      <c r="A2315" s="136">
        <v>43145</v>
      </c>
      <c r="B2315" s="201" t="s">
        <v>71</v>
      </c>
      <c r="C2315" t="s">
        <v>126</v>
      </c>
      <c r="D2315">
        <v>100</v>
      </c>
      <c r="E2315">
        <v>100</v>
      </c>
      <c r="F2315">
        <v>-17.085999999999999</v>
      </c>
      <c r="G2315">
        <v>2382.6</v>
      </c>
      <c r="H2315">
        <v>0</v>
      </c>
      <c r="I2315" s="309">
        <v>674</v>
      </c>
      <c r="J2315">
        <v>6.74</v>
      </c>
      <c r="K2315" s="133">
        <v>1.44510312654708E-3</v>
      </c>
      <c r="L2315" s="181">
        <v>-7</v>
      </c>
      <c r="M2315" s="133">
        <v>0</v>
      </c>
      <c r="N2315" s="73">
        <v>1703.3019999999999</v>
      </c>
      <c r="O2315" s="73">
        <v>341.114950423729</v>
      </c>
      <c r="P2315" s="182">
        <v>0</v>
      </c>
      <c r="Q2315" s="182">
        <v>0</v>
      </c>
      <c r="R2315" s="46">
        <v>0</v>
      </c>
      <c r="S2315" s="46">
        <v>7</v>
      </c>
      <c r="T2315" s="46">
        <v>2800</v>
      </c>
      <c r="U2315" s="46">
        <v>6.6749999999999998</v>
      </c>
      <c r="V2315" s="46" t="s">
        <v>68</v>
      </c>
      <c r="W2315" s="46">
        <v>2800</v>
      </c>
      <c r="X2315" s="46">
        <v>6.6749999999999998</v>
      </c>
      <c r="AF2315" s="46">
        <v>41</v>
      </c>
      <c r="AG2315" s="46">
        <v>20600</v>
      </c>
      <c r="AH2315" s="46">
        <v>131323.35999999999</v>
      </c>
      <c r="AI2315" s="46">
        <v>6.375</v>
      </c>
      <c r="AJ2315" s="46">
        <v>39</v>
      </c>
      <c r="AK2315" s="46">
        <v>17700</v>
      </c>
      <c r="AL2315" s="46">
        <v>114228.83100000001</v>
      </c>
      <c r="AM2315" s="46">
        <v>6.4539999999999997</v>
      </c>
      <c r="AN2315" s="46" t="s">
        <v>63</v>
      </c>
      <c r="AO2315" s="46">
        <v>2900</v>
      </c>
      <c r="AP2315" s="46">
        <v>17094.528999999999</v>
      </c>
      <c r="AQ2315" s="46">
        <v>5.8949999999999996</v>
      </c>
      <c r="AR2315" s="46">
        <v>1398.3</v>
      </c>
      <c r="AS2315" s="46">
        <v>41</v>
      </c>
      <c r="AT2315" s="46">
        <v>20600</v>
      </c>
      <c r="AU2315" s="46">
        <v>131323.35999999999</v>
      </c>
      <c r="AV2315" s="46">
        <v>6.375</v>
      </c>
      <c r="AW2315" s="46">
        <v>46</v>
      </c>
      <c r="AX2315" s="46">
        <v>20500</v>
      </c>
      <c r="AY2315" s="46">
        <v>132870.462</v>
      </c>
      <c r="AZ2315" s="46">
        <v>6.4809999999999999</v>
      </c>
      <c r="BA2315" s="46" t="s">
        <v>63</v>
      </c>
      <c r="BB2315" s="46">
        <v>100</v>
      </c>
      <c r="BC2315" s="46">
        <v>1547.1020000000001</v>
      </c>
      <c r="BD2315" s="46">
        <v>15.471</v>
      </c>
      <c r="BE2315" s="46">
        <v>2173</v>
      </c>
      <c r="BF2315" s="46">
        <v>0</v>
      </c>
      <c r="BH2315" s="46">
        <v>18641.631000000001</v>
      </c>
      <c r="BI2315">
        <v>6.66</v>
      </c>
      <c r="BJ2315">
        <v>-15547.427</v>
      </c>
      <c r="BK2315">
        <v>-5.55</v>
      </c>
      <c r="BL2315">
        <v>207.46</v>
      </c>
    </row>
    <row r="2316" spans="1:64" x14ac:dyDescent="0.25">
      <c r="A2316" s="136">
        <v>43145</v>
      </c>
      <c r="B2316" s="201" t="s">
        <v>79</v>
      </c>
      <c r="C2316" t="s">
        <v>143</v>
      </c>
      <c r="D2316">
        <v>6200</v>
      </c>
      <c r="E2316">
        <v>6200</v>
      </c>
      <c r="F2316">
        <v>16.262</v>
      </c>
      <c r="G2316">
        <v>-13401.86</v>
      </c>
      <c r="H2316">
        <v>-13.29</v>
      </c>
      <c r="I2316" s="309">
        <v>87420</v>
      </c>
      <c r="J2316">
        <v>14.1</v>
      </c>
      <c r="K2316" s="133">
        <v>0.18743459246698199</v>
      </c>
      <c r="L2316" s="181">
        <v>186</v>
      </c>
      <c r="M2316" s="133">
        <v>0.21616911737432101</v>
      </c>
      <c r="N2316" s="73">
        <v>-14149.1760000001</v>
      </c>
      <c r="O2316" s="73">
        <v>-1011.59523690988</v>
      </c>
      <c r="P2316" s="182">
        <v>10</v>
      </c>
      <c r="Q2316" s="182">
        <v>5500</v>
      </c>
      <c r="R2316" s="46">
        <v>16.006</v>
      </c>
      <c r="S2316" s="46">
        <v>0</v>
      </c>
      <c r="T2316" s="46">
        <v>0</v>
      </c>
      <c r="U2316" s="46">
        <v>0</v>
      </c>
      <c r="V2316" s="46" t="s">
        <v>62</v>
      </c>
      <c r="W2316" s="46">
        <v>5500</v>
      </c>
      <c r="X2316" s="46">
        <v>16.006</v>
      </c>
      <c r="AF2316" s="46">
        <v>7</v>
      </c>
      <c r="AG2316" s="46">
        <v>3500</v>
      </c>
      <c r="AH2316" s="46">
        <v>56752.1</v>
      </c>
      <c r="AI2316" s="46">
        <v>16.215</v>
      </c>
      <c r="AJ2316" s="46">
        <v>7</v>
      </c>
      <c r="AK2316" s="46">
        <v>2800</v>
      </c>
      <c r="AL2316" s="46">
        <v>44015.224000000002</v>
      </c>
      <c r="AM2316" s="46">
        <v>15.72</v>
      </c>
      <c r="AN2316" s="46" t="s">
        <v>63</v>
      </c>
      <c r="AO2316" s="46">
        <v>700</v>
      </c>
      <c r="AP2316" s="46">
        <v>12736.876</v>
      </c>
      <c r="AQ2316" s="46">
        <v>18.196000000000002</v>
      </c>
      <c r="AR2316" s="46">
        <v>-1386</v>
      </c>
      <c r="AS2316" s="46">
        <v>17</v>
      </c>
      <c r="AT2316" s="46">
        <v>9000</v>
      </c>
      <c r="AU2316" s="46">
        <v>144840.4</v>
      </c>
      <c r="AV2316" s="46">
        <v>16.093</v>
      </c>
      <c r="AW2316" s="46">
        <v>7</v>
      </c>
      <c r="AX2316" s="46">
        <v>2800</v>
      </c>
      <c r="AY2316" s="46">
        <v>44015.224000000002</v>
      </c>
      <c r="AZ2316" s="46">
        <v>15.72</v>
      </c>
      <c r="BA2316" s="46" t="s">
        <v>63</v>
      </c>
      <c r="BB2316" s="46">
        <v>6200</v>
      </c>
      <c r="BC2316" s="46">
        <v>100825.17600000001</v>
      </c>
      <c r="BD2316" s="46">
        <v>16.262</v>
      </c>
      <c r="BE2316" s="46">
        <v>-1044.4000000000001</v>
      </c>
      <c r="BF2316" s="46">
        <v>88088.3</v>
      </c>
      <c r="BG2316" s="46">
        <v>16.02</v>
      </c>
      <c r="BH2316" s="46">
        <v>0</v>
      </c>
      <c r="BJ2316">
        <v>88088.3</v>
      </c>
      <c r="BK2316">
        <v>16.02</v>
      </c>
      <c r="BL2316">
        <v>-98.3</v>
      </c>
    </row>
    <row r="2317" spans="1:64" x14ac:dyDescent="0.25">
      <c r="A2317" s="136">
        <v>43145</v>
      </c>
      <c r="B2317" s="201" t="s">
        <v>65</v>
      </c>
      <c r="C2317" t="s">
        <v>127</v>
      </c>
      <c r="D2317">
        <v>9400</v>
      </c>
      <c r="E2317">
        <v>9400</v>
      </c>
      <c r="F2317">
        <v>9.17</v>
      </c>
      <c r="G2317">
        <v>8741.73</v>
      </c>
      <c r="H2317">
        <v>10.14</v>
      </c>
      <c r="I2317" s="309">
        <v>94940</v>
      </c>
      <c r="J2317">
        <v>10.1</v>
      </c>
      <c r="K2317" s="133">
        <v>0.20355799827059301</v>
      </c>
      <c r="L2317" s="181">
        <v>-282</v>
      </c>
      <c r="M2317" s="133">
        <v>0.184815117922774</v>
      </c>
      <c r="N2317" s="73">
        <v>6151.3049999999703</v>
      </c>
      <c r="O2317" s="73">
        <v>1014.36206913909</v>
      </c>
      <c r="P2317" s="182">
        <v>0</v>
      </c>
      <c r="Q2317" s="182">
        <v>0</v>
      </c>
      <c r="R2317" s="46">
        <v>0</v>
      </c>
      <c r="S2317" s="46">
        <v>17</v>
      </c>
      <c r="T2317" s="46">
        <v>7200</v>
      </c>
      <c r="U2317" s="46">
        <v>12.145</v>
      </c>
      <c r="V2317" s="46" t="s">
        <v>68</v>
      </c>
      <c r="W2317" s="46">
        <v>7200</v>
      </c>
      <c r="X2317" s="46">
        <v>12.145</v>
      </c>
      <c r="AF2317" s="46">
        <v>163</v>
      </c>
      <c r="AG2317" s="46">
        <v>87000</v>
      </c>
      <c r="AH2317" s="46">
        <v>1012622.231</v>
      </c>
      <c r="AI2317" s="46">
        <v>11.638999999999999</v>
      </c>
      <c r="AJ2317" s="46">
        <v>183</v>
      </c>
      <c r="AK2317" s="46">
        <v>79600</v>
      </c>
      <c r="AL2317" s="46">
        <v>838317.97699999996</v>
      </c>
      <c r="AM2317" s="46">
        <v>10.532</v>
      </c>
      <c r="AN2317" s="46" t="s">
        <v>63</v>
      </c>
      <c r="AO2317" s="46">
        <v>7400</v>
      </c>
      <c r="AP2317" s="46">
        <v>174304.25399999999</v>
      </c>
      <c r="AQ2317" s="46">
        <v>23.555</v>
      </c>
      <c r="AR2317" s="46">
        <v>-88117.2</v>
      </c>
      <c r="AS2317" s="46">
        <v>164</v>
      </c>
      <c r="AT2317" s="46">
        <v>87100</v>
      </c>
      <c r="AU2317" s="46">
        <v>1013910.231</v>
      </c>
      <c r="AV2317" s="46">
        <v>11.641</v>
      </c>
      <c r="AW2317" s="46">
        <v>200</v>
      </c>
      <c r="AX2317" s="46">
        <v>86800</v>
      </c>
      <c r="AY2317" s="46">
        <v>925588.53399999999</v>
      </c>
      <c r="AZ2317" s="46">
        <v>10.663</v>
      </c>
      <c r="BA2317" s="46" t="s">
        <v>63</v>
      </c>
      <c r="BB2317" s="46">
        <v>300</v>
      </c>
      <c r="BC2317" s="46">
        <v>88321.697</v>
      </c>
      <c r="BD2317" s="46">
        <v>294.40600000000001</v>
      </c>
      <c r="BE2317" s="46">
        <v>-84890.4</v>
      </c>
      <c r="BF2317" s="46">
        <v>1288</v>
      </c>
      <c r="BH2317" s="46">
        <v>87270.557000000001</v>
      </c>
      <c r="BI2317">
        <v>12.12</v>
      </c>
      <c r="BJ2317">
        <v>-85982.557000000001</v>
      </c>
      <c r="BK2317">
        <v>-11.94</v>
      </c>
      <c r="BL2317">
        <v>-8724.48</v>
      </c>
    </row>
    <row r="2318" spans="1:64" x14ac:dyDescent="0.25">
      <c r="A2318" s="136">
        <v>43145</v>
      </c>
      <c r="B2318" s="201" t="s">
        <v>77</v>
      </c>
      <c r="C2318" t="s">
        <v>128</v>
      </c>
      <c r="D2318">
        <v>4300</v>
      </c>
      <c r="E2318">
        <v>4300</v>
      </c>
      <c r="F2318">
        <v>5.9779999999999998</v>
      </c>
      <c r="G2318">
        <v>-595.27</v>
      </c>
      <c r="H2318">
        <v>-2.31</v>
      </c>
      <c r="I2318" s="309">
        <v>25112</v>
      </c>
      <c r="J2318">
        <v>5.84</v>
      </c>
      <c r="K2318" s="133">
        <v>5.3841883848442601E-2</v>
      </c>
      <c r="L2318" s="181">
        <v>0</v>
      </c>
      <c r="M2318" s="133">
        <v>5.5118184350133499E-2</v>
      </c>
      <c r="N2318" s="73">
        <v>-1272.2139999999999</v>
      </c>
      <c r="O2318" s="73">
        <v>-133.073774655173</v>
      </c>
      <c r="P2318" s="182">
        <v>6</v>
      </c>
      <c r="Q2318" s="182">
        <v>3000</v>
      </c>
      <c r="R2318" s="46">
        <v>6.798</v>
      </c>
      <c r="S2318" s="46">
        <v>0</v>
      </c>
      <c r="T2318" s="46">
        <v>0</v>
      </c>
      <c r="U2318" s="46">
        <v>0</v>
      </c>
      <c r="V2318" s="46" t="s">
        <v>62</v>
      </c>
      <c r="W2318" s="46">
        <v>3000</v>
      </c>
      <c r="X2318" s="46">
        <v>6.798</v>
      </c>
      <c r="AF2318" s="46">
        <v>39</v>
      </c>
      <c r="AG2318" s="46">
        <v>19500</v>
      </c>
      <c r="AH2318" s="46">
        <v>142169</v>
      </c>
      <c r="AI2318" s="46">
        <v>7.2910000000000004</v>
      </c>
      <c r="AJ2318" s="46">
        <v>39</v>
      </c>
      <c r="AK2318" s="46">
        <v>18200</v>
      </c>
      <c r="AL2318" s="46">
        <v>136881.78599999999</v>
      </c>
      <c r="AM2318" s="46">
        <v>7.5209999999999999</v>
      </c>
      <c r="AN2318" s="46" t="s">
        <v>63</v>
      </c>
      <c r="AO2318" s="46">
        <v>1300</v>
      </c>
      <c r="AP2318" s="46">
        <v>5287.2139999999999</v>
      </c>
      <c r="AQ2318" s="46">
        <v>4.0670000000000002</v>
      </c>
      <c r="AR2318" s="46">
        <v>4186</v>
      </c>
      <c r="AS2318" s="46">
        <v>45</v>
      </c>
      <c r="AT2318" s="46">
        <v>22500</v>
      </c>
      <c r="AU2318" s="46">
        <v>162594</v>
      </c>
      <c r="AV2318" s="46">
        <v>7.226</v>
      </c>
      <c r="AW2318" s="46">
        <v>39</v>
      </c>
      <c r="AX2318" s="46">
        <v>18200</v>
      </c>
      <c r="AY2318" s="46">
        <v>136881.78599999999</v>
      </c>
      <c r="AZ2318" s="46">
        <v>7.5209999999999999</v>
      </c>
      <c r="BA2318" s="46" t="s">
        <v>63</v>
      </c>
      <c r="BB2318" s="46">
        <v>4300</v>
      </c>
      <c r="BC2318" s="46">
        <v>25712.214</v>
      </c>
      <c r="BD2318" s="46">
        <v>5.98</v>
      </c>
      <c r="BE2318" s="46">
        <v>5369</v>
      </c>
      <c r="BF2318" s="46">
        <v>20425</v>
      </c>
      <c r="BG2318" s="46">
        <v>6.81</v>
      </c>
      <c r="BH2318" s="46">
        <v>0</v>
      </c>
      <c r="BJ2318">
        <v>20425</v>
      </c>
      <c r="BK2318">
        <v>6.81</v>
      </c>
      <c r="BL2318">
        <v>716.78</v>
      </c>
    </row>
    <row r="2319" spans="1:64" x14ac:dyDescent="0.25">
      <c r="A2319" s="136">
        <v>43145</v>
      </c>
      <c r="B2319" s="201" t="s">
        <v>67</v>
      </c>
      <c r="C2319" t="s">
        <v>129</v>
      </c>
      <c r="D2319">
        <v>950</v>
      </c>
      <c r="E2319">
        <v>950</v>
      </c>
      <c r="F2319">
        <v>6.7270000000000003</v>
      </c>
      <c r="G2319">
        <v>2349</v>
      </c>
      <c r="H2319">
        <v>36.76</v>
      </c>
      <c r="I2319" s="309">
        <v>8740</v>
      </c>
      <c r="J2319">
        <v>9.1999999999999993</v>
      </c>
      <c r="K2319" s="133">
        <v>1.87391711068568E-2</v>
      </c>
      <c r="L2319" s="181">
        <v>-47.5</v>
      </c>
      <c r="M2319" s="133">
        <v>1.3702750863148899E-2</v>
      </c>
      <c r="N2319" s="73">
        <v>2375.2129999997601</v>
      </c>
      <c r="O2319" s="73">
        <v>257.20751825566299</v>
      </c>
      <c r="P2319" s="182">
        <v>0</v>
      </c>
      <c r="Q2319" s="182">
        <v>0</v>
      </c>
      <c r="R2319" s="46">
        <v>0</v>
      </c>
      <c r="S2319" s="46">
        <v>18</v>
      </c>
      <c r="T2319" s="46">
        <v>7200</v>
      </c>
      <c r="U2319" s="46">
        <v>8.8330000000000002</v>
      </c>
      <c r="V2319" s="46" t="s">
        <v>68</v>
      </c>
      <c r="W2319" s="46">
        <v>7200</v>
      </c>
      <c r="X2319" s="46">
        <v>8.8330000000000002</v>
      </c>
      <c r="AF2319" s="46">
        <v>173</v>
      </c>
      <c r="AG2319" s="46">
        <v>86000</v>
      </c>
      <c r="AH2319" s="46">
        <v>712694</v>
      </c>
      <c r="AI2319" s="46">
        <v>8.2870000000000008</v>
      </c>
      <c r="AJ2319" s="46">
        <v>175</v>
      </c>
      <c r="AK2319" s="46">
        <v>80450</v>
      </c>
      <c r="AL2319" s="46">
        <v>711982.429</v>
      </c>
      <c r="AM2319" s="46">
        <v>8.85</v>
      </c>
      <c r="AN2319" s="46" t="s">
        <v>63</v>
      </c>
      <c r="AO2319" s="46">
        <v>5550</v>
      </c>
      <c r="AP2319" s="46">
        <v>711.57100000000003</v>
      </c>
      <c r="AQ2319" s="46">
        <v>0.128</v>
      </c>
      <c r="AR2319" s="46">
        <v>45293.35</v>
      </c>
      <c r="AS2319" s="46">
        <v>173</v>
      </c>
      <c r="AT2319" s="46">
        <v>86000</v>
      </c>
      <c r="AU2319" s="46">
        <v>712694</v>
      </c>
      <c r="AV2319" s="46">
        <v>8.2870000000000008</v>
      </c>
      <c r="AW2319" s="46">
        <v>193</v>
      </c>
      <c r="AX2319" s="46">
        <v>87650</v>
      </c>
      <c r="AY2319" s="46">
        <v>775428.82900000003</v>
      </c>
      <c r="AZ2319" s="46">
        <v>8.8469999999999995</v>
      </c>
      <c r="BA2319" s="46" t="s">
        <v>69</v>
      </c>
      <c r="BB2319" s="46">
        <v>1650</v>
      </c>
      <c r="BC2319" s="46">
        <v>62734.828999999998</v>
      </c>
      <c r="BD2319" s="46">
        <v>38.021000000000001</v>
      </c>
      <c r="BE2319" s="46">
        <v>48160</v>
      </c>
      <c r="BF2319" s="46">
        <v>0</v>
      </c>
      <c r="BH2319" s="46">
        <v>63446.400000000001</v>
      </c>
      <c r="BI2319">
        <v>8.81</v>
      </c>
      <c r="BJ2319">
        <v>62023.258000000002</v>
      </c>
      <c r="BK2319">
        <v>8.61</v>
      </c>
      <c r="BL2319">
        <v>4923.1899999999996</v>
      </c>
    </row>
    <row r="2320" spans="1:64" x14ac:dyDescent="0.25">
      <c r="A2320" s="136">
        <v>43145</v>
      </c>
      <c r="B2320" s="201" t="s">
        <v>78</v>
      </c>
      <c r="C2320" t="s">
        <v>142</v>
      </c>
      <c r="D2320">
        <v>2700</v>
      </c>
      <c r="E2320">
        <v>2700</v>
      </c>
      <c r="F2320">
        <v>9.0890000000000004</v>
      </c>
      <c r="G2320">
        <v>-1535.56</v>
      </c>
      <c r="H2320">
        <v>-6.26</v>
      </c>
      <c r="I2320" s="309">
        <v>23004</v>
      </c>
      <c r="J2320">
        <v>8.52</v>
      </c>
      <c r="K2320" s="133">
        <v>4.9322184455621698E-2</v>
      </c>
      <c r="L2320" s="181">
        <v>54</v>
      </c>
      <c r="M2320" s="133">
        <v>5.2614532463041097E-2</v>
      </c>
      <c r="N2320" s="73">
        <v>-1373.5640000000001</v>
      </c>
      <c r="O2320" s="73">
        <v>-160.00899976689999</v>
      </c>
      <c r="P2320" s="182">
        <v>3</v>
      </c>
      <c r="Q2320" s="182">
        <v>1500</v>
      </c>
      <c r="R2320" s="46">
        <v>8.7430000000000003</v>
      </c>
      <c r="S2320" s="46">
        <v>0</v>
      </c>
      <c r="T2320" s="46">
        <v>0</v>
      </c>
      <c r="U2320" s="46">
        <v>0</v>
      </c>
      <c r="V2320" s="46" t="s">
        <v>62</v>
      </c>
      <c r="W2320" s="46">
        <v>1500</v>
      </c>
      <c r="X2320" s="46">
        <v>8.7430000000000003</v>
      </c>
      <c r="AF2320" s="46">
        <v>9</v>
      </c>
      <c r="AG2320" s="46">
        <v>4500</v>
      </c>
      <c r="AH2320" s="46">
        <v>44895</v>
      </c>
      <c r="AI2320" s="46">
        <v>9.9770000000000003</v>
      </c>
      <c r="AJ2320" s="46">
        <v>9</v>
      </c>
      <c r="AK2320" s="46">
        <v>3300</v>
      </c>
      <c r="AL2320" s="46">
        <v>33485.436000000002</v>
      </c>
      <c r="AM2320" s="46">
        <v>10.147</v>
      </c>
      <c r="AN2320" s="46" t="s">
        <v>63</v>
      </c>
      <c r="AO2320" s="46">
        <v>1200</v>
      </c>
      <c r="AP2320" s="46">
        <v>11409.564</v>
      </c>
      <c r="AQ2320" s="46">
        <v>9.5079999999999991</v>
      </c>
      <c r="AR2320" s="46">
        <v>561</v>
      </c>
      <c r="AS2320" s="46">
        <v>12</v>
      </c>
      <c r="AT2320" s="46">
        <v>6000</v>
      </c>
      <c r="AU2320" s="46">
        <v>58025</v>
      </c>
      <c r="AV2320" s="46">
        <v>9.6709999999999994</v>
      </c>
      <c r="AW2320" s="46">
        <v>9</v>
      </c>
      <c r="AX2320" s="46">
        <v>3300</v>
      </c>
      <c r="AY2320" s="46">
        <v>33485.436000000002</v>
      </c>
      <c r="AZ2320" s="46">
        <v>10.147</v>
      </c>
      <c r="BA2320" s="46" t="s">
        <v>63</v>
      </c>
      <c r="BB2320" s="46">
        <v>2700</v>
      </c>
      <c r="BC2320" s="46">
        <v>24539.563999999998</v>
      </c>
      <c r="BD2320" s="46">
        <v>9.0890000000000004</v>
      </c>
      <c r="BE2320" s="46">
        <v>1570.8</v>
      </c>
      <c r="BF2320" s="46">
        <v>13130</v>
      </c>
      <c r="BG2320" s="46">
        <v>8.75</v>
      </c>
      <c r="BH2320" s="46">
        <v>0</v>
      </c>
      <c r="BJ2320">
        <v>13130</v>
      </c>
      <c r="BK2320">
        <v>8.75</v>
      </c>
      <c r="BL2320">
        <v>65.849999999999994</v>
      </c>
    </row>
    <row r="2321" spans="1:64" x14ac:dyDescent="0.25">
      <c r="A2321" s="136">
        <v>43145</v>
      </c>
      <c r="B2321" s="201" t="s">
        <v>72</v>
      </c>
      <c r="C2321" t="s">
        <v>130</v>
      </c>
      <c r="D2321">
        <v>4100</v>
      </c>
      <c r="E2321">
        <v>4100</v>
      </c>
      <c r="F2321">
        <v>6.758</v>
      </c>
      <c r="G2321">
        <v>-2408.87</v>
      </c>
      <c r="H2321">
        <v>-8.6999999999999993</v>
      </c>
      <c r="I2321" s="309">
        <v>25297</v>
      </c>
      <c r="J2321">
        <v>6.17</v>
      </c>
      <c r="K2321" s="133">
        <v>5.4238536783770802E-2</v>
      </c>
      <c r="L2321" s="181">
        <v>0</v>
      </c>
      <c r="M2321" s="133">
        <v>5.9403322493630499E-2</v>
      </c>
      <c r="N2321" s="73">
        <v>-2515.0679999999902</v>
      </c>
      <c r="O2321" s="73">
        <v>-471.691099174915</v>
      </c>
      <c r="P2321" s="182">
        <v>0</v>
      </c>
      <c r="Q2321" s="182">
        <v>0</v>
      </c>
      <c r="R2321" s="46">
        <v>0</v>
      </c>
      <c r="S2321" s="46">
        <v>9</v>
      </c>
      <c r="T2321" s="46">
        <v>3600</v>
      </c>
      <c r="U2321" s="46">
        <v>7.8330000000000002</v>
      </c>
      <c r="V2321" s="46" t="s">
        <v>68</v>
      </c>
      <c r="W2321" s="46">
        <v>3600</v>
      </c>
      <c r="X2321" s="46">
        <v>7.8330000000000002</v>
      </c>
      <c r="AF2321" s="46">
        <v>32</v>
      </c>
      <c r="AG2321" s="46">
        <v>15900</v>
      </c>
      <c r="AH2321" s="46">
        <v>121142</v>
      </c>
      <c r="AI2321" s="46">
        <v>7.6189999999999998</v>
      </c>
      <c r="AJ2321" s="46">
        <v>32</v>
      </c>
      <c r="AK2321" s="46">
        <v>14800</v>
      </c>
      <c r="AL2321" s="46">
        <v>66041.797000000006</v>
      </c>
      <c r="AM2321" s="46">
        <v>4.4619999999999997</v>
      </c>
      <c r="AN2321" s="46" t="s">
        <v>63</v>
      </c>
      <c r="AO2321" s="46">
        <v>1100</v>
      </c>
      <c r="AP2321" s="46">
        <v>55100.203000000001</v>
      </c>
      <c r="AQ2321" s="46">
        <v>50.091000000000001</v>
      </c>
      <c r="AR2321" s="46">
        <v>-46723.6</v>
      </c>
      <c r="AS2321" s="46">
        <v>32</v>
      </c>
      <c r="AT2321" s="46">
        <v>15900</v>
      </c>
      <c r="AU2321" s="46">
        <v>121142</v>
      </c>
      <c r="AV2321" s="46">
        <v>7.6189999999999998</v>
      </c>
      <c r="AW2321" s="46">
        <v>42</v>
      </c>
      <c r="AX2321" s="46">
        <v>18900</v>
      </c>
      <c r="AY2321" s="46">
        <v>94168.596999999994</v>
      </c>
      <c r="AZ2321" s="46">
        <v>4.9820000000000002</v>
      </c>
      <c r="BA2321" s="46" t="s">
        <v>69</v>
      </c>
      <c r="BB2321" s="46">
        <v>3000</v>
      </c>
      <c r="BC2321" s="46">
        <v>26973.402999999998</v>
      </c>
      <c r="BD2321" s="46">
        <v>8.9909999999999997</v>
      </c>
      <c r="BE2321" s="46">
        <v>-41928.300000000003</v>
      </c>
      <c r="BF2321" s="46">
        <v>0</v>
      </c>
      <c r="BH2321" s="46">
        <v>28126.799999999999</v>
      </c>
      <c r="BI2321">
        <v>7.81</v>
      </c>
      <c r="BJ2321">
        <v>-28126.799999999999</v>
      </c>
      <c r="BK2321">
        <v>-7.81</v>
      </c>
      <c r="BL2321">
        <v>-7572.71</v>
      </c>
    </row>
    <row r="2322" spans="1:64" x14ac:dyDescent="0.25">
      <c r="A2322" s="136">
        <v>43145</v>
      </c>
      <c r="B2322" s="201" t="s">
        <v>70</v>
      </c>
      <c r="C2322" t="s">
        <v>131</v>
      </c>
      <c r="D2322">
        <v>15100</v>
      </c>
      <c r="E2322">
        <v>15100</v>
      </c>
      <c r="F2322">
        <v>11.005000000000001</v>
      </c>
      <c r="G2322">
        <v>-41593.03</v>
      </c>
      <c r="H2322">
        <v>-25.03</v>
      </c>
      <c r="I2322" s="309">
        <v>124575</v>
      </c>
      <c r="J2322">
        <v>8.25</v>
      </c>
      <c r="K2322" s="133">
        <v>0.26709751037033003</v>
      </c>
      <c r="L2322" s="181">
        <v>2114</v>
      </c>
      <c r="M2322" s="133">
        <v>0.35627587490381202</v>
      </c>
      <c r="N2322" s="73">
        <v>-44159.025999999998</v>
      </c>
      <c r="O2322" s="73">
        <v>-5462.4933771039696</v>
      </c>
      <c r="P2322" s="182">
        <v>5</v>
      </c>
      <c r="Q2322" s="182">
        <v>3500</v>
      </c>
      <c r="R2322" s="46">
        <v>8.2110000000000003</v>
      </c>
      <c r="S2322" s="46">
        <v>1</v>
      </c>
      <c r="T2322" s="46">
        <v>400</v>
      </c>
      <c r="U2322" s="46">
        <v>8.43</v>
      </c>
      <c r="V2322" s="46" t="s">
        <v>62</v>
      </c>
      <c r="W2322" s="46">
        <v>3100</v>
      </c>
      <c r="X2322" s="46">
        <v>8.1829999999999998</v>
      </c>
      <c r="AF2322" s="46">
        <v>128</v>
      </c>
      <c r="AG2322" s="46">
        <v>64600</v>
      </c>
      <c r="AH2322" s="46">
        <v>861448</v>
      </c>
      <c r="AI2322" s="46">
        <v>13.335000000000001</v>
      </c>
      <c r="AJ2322" s="46">
        <v>131</v>
      </c>
      <c r="AK2322" s="46">
        <v>52600</v>
      </c>
      <c r="AL2322" s="46">
        <v>720277.34600000002</v>
      </c>
      <c r="AM2322" s="46">
        <v>13.693</v>
      </c>
      <c r="AN2322" s="46" t="s">
        <v>63</v>
      </c>
      <c r="AO2322" s="46">
        <v>12000</v>
      </c>
      <c r="AP2322" s="46">
        <v>141170.65400000001</v>
      </c>
      <c r="AQ2322" s="46">
        <v>11.763999999999999</v>
      </c>
      <c r="AR2322" s="46">
        <v>18830.8</v>
      </c>
      <c r="AS2322" s="46">
        <v>133</v>
      </c>
      <c r="AT2322" s="46">
        <v>68100</v>
      </c>
      <c r="AU2322" s="46">
        <v>890213</v>
      </c>
      <c r="AV2322" s="46">
        <v>13.071999999999999</v>
      </c>
      <c r="AW2322" s="46">
        <v>133</v>
      </c>
      <c r="AX2322" s="46">
        <v>53000</v>
      </c>
      <c r="AY2322" s="46">
        <v>724045.97400000005</v>
      </c>
      <c r="AZ2322" s="46">
        <v>13.661</v>
      </c>
      <c r="BA2322" s="46" t="s">
        <v>63</v>
      </c>
      <c r="BB2322" s="46">
        <v>15100</v>
      </c>
      <c r="BC2322" s="46">
        <v>166167.02600000001</v>
      </c>
      <c r="BD2322" s="46">
        <v>11.004</v>
      </c>
      <c r="BE2322" s="46">
        <v>31217</v>
      </c>
      <c r="BF2322" s="46">
        <v>28765</v>
      </c>
      <c r="BG2322" s="46">
        <v>8.2200000000000006</v>
      </c>
      <c r="BH2322" s="46">
        <v>3768.6280000000302</v>
      </c>
      <c r="BI2322">
        <v>9.42</v>
      </c>
      <c r="BJ2322">
        <v>24996.371999999999</v>
      </c>
      <c r="BK2322">
        <v>8.06</v>
      </c>
      <c r="BL2322">
        <v>2282.52</v>
      </c>
    </row>
    <row r="2323" spans="1:64" x14ac:dyDescent="0.25">
      <c r="A2323" s="136">
        <v>43145</v>
      </c>
      <c r="B2323" s="201" t="s">
        <v>137</v>
      </c>
      <c r="C2323" t="s">
        <v>138</v>
      </c>
      <c r="D2323">
        <v>100</v>
      </c>
      <c r="E2323">
        <v>100</v>
      </c>
      <c r="F2323">
        <v>-130.48500000000001</v>
      </c>
      <c r="G2323">
        <v>15945.5</v>
      </c>
      <c r="H2323">
        <v>0</v>
      </c>
      <c r="I2323" s="309">
        <v>2897</v>
      </c>
      <c r="J2323">
        <v>28.97</v>
      </c>
      <c r="K2323" s="133">
        <v>6.2113705602476104E-3</v>
      </c>
      <c r="L2323" s="181">
        <v>-31</v>
      </c>
      <c r="M2323" s="133">
        <v>0</v>
      </c>
    </row>
    <row r="2324" spans="1:64" x14ac:dyDescent="0.25">
      <c r="A2324" s="136">
        <v>43145</v>
      </c>
      <c r="B2324" s="201" t="s">
        <v>835</v>
      </c>
      <c r="C2324" t="s">
        <v>839</v>
      </c>
      <c r="I2324" s="309">
        <v>10007.84</v>
      </c>
      <c r="K2324" s="133">
        <v>2.1457508715108198E-2</v>
      </c>
      <c r="L2324" s="181">
        <v>0</v>
      </c>
      <c r="M2324" s="133">
        <v>0.127099821677705</v>
      </c>
    </row>
    <row r="2325" spans="1:64" x14ac:dyDescent="0.25">
      <c r="A2325" s="136">
        <v>43153</v>
      </c>
      <c r="B2325" s="201" t="s">
        <v>132</v>
      </c>
      <c r="C2325" t="s">
        <v>123</v>
      </c>
      <c r="D2325">
        <v>6500386</v>
      </c>
      <c r="E2325">
        <v>4927186</v>
      </c>
      <c r="F2325">
        <v>0.01</v>
      </c>
      <c r="G2325">
        <v>3049.42</v>
      </c>
      <c r="H2325">
        <v>0</v>
      </c>
      <c r="I2325" s="309">
        <v>65003.86</v>
      </c>
      <c r="J2325">
        <v>0.01</v>
      </c>
      <c r="K2325" s="133">
        <v>0.138087164066891</v>
      </c>
      <c r="L2325" s="181">
        <v>0</v>
      </c>
      <c r="M2325" s="133">
        <v>0</v>
      </c>
    </row>
    <row r="2326" spans="1:64" x14ac:dyDescent="0.25">
      <c r="A2326" s="136">
        <v>43153</v>
      </c>
      <c r="B2326" s="201" t="s">
        <v>61</v>
      </c>
      <c r="C2326" t="s">
        <v>136</v>
      </c>
      <c r="D2326">
        <v>2800</v>
      </c>
      <c r="E2326">
        <v>2800</v>
      </c>
      <c r="F2326">
        <v>5.2069999999999999</v>
      </c>
      <c r="G2326">
        <v>-608.89</v>
      </c>
      <c r="H2326">
        <v>-4.17</v>
      </c>
      <c r="I2326" s="309">
        <v>13972</v>
      </c>
      <c r="J2326">
        <v>4.99</v>
      </c>
      <c r="K2326" s="133">
        <v>2.96806044493758E-2</v>
      </c>
      <c r="L2326" s="181">
        <v>196</v>
      </c>
      <c r="M2326" s="133">
        <v>3.0974064458192101E-2</v>
      </c>
      <c r="N2326" s="73">
        <v>-809.98500000000104</v>
      </c>
      <c r="O2326" s="73">
        <v>-164.54878201219501</v>
      </c>
      <c r="P2326" s="182">
        <v>4</v>
      </c>
      <c r="Q2326" s="182">
        <v>2000</v>
      </c>
      <c r="R2326" s="46">
        <v>5.2249999999999996</v>
      </c>
      <c r="S2326" s="46">
        <v>0</v>
      </c>
      <c r="T2326" s="46">
        <v>0</v>
      </c>
      <c r="U2326" s="46">
        <v>0</v>
      </c>
      <c r="V2326" s="46" t="s">
        <v>62</v>
      </c>
      <c r="W2326" s="46">
        <v>2000</v>
      </c>
      <c r="X2326" s="46">
        <v>5.2249999999999996</v>
      </c>
      <c r="AF2326" s="46">
        <v>9</v>
      </c>
      <c r="AG2326" s="46">
        <v>4500</v>
      </c>
      <c r="AH2326" s="46">
        <v>23912.7</v>
      </c>
      <c r="AI2326" s="46">
        <v>5.3140000000000001</v>
      </c>
      <c r="AJ2326" s="46">
        <v>9</v>
      </c>
      <c r="AK2326" s="46">
        <v>3700</v>
      </c>
      <c r="AL2326" s="46">
        <v>19797.915000000001</v>
      </c>
      <c r="AM2326" s="46">
        <v>5.351</v>
      </c>
      <c r="AN2326" s="46" t="s">
        <v>63</v>
      </c>
      <c r="AO2326" s="46">
        <v>800</v>
      </c>
      <c r="AP2326" s="46">
        <v>4114.7849999999999</v>
      </c>
      <c r="AQ2326" s="46">
        <v>5.1429999999999998</v>
      </c>
      <c r="AR2326" s="46">
        <v>136.9</v>
      </c>
      <c r="AS2326" s="46">
        <v>13</v>
      </c>
      <c r="AT2326" s="46">
        <v>6500</v>
      </c>
      <c r="AU2326" s="46">
        <v>34383.9</v>
      </c>
      <c r="AV2326" s="46">
        <v>5.29</v>
      </c>
      <c r="AW2326" s="46">
        <v>9</v>
      </c>
      <c r="AX2326" s="46">
        <v>3700</v>
      </c>
      <c r="AY2326" s="46">
        <v>19797.915000000001</v>
      </c>
      <c r="AZ2326" s="46">
        <v>5.351</v>
      </c>
      <c r="BA2326" s="46" t="s">
        <v>63</v>
      </c>
      <c r="BB2326" s="46">
        <v>2800</v>
      </c>
      <c r="BC2326" s="46">
        <v>14585.985000000001</v>
      </c>
      <c r="BD2326" s="46">
        <v>5.2089999999999996</v>
      </c>
      <c r="BE2326" s="46">
        <v>225.7</v>
      </c>
      <c r="BF2326" s="46">
        <v>10471.200000000001</v>
      </c>
      <c r="BG2326" s="46">
        <v>5.24</v>
      </c>
      <c r="BH2326" s="46">
        <v>0</v>
      </c>
      <c r="BJ2326">
        <v>10471.200000000001</v>
      </c>
      <c r="BK2326">
        <v>5.24</v>
      </c>
      <c r="BL2326">
        <v>27.43</v>
      </c>
    </row>
    <row r="2327" spans="1:64" x14ac:dyDescent="0.25">
      <c r="A2327" s="136">
        <v>43153</v>
      </c>
      <c r="B2327" s="201" t="s">
        <v>124</v>
      </c>
      <c r="C2327" t="s">
        <v>125</v>
      </c>
      <c r="D2327">
        <v>100</v>
      </c>
      <c r="E2327">
        <v>100</v>
      </c>
      <c r="F2327">
        <v>-53.579000000000001</v>
      </c>
      <c r="G2327">
        <v>6057.9</v>
      </c>
      <c r="H2327">
        <v>0</v>
      </c>
      <c r="I2327" s="309">
        <v>700</v>
      </c>
      <c r="J2327">
        <v>7</v>
      </c>
      <c r="K2327" s="133">
        <v>1.4870042309306499E-3</v>
      </c>
      <c r="L2327" s="181">
        <v>12</v>
      </c>
      <c r="M2327" s="133">
        <v>0</v>
      </c>
    </row>
    <row r="2328" spans="1:64" x14ac:dyDescent="0.25">
      <c r="A2328" s="136">
        <v>43153</v>
      </c>
      <c r="B2328" s="201" t="s">
        <v>71</v>
      </c>
      <c r="C2328" t="s">
        <v>126</v>
      </c>
      <c r="D2328">
        <v>100</v>
      </c>
      <c r="E2328">
        <v>100</v>
      </c>
      <c r="F2328">
        <v>-17.085999999999999</v>
      </c>
      <c r="G2328">
        <v>2419.6</v>
      </c>
      <c r="H2328">
        <v>0</v>
      </c>
      <c r="I2328" s="309">
        <v>711</v>
      </c>
      <c r="J2328">
        <v>7.11</v>
      </c>
      <c r="K2328" s="133">
        <v>1.5103714402738501E-3</v>
      </c>
      <c r="L2328" s="181">
        <v>37</v>
      </c>
      <c r="M2328" s="133">
        <v>0</v>
      </c>
      <c r="N2328" s="73">
        <v>1703.3019999999999</v>
      </c>
      <c r="O2328" s="73">
        <v>341.114950423729</v>
      </c>
      <c r="P2328" s="182">
        <v>0</v>
      </c>
      <c r="Q2328" s="182">
        <v>0</v>
      </c>
      <c r="R2328" s="46">
        <v>0</v>
      </c>
      <c r="S2328" s="46">
        <v>7</v>
      </c>
      <c r="T2328" s="46">
        <v>2800</v>
      </c>
      <c r="U2328" s="46">
        <v>6.6749999999999998</v>
      </c>
      <c r="V2328" s="46" t="s">
        <v>68</v>
      </c>
      <c r="W2328" s="46">
        <v>2800</v>
      </c>
      <c r="X2328" s="46">
        <v>6.6749999999999998</v>
      </c>
      <c r="AF2328" s="46">
        <v>41</v>
      </c>
      <c r="AG2328" s="46">
        <v>20600</v>
      </c>
      <c r="AH2328" s="46">
        <v>131323.35999999999</v>
      </c>
      <c r="AI2328" s="46">
        <v>6.375</v>
      </c>
      <c r="AJ2328" s="46">
        <v>39</v>
      </c>
      <c r="AK2328" s="46">
        <v>17700</v>
      </c>
      <c r="AL2328" s="46">
        <v>114228.83100000001</v>
      </c>
      <c r="AM2328" s="46">
        <v>6.4539999999999997</v>
      </c>
      <c r="AN2328" s="46" t="s">
        <v>63</v>
      </c>
      <c r="AO2328" s="46">
        <v>2900</v>
      </c>
      <c r="AP2328" s="46">
        <v>17094.528999999999</v>
      </c>
      <c r="AQ2328" s="46">
        <v>5.8949999999999996</v>
      </c>
      <c r="AR2328" s="46">
        <v>1398.3</v>
      </c>
      <c r="AS2328" s="46">
        <v>41</v>
      </c>
      <c r="AT2328" s="46">
        <v>20600</v>
      </c>
      <c r="AU2328" s="46">
        <v>131323.35999999999</v>
      </c>
      <c r="AV2328" s="46">
        <v>6.375</v>
      </c>
      <c r="AW2328" s="46">
        <v>46</v>
      </c>
      <c r="AX2328" s="46">
        <v>20500</v>
      </c>
      <c r="AY2328" s="46">
        <v>132870.462</v>
      </c>
      <c r="AZ2328" s="46">
        <v>6.4809999999999999</v>
      </c>
      <c r="BA2328" s="46" t="s">
        <v>63</v>
      </c>
      <c r="BB2328" s="46">
        <v>100</v>
      </c>
      <c r="BC2328" s="46">
        <v>1547.1020000000001</v>
      </c>
      <c r="BD2328" s="46">
        <v>15.471</v>
      </c>
      <c r="BE2328" s="46">
        <v>2173</v>
      </c>
      <c r="BF2328" s="46">
        <v>0</v>
      </c>
      <c r="BH2328" s="46">
        <v>18641.631000000001</v>
      </c>
      <c r="BI2328">
        <v>6.66</v>
      </c>
      <c r="BJ2328">
        <v>-15547.427</v>
      </c>
      <c r="BK2328">
        <v>-5.55</v>
      </c>
      <c r="BL2328">
        <v>196.67</v>
      </c>
    </row>
    <row r="2329" spans="1:64" x14ac:dyDescent="0.25">
      <c r="A2329" s="136">
        <v>43153</v>
      </c>
      <c r="B2329" s="201" t="s">
        <v>79</v>
      </c>
      <c r="C2329" t="s">
        <v>143</v>
      </c>
      <c r="D2329">
        <v>5800</v>
      </c>
      <c r="E2329">
        <v>5800</v>
      </c>
      <c r="F2329">
        <v>16.396000000000001</v>
      </c>
      <c r="G2329">
        <v>-12272.71</v>
      </c>
      <c r="H2329">
        <v>-12.9</v>
      </c>
      <c r="I2329" s="309">
        <v>82824</v>
      </c>
      <c r="J2329">
        <v>14.28</v>
      </c>
      <c r="K2329" s="133">
        <v>0.175942340603715</v>
      </c>
      <c r="L2329" s="181">
        <v>1129.1500000000001</v>
      </c>
      <c r="M2329" s="133">
        <v>0.20201315731083599</v>
      </c>
      <c r="N2329" s="73">
        <v>-11928.1520000001</v>
      </c>
      <c r="O2329" s="73">
        <v>-831.39385801953097</v>
      </c>
      <c r="P2329" s="182">
        <v>9</v>
      </c>
      <c r="Q2329" s="182">
        <v>5000</v>
      </c>
      <c r="R2329" s="46">
        <v>15.945</v>
      </c>
      <c r="S2329" s="46">
        <v>0</v>
      </c>
      <c r="T2329" s="46">
        <v>0</v>
      </c>
      <c r="U2329" s="46">
        <v>0</v>
      </c>
      <c r="V2329" s="46" t="s">
        <v>62</v>
      </c>
      <c r="W2329" s="46">
        <v>5000</v>
      </c>
      <c r="X2329" s="46">
        <v>15.945</v>
      </c>
      <c r="AF2329" s="46">
        <v>8</v>
      </c>
      <c r="AG2329" s="46">
        <v>4000</v>
      </c>
      <c r="AH2329" s="46">
        <v>65067.4</v>
      </c>
      <c r="AI2329" s="46">
        <v>16.266999999999999</v>
      </c>
      <c r="AJ2329" s="46">
        <v>8</v>
      </c>
      <c r="AK2329" s="46">
        <v>3200</v>
      </c>
      <c r="AL2329" s="46">
        <v>49740.248</v>
      </c>
      <c r="AM2329" s="46">
        <v>15.544</v>
      </c>
      <c r="AN2329" s="46" t="s">
        <v>63</v>
      </c>
      <c r="AO2329" s="46">
        <v>800</v>
      </c>
      <c r="AP2329" s="46">
        <v>15327.152</v>
      </c>
      <c r="AQ2329" s="46">
        <v>19.158999999999999</v>
      </c>
      <c r="AR2329" s="46">
        <v>-2313.6</v>
      </c>
      <c r="AS2329" s="46">
        <v>17</v>
      </c>
      <c r="AT2329" s="46">
        <v>9000</v>
      </c>
      <c r="AU2329" s="46">
        <v>144840.4</v>
      </c>
      <c r="AV2329" s="46">
        <v>16.093</v>
      </c>
      <c r="AW2329" s="46">
        <v>8</v>
      </c>
      <c r="AX2329" s="46">
        <v>3200</v>
      </c>
      <c r="AY2329" s="46">
        <v>49740.248</v>
      </c>
      <c r="AZ2329" s="46">
        <v>15.544</v>
      </c>
      <c r="BA2329" s="46" t="s">
        <v>63</v>
      </c>
      <c r="BB2329" s="46">
        <v>5800</v>
      </c>
      <c r="BC2329" s="46">
        <v>95100.152000000002</v>
      </c>
      <c r="BD2329" s="46">
        <v>16.396999999999998</v>
      </c>
      <c r="BE2329" s="46">
        <v>-1756.8</v>
      </c>
      <c r="BF2329" s="46">
        <v>79773</v>
      </c>
      <c r="BG2329" s="46">
        <v>15.95</v>
      </c>
      <c r="BH2329" s="46">
        <v>0</v>
      </c>
      <c r="BJ2329">
        <v>79773</v>
      </c>
      <c r="BK2329">
        <v>15.95</v>
      </c>
      <c r="BL2329">
        <v>-162.02000000000001</v>
      </c>
    </row>
    <row r="2330" spans="1:64" x14ac:dyDescent="0.25">
      <c r="A2330" s="136">
        <v>43153</v>
      </c>
      <c r="B2330" s="201" t="s">
        <v>65</v>
      </c>
      <c r="C2330" t="s">
        <v>127</v>
      </c>
      <c r="D2330">
        <v>9400</v>
      </c>
      <c r="E2330">
        <v>9400</v>
      </c>
      <c r="F2330">
        <v>9.17</v>
      </c>
      <c r="G2330">
        <v>10433.73</v>
      </c>
      <c r="H2330">
        <v>12.11</v>
      </c>
      <c r="I2330" s="309">
        <v>96632</v>
      </c>
      <c r="J2330">
        <v>10.28</v>
      </c>
      <c r="K2330" s="133">
        <v>0.205274561204701</v>
      </c>
      <c r="L2330" s="181">
        <v>1692</v>
      </c>
      <c r="M2330" s="133">
        <v>0.18311027455557499</v>
      </c>
      <c r="N2330" s="73">
        <v>6151.3049999999703</v>
      </c>
      <c r="O2330" s="73">
        <v>1014.36206913909</v>
      </c>
      <c r="P2330" s="182">
        <v>0</v>
      </c>
      <c r="Q2330" s="182">
        <v>0</v>
      </c>
      <c r="R2330" s="46">
        <v>0</v>
      </c>
      <c r="S2330" s="46">
        <v>17</v>
      </c>
      <c r="T2330" s="46">
        <v>7200</v>
      </c>
      <c r="U2330" s="46">
        <v>12.145</v>
      </c>
      <c r="V2330" s="46" t="s">
        <v>68</v>
      </c>
      <c r="W2330" s="46">
        <v>7200</v>
      </c>
      <c r="X2330" s="46">
        <v>12.145</v>
      </c>
      <c r="AF2330" s="46">
        <v>163</v>
      </c>
      <c r="AG2330" s="46">
        <v>87000</v>
      </c>
      <c r="AH2330" s="46">
        <v>1012622.231</v>
      </c>
      <c r="AI2330" s="46">
        <v>11.638999999999999</v>
      </c>
      <c r="AJ2330" s="46">
        <v>183</v>
      </c>
      <c r="AK2330" s="46">
        <v>79600</v>
      </c>
      <c r="AL2330" s="46">
        <v>838317.97699999996</v>
      </c>
      <c r="AM2330" s="46">
        <v>10.532</v>
      </c>
      <c r="AN2330" s="46" t="s">
        <v>63</v>
      </c>
      <c r="AO2330" s="46">
        <v>7400</v>
      </c>
      <c r="AP2330" s="46">
        <v>174304.25399999999</v>
      </c>
      <c r="AQ2330" s="46">
        <v>23.555</v>
      </c>
      <c r="AR2330" s="46">
        <v>-88117.2</v>
      </c>
      <c r="AS2330" s="46">
        <v>164</v>
      </c>
      <c r="AT2330" s="46">
        <v>87100</v>
      </c>
      <c r="AU2330" s="46">
        <v>1013910.231</v>
      </c>
      <c r="AV2330" s="46">
        <v>11.641</v>
      </c>
      <c r="AW2330" s="46">
        <v>200</v>
      </c>
      <c r="AX2330" s="46">
        <v>86800</v>
      </c>
      <c r="AY2330" s="46">
        <v>925588.53399999999</v>
      </c>
      <c r="AZ2330" s="46">
        <v>10.663</v>
      </c>
      <c r="BA2330" s="46" t="s">
        <v>63</v>
      </c>
      <c r="BB2330" s="46">
        <v>300</v>
      </c>
      <c r="BC2330" s="46">
        <v>88321.697</v>
      </c>
      <c r="BD2330" s="46">
        <v>294.40600000000001</v>
      </c>
      <c r="BE2330" s="46">
        <v>-84890.4</v>
      </c>
      <c r="BF2330" s="46">
        <v>1288</v>
      </c>
      <c r="BH2330" s="46">
        <v>87270.557000000001</v>
      </c>
      <c r="BI2330">
        <v>12.12</v>
      </c>
      <c r="BJ2330">
        <v>-85982.557000000001</v>
      </c>
      <c r="BK2330">
        <v>-11.94</v>
      </c>
      <c r="BL2330">
        <v>-8571.7099999999991</v>
      </c>
    </row>
    <row r="2331" spans="1:64" x14ac:dyDescent="0.25">
      <c r="A2331" s="136">
        <v>43153</v>
      </c>
      <c r="B2331" s="201" t="s">
        <v>77</v>
      </c>
      <c r="C2331" t="s">
        <v>128</v>
      </c>
      <c r="D2331">
        <v>4300</v>
      </c>
      <c r="E2331">
        <v>4300</v>
      </c>
      <c r="F2331">
        <v>5.9779999999999998</v>
      </c>
      <c r="G2331">
        <v>-595.27</v>
      </c>
      <c r="H2331">
        <v>-2.31</v>
      </c>
      <c r="I2331" s="309">
        <v>25112</v>
      </c>
      <c r="J2331">
        <v>5.84</v>
      </c>
      <c r="K2331" s="133">
        <v>5.3345214638757903E-2</v>
      </c>
      <c r="L2331" s="181">
        <v>0</v>
      </c>
      <c r="M2331" s="133">
        <v>5.4609741793823802E-2</v>
      </c>
      <c r="N2331" s="73">
        <v>-1272.2139999999999</v>
      </c>
      <c r="O2331" s="73">
        <v>-133.073774655173</v>
      </c>
      <c r="P2331" s="182">
        <v>6</v>
      </c>
      <c r="Q2331" s="182">
        <v>3000</v>
      </c>
      <c r="R2331" s="46">
        <v>6.798</v>
      </c>
      <c r="S2331" s="46">
        <v>0</v>
      </c>
      <c r="T2331" s="46">
        <v>0</v>
      </c>
      <c r="U2331" s="46">
        <v>0</v>
      </c>
      <c r="V2331" s="46" t="s">
        <v>62</v>
      </c>
      <c r="W2331" s="46">
        <v>3000</v>
      </c>
      <c r="X2331" s="46">
        <v>6.798</v>
      </c>
      <c r="AF2331" s="46">
        <v>39</v>
      </c>
      <c r="AG2331" s="46">
        <v>19500</v>
      </c>
      <c r="AH2331" s="46">
        <v>142169</v>
      </c>
      <c r="AI2331" s="46">
        <v>7.2910000000000004</v>
      </c>
      <c r="AJ2331" s="46">
        <v>39</v>
      </c>
      <c r="AK2331" s="46">
        <v>18200</v>
      </c>
      <c r="AL2331" s="46">
        <v>136881.78599999999</v>
      </c>
      <c r="AM2331" s="46">
        <v>7.5209999999999999</v>
      </c>
      <c r="AN2331" s="46" t="s">
        <v>63</v>
      </c>
      <c r="AO2331" s="46">
        <v>1300</v>
      </c>
      <c r="AP2331" s="46">
        <v>5287.2139999999999</v>
      </c>
      <c r="AQ2331" s="46">
        <v>4.0670000000000002</v>
      </c>
      <c r="AR2331" s="46">
        <v>4186</v>
      </c>
      <c r="AS2331" s="46">
        <v>45</v>
      </c>
      <c r="AT2331" s="46">
        <v>22500</v>
      </c>
      <c r="AU2331" s="46">
        <v>162594</v>
      </c>
      <c r="AV2331" s="46">
        <v>7.226</v>
      </c>
      <c r="AW2331" s="46">
        <v>39</v>
      </c>
      <c r="AX2331" s="46">
        <v>18200</v>
      </c>
      <c r="AY2331" s="46">
        <v>136881.78599999999</v>
      </c>
      <c r="AZ2331" s="46">
        <v>7.5209999999999999</v>
      </c>
      <c r="BA2331" s="46" t="s">
        <v>63</v>
      </c>
      <c r="BB2331" s="46">
        <v>4300</v>
      </c>
      <c r="BC2331" s="46">
        <v>25712.214</v>
      </c>
      <c r="BD2331" s="46">
        <v>5.98</v>
      </c>
      <c r="BE2331" s="46">
        <v>5369</v>
      </c>
      <c r="BF2331" s="46">
        <v>20425</v>
      </c>
      <c r="BG2331" s="46">
        <v>6.81</v>
      </c>
      <c r="BH2331" s="46">
        <v>0</v>
      </c>
      <c r="BJ2331">
        <v>20425</v>
      </c>
      <c r="BK2331">
        <v>6.81</v>
      </c>
      <c r="BL2331">
        <v>716.78</v>
      </c>
    </row>
    <row r="2332" spans="1:64" x14ac:dyDescent="0.25">
      <c r="A2332" s="136">
        <v>43153</v>
      </c>
      <c r="B2332" s="201" t="s">
        <v>67</v>
      </c>
      <c r="C2332" t="s">
        <v>129</v>
      </c>
      <c r="D2332">
        <v>550</v>
      </c>
      <c r="E2332">
        <v>550</v>
      </c>
      <c r="F2332">
        <v>4.8719999999999999</v>
      </c>
      <c r="G2332">
        <v>2435.2800000000002</v>
      </c>
      <c r="H2332">
        <v>90.89</v>
      </c>
      <c r="I2332" s="309">
        <v>5115</v>
      </c>
      <c r="J2332">
        <v>9.3000000000000007</v>
      </c>
      <c r="K2332" s="133">
        <v>1.08657523445861E-2</v>
      </c>
      <c r="L2332" s="181">
        <v>86.2800000000002</v>
      </c>
      <c r="M2332" s="133">
        <v>5.6925071110135502E-3</v>
      </c>
      <c r="N2332" s="73">
        <v>2432.9929999997598</v>
      </c>
      <c r="O2332" s="73">
        <v>261.48134446234099</v>
      </c>
      <c r="P2332" s="182">
        <v>0</v>
      </c>
      <c r="Q2332" s="182">
        <v>0</v>
      </c>
      <c r="R2332" s="46">
        <v>0</v>
      </c>
      <c r="S2332" s="46">
        <v>19</v>
      </c>
      <c r="T2332" s="46">
        <v>7600</v>
      </c>
      <c r="U2332" s="46">
        <v>8.8580000000000005</v>
      </c>
      <c r="V2332" s="46" t="s">
        <v>68</v>
      </c>
      <c r="W2332" s="46">
        <v>7600</v>
      </c>
      <c r="X2332" s="46">
        <v>8.8580000000000005</v>
      </c>
      <c r="AF2332" s="46">
        <v>173</v>
      </c>
      <c r="AG2332" s="46">
        <v>86000</v>
      </c>
      <c r="AH2332" s="46">
        <v>712694</v>
      </c>
      <c r="AI2332" s="46">
        <v>8.2870000000000008</v>
      </c>
      <c r="AJ2332" s="46">
        <v>175</v>
      </c>
      <c r="AK2332" s="46">
        <v>80450</v>
      </c>
      <c r="AL2332" s="46">
        <v>711982.429</v>
      </c>
      <c r="AM2332" s="46">
        <v>8.85</v>
      </c>
      <c r="AN2332" s="46" t="s">
        <v>63</v>
      </c>
      <c r="AO2332" s="46">
        <v>5550</v>
      </c>
      <c r="AP2332" s="46">
        <v>711.57100000000003</v>
      </c>
      <c r="AQ2332" s="46">
        <v>0.128</v>
      </c>
      <c r="AR2332" s="46">
        <v>45293.35</v>
      </c>
      <c r="AS2332" s="46">
        <v>173</v>
      </c>
      <c r="AT2332" s="46">
        <v>86000</v>
      </c>
      <c r="AU2332" s="46">
        <v>712694</v>
      </c>
      <c r="AV2332" s="46">
        <v>8.2870000000000008</v>
      </c>
      <c r="AW2332" s="46">
        <v>194</v>
      </c>
      <c r="AX2332" s="46">
        <v>88050</v>
      </c>
      <c r="AY2332" s="46">
        <v>779140.10900000005</v>
      </c>
      <c r="AZ2332" s="46">
        <v>8.8490000000000002</v>
      </c>
      <c r="BA2332" s="46" t="s">
        <v>69</v>
      </c>
      <c r="BB2332" s="46">
        <v>2050</v>
      </c>
      <c r="BC2332" s="46">
        <v>66446.108999999997</v>
      </c>
      <c r="BD2332" s="46">
        <v>32.412999999999997</v>
      </c>
      <c r="BE2332" s="46">
        <v>48332</v>
      </c>
      <c r="BF2332" s="46">
        <v>0</v>
      </c>
      <c r="BH2332" s="46">
        <v>67157.680000000095</v>
      </c>
      <c r="BI2332">
        <v>8.84</v>
      </c>
      <c r="BJ2332">
        <v>65734.538</v>
      </c>
      <c r="BK2332">
        <v>8.65</v>
      </c>
      <c r="BL2332">
        <v>4870.25</v>
      </c>
    </row>
    <row r="2333" spans="1:64" x14ac:dyDescent="0.25">
      <c r="A2333" s="136">
        <v>43153</v>
      </c>
      <c r="B2333" s="201" t="s">
        <v>78</v>
      </c>
      <c r="C2333" t="s">
        <v>142</v>
      </c>
      <c r="D2333">
        <v>2700</v>
      </c>
      <c r="E2333">
        <v>2700</v>
      </c>
      <c r="F2333">
        <v>9.0890000000000004</v>
      </c>
      <c r="G2333">
        <v>-1238.56</v>
      </c>
      <c r="H2333">
        <v>-5.05</v>
      </c>
      <c r="I2333" s="309">
        <v>23301</v>
      </c>
      <c r="J2333">
        <v>8.6300000000000008</v>
      </c>
      <c r="K2333" s="133">
        <v>4.9498122264164501E-2</v>
      </c>
      <c r="L2333" s="181">
        <v>297</v>
      </c>
      <c r="M2333" s="133">
        <v>5.2129185064538001E-2</v>
      </c>
      <c r="N2333" s="73">
        <v>-1373.5640000000001</v>
      </c>
      <c r="O2333" s="73">
        <v>-160.00899976689999</v>
      </c>
      <c r="P2333" s="182">
        <v>3</v>
      </c>
      <c r="Q2333" s="182">
        <v>1500</v>
      </c>
      <c r="R2333" s="46">
        <v>8.7430000000000003</v>
      </c>
      <c r="S2333" s="46">
        <v>0</v>
      </c>
      <c r="T2333" s="46">
        <v>0</v>
      </c>
      <c r="U2333" s="46">
        <v>0</v>
      </c>
      <c r="V2333" s="46" t="s">
        <v>62</v>
      </c>
      <c r="W2333" s="46">
        <v>1500</v>
      </c>
      <c r="X2333" s="46">
        <v>8.7430000000000003</v>
      </c>
      <c r="AF2333" s="46">
        <v>9</v>
      </c>
      <c r="AG2333" s="46">
        <v>4500</v>
      </c>
      <c r="AH2333" s="46">
        <v>44895</v>
      </c>
      <c r="AI2333" s="46">
        <v>9.9770000000000003</v>
      </c>
      <c r="AJ2333" s="46">
        <v>9</v>
      </c>
      <c r="AK2333" s="46">
        <v>3300</v>
      </c>
      <c r="AL2333" s="46">
        <v>33485.436000000002</v>
      </c>
      <c r="AM2333" s="46">
        <v>10.147</v>
      </c>
      <c r="AN2333" s="46" t="s">
        <v>63</v>
      </c>
      <c r="AO2333" s="46">
        <v>1200</v>
      </c>
      <c r="AP2333" s="46">
        <v>11409.564</v>
      </c>
      <c r="AQ2333" s="46">
        <v>9.5079999999999991</v>
      </c>
      <c r="AR2333" s="46">
        <v>561</v>
      </c>
      <c r="AS2333" s="46">
        <v>12</v>
      </c>
      <c r="AT2333" s="46">
        <v>6000</v>
      </c>
      <c r="AU2333" s="46">
        <v>58025</v>
      </c>
      <c r="AV2333" s="46">
        <v>9.6709999999999994</v>
      </c>
      <c r="AW2333" s="46">
        <v>9</v>
      </c>
      <c r="AX2333" s="46">
        <v>3300</v>
      </c>
      <c r="AY2333" s="46">
        <v>33485.436000000002</v>
      </c>
      <c r="AZ2333" s="46">
        <v>10.147</v>
      </c>
      <c r="BA2333" s="46" t="s">
        <v>63</v>
      </c>
      <c r="BB2333" s="46">
        <v>2700</v>
      </c>
      <c r="BC2333" s="46">
        <v>24539.563999999998</v>
      </c>
      <c r="BD2333" s="46">
        <v>9.0890000000000004</v>
      </c>
      <c r="BE2333" s="46">
        <v>1570.8</v>
      </c>
      <c r="BF2333" s="46">
        <v>13130</v>
      </c>
      <c r="BG2333" s="46">
        <v>8.75</v>
      </c>
      <c r="BH2333" s="46">
        <v>0</v>
      </c>
      <c r="BJ2333">
        <v>13130</v>
      </c>
      <c r="BK2333">
        <v>8.75</v>
      </c>
      <c r="BL2333">
        <v>65.010000000000005</v>
      </c>
    </row>
    <row r="2334" spans="1:64" x14ac:dyDescent="0.25">
      <c r="A2334" s="136">
        <v>43153</v>
      </c>
      <c r="B2334" s="201" t="s">
        <v>72</v>
      </c>
      <c r="C2334" t="s">
        <v>130</v>
      </c>
      <c r="D2334">
        <v>4100</v>
      </c>
      <c r="E2334">
        <v>3700</v>
      </c>
      <c r="F2334">
        <v>6.758</v>
      </c>
      <c r="G2334">
        <v>-2326.87</v>
      </c>
      <c r="H2334">
        <v>-8.4</v>
      </c>
      <c r="I2334" s="309">
        <v>25379</v>
      </c>
      <c r="J2334">
        <v>6.19</v>
      </c>
      <c r="K2334" s="133">
        <v>5.3912400538269997E-2</v>
      </c>
      <c r="L2334" s="181">
        <v>82</v>
      </c>
      <c r="M2334" s="133">
        <v>5.8855351302306597E-2</v>
      </c>
      <c r="N2334" s="73">
        <v>-2351.0839999999898</v>
      </c>
      <c r="O2334" s="73">
        <v>-471.691099174915</v>
      </c>
      <c r="P2334" s="182">
        <v>0</v>
      </c>
      <c r="Q2334" s="182">
        <v>0</v>
      </c>
      <c r="R2334" s="46">
        <v>0</v>
      </c>
      <c r="S2334" s="46">
        <v>9</v>
      </c>
      <c r="T2334" s="46">
        <v>3600</v>
      </c>
      <c r="U2334" s="46">
        <v>7.8330000000000002</v>
      </c>
      <c r="V2334" s="46" t="s">
        <v>68</v>
      </c>
      <c r="W2334" s="46">
        <v>3600</v>
      </c>
      <c r="X2334" s="46">
        <v>7.8330000000000002</v>
      </c>
      <c r="AF2334" s="46">
        <v>32</v>
      </c>
      <c r="AG2334" s="46">
        <v>15900</v>
      </c>
      <c r="AH2334" s="46">
        <v>121142</v>
      </c>
      <c r="AI2334" s="46">
        <v>7.6189999999999998</v>
      </c>
      <c r="AJ2334" s="46">
        <v>32</v>
      </c>
      <c r="AK2334" s="46">
        <v>14800</v>
      </c>
      <c r="AL2334" s="46">
        <v>66041.797000000006</v>
      </c>
      <c r="AM2334" s="46">
        <v>4.4619999999999997</v>
      </c>
      <c r="AN2334" s="46" t="s">
        <v>63</v>
      </c>
      <c r="AO2334" s="46">
        <v>1100</v>
      </c>
      <c r="AP2334" s="46">
        <v>55100.203000000001</v>
      </c>
      <c r="AQ2334" s="46">
        <v>50.091000000000001</v>
      </c>
      <c r="AR2334" s="46">
        <v>-46723.6</v>
      </c>
      <c r="AS2334" s="46">
        <v>32</v>
      </c>
      <c r="AT2334" s="46">
        <v>15900</v>
      </c>
      <c r="AU2334" s="46">
        <v>121142</v>
      </c>
      <c r="AV2334" s="46">
        <v>7.6189999999999998</v>
      </c>
      <c r="AW2334" s="46">
        <v>42</v>
      </c>
      <c r="AX2334" s="46">
        <v>18900</v>
      </c>
      <c r="AY2334" s="46">
        <v>94168.596999999994</v>
      </c>
      <c r="AZ2334" s="46">
        <v>4.9820000000000002</v>
      </c>
      <c r="BA2334" s="46" t="s">
        <v>69</v>
      </c>
      <c r="BB2334" s="46">
        <v>3000</v>
      </c>
      <c r="BC2334" s="46">
        <v>26973.402999999998</v>
      </c>
      <c r="BD2334" s="46">
        <v>8.9909999999999997</v>
      </c>
      <c r="BE2334" s="46">
        <v>-41928.300000000003</v>
      </c>
      <c r="BF2334" s="46">
        <v>0</v>
      </c>
      <c r="BH2334" s="46">
        <v>28126.799999999999</v>
      </c>
      <c r="BI2334">
        <v>7.81</v>
      </c>
      <c r="BJ2334">
        <v>-28126.799999999999</v>
      </c>
      <c r="BK2334">
        <v>-7.81</v>
      </c>
      <c r="BL2334">
        <v>-7548.24</v>
      </c>
    </row>
    <row r="2335" spans="1:64" x14ac:dyDescent="0.25">
      <c r="A2335" s="136">
        <v>43153</v>
      </c>
      <c r="B2335" s="201" t="s">
        <v>70</v>
      </c>
      <c r="C2335" t="s">
        <v>131</v>
      </c>
      <c r="D2335">
        <v>15100</v>
      </c>
      <c r="E2335">
        <v>15100</v>
      </c>
      <c r="F2335">
        <v>11.005000000000001</v>
      </c>
      <c r="G2335">
        <v>-40838.03</v>
      </c>
      <c r="H2335">
        <v>-24.58</v>
      </c>
      <c r="I2335" s="309">
        <v>125330</v>
      </c>
      <c r="J2335">
        <v>8.3000000000000007</v>
      </c>
      <c r="K2335" s="133">
        <v>0.266237486089341</v>
      </c>
      <c r="L2335" s="181">
        <v>755</v>
      </c>
      <c r="M2335" s="133">
        <v>0.35298937665058799</v>
      </c>
      <c r="N2335" s="73">
        <v>-44159.025999999998</v>
      </c>
      <c r="O2335" s="73">
        <v>-5462.4933771039696</v>
      </c>
      <c r="P2335" s="182">
        <v>5</v>
      </c>
      <c r="Q2335" s="182">
        <v>3500</v>
      </c>
      <c r="R2335" s="46">
        <v>8.2110000000000003</v>
      </c>
      <c r="S2335" s="46">
        <v>1</v>
      </c>
      <c r="T2335" s="46">
        <v>400</v>
      </c>
      <c r="U2335" s="46">
        <v>8.43</v>
      </c>
      <c r="V2335" s="46" t="s">
        <v>62</v>
      </c>
      <c r="W2335" s="46">
        <v>3100</v>
      </c>
      <c r="X2335" s="46">
        <v>8.1829999999999998</v>
      </c>
      <c r="AF2335" s="46">
        <v>128</v>
      </c>
      <c r="AG2335" s="46">
        <v>64600</v>
      </c>
      <c r="AH2335" s="46">
        <v>861448</v>
      </c>
      <c r="AI2335" s="46">
        <v>13.335000000000001</v>
      </c>
      <c r="AJ2335" s="46">
        <v>131</v>
      </c>
      <c r="AK2335" s="46">
        <v>52600</v>
      </c>
      <c r="AL2335" s="46">
        <v>720277.34600000002</v>
      </c>
      <c r="AM2335" s="46">
        <v>13.693</v>
      </c>
      <c r="AN2335" s="46" t="s">
        <v>63</v>
      </c>
      <c r="AO2335" s="46">
        <v>12000</v>
      </c>
      <c r="AP2335" s="46">
        <v>141170.65400000001</v>
      </c>
      <c r="AQ2335" s="46">
        <v>11.763999999999999</v>
      </c>
      <c r="AR2335" s="46">
        <v>18830.8</v>
      </c>
      <c r="AS2335" s="46">
        <v>133</v>
      </c>
      <c r="AT2335" s="46">
        <v>68100</v>
      </c>
      <c r="AU2335" s="46">
        <v>890213</v>
      </c>
      <c r="AV2335" s="46">
        <v>13.071999999999999</v>
      </c>
      <c r="AW2335" s="46">
        <v>133</v>
      </c>
      <c r="AX2335" s="46">
        <v>53000</v>
      </c>
      <c r="AY2335" s="46">
        <v>724045.97400000005</v>
      </c>
      <c r="AZ2335" s="46">
        <v>13.661</v>
      </c>
      <c r="BA2335" s="46" t="s">
        <v>63</v>
      </c>
      <c r="BB2335" s="46">
        <v>15100</v>
      </c>
      <c r="BC2335" s="46">
        <v>166167.02600000001</v>
      </c>
      <c r="BD2335" s="46">
        <v>11.004</v>
      </c>
      <c r="BE2335" s="46">
        <v>31217</v>
      </c>
      <c r="BF2335" s="46">
        <v>28765</v>
      </c>
      <c r="BG2335" s="46">
        <v>8.2200000000000006</v>
      </c>
      <c r="BH2335" s="46">
        <v>3768.6280000000302</v>
      </c>
      <c r="BI2335">
        <v>9.42</v>
      </c>
      <c r="BJ2335">
        <v>24996.371999999999</v>
      </c>
      <c r="BK2335">
        <v>8.06</v>
      </c>
      <c r="BL2335">
        <v>2268.77</v>
      </c>
    </row>
    <row r="2336" spans="1:64" x14ac:dyDescent="0.25">
      <c r="A2336" s="136">
        <v>43153</v>
      </c>
      <c r="B2336" s="201" t="s">
        <v>137</v>
      </c>
      <c r="C2336" t="s">
        <v>138</v>
      </c>
      <c r="D2336">
        <v>100</v>
      </c>
      <c r="E2336">
        <v>100</v>
      </c>
      <c r="F2336">
        <v>-130.48500000000001</v>
      </c>
      <c r="G2336">
        <v>16001.5</v>
      </c>
      <c r="H2336">
        <v>0</v>
      </c>
      <c r="I2336" s="309">
        <v>2953</v>
      </c>
      <c r="J2336">
        <v>29.53</v>
      </c>
      <c r="K2336" s="133">
        <v>6.27303356276888E-3</v>
      </c>
      <c r="L2336" s="181">
        <v>56</v>
      </c>
      <c r="M2336" s="133">
        <v>0</v>
      </c>
    </row>
    <row r="2337" spans="1:64" x14ac:dyDescent="0.25">
      <c r="A2337" s="136">
        <v>43153</v>
      </c>
      <c r="B2337" s="201" t="s">
        <v>835</v>
      </c>
      <c r="C2337" t="s">
        <v>839</v>
      </c>
      <c r="I2337" s="309">
        <v>3712.27</v>
      </c>
      <c r="K2337" s="133">
        <v>7.8859445662241897E-3</v>
      </c>
      <c r="L2337" s="181">
        <v>0</v>
      </c>
      <c r="M2337" s="133">
        <v>0.145973108633115</v>
      </c>
    </row>
    <row r="2338" spans="1:64" x14ac:dyDescent="0.25">
      <c r="A2338" s="136">
        <v>43154</v>
      </c>
      <c r="B2338" s="201" t="s">
        <v>132</v>
      </c>
      <c r="C2338" t="s">
        <v>123</v>
      </c>
      <c r="D2338">
        <v>6504307</v>
      </c>
      <c r="E2338">
        <v>6504307</v>
      </c>
      <c r="F2338">
        <v>0.01</v>
      </c>
      <c r="G2338">
        <v>3088.63</v>
      </c>
      <c r="H2338">
        <v>0</v>
      </c>
      <c r="I2338" s="309">
        <v>65043.07</v>
      </c>
      <c r="J2338">
        <v>0.01</v>
      </c>
      <c r="K2338" s="133">
        <v>0.13768922907832201</v>
      </c>
      <c r="L2338" s="181">
        <v>39.21</v>
      </c>
      <c r="M2338" s="133">
        <v>0</v>
      </c>
    </row>
    <row r="2339" spans="1:64" x14ac:dyDescent="0.25">
      <c r="A2339" s="136">
        <v>43154</v>
      </c>
      <c r="B2339" s="201" t="s">
        <v>61</v>
      </c>
      <c r="C2339" t="s">
        <v>136</v>
      </c>
      <c r="D2339">
        <v>2800</v>
      </c>
      <c r="E2339">
        <v>2800</v>
      </c>
      <c r="F2339">
        <v>5.2069999999999999</v>
      </c>
      <c r="G2339">
        <v>-552.89</v>
      </c>
      <c r="H2339">
        <v>-3.78</v>
      </c>
      <c r="I2339" s="309">
        <v>14028</v>
      </c>
      <c r="J2339">
        <v>5.01</v>
      </c>
      <c r="K2339" s="133">
        <v>2.9695777052200899E-2</v>
      </c>
      <c r="L2339" s="181">
        <v>56</v>
      </c>
      <c r="M2339" s="133">
        <v>3.0866186103697301E-2</v>
      </c>
      <c r="N2339" s="73">
        <v>-809.98500000000104</v>
      </c>
      <c r="O2339" s="73">
        <v>-164.54878201219501</v>
      </c>
      <c r="P2339" s="182">
        <v>4</v>
      </c>
      <c r="Q2339" s="182">
        <v>2000</v>
      </c>
      <c r="R2339" s="46">
        <v>5.2249999999999996</v>
      </c>
      <c r="S2339" s="46">
        <v>0</v>
      </c>
      <c r="T2339" s="46">
        <v>0</v>
      </c>
      <c r="U2339" s="46">
        <v>0</v>
      </c>
      <c r="V2339" s="46" t="s">
        <v>62</v>
      </c>
      <c r="W2339" s="46">
        <v>2000</v>
      </c>
      <c r="X2339" s="46">
        <v>5.2249999999999996</v>
      </c>
      <c r="AF2339" s="46">
        <v>9</v>
      </c>
      <c r="AG2339" s="46">
        <v>4500</v>
      </c>
      <c r="AH2339" s="46">
        <v>23912.7</v>
      </c>
      <c r="AI2339" s="46">
        <v>5.3140000000000001</v>
      </c>
      <c r="AJ2339" s="46">
        <v>9</v>
      </c>
      <c r="AK2339" s="46">
        <v>3700</v>
      </c>
      <c r="AL2339" s="46">
        <v>19797.915000000001</v>
      </c>
      <c r="AM2339" s="46">
        <v>5.351</v>
      </c>
      <c r="AN2339" s="46" t="s">
        <v>63</v>
      </c>
      <c r="AO2339" s="46">
        <v>800</v>
      </c>
      <c r="AP2339" s="46">
        <v>4114.7849999999999</v>
      </c>
      <c r="AQ2339" s="46">
        <v>5.1429999999999998</v>
      </c>
      <c r="AR2339" s="46">
        <v>136.9</v>
      </c>
      <c r="AS2339" s="46">
        <v>13</v>
      </c>
      <c r="AT2339" s="46">
        <v>6500</v>
      </c>
      <c r="AU2339" s="46">
        <v>34383.9</v>
      </c>
      <c r="AV2339" s="46">
        <v>5.29</v>
      </c>
      <c r="AW2339" s="46">
        <v>9</v>
      </c>
      <c r="AX2339" s="46">
        <v>3700</v>
      </c>
      <c r="AY2339" s="46">
        <v>19797.915000000001</v>
      </c>
      <c r="AZ2339" s="46">
        <v>5.351</v>
      </c>
      <c r="BA2339" s="46" t="s">
        <v>63</v>
      </c>
      <c r="BB2339" s="46">
        <v>2800</v>
      </c>
      <c r="BC2339" s="46">
        <v>14585.985000000001</v>
      </c>
      <c r="BD2339" s="46">
        <v>5.2089999999999996</v>
      </c>
      <c r="BE2339" s="46">
        <v>225.7</v>
      </c>
      <c r="BF2339" s="46">
        <v>10471.200000000001</v>
      </c>
      <c r="BG2339" s="46">
        <v>5.24</v>
      </c>
      <c r="BH2339" s="46">
        <v>0</v>
      </c>
      <c r="BJ2339">
        <v>10471.200000000001</v>
      </c>
      <c r="BK2339">
        <v>5.24</v>
      </c>
      <c r="BL2339">
        <v>27.33</v>
      </c>
    </row>
    <row r="2340" spans="1:64" x14ac:dyDescent="0.25">
      <c r="A2340" s="136">
        <v>43154</v>
      </c>
      <c r="B2340" s="201" t="s">
        <v>124</v>
      </c>
      <c r="C2340" t="s">
        <v>125</v>
      </c>
      <c r="D2340">
        <v>100</v>
      </c>
      <c r="E2340">
        <v>100</v>
      </c>
      <c r="F2340">
        <v>-53.579000000000001</v>
      </c>
      <c r="G2340">
        <v>6058.9</v>
      </c>
      <c r="H2340">
        <v>0</v>
      </c>
      <c r="I2340" s="309">
        <v>701</v>
      </c>
      <c r="J2340">
        <v>7.01</v>
      </c>
      <c r="K2340" s="133">
        <v>1.48394209535164E-3</v>
      </c>
      <c r="L2340" s="181">
        <v>1</v>
      </c>
      <c r="M2340" s="133">
        <v>0</v>
      </c>
    </row>
    <row r="2341" spans="1:64" x14ac:dyDescent="0.25">
      <c r="A2341" s="136">
        <v>43154</v>
      </c>
      <c r="B2341" s="201" t="s">
        <v>71</v>
      </c>
      <c r="C2341" t="s">
        <v>126</v>
      </c>
      <c r="D2341">
        <v>100</v>
      </c>
      <c r="E2341">
        <v>100</v>
      </c>
      <c r="F2341">
        <v>-17.085999999999999</v>
      </c>
      <c r="G2341">
        <v>2422.6</v>
      </c>
      <c r="H2341">
        <v>0</v>
      </c>
      <c r="I2341" s="309">
        <v>714</v>
      </c>
      <c r="J2341">
        <v>7.14</v>
      </c>
      <c r="K2341" s="133">
        <v>1.5114617062497501E-3</v>
      </c>
      <c r="L2341" s="181">
        <v>3</v>
      </c>
      <c r="M2341" s="133">
        <v>0</v>
      </c>
      <c r="N2341" s="73">
        <v>1703.3019999999999</v>
      </c>
      <c r="O2341" s="73">
        <v>341.114950423729</v>
      </c>
      <c r="P2341" s="182">
        <v>0</v>
      </c>
      <c r="Q2341" s="182">
        <v>0</v>
      </c>
      <c r="R2341" s="46">
        <v>0</v>
      </c>
      <c r="S2341" s="46">
        <v>7</v>
      </c>
      <c r="T2341" s="46">
        <v>2800</v>
      </c>
      <c r="U2341" s="46">
        <v>6.6749999999999998</v>
      </c>
      <c r="V2341" s="46" t="s">
        <v>68</v>
      </c>
      <c r="W2341" s="46">
        <v>2800</v>
      </c>
      <c r="X2341" s="46">
        <v>6.6749999999999998</v>
      </c>
      <c r="AF2341" s="46">
        <v>41</v>
      </c>
      <c r="AG2341" s="46">
        <v>20600</v>
      </c>
      <c r="AH2341" s="46">
        <v>131323.35999999999</v>
      </c>
      <c r="AI2341" s="46">
        <v>6.375</v>
      </c>
      <c r="AJ2341" s="46">
        <v>39</v>
      </c>
      <c r="AK2341" s="46">
        <v>17700</v>
      </c>
      <c r="AL2341" s="46">
        <v>114228.83100000001</v>
      </c>
      <c r="AM2341" s="46">
        <v>6.4539999999999997</v>
      </c>
      <c r="AN2341" s="46" t="s">
        <v>63</v>
      </c>
      <c r="AO2341" s="46">
        <v>2900</v>
      </c>
      <c r="AP2341" s="46">
        <v>17094.528999999999</v>
      </c>
      <c r="AQ2341" s="46">
        <v>5.8949999999999996</v>
      </c>
      <c r="AR2341" s="46">
        <v>1398.3</v>
      </c>
      <c r="AS2341" s="46">
        <v>41</v>
      </c>
      <c r="AT2341" s="46">
        <v>20600</v>
      </c>
      <c r="AU2341" s="46">
        <v>131323.35999999999</v>
      </c>
      <c r="AV2341" s="46">
        <v>6.375</v>
      </c>
      <c r="AW2341" s="46">
        <v>46</v>
      </c>
      <c r="AX2341" s="46">
        <v>20500</v>
      </c>
      <c r="AY2341" s="46">
        <v>132870.462</v>
      </c>
      <c r="AZ2341" s="46">
        <v>6.4809999999999999</v>
      </c>
      <c r="BA2341" s="46" t="s">
        <v>63</v>
      </c>
      <c r="BB2341" s="46">
        <v>100</v>
      </c>
      <c r="BC2341" s="46">
        <v>1547.1020000000001</v>
      </c>
      <c r="BD2341" s="46">
        <v>15.471</v>
      </c>
      <c r="BE2341" s="46">
        <v>2173</v>
      </c>
      <c r="BF2341" s="46">
        <v>0</v>
      </c>
      <c r="BH2341" s="46">
        <v>18641.631000000001</v>
      </c>
      <c r="BI2341">
        <v>6.66</v>
      </c>
      <c r="BJ2341">
        <v>-15547.427</v>
      </c>
      <c r="BK2341">
        <v>-5.55</v>
      </c>
      <c r="BL2341">
        <v>195.84</v>
      </c>
    </row>
    <row r="2342" spans="1:64" x14ac:dyDescent="0.25">
      <c r="A2342" s="136">
        <v>43154</v>
      </c>
      <c r="B2342" s="201" t="s">
        <v>79</v>
      </c>
      <c r="C2342" t="s">
        <v>143</v>
      </c>
      <c r="D2342">
        <v>5800</v>
      </c>
      <c r="E2342">
        <v>5800</v>
      </c>
      <c r="F2342">
        <v>16.396000000000001</v>
      </c>
      <c r="G2342">
        <v>-12098.71</v>
      </c>
      <c r="H2342">
        <v>-12.72</v>
      </c>
      <c r="I2342" s="309">
        <v>82998</v>
      </c>
      <c r="J2342">
        <v>14.31</v>
      </c>
      <c r="K2342" s="133">
        <v>0.17569789733237601</v>
      </c>
      <c r="L2342" s="181">
        <v>174</v>
      </c>
      <c r="M2342" s="133">
        <v>0.20130957360691501</v>
      </c>
      <c r="N2342" s="73">
        <v>-11928.1520000001</v>
      </c>
      <c r="O2342" s="73">
        <v>-831.39385801953097</v>
      </c>
      <c r="P2342" s="182">
        <v>9</v>
      </c>
      <c r="Q2342" s="182">
        <v>5000</v>
      </c>
      <c r="R2342" s="46">
        <v>15.945</v>
      </c>
      <c r="S2342" s="46">
        <v>0</v>
      </c>
      <c r="T2342" s="46">
        <v>0</v>
      </c>
      <c r="U2342" s="46">
        <v>0</v>
      </c>
      <c r="V2342" s="46" t="s">
        <v>62</v>
      </c>
      <c r="W2342" s="46">
        <v>5000</v>
      </c>
      <c r="X2342" s="46">
        <v>15.945</v>
      </c>
      <c r="AF2342" s="46">
        <v>8</v>
      </c>
      <c r="AG2342" s="46">
        <v>4000</v>
      </c>
      <c r="AH2342" s="46">
        <v>65067.4</v>
      </c>
      <c r="AI2342" s="46">
        <v>16.266999999999999</v>
      </c>
      <c r="AJ2342" s="46">
        <v>8</v>
      </c>
      <c r="AK2342" s="46">
        <v>3200</v>
      </c>
      <c r="AL2342" s="46">
        <v>49740.248</v>
      </c>
      <c r="AM2342" s="46">
        <v>15.544</v>
      </c>
      <c r="AN2342" s="46" t="s">
        <v>63</v>
      </c>
      <c r="AO2342" s="46">
        <v>800</v>
      </c>
      <c r="AP2342" s="46">
        <v>15327.152</v>
      </c>
      <c r="AQ2342" s="46">
        <v>19.158999999999999</v>
      </c>
      <c r="AR2342" s="46">
        <v>-2313.6</v>
      </c>
      <c r="AS2342" s="46">
        <v>17</v>
      </c>
      <c r="AT2342" s="46">
        <v>9000</v>
      </c>
      <c r="AU2342" s="46">
        <v>144840.4</v>
      </c>
      <c r="AV2342" s="46">
        <v>16.093</v>
      </c>
      <c r="AW2342" s="46">
        <v>8</v>
      </c>
      <c r="AX2342" s="46">
        <v>3200</v>
      </c>
      <c r="AY2342" s="46">
        <v>49740.248</v>
      </c>
      <c r="AZ2342" s="46">
        <v>15.544</v>
      </c>
      <c r="BA2342" s="46" t="s">
        <v>63</v>
      </c>
      <c r="BB2342" s="46">
        <v>5800</v>
      </c>
      <c r="BC2342" s="46">
        <v>95100.152000000002</v>
      </c>
      <c r="BD2342" s="46">
        <v>16.396999999999998</v>
      </c>
      <c r="BE2342" s="46">
        <v>-1756.8</v>
      </c>
      <c r="BF2342" s="46">
        <v>79773</v>
      </c>
      <c r="BG2342" s="46">
        <v>15.95</v>
      </c>
      <c r="BH2342" s="46">
        <v>0</v>
      </c>
      <c r="BJ2342">
        <v>79773</v>
      </c>
      <c r="BK2342">
        <v>15.95</v>
      </c>
      <c r="BL2342">
        <v>-161.68</v>
      </c>
    </row>
    <row r="2343" spans="1:64" x14ac:dyDescent="0.25">
      <c r="A2343" s="136">
        <v>43154</v>
      </c>
      <c r="B2343" s="201" t="s">
        <v>65</v>
      </c>
      <c r="C2343" t="s">
        <v>127</v>
      </c>
      <c r="D2343">
        <v>8600</v>
      </c>
      <c r="E2343">
        <v>8600</v>
      </c>
      <c r="F2343">
        <v>9.0500000000000007</v>
      </c>
      <c r="G2343">
        <v>12213.34</v>
      </c>
      <c r="H2343">
        <v>15.69</v>
      </c>
      <c r="I2343" s="309">
        <v>90042</v>
      </c>
      <c r="J2343">
        <v>10.47</v>
      </c>
      <c r="K2343" s="133">
        <v>0.190609292652857</v>
      </c>
      <c r="L2343" s="181">
        <v>1779.61</v>
      </c>
      <c r="M2343" s="133">
        <v>0.16475495691699099</v>
      </c>
      <c r="N2343" s="73">
        <v>8532.9169999999503</v>
      </c>
      <c r="O2343" s="73">
        <v>1215.18626800283</v>
      </c>
      <c r="P2343" s="182">
        <v>0</v>
      </c>
      <c r="Q2343" s="182">
        <v>0</v>
      </c>
      <c r="R2343" s="46">
        <v>0</v>
      </c>
      <c r="S2343" s="46">
        <v>19</v>
      </c>
      <c r="T2343" s="46">
        <v>8000</v>
      </c>
      <c r="U2343" s="46">
        <v>11.978999999999999</v>
      </c>
      <c r="V2343" s="46" t="s">
        <v>68</v>
      </c>
      <c r="W2343" s="46">
        <v>8000</v>
      </c>
      <c r="X2343" s="46">
        <v>11.978999999999999</v>
      </c>
      <c r="AF2343" s="46">
        <v>163</v>
      </c>
      <c r="AG2343" s="46">
        <v>87000</v>
      </c>
      <c r="AH2343" s="46">
        <v>1012622.231</v>
      </c>
      <c r="AI2343" s="46">
        <v>11.638999999999999</v>
      </c>
      <c r="AJ2343" s="46">
        <v>183</v>
      </c>
      <c r="AK2343" s="46">
        <v>79600</v>
      </c>
      <c r="AL2343" s="46">
        <v>838317.97699999996</v>
      </c>
      <c r="AM2343" s="46">
        <v>10.532</v>
      </c>
      <c r="AN2343" s="46" t="s">
        <v>63</v>
      </c>
      <c r="AO2343" s="46">
        <v>7400</v>
      </c>
      <c r="AP2343" s="46">
        <v>174304.25399999999</v>
      </c>
      <c r="AQ2343" s="46">
        <v>23.555</v>
      </c>
      <c r="AR2343" s="46">
        <v>-88117.2</v>
      </c>
      <c r="AS2343" s="46">
        <v>164</v>
      </c>
      <c r="AT2343" s="46">
        <v>87100</v>
      </c>
      <c r="AU2343" s="46">
        <v>1013910.231</v>
      </c>
      <c r="AV2343" s="46">
        <v>11.641</v>
      </c>
      <c r="AW2343" s="46">
        <v>202</v>
      </c>
      <c r="AX2343" s="46">
        <v>87600</v>
      </c>
      <c r="AY2343" s="46">
        <v>933958.14599999995</v>
      </c>
      <c r="AZ2343" s="46">
        <v>10.662000000000001</v>
      </c>
      <c r="BA2343" s="46" t="s">
        <v>69</v>
      </c>
      <c r="BB2343" s="46">
        <v>500</v>
      </c>
      <c r="BC2343" s="46">
        <v>79952.085000000006</v>
      </c>
      <c r="BD2343" s="46">
        <v>159.904</v>
      </c>
      <c r="BE2343" s="46">
        <v>-85270.9</v>
      </c>
      <c r="BF2343" s="46">
        <v>1288</v>
      </c>
      <c r="BH2343" s="46">
        <v>95640.168999999994</v>
      </c>
      <c r="BI2343">
        <v>11.96</v>
      </c>
      <c r="BJ2343">
        <v>-94352.168999999994</v>
      </c>
      <c r="BK2343">
        <v>-11.79</v>
      </c>
      <c r="BL2343">
        <v>-8416.16</v>
      </c>
    </row>
    <row r="2344" spans="1:64" x14ac:dyDescent="0.25">
      <c r="A2344" s="136">
        <v>43154</v>
      </c>
      <c r="B2344" s="201" t="s">
        <v>77</v>
      </c>
      <c r="C2344" t="s">
        <v>128</v>
      </c>
      <c r="D2344">
        <v>4300</v>
      </c>
      <c r="E2344">
        <v>4300</v>
      </c>
      <c r="F2344">
        <v>5.9779999999999998</v>
      </c>
      <c r="G2344">
        <v>-595.27</v>
      </c>
      <c r="H2344">
        <v>-2.31</v>
      </c>
      <c r="I2344" s="309">
        <v>25112</v>
      </c>
      <c r="J2344">
        <v>5.84</v>
      </c>
      <c r="K2344" s="133">
        <v>5.3159420682554102E-2</v>
      </c>
      <c r="L2344" s="181">
        <v>0</v>
      </c>
      <c r="M2344" s="133">
        <v>5.4419543665578302E-2</v>
      </c>
      <c r="N2344" s="73">
        <v>-1272.2139999999999</v>
      </c>
      <c r="O2344" s="73">
        <v>-133.073774655173</v>
      </c>
      <c r="P2344" s="182">
        <v>6</v>
      </c>
      <c r="Q2344" s="182">
        <v>3000</v>
      </c>
      <c r="R2344" s="46">
        <v>6.798</v>
      </c>
      <c r="S2344" s="46">
        <v>0</v>
      </c>
      <c r="T2344" s="46">
        <v>0</v>
      </c>
      <c r="U2344" s="46">
        <v>0</v>
      </c>
      <c r="V2344" s="46" t="s">
        <v>62</v>
      </c>
      <c r="W2344" s="46">
        <v>3000</v>
      </c>
      <c r="X2344" s="46">
        <v>6.798</v>
      </c>
      <c r="AF2344" s="46">
        <v>39</v>
      </c>
      <c r="AG2344" s="46">
        <v>19500</v>
      </c>
      <c r="AH2344" s="46">
        <v>142169</v>
      </c>
      <c r="AI2344" s="46">
        <v>7.2910000000000004</v>
      </c>
      <c r="AJ2344" s="46">
        <v>39</v>
      </c>
      <c r="AK2344" s="46">
        <v>18200</v>
      </c>
      <c r="AL2344" s="46">
        <v>136881.78599999999</v>
      </c>
      <c r="AM2344" s="46">
        <v>7.5209999999999999</v>
      </c>
      <c r="AN2344" s="46" t="s">
        <v>63</v>
      </c>
      <c r="AO2344" s="46">
        <v>1300</v>
      </c>
      <c r="AP2344" s="46">
        <v>5287.2139999999999</v>
      </c>
      <c r="AQ2344" s="46">
        <v>4.0670000000000002</v>
      </c>
      <c r="AR2344" s="46">
        <v>4186</v>
      </c>
      <c r="AS2344" s="46">
        <v>45</v>
      </c>
      <c r="AT2344" s="46">
        <v>22500</v>
      </c>
      <c r="AU2344" s="46">
        <v>162594</v>
      </c>
      <c r="AV2344" s="46">
        <v>7.226</v>
      </c>
      <c r="AW2344" s="46">
        <v>39</v>
      </c>
      <c r="AX2344" s="46">
        <v>18200</v>
      </c>
      <c r="AY2344" s="46">
        <v>136881.78599999999</v>
      </c>
      <c r="AZ2344" s="46">
        <v>7.5209999999999999</v>
      </c>
      <c r="BA2344" s="46" t="s">
        <v>63</v>
      </c>
      <c r="BB2344" s="46">
        <v>4300</v>
      </c>
      <c r="BC2344" s="46">
        <v>25712.214</v>
      </c>
      <c r="BD2344" s="46">
        <v>5.98</v>
      </c>
      <c r="BE2344" s="46">
        <v>5369</v>
      </c>
      <c r="BF2344" s="46">
        <v>20425</v>
      </c>
      <c r="BG2344" s="46">
        <v>6.81</v>
      </c>
      <c r="BH2344" s="46">
        <v>0</v>
      </c>
      <c r="BJ2344">
        <v>20425</v>
      </c>
      <c r="BK2344">
        <v>6.81</v>
      </c>
      <c r="BL2344">
        <v>716.78</v>
      </c>
    </row>
    <row r="2345" spans="1:64" x14ac:dyDescent="0.25">
      <c r="A2345" s="136">
        <v>43154</v>
      </c>
      <c r="B2345" s="201" t="s">
        <v>67</v>
      </c>
      <c r="C2345" t="s">
        <v>129</v>
      </c>
      <c r="D2345">
        <v>550</v>
      </c>
      <c r="E2345">
        <v>150</v>
      </c>
      <c r="F2345">
        <v>4.8319999999999999</v>
      </c>
      <c r="G2345">
        <v>2408.0700000000002</v>
      </c>
      <c r="H2345">
        <v>90.61</v>
      </c>
      <c r="I2345" s="309">
        <v>5065.5</v>
      </c>
      <c r="J2345">
        <v>9.2100000000000009</v>
      </c>
      <c r="K2345" s="133">
        <v>1.0723122231103799E-2</v>
      </c>
      <c r="L2345" s="181">
        <v>-27.21</v>
      </c>
      <c r="M2345" s="133">
        <v>5.6254953529961699E-3</v>
      </c>
      <c r="N2345" s="73">
        <v>2444.2809999997598</v>
      </c>
      <c r="O2345" s="73">
        <v>263.26065296333701</v>
      </c>
      <c r="P2345" s="182">
        <v>0</v>
      </c>
      <c r="Q2345" s="182">
        <v>0</v>
      </c>
      <c r="R2345" s="46">
        <v>0</v>
      </c>
      <c r="S2345" s="46">
        <v>19</v>
      </c>
      <c r="T2345" s="46">
        <v>7600</v>
      </c>
      <c r="U2345" s="46">
        <v>8.8610000000000007</v>
      </c>
      <c r="V2345" s="46" t="s">
        <v>68</v>
      </c>
      <c r="W2345" s="46">
        <v>7600</v>
      </c>
      <c r="X2345" s="46">
        <v>8.8610000000000007</v>
      </c>
      <c r="AF2345" s="46">
        <v>174</v>
      </c>
      <c r="AG2345" s="46">
        <v>86400</v>
      </c>
      <c r="AH2345" s="46">
        <v>716375</v>
      </c>
      <c r="AI2345" s="46">
        <v>8.2910000000000004</v>
      </c>
      <c r="AJ2345" s="46">
        <v>176</v>
      </c>
      <c r="AK2345" s="46">
        <v>80850</v>
      </c>
      <c r="AL2345" s="46">
        <v>715665.73699999996</v>
      </c>
      <c r="AM2345" s="46">
        <v>8.8520000000000003</v>
      </c>
      <c r="AN2345" s="46" t="s">
        <v>63</v>
      </c>
      <c r="AO2345" s="46">
        <v>5550</v>
      </c>
      <c r="AP2345" s="46">
        <v>709.26300000000003</v>
      </c>
      <c r="AQ2345" s="46">
        <v>0.128</v>
      </c>
      <c r="AR2345" s="46">
        <v>45356.85</v>
      </c>
      <c r="AS2345" s="46">
        <v>174</v>
      </c>
      <c r="AT2345" s="46">
        <v>86400</v>
      </c>
      <c r="AU2345" s="46">
        <v>716375</v>
      </c>
      <c r="AV2345" s="46">
        <v>8.2910000000000004</v>
      </c>
      <c r="AW2345" s="46">
        <v>195</v>
      </c>
      <c r="AX2345" s="46">
        <v>88450</v>
      </c>
      <c r="AY2345" s="46">
        <v>782843.397</v>
      </c>
      <c r="AZ2345" s="46">
        <v>8.8510000000000009</v>
      </c>
      <c r="BA2345" s="46" t="s">
        <v>69</v>
      </c>
      <c r="BB2345" s="46">
        <v>2050</v>
      </c>
      <c r="BC2345" s="46">
        <v>66468.396999999997</v>
      </c>
      <c r="BD2345" s="46">
        <v>32.423999999999999</v>
      </c>
      <c r="BE2345" s="46">
        <v>48384</v>
      </c>
      <c r="BF2345" s="46">
        <v>0</v>
      </c>
      <c r="BH2345" s="46">
        <v>67177.66</v>
      </c>
      <c r="BI2345">
        <v>8.84</v>
      </c>
      <c r="BJ2345">
        <v>65759.134000000005</v>
      </c>
      <c r="BK2345">
        <v>8.65</v>
      </c>
      <c r="BL2345">
        <v>4924.74</v>
      </c>
    </row>
    <row r="2346" spans="1:64" x14ac:dyDescent="0.25">
      <c r="A2346" s="136">
        <v>43154</v>
      </c>
      <c r="B2346" s="201" t="s">
        <v>78</v>
      </c>
      <c r="C2346" t="s">
        <v>142</v>
      </c>
      <c r="D2346">
        <v>2700</v>
      </c>
      <c r="E2346">
        <v>2700</v>
      </c>
      <c r="F2346">
        <v>9.0890000000000004</v>
      </c>
      <c r="G2346">
        <v>-1211.56</v>
      </c>
      <c r="H2346">
        <v>-4.9400000000000004</v>
      </c>
      <c r="I2346" s="309">
        <v>23328</v>
      </c>
      <c r="J2346">
        <v>8.64</v>
      </c>
      <c r="K2346" s="133">
        <v>4.9382883310075697E-2</v>
      </c>
      <c r="L2346" s="181">
        <v>27</v>
      </c>
      <c r="M2346" s="133">
        <v>5.19476263700532E-2</v>
      </c>
      <c r="N2346" s="73">
        <v>-1373.5640000000001</v>
      </c>
      <c r="O2346" s="73">
        <v>-160.00899976689999</v>
      </c>
      <c r="P2346" s="182">
        <v>3</v>
      </c>
      <c r="Q2346" s="182">
        <v>1500</v>
      </c>
      <c r="R2346" s="46">
        <v>8.7430000000000003</v>
      </c>
      <c r="S2346" s="46">
        <v>0</v>
      </c>
      <c r="T2346" s="46">
        <v>0</v>
      </c>
      <c r="U2346" s="46">
        <v>0</v>
      </c>
      <c r="V2346" s="46" t="s">
        <v>62</v>
      </c>
      <c r="W2346" s="46">
        <v>1500</v>
      </c>
      <c r="X2346" s="46">
        <v>8.7430000000000003</v>
      </c>
      <c r="AF2346" s="46">
        <v>9</v>
      </c>
      <c r="AG2346" s="46">
        <v>4500</v>
      </c>
      <c r="AH2346" s="46">
        <v>44895</v>
      </c>
      <c r="AI2346" s="46">
        <v>9.9770000000000003</v>
      </c>
      <c r="AJ2346" s="46">
        <v>9</v>
      </c>
      <c r="AK2346" s="46">
        <v>3300</v>
      </c>
      <c r="AL2346" s="46">
        <v>33485.436000000002</v>
      </c>
      <c r="AM2346" s="46">
        <v>10.147</v>
      </c>
      <c r="AN2346" s="46" t="s">
        <v>63</v>
      </c>
      <c r="AO2346" s="46">
        <v>1200</v>
      </c>
      <c r="AP2346" s="46">
        <v>11409.564</v>
      </c>
      <c r="AQ2346" s="46">
        <v>9.5079999999999991</v>
      </c>
      <c r="AR2346" s="46">
        <v>561</v>
      </c>
      <c r="AS2346" s="46">
        <v>12</v>
      </c>
      <c r="AT2346" s="46">
        <v>6000</v>
      </c>
      <c r="AU2346" s="46">
        <v>58025</v>
      </c>
      <c r="AV2346" s="46">
        <v>9.6709999999999994</v>
      </c>
      <c r="AW2346" s="46">
        <v>9</v>
      </c>
      <c r="AX2346" s="46">
        <v>3300</v>
      </c>
      <c r="AY2346" s="46">
        <v>33485.436000000002</v>
      </c>
      <c r="AZ2346" s="46">
        <v>10.147</v>
      </c>
      <c r="BA2346" s="46" t="s">
        <v>63</v>
      </c>
      <c r="BB2346" s="46">
        <v>2700</v>
      </c>
      <c r="BC2346" s="46">
        <v>24539.563999999998</v>
      </c>
      <c r="BD2346" s="46">
        <v>9.0890000000000004</v>
      </c>
      <c r="BE2346" s="46">
        <v>1570.8</v>
      </c>
      <c r="BF2346" s="46">
        <v>13130</v>
      </c>
      <c r="BG2346" s="46">
        <v>8.75</v>
      </c>
      <c r="BH2346" s="46">
        <v>0</v>
      </c>
      <c r="BJ2346">
        <v>13130</v>
      </c>
      <c r="BK2346">
        <v>8.75</v>
      </c>
      <c r="BL2346">
        <v>64.930000000000007</v>
      </c>
    </row>
    <row r="2347" spans="1:64" x14ac:dyDescent="0.25">
      <c r="A2347" s="136">
        <v>43154</v>
      </c>
      <c r="B2347" s="201" t="s">
        <v>72</v>
      </c>
      <c r="C2347" t="s">
        <v>130</v>
      </c>
      <c r="D2347">
        <v>4100</v>
      </c>
      <c r="E2347">
        <v>4100</v>
      </c>
      <c r="F2347">
        <v>6.758</v>
      </c>
      <c r="G2347">
        <v>-2449.87</v>
      </c>
      <c r="H2347">
        <v>-8.85</v>
      </c>
      <c r="I2347" s="309">
        <v>25256</v>
      </c>
      <c r="J2347">
        <v>6.16</v>
      </c>
      <c r="K2347" s="133">
        <v>5.3464253295579203E-2</v>
      </c>
      <c r="L2347" s="181">
        <v>-123</v>
      </c>
      <c r="M2347" s="133">
        <v>5.8650366307189998E-2</v>
      </c>
      <c r="N2347" s="73">
        <v>-2351.0839999999898</v>
      </c>
      <c r="O2347" s="73">
        <v>-471.691099174915</v>
      </c>
      <c r="P2347" s="182">
        <v>0</v>
      </c>
      <c r="Q2347" s="182">
        <v>0</v>
      </c>
      <c r="R2347" s="46">
        <v>0</v>
      </c>
      <c r="S2347" s="46">
        <v>9</v>
      </c>
      <c r="T2347" s="46">
        <v>3600</v>
      </c>
      <c r="U2347" s="46">
        <v>7.8330000000000002</v>
      </c>
      <c r="V2347" s="46" t="s">
        <v>68</v>
      </c>
      <c r="W2347" s="46">
        <v>3600</v>
      </c>
      <c r="X2347" s="46">
        <v>7.8330000000000002</v>
      </c>
      <c r="AF2347" s="46">
        <v>32</v>
      </c>
      <c r="AG2347" s="46">
        <v>15900</v>
      </c>
      <c r="AH2347" s="46">
        <v>121142</v>
      </c>
      <c r="AI2347" s="46">
        <v>7.6189999999999998</v>
      </c>
      <c r="AJ2347" s="46">
        <v>32</v>
      </c>
      <c r="AK2347" s="46">
        <v>14800</v>
      </c>
      <c r="AL2347" s="46">
        <v>66041.797000000006</v>
      </c>
      <c r="AM2347" s="46">
        <v>4.4619999999999997</v>
      </c>
      <c r="AN2347" s="46" t="s">
        <v>63</v>
      </c>
      <c r="AO2347" s="46">
        <v>1100</v>
      </c>
      <c r="AP2347" s="46">
        <v>55100.203000000001</v>
      </c>
      <c r="AQ2347" s="46">
        <v>50.091000000000001</v>
      </c>
      <c r="AR2347" s="46">
        <v>-46723.6</v>
      </c>
      <c r="AS2347" s="46">
        <v>32</v>
      </c>
      <c r="AT2347" s="46">
        <v>15900</v>
      </c>
      <c r="AU2347" s="46">
        <v>121142</v>
      </c>
      <c r="AV2347" s="46">
        <v>7.6189999999999998</v>
      </c>
      <c r="AW2347" s="46">
        <v>42</v>
      </c>
      <c r="AX2347" s="46">
        <v>18900</v>
      </c>
      <c r="AY2347" s="46">
        <v>94168.596999999994</v>
      </c>
      <c r="AZ2347" s="46">
        <v>4.9820000000000002</v>
      </c>
      <c r="BA2347" s="46" t="s">
        <v>69</v>
      </c>
      <c r="BB2347" s="46">
        <v>3000</v>
      </c>
      <c r="BC2347" s="46">
        <v>26973.402999999998</v>
      </c>
      <c r="BD2347" s="46">
        <v>8.9909999999999997</v>
      </c>
      <c r="BE2347" s="46">
        <v>-41928.300000000003</v>
      </c>
      <c r="BF2347" s="46">
        <v>0</v>
      </c>
      <c r="BH2347" s="46">
        <v>28126.799999999999</v>
      </c>
      <c r="BI2347">
        <v>7.81</v>
      </c>
      <c r="BJ2347">
        <v>-28126.799999999999</v>
      </c>
      <c r="BK2347">
        <v>-7.81</v>
      </c>
      <c r="BL2347">
        <v>-7585</v>
      </c>
    </row>
    <row r="2348" spans="1:64" x14ac:dyDescent="0.25">
      <c r="A2348" s="136">
        <v>43154</v>
      </c>
      <c r="B2348" s="201" t="s">
        <v>70</v>
      </c>
      <c r="C2348" t="s">
        <v>131</v>
      </c>
      <c r="D2348">
        <v>14700</v>
      </c>
      <c r="E2348">
        <v>14700</v>
      </c>
      <c r="F2348">
        <v>11.077999999999999</v>
      </c>
      <c r="G2348">
        <v>-41124.370000000003</v>
      </c>
      <c r="H2348">
        <v>-25.26</v>
      </c>
      <c r="I2348" s="309">
        <v>121716</v>
      </c>
      <c r="J2348">
        <v>8.2799999999999994</v>
      </c>
      <c r="K2348" s="133">
        <v>0.25765976615951602</v>
      </c>
      <c r="L2348" s="181">
        <v>-286.34000000000401</v>
      </c>
      <c r="M2348" s="133">
        <v>0.344715663146414</v>
      </c>
      <c r="N2348" s="73">
        <v>-40241.362000000103</v>
      </c>
      <c r="O2348" s="73">
        <v>-4822.6908056354996</v>
      </c>
      <c r="P2348" s="182">
        <v>5</v>
      </c>
      <c r="Q2348" s="182">
        <v>3500</v>
      </c>
      <c r="R2348" s="46">
        <v>8.2110000000000003</v>
      </c>
      <c r="S2348" s="46">
        <v>2</v>
      </c>
      <c r="T2348" s="46">
        <v>800</v>
      </c>
      <c r="U2348" s="46">
        <v>8.3849999999999998</v>
      </c>
      <c r="V2348" s="46" t="s">
        <v>62</v>
      </c>
      <c r="W2348" s="46">
        <v>2700</v>
      </c>
      <c r="X2348" s="46">
        <v>8.1590000000000007</v>
      </c>
      <c r="AF2348" s="46">
        <v>128</v>
      </c>
      <c r="AG2348" s="46">
        <v>64600</v>
      </c>
      <c r="AH2348" s="46">
        <v>861448</v>
      </c>
      <c r="AI2348" s="46">
        <v>13.335000000000001</v>
      </c>
      <c r="AJ2348" s="46">
        <v>131</v>
      </c>
      <c r="AK2348" s="46">
        <v>52600</v>
      </c>
      <c r="AL2348" s="46">
        <v>720277.34600000002</v>
      </c>
      <c r="AM2348" s="46">
        <v>13.693</v>
      </c>
      <c r="AN2348" s="46" t="s">
        <v>63</v>
      </c>
      <c r="AO2348" s="46">
        <v>12000</v>
      </c>
      <c r="AP2348" s="46">
        <v>141170.65400000001</v>
      </c>
      <c r="AQ2348" s="46">
        <v>11.763999999999999</v>
      </c>
      <c r="AR2348" s="46">
        <v>18830.8</v>
      </c>
      <c r="AS2348" s="46">
        <v>133</v>
      </c>
      <c r="AT2348" s="46">
        <v>68100</v>
      </c>
      <c r="AU2348" s="46">
        <v>890213</v>
      </c>
      <c r="AV2348" s="46">
        <v>13.071999999999999</v>
      </c>
      <c r="AW2348" s="46">
        <v>134</v>
      </c>
      <c r="AX2348" s="46">
        <v>53400</v>
      </c>
      <c r="AY2348" s="46">
        <v>727373.63800000004</v>
      </c>
      <c r="AZ2348" s="46">
        <v>13.621</v>
      </c>
      <c r="BA2348" s="46" t="s">
        <v>63</v>
      </c>
      <c r="BB2348" s="46">
        <v>14700</v>
      </c>
      <c r="BC2348" s="46">
        <v>162839.36199999999</v>
      </c>
      <c r="BD2348" s="46">
        <v>11.077999999999999</v>
      </c>
      <c r="BE2348" s="46">
        <v>29316.6</v>
      </c>
      <c r="BF2348" s="46">
        <v>28765</v>
      </c>
      <c r="BG2348" s="46">
        <v>8.2200000000000006</v>
      </c>
      <c r="BH2348" s="46">
        <v>7096.2920000000204</v>
      </c>
      <c r="BI2348">
        <v>8.8699999999999992</v>
      </c>
      <c r="BJ2348">
        <v>21668.707999999999</v>
      </c>
      <c r="BK2348">
        <v>8.0299999999999994</v>
      </c>
      <c r="BL2348">
        <v>2274.25</v>
      </c>
    </row>
    <row r="2349" spans="1:64" x14ac:dyDescent="0.25">
      <c r="A2349" s="136">
        <v>43154</v>
      </c>
      <c r="B2349" s="201" t="s">
        <v>137</v>
      </c>
      <c r="C2349" t="s">
        <v>138</v>
      </c>
      <c r="D2349">
        <v>100</v>
      </c>
      <c r="E2349">
        <v>100</v>
      </c>
      <c r="F2349">
        <v>-130.48500000000001</v>
      </c>
      <c r="G2349">
        <v>16003.5</v>
      </c>
      <c r="H2349">
        <v>0</v>
      </c>
      <c r="I2349" s="309">
        <v>2955</v>
      </c>
      <c r="J2349">
        <v>29.55</v>
      </c>
      <c r="K2349" s="133">
        <v>6.25541924645378E-3</v>
      </c>
      <c r="L2349" s="181">
        <v>2</v>
      </c>
      <c r="M2349" s="133">
        <v>0</v>
      </c>
    </row>
    <row r="2350" spans="1:64" x14ac:dyDescent="0.25">
      <c r="A2350" s="136">
        <v>43154</v>
      </c>
      <c r="B2350" s="201" t="s">
        <v>835</v>
      </c>
      <c r="C2350" t="s">
        <v>839</v>
      </c>
      <c r="I2350" s="309">
        <v>15431.83</v>
      </c>
      <c r="K2350" s="133">
        <v>3.2667535157361399E-2</v>
      </c>
      <c r="L2350" s="181">
        <v>0</v>
      </c>
      <c r="M2350" s="133">
        <v>0.17035676423568299</v>
      </c>
    </row>
    <row r="2351" spans="1:64" x14ac:dyDescent="0.25">
      <c r="A2351" s="136">
        <v>43157</v>
      </c>
      <c r="B2351" s="201" t="s">
        <v>132</v>
      </c>
      <c r="C2351" t="s">
        <v>123</v>
      </c>
      <c r="D2351">
        <v>6504804</v>
      </c>
      <c r="E2351">
        <v>6504804</v>
      </c>
      <c r="F2351">
        <v>0.01</v>
      </c>
      <c r="G2351">
        <v>3093.6</v>
      </c>
      <c r="H2351">
        <v>0</v>
      </c>
      <c r="I2351" s="309">
        <v>65048.04</v>
      </c>
      <c r="J2351">
        <v>0.01</v>
      </c>
      <c r="K2351" s="133">
        <v>0.13630551023193799</v>
      </c>
      <c r="L2351" s="181">
        <v>4.9699999999997999</v>
      </c>
      <c r="M2351" s="133">
        <v>0</v>
      </c>
    </row>
    <row r="2352" spans="1:64" x14ac:dyDescent="0.25">
      <c r="A2352" s="136">
        <v>43157</v>
      </c>
      <c r="B2352" s="201" t="s">
        <v>61</v>
      </c>
      <c r="C2352" t="s">
        <v>136</v>
      </c>
      <c r="D2352">
        <v>2800</v>
      </c>
      <c r="E2352">
        <v>2800</v>
      </c>
      <c r="F2352">
        <v>5.2069999999999999</v>
      </c>
      <c r="G2352">
        <v>-468.89</v>
      </c>
      <c r="H2352">
        <v>-3.21</v>
      </c>
      <c r="I2352" s="309">
        <v>14112</v>
      </c>
      <c r="J2352">
        <v>5.04</v>
      </c>
      <c r="K2352" s="133">
        <v>2.9571119443308602E-2</v>
      </c>
      <c r="L2352" s="181">
        <v>84</v>
      </c>
      <c r="M2352" s="133">
        <v>3.0553659281444399E-2</v>
      </c>
      <c r="N2352" s="73">
        <v>-809.98500000000104</v>
      </c>
      <c r="O2352" s="73">
        <v>-164.54878201219501</v>
      </c>
      <c r="P2352" s="182">
        <v>4</v>
      </c>
      <c r="Q2352" s="182">
        <v>2000</v>
      </c>
      <c r="R2352" s="46">
        <v>5.2249999999999996</v>
      </c>
      <c r="S2352" s="46">
        <v>0</v>
      </c>
      <c r="T2352" s="46">
        <v>0</v>
      </c>
      <c r="U2352" s="46">
        <v>0</v>
      </c>
      <c r="V2352" s="46" t="s">
        <v>62</v>
      </c>
      <c r="W2352" s="46">
        <v>2000</v>
      </c>
      <c r="X2352" s="46">
        <v>5.2249999999999996</v>
      </c>
      <c r="AF2352" s="46">
        <v>9</v>
      </c>
      <c r="AG2352" s="46">
        <v>4500</v>
      </c>
      <c r="AH2352" s="46">
        <v>23912.7</v>
      </c>
      <c r="AI2352" s="46">
        <v>5.3140000000000001</v>
      </c>
      <c r="AJ2352" s="46">
        <v>9</v>
      </c>
      <c r="AK2352" s="46">
        <v>3700</v>
      </c>
      <c r="AL2352" s="46">
        <v>19797.915000000001</v>
      </c>
      <c r="AM2352" s="46">
        <v>5.351</v>
      </c>
      <c r="AN2352" s="46" t="s">
        <v>63</v>
      </c>
      <c r="AO2352" s="46">
        <v>800</v>
      </c>
      <c r="AP2352" s="46">
        <v>4114.7849999999999</v>
      </c>
      <c r="AQ2352" s="46">
        <v>5.1429999999999998</v>
      </c>
      <c r="AR2352" s="46">
        <v>136.9</v>
      </c>
      <c r="AS2352" s="46">
        <v>13</v>
      </c>
      <c r="AT2352" s="46">
        <v>6500</v>
      </c>
      <c r="AU2352" s="46">
        <v>34383.9</v>
      </c>
      <c r="AV2352" s="46">
        <v>5.29</v>
      </c>
      <c r="AW2352" s="46">
        <v>9</v>
      </c>
      <c r="AX2352" s="46">
        <v>3700</v>
      </c>
      <c r="AY2352" s="46">
        <v>19797.915000000001</v>
      </c>
      <c r="AZ2352" s="46">
        <v>5.351</v>
      </c>
      <c r="BA2352" s="46" t="s">
        <v>63</v>
      </c>
      <c r="BB2352" s="46">
        <v>2800</v>
      </c>
      <c r="BC2352" s="46">
        <v>14585.985000000001</v>
      </c>
      <c r="BD2352" s="46">
        <v>5.2089999999999996</v>
      </c>
      <c r="BE2352" s="46">
        <v>225.7</v>
      </c>
      <c r="BF2352" s="46">
        <v>10471.200000000001</v>
      </c>
      <c r="BG2352" s="46">
        <v>5.24</v>
      </c>
      <c r="BH2352" s="46">
        <v>0</v>
      </c>
      <c r="BJ2352">
        <v>10471.200000000001</v>
      </c>
      <c r="BK2352">
        <v>5.24</v>
      </c>
      <c r="BL2352">
        <v>27.16</v>
      </c>
    </row>
    <row r="2353" spans="1:64" x14ac:dyDescent="0.25">
      <c r="A2353" s="136">
        <v>43157</v>
      </c>
      <c r="B2353" s="201" t="s">
        <v>124</v>
      </c>
      <c r="C2353" t="s">
        <v>125</v>
      </c>
      <c r="D2353">
        <v>100</v>
      </c>
      <c r="E2353">
        <v>100</v>
      </c>
      <c r="F2353">
        <v>-53.579000000000001</v>
      </c>
      <c r="G2353">
        <v>6059.9</v>
      </c>
      <c r="H2353">
        <v>0</v>
      </c>
      <c r="I2353" s="309">
        <v>702</v>
      </c>
      <c r="J2353">
        <v>7.02</v>
      </c>
      <c r="K2353" s="133">
        <v>1.47101231924622E-3</v>
      </c>
      <c r="L2353" s="181">
        <v>1</v>
      </c>
      <c r="M2353" s="133">
        <v>0</v>
      </c>
    </row>
    <row r="2354" spans="1:64" x14ac:dyDescent="0.25">
      <c r="A2354" s="136">
        <v>43157</v>
      </c>
      <c r="B2354" s="201" t="s">
        <v>71</v>
      </c>
      <c r="C2354" t="s">
        <v>126</v>
      </c>
      <c r="D2354">
        <v>100</v>
      </c>
      <c r="E2354">
        <v>100</v>
      </c>
      <c r="F2354">
        <v>-17.085999999999999</v>
      </c>
      <c r="G2354">
        <v>2422.6</v>
      </c>
      <c r="H2354">
        <v>0</v>
      </c>
      <c r="I2354" s="309">
        <v>714</v>
      </c>
      <c r="J2354">
        <v>7.14</v>
      </c>
      <c r="K2354" s="133">
        <v>1.49615782897692E-3</v>
      </c>
      <c r="L2354" s="181">
        <v>0</v>
      </c>
      <c r="M2354" s="133">
        <v>0</v>
      </c>
      <c r="N2354" s="73">
        <v>1703.3019999999999</v>
      </c>
      <c r="O2354" s="73">
        <v>341.114950423729</v>
      </c>
      <c r="P2354" s="182">
        <v>0</v>
      </c>
      <c r="Q2354" s="182">
        <v>0</v>
      </c>
      <c r="R2354" s="46">
        <v>0</v>
      </c>
      <c r="S2354" s="46">
        <v>7</v>
      </c>
      <c r="T2354" s="46">
        <v>2800</v>
      </c>
      <c r="U2354" s="46">
        <v>6.6749999999999998</v>
      </c>
      <c r="V2354" s="46" t="s">
        <v>68</v>
      </c>
      <c r="W2354" s="46">
        <v>2800</v>
      </c>
      <c r="X2354" s="46">
        <v>6.6749999999999998</v>
      </c>
      <c r="AF2354" s="46">
        <v>41</v>
      </c>
      <c r="AG2354" s="46">
        <v>20600</v>
      </c>
      <c r="AH2354" s="46">
        <v>131323.35999999999</v>
      </c>
      <c r="AI2354" s="46">
        <v>6.375</v>
      </c>
      <c r="AJ2354" s="46">
        <v>39</v>
      </c>
      <c r="AK2354" s="46">
        <v>17700</v>
      </c>
      <c r="AL2354" s="46">
        <v>114228.83100000001</v>
      </c>
      <c r="AM2354" s="46">
        <v>6.4539999999999997</v>
      </c>
      <c r="AN2354" s="46" t="s">
        <v>63</v>
      </c>
      <c r="AO2354" s="46">
        <v>2900</v>
      </c>
      <c r="AP2354" s="46">
        <v>17094.528999999999</v>
      </c>
      <c r="AQ2354" s="46">
        <v>5.8949999999999996</v>
      </c>
      <c r="AR2354" s="46">
        <v>1398.3</v>
      </c>
      <c r="AS2354" s="46">
        <v>41</v>
      </c>
      <c r="AT2354" s="46">
        <v>20600</v>
      </c>
      <c r="AU2354" s="46">
        <v>131323.35999999999</v>
      </c>
      <c r="AV2354" s="46">
        <v>6.375</v>
      </c>
      <c r="AW2354" s="46">
        <v>46</v>
      </c>
      <c r="AX2354" s="46">
        <v>20500</v>
      </c>
      <c r="AY2354" s="46">
        <v>132870.462</v>
      </c>
      <c r="AZ2354" s="46">
        <v>6.4809999999999999</v>
      </c>
      <c r="BA2354" s="46" t="s">
        <v>63</v>
      </c>
      <c r="BB2354" s="46">
        <v>100</v>
      </c>
      <c r="BC2354" s="46">
        <v>1547.1020000000001</v>
      </c>
      <c r="BD2354" s="46">
        <v>15.471</v>
      </c>
      <c r="BE2354" s="46">
        <v>2173</v>
      </c>
      <c r="BF2354" s="46">
        <v>0</v>
      </c>
      <c r="BH2354" s="46">
        <v>18641.631000000001</v>
      </c>
      <c r="BI2354">
        <v>6.66</v>
      </c>
      <c r="BJ2354">
        <v>-15547.427</v>
      </c>
      <c r="BK2354">
        <v>-5.55</v>
      </c>
      <c r="BL2354">
        <v>195.84</v>
      </c>
    </row>
    <row r="2355" spans="1:64" x14ac:dyDescent="0.25">
      <c r="A2355" s="136">
        <v>43157</v>
      </c>
      <c r="B2355" s="201" t="s">
        <v>79</v>
      </c>
      <c r="C2355" t="s">
        <v>143</v>
      </c>
      <c r="D2355">
        <v>5800</v>
      </c>
      <c r="E2355">
        <v>5800</v>
      </c>
      <c r="F2355">
        <v>16.396000000000001</v>
      </c>
      <c r="G2355">
        <v>-11054.71</v>
      </c>
      <c r="H2355">
        <v>-11.62</v>
      </c>
      <c r="I2355" s="309">
        <v>84042</v>
      </c>
      <c r="J2355">
        <v>14.49</v>
      </c>
      <c r="K2355" s="133">
        <v>0.17610657739898999</v>
      </c>
      <c r="L2355" s="181">
        <v>1044</v>
      </c>
      <c r="M2355" s="133">
        <v>0.19927127055524901</v>
      </c>
      <c r="N2355" s="73">
        <v>-11928.1520000001</v>
      </c>
      <c r="O2355" s="73">
        <v>-831.39385801953097</v>
      </c>
      <c r="P2355" s="182">
        <v>9</v>
      </c>
      <c r="Q2355" s="182">
        <v>5000</v>
      </c>
      <c r="R2355" s="46">
        <v>15.945</v>
      </c>
      <c r="S2355" s="46">
        <v>0</v>
      </c>
      <c r="T2355" s="46">
        <v>0</v>
      </c>
      <c r="U2355" s="46">
        <v>0</v>
      </c>
      <c r="V2355" s="46" t="s">
        <v>62</v>
      </c>
      <c r="W2355" s="46">
        <v>5000</v>
      </c>
      <c r="X2355" s="46">
        <v>15.945</v>
      </c>
      <c r="AF2355" s="46">
        <v>8</v>
      </c>
      <c r="AG2355" s="46">
        <v>4000</v>
      </c>
      <c r="AH2355" s="46">
        <v>65067.4</v>
      </c>
      <c r="AI2355" s="46">
        <v>16.266999999999999</v>
      </c>
      <c r="AJ2355" s="46">
        <v>8</v>
      </c>
      <c r="AK2355" s="46">
        <v>3200</v>
      </c>
      <c r="AL2355" s="46">
        <v>49740.248</v>
      </c>
      <c r="AM2355" s="46">
        <v>15.544</v>
      </c>
      <c r="AN2355" s="46" t="s">
        <v>63</v>
      </c>
      <c r="AO2355" s="46">
        <v>800</v>
      </c>
      <c r="AP2355" s="46">
        <v>15327.152</v>
      </c>
      <c r="AQ2355" s="46">
        <v>19.158999999999999</v>
      </c>
      <c r="AR2355" s="46">
        <v>-2313.6</v>
      </c>
      <c r="AS2355" s="46">
        <v>17</v>
      </c>
      <c r="AT2355" s="46">
        <v>9000</v>
      </c>
      <c r="AU2355" s="46">
        <v>144840.4</v>
      </c>
      <c r="AV2355" s="46">
        <v>16.093</v>
      </c>
      <c r="AW2355" s="46">
        <v>8</v>
      </c>
      <c r="AX2355" s="46">
        <v>3200</v>
      </c>
      <c r="AY2355" s="46">
        <v>49740.248</v>
      </c>
      <c r="AZ2355" s="46">
        <v>15.544</v>
      </c>
      <c r="BA2355" s="46" t="s">
        <v>63</v>
      </c>
      <c r="BB2355" s="46">
        <v>5800</v>
      </c>
      <c r="BC2355" s="46">
        <v>95100.152000000002</v>
      </c>
      <c r="BD2355" s="46">
        <v>16.396999999999998</v>
      </c>
      <c r="BE2355" s="46">
        <v>-1756.8</v>
      </c>
      <c r="BF2355" s="46">
        <v>79773</v>
      </c>
      <c r="BG2355" s="46">
        <v>15.95</v>
      </c>
      <c r="BH2355" s="46">
        <v>0</v>
      </c>
      <c r="BJ2355">
        <v>79773</v>
      </c>
      <c r="BK2355">
        <v>15.95</v>
      </c>
      <c r="BL2355">
        <v>-159.66999999999999</v>
      </c>
    </row>
    <row r="2356" spans="1:64" x14ac:dyDescent="0.25">
      <c r="A2356" s="136">
        <v>43157</v>
      </c>
      <c r="B2356" s="201" t="s">
        <v>65</v>
      </c>
      <c r="C2356" t="s">
        <v>127</v>
      </c>
      <c r="D2356">
        <v>8600</v>
      </c>
      <c r="E2356">
        <v>8200</v>
      </c>
      <c r="F2356">
        <v>9.0410000000000004</v>
      </c>
      <c r="G2356">
        <v>13065.13</v>
      </c>
      <c r="H2356">
        <v>16.8</v>
      </c>
      <c r="I2356" s="309">
        <v>90816</v>
      </c>
      <c r="J2356">
        <v>10.56</v>
      </c>
      <c r="K2356" s="133">
        <v>0.190301217641972</v>
      </c>
      <c r="L2356" s="181">
        <v>851.78999999999905</v>
      </c>
      <c r="M2356" s="133">
        <v>0.16292377151297899</v>
      </c>
      <c r="N2356" s="73">
        <v>8352.7129999999706</v>
      </c>
      <c r="O2356" s="73">
        <v>1201.5175420313799</v>
      </c>
      <c r="P2356" s="182">
        <v>0</v>
      </c>
      <c r="Q2356" s="182">
        <v>0</v>
      </c>
      <c r="R2356" s="46">
        <v>0</v>
      </c>
      <c r="S2356" s="46">
        <v>19</v>
      </c>
      <c r="T2356" s="46">
        <v>8000</v>
      </c>
      <c r="U2356" s="46">
        <v>11.99</v>
      </c>
      <c r="V2356" s="46" t="s">
        <v>68</v>
      </c>
      <c r="W2356" s="46">
        <v>8000</v>
      </c>
      <c r="X2356" s="46">
        <v>11.99</v>
      </c>
      <c r="AF2356" s="46">
        <v>164</v>
      </c>
      <c r="AG2356" s="46">
        <v>87400</v>
      </c>
      <c r="AH2356" s="46">
        <v>1016739.231</v>
      </c>
      <c r="AI2356" s="46">
        <v>11.632999999999999</v>
      </c>
      <c r="AJ2356" s="46">
        <v>184</v>
      </c>
      <c r="AK2356" s="46">
        <v>80000</v>
      </c>
      <c r="AL2356" s="46">
        <v>842420.86499999999</v>
      </c>
      <c r="AM2356" s="46">
        <v>10.53</v>
      </c>
      <c r="AN2356" s="46" t="s">
        <v>63</v>
      </c>
      <c r="AO2356" s="46">
        <v>7400</v>
      </c>
      <c r="AP2356" s="46">
        <v>174318.36600000001</v>
      </c>
      <c r="AQ2356" s="46">
        <v>23.556999999999999</v>
      </c>
      <c r="AR2356" s="46">
        <v>-88240</v>
      </c>
      <c r="AS2356" s="46">
        <v>165</v>
      </c>
      <c r="AT2356" s="46">
        <v>87500</v>
      </c>
      <c r="AU2356" s="46">
        <v>1018027.231</v>
      </c>
      <c r="AV2356" s="46">
        <v>11.635</v>
      </c>
      <c r="AW2356" s="46">
        <v>203</v>
      </c>
      <c r="AX2356" s="46">
        <v>88000</v>
      </c>
      <c r="AY2356" s="46">
        <v>938152.94200000004</v>
      </c>
      <c r="AZ2356" s="46">
        <v>10.661</v>
      </c>
      <c r="BA2356" s="46" t="s">
        <v>69</v>
      </c>
      <c r="BB2356" s="46">
        <v>500</v>
      </c>
      <c r="BC2356" s="46">
        <v>79874.289000000004</v>
      </c>
      <c r="BD2356" s="46">
        <v>159.749</v>
      </c>
      <c r="BE2356" s="46">
        <v>-85225</v>
      </c>
      <c r="BF2356" s="46">
        <v>1288</v>
      </c>
      <c r="BH2356" s="46">
        <v>95732.076999999903</v>
      </c>
      <c r="BI2356">
        <v>11.97</v>
      </c>
      <c r="BJ2356">
        <v>-94444.077000000005</v>
      </c>
      <c r="BK2356">
        <v>-11.81</v>
      </c>
      <c r="BL2356">
        <v>-8356.06</v>
      </c>
    </row>
    <row r="2357" spans="1:64" x14ac:dyDescent="0.25">
      <c r="A2357" s="136">
        <v>43157</v>
      </c>
      <c r="B2357" s="201" t="s">
        <v>77</v>
      </c>
      <c r="C2357" t="s">
        <v>128</v>
      </c>
      <c r="D2357">
        <v>4300</v>
      </c>
      <c r="E2357">
        <v>4300</v>
      </c>
      <c r="F2357">
        <v>5.9779999999999998</v>
      </c>
      <c r="G2357">
        <v>-595.27</v>
      </c>
      <c r="H2357">
        <v>-2.31</v>
      </c>
      <c r="I2357" s="309">
        <v>25112</v>
      </c>
      <c r="J2357">
        <v>5.84</v>
      </c>
      <c r="K2357" s="133">
        <v>5.2621170029787799E-2</v>
      </c>
      <c r="L2357" s="181">
        <v>0</v>
      </c>
      <c r="M2357" s="133">
        <v>5.3868533994570797E-2</v>
      </c>
      <c r="N2357" s="73">
        <v>-1272.2139999999999</v>
      </c>
      <c r="O2357" s="73">
        <v>-133.073774655173</v>
      </c>
      <c r="P2357" s="182">
        <v>6</v>
      </c>
      <c r="Q2357" s="182">
        <v>3000</v>
      </c>
      <c r="R2357" s="46">
        <v>6.798</v>
      </c>
      <c r="S2357" s="46">
        <v>0</v>
      </c>
      <c r="T2357" s="46">
        <v>0</v>
      </c>
      <c r="U2357" s="46">
        <v>0</v>
      </c>
      <c r="V2357" s="46" t="s">
        <v>62</v>
      </c>
      <c r="W2357" s="46">
        <v>3000</v>
      </c>
      <c r="X2357" s="46">
        <v>6.798</v>
      </c>
      <c r="AF2357" s="46">
        <v>39</v>
      </c>
      <c r="AG2357" s="46">
        <v>19500</v>
      </c>
      <c r="AH2357" s="46">
        <v>142169</v>
      </c>
      <c r="AI2357" s="46">
        <v>7.2910000000000004</v>
      </c>
      <c r="AJ2357" s="46">
        <v>39</v>
      </c>
      <c r="AK2357" s="46">
        <v>18200</v>
      </c>
      <c r="AL2357" s="46">
        <v>136881.78599999999</v>
      </c>
      <c r="AM2357" s="46">
        <v>7.5209999999999999</v>
      </c>
      <c r="AN2357" s="46" t="s">
        <v>63</v>
      </c>
      <c r="AO2357" s="46">
        <v>1300</v>
      </c>
      <c r="AP2357" s="46">
        <v>5287.2139999999999</v>
      </c>
      <c r="AQ2357" s="46">
        <v>4.0670000000000002</v>
      </c>
      <c r="AR2357" s="46">
        <v>4186</v>
      </c>
      <c r="AS2357" s="46">
        <v>45</v>
      </c>
      <c r="AT2357" s="46">
        <v>22500</v>
      </c>
      <c r="AU2357" s="46">
        <v>162594</v>
      </c>
      <c r="AV2357" s="46">
        <v>7.226</v>
      </c>
      <c r="AW2357" s="46">
        <v>39</v>
      </c>
      <c r="AX2357" s="46">
        <v>18200</v>
      </c>
      <c r="AY2357" s="46">
        <v>136881.78599999999</v>
      </c>
      <c r="AZ2357" s="46">
        <v>7.5209999999999999</v>
      </c>
      <c r="BA2357" s="46" t="s">
        <v>63</v>
      </c>
      <c r="BB2357" s="46">
        <v>4300</v>
      </c>
      <c r="BC2357" s="46">
        <v>25712.214</v>
      </c>
      <c r="BD2357" s="46">
        <v>5.98</v>
      </c>
      <c r="BE2357" s="46">
        <v>5369</v>
      </c>
      <c r="BF2357" s="46">
        <v>20425</v>
      </c>
      <c r="BG2357" s="46">
        <v>6.81</v>
      </c>
      <c r="BH2357" s="46">
        <v>0</v>
      </c>
      <c r="BJ2357">
        <v>20425</v>
      </c>
      <c r="BK2357">
        <v>6.81</v>
      </c>
      <c r="BL2357">
        <v>716.78</v>
      </c>
    </row>
    <row r="2358" spans="1:64" x14ac:dyDescent="0.25">
      <c r="A2358" s="136">
        <v>43157</v>
      </c>
      <c r="B2358" s="201" t="s">
        <v>67</v>
      </c>
      <c r="C2358" t="s">
        <v>129</v>
      </c>
      <c r="D2358">
        <v>150</v>
      </c>
      <c r="E2358">
        <v>150</v>
      </c>
      <c r="F2358">
        <v>-7.452</v>
      </c>
      <c r="G2358">
        <v>2571.3000000000002</v>
      </c>
      <c r="H2358">
        <v>0</v>
      </c>
      <c r="I2358" s="309">
        <v>1453.5</v>
      </c>
      <c r="J2358">
        <v>9.69</v>
      </c>
      <c r="K2358" s="133">
        <v>3.04574986613159E-3</v>
      </c>
      <c r="L2358" s="181">
        <v>163.22999999999999</v>
      </c>
      <c r="M2358" s="133">
        <v>0</v>
      </c>
      <c r="N2358" s="73">
        <v>2534.4969999997602</v>
      </c>
      <c r="O2358" s="73">
        <v>267.78327182872903</v>
      </c>
      <c r="P2358" s="182">
        <v>0</v>
      </c>
      <c r="Q2358" s="182">
        <v>0</v>
      </c>
      <c r="R2358" s="46">
        <v>0</v>
      </c>
      <c r="S2358" s="46">
        <v>20</v>
      </c>
      <c r="T2358" s="46">
        <v>8000</v>
      </c>
      <c r="U2358" s="46">
        <v>8.891</v>
      </c>
      <c r="V2358" s="46" t="s">
        <v>68</v>
      </c>
      <c r="W2358" s="46">
        <v>8000</v>
      </c>
      <c r="X2358" s="46">
        <v>8.891</v>
      </c>
      <c r="AF2358" s="46">
        <v>174</v>
      </c>
      <c r="AG2358" s="46">
        <v>86400</v>
      </c>
      <c r="AH2358" s="46">
        <v>716375</v>
      </c>
      <c r="AI2358" s="46">
        <v>8.2910000000000004</v>
      </c>
      <c r="AJ2358" s="46">
        <v>176</v>
      </c>
      <c r="AK2358" s="46">
        <v>80850</v>
      </c>
      <c r="AL2358" s="46">
        <v>715665.73699999996</v>
      </c>
      <c r="AM2358" s="46">
        <v>8.8520000000000003</v>
      </c>
      <c r="AN2358" s="46" t="s">
        <v>63</v>
      </c>
      <c r="AO2358" s="46">
        <v>5550</v>
      </c>
      <c r="AP2358" s="46">
        <v>709.26300000000003</v>
      </c>
      <c r="AQ2358" s="46">
        <v>0.128</v>
      </c>
      <c r="AR2358" s="46">
        <v>45356.85</v>
      </c>
      <c r="AS2358" s="46">
        <v>174</v>
      </c>
      <c r="AT2358" s="46">
        <v>86400</v>
      </c>
      <c r="AU2358" s="46">
        <v>716375</v>
      </c>
      <c r="AV2358" s="46">
        <v>8.2910000000000004</v>
      </c>
      <c r="AW2358" s="46">
        <v>196</v>
      </c>
      <c r="AX2358" s="46">
        <v>88850</v>
      </c>
      <c r="AY2358" s="46">
        <v>786618.61300000001</v>
      </c>
      <c r="AZ2358" s="46">
        <v>8.8529999999999998</v>
      </c>
      <c r="BA2358" s="46" t="s">
        <v>69</v>
      </c>
      <c r="BB2358" s="46">
        <v>2450</v>
      </c>
      <c r="BC2358" s="46">
        <v>70243.612999999998</v>
      </c>
      <c r="BD2358" s="46">
        <v>28.670999999999999</v>
      </c>
      <c r="BE2358" s="46">
        <v>48556.800000000003</v>
      </c>
      <c r="BF2358" s="46">
        <v>0</v>
      </c>
      <c r="BH2358" s="46">
        <v>70952.876000000004</v>
      </c>
      <c r="BI2358">
        <v>8.8699999999999992</v>
      </c>
      <c r="BJ2358">
        <v>69534.350000000006</v>
      </c>
      <c r="BK2358">
        <v>8.69</v>
      </c>
      <c r="BL2358">
        <v>4680.79</v>
      </c>
    </row>
    <row r="2359" spans="1:64" x14ac:dyDescent="0.25">
      <c r="A2359" s="136">
        <v>43157</v>
      </c>
      <c r="B2359" s="201" t="s">
        <v>78</v>
      </c>
      <c r="C2359" t="s">
        <v>142</v>
      </c>
      <c r="D2359">
        <v>2300</v>
      </c>
      <c r="E2359">
        <v>2300</v>
      </c>
      <c r="F2359">
        <v>9.157</v>
      </c>
      <c r="G2359">
        <v>-843.05</v>
      </c>
      <c r="H2359">
        <v>-4.01</v>
      </c>
      <c r="I2359" s="309">
        <v>20217</v>
      </c>
      <c r="J2359">
        <v>8.7899999999999991</v>
      </c>
      <c r="K2359" s="133">
        <v>4.2363897518804497E-2</v>
      </c>
      <c r="L2359" s="181">
        <v>368.51</v>
      </c>
      <c r="M2359" s="133">
        <v>4.4130474350343701E-2</v>
      </c>
      <c r="N2359" s="73">
        <v>-1004.052</v>
      </c>
      <c r="O2359" s="73">
        <v>-115.086006192661</v>
      </c>
      <c r="P2359" s="182">
        <v>3</v>
      </c>
      <c r="Q2359" s="182">
        <v>1500</v>
      </c>
      <c r="R2359" s="46">
        <v>8.7430000000000003</v>
      </c>
      <c r="S2359" s="46">
        <v>1</v>
      </c>
      <c r="T2359" s="46">
        <v>400</v>
      </c>
      <c r="U2359" s="46">
        <v>8.7200000000000006</v>
      </c>
      <c r="V2359" s="46" t="s">
        <v>62</v>
      </c>
      <c r="W2359" s="46">
        <v>1100</v>
      </c>
      <c r="X2359" s="46">
        <v>8.7509999999999994</v>
      </c>
      <c r="AF2359" s="46">
        <v>9</v>
      </c>
      <c r="AG2359" s="46">
        <v>4500</v>
      </c>
      <c r="AH2359" s="46">
        <v>44895</v>
      </c>
      <c r="AI2359" s="46">
        <v>9.9770000000000003</v>
      </c>
      <c r="AJ2359" s="46">
        <v>9</v>
      </c>
      <c r="AK2359" s="46">
        <v>3300</v>
      </c>
      <c r="AL2359" s="46">
        <v>33485.436000000002</v>
      </c>
      <c r="AM2359" s="46">
        <v>10.147</v>
      </c>
      <c r="AN2359" s="46" t="s">
        <v>63</v>
      </c>
      <c r="AO2359" s="46">
        <v>1200</v>
      </c>
      <c r="AP2359" s="46">
        <v>11409.564</v>
      </c>
      <c r="AQ2359" s="46">
        <v>9.5079999999999991</v>
      </c>
      <c r="AR2359" s="46">
        <v>561</v>
      </c>
      <c r="AS2359" s="46">
        <v>12</v>
      </c>
      <c r="AT2359" s="46">
        <v>6000</v>
      </c>
      <c r="AU2359" s="46">
        <v>58025</v>
      </c>
      <c r="AV2359" s="46">
        <v>9.6709999999999994</v>
      </c>
      <c r="AW2359" s="46">
        <v>10</v>
      </c>
      <c r="AX2359" s="46">
        <v>3700</v>
      </c>
      <c r="AY2359" s="46">
        <v>36964.947999999997</v>
      </c>
      <c r="AZ2359" s="46">
        <v>9.9909999999999997</v>
      </c>
      <c r="BA2359" s="46" t="s">
        <v>63</v>
      </c>
      <c r="BB2359" s="46">
        <v>2300</v>
      </c>
      <c r="BC2359" s="46">
        <v>21060.052</v>
      </c>
      <c r="BD2359" s="46">
        <v>9.157</v>
      </c>
      <c r="BE2359" s="46">
        <v>1184</v>
      </c>
      <c r="BF2359" s="46">
        <v>13130</v>
      </c>
      <c r="BG2359" s="46">
        <v>8.75</v>
      </c>
      <c r="BH2359" s="46">
        <v>3479.5120000000002</v>
      </c>
      <c r="BI2359">
        <v>8.6999999999999993</v>
      </c>
      <c r="BJ2359">
        <v>9650.4879999999994</v>
      </c>
      <c r="BK2359">
        <v>8.77</v>
      </c>
      <c r="BL2359">
        <v>63.82</v>
      </c>
    </row>
    <row r="2360" spans="1:64" x14ac:dyDescent="0.25">
      <c r="A2360" s="136">
        <v>43157</v>
      </c>
      <c r="B2360" s="201" t="s">
        <v>72</v>
      </c>
      <c r="C2360" t="s">
        <v>130</v>
      </c>
      <c r="D2360">
        <v>3700</v>
      </c>
      <c r="E2360">
        <v>3700</v>
      </c>
      <c r="F2360">
        <v>6.8140000000000001</v>
      </c>
      <c r="G2360">
        <v>-2014.38</v>
      </c>
      <c r="H2360">
        <v>-7.98</v>
      </c>
      <c r="I2360" s="309">
        <v>23199</v>
      </c>
      <c r="J2360">
        <v>6.27</v>
      </c>
      <c r="K2360" s="133">
        <v>4.8612556686884599E-2</v>
      </c>
      <c r="L2360" s="181">
        <v>435.49</v>
      </c>
      <c r="M2360" s="133">
        <v>5.2833607677829401E-2</v>
      </c>
      <c r="N2360" s="73">
        <v>-2310.0880000000002</v>
      </c>
      <c r="O2360" s="73">
        <v>-333.97340975999703</v>
      </c>
      <c r="P2360" s="182">
        <v>0</v>
      </c>
      <c r="Q2360" s="182">
        <v>0</v>
      </c>
      <c r="R2360" s="46">
        <v>0</v>
      </c>
      <c r="S2360" s="46">
        <v>10</v>
      </c>
      <c r="T2360" s="46">
        <v>4000</v>
      </c>
      <c r="U2360" s="46">
        <v>7.6749999999999998</v>
      </c>
      <c r="V2360" s="46" t="s">
        <v>68</v>
      </c>
      <c r="W2360" s="46">
        <v>4000</v>
      </c>
      <c r="X2360" s="46">
        <v>7.6749999999999998</v>
      </c>
      <c r="AF2360" s="46">
        <v>32</v>
      </c>
      <c r="AG2360" s="46">
        <v>15900</v>
      </c>
      <c r="AH2360" s="46">
        <v>121142</v>
      </c>
      <c r="AI2360" s="46">
        <v>7.6189999999999998</v>
      </c>
      <c r="AJ2360" s="46">
        <v>32</v>
      </c>
      <c r="AK2360" s="46">
        <v>14800</v>
      </c>
      <c r="AL2360" s="46">
        <v>66041.797000000006</v>
      </c>
      <c r="AM2360" s="46">
        <v>4.4619999999999997</v>
      </c>
      <c r="AN2360" s="46" t="s">
        <v>63</v>
      </c>
      <c r="AO2360" s="46">
        <v>1100</v>
      </c>
      <c r="AP2360" s="46">
        <v>55100.203000000001</v>
      </c>
      <c r="AQ2360" s="46">
        <v>50.091000000000001</v>
      </c>
      <c r="AR2360" s="46">
        <v>-46723.6</v>
      </c>
      <c r="AS2360" s="46">
        <v>32</v>
      </c>
      <c r="AT2360" s="46">
        <v>15900</v>
      </c>
      <c r="AU2360" s="46">
        <v>121142</v>
      </c>
      <c r="AV2360" s="46">
        <v>7.6189999999999998</v>
      </c>
      <c r="AW2360" s="46">
        <v>43</v>
      </c>
      <c r="AX2360" s="46">
        <v>19300</v>
      </c>
      <c r="AY2360" s="46">
        <v>96661.096999999994</v>
      </c>
      <c r="AZ2360" s="46">
        <v>5.008</v>
      </c>
      <c r="BA2360" s="46" t="s">
        <v>69</v>
      </c>
      <c r="BB2360" s="46">
        <v>3400</v>
      </c>
      <c r="BC2360" s="46">
        <v>24480.902999999998</v>
      </c>
      <c r="BD2360" s="46">
        <v>7.2</v>
      </c>
      <c r="BE2360" s="46">
        <v>-41514.9</v>
      </c>
      <c r="BF2360" s="46">
        <v>0</v>
      </c>
      <c r="BH2360" s="46">
        <v>30619.3</v>
      </c>
      <c r="BI2360">
        <v>7.65</v>
      </c>
      <c r="BJ2360">
        <v>-30619.3</v>
      </c>
      <c r="BK2360">
        <v>-7.65</v>
      </c>
      <c r="BL2360">
        <v>-7451.93</v>
      </c>
    </row>
    <row r="2361" spans="1:64" x14ac:dyDescent="0.25">
      <c r="A2361" s="136">
        <v>43157</v>
      </c>
      <c r="B2361" s="201" t="s">
        <v>70</v>
      </c>
      <c r="C2361" t="s">
        <v>131</v>
      </c>
      <c r="D2361">
        <v>14700</v>
      </c>
      <c r="E2361">
        <v>14300</v>
      </c>
      <c r="F2361">
        <v>11.077999999999999</v>
      </c>
      <c r="G2361">
        <v>-39360.370000000003</v>
      </c>
      <c r="H2361">
        <v>-24.17</v>
      </c>
      <c r="I2361" s="309">
        <v>123480</v>
      </c>
      <c r="J2361">
        <v>8.4</v>
      </c>
      <c r="K2361" s="133">
        <v>0.25874729512895001</v>
      </c>
      <c r="L2361" s="181">
        <v>1764</v>
      </c>
      <c r="M2361" s="133">
        <v>0.34122534236554403</v>
      </c>
      <c r="N2361" s="73">
        <v>-40241.362000000103</v>
      </c>
      <c r="O2361" s="73">
        <v>-4822.6908056354996</v>
      </c>
      <c r="P2361" s="182">
        <v>5</v>
      </c>
      <c r="Q2361" s="182">
        <v>3500</v>
      </c>
      <c r="R2361" s="46">
        <v>8.2110000000000003</v>
      </c>
      <c r="S2361" s="46">
        <v>2</v>
      </c>
      <c r="T2361" s="46">
        <v>800</v>
      </c>
      <c r="U2361" s="46">
        <v>8.3849999999999998</v>
      </c>
      <c r="V2361" s="46" t="s">
        <v>62</v>
      </c>
      <c r="W2361" s="46">
        <v>2700</v>
      </c>
      <c r="X2361" s="46">
        <v>8.1590000000000007</v>
      </c>
      <c r="AF2361" s="46">
        <v>128</v>
      </c>
      <c r="AG2361" s="46">
        <v>64600</v>
      </c>
      <c r="AH2361" s="46">
        <v>861448</v>
      </c>
      <c r="AI2361" s="46">
        <v>13.335000000000001</v>
      </c>
      <c r="AJ2361" s="46">
        <v>131</v>
      </c>
      <c r="AK2361" s="46">
        <v>52600</v>
      </c>
      <c r="AL2361" s="46">
        <v>720277.34600000002</v>
      </c>
      <c r="AM2361" s="46">
        <v>13.693</v>
      </c>
      <c r="AN2361" s="46" t="s">
        <v>63</v>
      </c>
      <c r="AO2361" s="46">
        <v>12000</v>
      </c>
      <c r="AP2361" s="46">
        <v>141170.65400000001</v>
      </c>
      <c r="AQ2361" s="46">
        <v>11.763999999999999</v>
      </c>
      <c r="AR2361" s="46">
        <v>18830.8</v>
      </c>
      <c r="AS2361" s="46">
        <v>133</v>
      </c>
      <c r="AT2361" s="46">
        <v>68100</v>
      </c>
      <c r="AU2361" s="46">
        <v>890213</v>
      </c>
      <c r="AV2361" s="46">
        <v>13.071999999999999</v>
      </c>
      <c r="AW2361" s="46">
        <v>134</v>
      </c>
      <c r="AX2361" s="46">
        <v>53400</v>
      </c>
      <c r="AY2361" s="46">
        <v>727373.63800000004</v>
      </c>
      <c r="AZ2361" s="46">
        <v>13.621</v>
      </c>
      <c r="BA2361" s="46" t="s">
        <v>63</v>
      </c>
      <c r="BB2361" s="46">
        <v>14700</v>
      </c>
      <c r="BC2361" s="46">
        <v>162839.36199999999</v>
      </c>
      <c r="BD2361" s="46">
        <v>11.077999999999999</v>
      </c>
      <c r="BE2361" s="46">
        <v>29316.6</v>
      </c>
      <c r="BF2361" s="46">
        <v>28765</v>
      </c>
      <c r="BG2361" s="46">
        <v>8.2200000000000006</v>
      </c>
      <c r="BH2361" s="46">
        <v>7096.2920000000204</v>
      </c>
      <c r="BI2361">
        <v>8.8699999999999992</v>
      </c>
      <c r="BJ2361">
        <v>21668.707999999999</v>
      </c>
      <c r="BK2361">
        <v>8.0299999999999994</v>
      </c>
      <c r="BL2361">
        <v>2241.7600000000002</v>
      </c>
    </row>
    <row r="2362" spans="1:64" x14ac:dyDescent="0.25">
      <c r="A2362" s="136">
        <v>43157</v>
      </c>
      <c r="B2362" s="201" t="s">
        <v>137</v>
      </c>
      <c r="C2362" t="s">
        <v>138</v>
      </c>
      <c r="D2362">
        <v>100</v>
      </c>
      <c r="E2362">
        <v>100</v>
      </c>
      <c r="F2362">
        <v>-130.48500000000001</v>
      </c>
      <c r="G2362">
        <v>16118.5</v>
      </c>
      <c r="H2362">
        <v>0</v>
      </c>
      <c r="I2362" s="309">
        <v>3070</v>
      </c>
      <c r="J2362">
        <v>30.7</v>
      </c>
      <c r="K2362" s="133">
        <v>6.4330595727719198E-3</v>
      </c>
      <c r="L2362" s="181">
        <v>115</v>
      </c>
      <c r="M2362" s="133">
        <v>0</v>
      </c>
    </row>
    <row r="2363" spans="1:64" x14ac:dyDescent="0.25">
      <c r="A2363" s="136">
        <v>43157</v>
      </c>
      <c r="B2363" s="201" t="s">
        <v>835</v>
      </c>
      <c r="C2363" t="s">
        <v>839</v>
      </c>
      <c r="I2363" s="309">
        <v>25256.84</v>
      </c>
      <c r="K2363" s="133">
        <v>5.2924676332237401E-2</v>
      </c>
      <c r="L2363" s="181">
        <v>0</v>
      </c>
      <c r="M2363" s="133">
        <v>0.18923018656417601</v>
      </c>
    </row>
    <row r="2364" spans="1:64" x14ac:dyDescent="0.25">
      <c r="A2364" s="136">
        <v>43158</v>
      </c>
      <c r="B2364" s="201" t="s">
        <v>132</v>
      </c>
      <c r="C2364" t="s">
        <v>123</v>
      </c>
      <c r="D2364">
        <v>7706539</v>
      </c>
      <c r="E2364">
        <v>6506539</v>
      </c>
      <c r="F2364">
        <v>0.01</v>
      </c>
      <c r="G2364">
        <v>3110.95</v>
      </c>
      <c r="H2364">
        <v>0</v>
      </c>
      <c r="I2364" s="309">
        <v>77065.39</v>
      </c>
      <c r="J2364">
        <v>0.01</v>
      </c>
      <c r="K2364" s="133">
        <v>0.16163442544784301</v>
      </c>
      <c r="L2364" s="181">
        <v>17.349999999999898</v>
      </c>
      <c r="M2364" s="133">
        <v>0</v>
      </c>
    </row>
    <row r="2365" spans="1:64" x14ac:dyDescent="0.25">
      <c r="A2365" s="136">
        <v>43158</v>
      </c>
      <c r="B2365" s="201" t="s">
        <v>61</v>
      </c>
      <c r="C2365" t="s">
        <v>136</v>
      </c>
      <c r="D2365">
        <v>2800</v>
      </c>
      <c r="E2365">
        <v>2800</v>
      </c>
      <c r="F2365">
        <v>5.2069999999999999</v>
      </c>
      <c r="G2365">
        <v>-552.89</v>
      </c>
      <c r="H2365">
        <v>-3.78</v>
      </c>
      <c r="I2365" s="309">
        <v>14028</v>
      </c>
      <c r="J2365">
        <v>5.01</v>
      </c>
      <c r="K2365" s="133">
        <v>2.9421867847322199E-2</v>
      </c>
      <c r="L2365" s="181">
        <v>-84</v>
      </c>
      <c r="M2365" s="133">
        <v>3.0581481228709899E-2</v>
      </c>
      <c r="N2365" s="73">
        <v>-809.98500000000104</v>
      </c>
      <c r="O2365" s="73">
        <v>-164.54878201219501</v>
      </c>
      <c r="P2365" s="182">
        <v>4</v>
      </c>
      <c r="Q2365" s="182">
        <v>2000</v>
      </c>
      <c r="R2365" s="46">
        <v>5.2249999999999996</v>
      </c>
      <c r="S2365" s="46">
        <v>0</v>
      </c>
      <c r="T2365" s="46">
        <v>0</v>
      </c>
      <c r="U2365" s="46">
        <v>0</v>
      </c>
      <c r="V2365" s="46" t="s">
        <v>62</v>
      </c>
      <c r="W2365" s="46">
        <v>2000</v>
      </c>
      <c r="X2365" s="46">
        <v>5.2249999999999996</v>
      </c>
      <c r="AF2365" s="46">
        <v>9</v>
      </c>
      <c r="AG2365" s="46">
        <v>4500</v>
      </c>
      <c r="AH2365" s="46">
        <v>23912.7</v>
      </c>
      <c r="AI2365" s="46">
        <v>5.3140000000000001</v>
      </c>
      <c r="AJ2365" s="46">
        <v>9</v>
      </c>
      <c r="AK2365" s="46">
        <v>3700</v>
      </c>
      <c r="AL2365" s="46">
        <v>19797.915000000001</v>
      </c>
      <c r="AM2365" s="46">
        <v>5.351</v>
      </c>
      <c r="AN2365" s="46" t="s">
        <v>63</v>
      </c>
      <c r="AO2365" s="46">
        <v>800</v>
      </c>
      <c r="AP2365" s="46">
        <v>4114.7849999999999</v>
      </c>
      <c r="AQ2365" s="46">
        <v>5.1429999999999998</v>
      </c>
      <c r="AR2365" s="46">
        <v>136.9</v>
      </c>
      <c r="AS2365" s="46">
        <v>13</v>
      </c>
      <c r="AT2365" s="46">
        <v>6500</v>
      </c>
      <c r="AU2365" s="46">
        <v>34383.9</v>
      </c>
      <c r="AV2365" s="46">
        <v>5.29</v>
      </c>
      <c r="AW2365" s="46">
        <v>9</v>
      </c>
      <c r="AX2365" s="46">
        <v>3700</v>
      </c>
      <c r="AY2365" s="46">
        <v>19797.915000000001</v>
      </c>
      <c r="AZ2365" s="46">
        <v>5.351</v>
      </c>
      <c r="BA2365" s="46" t="s">
        <v>63</v>
      </c>
      <c r="BB2365" s="46">
        <v>2800</v>
      </c>
      <c r="BC2365" s="46">
        <v>14585.985000000001</v>
      </c>
      <c r="BD2365" s="46">
        <v>5.2089999999999996</v>
      </c>
      <c r="BE2365" s="46">
        <v>225.7</v>
      </c>
      <c r="BF2365" s="46">
        <v>10471.200000000001</v>
      </c>
      <c r="BG2365" s="46">
        <v>5.24</v>
      </c>
      <c r="BH2365" s="46">
        <v>0</v>
      </c>
      <c r="BJ2365">
        <v>10471.200000000001</v>
      </c>
      <c r="BK2365">
        <v>5.24</v>
      </c>
      <c r="BL2365">
        <v>27.33</v>
      </c>
    </row>
    <row r="2366" spans="1:64" x14ac:dyDescent="0.25">
      <c r="A2366" s="136">
        <v>43158</v>
      </c>
      <c r="B2366" s="201" t="s">
        <v>124</v>
      </c>
      <c r="C2366" t="s">
        <v>125</v>
      </c>
      <c r="D2366">
        <v>100</v>
      </c>
      <c r="E2366">
        <v>100</v>
      </c>
      <c r="F2366">
        <v>-53.579000000000001</v>
      </c>
      <c r="G2366">
        <v>6031.9</v>
      </c>
      <c r="H2366">
        <v>0</v>
      </c>
      <c r="I2366" s="309">
        <v>674</v>
      </c>
      <c r="J2366">
        <v>6.74</v>
      </c>
      <c r="K2366" s="133">
        <v>1.4136255295904799E-3</v>
      </c>
      <c r="L2366" s="181">
        <v>-28</v>
      </c>
      <c r="M2366" s="133">
        <v>0</v>
      </c>
    </row>
    <row r="2367" spans="1:64" x14ac:dyDescent="0.25">
      <c r="A2367" s="136">
        <v>43158</v>
      </c>
      <c r="B2367" s="201" t="s">
        <v>71</v>
      </c>
      <c r="C2367" t="s">
        <v>126</v>
      </c>
      <c r="D2367">
        <v>100</v>
      </c>
      <c r="E2367">
        <v>100</v>
      </c>
      <c r="F2367">
        <v>-17.085999999999999</v>
      </c>
      <c r="G2367">
        <v>2407.6</v>
      </c>
      <c r="H2367">
        <v>0</v>
      </c>
      <c r="I2367" s="309">
        <v>699</v>
      </c>
      <c r="J2367">
        <v>6.99</v>
      </c>
      <c r="K2367" s="133">
        <v>1.4660597109551099E-3</v>
      </c>
      <c r="L2367" s="181">
        <v>-15</v>
      </c>
      <c r="M2367" s="133">
        <v>0</v>
      </c>
      <c r="N2367" s="73">
        <v>1703.3019999999999</v>
      </c>
      <c r="O2367" s="73">
        <v>341.114950423729</v>
      </c>
      <c r="P2367" s="182">
        <v>0</v>
      </c>
      <c r="Q2367" s="182">
        <v>0</v>
      </c>
      <c r="R2367" s="46">
        <v>0</v>
      </c>
      <c r="S2367" s="46">
        <v>7</v>
      </c>
      <c r="T2367" s="46">
        <v>2800</v>
      </c>
      <c r="U2367" s="46">
        <v>6.6749999999999998</v>
      </c>
      <c r="V2367" s="46" t="s">
        <v>68</v>
      </c>
      <c r="W2367" s="46">
        <v>2800</v>
      </c>
      <c r="X2367" s="46">
        <v>6.6749999999999998</v>
      </c>
      <c r="AF2367" s="46">
        <v>41</v>
      </c>
      <c r="AG2367" s="46">
        <v>20600</v>
      </c>
      <c r="AH2367" s="46">
        <v>131323.35999999999</v>
      </c>
      <c r="AI2367" s="46">
        <v>6.375</v>
      </c>
      <c r="AJ2367" s="46">
        <v>39</v>
      </c>
      <c r="AK2367" s="46">
        <v>17700</v>
      </c>
      <c r="AL2367" s="46">
        <v>114228.83100000001</v>
      </c>
      <c r="AM2367" s="46">
        <v>6.4539999999999997</v>
      </c>
      <c r="AN2367" s="46" t="s">
        <v>63</v>
      </c>
      <c r="AO2367" s="46">
        <v>2900</v>
      </c>
      <c r="AP2367" s="46">
        <v>17094.528999999999</v>
      </c>
      <c r="AQ2367" s="46">
        <v>5.8949999999999996</v>
      </c>
      <c r="AR2367" s="46">
        <v>1398.3</v>
      </c>
      <c r="AS2367" s="46">
        <v>41</v>
      </c>
      <c r="AT2367" s="46">
        <v>20600</v>
      </c>
      <c r="AU2367" s="46">
        <v>131323.35999999999</v>
      </c>
      <c r="AV2367" s="46">
        <v>6.375</v>
      </c>
      <c r="AW2367" s="46">
        <v>46</v>
      </c>
      <c r="AX2367" s="46">
        <v>20500</v>
      </c>
      <c r="AY2367" s="46">
        <v>132870.462</v>
      </c>
      <c r="AZ2367" s="46">
        <v>6.4809999999999999</v>
      </c>
      <c r="BA2367" s="46" t="s">
        <v>63</v>
      </c>
      <c r="BB2367" s="46">
        <v>100</v>
      </c>
      <c r="BC2367" s="46">
        <v>1547.1020000000001</v>
      </c>
      <c r="BD2367" s="46">
        <v>15.471</v>
      </c>
      <c r="BE2367" s="46">
        <v>2173</v>
      </c>
      <c r="BF2367" s="46">
        <v>0</v>
      </c>
      <c r="BH2367" s="46">
        <v>18641.631000000001</v>
      </c>
      <c r="BI2367">
        <v>6.66</v>
      </c>
      <c r="BJ2367">
        <v>-15547.427</v>
      </c>
      <c r="BK2367">
        <v>-5.55</v>
      </c>
      <c r="BL2367">
        <v>200.04</v>
      </c>
    </row>
    <row r="2368" spans="1:64" x14ac:dyDescent="0.25">
      <c r="A2368" s="136">
        <v>43158</v>
      </c>
      <c r="B2368" s="201" t="s">
        <v>79</v>
      </c>
      <c r="C2368" t="s">
        <v>143</v>
      </c>
      <c r="D2368">
        <v>5800</v>
      </c>
      <c r="E2368">
        <v>5800</v>
      </c>
      <c r="F2368">
        <v>16.396000000000001</v>
      </c>
      <c r="G2368">
        <v>-11344.71</v>
      </c>
      <c r="H2368">
        <v>-11.93</v>
      </c>
      <c r="I2368" s="309">
        <v>83752</v>
      </c>
      <c r="J2368">
        <v>14.44</v>
      </c>
      <c r="K2368" s="133">
        <v>0.17565870230602601</v>
      </c>
      <c r="L2368" s="181">
        <v>-290</v>
      </c>
      <c r="M2368" s="133">
        <v>0.19945272557279201</v>
      </c>
      <c r="N2368" s="73">
        <v>-11928.1520000001</v>
      </c>
      <c r="O2368" s="73">
        <v>-831.39385801953097</v>
      </c>
      <c r="P2368" s="182">
        <v>9</v>
      </c>
      <c r="Q2368" s="182">
        <v>5000</v>
      </c>
      <c r="R2368" s="46">
        <v>15.945</v>
      </c>
      <c r="S2368" s="46">
        <v>0</v>
      </c>
      <c r="T2368" s="46">
        <v>0</v>
      </c>
      <c r="U2368" s="46">
        <v>0</v>
      </c>
      <c r="V2368" s="46" t="s">
        <v>62</v>
      </c>
      <c r="W2368" s="46">
        <v>5000</v>
      </c>
      <c r="X2368" s="46">
        <v>15.945</v>
      </c>
      <c r="AF2368" s="46">
        <v>8</v>
      </c>
      <c r="AG2368" s="46">
        <v>4000</v>
      </c>
      <c r="AH2368" s="46">
        <v>65067.4</v>
      </c>
      <c r="AI2368" s="46">
        <v>16.266999999999999</v>
      </c>
      <c r="AJ2368" s="46">
        <v>8</v>
      </c>
      <c r="AK2368" s="46">
        <v>3200</v>
      </c>
      <c r="AL2368" s="46">
        <v>49740.248</v>
      </c>
      <c r="AM2368" s="46">
        <v>15.544</v>
      </c>
      <c r="AN2368" s="46" t="s">
        <v>63</v>
      </c>
      <c r="AO2368" s="46">
        <v>800</v>
      </c>
      <c r="AP2368" s="46">
        <v>15327.152</v>
      </c>
      <c r="AQ2368" s="46">
        <v>19.158999999999999</v>
      </c>
      <c r="AR2368" s="46">
        <v>-2313.6</v>
      </c>
      <c r="AS2368" s="46">
        <v>17</v>
      </c>
      <c r="AT2368" s="46">
        <v>9000</v>
      </c>
      <c r="AU2368" s="46">
        <v>144840.4</v>
      </c>
      <c r="AV2368" s="46">
        <v>16.093</v>
      </c>
      <c r="AW2368" s="46">
        <v>8</v>
      </c>
      <c r="AX2368" s="46">
        <v>3200</v>
      </c>
      <c r="AY2368" s="46">
        <v>49740.248</v>
      </c>
      <c r="AZ2368" s="46">
        <v>15.544</v>
      </c>
      <c r="BA2368" s="46" t="s">
        <v>63</v>
      </c>
      <c r="BB2368" s="46">
        <v>5800</v>
      </c>
      <c r="BC2368" s="46">
        <v>95100.152000000002</v>
      </c>
      <c r="BD2368" s="46">
        <v>16.396999999999998</v>
      </c>
      <c r="BE2368" s="46">
        <v>-1756.8</v>
      </c>
      <c r="BF2368" s="46">
        <v>79773</v>
      </c>
      <c r="BG2368" s="46">
        <v>15.95</v>
      </c>
      <c r="BH2368" s="46">
        <v>0</v>
      </c>
      <c r="BJ2368">
        <v>79773</v>
      </c>
      <c r="BK2368">
        <v>15.95</v>
      </c>
      <c r="BL2368">
        <v>-160.22</v>
      </c>
    </row>
    <row r="2369" spans="1:64" x14ac:dyDescent="0.25">
      <c r="A2369" s="136">
        <v>43158</v>
      </c>
      <c r="B2369" s="201" t="s">
        <v>65</v>
      </c>
      <c r="C2369" t="s">
        <v>127</v>
      </c>
      <c r="D2369">
        <v>9000</v>
      </c>
      <c r="E2369">
        <v>8600</v>
      </c>
      <c r="F2369">
        <v>9.0980000000000008</v>
      </c>
      <c r="G2369">
        <v>10640.13</v>
      </c>
      <c r="H2369">
        <v>12.99</v>
      </c>
      <c r="I2369" s="309">
        <v>92520</v>
      </c>
      <c r="J2369">
        <v>10.28</v>
      </c>
      <c r="K2369" s="133">
        <v>0.19404841839423001</v>
      </c>
      <c r="L2369" s="181">
        <v>-2425</v>
      </c>
      <c r="M2369" s="133">
        <v>0.17173215814769899</v>
      </c>
      <c r="N2369" s="73">
        <v>6627.7129999999697</v>
      </c>
      <c r="O2369" s="73">
        <v>1057.59571937438</v>
      </c>
      <c r="P2369" s="182">
        <v>0</v>
      </c>
      <c r="Q2369" s="182">
        <v>0</v>
      </c>
      <c r="R2369" s="46">
        <v>0</v>
      </c>
      <c r="S2369" s="46">
        <v>18</v>
      </c>
      <c r="T2369" s="46">
        <v>7600</v>
      </c>
      <c r="U2369" s="46">
        <v>11.936</v>
      </c>
      <c r="V2369" s="46" t="s">
        <v>68</v>
      </c>
      <c r="W2369" s="46">
        <v>7600</v>
      </c>
      <c r="X2369" s="46">
        <v>11.936</v>
      </c>
      <c r="AF2369" s="46">
        <v>165</v>
      </c>
      <c r="AG2369" s="46">
        <v>87800</v>
      </c>
      <c r="AH2369" s="46">
        <v>1020868.231</v>
      </c>
      <c r="AI2369" s="46">
        <v>11.627000000000001</v>
      </c>
      <c r="AJ2369" s="46">
        <v>185</v>
      </c>
      <c r="AK2369" s="46">
        <v>80400</v>
      </c>
      <c r="AL2369" s="46">
        <v>847622.65300000005</v>
      </c>
      <c r="AM2369" s="46">
        <v>10.542999999999999</v>
      </c>
      <c r="AN2369" s="46" t="s">
        <v>63</v>
      </c>
      <c r="AO2369" s="46">
        <v>7400</v>
      </c>
      <c r="AP2369" s="46">
        <v>173245.57800000001</v>
      </c>
      <c r="AQ2369" s="46">
        <v>23.411999999999999</v>
      </c>
      <c r="AR2369" s="46">
        <v>-87153.600000000006</v>
      </c>
      <c r="AS2369" s="46">
        <v>166</v>
      </c>
      <c r="AT2369" s="46">
        <v>87900</v>
      </c>
      <c r="AU2369" s="46">
        <v>1022156.231</v>
      </c>
      <c r="AV2369" s="46">
        <v>11.629</v>
      </c>
      <c r="AW2369" s="46">
        <v>203</v>
      </c>
      <c r="AX2369" s="46">
        <v>88000</v>
      </c>
      <c r="AY2369" s="46">
        <v>938152.94200000004</v>
      </c>
      <c r="AZ2369" s="46">
        <v>10.661</v>
      </c>
      <c r="BA2369" s="46" t="s">
        <v>69</v>
      </c>
      <c r="BB2369" s="46">
        <v>100</v>
      </c>
      <c r="BC2369" s="46">
        <v>84003.289000000004</v>
      </c>
      <c r="BD2369" s="46">
        <v>840.03300000000002</v>
      </c>
      <c r="BE2369" s="46">
        <v>-85087.2</v>
      </c>
      <c r="BF2369" s="46">
        <v>1288</v>
      </c>
      <c r="BH2369" s="46">
        <v>90530.289000000004</v>
      </c>
      <c r="BI2369">
        <v>11.91</v>
      </c>
      <c r="BJ2369">
        <v>-89242.289000000004</v>
      </c>
      <c r="BK2369">
        <v>-11.74</v>
      </c>
      <c r="BL2369">
        <v>-8477.98</v>
      </c>
    </row>
    <row r="2370" spans="1:64" x14ac:dyDescent="0.25">
      <c r="A2370" s="136">
        <v>43158</v>
      </c>
      <c r="B2370" s="201" t="s">
        <v>77</v>
      </c>
      <c r="C2370" t="s">
        <v>128</v>
      </c>
      <c r="D2370">
        <v>4300</v>
      </c>
      <c r="E2370">
        <v>4300</v>
      </c>
      <c r="F2370">
        <v>5.9779999999999998</v>
      </c>
      <c r="G2370">
        <v>-595.27</v>
      </c>
      <c r="H2370">
        <v>-2.31</v>
      </c>
      <c r="I2370" s="309">
        <v>25112</v>
      </c>
      <c r="J2370">
        <v>5.84</v>
      </c>
      <c r="K2370" s="133">
        <v>5.2669086497145398E-2</v>
      </c>
      <c r="L2370" s="181">
        <v>0</v>
      </c>
      <c r="M2370" s="133">
        <v>5.39175863027824E-2</v>
      </c>
      <c r="N2370" s="73">
        <v>-1272.2139999999999</v>
      </c>
      <c r="O2370" s="73">
        <v>-133.073774655173</v>
      </c>
      <c r="P2370" s="182">
        <v>6</v>
      </c>
      <c r="Q2370" s="182">
        <v>3000</v>
      </c>
      <c r="R2370" s="46">
        <v>6.798</v>
      </c>
      <c r="S2370" s="46">
        <v>0</v>
      </c>
      <c r="T2370" s="46">
        <v>0</v>
      </c>
      <c r="U2370" s="46">
        <v>0</v>
      </c>
      <c r="V2370" s="46" t="s">
        <v>62</v>
      </c>
      <c r="W2370" s="46">
        <v>3000</v>
      </c>
      <c r="X2370" s="46">
        <v>6.798</v>
      </c>
      <c r="AF2370" s="46">
        <v>39</v>
      </c>
      <c r="AG2370" s="46">
        <v>19500</v>
      </c>
      <c r="AH2370" s="46">
        <v>142169</v>
      </c>
      <c r="AI2370" s="46">
        <v>7.2910000000000004</v>
      </c>
      <c r="AJ2370" s="46">
        <v>39</v>
      </c>
      <c r="AK2370" s="46">
        <v>18200</v>
      </c>
      <c r="AL2370" s="46">
        <v>136881.78599999999</v>
      </c>
      <c r="AM2370" s="46">
        <v>7.5209999999999999</v>
      </c>
      <c r="AN2370" s="46" t="s">
        <v>63</v>
      </c>
      <c r="AO2370" s="46">
        <v>1300</v>
      </c>
      <c r="AP2370" s="46">
        <v>5287.2139999999999</v>
      </c>
      <c r="AQ2370" s="46">
        <v>4.0670000000000002</v>
      </c>
      <c r="AR2370" s="46">
        <v>4186</v>
      </c>
      <c r="AS2370" s="46">
        <v>45</v>
      </c>
      <c r="AT2370" s="46">
        <v>22500</v>
      </c>
      <c r="AU2370" s="46">
        <v>162594</v>
      </c>
      <c r="AV2370" s="46">
        <v>7.226</v>
      </c>
      <c r="AW2370" s="46">
        <v>39</v>
      </c>
      <c r="AX2370" s="46">
        <v>18200</v>
      </c>
      <c r="AY2370" s="46">
        <v>136881.78599999999</v>
      </c>
      <c r="AZ2370" s="46">
        <v>7.5209999999999999</v>
      </c>
      <c r="BA2370" s="46" t="s">
        <v>63</v>
      </c>
      <c r="BB2370" s="46">
        <v>4300</v>
      </c>
      <c r="BC2370" s="46">
        <v>25712.214</v>
      </c>
      <c r="BD2370" s="46">
        <v>5.98</v>
      </c>
      <c r="BE2370" s="46">
        <v>5369</v>
      </c>
      <c r="BF2370" s="46">
        <v>20425</v>
      </c>
      <c r="BG2370" s="46">
        <v>6.81</v>
      </c>
      <c r="BH2370" s="46">
        <v>0</v>
      </c>
      <c r="BJ2370">
        <v>20425</v>
      </c>
      <c r="BK2370">
        <v>6.81</v>
      </c>
      <c r="BL2370">
        <v>716.78</v>
      </c>
    </row>
    <row r="2371" spans="1:64" x14ac:dyDescent="0.25">
      <c r="A2371" s="136">
        <v>43158</v>
      </c>
      <c r="B2371" s="201" t="s">
        <v>67</v>
      </c>
      <c r="C2371" t="s">
        <v>129</v>
      </c>
      <c r="D2371">
        <v>100</v>
      </c>
      <c r="E2371">
        <v>100</v>
      </c>
      <c r="F2371">
        <v>-16.027999999999999</v>
      </c>
      <c r="G2371">
        <v>2577.8000000000002</v>
      </c>
      <c r="H2371">
        <v>0</v>
      </c>
      <c r="I2371" s="309">
        <v>975</v>
      </c>
      <c r="J2371">
        <v>9.75</v>
      </c>
      <c r="K2371" s="133">
        <v>2.0449330732206401E-3</v>
      </c>
      <c r="L2371" s="181">
        <v>6.5</v>
      </c>
      <c r="M2371" s="133">
        <v>0</v>
      </c>
      <c r="N2371" s="73">
        <v>2581.5064999997599</v>
      </c>
      <c r="O2371" s="73">
        <v>263.01893442913098</v>
      </c>
      <c r="P2371" s="182">
        <v>0</v>
      </c>
      <c r="Q2371" s="182">
        <v>0</v>
      </c>
      <c r="R2371" s="46">
        <v>0</v>
      </c>
      <c r="S2371" s="46">
        <v>21</v>
      </c>
      <c r="T2371" s="46">
        <v>8050</v>
      </c>
      <c r="U2371" s="46">
        <v>8.8960000000000008</v>
      </c>
      <c r="V2371" s="46" t="s">
        <v>68</v>
      </c>
      <c r="W2371" s="46">
        <v>8050</v>
      </c>
      <c r="X2371" s="46">
        <v>8.8960000000000008</v>
      </c>
      <c r="AF2371" s="46">
        <v>174</v>
      </c>
      <c r="AG2371" s="46">
        <v>86400</v>
      </c>
      <c r="AH2371" s="46">
        <v>716375</v>
      </c>
      <c r="AI2371" s="46">
        <v>8.2910000000000004</v>
      </c>
      <c r="AJ2371" s="46">
        <v>176</v>
      </c>
      <c r="AK2371" s="46">
        <v>80850</v>
      </c>
      <c r="AL2371" s="46">
        <v>715665.73699999996</v>
      </c>
      <c r="AM2371" s="46">
        <v>8.8520000000000003</v>
      </c>
      <c r="AN2371" s="46" t="s">
        <v>63</v>
      </c>
      <c r="AO2371" s="46">
        <v>5550</v>
      </c>
      <c r="AP2371" s="46">
        <v>709.26300000000003</v>
      </c>
      <c r="AQ2371" s="46">
        <v>0.128</v>
      </c>
      <c r="AR2371" s="46">
        <v>45356.85</v>
      </c>
      <c r="AS2371" s="46">
        <v>174</v>
      </c>
      <c r="AT2371" s="46">
        <v>86400</v>
      </c>
      <c r="AU2371" s="46">
        <v>716375</v>
      </c>
      <c r="AV2371" s="46">
        <v>8.2910000000000004</v>
      </c>
      <c r="AW2371" s="46">
        <v>197</v>
      </c>
      <c r="AX2371" s="46">
        <v>88900</v>
      </c>
      <c r="AY2371" s="46">
        <v>787103.62250000006</v>
      </c>
      <c r="AZ2371" s="46">
        <v>8.8539999999999992</v>
      </c>
      <c r="BA2371" s="46" t="s">
        <v>69</v>
      </c>
      <c r="BB2371" s="46">
        <v>2500</v>
      </c>
      <c r="BC2371" s="46">
        <v>70728.623000000007</v>
      </c>
      <c r="BD2371" s="46">
        <v>28.291</v>
      </c>
      <c r="BE2371" s="46">
        <v>48643.199999999997</v>
      </c>
      <c r="BF2371" s="46">
        <v>0</v>
      </c>
      <c r="BH2371" s="46">
        <v>71437.885500000106</v>
      </c>
      <c r="BI2371">
        <v>8.8699999999999992</v>
      </c>
      <c r="BJ2371">
        <v>70019.360000000001</v>
      </c>
      <c r="BK2371">
        <v>8.6999999999999993</v>
      </c>
      <c r="BL2371">
        <v>4651.9799999999996</v>
      </c>
    </row>
    <row r="2372" spans="1:64" x14ac:dyDescent="0.25">
      <c r="A2372" s="136">
        <v>43158</v>
      </c>
      <c r="B2372" s="201" t="s">
        <v>78</v>
      </c>
      <c r="C2372" t="s">
        <v>142</v>
      </c>
      <c r="D2372">
        <v>2300</v>
      </c>
      <c r="E2372">
        <v>2300</v>
      </c>
      <c r="F2372">
        <v>9.157</v>
      </c>
      <c r="G2372">
        <v>-958.05</v>
      </c>
      <c r="H2372">
        <v>-4.55</v>
      </c>
      <c r="I2372" s="309">
        <v>20102</v>
      </c>
      <c r="J2372">
        <v>8.74</v>
      </c>
      <c r="K2372" s="133">
        <v>4.2161276551673198E-2</v>
      </c>
      <c r="L2372" s="181">
        <v>-115</v>
      </c>
      <c r="M2372" s="133">
        <v>4.41706592499286E-2</v>
      </c>
      <c r="N2372" s="73">
        <v>-1004.052</v>
      </c>
      <c r="O2372" s="73">
        <v>-115.086006192661</v>
      </c>
      <c r="P2372" s="182">
        <v>3</v>
      </c>
      <c r="Q2372" s="182">
        <v>1500</v>
      </c>
      <c r="R2372" s="46">
        <v>8.7430000000000003</v>
      </c>
      <c r="S2372" s="46">
        <v>1</v>
      </c>
      <c r="T2372" s="46">
        <v>400</v>
      </c>
      <c r="U2372" s="46">
        <v>8.7200000000000006</v>
      </c>
      <c r="V2372" s="46" t="s">
        <v>62</v>
      </c>
      <c r="W2372" s="46">
        <v>1100</v>
      </c>
      <c r="X2372" s="46">
        <v>8.7509999999999994</v>
      </c>
      <c r="AF2372" s="46">
        <v>9</v>
      </c>
      <c r="AG2372" s="46">
        <v>4500</v>
      </c>
      <c r="AH2372" s="46">
        <v>44895</v>
      </c>
      <c r="AI2372" s="46">
        <v>9.9770000000000003</v>
      </c>
      <c r="AJ2372" s="46">
        <v>9</v>
      </c>
      <c r="AK2372" s="46">
        <v>3300</v>
      </c>
      <c r="AL2372" s="46">
        <v>33485.436000000002</v>
      </c>
      <c r="AM2372" s="46">
        <v>10.147</v>
      </c>
      <c r="AN2372" s="46" t="s">
        <v>63</v>
      </c>
      <c r="AO2372" s="46">
        <v>1200</v>
      </c>
      <c r="AP2372" s="46">
        <v>11409.564</v>
      </c>
      <c r="AQ2372" s="46">
        <v>9.5079999999999991</v>
      </c>
      <c r="AR2372" s="46">
        <v>561</v>
      </c>
      <c r="AS2372" s="46">
        <v>12</v>
      </c>
      <c r="AT2372" s="46">
        <v>6000</v>
      </c>
      <c r="AU2372" s="46">
        <v>58025</v>
      </c>
      <c r="AV2372" s="46">
        <v>9.6709999999999994</v>
      </c>
      <c r="AW2372" s="46">
        <v>10</v>
      </c>
      <c r="AX2372" s="46">
        <v>3700</v>
      </c>
      <c r="AY2372" s="46">
        <v>36964.947999999997</v>
      </c>
      <c r="AZ2372" s="46">
        <v>9.9909999999999997</v>
      </c>
      <c r="BA2372" s="46" t="s">
        <v>63</v>
      </c>
      <c r="BB2372" s="46">
        <v>2300</v>
      </c>
      <c r="BC2372" s="46">
        <v>21060.052</v>
      </c>
      <c r="BD2372" s="46">
        <v>9.157</v>
      </c>
      <c r="BE2372" s="46">
        <v>1184</v>
      </c>
      <c r="BF2372" s="46">
        <v>13130</v>
      </c>
      <c r="BG2372" s="46">
        <v>8.75</v>
      </c>
      <c r="BH2372" s="46">
        <v>3479.5120000000002</v>
      </c>
      <c r="BI2372">
        <v>8.6999999999999993</v>
      </c>
      <c r="BJ2372">
        <v>9650.4879999999994</v>
      </c>
      <c r="BK2372">
        <v>8.77</v>
      </c>
      <c r="BL2372">
        <v>64.19</v>
      </c>
    </row>
    <row r="2373" spans="1:64" x14ac:dyDescent="0.25">
      <c r="A2373" s="136">
        <v>43158</v>
      </c>
      <c r="B2373" s="201" t="s">
        <v>72</v>
      </c>
      <c r="C2373" t="s">
        <v>130</v>
      </c>
      <c r="D2373">
        <v>3700</v>
      </c>
      <c r="E2373">
        <v>3700</v>
      </c>
      <c r="F2373">
        <v>6.8140000000000001</v>
      </c>
      <c r="G2373">
        <v>-2088.38</v>
      </c>
      <c r="H2373">
        <v>-8.2799999999999994</v>
      </c>
      <c r="I2373" s="309">
        <v>23125</v>
      </c>
      <c r="J2373">
        <v>6.25</v>
      </c>
      <c r="K2373" s="133">
        <v>4.8501617762284503E-2</v>
      </c>
      <c r="L2373" s="181">
        <v>-74</v>
      </c>
      <c r="M2373" s="133">
        <v>5.2881717589415303E-2</v>
      </c>
      <c r="N2373" s="73">
        <v>-2310.0880000000002</v>
      </c>
      <c r="O2373" s="73">
        <v>-333.97340975999703</v>
      </c>
      <c r="P2373" s="182">
        <v>0</v>
      </c>
      <c r="Q2373" s="182">
        <v>0</v>
      </c>
      <c r="R2373" s="46">
        <v>0</v>
      </c>
      <c r="S2373" s="46">
        <v>10</v>
      </c>
      <c r="T2373" s="46">
        <v>4000</v>
      </c>
      <c r="U2373" s="46">
        <v>7.6749999999999998</v>
      </c>
      <c r="V2373" s="46" t="s">
        <v>68</v>
      </c>
      <c r="W2373" s="46">
        <v>4000</v>
      </c>
      <c r="X2373" s="46">
        <v>7.6749999999999998</v>
      </c>
      <c r="AF2373" s="46">
        <v>32</v>
      </c>
      <c r="AG2373" s="46">
        <v>15900</v>
      </c>
      <c r="AH2373" s="46">
        <v>121142</v>
      </c>
      <c r="AI2373" s="46">
        <v>7.6189999999999998</v>
      </c>
      <c r="AJ2373" s="46">
        <v>32</v>
      </c>
      <c r="AK2373" s="46">
        <v>14800</v>
      </c>
      <c r="AL2373" s="46">
        <v>66041.797000000006</v>
      </c>
      <c r="AM2373" s="46">
        <v>4.4619999999999997</v>
      </c>
      <c r="AN2373" s="46" t="s">
        <v>63</v>
      </c>
      <c r="AO2373" s="46">
        <v>1100</v>
      </c>
      <c r="AP2373" s="46">
        <v>55100.203000000001</v>
      </c>
      <c r="AQ2373" s="46">
        <v>50.091000000000001</v>
      </c>
      <c r="AR2373" s="46">
        <v>-46723.6</v>
      </c>
      <c r="AS2373" s="46">
        <v>32</v>
      </c>
      <c r="AT2373" s="46">
        <v>15900</v>
      </c>
      <c r="AU2373" s="46">
        <v>121142</v>
      </c>
      <c r="AV2373" s="46">
        <v>7.6189999999999998</v>
      </c>
      <c r="AW2373" s="46">
        <v>43</v>
      </c>
      <c r="AX2373" s="46">
        <v>19300</v>
      </c>
      <c r="AY2373" s="46">
        <v>96661.096999999994</v>
      </c>
      <c r="AZ2373" s="46">
        <v>5.008</v>
      </c>
      <c r="BA2373" s="46" t="s">
        <v>69</v>
      </c>
      <c r="BB2373" s="46">
        <v>3400</v>
      </c>
      <c r="BC2373" s="46">
        <v>24480.902999999998</v>
      </c>
      <c r="BD2373" s="46">
        <v>7.2</v>
      </c>
      <c r="BE2373" s="46">
        <v>-41514.9</v>
      </c>
      <c r="BF2373" s="46">
        <v>0</v>
      </c>
      <c r="BH2373" s="46">
        <v>30619.3</v>
      </c>
      <c r="BI2373">
        <v>7.65</v>
      </c>
      <c r="BJ2373">
        <v>-30619.3</v>
      </c>
      <c r="BK2373">
        <v>-7.65</v>
      </c>
      <c r="BL2373">
        <v>-7475.78</v>
      </c>
    </row>
    <row r="2374" spans="1:64" x14ac:dyDescent="0.25">
      <c r="A2374" s="136">
        <v>43158</v>
      </c>
      <c r="B2374" s="201" t="s">
        <v>70</v>
      </c>
      <c r="C2374" t="s">
        <v>131</v>
      </c>
      <c r="D2374">
        <v>13900</v>
      </c>
      <c r="E2374">
        <v>13900</v>
      </c>
      <c r="F2374">
        <v>11.211</v>
      </c>
      <c r="G2374">
        <v>-36845.39</v>
      </c>
      <c r="H2374">
        <v>-23.65</v>
      </c>
      <c r="I2374" s="309">
        <v>118984</v>
      </c>
      <c r="J2374">
        <v>8.56</v>
      </c>
      <c r="K2374" s="133">
        <v>0.24955314541957399</v>
      </c>
      <c r="L2374" s="181">
        <v>2514.98</v>
      </c>
      <c r="M2374" s="133">
        <v>0.326831459887998</v>
      </c>
      <c r="N2374" s="73">
        <v>-33369.39</v>
      </c>
      <c r="O2374" s="73">
        <v>-3785.7781276958099</v>
      </c>
      <c r="P2374" s="182">
        <v>5</v>
      </c>
      <c r="Q2374" s="182">
        <v>3500</v>
      </c>
      <c r="R2374" s="46">
        <v>8.2110000000000003</v>
      </c>
      <c r="S2374" s="46">
        <v>4</v>
      </c>
      <c r="T2374" s="46">
        <v>1600</v>
      </c>
      <c r="U2374" s="46">
        <v>8.5850000000000009</v>
      </c>
      <c r="V2374" s="46" t="s">
        <v>62</v>
      </c>
      <c r="W2374" s="46">
        <v>1900</v>
      </c>
      <c r="X2374" s="46">
        <v>7.8959999999999999</v>
      </c>
      <c r="AF2374" s="46">
        <v>128</v>
      </c>
      <c r="AG2374" s="46">
        <v>64600</v>
      </c>
      <c r="AH2374" s="46">
        <v>861448</v>
      </c>
      <c r="AI2374" s="46">
        <v>13.335000000000001</v>
      </c>
      <c r="AJ2374" s="46">
        <v>131</v>
      </c>
      <c r="AK2374" s="46">
        <v>52600</v>
      </c>
      <c r="AL2374" s="46">
        <v>720277.34600000002</v>
      </c>
      <c r="AM2374" s="46">
        <v>13.693</v>
      </c>
      <c r="AN2374" s="46" t="s">
        <v>63</v>
      </c>
      <c r="AO2374" s="46">
        <v>12000</v>
      </c>
      <c r="AP2374" s="46">
        <v>141170.65400000001</v>
      </c>
      <c r="AQ2374" s="46">
        <v>11.763999999999999</v>
      </c>
      <c r="AR2374" s="46">
        <v>18830.8</v>
      </c>
      <c r="AS2374" s="46">
        <v>133</v>
      </c>
      <c r="AT2374" s="46">
        <v>68100</v>
      </c>
      <c r="AU2374" s="46">
        <v>890213</v>
      </c>
      <c r="AV2374" s="46">
        <v>13.071999999999999</v>
      </c>
      <c r="AW2374" s="46">
        <v>136</v>
      </c>
      <c r="AX2374" s="46">
        <v>54200</v>
      </c>
      <c r="AY2374" s="46">
        <v>734384.61</v>
      </c>
      <c r="AZ2374" s="46">
        <v>13.55</v>
      </c>
      <c r="BA2374" s="46" t="s">
        <v>63</v>
      </c>
      <c r="BB2374" s="46">
        <v>13900</v>
      </c>
      <c r="BC2374" s="46">
        <v>155828.39000000001</v>
      </c>
      <c r="BD2374" s="46">
        <v>11.211</v>
      </c>
      <c r="BE2374" s="46">
        <v>25907.599999999999</v>
      </c>
      <c r="BF2374" s="46">
        <v>28765</v>
      </c>
      <c r="BG2374" s="46">
        <v>8.2200000000000006</v>
      </c>
      <c r="BH2374" s="46">
        <v>14107.264000000099</v>
      </c>
      <c r="BI2374">
        <v>8.82</v>
      </c>
      <c r="BJ2374">
        <v>14657.736000000001</v>
      </c>
      <c r="BK2374">
        <v>7.71</v>
      </c>
      <c r="BL2374">
        <v>2199.86</v>
      </c>
    </row>
    <row r="2375" spans="1:64" x14ac:dyDescent="0.25">
      <c r="A2375" s="136">
        <v>43158</v>
      </c>
      <c r="B2375" s="201" t="s">
        <v>137</v>
      </c>
      <c r="C2375" t="s">
        <v>138</v>
      </c>
      <c r="D2375">
        <v>100</v>
      </c>
      <c r="E2375">
        <v>100</v>
      </c>
      <c r="F2375">
        <v>-130.48500000000001</v>
      </c>
      <c r="G2375">
        <v>16176.5</v>
      </c>
      <c r="H2375">
        <v>0</v>
      </c>
      <c r="I2375" s="309">
        <v>3128</v>
      </c>
      <c r="J2375">
        <v>31.28</v>
      </c>
      <c r="K2375" s="133">
        <v>6.5605647723427397E-3</v>
      </c>
      <c r="L2375" s="181">
        <v>58</v>
      </c>
      <c r="M2375" s="133">
        <v>0</v>
      </c>
    </row>
    <row r="2376" spans="1:64" x14ac:dyDescent="0.25">
      <c r="A2376" s="136">
        <v>43158</v>
      </c>
      <c r="B2376" s="201" t="s">
        <v>835</v>
      </c>
      <c r="C2376" t="s">
        <v>839</v>
      </c>
      <c r="I2376" s="309">
        <v>16623.830000000002</v>
      </c>
      <c r="K2376" s="133">
        <v>3.4866276687792297E-2</v>
      </c>
      <c r="L2376" s="181">
        <v>0</v>
      </c>
      <c r="M2376" s="133">
        <v>0.196500702135636</v>
      </c>
    </row>
    <row r="2377" spans="1:64" x14ac:dyDescent="0.25">
      <c r="A2377" s="136">
        <v>43159</v>
      </c>
      <c r="B2377" s="201" t="s">
        <v>132</v>
      </c>
      <c r="C2377" t="s">
        <v>123</v>
      </c>
      <c r="D2377">
        <v>7707205</v>
      </c>
      <c r="E2377">
        <v>7707205</v>
      </c>
      <c r="F2377">
        <v>0.01</v>
      </c>
      <c r="G2377">
        <v>3117.61</v>
      </c>
      <c r="H2377">
        <v>0</v>
      </c>
      <c r="I2377" s="309">
        <v>77072.05</v>
      </c>
      <c r="J2377">
        <v>0.01</v>
      </c>
      <c r="K2377" s="133">
        <v>0.16219675359216201</v>
      </c>
      <c r="L2377" s="181">
        <v>6.6600000000003101</v>
      </c>
      <c r="M2377" s="133">
        <v>0</v>
      </c>
    </row>
    <row r="2378" spans="1:64" x14ac:dyDescent="0.25">
      <c r="A2378" s="136">
        <v>43159</v>
      </c>
      <c r="B2378" s="201" t="s">
        <v>61</v>
      </c>
      <c r="C2378" t="s">
        <v>136</v>
      </c>
      <c r="D2378">
        <v>2800</v>
      </c>
      <c r="E2378">
        <v>2800</v>
      </c>
      <c r="F2378">
        <v>5.2069999999999999</v>
      </c>
      <c r="G2378">
        <v>-636.89</v>
      </c>
      <c r="H2378">
        <v>-4.3600000000000003</v>
      </c>
      <c r="I2378" s="309">
        <v>13944</v>
      </c>
      <c r="J2378">
        <v>4.9800000000000004</v>
      </c>
      <c r="K2378" s="133">
        <v>2.93448991182809E-2</v>
      </c>
      <c r="L2378" s="181">
        <v>-84</v>
      </c>
      <c r="M2378" s="133">
        <v>3.0685222755647699E-2</v>
      </c>
      <c r="N2378" s="73">
        <v>-809.98500000000104</v>
      </c>
      <c r="O2378" s="73">
        <v>-164.54878201219501</v>
      </c>
      <c r="P2378" s="182">
        <v>4</v>
      </c>
      <c r="Q2378" s="182">
        <v>2000</v>
      </c>
      <c r="R2378" s="46">
        <v>5.2249999999999996</v>
      </c>
      <c r="S2378" s="46">
        <v>0</v>
      </c>
      <c r="T2378" s="46">
        <v>0</v>
      </c>
      <c r="U2378" s="46">
        <v>0</v>
      </c>
      <c r="V2378" s="46" t="s">
        <v>62</v>
      </c>
      <c r="W2378" s="46">
        <v>2000</v>
      </c>
      <c r="X2378" s="46">
        <v>5.2249999999999996</v>
      </c>
      <c r="AF2378" s="46">
        <v>9</v>
      </c>
      <c r="AG2378" s="46">
        <v>4500</v>
      </c>
      <c r="AH2378" s="46">
        <v>23912.7</v>
      </c>
      <c r="AI2378" s="46">
        <v>5.3140000000000001</v>
      </c>
      <c r="AJ2378" s="46">
        <v>9</v>
      </c>
      <c r="AK2378" s="46">
        <v>3700</v>
      </c>
      <c r="AL2378" s="46">
        <v>19797.915000000001</v>
      </c>
      <c r="AM2378" s="46">
        <v>5.351</v>
      </c>
      <c r="AN2378" s="46" t="s">
        <v>63</v>
      </c>
      <c r="AO2378" s="46">
        <v>800</v>
      </c>
      <c r="AP2378" s="46">
        <v>4114.7849999999999</v>
      </c>
      <c r="AQ2378" s="46">
        <v>5.1429999999999998</v>
      </c>
      <c r="AR2378" s="46">
        <v>136.9</v>
      </c>
      <c r="AS2378" s="46">
        <v>13</v>
      </c>
      <c r="AT2378" s="46">
        <v>6500</v>
      </c>
      <c r="AU2378" s="46">
        <v>34383.9</v>
      </c>
      <c r="AV2378" s="46">
        <v>5.29</v>
      </c>
      <c r="AW2378" s="46">
        <v>9</v>
      </c>
      <c r="AX2378" s="46">
        <v>3700</v>
      </c>
      <c r="AY2378" s="46">
        <v>19797.915000000001</v>
      </c>
      <c r="AZ2378" s="46">
        <v>5.351</v>
      </c>
      <c r="BA2378" s="46" t="s">
        <v>63</v>
      </c>
      <c r="BB2378" s="46">
        <v>2800</v>
      </c>
      <c r="BC2378" s="46">
        <v>14585.985000000001</v>
      </c>
      <c r="BD2378" s="46">
        <v>5.2089999999999996</v>
      </c>
      <c r="BE2378" s="46">
        <v>225.7</v>
      </c>
      <c r="BF2378" s="46">
        <v>10471.200000000001</v>
      </c>
      <c r="BG2378" s="46">
        <v>5.24</v>
      </c>
      <c r="BH2378" s="46">
        <v>0</v>
      </c>
      <c r="BJ2378">
        <v>10471.200000000001</v>
      </c>
      <c r="BK2378">
        <v>5.24</v>
      </c>
      <c r="BL2378">
        <v>27.49</v>
      </c>
    </row>
    <row r="2379" spans="1:64" x14ac:dyDescent="0.25">
      <c r="A2379" s="136">
        <v>43159</v>
      </c>
      <c r="B2379" s="201" t="s">
        <v>124</v>
      </c>
      <c r="C2379" t="s">
        <v>125</v>
      </c>
      <c r="D2379">
        <v>100</v>
      </c>
      <c r="E2379">
        <v>100</v>
      </c>
      <c r="F2379">
        <v>-53.579000000000001</v>
      </c>
      <c r="G2379">
        <v>6024.9</v>
      </c>
      <c r="H2379">
        <v>0</v>
      </c>
      <c r="I2379" s="309">
        <v>667</v>
      </c>
      <c r="J2379">
        <v>6.67</v>
      </c>
      <c r="K2379" s="133">
        <v>1.4036895949435899E-3</v>
      </c>
      <c r="L2379" s="181">
        <v>-7</v>
      </c>
      <c r="M2379" s="133">
        <v>0</v>
      </c>
    </row>
    <row r="2380" spans="1:64" x14ac:dyDescent="0.25">
      <c r="A2380" s="136">
        <v>43159</v>
      </c>
      <c r="B2380" s="201" t="s">
        <v>71</v>
      </c>
      <c r="C2380" t="s">
        <v>126</v>
      </c>
      <c r="D2380">
        <v>600</v>
      </c>
      <c r="E2380">
        <v>100</v>
      </c>
      <c r="F2380">
        <v>2.8769999999999998</v>
      </c>
      <c r="G2380">
        <v>2377.5700000000002</v>
      </c>
      <c r="H2380">
        <v>137.75</v>
      </c>
      <c r="I2380" s="309">
        <v>4104</v>
      </c>
      <c r="J2380">
        <v>6.84</v>
      </c>
      <c r="K2380" s="133">
        <v>8.6367947490981704E-3</v>
      </c>
      <c r="L2380" s="181">
        <v>-30.029999999999699</v>
      </c>
      <c r="M2380" s="133">
        <v>3.6332411205374101E-3</v>
      </c>
      <c r="N2380" s="73">
        <v>-1731.998</v>
      </c>
      <c r="O2380" s="73">
        <v>348.07689489795899</v>
      </c>
      <c r="P2380" s="182">
        <v>0</v>
      </c>
      <c r="Q2380" s="182">
        <v>0</v>
      </c>
      <c r="R2380" s="46">
        <v>0</v>
      </c>
      <c r="S2380" s="46">
        <v>6</v>
      </c>
      <c r="T2380" s="46">
        <v>2400</v>
      </c>
      <c r="U2380" s="46">
        <v>6.6449999999999996</v>
      </c>
      <c r="V2380" s="46" t="s">
        <v>68</v>
      </c>
      <c r="W2380" s="46">
        <v>2400</v>
      </c>
      <c r="X2380" s="46">
        <v>6.6449999999999996</v>
      </c>
      <c r="AF2380" s="46">
        <v>42</v>
      </c>
      <c r="AG2380" s="46">
        <v>21100</v>
      </c>
      <c r="AH2380" s="46">
        <v>134758.66</v>
      </c>
      <c r="AI2380" s="46">
        <v>6.3869999999999996</v>
      </c>
      <c r="AJ2380" s="46">
        <v>40</v>
      </c>
      <c r="AK2380" s="46">
        <v>18100</v>
      </c>
      <c r="AL2380" s="46">
        <v>116960.851</v>
      </c>
      <c r="AM2380" s="46">
        <v>6.4619999999999997</v>
      </c>
      <c r="AN2380" s="46" t="s">
        <v>63</v>
      </c>
      <c r="AO2380" s="46">
        <v>3000</v>
      </c>
      <c r="AP2380" s="46">
        <v>17797.809000000001</v>
      </c>
      <c r="AQ2380" s="46">
        <v>5.9329999999999998</v>
      </c>
      <c r="AR2380" s="46">
        <v>1357.5</v>
      </c>
      <c r="AS2380" s="46">
        <v>42</v>
      </c>
      <c r="AT2380" s="46">
        <v>21100</v>
      </c>
      <c r="AU2380" s="46">
        <v>134758.66</v>
      </c>
      <c r="AV2380" s="46">
        <v>6.3869999999999996</v>
      </c>
      <c r="AW2380" s="46">
        <v>46</v>
      </c>
      <c r="AX2380" s="46">
        <v>20500</v>
      </c>
      <c r="AY2380" s="46">
        <v>132870.462</v>
      </c>
      <c r="AZ2380" s="46">
        <v>6.4809999999999999</v>
      </c>
      <c r="BA2380" s="46" t="s">
        <v>63</v>
      </c>
      <c r="BB2380" s="46">
        <v>600</v>
      </c>
      <c r="BC2380" s="46">
        <v>1888.1980000000001</v>
      </c>
      <c r="BD2380" s="46">
        <v>3.1469999999999998</v>
      </c>
      <c r="BE2380" s="46">
        <v>1927</v>
      </c>
      <c r="BF2380" s="46">
        <v>0</v>
      </c>
      <c r="BH2380" s="46">
        <v>15909.611000000001</v>
      </c>
      <c r="BI2380">
        <v>6.63</v>
      </c>
      <c r="BJ2380">
        <v>-15909.611000000001</v>
      </c>
      <c r="BK2380">
        <v>-6.63</v>
      </c>
      <c r="BL2380">
        <v>198.46</v>
      </c>
    </row>
    <row r="2381" spans="1:64" x14ac:dyDescent="0.25">
      <c r="A2381" s="136">
        <v>43159</v>
      </c>
      <c r="B2381" s="201" t="s">
        <v>79</v>
      </c>
      <c r="C2381" t="s">
        <v>143</v>
      </c>
      <c r="D2381">
        <v>5800</v>
      </c>
      <c r="E2381">
        <v>5800</v>
      </c>
      <c r="F2381">
        <v>16.396000000000001</v>
      </c>
      <c r="G2381">
        <v>-11750.71</v>
      </c>
      <c r="H2381">
        <v>-12.36</v>
      </c>
      <c r="I2381" s="309">
        <v>83346</v>
      </c>
      <c r="J2381">
        <v>14.37</v>
      </c>
      <c r="K2381" s="133">
        <v>0.175400169385559</v>
      </c>
      <c r="L2381" s="181">
        <v>-406</v>
      </c>
      <c r="M2381" s="133">
        <v>0.200129328846128</v>
      </c>
      <c r="N2381" s="73">
        <v>-11928.1520000001</v>
      </c>
      <c r="O2381" s="73">
        <v>-831.39385801953097</v>
      </c>
      <c r="P2381" s="182">
        <v>9</v>
      </c>
      <c r="Q2381" s="182">
        <v>5000</v>
      </c>
      <c r="R2381" s="46">
        <v>15.945</v>
      </c>
      <c r="S2381" s="46">
        <v>0</v>
      </c>
      <c r="T2381" s="46">
        <v>0</v>
      </c>
      <c r="U2381" s="46">
        <v>0</v>
      </c>
      <c r="V2381" s="46" t="s">
        <v>62</v>
      </c>
      <c r="W2381" s="46">
        <v>5000</v>
      </c>
      <c r="X2381" s="46">
        <v>15.945</v>
      </c>
      <c r="AF2381" s="46">
        <v>8</v>
      </c>
      <c r="AG2381" s="46">
        <v>4000</v>
      </c>
      <c r="AH2381" s="46">
        <v>65067.4</v>
      </c>
      <c r="AI2381" s="46">
        <v>16.266999999999999</v>
      </c>
      <c r="AJ2381" s="46">
        <v>8</v>
      </c>
      <c r="AK2381" s="46">
        <v>3200</v>
      </c>
      <c r="AL2381" s="46">
        <v>49740.248</v>
      </c>
      <c r="AM2381" s="46">
        <v>15.544</v>
      </c>
      <c r="AN2381" s="46" t="s">
        <v>63</v>
      </c>
      <c r="AO2381" s="46">
        <v>800</v>
      </c>
      <c r="AP2381" s="46">
        <v>15327.152</v>
      </c>
      <c r="AQ2381" s="46">
        <v>19.158999999999999</v>
      </c>
      <c r="AR2381" s="46">
        <v>-2313.6</v>
      </c>
      <c r="AS2381" s="46">
        <v>17</v>
      </c>
      <c r="AT2381" s="46">
        <v>9000</v>
      </c>
      <c r="AU2381" s="46">
        <v>144840.4</v>
      </c>
      <c r="AV2381" s="46">
        <v>16.093</v>
      </c>
      <c r="AW2381" s="46">
        <v>8</v>
      </c>
      <c r="AX2381" s="46">
        <v>3200</v>
      </c>
      <c r="AY2381" s="46">
        <v>49740.248</v>
      </c>
      <c r="AZ2381" s="46">
        <v>15.544</v>
      </c>
      <c r="BA2381" s="46" t="s">
        <v>63</v>
      </c>
      <c r="BB2381" s="46">
        <v>5800</v>
      </c>
      <c r="BC2381" s="46">
        <v>95100.152000000002</v>
      </c>
      <c r="BD2381" s="46">
        <v>16.396999999999998</v>
      </c>
      <c r="BE2381" s="46">
        <v>-1756.8</v>
      </c>
      <c r="BF2381" s="46">
        <v>79773</v>
      </c>
      <c r="BG2381" s="46">
        <v>15.95</v>
      </c>
      <c r="BH2381" s="46">
        <v>0</v>
      </c>
      <c r="BJ2381">
        <v>79773</v>
      </c>
      <c r="BK2381">
        <v>15.95</v>
      </c>
      <c r="BL2381">
        <v>-161</v>
      </c>
    </row>
    <row r="2382" spans="1:64" x14ac:dyDescent="0.25">
      <c r="A2382" s="136">
        <v>43159</v>
      </c>
      <c r="B2382" s="201" t="s">
        <v>65</v>
      </c>
      <c r="C2382" t="s">
        <v>127</v>
      </c>
      <c r="D2382">
        <v>9000</v>
      </c>
      <c r="E2382">
        <v>9000</v>
      </c>
      <c r="F2382">
        <v>9.0980000000000008</v>
      </c>
      <c r="G2382">
        <v>10820.13</v>
      </c>
      <c r="H2382">
        <v>13.21</v>
      </c>
      <c r="I2382" s="309">
        <v>92700</v>
      </c>
      <c r="J2382">
        <v>10.3</v>
      </c>
      <c r="K2382" s="133">
        <v>0.19508549542919101</v>
      </c>
      <c r="L2382" s="181">
        <v>180</v>
      </c>
      <c r="M2382" s="133">
        <v>0.17231472496901601</v>
      </c>
      <c r="N2382" s="73">
        <v>6627.7129999999697</v>
      </c>
      <c r="O2382" s="73">
        <v>1057.59571937438</v>
      </c>
      <c r="P2382" s="182">
        <v>0</v>
      </c>
      <c r="Q2382" s="182">
        <v>0</v>
      </c>
      <c r="R2382" s="46">
        <v>0</v>
      </c>
      <c r="S2382" s="46">
        <v>18</v>
      </c>
      <c r="T2382" s="46">
        <v>7600</v>
      </c>
      <c r="U2382" s="46">
        <v>11.936</v>
      </c>
      <c r="V2382" s="46" t="s">
        <v>68</v>
      </c>
      <c r="W2382" s="46">
        <v>7600</v>
      </c>
      <c r="X2382" s="46">
        <v>11.936</v>
      </c>
      <c r="AF2382" s="46">
        <v>165</v>
      </c>
      <c r="AG2382" s="46">
        <v>87800</v>
      </c>
      <c r="AH2382" s="46">
        <v>1020868.231</v>
      </c>
      <c r="AI2382" s="46">
        <v>11.627000000000001</v>
      </c>
      <c r="AJ2382" s="46">
        <v>185</v>
      </c>
      <c r="AK2382" s="46">
        <v>80400</v>
      </c>
      <c r="AL2382" s="46">
        <v>847622.65300000005</v>
      </c>
      <c r="AM2382" s="46">
        <v>10.542999999999999</v>
      </c>
      <c r="AN2382" s="46" t="s">
        <v>63</v>
      </c>
      <c r="AO2382" s="46">
        <v>7400</v>
      </c>
      <c r="AP2382" s="46">
        <v>173245.57800000001</v>
      </c>
      <c r="AQ2382" s="46">
        <v>23.411999999999999</v>
      </c>
      <c r="AR2382" s="46">
        <v>-87153.600000000006</v>
      </c>
      <c r="AS2382" s="46">
        <v>166</v>
      </c>
      <c r="AT2382" s="46">
        <v>87900</v>
      </c>
      <c r="AU2382" s="46">
        <v>1022156.231</v>
      </c>
      <c r="AV2382" s="46">
        <v>11.629</v>
      </c>
      <c r="AW2382" s="46">
        <v>203</v>
      </c>
      <c r="AX2382" s="46">
        <v>88000</v>
      </c>
      <c r="AY2382" s="46">
        <v>938152.94200000004</v>
      </c>
      <c r="AZ2382" s="46">
        <v>10.661</v>
      </c>
      <c r="BA2382" s="46" t="s">
        <v>69</v>
      </c>
      <c r="BB2382" s="46">
        <v>100</v>
      </c>
      <c r="BC2382" s="46">
        <v>84003.289000000004</v>
      </c>
      <c r="BD2382" s="46">
        <v>840.03300000000002</v>
      </c>
      <c r="BE2382" s="46">
        <v>-85087.2</v>
      </c>
      <c r="BF2382" s="46">
        <v>1288</v>
      </c>
      <c r="BH2382" s="46">
        <v>90530.289000000004</v>
      </c>
      <c r="BI2382">
        <v>11.91</v>
      </c>
      <c r="BJ2382">
        <v>-89242.289000000004</v>
      </c>
      <c r="BK2382">
        <v>-11.74</v>
      </c>
      <c r="BL2382">
        <v>-8461.51</v>
      </c>
    </row>
    <row r="2383" spans="1:64" x14ac:dyDescent="0.25">
      <c r="A2383" s="136">
        <v>43159</v>
      </c>
      <c r="B2383" s="201" t="s">
        <v>77</v>
      </c>
      <c r="C2383" t="s">
        <v>128</v>
      </c>
      <c r="D2383">
        <v>4300</v>
      </c>
      <c r="E2383">
        <v>4300</v>
      </c>
      <c r="F2383">
        <v>5.9779999999999998</v>
      </c>
      <c r="G2383">
        <v>-595.27</v>
      </c>
      <c r="H2383">
        <v>-2.31</v>
      </c>
      <c r="I2383" s="309">
        <v>25112</v>
      </c>
      <c r="J2383">
        <v>5.84</v>
      </c>
      <c r="K2383" s="133">
        <v>5.2847755784442799E-2</v>
      </c>
      <c r="L2383" s="181">
        <v>0</v>
      </c>
      <c r="M2383" s="133">
        <v>5.4100490874670802E-2</v>
      </c>
      <c r="N2383" s="73">
        <v>-1272.2139999999999</v>
      </c>
      <c r="O2383" s="73">
        <v>-133.073774655173</v>
      </c>
      <c r="P2383" s="182">
        <v>6</v>
      </c>
      <c r="Q2383" s="182">
        <v>3000</v>
      </c>
      <c r="R2383" s="46">
        <v>6.798</v>
      </c>
      <c r="S2383" s="46">
        <v>0</v>
      </c>
      <c r="T2383" s="46">
        <v>0</v>
      </c>
      <c r="U2383" s="46">
        <v>0</v>
      </c>
      <c r="V2383" s="46" t="s">
        <v>62</v>
      </c>
      <c r="W2383" s="46">
        <v>3000</v>
      </c>
      <c r="X2383" s="46">
        <v>6.798</v>
      </c>
      <c r="AF2383" s="46">
        <v>39</v>
      </c>
      <c r="AG2383" s="46">
        <v>19500</v>
      </c>
      <c r="AH2383" s="46">
        <v>142169</v>
      </c>
      <c r="AI2383" s="46">
        <v>7.2910000000000004</v>
      </c>
      <c r="AJ2383" s="46">
        <v>39</v>
      </c>
      <c r="AK2383" s="46">
        <v>18200</v>
      </c>
      <c r="AL2383" s="46">
        <v>136881.78599999999</v>
      </c>
      <c r="AM2383" s="46">
        <v>7.5209999999999999</v>
      </c>
      <c r="AN2383" s="46" t="s">
        <v>63</v>
      </c>
      <c r="AO2383" s="46">
        <v>1300</v>
      </c>
      <c r="AP2383" s="46">
        <v>5287.2139999999999</v>
      </c>
      <c r="AQ2383" s="46">
        <v>4.0670000000000002</v>
      </c>
      <c r="AR2383" s="46">
        <v>4186</v>
      </c>
      <c r="AS2383" s="46">
        <v>45</v>
      </c>
      <c r="AT2383" s="46">
        <v>22500</v>
      </c>
      <c r="AU2383" s="46">
        <v>162594</v>
      </c>
      <c r="AV2383" s="46">
        <v>7.226</v>
      </c>
      <c r="AW2383" s="46">
        <v>39</v>
      </c>
      <c r="AX2383" s="46">
        <v>18200</v>
      </c>
      <c r="AY2383" s="46">
        <v>136881.78599999999</v>
      </c>
      <c r="AZ2383" s="46">
        <v>7.5209999999999999</v>
      </c>
      <c r="BA2383" s="46" t="s">
        <v>63</v>
      </c>
      <c r="BB2383" s="46">
        <v>4300</v>
      </c>
      <c r="BC2383" s="46">
        <v>25712.214</v>
      </c>
      <c r="BD2383" s="46">
        <v>5.98</v>
      </c>
      <c r="BE2383" s="46">
        <v>5369</v>
      </c>
      <c r="BF2383" s="46">
        <v>20425</v>
      </c>
      <c r="BG2383" s="46">
        <v>6.81</v>
      </c>
      <c r="BH2383" s="46">
        <v>0</v>
      </c>
      <c r="BJ2383">
        <v>20425</v>
      </c>
      <c r="BK2383">
        <v>6.81</v>
      </c>
      <c r="BL2383">
        <v>716.78</v>
      </c>
    </row>
    <row r="2384" spans="1:64" x14ac:dyDescent="0.25">
      <c r="A2384" s="136">
        <v>43159</v>
      </c>
      <c r="B2384" s="201" t="s">
        <v>67</v>
      </c>
      <c r="C2384" t="s">
        <v>129</v>
      </c>
      <c r="D2384">
        <v>100</v>
      </c>
      <c r="E2384">
        <v>100</v>
      </c>
      <c r="F2384">
        <v>-16.027999999999999</v>
      </c>
      <c r="G2384">
        <v>2565.8000000000002</v>
      </c>
      <c r="H2384">
        <v>0</v>
      </c>
      <c r="I2384" s="309">
        <v>963</v>
      </c>
      <c r="J2384">
        <v>9.6300000000000008</v>
      </c>
      <c r="K2384" s="133">
        <v>2.02661631174014E-3</v>
      </c>
      <c r="L2384" s="181">
        <v>-12</v>
      </c>
      <c r="M2384" s="133">
        <v>0</v>
      </c>
      <c r="N2384" s="73">
        <v>2581.5064999997599</v>
      </c>
      <c r="O2384" s="73">
        <v>263.01893442913098</v>
      </c>
      <c r="P2384" s="182">
        <v>0</v>
      </c>
      <c r="Q2384" s="182">
        <v>0</v>
      </c>
      <c r="R2384" s="46">
        <v>0</v>
      </c>
      <c r="S2384" s="46">
        <v>21</v>
      </c>
      <c r="T2384" s="46">
        <v>8050</v>
      </c>
      <c r="U2384" s="46">
        <v>8.8960000000000008</v>
      </c>
      <c r="V2384" s="46" t="s">
        <v>68</v>
      </c>
      <c r="W2384" s="46">
        <v>8050</v>
      </c>
      <c r="X2384" s="46">
        <v>8.8960000000000008</v>
      </c>
      <c r="AF2384" s="46">
        <v>174</v>
      </c>
      <c r="AG2384" s="46">
        <v>86400</v>
      </c>
      <c r="AH2384" s="46">
        <v>716375</v>
      </c>
      <c r="AI2384" s="46">
        <v>8.2910000000000004</v>
      </c>
      <c r="AJ2384" s="46">
        <v>176</v>
      </c>
      <c r="AK2384" s="46">
        <v>80850</v>
      </c>
      <c r="AL2384" s="46">
        <v>715665.73699999996</v>
      </c>
      <c r="AM2384" s="46">
        <v>8.8520000000000003</v>
      </c>
      <c r="AN2384" s="46" t="s">
        <v>63</v>
      </c>
      <c r="AO2384" s="46">
        <v>5550</v>
      </c>
      <c r="AP2384" s="46">
        <v>709.26300000000003</v>
      </c>
      <c r="AQ2384" s="46">
        <v>0.128</v>
      </c>
      <c r="AR2384" s="46">
        <v>45356.85</v>
      </c>
      <c r="AS2384" s="46">
        <v>174</v>
      </c>
      <c r="AT2384" s="46">
        <v>86400</v>
      </c>
      <c r="AU2384" s="46">
        <v>716375</v>
      </c>
      <c r="AV2384" s="46">
        <v>8.2910000000000004</v>
      </c>
      <c r="AW2384" s="46">
        <v>197</v>
      </c>
      <c r="AX2384" s="46">
        <v>88900</v>
      </c>
      <c r="AY2384" s="46">
        <v>787103.62250000006</v>
      </c>
      <c r="AZ2384" s="46">
        <v>8.8539999999999992</v>
      </c>
      <c r="BA2384" s="46" t="s">
        <v>69</v>
      </c>
      <c r="BB2384" s="46">
        <v>2500</v>
      </c>
      <c r="BC2384" s="46">
        <v>70728.623000000007</v>
      </c>
      <c r="BD2384" s="46">
        <v>28.291</v>
      </c>
      <c r="BE2384" s="46">
        <v>48643.199999999997</v>
      </c>
      <c r="BF2384" s="46">
        <v>0</v>
      </c>
      <c r="BH2384" s="46">
        <v>71437.885500000106</v>
      </c>
      <c r="BI2384">
        <v>8.8699999999999992</v>
      </c>
      <c r="BJ2384">
        <v>70019.360000000001</v>
      </c>
      <c r="BK2384">
        <v>8.6999999999999993</v>
      </c>
      <c r="BL2384">
        <v>4709.95</v>
      </c>
    </row>
    <row r="2385" spans="1:64" x14ac:dyDescent="0.25">
      <c r="A2385" s="136">
        <v>43159</v>
      </c>
      <c r="B2385" s="201" t="s">
        <v>78</v>
      </c>
      <c r="C2385" t="s">
        <v>142</v>
      </c>
      <c r="D2385">
        <v>2300</v>
      </c>
      <c r="E2385">
        <v>2300</v>
      </c>
      <c r="F2385">
        <v>9.157</v>
      </c>
      <c r="G2385">
        <v>-981.05</v>
      </c>
      <c r="H2385">
        <v>-4.66</v>
      </c>
      <c r="I2385" s="309">
        <v>20079</v>
      </c>
      <c r="J2385">
        <v>8.73</v>
      </c>
      <c r="K2385" s="133">
        <v>4.2255897116749999E-2</v>
      </c>
      <c r="L2385" s="181">
        <v>-23</v>
      </c>
      <c r="M2385" s="133">
        <v>4.4320499331321803E-2</v>
      </c>
      <c r="N2385" s="73">
        <v>-1004.052</v>
      </c>
      <c r="O2385" s="73">
        <v>-115.086006192661</v>
      </c>
      <c r="P2385" s="182">
        <v>3</v>
      </c>
      <c r="Q2385" s="182">
        <v>1500</v>
      </c>
      <c r="R2385" s="46">
        <v>8.7430000000000003</v>
      </c>
      <c r="S2385" s="46">
        <v>1</v>
      </c>
      <c r="T2385" s="46">
        <v>400</v>
      </c>
      <c r="U2385" s="46">
        <v>8.7200000000000006</v>
      </c>
      <c r="V2385" s="46" t="s">
        <v>62</v>
      </c>
      <c r="W2385" s="46">
        <v>1100</v>
      </c>
      <c r="X2385" s="46">
        <v>8.7509999999999994</v>
      </c>
      <c r="AF2385" s="46">
        <v>9</v>
      </c>
      <c r="AG2385" s="46">
        <v>4500</v>
      </c>
      <c r="AH2385" s="46">
        <v>44895</v>
      </c>
      <c r="AI2385" s="46">
        <v>9.9770000000000003</v>
      </c>
      <c r="AJ2385" s="46">
        <v>9</v>
      </c>
      <c r="AK2385" s="46">
        <v>3300</v>
      </c>
      <c r="AL2385" s="46">
        <v>33485.436000000002</v>
      </c>
      <c r="AM2385" s="46">
        <v>10.147</v>
      </c>
      <c r="AN2385" s="46" t="s">
        <v>63</v>
      </c>
      <c r="AO2385" s="46">
        <v>1200</v>
      </c>
      <c r="AP2385" s="46">
        <v>11409.564</v>
      </c>
      <c r="AQ2385" s="46">
        <v>9.5079999999999991</v>
      </c>
      <c r="AR2385" s="46">
        <v>561</v>
      </c>
      <c r="AS2385" s="46">
        <v>12</v>
      </c>
      <c r="AT2385" s="46">
        <v>6000</v>
      </c>
      <c r="AU2385" s="46">
        <v>58025</v>
      </c>
      <c r="AV2385" s="46">
        <v>9.6709999999999994</v>
      </c>
      <c r="AW2385" s="46">
        <v>10</v>
      </c>
      <c r="AX2385" s="46">
        <v>3700</v>
      </c>
      <c r="AY2385" s="46">
        <v>36964.947999999997</v>
      </c>
      <c r="AZ2385" s="46">
        <v>9.9909999999999997</v>
      </c>
      <c r="BA2385" s="46" t="s">
        <v>63</v>
      </c>
      <c r="BB2385" s="46">
        <v>2300</v>
      </c>
      <c r="BC2385" s="46">
        <v>21060.052</v>
      </c>
      <c r="BD2385" s="46">
        <v>9.157</v>
      </c>
      <c r="BE2385" s="46">
        <v>1184</v>
      </c>
      <c r="BF2385" s="46">
        <v>13130</v>
      </c>
      <c r="BG2385" s="46">
        <v>8.75</v>
      </c>
      <c r="BH2385" s="46">
        <v>3479.5120000000002</v>
      </c>
      <c r="BI2385">
        <v>8.6999999999999993</v>
      </c>
      <c r="BJ2385">
        <v>9650.4879999999994</v>
      </c>
      <c r="BK2385">
        <v>8.77</v>
      </c>
      <c r="BL2385">
        <v>64.260000000000005</v>
      </c>
    </row>
    <row r="2386" spans="1:64" x14ac:dyDescent="0.25">
      <c r="A2386" s="136">
        <v>43159</v>
      </c>
      <c r="B2386" s="201" t="s">
        <v>72</v>
      </c>
      <c r="C2386" t="s">
        <v>130</v>
      </c>
      <c r="D2386">
        <v>3300</v>
      </c>
      <c r="E2386">
        <v>3300</v>
      </c>
      <c r="F2386">
        <v>6.8769999999999998</v>
      </c>
      <c r="G2386">
        <v>-1869.91</v>
      </c>
      <c r="H2386">
        <v>-8.24</v>
      </c>
      <c r="I2386" s="309">
        <v>20823</v>
      </c>
      <c r="J2386">
        <v>6.31</v>
      </c>
      <c r="K2386" s="133">
        <v>4.3821631837346803E-2</v>
      </c>
      <c r="L2386" s="181">
        <v>218.47</v>
      </c>
      <c r="M2386" s="133">
        <v>4.77568240569584E-2</v>
      </c>
      <c r="N2386" s="73">
        <v>-2058.61599999999</v>
      </c>
      <c r="O2386" s="73">
        <v>-290.50435870252898</v>
      </c>
      <c r="P2386" s="182">
        <v>0</v>
      </c>
      <c r="Q2386" s="182">
        <v>0</v>
      </c>
      <c r="R2386" s="46">
        <v>0</v>
      </c>
      <c r="S2386" s="46">
        <v>11</v>
      </c>
      <c r="T2386" s="46">
        <v>4400</v>
      </c>
      <c r="U2386" s="46">
        <v>7.5519999999999996</v>
      </c>
      <c r="V2386" s="46" t="s">
        <v>68</v>
      </c>
      <c r="W2386" s="46">
        <v>4400</v>
      </c>
      <c r="X2386" s="46">
        <v>7.5519999999999996</v>
      </c>
      <c r="AF2386" s="46">
        <v>32</v>
      </c>
      <c r="AG2386" s="46">
        <v>15900</v>
      </c>
      <c r="AH2386" s="46">
        <v>121142</v>
      </c>
      <c r="AI2386" s="46">
        <v>7.6189999999999998</v>
      </c>
      <c r="AJ2386" s="46">
        <v>32</v>
      </c>
      <c r="AK2386" s="46">
        <v>14800</v>
      </c>
      <c r="AL2386" s="46">
        <v>66041.797000000006</v>
      </c>
      <c r="AM2386" s="46">
        <v>4.4619999999999997</v>
      </c>
      <c r="AN2386" s="46" t="s">
        <v>63</v>
      </c>
      <c r="AO2386" s="46">
        <v>1100</v>
      </c>
      <c r="AP2386" s="46">
        <v>55100.203000000001</v>
      </c>
      <c r="AQ2386" s="46">
        <v>50.091000000000001</v>
      </c>
      <c r="AR2386" s="46">
        <v>-46723.6</v>
      </c>
      <c r="AS2386" s="46">
        <v>32</v>
      </c>
      <c r="AT2386" s="46">
        <v>15900</v>
      </c>
      <c r="AU2386" s="46">
        <v>121142</v>
      </c>
      <c r="AV2386" s="46">
        <v>7.6189999999999998</v>
      </c>
      <c r="AW2386" s="46">
        <v>44</v>
      </c>
      <c r="AX2386" s="46">
        <v>19700</v>
      </c>
      <c r="AY2386" s="46">
        <v>99181.569000000003</v>
      </c>
      <c r="AZ2386" s="46">
        <v>5.0350000000000001</v>
      </c>
      <c r="BA2386" s="46" t="s">
        <v>69</v>
      </c>
      <c r="BB2386" s="46">
        <v>3800</v>
      </c>
      <c r="BC2386" s="46">
        <v>21960.431</v>
      </c>
      <c r="BD2386" s="46">
        <v>5.7789999999999999</v>
      </c>
      <c r="BE2386" s="46">
        <v>-41085.599999999999</v>
      </c>
      <c r="BF2386" s="46">
        <v>0</v>
      </c>
      <c r="BH2386" s="46">
        <v>33139.771999999997</v>
      </c>
      <c r="BI2386">
        <v>7.53</v>
      </c>
      <c r="BJ2386">
        <v>-33139.771999999997</v>
      </c>
      <c r="BK2386">
        <v>-7.53</v>
      </c>
      <c r="BL2386">
        <v>-7404.69</v>
      </c>
    </row>
    <row r="2387" spans="1:64" x14ac:dyDescent="0.25">
      <c r="A2387" s="136">
        <v>43159</v>
      </c>
      <c r="B2387" s="201" t="s">
        <v>70</v>
      </c>
      <c r="C2387" t="s">
        <v>131</v>
      </c>
      <c r="D2387">
        <v>13900</v>
      </c>
      <c r="E2387">
        <v>13900</v>
      </c>
      <c r="F2387">
        <v>11.211</v>
      </c>
      <c r="G2387">
        <v>-38235.39</v>
      </c>
      <c r="H2387">
        <v>-24.54</v>
      </c>
      <c r="I2387" s="309">
        <v>117594</v>
      </c>
      <c r="J2387">
        <v>8.4600000000000009</v>
      </c>
      <c r="K2387" s="133">
        <v>0.24747447410464199</v>
      </c>
      <c r="L2387" s="181">
        <v>-1390</v>
      </c>
      <c r="M2387" s="133">
        <v>0.32794016990915498</v>
      </c>
      <c r="N2387" s="73">
        <v>-33369.39</v>
      </c>
      <c r="O2387" s="73">
        <v>-3785.7781276958099</v>
      </c>
      <c r="P2387" s="182">
        <v>5</v>
      </c>
      <c r="Q2387" s="182">
        <v>3500</v>
      </c>
      <c r="R2387" s="46">
        <v>8.2110000000000003</v>
      </c>
      <c r="S2387" s="46">
        <v>4</v>
      </c>
      <c r="T2387" s="46">
        <v>1600</v>
      </c>
      <c r="U2387" s="46">
        <v>8.5850000000000009</v>
      </c>
      <c r="V2387" s="46" t="s">
        <v>62</v>
      </c>
      <c r="W2387" s="46">
        <v>1900</v>
      </c>
      <c r="X2387" s="46">
        <v>7.8959999999999999</v>
      </c>
      <c r="AF2387" s="46">
        <v>128</v>
      </c>
      <c r="AG2387" s="46">
        <v>64600</v>
      </c>
      <c r="AH2387" s="46">
        <v>861448</v>
      </c>
      <c r="AI2387" s="46">
        <v>13.335000000000001</v>
      </c>
      <c r="AJ2387" s="46">
        <v>131</v>
      </c>
      <c r="AK2387" s="46">
        <v>52600</v>
      </c>
      <c r="AL2387" s="46">
        <v>720277.34600000002</v>
      </c>
      <c r="AM2387" s="46">
        <v>13.693</v>
      </c>
      <c r="AN2387" s="46" t="s">
        <v>63</v>
      </c>
      <c r="AO2387" s="46">
        <v>12000</v>
      </c>
      <c r="AP2387" s="46">
        <v>141170.65400000001</v>
      </c>
      <c r="AQ2387" s="46">
        <v>11.763999999999999</v>
      </c>
      <c r="AR2387" s="46">
        <v>18830.8</v>
      </c>
      <c r="AS2387" s="46">
        <v>133</v>
      </c>
      <c r="AT2387" s="46">
        <v>68100</v>
      </c>
      <c r="AU2387" s="46">
        <v>890213</v>
      </c>
      <c r="AV2387" s="46">
        <v>13.071999999999999</v>
      </c>
      <c r="AW2387" s="46">
        <v>136</v>
      </c>
      <c r="AX2387" s="46">
        <v>54200</v>
      </c>
      <c r="AY2387" s="46">
        <v>734384.61</v>
      </c>
      <c r="AZ2387" s="46">
        <v>13.55</v>
      </c>
      <c r="BA2387" s="46" t="s">
        <v>63</v>
      </c>
      <c r="BB2387" s="46">
        <v>13900</v>
      </c>
      <c r="BC2387" s="46">
        <v>155828.39000000001</v>
      </c>
      <c r="BD2387" s="46">
        <v>11.211</v>
      </c>
      <c r="BE2387" s="46">
        <v>25907.599999999999</v>
      </c>
      <c r="BF2387" s="46">
        <v>28765</v>
      </c>
      <c r="BG2387" s="46">
        <v>8.2200000000000006</v>
      </c>
      <c r="BH2387" s="46">
        <v>14107.264000000099</v>
      </c>
      <c r="BI2387">
        <v>8.82</v>
      </c>
      <c r="BJ2387">
        <v>14657.736000000001</v>
      </c>
      <c r="BK2387">
        <v>7.71</v>
      </c>
      <c r="BL2387">
        <v>2225.86</v>
      </c>
    </row>
    <row r="2388" spans="1:64" x14ac:dyDescent="0.25">
      <c r="A2388" s="136">
        <v>43159</v>
      </c>
      <c r="B2388" s="201" t="s">
        <v>137</v>
      </c>
      <c r="C2388" t="s">
        <v>138</v>
      </c>
      <c r="D2388">
        <v>100</v>
      </c>
      <c r="E2388">
        <v>100</v>
      </c>
      <c r="F2388">
        <v>-130.48500000000001</v>
      </c>
      <c r="G2388">
        <v>16111.5</v>
      </c>
      <c r="H2388">
        <v>0</v>
      </c>
      <c r="I2388" s="309">
        <v>3063</v>
      </c>
      <c r="J2388">
        <v>30.63</v>
      </c>
      <c r="K2388" s="133">
        <v>6.4460288295535304E-3</v>
      </c>
      <c r="L2388" s="181">
        <v>-65</v>
      </c>
      <c r="M2388" s="133">
        <v>0</v>
      </c>
    </row>
    <row r="2389" spans="1:64" x14ac:dyDescent="0.25">
      <c r="A2389" s="136">
        <v>43159</v>
      </c>
      <c r="B2389" s="201" t="s">
        <v>835</v>
      </c>
      <c r="C2389" t="s">
        <v>839</v>
      </c>
      <c r="I2389" s="309">
        <v>15709.23</v>
      </c>
      <c r="K2389" s="133">
        <v>3.3059794146290303E-2</v>
      </c>
      <c r="L2389" s="181">
        <v>0</v>
      </c>
      <c r="M2389" s="133">
        <v>0.195256547738452</v>
      </c>
    </row>
    <row r="2390" spans="1:64" x14ac:dyDescent="0.25">
      <c r="A2390" s="136">
        <v>43160</v>
      </c>
      <c r="B2390" s="201" t="s">
        <v>132</v>
      </c>
      <c r="C2390" t="s">
        <v>123</v>
      </c>
      <c r="D2390">
        <v>7707946</v>
      </c>
      <c r="E2390">
        <v>7707946</v>
      </c>
      <c r="F2390">
        <v>0.01</v>
      </c>
      <c r="G2390">
        <v>3125.02</v>
      </c>
      <c r="H2390">
        <v>0</v>
      </c>
      <c r="I2390" s="309">
        <v>77079.460000000006</v>
      </c>
      <c r="J2390">
        <v>0.01</v>
      </c>
      <c r="K2390" s="133">
        <v>0.16030911841034801</v>
      </c>
      <c r="L2390" s="181">
        <v>7.40999999999985</v>
      </c>
      <c r="M2390" s="133">
        <v>0</v>
      </c>
    </row>
    <row r="2391" spans="1:64" x14ac:dyDescent="0.25">
      <c r="A2391" s="136">
        <v>43160</v>
      </c>
      <c r="B2391" s="201" t="s">
        <v>61</v>
      </c>
      <c r="C2391" t="s">
        <v>136</v>
      </c>
      <c r="D2391">
        <v>2800</v>
      </c>
      <c r="E2391">
        <v>2800</v>
      </c>
      <c r="F2391">
        <v>5.2069999999999999</v>
      </c>
      <c r="G2391">
        <v>-608.89</v>
      </c>
      <c r="H2391">
        <v>-4.17</v>
      </c>
      <c r="I2391" s="309">
        <v>13972</v>
      </c>
      <c r="J2391">
        <v>4.99</v>
      </c>
      <c r="K2391" s="133">
        <v>2.90588310093166E-2</v>
      </c>
      <c r="L2391" s="181">
        <v>28</v>
      </c>
      <c r="M2391" s="133">
        <v>3.0325194565948701E-2</v>
      </c>
      <c r="N2391" s="73">
        <v>-809.98500000000104</v>
      </c>
      <c r="O2391" s="73">
        <v>-164.54878201219501</v>
      </c>
      <c r="P2391" s="182">
        <v>4</v>
      </c>
      <c r="Q2391" s="182">
        <v>2000</v>
      </c>
      <c r="R2391" s="46">
        <v>5.2249999999999996</v>
      </c>
      <c r="S2391" s="46">
        <v>0</v>
      </c>
      <c r="T2391" s="46">
        <v>0</v>
      </c>
      <c r="U2391" s="46">
        <v>0</v>
      </c>
      <c r="V2391" s="46" t="s">
        <v>62</v>
      </c>
      <c r="W2391" s="46">
        <v>2000</v>
      </c>
      <c r="X2391" s="46">
        <v>5.2249999999999996</v>
      </c>
      <c r="AF2391" s="46">
        <v>9</v>
      </c>
      <c r="AG2391" s="46">
        <v>4500</v>
      </c>
      <c r="AH2391" s="46">
        <v>23912.7</v>
      </c>
      <c r="AI2391" s="46">
        <v>5.3140000000000001</v>
      </c>
      <c r="AJ2391" s="46">
        <v>9</v>
      </c>
      <c r="AK2391" s="46">
        <v>3700</v>
      </c>
      <c r="AL2391" s="46">
        <v>19797.915000000001</v>
      </c>
      <c r="AM2391" s="46">
        <v>5.351</v>
      </c>
      <c r="AN2391" s="46" t="s">
        <v>63</v>
      </c>
      <c r="AO2391" s="46">
        <v>800</v>
      </c>
      <c r="AP2391" s="46">
        <v>4114.7849999999999</v>
      </c>
      <c r="AQ2391" s="46">
        <v>5.1429999999999998</v>
      </c>
      <c r="AR2391" s="46">
        <v>136.9</v>
      </c>
      <c r="AS2391" s="46">
        <v>13</v>
      </c>
      <c r="AT2391" s="46">
        <v>6500</v>
      </c>
      <c r="AU2391" s="46">
        <v>34383.9</v>
      </c>
      <c r="AV2391" s="46">
        <v>5.29</v>
      </c>
      <c r="AW2391" s="46">
        <v>9</v>
      </c>
      <c r="AX2391" s="46">
        <v>3700</v>
      </c>
      <c r="AY2391" s="46">
        <v>19797.915000000001</v>
      </c>
      <c r="AZ2391" s="46">
        <v>5.351</v>
      </c>
      <c r="BA2391" s="46" t="s">
        <v>63</v>
      </c>
      <c r="BB2391" s="46">
        <v>2800</v>
      </c>
      <c r="BC2391" s="46">
        <v>14585.985000000001</v>
      </c>
      <c r="BD2391" s="46">
        <v>5.2089999999999996</v>
      </c>
      <c r="BE2391" s="46">
        <v>225.7</v>
      </c>
      <c r="BF2391" s="46">
        <v>10471.200000000001</v>
      </c>
      <c r="BG2391" s="46">
        <v>5.24</v>
      </c>
      <c r="BH2391" s="46">
        <v>0</v>
      </c>
      <c r="BJ2391">
        <v>10471.200000000001</v>
      </c>
      <c r="BK2391">
        <v>5.24</v>
      </c>
      <c r="BL2391">
        <v>27.43</v>
      </c>
    </row>
    <row r="2392" spans="1:64" x14ac:dyDescent="0.25">
      <c r="A2392" s="136">
        <v>43160</v>
      </c>
      <c r="B2392" s="201" t="s">
        <v>124</v>
      </c>
      <c r="C2392" t="s">
        <v>125</v>
      </c>
      <c r="D2392">
        <v>100</v>
      </c>
      <c r="E2392">
        <v>100</v>
      </c>
      <c r="F2392">
        <v>-53.579000000000001</v>
      </c>
      <c r="G2392">
        <v>6026.9</v>
      </c>
      <c r="H2392">
        <v>0</v>
      </c>
      <c r="I2392" s="309">
        <v>669</v>
      </c>
      <c r="J2392">
        <v>6.69</v>
      </c>
      <c r="K2392" s="133">
        <v>1.3913797555992599E-3</v>
      </c>
      <c r="L2392" s="181">
        <v>2</v>
      </c>
      <c r="M2392" s="133">
        <v>0</v>
      </c>
    </row>
    <row r="2393" spans="1:64" x14ac:dyDescent="0.25">
      <c r="A2393" s="136">
        <v>43160</v>
      </c>
      <c r="B2393" s="201" t="s">
        <v>71</v>
      </c>
      <c r="C2393" t="s">
        <v>126</v>
      </c>
      <c r="D2393">
        <v>600</v>
      </c>
      <c r="E2393">
        <v>600</v>
      </c>
      <c r="F2393">
        <v>2.8769999999999998</v>
      </c>
      <c r="G2393">
        <v>2365.5700000000002</v>
      </c>
      <c r="H2393">
        <v>137.05000000000001</v>
      </c>
      <c r="I2393" s="309">
        <v>4092</v>
      </c>
      <c r="J2393">
        <v>6.82</v>
      </c>
      <c r="K2393" s="133">
        <v>8.5105021822304405E-3</v>
      </c>
      <c r="L2393" s="181">
        <v>-12</v>
      </c>
      <c r="M2393" s="133">
        <v>3.5906124834965999E-3</v>
      </c>
      <c r="N2393" s="73">
        <v>-1731.998</v>
      </c>
      <c r="O2393" s="73">
        <v>348.07689489795899</v>
      </c>
      <c r="P2393" s="182">
        <v>0</v>
      </c>
      <c r="Q2393" s="182">
        <v>0</v>
      </c>
      <c r="R2393" s="46">
        <v>0</v>
      </c>
      <c r="S2393" s="46">
        <v>6</v>
      </c>
      <c r="T2393" s="46">
        <v>2400</v>
      </c>
      <c r="U2393" s="46">
        <v>6.6449999999999996</v>
      </c>
      <c r="V2393" s="46" t="s">
        <v>68</v>
      </c>
      <c r="W2393" s="46">
        <v>2400</v>
      </c>
      <c r="X2393" s="46">
        <v>6.6449999999999996</v>
      </c>
      <c r="AF2393" s="46">
        <v>42</v>
      </c>
      <c r="AG2393" s="46">
        <v>21100</v>
      </c>
      <c r="AH2393" s="46">
        <v>134758.66</v>
      </c>
      <c r="AI2393" s="46">
        <v>6.3869999999999996</v>
      </c>
      <c r="AJ2393" s="46">
        <v>40</v>
      </c>
      <c r="AK2393" s="46">
        <v>18100</v>
      </c>
      <c r="AL2393" s="46">
        <v>116960.851</v>
      </c>
      <c r="AM2393" s="46">
        <v>6.4619999999999997</v>
      </c>
      <c r="AN2393" s="46" t="s">
        <v>63</v>
      </c>
      <c r="AO2393" s="46">
        <v>3000</v>
      </c>
      <c r="AP2393" s="46">
        <v>17797.809000000001</v>
      </c>
      <c r="AQ2393" s="46">
        <v>5.9329999999999998</v>
      </c>
      <c r="AR2393" s="46">
        <v>1357.5</v>
      </c>
      <c r="AS2393" s="46">
        <v>42</v>
      </c>
      <c r="AT2393" s="46">
        <v>21100</v>
      </c>
      <c r="AU2393" s="46">
        <v>134758.66</v>
      </c>
      <c r="AV2393" s="46">
        <v>6.3869999999999996</v>
      </c>
      <c r="AW2393" s="46">
        <v>46</v>
      </c>
      <c r="AX2393" s="46">
        <v>20500</v>
      </c>
      <c r="AY2393" s="46">
        <v>132870.462</v>
      </c>
      <c r="AZ2393" s="46">
        <v>6.4809999999999999</v>
      </c>
      <c r="BA2393" s="46" t="s">
        <v>63</v>
      </c>
      <c r="BB2393" s="46">
        <v>600</v>
      </c>
      <c r="BC2393" s="46">
        <v>1888.1980000000001</v>
      </c>
      <c r="BD2393" s="46">
        <v>3.1469999999999998</v>
      </c>
      <c r="BE2393" s="46">
        <v>1927</v>
      </c>
      <c r="BF2393" s="46">
        <v>0</v>
      </c>
      <c r="BH2393" s="46">
        <v>15909.611000000001</v>
      </c>
      <c r="BI2393">
        <v>6.63</v>
      </c>
      <c r="BJ2393">
        <v>-15909.611000000001</v>
      </c>
      <c r="BK2393">
        <v>-6.63</v>
      </c>
      <c r="BL2393">
        <v>199.05</v>
      </c>
    </row>
    <row r="2394" spans="1:64" x14ac:dyDescent="0.25">
      <c r="A2394" s="136">
        <v>43160</v>
      </c>
      <c r="B2394" s="201" t="s">
        <v>79</v>
      </c>
      <c r="C2394" t="s">
        <v>143</v>
      </c>
      <c r="D2394">
        <v>5800</v>
      </c>
      <c r="E2394">
        <v>5800</v>
      </c>
      <c r="F2394">
        <v>16.396000000000001</v>
      </c>
      <c r="G2394">
        <v>-10938.71</v>
      </c>
      <c r="H2394">
        <v>-11.5</v>
      </c>
      <c r="I2394" s="309">
        <v>84158</v>
      </c>
      <c r="J2394">
        <v>14.51</v>
      </c>
      <c r="K2394" s="133">
        <v>0.17503099771557901</v>
      </c>
      <c r="L2394" s="181">
        <v>812</v>
      </c>
      <c r="M2394" s="133">
        <v>0.197781221402233</v>
      </c>
      <c r="N2394" s="73">
        <v>-11928.1520000001</v>
      </c>
      <c r="O2394" s="73">
        <v>-831.39385801953097</v>
      </c>
      <c r="P2394" s="182">
        <v>9</v>
      </c>
      <c r="Q2394" s="182">
        <v>5000</v>
      </c>
      <c r="R2394" s="46">
        <v>15.945</v>
      </c>
      <c r="S2394" s="46">
        <v>0</v>
      </c>
      <c r="T2394" s="46">
        <v>0</v>
      </c>
      <c r="U2394" s="46">
        <v>0</v>
      </c>
      <c r="V2394" s="46" t="s">
        <v>62</v>
      </c>
      <c r="W2394" s="46">
        <v>5000</v>
      </c>
      <c r="X2394" s="46">
        <v>15.945</v>
      </c>
      <c r="AF2394" s="46">
        <v>8</v>
      </c>
      <c r="AG2394" s="46">
        <v>4000</v>
      </c>
      <c r="AH2394" s="46">
        <v>65067.4</v>
      </c>
      <c r="AI2394" s="46">
        <v>16.266999999999999</v>
      </c>
      <c r="AJ2394" s="46">
        <v>8</v>
      </c>
      <c r="AK2394" s="46">
        <v>3200</v>
      </c>
      <c r="AL2394" s="46">
        <v>49740.248</v>
      </c>
      <c r="AM2394" s="46">
        <v>15.544</v>
      </c>
      <c r="AN2394" s="46" t="s">
        <v>63</v>
      </c>
      <c r="AO2394" s="46">
        <v>800</v>
      </c>
      <c r="AP2394" s="46">
        <v>15327.152</v>
      </c>
      <c r="AQ2394" s="46">
        <v>19.158999999999999</v>
      </c>
      <c r="AR2394" s="46">
        <v>-2313.6</v>
      </c>
      <c r="AS2394" s="46">
        <v>17</v>
      </c>
      <c r="AT2394" s="46">
        <v>9000</v>
      </c>
      <c r="AU2394" s="46">
        <v>144840.4</v>
      </c>
      <c r="AV2394" s="46">
        <v>16.093</v>
      </c>
      <c r="AW2394" s="46">
        <v>8</v>
      </c>
      <c r="AX2394" s="46">
        <v>3200</v>
      </c>
      <c r="AY2394" s="46">
        <v>49740.248</v>
      </c>
      <c r="AZ2394" s="46">
        <v>15.544</v>
      </c>
      <c r="BA2394" s="46" t="s">
        <v>63</v>
      </c>
      <c r="BB2394" s="46">
        <v>5800</v>
      </c>
      <c r="BC2394" s="46">
        <v>95100.152000000002</v>
      </c>
      <c r="BD2394" s="46">
        <v>16.396999999999998</v>
      </c>
      <c r="BE2394" s="46">
        <v>-1756.8</v>
      </c>
      <c r="BF2394" s="46">
        <v>79773</v>
      </c>
      <c r="BG2394" s="46">
        <v>15.95</v>
      </c>
      <c r="BH2394" s="46">
        <v>0</v>
      </c>
      <c r="BJ2394">
        <v>79773</v>
      </c>
      <c r="BK2394">
        <v>15.95</v>
      </c>
      <c r="BL2394">
        <v>-159.44999999999999</v>
      </c>
    </row>
    <row r="2395" spans="1:64" x14ac:dyDescent="0.25">
      <c r="A2395" s="136">
        <v>43160</v>
      </c>
      <c r="B2395" s="201" t="s">
        <v>65</v>
      </c>
      <c r="C2395" t="s">
        <v>127</v>
      </c>
      <c r="D2395">
        <v>9000</v>
      </c>
      <c r="E2395">
        <v>9000</v>
      </c>
      <c r="F2395">
        <v>9.0980000000000008</v>
      </c>
      <c r="G2395">
        <v>12080.13</v>
      </c>
      <c r="H2395">
        <v>14.75</v>
      </c>
      <c r="I2395" s="309">
        <v>93960</v>
      </c>
      <c r="J2395">
        <v>10.44</v>
      </c>
      <c r="K2395" s="133">
        <v>0.19541710289403</v>
      </c>
      <c r="L2395" s="181">
        <v>1260</v>
      </c>
      <c r="M2395" s="133">
        <v>0.17029296488654599</v>
      </c>
      <c r="N2395" s="73">
        <v>6627.7129999999697</v>
      </c>
      <c r="O2395" s="73">
        <v>1057.59571937438</v>
      </c>
      <c r="P2395" s="182">
        <v>0</v>
      </c>
      <c r="Q2395" s="182">
        <v>0</v>
      </c>
      <c r="R2395" s="46">
        <v>0</v>
      </c>
      <c r="S2395" s="46">
        <v>18</v>
      </c>
      <c r="T2395" s="46">
        <v>7600</v>
      </c>
      <c r="U2395" s="46">
        <v>11.936</v>
      </c>
      <c r="V2395" s="46" t="s">
        <v>68</v>
      </c>
      <c r="W2395" s="46">
        <v>7600</v>
      </c>
      <c r="X2395" s="46">
        <v>11.936</v>
      </c>
      <c r="AF2395" s="46">
        <v>165</v>
      </c>
      <c r="AG2395" s="46">
        <v>87800</v>
      </c>
      <c r="AH2395" s="46">
        <v>1020868.231</v>
      </c>
      <c r="AI2395" s="46">
        <v>11.627000000000001</v>
      </c>
      <c r="AJ2395" s="46">
        <v>185</v>
      </c>
      <c r="AK2395" s="46">
        <v>80400</v>
      </c>
      <c r="AL2395" s="46">
        <v>847622.65300000005</v>
      </c>
      <c r="AM2395" s="46">
        <v>10.542999999999999</v>
      </c>
      <c r="AN2395" s="46" t="s">
        <v>63</v>
      </c>
      <c r="AO2395" s="46">
        <v>7400</v>
      </c>
      <c r="AP2395" s="46">
        <v>173245.57800000001</v>
      </c>
      <c r="AQ2395" s="46">
        <v>23.411999999999999</v>
      </c>
      <c r="AR2395" s="46">
        <v>-87153.600000000006</v>
      </c>
      <c r="AS2395" s="46">
        <v>166</v>
      </c>
      <c r="AT2395" s="46">
        <v>87900</v>
      </c>
      <c r="AU2395" s="46">
        <v>1022156.231</v>
      </c>
      <c r="AV2395" s="46">
        <v>11.629</v>
      </c>
      <c r="AW2395" s="46">
        <v>203</v>
      </c>
      <c r="AX2395" s="46">
        <v>88000</v>
      </c>
      <c r="AY2395" s="46">
        <v>938152.94200000004</v>
      </c>
      <c r="AZ2395" s="46">
        <v>10.661</v>
      </c>
      <c r="BA2395" s="46" t="s">
        <v>69</v>
      </c>
      <c r="BB2395" s="46">
        <v>100</v>
      </c>
      <c r="BC2395" s="46">
        <v>84003.289000000004</v>
      </c>
      <c r="BD2395" s="46">
        <v>840.03300000000002</v>
      </c>
      <c r="BE2395" s="46">
        <v>-85087.2</v>
      </c>
      <c r="BF2395" s="46">
        <v>1288</v>
      </c>
      <c r="BH2395" s="46">
        <v>90530.289000000004</v>
      </c>
      <c r="BI2395">
        <v>11.91</v>
      </c>
      <c r="BJ2395">
        <v>-89242.289000000004</v>
      </c>
      <c r="BK2395">
        <v>-11.74</v>
      </c>
      <c r="BL2395">
        <v>-8348.0499999999993</v>
      </c>
    </row>
    <row r="2396" spans="1:64" x14ac:dyDescent="0.25">
      <c r="A2396" s="136">
        <v>43160</v>
      </c>
      <c r="B2396" s="201" t="s">
        <v>77</v>
      </c>
      <c r="C2396" t="s">
        <v>128</v>
      </c>
      <c r="D2396">
        <v>4300</v>
      </c>
      <c r="E2396">
        <v>4300</v>
      </c>
      <c r="F2396">
        <v>5.9779999999999998</v>
      </c>
      <c r="G2396">
        <v>-595.27</v>
      </c>
      <c r="H2396">
        <v>-2.31</v>
      </c>
      <c r="I2396" s="309">
        <v>25112</v>
      </c>
      <c r="J2396">
        <v>5.84</v>
      </c>
      <c r="K2396" s="133">
        <v>5.22276956989665E-2</v>
      </c>
      <c r="L2396" s="181">
        <v>0</v>
      </c>
      <c r="M2396" s="133">
        <v>5.3465732510798399E-2</v>
      </c>
      <c r="N2396" s="73">
        <v>-1272.2139999999999</v>
      </c>
      <c r="O2396" s="73">
        <v>-133.073774655173</v>
      </c>
      <c r="P2396" s="182">
        <v>6</v>
      </c>
      <c r="Q2396" s="182">
        <v>3000</v>
      </c>
      <c r="R2396" s="46">
        <v>6.798</v>
      </c>
      <c r="S2396" s="46">
        <v>0</v>
      </c>
      <c r="T2396" s="46">
        <v>0</v>
      </c>
      <c r="U2396" s="46">
        <v>0</v>
      </c>
      <c r="V2396" s="46" t="s">
        <v>62</v>
      </c>
      <c r="W2396" s="46">
        <v>3000</v>
      </c>
      <c r="X2396" s="46">
        <v>6.798</v>
      </c>
      <c r="AF2396" s="46">
        <v>39</v>
      </c>
      <c r="AG2396" s="46">
        <v>19500</v>
      </c>
      <c r="AH2396" s="46">
        <v>142169</v>
      </c>
      <c r="AI2396" s="46">
        <v>7.2910000000000004</v>
      </c>
      <c r="AJ2396" s="46">
        <v>39</v>
      </c>
      <c r="AK2396" s="46">
        <v>18200</v>
      </c>
      <c r="AL2396" s="46">
        <v>136881.78599999999</v>
      </c>
      <c r="AM2396" s="46">
        <v>7.5209999999999999</v>
      </c>
      <c r="AN2396" s="46" t="s">
        <v>63</v>
      </c>
      <c r="AO2396" s="46">
        <v>1300</v>
      </c>
      <c r="AP2396" s="46">
        <v>5287.2139999999999</v>
      </c>
      <c r="AQ2396" s="46">
        <v>4.0670000000000002</v>
      </c>
      <c r="AR2396" s="46">
        <v>4186</v>
      </c>
      <c r="AS2396" s="46">
        <v>45</v>
      </c>
      <c r="AT2396" s="46">
        <v>22500</v>
      </c>
      <c r="AU2396" s="46">
        <v>162594</v>
      </c>
      <c r="AV2396" s="46">
        <v>7.226</v>
      </c>
      <c r="AW2396" s="46">
        <v>39</v>
      </c>
      <c r="AX2396" s="46">
        <v>18200</v>
      </c>
      <c r="AY2396" s="46">
        <v>136881.78599999999</v>
      </c>
      <c r="AZ2396" s="46">
        <v>7.5209999999999999</v>
      </c>
      <c r="BA2396" s="46" t="s">
        <v>63</v>
      </c>
      <c r="BB2396" s="46">
        <v>4300</v>
      </c>
      <c r="BC2396" s="46">
        <v>25712.214</v>
      </c>
      <c r="BD2396" s="46">
        <v>5.98</v>
      </c>
      <c r="BE2396" s="46">
        <v>5369</v>
      </c>
      <c r="BF2396" s="46">
        <v>20425</v>
      </c>
      <c r="BG2396" s="46">
        <v>6.81</v>
      </c>
      <c r="BH2396" s="46">
        <v>0</v>
      </c>
      <c r="BJ2396">
        <v>20425</v>
      </c>
      <c r="BK2396">
        <v>6.81</v>
      </c>
      <c r="BL2396">
        <v>716.78</v>
      </c>
    </row>
    <row r="2397" spans="1:64" x14ac:dyDescent="0.25">
      <c r="A2397" s="136">
        <v>43160</v>
      </c>
      <c r="B2397" s="201" t="s">
        <v>67</v>
      </c>
      <c r="C2397" t="s">
        <v>129</v>
      </c>
      <c r="D2397">
        <v>100</v>
      </c>
      <c r="E2397">
        <v>100</v>
      </c>
      <c r="F2397">
        <v>-16.027999999999999</v>
      </c>
      <c r="G2397">
        <v>2572.8000000000002</v>
      </c>
      <c r="H2397">
        <v>0</v>
      </c>
      <c r="I2397" s="309">
        <v>970</v>
      </c>
      <c r="J2397">
        <v>9.6999999999999993</v>
      </c>
      <c r="K2397" s="133">
        <v>2.01739665610057E-3</v>
      </c>
      <c r="L2397" s="181">
        <v>7</v>
      </c>
      <c r="M2397" s="133">
        <v>0</v>
      </c>
      <c r="N2397" s="73">
        <v>2581.5064999997599</v>
      </c>
      <c r="O2397" s="73">
        <v>263.01893442913098</v>
      </c>
      <c r="P2397" s="182">
        <v>0</v>
      </c>
      <c r="Q2397" s="182">
        <v>0</v>
      </c>
      <c r="R2397" s="46">
        <v>0</v>
      </c>
      <c r="S2397" s="46">
        <v>20</v>
      </c>
      <c r="T2397" s="46">
        <v>8000</v>
      </c>
      <c r="U2397" s="46">
        <v>8.891</v>
      </c>
      <c r="V2397" s="46" t="s">
        <v>68</v>
      </c>
      <c r="W2397" s="46">
        <v>8000</v>
      </c>
      <c r="X2397" s="46">
        <v>8.891</v>
      </c>
      <c r="AF2397" s="46">
        <v>174</v>
      </c>
      <c r="AG2397" s="46">
        <v>86400</v>
      </c>
      <c r="AH2397" s="46">
        <v>716375</v>
      </c>
      <c r="AI2397" s="46">
        <v>8.2910000000000004</v>
      </c>
      <c r="AJ2397" s="46">
        <v>177</v>
      </c>
      <c r="AK2397" s="46">
        <v>80900</v>
      </c>
      <c r="AL2397" s="46">
        <v>716150.74650000001</v>
      </c>
      <c r="AM2397" s="46">
        <v>8.8520000000000003</v>
      </c>
      <c r="AN2397" s="46" t="s">
        <v>63</v>
      </c>
      <c r="AO2397" s="46">
        <v>5500</v>
      </c>
      <c r="AP2397" s="46">
        <v>224.25299999999999</v>
      </c>
      <c r="AQ2397" s="46">
        <v>4.1000000000000002E-2</v>
      </c>
      <c r="AR2397" s="46">
        <v>45384.9</v>
      </c>
      <c r="AS2397" s="46">
        <v>174</v>
      </c>
      <c r="AT2397" s="46">
        <v>86400</v>
      </c>
      <c r="AU2397" s="46">
        <v>716375</v>
      </c>
      <c r="AV2397" s="46">
        <v>8.2910000000000004</v>
      </c>
      <c r="AW2397" s="46">
        <v>197</v>
      </c>
      <c r="AX2397" s="46">
        <v>88900</v>
      </c>
      <c r="AY2397" s="46">
        <v>787103.62250000006</v>
      </c>
      <c r="AZ2397" s="46">
        <v>8.8539999999999992</v>
      </c>
      <c r="BA2397" s="46" t="s">
        <v>69</v>
      </c>
      <c r="BB2397" s="46">
        <v>2500</v>
      </c>
      <c r="BC2397" s="46">
        <v>70728.623000000007</v>
      </c>
      <c r="BD2397" s="46">
        <v>28.291</v>
      </c>
      <c r="BE2397" s="46">
        <v>48643.199999999997</v>
      </c>
      <c r="BF2397" s="46">
        <v>0</v>
      </c>
      <c r="BH2397" s="46">
        <v>70952.876000000004</v>
      </c>
      <c r="BI2397">
        <v>8.8699999999999992</v>
      </c>
      <c r="BJ2397">
        <v>70504.37</v>
      </c>
      <c r="BK2397">
        <v>8.81</v>
      </c>
      <c r="BL2397">
        <v>4678.8599999999997</v>
      </c>
    </row>
    <row r="2398" spans="1:64" x14ac:dyDescent="0.25">
      <c r="A2398" s="136">
        <v>43160</v>
      </c>
      <c r="B2398" s="201" t="s">
        <v>78</v>
      </c>
      <c r="C2398" t="s">
        <v>142</v>
      </c>
      <c r="D2398">
        <v>2300</v>
      </c>
      <c r="E2398">
        <v>2300</v>
      </c>
      <c r="F2398">
        <v>9.157</v>
      </c>
      <c r="G2398">
        <v>-889.05</v>
      </c>
      <c r="H2398">
        <v>-4.2300000000000004</v>
      </c>
      <c r="I2398" s="309">
        <v>20171</v>
      </c>
      <c r="J2398">
        <v>8.77</v>
      </c>
      <c r="K2398" s="133">
        <v>4.1951451495056302E-2</v>
      </c>
      <c r="L2398" s="181">
        <v>92</v>
      </c>
      <c r="M2398" s="133">
        <v>4.3800489120939E-2</v>
      </c>
      <c r="N2398" s="73">
        <v>-1004.052</v>
      </c>
      <c r="O2398" s="73">
        <v>-115.086006192661</v>
      </c>
      <c r="P2398" s="182">
        <v>3</v>
      </c>
      <c r="Q2398" s="182">
        <v>1500</v>
      </c>
      <c r="R2398" s="46">
        <v>8.7430000000000003</v>
      </c>
      <c r="S2398" s="46">
        <v>1</v>
      </c>
      <c r="T2398" s="46">
        <v>400</v>
      </c>
      <c r="U2398" s="46">
        <v>8.7200000000000006</v>
      </c>
      <c r="V2398" s="46" t="s">
        <v>62</v>
      </c>
      <c r="W2398" s="46">
        <v>1100</v>
      </c>
      <c r="X2398" s="46">
        <v>8.7509999999999994</v>
      </c>
      <c r="AF2398" s="46">
        <v>9</v>
      </c>
      <c r="AG2398" s="46">
        <v>4500</v>
      </c>
      <c r="AH2398" s="46">
        <v>44895</v>
      </c>
      <c r="AI2398" s="46">
        <v>9.9770000000000003</v>
      </c>
      <c r="AJ2398" s="46">
        <v>9</v>
      </c>
      <c r="AK2398" s="46">
        <v>3300</v>
      </c>
      <c r="AL2398" s="46">
        <v>33485.436000000002</v>
      </c>
      <c r="AM2398" s="46">
        <v>10.147</v>
      </c>
      <c r="AN2398" s="46" t="s">
        <v>63</v>
      </c>
      <c r="AO2398" s="46">
        <v>1200</v>
      </c>
      <c r="AP2398" s="46">
        <v>11409.564</v>
      </c>
      <c r="AQ2398" s="46">
        <v>9.5079999999999991</v>
      </c>
      <c r="AR2398" s="46">
        <v>561</v>
      </c>
      <c r="AS2398" s="46">
        <v>12</v>
      </c>
      <c r="AT2398" s="46">
        <v>6000</v>
      </c>
      <c r="AU2398" s="46">
        <v>58025</v>
      </c>
      <c r="AV2398" s="46">
        <v>9.6709999999999994</v>
      </c>
      <c r="AW2398" s="46">
        <v>10</v>
      </c>
      <c r="AX2398" s="46">
        <v>3700</v>
      </c>
      <c r="AY2398" s="46">
        <v>36964.947999999997</v>
      </c>
      <c r="AZ2398" s="46">
        <v>9.9909999999999997</v>
      </c>
      <c r="BA2398" s="46" t="s">
        <v>63</v>
      </c>
      <c r="BB2398" s="46">
        <v>2300</v>
      </c>
      <c r="BC2398" s="46">
        <v>21060.052</v>
      </c>
      <c r="BD2398" s="46">
        <v>9.157</v>
      </c>
      <c r="BE2398" s="46">
        <v>1184</v>
      </c>
      <c r="BF2398" s="46">
        <v>13130</v>
      </c>
      <c r="BG2398" s="46">
        <v>8.75</v>
      </c>
      <c r="BH2398" s="46">
        <v>3479.5120000000002</v>
      </c>
      <c r="BI2398">
        <v>8.6999999999999993</v>
      </c>
      <c r="BJ2398">
        <v>9650.4879999999994</v>
      </c>
      <c r="BK2398">
        <v>8.77</v>
      </c>
      <c r="BL2398">
        <v>63.97</v>
      </c>
    </row>
    <row r="2399" spans="1:64" x14ac:dyDescent="0.25">
      <c r="A2399" s="136">
        <v>43160</v>
      </c>
      <c r="B2399" s="201" t="s">
        <v>72</v>
      </c>
      <c r="C2399" t="s">
        <v>130</v>
      </c>
      <c r="D2399">
        <v>3300</v>
      </c>
      <c r="E2399">
        <v>3300</v>
      </c>
      <c r="F2399">
        <v>6.8769999999999998</v>
      </c>
      <c r="G2399">
        <v>-1572.91</v>
      </c>
      <c r="H2399">
        <v>-6.94</v>
      </c>
      <c r="I2399" s="309">
        <v>21120</v>
      </c>
      <c r="J2399">
        <v>6.4</v>
      </c>
      <c r="K2399" s="133">
        <v>4.3925172553447397E-2</v>
      </c>
      <c r="L2399" s="181">
        <v>297</v>
      </c>
      <c r="M2399" s="133">
        <v>4.7196495619784701E-2</v>
      </c>
      <c r="N2399" s="73">
        <v>-2058.61599999999</v>
      </c>
      <c r="O2399" s="73">
        <v>-290.50435870252898</v>
      </c>
      <c r="P2399" s="182">
        <v>0</v>
      </c>
      <c r="Q2399" s="182">
        <v>0</v>
      </c>
      <c r="R2399" s="46">
        <v>0</v>
      </c>
      <c r="S2399" s="46">
        <v>11</v>
      </c>
      <c r="T2399" s="46">
        <v>4400</v>
      </c>
      <c r="U2399" s="46">
        <v>7.5519999999999996</v>
      </c>
      <c r="V2399" s="46" t="s">
        <v>68</v>
      </c>
      <c r="W2399" s="46">
        <v>4400</v>
      </c>
      <c r="X2399" s="46">
        <v>7.5519999999999996</v>
      </c>
      <c r="AF2399" s="46">
        <v>32</v>
      </c>
      <c r="AG2399" s="46">
        <v>15900</v>
      </c>
      <c r="AH2399" s="46">
        <v>121142</v>
      </c>
      <c r="AI2399" s="46">
        <v>7.6189999999999998</v>
      </c>
      <c r="AJ2399" s="46">
        <v>32</v>
      </c>
      <c r="AK2399" s="46">
        <v>14800</v>
      </c>
      <c r="AL2399" s="46">
        <v>66041.797000000006</v>
      </c>
      <c r="AM2399" s="46">
        <v>4.4619999999999997</v>
      </c>
      <c r="AN2399" s="46" t="s">
        <v>63</v>
      </c>
      <c r="AO2399" s="46">
        <v>1100</v>
      </c>
      <c r="AP2399" s="46">
        <v>55100.203000000001</v>
      </c>
      <c r="AQ2399" s="46">
        <v>50.091000000000001</v>
      </c>
      <c r="AR2399" s="46">
        <v>-46723.6</v>
      </c>
      <c r="AS2399" s="46">
        <v>32</v>
      </c>
      <c r="AT2399" s="46">
        <v>15900</v>
      </c>
      <c r="AU2399" s="46">
        <v>121142</v>
      </c>
      <c r="AV2399" s="46">
        <v>7.6189999999999998</v>
      </c>
      <c r="AW2399" s="46">
        <v>44</v>
      </c>
      <c r="AX2399" s="46">
        <v>19700</v>
      </c>
      <c r="AY2399" s="46">
        <v>99181.569000000003</v>
      </c>
      <c r="AZ2399" s="46">
        <v>5.0350000000000001</v>
      </c>
      <c r="BA2399" s="46" t="s">
        <v>69</v>
      </c>
      <c r="BB2399" s="46">
        <v>3800</v>
      </c>
      <c r="BC2399" s="46">
        <v>21960.431</v>
      </c>
      <c r="BD2399" s="46">
        <v>5.7789999999999999</v>
      </c>
      <c r="BE2399" s="46">
        <v>-41085.599999999999</v>
      </c>
      <c r="BF2399" s="46">
        <v>0</v>
      </c>
      <c r="BH2399" s="46">
        <v>33139.771999999997</v>
      </c>
      <c r="BI2399">
        <v>7.53</v>
      </c>
      <c r="BJ2399">
        <v>-33139.771999999997</v>
      </c>
      <c r="BK2399">
        <v>-7.53</v>
      </c>
      <c r="BL2399">
        <v>-7300.56</v>
      </c>
    </row>
    <row r="2400" spans="1:64" x14ac:dyDescent="0.25">
      <c r="A2400" s="136">
        <v>43160</v>
      </c>
      <c r="B2400" s="201" t="s">
        <v>70</v>
      </c>
      <c r="C2400" t="s">
        <v>131</v>
      </c>
      <c r="D2400">
        <v>13900</v>
      </c>
      <c r="E2400">
        <v>13900</v>
      </c>
      <c r="F2400">
        <v>11.211</v>
      </c>
      <c r="G2400">
        <v>-35177.39</v>
      </c>
      <c r="H2400">
        <v>-22.58</v>
      </c>
      <c r="I2400" s="309">
        <v>120652</v>
      </c>
      <c r="J2400">
        <v>8.68</v>
      </c>
      <c r="K2400" s="133">
        <v>0.25093086737303699</v>
      </c>
      <c r="L2400" s="181">
        <v>3058</v>
      </c>
      <c r="M2400" s="133">
        <v>0.32409246423524901</v>
      </c>
      <c r="N2400" s="73">
        <v>-33369.39</v>
      </c>
      <c r="O2400" s="73">
        <v>-3785.7781276958099</v>
      </c>
      <c r="P2400" s="182">
        <v>5</v>
      </c>
      <c r="Q2400" s="182">
        <v>3500</v>
      </c>
      <c r="R2400" s="46">
        <v>8.2110000000000003</v>
      </c>
      <c r="S2400" s="46">
        <v>4</v>
      </c>
      <c r="T2400" s="46">
        <v>1600</v>
      </c>
      <c r="U2400" s="46">
        <v>8.5850000000000009</v>
      </c>
      <c r="V2400" s="46" t="s">
        <v>62</v>
      </c>
      <c r="W2400" s="46">
        <v>1900</v>
      </c>
      <c r="X2400" s="46">
        <v>7.8959999999999999</v>
      </c>
      <c r="AF2400" s="46">
        <v>128</v>
      </c>
      <c r="AG2400" s="46">
        <v>64600</v>
      </c>
      <c r="AH2400" s="46">
        <v>861448</v>
      </c>
      <c r="AI2400" s="46">
        <v>13.335000000000001</v>
      </c>
      <c r="AJ2400" s="46">
        <v>131</v>
      </c>
      <c r="AK2400" s="46">
        <v>52600</v>
      </c>
      <c r="AL2400" s="46">
        <v>720277.34600000002</v>
      </c>
      <c r="AM2400" s="46">
        <v>13.693</v>
      </c>
      <c r="AN2400" s="46" t="s">
        <v>63</v>
      </c>
      <c r="AO2400" s="46">
        <v>12000</v>
      </c>
      <c r="AP2400" s="46">
        <v>141170.65400000001</v>
      </c>
      <c r="AQ2400" s="46">
        <v>11.763999999999999</v>
      </c>
      <c r="AR2400" s="46">
        <v>18830.8</v>
      </c>
      <c r="AS2400" s="46">
        <v>133</v>
      </c>
      <c r="AT2400" s="46">
        <v>68100</v>
      </c>
      <c r="AU2400" s="46">
        <v>890213</v>
      </c>
      <c r="AV2400" s="46">
        <v>13.071999999999999</v>
      </c>
      <c r="AW2400" s="46">
        <v>136</v>
      </c>
      <c r="AX2400" s="46">
        <v>54200</v>
      </c>
      <c r="AY2400" s="46">
        <v>734384.61</v>
      </c>
      <c r="AZ2400" s="46">
        <v>13.55</v>
      </c>
      <c r="BA2400" s="46" t="s">
        <v>63</v>
      </c>
      <c r="BB2400" s="46">
        <v>13900</v>
      </c>
      <c r="BC2400" s="46">
        <v>155828.39000000001</v>
      </c>
      <c r="BD2400" s="46">
        <v>11.211</v>
      </c>
      <c r="BE2400" s="46">
        <v>25907.599999999999</v>
      </c>
      <c r="BF2400" s="46">
        <v>28765</v>
      </c>
      <c r="BG2400" s="46">
        <v>8.2200000000000006</v>
      </c>
      <c r="BH2400" s="46">
        <v>14107.264000000099</v>
      </c>
      <c r="BI2400">
        <v>8.82</v>
      </c>
      <c r="BJ2400">
        <v>14657.736000000001</v>
      </c>
      <c r="BK2400">
        <v>7.71</v>
      </c>
      <c r="BL2400">
        <v>2169.4499999999998</v>
      </c>
    </row>
    <row r="2401" spans="1:64" x14ac:dyDescent="0.25">
      <c r="A2401" s="136">
        <v>43160</v>
      </c>
      <c r="B2401" s="201" t="s">
        <v>137</v>
      </c>
      <c r="C2401" t="s">
        <v>138</v>
      </c>
      <c r="D2401">
        <v>100</v>
      </c>
      <c r="E2401">
        <v>100</v>
      </c>
      <c r="F2401">
        <v>-130.48500000000001</v>
      </c>
      <c r="G2401">
        <v>16201.5</v>
      </c>
      <c r="H2401">
        <v>0</v>
      </c>
      <c r="I2401" s="309">
        <v>3153</v>
      </c>
      <c r="J2401">
        <v>31.53</v>
      </c>
      <c r="K2401" s="133">
        <v>6.5575790275104098E-3</v>
      </c>
      <c r="L2401" s="181">
        <v>90</v>
      </c>
      <c r="M2401" s="133">
        <v>0</v>
      </c>
    </row>
    <row r="2402" spans="1:64" x14ac:dyDescent="0.25">
      <c r="A2402" s="136">
        <v>43160</v>
      </c>
      <c r="B2402" s="201" t="s">
        <v>835</v>
      </c>
      <c r="C2402" t="s">
        <v>839</v>
      </c>
      <c r="I2402" s="309">
        <v>15709.23</v>
      </c>
      <c r="K2402" s="133">
        <v>3.2671905228778102E-2</v>
      </c>
      <c r="L2402" s="181">
        <v>0</v>
      </c>
      <c r="M2402" s="133">
        <v>0.192981023639126</v>
      </c>
    </row>
    <row r="2403" spans="1:64" x14ac:dyDescent="0.25">
      <c r="A2403" s="136">
        <v>43161</v>
      </c>
      <c r="B2403" s="201" t="s">
        <v>132</v>
      </c>
      <c r="C2403" t="s">
        <v>123</v>
      </c>
      <c r="D2403">
        <v>7708632</v>
      </c>
      <c r="E2403">
        <v>7708632</v>
      </c>
      <c r="F2403">
        <v>0.01</v>
      </c>
      <c r="G2403">
        <v>3131.88</v>
      </c>
      <c r="H2403">
        <v>0</v>
      </c>
      <c r="I2403" s="309">
        <v>77086.320000000007</v>
      </c>
      <c r="J2403">
        <v>0.01</v>
      </c>
      <c r="K2403" s="133">
        <v>0.16013276551935399</v>
      </c>
      <c r="L2403" s="181">
        <v>6.86000000000013</v>
      </c>
      <c r="M2403" s="133">
        <v>0</v>
      </c>
    </row>
    <row r="2404" spans="1:64" x14ac:dyDescent="0.25">
      <c r="A2404" s="136">
        <v>43161</v>
      </c>
      <c r="B2404" s="201" t="s">
        <v>61</v>
      </c>
      <c r="C2404" t="s">
        <v>136</v>
      </c>
      <c r="D2404">
        <v>2800</v>
      </c>
      <c r="E2404">
        <v>2800</v>
      </c>
      <c r="F2404">
        <v>5.2069999999999999</v>
      </c>
      <c r="G2404">
        <v>-664.89</v>
      </c>
      <c r="H2404">
        <v>-4.55</v>
      </c>
      <c r="I2404" s="309">
        <v>13916</v>
      </c>
      <c r="J2404">
        <v>4.97</v>
      </c>
      <c r="K2404" s="133">
        <v>2.8907951047181E-2</v>
      </c>
      <c r="L2404" s="181">
        <v>-56</v>
      </c>
      <c r="M2404" s="133">
        <v>3.0289138714022001E-2</v>
      </c>
      <c r="N2404" s="73">
        <v>-809.98500000000104</v>
      </c>
      <c r="O2404" s="73">
        <v>-164.54878201219501</v>
      </c>
      <c r="P2404" s="182">
        <v>4</v>
      </c>
      <c r="Q2404" s="182">
        <v>2000</v>
      </c>
      <c r="R2404" s="46">
        <v>5.2249999999999996</v>
      </c>
      <c r="S2404" s="46">
        <v>0</v>
      </c>
      <c r="T2404" s="46">
        <v>0</v>
      </c>
      <c r="U2404" s="46">
        <v>0</v>
      </c>
      <c r="V2404" s="46" t="s">
        <v>62</v>
      </c>
      <c r="W2404" s="46">
        <v>2000</v>
      </c>
      <c r="X2404" s="46">
        <v>5.2249999999999996</v>
      </c>
      <c r="AF2404" s="46">
        <v>9</v>
      </c>
      <c r="AG2404" s="46">
        <v>4500</v>
      </c>
      <c r="AH2404" s="46">
        <v>23912.7</v>
      </c>
      <c r="AI2404" s="46">
        <v>5.3140000000000001</v>
      </c>
      <c r="AJ2404" s="46">
        <v>9</v>
      </c>
      <c r="AK2404" s="46">
        <v>3700</v>
      </c>
      <c r="AL2404" s="46">
        <v>19797.915000000001</v>
      </c>
      <c r="AM2404" s="46">
        <v>5.351</v>
      </c>
      <c r="AN2404" s="46" t="s">
        <v>63</v>
      </c>
      <c r="AO2404" s="46">
        <v>800</v>
      </c>
      <c r="AP2404" s="46">
        <v>4114.7849999999999</v>
      </c>
      <c r="AQ2404" s="46">
        <v>5.1429999999999998</v>
      </c>
      <c r="AR2404" s="46">
        <v>136.9</v>
      </c>
      <c r="AS2404" s="46">
        <v>13</v>
      </c>
      <c r="AT2404" s="46">
        <v>6500</v>
      </c>
      <c r="AU2404" s="46">
        <v>34383.9</v>
      </c>
      <c r="AV2404" s="46">
        <v>5.29</v>
      </c>
      <c r="AW2404" s="46">
        <v>9</v>
      </c>
      <c r="AX2404" s="46">
        <v>3700</v>
      </c>
      <c r="AY2404" s="46">
        <v>19797.915000000001</v>
      </c>
      <c r="AZ2404" s="46">
        <v>5.351</v>
      </c>
      <c r="BA2404" s="46" t="s">
        <v>63</v>
      </c>
      <c r="BB2404" s="46">
        <v>2800</v>
      </c>
      <c r="BC2404" s="46">
        <v>14585.985000000001</v>
      </c>
      <c r="BD2404" s="46">
        <v>5.2089999999999996</v>
      </c>
      <c r="BE2404" s="46">
        <v>225.7</v>
      </c>
      <c r="BF2404" s="46">
        <v>10471.200000000001</v>
      </c>
      <c r="BG2404" s="46">
        <v>5.24</v>
      </c>
      <c r="BH2404" s="46">
        <v>0</v>
      </c>
      <c r="BJ2404">
        <v>10471.200000000001</v>
      </c>
      <c r="BK2404">
        <v>5.24</v>
      </c>
      <c r="BL2404">
        <v>27.55</v>
      </c>
    </row>
    <row r="2405" spans="1:64" x14ac:dyDescent="0.25">
      <c r="A2405" s="136">
        <v>43161</v>
      </c>
      <c r="B2405" s="201" t="s">
        <v>124</v>
      </c>
      <c r="C2405" t="s">
        <v>125</v>
      </c>
      <c r="D2405">
        <v>100</v>
      </c>
      <c r="E2405">
        <v>100</v>
      </c>
      <c r="F2405">
        <v>-53.579000000000001</v>
      </c>
      <c r="G2405">
        <v>6025.9</v>
      </c>
      <c r="H2405">
        <v>0</v>
      </c>
      <c r="I2405" s="309">
        <v>668</v>
      </c>
      <c r="J2405">
        <v>6.68</v>
      </c>
      <c r="K2405" s="133">
        <v>1.3876481244263399E-3</v>
      </c>
      <c r="L2405" s="181">
        <v>-1</v>
      </c>
      <c r="M2405" s="133">
        <v>0</v>
      </c>
    </row>
    <row r="2406" spans="1:64" x14ac:dyDescent="0.25">
      <c r="A2406" s="136">
        <v>43161</v>
      </c>
      <c r="B2406" s="201" t="s">
        <v>71</v>
      </c>
      <c r="C2406" t="s">
        <v>126</v>
      </c>
      <c r="D2406">
        <v>1100</v>
      </c>
      <c r="E2406">
        <v>600</v>
      </c>
      <c r="F2406">
        <v>4.6100000000000003</v>
      </c>
      <c r="G2406">
        <v>2320.5</v>
      </c>
      <c r="H2406">
        <v>45.77</v>
      </c>
      <c r="I2406" s="309">
        <v>7392</v>
      </c>
      <c r="J2406">
        <v>6.72</v>
      </c>
      <c r="K2406" s="133">
        <v>1.5355531340957299E-2</v>
      </c>
      <c r="L2406" s="181">
        <v>-45.070000000000199</v>
      </c>
      <c r="M2406" s="133">
        <v>1.0535115962616999E-2</v>
      </c>
      <c r="N2406" s="73">
        <v>-5077.2979999999998</v>
      </c>
      <c r="O2406" s="73">
        <v>340.50361511976001</v>
      </c>
      <c r="P2406" s="182">
        <v>1</v>
      </c>
      <c r="Q2406" s="182">
        <v>500</v>
      </c>
      <c r="R2406" s="46">
        <v>6.68</v>
      </c>
      <c r="S2406" s="46">
        <v>6</v>
      </c>
      <c r="T2406" s="46">
        <v>2400</v>
      </c>
      <c r="U2406" s="46">
        <v>6.6449999999999996</v>
      </c>
      <c r="V2406" s="46" t="s">
        <v>68</v>
      </c>
      <c r="W2406" s="46">
        <v>1900</v>
      </c>
      <c r="X2406" s="46">
        <v>6.6360000000000001</v>
      </c>
      <c r="AF2406" s="46">
        <v>42</v>
      </c>
      <c r="AG2406" s="46">
        <v>21100</v>
      </c>
      <c r="AH2406" s="46">
        <v>134758.66</v>
      </c>
      <c r="AI2406" s="46">
        <v>6.3869999999999996</v>
      </c>
      <c r="AJ2406" s="46">
        <v>40</v>
      </c>
      <c r="AK2406" s="46">
        <v>18100</v>
      </c>
      <c r="AL2406" s="46">
        <v>116960.851</v>
      </c>
      <c r="AM2406" s="46">
        <v>6.4619999999999997</v>
      </c>
      <c r="AN2406" s="46" t="s">
        <v>63</v>
      </c>
      <c r="AO2406" s="46">
        <v>3000</v>
      </c>
      <c r="AP2406" s="46">
        <v>17797.809000000001</v>
      </c>
      <c r="AQ2406" s="46">
        <v>5.9329999999999998</v>
      </c>
      <c r="AR2406" s="46">
        <v>1357.5</v>
      </c>
      <c r="AS2406" s="46">
        <v>43</v>
      </c>
      <c r="AT2406" s="46">
        <v>21600</v>
      </c>
      <c r="AU2406" s="46">
        <v>138103.96</v>
      </c>
      <c r="AV2406" s="46">
        <v>6.3940000000000001</v>
      </c>
      <c r="AW2406" s="46">
        <v>46</v>
      </c>
      <c r="AX2406" s="46">
        <v>20500</v>
      </c>
      <c r="AY2406" s="46">
        <v>132870.462</v>
      </c>
      <c r="AZ2406" s="46">
        <v>6.4809999999999999</v>
      </c>
      <c r="BA2406" s="46" t="s">
        <v>63</v>
      </c>
      <c r="BB2406" s="46">
        <v>1100</v>
      </c>
      <c r="BC2406" s="46">
        <v>5233.4979999999996</v>
      </c>
      <c r="BD2406" s="46">
        <v>4.758</v>
      </c>
      <c r="BE2406" s="46">
        <v>1783.5</v>
      </c>
      <c r="BF2406" s="46">
        <v>3345.2999999999902</v>
      </c>
      <c r="BG2406" s="46">
        <v>6.69</v>
      </c>
      <c r="BH2406" s="46">
        <v>15909.611000000001</v>
      </c>
      <c r="BI2406">
        <v>6.63</v>
      </c>
      <c r="BJ2406">
        <v>-12564.311</v>
      </c>
      <c r="BK2406">
        <v>-6.61</v>
      </c>
      <c r="BL2406">
        <v>202.01</v>
      </c>
    </row>
    <row r="2407" spans="1:64" x14ac:dyDescent="0.25">
      <c r="A2407" s="136">
        <v>43161</v>
      </c>
      <c r="B2407" s="201" t="s">
        <v>79</v>
      </c>
      <c r="C2407" t="s">
        <v>143</v>
      </c>
      <c r="D2407">
        <v>5800</v>
      </c>
      <c r="E2407">
        <v>5800</v>
      </c>
      <c r="F2407">
        <v>16.396000000000001</v>
      </c>
      <c r="G2407">
        <v>-11402.71</v>
      </c>
      <c r="H2407">
        <v>-11.99</v>
      </c>
      <c r="I2407" s="309">
        <v>83694</v>
      </c>
      <c r="J2407">
        <v>14.43</v>
      </c>
      <c r="K2407" s="133">
        <v>0.17385901515829</v>
      </c>
      <c r="L2407" s="181">
        <v>-464</v>
      </c>
      <c r="M2407" s="133">
        <v>0.19754606477636999</v>
      </c>
      <c r="N2407" s="73">
        <v>-11928.1520000001</v>
      </c>
      <c r="O2407" s="73">
        <v>-831.39385801953097</v>
      </c>
      <c r="P2407" s="182">
        <v>9</v>
      </c>
      <c r="Q2407" s="182">
        <v>5000</v>
      </c>
      <c r="R2407" s="46">
        <v>15.945</v>
      </c>
      <c r="S2407" s="46">
        <v>0</v>
      </c>
      <c r="T2407" s="46">
        <v>0</v>
      </c>
      <c r="U2407" s="46">
        <v>0</v>
      </c>
      <c r="V2407" s="46" t="s">
        <v>62</v>
      </c>
      <c r="W2407" s="46">
        <v>5000</v>
      </c>
      <c r="X2407" s="46">
        <v>15.945</v>
      </c>
      <c r="AF2407" s="46">
        <v>8</v>
      </c>
      <c r="AG2407" s="46">
        <v>4000</v>
      </c>
      <c r="AH2407" s="46">
        <v>65067.4</v>
      </c>
      <c r="AI2407" s="46">
        <v>16.266999999999999</v>
      </c>
      <c r="AJ2407" s="46">
        <v>8</v>
      </c>
      <c r="AK2407" s="46">
        <v>3200</v>
      </c>
      <c r="AL2407" s="46">
        <v>49740.248</v>
      </c>
      <c r="AM2407" s="46">
        <v>15.544</v>
      </c>
      <c r="AN2407" s="46" t="s">
        <v>63</v>
      </c>
      <c r="AO2407" s="46">
        <v>800</v>
      </c>
      <c r="AP2407" s="46">
        <v>15327.152</v>
      </c>
      <c r="AQ2407" s="46">
        <v>19.158999999999999</v>
      </c>
      <c r="AR2407" s="46">
        <v>-2313.6</v>
      </c>
      <c r="AS2407" s="46">
        <v>17</v>
      </c>
      <c r="AT2407" s="46">
        <v>9000</v>
      </c>
      <c r="AU2407" s="46">
        <v>144840.4</v>
      </c>
      <c r="AV2407" s="46">
        <v>16.093</v>
      </c>
      <c r="AW2407" s="46">
        <v>8</v>
      </c>
      <c r="AX2407" s="46">
        <v>3200</v>
      </c>
      <c r="AY2407" s="46">
        <v>49740.248</v>
      </c>
      <c r="AZ2407" s="46">
        <v>15.544</v>
      </c>
      <c r="BA2407" s="46" t="s">
        <v>63</v>
      </c>
      <c r="BB2407" s="46">
        <v>5800</v>
      </c>
      <c r="BC2407" s="46">
        <v>95100.152000000002</v>
      </c>
      <c r="BD2407" s="46">
        <v>16.396999999999998</v>
      </c>
      <c r="BE2407" s="46">
        <v>-1756.8</v>
      </c>
      <c r="BF2407" s="46">
        <v>79773</v>
      </c>
      <c r="BG2407" s="46">
        <v>15.95</v>
      </c>
      <c r="BH2407" s="46">
        <v>0</v>
      </c>
      <c r="BJ2407">
        <v>79773</v>
      </c>
      <c r="BK2407">
        <v>15.95</v>
      </c>
      <c r="BL2407">
        <v>-160.33000000000001</v>
      </c>
    </row>
    <row r="2408" spans="1:64" x14ac:dyDescent="0.25">
      <c r="A2408" s="136">
        <v>43161</v>
      </c>
      <c r="B2408" s="201" t="s">
        <v>65</v>
      </c>
      <c r="C2408" t="s">
        <v>127</v>
      </c>
      <c r="D2408">
        <v>9000</v>
      </c>
      <c r="E2408">
        <v>9000</v>
      </c>
      <c r="F2408">
        <v>9.0980000000000008</v>
      </c>
      <c r="G2408">
        <v>11090.13</v>
      </c>
      <c r="H2408">
        <v>13.54</v>
      </c>
      <c r="I2408" s="309">
        <v>92970</v>
      </c>
      <c r="J2408">
        <v>10.33</v>
      </c>
      <c r="K2408" s="133">
        <v>0.19312821276634201</v>
      </c>
      <c r="L2408" s="181">
        <v>-990</v>
      </c>
      <c r="M2408" s="133">
        <v>0.170090491068521</v>
      </c>
      <c r="N2408" s="73">
        <v>6627.7129999999697</v>
      </c>
      <c r="O2408" s="73">
        <v>1057.59571937438</v>
      </c>
      <c r="P2408" s="182">
        <v>0</v>
      </c>
      <c r="Q2408" s="182">
        <v>0</v>
      </c>
      <c r="R2408" s="46">
        <v>0</v>
      </c>
      <c r="S2408" s="46">
        <v>18</v>
      </c>
      <c r="T2408" s="46">
        <v>7600</v>
      </c>
      <c r="U2408" s="46">
        <v>11.936</v>
      </c>
      <c r="V2408" s="46" t="s">
        <v>68</v>
      </c>
      <c r="W2408" s="46">
        <v>7600</v>
      </c>
      <c r="X2408" s="46">
        <v>11.936</v>
      </c>
      <c r="AF2408" s="46">
        <v>165</v>
      </c>
      <c r="AG2408" s="46">
        <v>87800</v>
      </c>
      <c r="AH2408" s="46">
        <v>1020868.231</v>
      </c>
      <c r="AI2408" s="46">
        <v>11.627000000000001</v>
      </c>
      <c r="AJ2408" s="46">
        <v>185</v>
      </c>
      <c r="AK2408" s="46">
        <v>80400</v>
      </c>
      <c r="AL2408" s="46">
        <v>847622.65300000005</v>
      </c>
      <c r="AM2408" s="46">
        <v>10.542999999999999</v>
      </c>
      <c r="AN2408" s="46" t="s">
        <v>63</v>
      </c>
      <c r="AO2408" s="46">
        <v>7400</v>
      </c>
      <c r="AP2408" s="46">
        <v>173245.57800000001</v>
      </c>
      <c r="AQ2408" s="46">
        <v>23.411999999999999</v>
      </c>
      <c r="AR2408" s="46">
        <v>-87153.600000000006</v>
      </c>
      <c r="AS2408" s="46">
        <v>166</v>
      </c>
      <c r="AT2408" s="46">
        <v>87900</v>
      </c>
      <c r="AU2408" s="46">
        <v>1022156.231</v>
      </c>
      <c r="AV2408" s="46">
        <v>11.629</v>
      </c>
      <c r="AW2408" s="46">
        <v>203</v>
      </c>
      <c r="AX2408" s="46">
        <v>88000</v>
      </c>
      <c r="AY2408" s="46">
        <v>938152.94200000004</v>
      </c>
      <c r="AZ2408" s="46">
        <v>10.661</v>
      </c>
      <c r="BA2408" s="46" t="s">
        <v>69</v>
      </c>
      <c r="BB2408" s="46">
        <v>100</v>
      </c>
      <c r="BC2408" s="46">
        <v>84003.289000000004</v>
      </c>
      <c r="BD2408" s="46">
        <v>840.03300000000002</v>
      </c>
      <c r="BE2408" s="46">
        <v>-85087.2</v>
      </c>
      <c r="BF2408" s="46">
        <v>1288</v>
      </c>
      <c r="BH2408" s="46">
        <v>90530.289000000004</v>
      </c>
      <c r="BI2408">
        <v>11.91</v>
      </c>
      <c r="BJ2408">
        <v>-89242.289000000004</v>
      </c>
      <c r="BK2408">
        <v>-11.74</v>
      </c>
      <c r="BL2408">
        <v>-8436.94</v>
      </c>
    </row>
    <row r="2409" spans="1:64" x14ac:dyDescent="0.25">
      <c r="A2409" s="136">
        <v>43161</v>
      </c>
      <c r="B2409" s="201" t="s">
        <v>77</v>
      </c>
      <c r="C2409" t="s">
        <v>128</v>
      </c>
      <c r="D2409">
        <v>4300</v>
      </c>
      <c r="E2409">
        <v>4300</v>
      </c>
      <c r="F2409">
        <v>5.9779999999999998</v>
      </c>
      <c r="G2409">
        <v>-595.27</v>
      </c>
      <c r="H2409">
        <v>-2.31</v>
      </c>
      <c r="I2409" s="309">
        <v>25112</v>
      </c>
      <c r="J2409">
        <v>5.84</v>
      </c>
      <c r="K2409" s="133">
        <v>5.2165598354182899E-2</v>
      </c>
      <c r="L2409" s="181">
        <v>0</v>
      </c>
      <c r="M2409" s="133">
        <v>5.3402163173085902E-2</v>
      </c>
      <c r="N2409" s="73">
        <v>-1272.2139999999999</v>
      </c>
      <c r="O2409" s="73">
        <v>-133.073774655173</v>
      </c>
      <c r="P2409" s="182">
        <v>6</v>
      </c>
      <c r="Q2409" s="182">
        <v>3000</v>
      </c>
      <c r="R2409" s="46">
        <v>6.798</v>
      </c>
      <c r="S2409" s="46">
        <v>0</v>
      </c>
      <c r="T2409" s="46">
        <v>0</v>
      </c>
      <c r="U2409" s="46">
        <v>0</v>
      </c>
      <c r="V2409" s="46" t="s">
        <v>62</v>
      </c>
      <c r="W2409" s="46">
        <v>3000</v>
      </c>
      <c r="X2409" s="46">
        <v>6.798</v>
      </c>
      <c r="AF2409" s="46">
        <v>39</v>
      </c>
      <c r="AG2409" s="46">
        <v>19500</v>
      </c>
      <c r="AH2409" s="46">
        <v>142169</v>
      </c>
      <c r="AI2409" s="46">
        <v>7.2910000000000004</v>
      </c>
      <c r="AJ2409" s="46">
        <v>39</v>
      </c>
      <c r="AK2409" s="46">
        <v>18200</v>
      </c>
      <c r="AL2409" s="46">
        <v>136881.78599999999</v>
      </c>
      <c r="AM2409" s="46">
        <v>7.5209999999999999</v>
      </c>
      <c r="AN2409" s="46" t="s">
        <v>63</v>
      </c>
      <c r="AO2409" s="46">
        <v>1300</v>
      </c>
      <c r="AP2409" s="46">
        <v>5287.2139999999999</v>
      </c>
      <c r="AQ2409" s="46">
        <v>4.0670000000000002</v>
      </c>
      <c r="AR2409" s="46">
        <v>4186</v>
      </c>
      <c r="AS2409" s="46">
        <v>45</v>
      </c>
      <c r="AT2409" s="46">
        <v>22500</v>
      </c>
      <c r="AU2409" s="46">
        <v>162594</v>
      </c>
      <c r="AV2409" s="46">
        <v>7.226</v>
      </c>
      <c r="AW2409" s="46">
        <v>39</v>
      </c>
      <c r="AX2409" s="46">
        <v>18200</v>
      </c>
      <c r="AY2409" s="46">
        <v>136881.78599999999</v>
      </c>
      <c r="AZ2409" s="46">
        <v>7.5209999999999999</v>
      </c>
      <c r="BA2409" s="46" t="s">
        <v>63</v>
      </c>
      <c r="BB2409" s="46">
        <v>4300</v>
      </c>
      <c r="BC2409" s="46">
        <v>25712.214</v>
      </c>
      <c r="BD2409" s="46">
        <v>5.98</v>
      </c>
      <c r="BE2409" s="46">
        <v>5369</v>
      </c>
      <c r="BF2409" s="46">
        <v>20425</v>
      </c>
      <c r="BG2409" s="46">
        <v>6.81</v>
      </c>
      <c r="BH2409" s="46">
        <v>0</v>
      </c>
      <c r="BJ2409">
        <v>20425</v>
      </c>
      <c r="BK2409">
        <v>6.81</v>
      </c>
      <c r="BL2409">
        <v>716.78</v>
      </c>
    </row>
    <row r="2410" spans="1:64" x14ac:dyDescent="0.25">
      <c r="A2410" s="136">
        <v>43161</v>
      </c>
      <c r="B2410" s="201" t="s">
        <v>67</v>
      </c>
      <c r="C2410" t="s">
        <v>129</v>
      </c>
      <c r="D2410">
        <v>100</v>
      </c>
      <c r="E2410">
        <v>100</v>
      </c>
      <c r="F2410">
        <v>-16.027999999999999</v>
      </c>
      <c r="G2410">
        <v>2539.8000000000002</v>
      </c>
      <c r="H2410">
        <v>0</v>
      </c>
      <c r="I2410" s="309">
        <v>937</v>
      </c>
      <c r="J2410">
        <v>9.3699999999999992</v>
      </c>
      <c r="K2410" s="133">
        <v>1.9464465457896399E-3</v>
      </c>
      <c r="L2410" s="181">
        <v>-33</v>
      </c>
      <c r="M2410" s="133">
        <v>0</v>
      </c>
      <c r="N2410" s="73">
        <v>2581.5064999997599</v>
      </c>
      <c r="O2410" s="73">
        <v>263.01893442913098</v>
      </c>
      <c r="P2410" s="182">
        <v>0</v>
      </c>
      <c r="Q2410" s="182">
        <v>0</v>
      </c>
      <c r="R2410" s="46">
        <v>0</v>
      </c>
      <c r="S2410" s="46">
        <v>20</v>
      </c>
      <c r="T2410" s="46">
        <v>8000</v>
      </c>
      <c r="U2410" s="46">
        <v>8.891</v>
      </c>
      <c r="V2410" s="46" t="s">
        <v>68</v>
      </c>
      <c r="W2410" s="46">
        <v>8000</v>
      </c>
      <c r="X2410" s="46">
        <v>8.891</v>
      </c>
      <c r="AF2410" s="46">
        <v>174</v>
      </c>
      <c r="AG2410" s="46">
        <v>86400</v>
      </c>
      <c r="AH2410" s="46">
        <v>716375</v>
      </c>
      <c r="AI2410" s="46">
        <v>8.2910000000000004</v>
      </c>
      <c r="AJ2410" s="46">
        <v>177</v>
      </c>
      <c r="AK2410" s="46">
        <v>80900</v>
      </c>
      <c r="AL2410" s="46">
        <v>716150.74650000001</v>
      </c>
      <c r="AM2410" s="46">
        <v>8.8520000000000003</v>
      </c>
      <c r="AN2410" s="46" t="s">
        <v>63</v>
      </c>
      <c r="AO2410" s="46">
        <v>5500</v>
      </c>
      <c r="AP2410" s="46">
        <v>224.25299999999999</v>
      </c>
      <c r="AQ2410" s="46">
        <v>4.1000000000000002E-2</v>
      </c>
      <c r="AR2410" s="46">
        <v>45384.9</v>
      </c>
      <c r="AS2410" s="46">
        <v>174</v>
      </c>
      <c r="AT2410" s="46">
        <v>86400</v>
      </c>
      <c r="AU2410" s="46">
        <v>716375</v>
      </c>
      <c r="AV2410" s="46">
        <v>8.2910000000000004</v>
      </c>
      <c r="AW2410" s="46">
        <v>197</v>
      </c>
      <c r="AX2410" s="46">
        <v>88900</v>
      </c>
      <c r="AY2410" s="46">
        <v>787103.62250000006</v>
      </c>
      <c r="AZ2410" s="46">
        <v>8.8539999999999992</v>
      </c>
      <c r="BA2410" s="46" t="s">
        <v>69</v>
      </c>
      <c r="BB2410" s="46">
        <v>2500</v>
      </c>
      <c r="BC2410" s="46">
        <v>70728.623000000007</v>
      </c>
      <c r="BD2410" s="46">
        <v>28.291</v>
      </c>
      <c r="BE2410" s="46">
        <v>48643.199999999997</v>
      </c>
      <c r="BF2410" s="46">
        <v>0</v>
      </c>
      <c r="BH2410" s="46">
        <v>70952.876000000004</v>
      </c>
      <c r="BI2410">
        <v>8.8699999999999992</v>
      </c>
      <c r="BJ2410">
        <v>70504.37</v>
      </c>
      <c r="BK2410">
        <v>8.81</v>
      </c>
      <c r="BL2410">
        <v>4843.6400000000003</v>
      </c>
    </row>
    <row r="2411" spans="1:64" x14ac:dyDescent="0.25">
      <c r="A2411" s="136">
        <v>43161</v>
      </c>
      <c r="B2411" s="201" t="s">
        <v>78</v>
      </c>
      <c r="C2411" t="s">
        <v>142</v>
      </c>
      <c r="D2411">
        <v>1000</v>
      </c>
      <c r="E2411">
        <v>1000</v>
      </c>
      <c r="F2411">
        <v>8.6579999999999995</v>
      </c>
      <c r="G2411">
        <v>991.52</v>
      </c>
      <c r="H2411">
        <v>11.46</v>
      </c>
      <c r="I2411" s="309">
        <v>9650</v>
      </c>
      <c r="J2411">
        <v>9.65</v>
      </c>
      <c r="K2411" s="133">
        <v>2.00461143723266E-2</v>
      </c>
      <c r="L2411" s="181">
        <v>1880.57</v>
      </c>
      <c r="M2411" s="133">
        <v>1.79864124736272E-2</v>
      </c>
      <c r="N2411" s="73">
        <v>891.51899999999705</v>
      </c>
      <c r="O2411" s="73">
        <v>93.306098481674994</v>
      </c>
      <c r="P2411" s="182">
        <v>0</v>
      </c>
      <c r="Q2411" s="182">
        <v>0</v>
      </c>
      <c r="R2411" s="46">
        <v>0</v>
      </c>
      <c r="S2411" s="46">
        <v>1</v>
      </c>
      <c r="T2411" s="46">
        <v>400</v>
      </c>
      <c r="U2411" s="46">
        <v>9.5500000000000007</v>
      </c>
      <c r="V2411" s="46" t="s">
        <v>68</v>
      </c>
      <c r="W2411" s="46">
        <v>400</v>
      </c>
      <c r="X2411" s="46">
        <v>9.5500000000000007</v>
      </c>
      <c r="AF2411" s="46">
        <v>12</v>
      </c>
      <c r="AG2411" s="46">
        <v>6000</v>
      </c>
      <c r="AH2411" s="46">
        <v>58025</v>
      </c>
      <c r="AI2411" s="46">
        <v>9.6709999999999994</v>
      </c>
      <c r="AJ2411" s="46">
        <v>12</v>
      </c>
      <c r="AK2411" s="46">
        <v>4600</v>
      </c>
      <c r="AL2411" s="46">
        <v>45555.339</v>
      </c>
      <c r="AM2411" s="46">
        <v>9.9030000000000005</v>
      </c>
      <c r="AN2411" s="46" t="s">
        <v>63</v>
      </c>
      <c r="AO2411" s="46">
        <v>1400</v>
      </c>
      <c r="AP2411" s="46">
        <v>12469.661</v>
      </c>
      <c r="AQ2411" s="46">
        <v>8.907</v>
      </c>
      <c r="AR2411" s="46">
        <v>1067.2</v>
      </c>
      <c r="AS2411" s="46">
        <v>12</v>
      </c>
      <c r="AT2411" s="46">
        <v>6000</v>
      </c>
      <c r="AU2411" s="46">
        <v>58025</v>
      </c>
      <c r="AV2411" s="46">
        <v>9.6709999999999994</v>
      </c>
      <c r="AW2411" s="46">
        <v>13</v>
      </c>
      <c r="AX2411" s="46">
        <v>5000</v>
      </c>
      <c r="AY2411" s="46">
        <v>49366.519</v>
      </c>
      <c r="AZ2411" s="46">
        <v>9.8729999999999993</v>
      </c>
      <c r="BA2411" s="46" t="s">
        <v>63</v>
      </c>
      <c r="BB2411" s="46">
        <v>1000</v>
      </c>
      <c r="BC2411" s="46">
        <v>8658.4809999999998</v>
      </c>
      <c r="BD2411" s="46">
        <v>8.6579999999999995</v>
      </c>
      <c r="BE2411" s="46">
        <v>1010</v>
      </c>
      <c r="BF2411" s="46">
        <v>0</v>
      </c>
      <c r="BH2411" s="46">
        <v>3811.18</v>
      </c>
      <c r="BI2411">
        <v>9.5299999999999994</v>
      </c>
      <c r="BJ2411">
        <v>-3811.18</v>
      </c>
      <c r="BK2411">
        <v>-9.5299999999999994</v>
      </c>
      <c r="BL2411">
        <v>110.59</v>
      </c>
    </row>
    <row r="2412" spans="1:64" x14ac:dyDescent="0.25">
      <c r="A2412" s="136">
        <v>43161</v>
      </c>
      <c r="B2412" s="201" t="s">
        <v>72</v>
      </c>
      <c r="C2412" t="s">
        <v>130</v>
      </c>
      <c r="D2412">
        <v>3300</v>
      </c>
      <c r="E2412">
        <v>3300</v>
      </c>
      <c r="F2412">
        <v>6.8769999999999998</v>
      </c>
      <c r="G2412">
        <v>-1638.91</v>
      </c>
      <c r="H2412">
        <v>-7.23</v>
      </c>
      <c r="I2412" s="309">
        <v>21054</v>
      </c>
      <c r="J2412">
        <v>6.38</v>
      </c>
      <c r="K2412" s="133">
        <v>4.3735843730047998E-2</v>
      </c>
      <c r="L2412" s="181">
        <v>-66</v>
      </c>
      <c r="M2412" s="133">
        <v>4.7140380238436599E-2</v>
      </c>
      <c r="N2412" s="73">
        <v>-2058.61599999999</v>
      </c>
      <c r="O2412" s="73">
        <v>-290.50435870252898</v>
      </c>
      <c r="P2412" s="182">
        <v>0</v>
      </c>
      <c r="Q2412" s="182">
        <v>0</v>
      </c>
      <c r="R2412" s="46">
        <v>0</v>
      </c>
      <c r="S2412" s="46">
        <v>11</v>
      </c>
      <c r="T2412" s="46">
        <v>4400</v>
      </c>
      <c r="U2412" s="46">
        <v>7.5519999999999996</v>
      </c>
      <c r="V2412" s="46" t="s">
        <v>68</v>
      </c>
      <c r="W2412" s="46">
        <v>4400</v>
      </c>
      <c r="X2412" s="46">
        <v>7.5519999999999996</v>
      </c>
      <c r="AF2412" s="46">
        <v>32</v>
      </c>
      <c r="AG2412" s="46">
        <v>15900</v>
      </c>
      <c r="AH2412" s="46">
        <v>121142</v>
      </c>
      <c r="AI2412" s="46">
        <v>7.6189999999999998</v>
      </c>
      <c r="AJ2412" s="46">
        <v>32</v>
      </c>
      <c r="AK2412" s="46">
        <v>14800</v>
      </c>
      <c r="AL2412" s="46">
        <v>66041.797000000006</v>
      </c>
      <c r="AM2412" s="46">
        <v>4.4619999999999997</v>
      </c>
      <c r="AN2412" s="46" t="s">
        <v>63</v>
      </c>
      <c r="AO2412" s="46">
        <v>1100</v>
      </c>
      <c r="AP2412" s="46">
        <v>55100.203000000001</v>
      </c>
      <c r="AQ2412" s="46">
        <v>50.091000000000001</v>
      </c>
      <c r="AR2412" s="46">
        <v>-46723.6</v>
      </c>
      <c r="AS2412" s="46">
        <v>32</v>
      </c>
      <c r="AT2412" s="46">
        <v>15900</v>
      </c>
      <c r="AU2412" s="46">
        <v>121142</v>
      </c>
      <c r="AV2412" s="46">
        <v>7.6189999999999998</v>
      </c>
      <c r="AW2412" s="46">
        <v>44</v>
      </c>
      <c r="AX2412" s="46">
        <v>19700</v>
      </c>
      <c r="AY2412" s="46">
        <v>99181.569000000003</v>
      </c>
      <c r="AZ2412" s="46">
        <v>5.0350000000000001</v>
      </c>
      <c r="BA2412" s="46" t="s">
        <v>69</v>
      </c>
      <c r="BB2412" s="46">
        <v>3800</v>
      </c>
      <c r="BC2412" s="46">
        <v>21960.431</v>
      </c>
      <c r="BD2412" s="46">
        <v>5.7789999999999999</v>
      </c>
      <c r="BE2412" s="46">
        <v>-41085.599999999999</v>
      </c>
      <c r="BF2412" s="46">
        <v>0</v>
      </c>
      <c r="BH2412" s="46">
        <v>33139.771999999997</v>
      </c>
      <c r="BI2412">
        <v>7.53</v>
      </c>
      <c r="BJ2412">
        <v>-33139.771999999997</v>
      </c>
      <c r="BK2412">
        <v>-7.53</v>
      </c>
      <c r="BL2412">
        <v>-7323.45</v>
      </c>
    </row>
    <row r="2413" spans="1:64" x14ac:dyDescent="0.25">
      <c r="A2413" s="136">
        <v>43161</v>
      </c>
      <c r="B2413" s="201" t="s">
        <v>70</v>
      </c>
      <c r="C2413" t="s">
        <v>131</v>
      </c>
      <c r="D2413">
        <v>13900</v>
      </c>
      <c r="E2413">
        <v>13900</v>
      </c>
      <c r="F2413">
        <v>11.211</v>
      </c>
      <c r="G2413">
        <v>-34899.39</v>
      </c>
      <c r="H2413">
        <v>-22.4</v>
      </c>
      <c r="I2413" s="309">
        <v>120930</v>
      </c>
      <c r="J2413">
        <v>8.6999999999999993</v>
      </c>
      <c r="K2413" s="133">
        <v>0.25121001150730099</v>
      </c>
      <c r="L2413" s="181">
        <v>278</v>
      </c>
      <c r="M2413" s="133">
        <v>0.32370712689221598</v>
      </c>
      <c r="N2413" s="73">
        <v>-33369.39</v>
      </c>
      <c r="O2413" s="73">
        <v>-3785.7781276958099</v>
      </c>
      <c r="P2413" s="182">
        <v>5</v>
      </c>
      <c r="Q2413" s="182">
        <v>3500</v>
      </c>
      <c r="R2413" s="46">
        <v>8.2110000000000003</v>
      </c>
      <c r="S2413" s="46">
        <v>4</v>
      </c>
      <c r="T2413" s="46">
        <v>1600</v>
      </c>
      <c r="U2413" s="46">
        <v>8.5850000000000009</v>
      </c>
      <c r="V2413" s="46" t="s">
        <v>62</v>
      </c>
      <c r="W2413" s="46">
        <v>1900</v>
      </c>
      <c r="X2413" s="46">
        <v>7.8959999999999999</v>
      </c>
      <c r="AF2413" s="46">
        <v>128</v>
      </c>
      <c r="AG2413" s="46">
        <v>64600</v>
      </c>
      <c r="AH2413" s="46">
        <v>861448</v>
      </c>
      <c r="AI2413" s="46">
        <v>13.335000000000001</v>
      </c>
      <c r="AJ2413" s="46">
        <v>131</v>
      </c>
      <c r="AK2413" s="46">
        <v>52600</v>
      </c>
      <c r="AL2413" s="46">
        <v>720277.34600000002</v>
      </c>
      <c r="AM2413" s="46">
        <v>13.693</v>
      </c>
      <c r="AN2413" s="46" t="s">
        <v>63</v>
      </c>
      <c r="AO2413" s="46">
        <v>12000</v>
      </c>
      <c r="AP2413" s="46">
        <v>141170.65400000001</v>
      </c>
      <c r="AQ2413" s="46">
        <v>11.763999999999999</v>
      </c>
      <c r="AR2413" s="46">
        <v>18830.8</v>
      </c>
      <c r="AS2413" s="46">
        <v>133</v>
      </c>
      <c r="AT2413" s="46">
        <v>68100</v>
      </c>
      <c r="AU2413" s="46">
        <v>890213</v>
      </c>
      <c r="AV2413" s="46">
        <v>13.071999999999999</v>
      </c>
      <c r="AW2413" s="46">
        <v>136</v>
      </c>
      <c r="AX2413" s="46">
        <v>54200</v>
      </c>
      <c r="AY2413" s="46">
        <v>734384.61</v>
      </c>
      <c r="AZ2413" s="46">
        <v>13.55</v>
      </c>
      <c r="BA2413" s="46" t="s">
        <v>63</v>
      </c>
      <c r="BB2413" s="46">
        <v>13900</v>
      </c>
      <c r="BC2413" s="46">
        <v>155828.39000000001</v>
      </c>
      <c r="BD2413" s="46">
        <v>11.211</v>
      </c>
      <c r="BE2413" s="46">
        <v>25907.599999999999</v>
      </c>
      <c r="BF2413" s="46">
        <v>28765</v>
      </c>
      <c r="BG2413" s="46">
        <v>8.2200000000000006</v>
      </c>
      <c r="BH2413" s="46">
        <v>14107.264000000099</v>
      </c>
      <c r="BI2413">
        <v>8.82</v>
      </c>
      <c r="BJ2413">
        <v>14657.736000000001</v>
      </c>
      <c r="BK2413">
        <v>7.71</v>
      </c>
      <c r="BL2413">
        <v>2164.46</v>
      </c>
    </row>
    <row r="2414" spans="1:64" x14ac:dyDescent="0.25">
      <c r="A2414" s="136">
        <v>43161</v>
      </c>
      <c r="B2414" s="201" t="s">
        <v>137</v>
      </c>
      <c r="C2414" t="s">
        <v>138</v>
      </c>
      <c r="D2414">
        <v>100</v>
      </c>
      <c r="E2414">
        <v>100</v>
      </c>
      <c r="F2414">
        <v>-130.48500000000001</v>
      </c>
      <c r="G2414">
        <v>16263.5</v>
      </c>
      <c r="H2414">
        <v>0</v>
      </c>
      <c r="I2414" s="309">
        <v>3215</v>
      </c>
      <c r="J2414">
        <v>32.15</v>
      </c>
      <c r="K2414" s="133">
        <v>6.6785759281896197E-3</v>
      </c>
      <c r="L2414" s="181">
        <v>62</v>
      </c>
      <c r="M2414" s="133">
        <v>0</v>
      </c>
    </row>
    <row r="2415" spans="1:64" x14ac:dyDescent="0.25">
      <c r="A2415" s="136">
        <v>43161</v>
      </c>
      <c r="B2415" s="201" t="s">
        <v>835</v>
      </c>
      <c r="C2415" t="s">
        <v>839</v>
      </c>
      <c r="I2415" s="309">
        <v>24765.73</v>
      </c>
      <c r="K2415" s="133">
        <v>5.1446285605612298E-2</v>
      </c>
      <c r="L2415" s="181">
        <v>0</v>
      </c>
      <c r="M2415" s="133">
        <v>0.211579051124966</v>
      </c>
    </row>
    <row r="2416" spans="1:64" x14ac:dyDescent="0.25">
      <c r="A2416" s="136">
        <v>43164</v>
      </c>
      <c r="B2416" s="201" t="s">
        <v>132</v>
      </c>
      <c r="C2416" t="s">
        <v>123</v>
      </c>
      <c r="D2416">
        <v>7709385</v>
      </c>
      <c r="E2416">
        <v>7709385</v>
      </c>
      <c r="F2416">
        <v>0.01</v>
      </c>
      <c r="G2416">
        <v>3139.41</v>
      </c>
      <c r="H2416">
        <v>0</v>
      </c>
      <c r="I2416" s="309">
        <v>77093.850000000006</v>
      </c>
      <c r="J2416">
        <v>0.01</v>
      </c>
      <c r="K2416" s="133">
        <v>0.15914128767875099</v>
      </c>
      <c r="L2416" s="181">
        <v>7.5299999999997498</v>
      </c>
      <c r="M2416" s="133">
        <v>0</v>
      </c>
    </row>
    <row r="2417" spans="1:64" x14ac:dyDescent="0.25">
      <c r="A2417" s="136">
        <v>43164</v>
      </c>
      <c r="B2417" s="201" t="s">
        <v>61</v>
      </c>
      <c r="C2417" t="s">
        <v>136</v>
      </c>
      <c r="D2417">
        <v>2800</v>
      </c>
      <c r="E2417">
        <v>2800</v>
      </c>
      <c r="F2417">
        <v>5.2069999999999999</v>
      </c>
      <c r="G2417">
        <v>-692.89</v>
      </c>
      <c r="H2417">
        <v>-4.74</v>
      </c>
      <c r="I2417" s="309">
        <v>13888</v>
      </c>
      <c r="J2417">
        <v>4.96</v>
      </c>
      <c r="K2417" s="133">
        <v>2.86683594512726E-2</v>
      </c>
      <c r="L2417" s="181">
        <v>-28</v>
      </c>
      <c r="M2417" s="133">
        <v>3.00986604003072E-2</v>
      </c>
      <c r="N2417" s="73">
        <v>-809.98500000000104</v>
      </c>
      <c r="O2417" s="73">
        <v>-164.54878201219501</v>
      </c>
      <c r="P2417" s="182">
        <v>4</v>
      </c>
      <c r="Q2417" s="182">
        <v>2000</v>
      </c>
      <c r="R2417" s="46">
        <v>5.2249999999999996</v>
      </c>
      <c r="S2417" s="46">
        <v>0</v>
      </c>
      <c r="T2417" s="46">
        <v>0</v>
      </c>
      <c r="U2417" s="46">
        <v>0</v>
      </c>
      <c r="V2417" s="46" t="s">
        <v>62</v>
      </c>
      <c r="W2417" s="46">
        <v>2000</v>
      </c>
      <c r="X2417" s="46">
        <v>5.2249999999999996</v>
      </c>
      <c r="AF2417" s="46">
        <v>9</v>
      </c>
      <c r="AG2417" s="46">
        <v>4500</v>
      </c>
      <c r="AH2417" s="46">
        <v>23912.7</v>
      </c>
      <c r="AI2417" s="46">
        <v>5.3140000000000001</v>
      </c>
      <c r="AJ2417" s="46">
        <v>9</v>
      </c>
      <c r="AK2417" s="46">
        <v>3700</v>
      </c>
      <c r="AL2417" s="46">
        <v>19797.915000000001</v>
      </c>
      <c r="AM2417" s="46">
        <v>5.351</v>
      </c>
      <c r="AN2417" s="46" t="s">
        <v>63</v>
      </c>
      <c r="AO2417" s="46">
        <v>800</v>
      </c>
      <c r="AP2417" s="46">
        <v>4114.7849999999999</v>
      </c>
      <c r="AQ2417" s="46">
        <v>5.1429999999999998</v>
      </c>
      <c r="AR2417" s="46">
        <v>136.9</v>
      </c>
      <c r="AS2417" s="46">
        <v>13</v>
      </c>
      <c r="AT2417" s="46">
        <v>6500</v>
      </c>
      <c r="AU2417" s="46">
        <v>34383.9</v>
      </c>
      <c r="AV2417" s="46">
        <v>5.29</v>
      </c>
      <c r="AW2417" s="46">
        <v>9</v>
      </c>
      <c r="AX2417" s="46">
        <v>3700</v>
      </c>
      <c r="AY2417" s="46">
        <v>19797.915000000001</v>
      </c>
      <c r="AZ2417" s="46">
        <v>5.351</v>
      </c>
      <c r="BA2417" s="46" t="s">
        <v>63</v>
      </c>
      <c r="BB2417" s="46">
        <v>2800</v>
      </c>
      <c r="BC2417" s="46">
        <v>14585.985000000001</v>
      </c>
      <c r="BD2417" s="46">
        <v>5.2089999999999996</v>
      </c>
      <c r="BE2417" s="46">
        <v>225.7</v>
      </c>
      <c r="BF2417" s="46">
        <v>10471.200000000001</v>
      </c>
      <c r="BG2417" s="46">
        <v>5.24</v>
      </c>
      <c r="BH2417" s="46">
        <v>0</v>
      </c>
      <c r="BJ2417">
        <v>10471.200000000001</v>
      </c>
      <c r="BK2417">
        <v>5.24</v>
      </c>
      <c r="BL2417">
        <v>27.6</v>
      </c>
    </row>
    <row r="2418" spans="1:64" x14ac:dyDescent="0.25">
      <c r="A2418" s="136">
        <v>43164</v>
      </c>
      <c r="B2418" s="201" t="s">
        <v>124</v>
      </c>
      <c r="C2418" t="s">
        <v>125</v>
      </c>
      <c r="D2418">
        <v>100</v>
      </c>
      <c r="E2418">
        <v>100</v>
      </c>
      <c r="F2418">
        <v>-53.579000000000001</v>
      </c>
      <c r="G2418">
        <v>6019.9</v>
      </c>
      <c r="H2418">
        <v>0</v>
      </c>
      <c r="I2418" s="309">
        <v>662</v>
      </c>
      <c r="J2418">
        <v>6.62</v>
      </c>
      <c r="K2418" s="133">
        <v>1.3665361431986201E-3</v>
      </c>
      <c r="L2418" s="181">
        <v>-6</v>
      </c>
      <c r="M2418" s="133">
        <v>0</v>
      </c>
    </row>
    <row r="2419" spans="1:64" x14ac:dyDescent="0.25">
      <c r="A2419" s="136">
        <v>43164</v>
      </c>
      <c r="B2419" s="201" t="s">
        <v>71</v>
      </c>
      <c r="C2419" t="s">
        <v>126</v>
      </c>
      <c r="D2419">
        <v>1100</v>
      </c>
      <c r="E2419">
        <v>1100</v>
      </c>
      <c r="F2419">
        <v>4.6100000000000003</v>
      </c>
      <c r="G2419">
        <v>2276.5</v>
      </c>
      <c r="H2419">
        <v>44.9</v>
      </c>
      <c r="I2419" s="309">
        <v>7348</v>
      </c>
      <c r="J2419">
        <v>6.68</v>
      </c>
      <c r="K2419" s="133">
        <v>1.5168138338706101E-2</v>
      </c>
      <c r="L2419" s="181">
        <v>-44</v>
      </c>
      <c r="M2419" s="133">
        <v>1.04688641242172E-2</v>
      </c>
      <c r="N2419" s="73">
        <v>-5077.2979999999998</v>
      </c>
      <c r="O2419" s="73">
        <v>340.50361511976001</v>
      </c>
      <c r="P2419" s="182">
        <v>0</v>
      </c>
      <c r="Q2419" s="182">
        <v>0</v>
      </c>
      <c r="R2419" s="46">
        <v>0</v>
      </c>
      <c r="S2419" s="46">
        <v>5</v>
      </c>
      <c r="T2419" s="46">
        <v>2000</v>
      </c>
      <c r="U2419" s="46">
        <v>6.625</v>
      </c>
      <c r="V2419" s="46" t="s">
        <v>68</v>
      </c>
      <c r="W2419" s="46">
        <v>2000</v>
      </c>
      <c r="X2419" s="46">
        <v>6.625</v>
      </c>
      <c r="AF2419" s="46">
        <v>43</v>
      </c>
      <c r="AG2419" s="46">
        <v>21600</v>
      </c>
      <c r="AH2419" s="46">
        <v>138103.96</v>
      </c>
      <c r="AI2419" s="46">
        <v>6.3940000000000001</v>
      </c>
      <c r="AJ2419" s="46">
        <v>41</v>
      </c>
      <c r="AK2419" s="46">
        <v>18500</v>
      </c>
      <c r="AL2419" s="46">
        <v>119652.91099999999</v>
      </c>
      <c r="AM2419" s="46">
        <v>6.468</v>
      </c>
      <c r="AN2419" s="46" t="s">
        <v>63</v>
      </c>
      <c r="AO2419" s="46">
        <v>3100</v>
      </c>
      <c r="AP2419" s="46">
        <v>18451.048999999999</v>
      </c>
      <c r="AQ2419" s="46">
        <v>5.952</v>
      </c>
      <c r="AR2419" s="46">
        <v>1369</v>
      </c>
      <c r="AS2419" s="46">
        <v>43</v>
      </c>
      <c r="AT2419" s="46">
        <v>21600</v>
      </c>
      <c r="AU2419" s="46">
        <v>138103.96</v>
      </c>
      <c r="AV2419" s="46">
        <v>6.3940000000000001</v>
      </c>
      <c r="AW2419" s="46">
        <v>46</v>
      </c>
      <c r="AX2419" s="46">
        <v>20500</v>
      </c>
      <c r="AY2419" s="46">
        <v>132870.462</v>
      </c>
      <c r="AZ2419" s="46">
        <v>6.4809999999999999</v>
      </c>
      <c r="BA2419" s="46" t="s">
        <v>63</v>
      </c>
      <c r="BB2419" s="46">
        <v>1100</v>
      </c>
      <c r="BC2419" s="46">
        <v>5233.4979999999996</v>
      </c>
      <c r="BD2419" s="46">
        <v>4.758</v>
      </c>
      <c r="BE2419" s="46">
        <v>1783.5</v>
      </c>
      <c r="BF2419" s="46">
        <v>0</v>
      </c>
      <c r="BH2419" s="46">
        <v>13217.550999999999</v>
      </c>
      <c r="BI2419">
        <v>6.61</v>
      </c>
      <c r="BJ2419">
        <v>-13217.550999999999</v>
      </c>
      <c r="BK2419">
        <v>-6.61</v>
      </c>
      <c r="BL2419">
        <v>204.94</v>
      </c>
    </row>
    <row r="2420" spans="1:64" x14ac:dyDescent="0.25">
      <c r="A2420" s="136">
        <v>43164</v>
      </c>
      <c r="B2420" s="201" t="s">
        <v>79</v>
      </c>
      <c r="C2420" t="s">
        <v>143</v>
      </c>
      <c r="D2420">
        <v>5800</v>
      </c>
      <c r="E2420">
        <v>5800</v>
      </c>
      <c r="F2420">
        <v>16.396000000000001</v>
      </c>
      <c r="G2420">
        <v>-11518.71</v>
      </c>
      <c r="H2420">
        <v>-12.11</v>
      </c>
      <c r="I2420" s="309">
        <v>83578</v>
      </c>
      <c r="J2420">
        <v>14.41</v>
      </c>
      <c r="K2420" s="133">
        <v>0.17252622020582201</v>
      </c>
      <c r="L2420" s="181">
        <v>-116</v>
      </c>
      <c r="M2420" s="133">
        <v>0.19630376331461899</v>
      </c>
      <c r="N2420" s="73">
        <v>-11928.1520000001</v>
      </c>
      <c r="O2420" s="73">
        <v>-831.39385801953097</v>
      </c>
      <c r="P2420" s="182">
        <v>9</v>
      </c>
      <c r="Q2420" s="182">
        <v>5000</v>
      </c>
      <c r="R2420" s="46">
        <v>15.945</v>
      </c>
      <c r="S2420" s="46">
        <v>0</v>
      </c>
      <c r="T2420" s="46">
        <v>0</v>
      </c>
      <c r="U2420" s="46">
        <v>0</v>
      </c>
      <c r="V2420" s="46" t="s">
        <v>62</v>
      </c>
      <c r="W2420" s="46">
        <v>5000</v>
      </c>
      <c r="X2420" s="46">
        <v>15.945</v>
      </c>
      <c r="AF2420" s="46">
        <v>8</v>
      </c>
      <c r="AG2420" s="46">
        <v>4000</v>
      </c>
      <c r="AH2420" s="46">
        <v>65067.4</v>
      </c>
      <c r="AI2420" s="46">
        <v>16.266999999999999</v>
      </c>
      <c r="AJ2420" s="46">
        <v>8</v>
      </c>
      <c r="AK2420" s="46">
        <v>3200</v>
      </c>
      <c r="AL2420" s="46">
        <v>49740.248</v>
      </c>
      <c r="AM2420" s="46">
        <v>15.544</v>
      </c>
      <c r="AN2420" s="46" t="s">
        <v>63</v>
      </c>
      <c r="AO2420" s="46">
        <v>800</v>
      </c>
      <c r="AP2420" s="46">
        <v>15327.152</v>
      </c>
      <c r="AQ2420" s="46">
        <v>19.158999999999999</v>
      </c>
      <c r="AR2420" s="46">
        <v>-2313.6</v>
      </c>
      <c r="AS2420" s="46">
        <v>17</v>
      </c>
      <c r="AT2420" s="46">
        <v>9000</v>
      </c>
      <c r="AU2420" s="46">
        <v>144840.4</v>
      </c>
      <c r="AV2420" s="46">
        <v>16.093</v>
      </c>
      <c r="AW2420" s="46">
        <v>8</v>
      </c>
      <c r="AX2420" s="46">
        <v>3200</v>
      </c>
      <c r="AY2420" s="46">
        <v>49740.248</v>
      </c>
      <c r="AZ2420" s="46">
        <v>15.544</v>
      </c>
      <c r="BA2420" s="46" t="s">
        <v>63</v>
      </c>
      <c r="BB2420" s="46">
        <v>5800</v>
      </c>
      <c r="BC2420" s="46">
        <v>95100.152000000002</v>
      </c>
      <c r="BD2420" s="46">
        <v>16.396999999999998</v>
      </c>
      <c r="BE2420" s="46">
        <v>-1756.8</v>
      </c>
      <c r="BF2420" s="46">
        <v>79773</v>
      </c>
      <c r="BG2420" s="46">
        <v>15.95</v>
      </c>
      <c r="BH2420" s="46">
        <v>0</v>
      </c>
      <c r="BJ2420">
        <v>79773</v>
      </c>
      <c r="BK2420">
        <v>15.95</v>
      </c>
      <c r="BL2420">
        <v>-160.56</v>
      </c>
    </row>
    <row r="2421" spans="1:64" x14ac:dyDescent="0.25">
      <c r="A2421" s="136">
        <v>43164</v>
      </c>
      <c r="B2421" s="201" t="s">
        <v>65</v>
      </c>
      <c r="C2421" t="s">
        <v>127</v>
      </c>
      <c r="D2421">
        <v>9000</v>
      </c>
      <c r="E2421">
        <v>9000</v>
      </c>
      <c r="F2421">
        <v>9.0980000000000008</v>
      </c>
      <c r="G2421">
        <v>11450.13</v>
      </c>
      <c r="H2421">
        <v>13.98</v>
      </c>
      <c r="I2421" s="309">
        <v>93330</v>
      </c>
      <c r="J2421">
        <v>10.37</v>
      </c>
      <c r="K2421" s="133">
        <v>0.19265682514309301</v>
      </c>
      <c r="L2421" s="181">
        <v>360</v>
      </c>
      <c r="M2421" s="133">
        <v>0.169020848573118</v>
      </c>
      <c r="N2421" s="73">
        <v>6627.7129999999697</v>
      </c>
      <c r="O2421" s="73">
        <v>1057.59571937438</v>
      </c>
      <c r="P2421" s="182">
        <v>0</v>
      </c>
      <c r="Q2421" s="182">
        <v>0</v>
      </c>
      <c r="R2421" s="46">
        <v>0</v>
      </c>
      <c r="S2421" s="46">
        <v>18</v>
      </c>
      <c r="T2421" s="46">
        <v>7600</v>
      </c>
      <c r="U2421" s="46">
        <v>11.936</v>
      </c>
      <c r="V2421" s="46" t="s">
        <v>68</v>
      </c>
      <c r="W2421" s="46">
        <v>7600</v>
      </c>
      <c r="X2421" s="46">
        <v>11.936</v>
      </c>
      <c r="AF2421" s="46">
        <v>165</v>
      </c>
      <c r="AG2421" s="46">
        <v>87800</v>
      </c>
      <c r="AH2421" s="46">
        <v>1020868.231</v>
      </c>
      <c r="AI2421" s="46">
        <v>11.627000000000001</v>
      </c>
      <c r="AJ2421" s="46">
        <v>185</v>
      </c>
      <c r="AK2421" s="46">
        <v>80400</v>
      </c>
      <c r="AL2421" s="46">
        <v>847622.65300000005</v>
      </c>
      <c r="AM2421" s="46">
        <v>10.542999999999999</v>
      </c>
      <c r="AN2421" s="46" t="s">
        <v>63</v>
      </c>
      <c r="AO2421" s="46">
        <v>7400</v>
      </c>
      <c r="AP2421" s="46">
        <v>173245.57800000001</v>
      </c>
      <c r="AQ2421" s="46">
        <v>23.411999999999999</v>
      </c>
      <c r="AR2421" s="46">
        <v>-87153.600000000006</v>
      </c>
      <c r="AS2421" s="46">
        <v>166</v>
      </c>
      <c r="AT2421" s="46">
        <v>87900</v>
      </c>
      <c r="AU2421" s="46">
        <v>1022156.231</v>
      </c>
      <c r="AV2421" s="46">
        <v>11.629</v>
      </c>
      <c r="AW2421" s="46">
        <v>203</v>
      </c>
      <c r="AX2421" s="46">
        <v>88000</v>
      </c>
      <c r="AY2421" s="46">
        <v>938152.94200000004</v>
      </c>
      <c r="AZ2421" s="46">
        <v>10.661</v>
      </c>
      <c r="BA2421" s="46" t="s">
        <v>69</v>
      </c>
      <c r="BB2421" s="46">
        <v>100</v>
      </c>
      <c r="BC2421" s="46">
        <v>84003.289000000004</v>
      </c>
      <c r="BD2421" s="46">
        <v>840.03300000000002</v>
      </c>
      <c r="BE2421" s="46">
        <v>-85087.2</v>
      </c>
      <c r="BF2421" s="46">
        <v>1288</v>
      </c>
      <c r="BH2421" s="46">
        <v>90530.289000000004</v>
      </c>
      <c r="BI2421">
        <v>11.91</v>
      </c>
      <c r="BJ2421">
        <v>-89242.289000000004</v>
      </c>
      <c r="BK2421">
        <v>-11.74</v>
      </c>
      <c r="BL2421">
        <v>-8404.4</v>
      </c>
    </row>
    <row r="2422" spans="1:64" x14ac:dyDescent="0.25">
      <c r="A2422" s="136">
        <v>43164</v>
      </c>
      <c r="B2422" s="201" t="s">
        <v>77</v>
      </c>
      <c r="C2422" t="s">
        <v>128</v>
      </c>
      <c r="D2422">
        <v>4300</v>
      </c>
      <c r="E2422">
        <v>4300</v>
      </c>
      <c r="F2422">
        <v>5.9779999999999998</v>
      </c>
      <c r="G2422">
        <v>-595.27</v>
      </c>
      <c r="H2422">
        <v>-2.31</v>
      </c>
      <c r="I2422" s="309">
        <v>25112</v>
      </c>
      <c r="J2422">
        <v>5.84</v>
      </c>
      <c r="K2422" s="133">
        <v>5.1837546265866702E-2</v>
      </c>
      <c r="L2422" s="181">
        <v>0</v>
      </c>
      <c r="M2422" s="133">
        <v>5.3066334740129298E-2</v>
      </c>
      <c r="N2422" s="73">
        <v>-1272.2139999999999</v>
      </c>
      <c r="O2422" s="73">
        <v>-133.073774655173</v>
      </c>
      <c r="P2422" s="182">
        <v>6</v>
      </c>
      <c r="Q2422" s="182">
        <v>3000</v>
      </c>
      <c r="R2422" s="46">
        <v>6.798</v>
      </c>
      <c r="S2422" s="46">
        <v>0</v>
      </c>
      <c r="T2422" s="46">
        <v>0</v>
      </c>
      <c r="U2422" s="46">
        <v>0</v>
      </c>
      <c r="V2422" s="46" t="s">
        <v>62</v>
      </c>
      <c r="W2422" s="46">
        <v>3000</v>
      </c>
      <c r="X2422" s="46">
        <v>6.798</v>
      </c>
      <c r="AF2422" s="46">
        <v>39</v>
      </c>
      <c r="AG2422" s="46">
        <v>19500</v>
      </c>
      <c r="AH2422" s="46">
        <v>142169</v>
      </c>
      <c r="AI2422" s="46">
        <v>7.2910000000000004</v>
      </c>
      <c r="AJ2422" s="46">
        <v>39</v>
      </c>
      <c r="AK2422" s="46">
        <v>18200</v>
      </c>
      <c r="AL2422" s="46">
        <v>136881.78599999999</v>
      </c>
      <c r="AM2422" s="46">
        <v>7.5209999999999999</v>
      </c>
      <c r="AN2422" s="46" t="s">
        <v>63</v>
      </c>
      <c r="AO2422" s="46">
        <v>1300</v>
      </c>
      <c r="AP2422" s="46">
        <v>5287.2139999999999</v>
      </c>
      <c r="AQ2422" s="46">
        <v>4.0670000000000002</v>
      </c>
      <c r="AR2422" s="46">
        <v>4186</v>
      </c>
      <c r="AS2422" s="46">
        <v>45</v>
      </c>
      <c r="AT2422" s="46">
        <v>22500</v>
      </c>
      <c r="AU2422" s="46">
        <v>162594</v>
      </c>
      <c r="AV2422" s="46">
        <v>7.226</v>
      </c>
      <c r="AW2422" s="46">
        <v>39</v>
      </c>
      <c r="AX2422" s="46">
        <v>18200</v>
      </c>
      <c r="AY2422" s="46">
        <v>136881.78599999999</v>
      </c>
      <c r="AZ2422" s="46">
        <v>7.5209999999999999</v>
      </c>
      <c r="BA2422" s="46" t="s">
        <v>63</v>
      </c>
      <c r="BB2422" s="46">
        <v>4300</v>
      </c>
      <c r="BC2422" s="46">
        <v>25712.214</v>
      </c>
      <c r="BD2422" s="46">
        <v>5.98</v>
      </c>
      <c r="BE2422" s="46">
        <v>5369</v>
      </c>
      <c r="BF2422" s="46">
        <v>20425</v>
      </c>
      <c r="BG2422" s="46">
        <v>6.81</v>
      </c>
      <c r="BH2422" s="46">
        <v>0</v>
      </c>
      <c r="BJ2422">
        <v>20425</v>
      </c>
      <c r="BK2422">
        <v>6.81</v>
      </c>
      <c r="BL2422">
        <v>716.78</v>
      </c>
    </row>
    <row r="2423" spans="1:64" x14ac:dyDescent="0.25">
      <c r="A2423" s="136">
        <v>43164</v>
      </c>
      <c r="B2423" s="201" t="s">
        <v>67</v>
      </c>
      <c r="C2423" t="s">
        <v>129</v>
      </c>
      <c r="D2423">
        <v>100</v>
      </c>
      <c r="E2423">
        <v>100</v>
      </c>
      <c r="F2423">
        <v>-16.027999999999999</v>
      </c>
      <c r="G2423">
        <v>2556.8000000000002</v>
      </c>
      <c r="H2423">
        <v>0</v>
      </c>
      <c r="I2423" s="309">
        <v>954</v>
      </c>
      <c r="J2423">
        <v>9.5399999999999991</v>
      </c>
      <c r="K2423" s="133">
        <v>1.96929830908079E-3</v>
      </c>
      <c r="L2423" s="181">
        <v>17</v>
      </c>
      <c r="M2423" s="133">
        <v>0</v>
      </c>
      <c r="N2423" s="73">
        <v>2581.5064999997599</v>
      </c>
      <c r="O2423" s="73">
        <v>263.01893442913098</v>
      </c>
      <c r="P2423" s="182">
        <v>0</v>
      </c>
      <c r="Q2423" s="182">
        <v>0</v>
      </c>
      <c r="R2423" s="46">
        <v>0</v>
      </c>
      <c r="S2423" s="46">
        <v>20</v>
      </c>
      <c r="T2423" s="46">
        <v>8000</v>
      </c>
      <c r="U2423" s="46">
        <v>8.891</v>
      </c>
      <c r="V2423" s="46" t="s">
        <v>68</v>
      </c>
      <c r="W2423" s="46">
        <v>8000</v>
      </c>
      <c r="X2423" s="46">
        <v>8.891</v>
      </c>
      <c r="AF2423" s="46">
        <v>174</v>
      </c>
      <c r="AG2423" s="46">
        <v>86400</v>
      </c>
      <c r="AH2423" s="46">
        <v>716375</v>
      </c>
      <c r="AI2423" s="46">
        <v>8.2910000000000004</v>
      </c>
      <c r="AJ2423" s="46">
        <v>177</v>
      </c>
      <c r="AK2423" s="46">
        <v>80900</v>
      </c>
      <c r="AL2423" s="46">
        <v>716150.74650000001</v>
      </c>
      <c r="AM2423" s="46">
        <v>8.8520000000000003</v>
      </c>
      <c r="AN2423" s="46" t="s">
        <v>63</v>
      </c>
      <c r="AO2423" s="46">
        <v>5500</v>
      </c>
      <c r="AP2423" s="46">
        <v>224.25299999999999</v>
      </c>
      <c r="AQ2423" s="46">
        <v>4.1000000000000002E-2</v>
      </c>
      <c r="AR2423" s="46">
        <v>45384.9</v>
      </c>
      <c r="AS2423" s="46">
        <v>174</v>
      </c>
      <c r="AT2423" s="46">
        <v>86400</v>
      </c>
      <c r="AU2423" s="46">
        <v>716375</v>
      </c>
      <c r="AV2423" s="46">
        <v>8.2910000000000004</v>
      </c>
      <c r="AW2423" s="46">
        <v>197</v>
      </c>
      <c r="AX2423" s="46">
        <v>88900</v>
      </c>
      <c r="AY2423" s="46">
        <v>787103.62250000006</v>
      </c>
      <c r="AZ2423" s="46">
        <v>8.8539999999999992</v>
      </c>
      <c r="BA2423" s="46" t="s">
        <v>69</v>
      </c>
      <c r="BB2423" s="46">
        <v>2500</v>
      </c>
      <c r="BC2423" s="46">
        <v>70728.623000000007</v>
      </c>
      <c r="BD2423" s="46">
        <v>28.291</v>
      </c>
      <c r="BE2423" s="46">
        <v>48643.199999999997</v>
      </c>
      <c r="BF2423" s="46">
        <v>0</v>
      </c>
      <c r="BH2423" s="46">
        <v>70952.876000000004</v>
      </c>
      <c r="BI2423">
        <v>8.8699999999999992</v>
      </c>
      <c r="BJ2423">
        <v>70504.37</v>
      </c>
      <c r="BK2423">
        <v>8.81</v>
      </c>
      <c r="BL2423">
        <v>4757.33</v>
      </c>
    </row>
    <row r="2424" spans="1:64" x14ac:dyDescent="0.25">
      <c r="A2424" s="136">
        <v>43164</v>
      </c>
      <c r="B2424" s="201" t="s">
        <v>78</v>
      </c>
      <c r="C2424" t="s">
        <v>142</v>
      </c>
      <c r="D2424">
        <v>200</v>
      </c>
      <c r="E2424">
        <v>200</v>
      </c>
      <c r="F2424">
        <v>3.0830000000000002</v>
      </c>
      <c r="G2424">
        <v>1443.45</v>
      </c>
      <c r="H2424">
        <v>234.09</v>
      </c>
      <c r="I2424" s="309">
        <v>2060</v>
      </c>
      <c r="J2424">
        <v>10.3</v>
      </c>
      <c r="K2424" s="133">
        <v>4.2523632250591496E-3</v>
      </c>
      <c r="L2424" s="181">
        <v>451.93</v>
      </c>
      <c r="M2424" s="133">
        <v>1.27271579922826E-3</v>
      </c>
      <c r="N2424" s="73">
        <v>1435.4590000000001</v>
      </c>
      <c r="O2424" s="73">
        <v>139.83833045808899</v>
      </c>
      <c r="P2424" s="182">
        <v>0</v>
      </c>
      <c r="Q2424" s="182">
        <v>0</v>
      </c>
      <c r="R2424" s="46">
        <v>0</v>
      </c>
      <c r="S2424" s="46">
        <v>3</v>
      </c>
      <c r="T2424" s="46">
        <v>1200</v>
      </c>
      <c r="U2424" s="46">
        <v>9.9</v>
      </c>
      <c r="V2424" s="46" t="s">
        <v>68</v>
      </c>
      <c r="W2424" s="46">
        <v>1200</v>
      </c>
      <c r="X2424" s="46">
        <v>9.9</v>
      </c>
      <c r="AF2424" s="46">
        <v>12</v>
      </c>
      <c r="AG2424" s="46">
        <v>6000</v>
      </c>
      <c r="AH2424" s="46">
        <v>58025</v>
      </c>
      <c r="AI2424" s="46">
        <v>9.6709999999999994</v>
      </c>
      <c r="AJ2424" s="46">
        <v>12</v>
      </c>
      <c r="AK2424" s="46">
        <v>4600</v>
      </c>
      <c r="AL2424" s="46">
        <v>45555.339</v>
      </c>
      <c r="AM2424" s="46">
        <v>9.9030000000000005</v>
      </c>
      <c r="AN2424" s="46" t="s">
        <v>63</v>
      </c>
      <c r="AO2424" s="46">
        <v>1400</v>
      </c>
      <c r="AP2424" s="46">
        <v>12469.661</v>
      </c>
      <c r="AQ2424" s="46">
        <v>8.907</v>
      </c>
      <c r="AR2424" s="46">
        <v>1067.2</v>
      </c>
      <c r="AS2424" s="46">
        <v>12</v>
      </c>
      <c r="AT2424" s="46">
        <v>6000</v>
      </c>
      <c r="AU2424" s="46">
        <v>58025</v>
      </c>
      <c r="AV2424" s="46">
        <v>9.6709999999999994</v>
      </c>
      <c r="AW2424" s="46">
        <v>15</v>
      </c>
      <c r="AX2424" s="46">
        <v>5800</v>
      </c>
      <c r="AY2424" s="46">
        <v>57408.459000000003</v>
      </c>
      <c r="AZ2424" s="46">
        <v>9.8979999999999997</v>
      </c>
      <c r="BA2424" s="46" t="s">
        <v>63</v>
      </c>
      <c r="BB2424" s="46">
        <v>200</v>
      </c>
      <c r="BC2424" s="46">
        <v>616.54100000000005</v>
      </c>
      <c r="BD2424" s="46">
        <v>3.0830000000000002</v>
      </c>
      <c r="BE2424" s="46">
        <v>1316.6</v>
      </c>
      <c r="BF2424" s="46">
        <v>0</v>
      </c>
      <c r="BH2424" s="46">
        <v>11853.12</v>
      </c>
      <c r="BI2424">
        <v>9.8800000000000008</v>
      </c>
      <c r="BJ2424">
        <v>-11853.12</v>
      </c>
      <c r="BK2424">
        <v>-9.8800000000000008</v>
      </c>
      <c r="BL2424">
        <v>103.61</v>
      </c>
    </row>
    <row r="2425" spans="1:64" x14ac:dyDescent="0.25">
      <c r="A2425" s="136">
        <v>43164</v>
      </c>
      <c r="B2425" s="201" t="s">
        <v>72</v>
      </c>
      <c r="C2425" t="s">
        <v>130</v>
      </c>
      <c r="D2425">
        <v>3300</v>
      </c>
      <c r="E2425">
        <v>3300</v>
      </c>
      <c r="F2425">
        <v>6.8769999999999998</v>
      </c>
      <c r="G2425">
        <v>-1374.91</v>
      </c>
      <c r="H2425">
        <v>-6.06</v>
      </c>
      <c r="I2425" s="309">
        <v>21318</v>
      </c>
      <c r="J2425">
        <v>6.46</v>
      </c>
      <c r="K2425" s="133">
        <v>4.4005766617384E-2</v>
      </c>
      <c r="L2425" s="181">
        <v>264</v>
      </c>
      <c r="M2425" s="133">
        <v>4.6843930074552002E-2</v>
      </c>
      <c r="N2425" s="73">
        <v>-2058.61599999999</v>
      </c>
      <c r="O2425" s="73">
        <v>-290.50435870252898</v>
      </c>
      <c r="P2425" s="182">
        <v>0</v>
      </c>
      <c r="Q2425" s="182">
        <v>0</v>
      </c>
      <c r="R2425" s="46">
        <v>0</v>
      </c>
      <c r="S2425" s="46">
        <v>11</v>
      </c>
      <c r="T2425" s="46">
        <v>4400</v>
      </c>
      <c r="U2425" s="46">
        <v>7.5519999999999996</v>
      </c>
      <c r="V2425" s="46" t="s">
        <v>68</v>
      </c>
      <c r="W2425" s="46">
        <v>4400</v>
      </c>
      <c r="X2425" s="46">
        <v>7.5519999999999996</v>
      </c>
      <c r="AF2425" s="46">
        <v>32</v>
      </c>
      <c r="AG2425" s="46">
        <v>15900</v>
      </c>
      <c r="AH2425" s="46">
        <v>121142</v>
      </c>
      <c r="AI2425" s="46">
        <v>7.6189999999999998</v>
      </c>
      <c r="AJ2425" s="46">
        <v>32</v>
      </c>
      <c r="AK2425" s="46">
        <v>14800</v>
      </c>
      <c r="AL2425" s="46">
        <v>66041.797000000006</v>
      </c>
      <c r="AM2425" s="46">
        <v>4.4619999999999997</v>
      </c>
      <c r="AN2425" s="46" t="s">
        <v>63</v>
      </c>
      <c r="AO2425" s="46">
        <v>1100</v>
      </c>
      <c r="AP2425" s="46">
        <v>55100.203000000001</v>
      </c>
      <c r="AQ2425" s="46">
        <v>50.091000000000001</v>
      </c>
      <c r="AR2425" s="46">
        <v>-46723.6</v>
      </c>
      <c r="AS2425" s="46">
        <v>32</v>
      </c>
      <c r="AT2425" s="46">
        <v>15900</v>
      </c>
      <c r="AU2425" s="46">
        <v>121142</v>
      </c>
      <c r="AV2425" s="46">
        <v>7.6189999999999998</v>
      </c>
      <c r="AW2425" s="46">
        <v>44</v>
      </c>
      <c r="AX2425" s="46">
        <v>19700</v>
      </c>
      <c r="AY2425" s="46">
        <v>99181.569000000003</v>
      </c>
      <c r="AZ2425" s="46">
        <v>5.0350000000000001</v>
      </c>
      <c r="BA2425" s="46" t="s">
        <v>69</v>
      </c>
      <c r="BB2425" s="46">
        <v>3800</v>
      </c>
      <c r="BC2425" s="46">
        <v>21960.431</v>
      </c>
      <c r="BD2425" s="46">
        <v>5.7789999999999999</v>
      </c>
      <c r="BE2425" s="46">
        <v>-41085.599999999999</v>
      </c>
      <c r="BF2425" s="46">
        <v>0</v>
      </c>
      <c r="BH2425" s="46">
        <v>33139.771999999997</v>
      </c>
      <c r="BI2425">
        <v>7.53</v>
      </c>
      <c r="BJ2425">
        <v>-33139.771999999997</v>
      </c>
      <c r="BK2425">
        <v>-7.53</v>
      </c>
      <c r="BL2425">
        <v>-7232.76</v>
      </c>
    </row>
    <row r="2426" spans="1:64" x14ac:dyDescent="0.25">
      <c r="A2426" s="136">
        <v>43164</v>
      </c>
      <c r="B2426" s="201" t="s">
        <v>70</v>
      </c>
      <c r="C2426" t="s">
        <v>131</v>
      </c>
      <c r="D2426">
        <v>13900</v>
      </c>
      <c r="E2426">
        <v>13900</v>
      </c>
      <c r="F2426">
        <v>11.211</v>
      </c>
      <c r="G2426">
        <v>-32814.39</v>
      </c>
      <c r="H2426">
        <v>-21.06</v>
      </c>
      <c r="I2426" s="309">
        <v>123015</v>
      </c>
      <c r="J2426">
        <v>8.85</v>
      </c>
      <c r="K2426" s="133">
        <v>0.25393420491779201</v>
      </c>
      <c r="L2426" s="181">
        <v>2085</v>
      </c>
      <c r="M2426" s="133">
        <v>0.32167144049485502</v>
      </c>
      <c r="N2426" s="73">
        <v>-33369.39</v>
      </c>
      <c r="O2426" s="73">
        <v>-3785.7781276958099</v>
      </c>
      <c r="P2426" s="182">
        <v>5</v>
      </c>
      <c r="Q2426" s="182">
        <v>3500</v>
      </c>
      <c r="R2426" s="46">
        <v>8.2110000000000003</v>
      </c>
      <c r="S2426" s="46">
        <v>4</v>
      </c>
      <c r="T2426" s="46">
        <v>1600</v>
      </c>
      <c r="U2426" s="46">
        <v>8.5850000000000009</v>
      </c>
      <c r="V2426" s="46" t="s">
        <v>62</v>
      </c>
      <c r="W2426" s="46">
        <v>1900</v>
      </c>
      <c r="X2426" s="46">
        <v>7.8959999999999999</v>
      </c>
      <c r="AF2426" s="46">
        <v>128</v>
      </c>
      <c r="AG2426" s="46">
        <v>64600</v>
      </c>
      <c r="AH2426" s="46">
        <v>861448</v>
      </c>
      <c r="AI2426" s="46">
        <v>13.335000000000001</v>
      </c>
      <c r="AJ2426" s="46">
        <v>131</v>
      </c>
      <c r="AK2426" s="46">
        <v>52600</v>
      </c>
      <c r="AL2426" s="46">
        <v>720277.34600000002</v>
      </c>
      <c r="AM2426" s="46">
        <v>13.693</v>
      </c>
      <c r="AN2426" s="46" t="s">
        <v>63</v>
      </c>
      <c r="AO2426" s="46">
        <v>12000</v>
      </c>
      <c r="AP2426" s="46">
        <v>141170.65400000001</v>
      </c>
      <c r="AQ2426" s="46">
        <v>11.763999999999999</v>
      </c>
      <c r="AR2426" s="46">
        <v>18830.8</v>
      </c>
      <c r="AS2426" s="46">
        <v>133</v>
      </c>
      <c r="AT2426" s="46">
        <v>68100</v>
      </c>
      <c r="AU2426" s="46">
        <v>890213</v>
      </c>
      <c r="AV2426" s="46">
        <v>13.071999999999999</v>
      </c>
      <c r="AW2426" s="46">
        <v>136</v>
      </c>
      <c r="AX2426" s="46">
        <v>54200</v>
      </c>
      <c r="AY2426" s="46">
        <v>734384.61</v>
      </c>
      <c r="AZ2426" s="46">
        <v>13.55</v>
      </c>
      <c r="BA2426" s="46" t="s">
        <v>63</v>
      </c>
      <c r="BB2426" s="46">
        <v>13900</v>
      </c>
      <c r="BC2426" s="46">
        <v>155828.39000000001</v>
      </c>
      <c r="BD2426" s="46">
        <v>11.211</v>
      </c>
      <c r="BE2426" s="46">
        <v>25907.599999999999</v>
      </c>
      <c r="BF2426" s="46">
        <v>28765</v>
      </c>
      <c r="BG2426" s="46">
        <v>8.2200000000000006</v>
      </c>
      <c r="BH2426" s="46">
        <v>14107.264000000099</v>
      </c>
      <c r="BI2426">
        <v>8.82</v>
      </c>
      <c r="BJ2426">
        <v>14657.736000000001</v>
      </c>
      <c r="BK2426">
        <v>7.71</v>
      </c>
      <c r="BL2426">
        <v>2127.77</v>
      </c>
    </row>
    <row r="2427" spans="1:64" x14ac:dyDescent="0.25">
      <c r="A2427" s="136">
        <v>43164</v>
      </c>
      <c r="B2427" s="201" t="s">
        <v>137</v>
      </c>
      <c r="C2427" t="s">
        <v>138</v>
      </c>
      <c r="D2427">
        <v>100</v>
      </c>
      <c r="E2427">
        <v>100</v>
      </c>
      <c r="F2427">
        <v>-130.48500000000001</v>
      </c>
      <c r="G2427">
        <v>16318.5</v>
      </c>
      <c r="H2427">
        <v>0</v>
      </c>
      <c r="I2427" s="309">
        <v>3270</v>
      </c>
      <c r="J2427">
        <v>32.700000000000003</v>
      </c>
      <c r="K2427" s="133">
        <v>6.7501105562832201E-3</v>
      </c>
      <c r="L2427" s="181">
        <v>55</v>
      </c>
      <c r="M2427" s="133">
        <v>0</v>
      </c>
    </row>
    <row r="2428" spans="1:64" x14ac:dyDescent="0.25">
      <c r="A2428" s="136">
        <v>43164</v>
      </c>
      <c r="B2428" s="201" t="s">
        <v>835</v>
      </c>
      <c r="C2428" t="s">
        <v>839</v>
      </c>
      <c r="I2428" s="309">
        <v>32807.660000000003</v>
      </c>
      <c r="K2428" s="133">
        <v>6.7723343147691295E-2</v>
      </c>
      <c r="L2428" s="181">
        <v>0</v>
      </c>
      <c r="M2428" s="133">
        <v>0.22686463082644201</v>
      </c>
    </row>
    <row r="2429" spans="1:64" x14ac:dyDescent="0.25">
      <c r="A2429" s="136">
        <v>43165</v>
      </c>
      <c r="B2429" s="201" t="s">
        <v>132</v>
      </c>
      <c r="C2429" t="s">
        <v>123</v>
      </c>
      <c r="D2429">
        <v>11211361</v>
      </c>
      <c r="E2429">
        <v>7711361</v>
      </c>
      <c r="F2429">
        <v>0.01</v>
      </c>
      <c r="G2429">
        <v>3159.17</v>
      </c>
      <c r="H2429">
        <v>0</v>
      </c>
      <c r="I2429" s="309">
        <v>112113.61</v>
      </c>
      <c r="J2429">
        <v>0.01</v>
      </c>
      <c r="K2429" s="133">
        <v>0.23050433715997401</v>
      </c>
      <c r="L2429" s="181">
        <v>19.760000000000201</v>
      </c>
      <c r="M2429" s="133">
        <v>0</v>
      </c>
    </row>
    <row r="2430" spans="1:64" x14ac:dyDescent="0.25">
      <c r="A2430" s="136">
        <v>43165</v>
      </c>
      <c r="B2430" s="201" t="s">
        <v>61</v>
      </c>
      <c r="C2430" t="s">
        <v>136</v>
      </c>
      <c r="D2430">
        <v>2800</v>
      </c>
      <c r="E2430">
        <v>2800</v>
      </c>
      <c r="F2430">
        <v>5.2069999999999999</v>
      </c>
      <c r="G2430">
        <v>-524.89</v>
      </c>
      <c r="H2430">
        <v>-3.59</v>
      </c>
      <c r="I2430" s="309">
        <v>14056</v>
      </c>
      <c r="J2430">
        <v>5.0199999999999996</v>
      </c>
      <c r="K2430" s="133">
        <v>2.8898979910829702E-2</v>
      </c>
      <c r="L2430" s="181">
        <v>168</v>
      </c>
      <c r="M2430" s="133">
        <v>2.9978147922027399E-2</v>
      </c>
      <c r="N2430" s="73">
        <v>-809.98500000000104</v>
      </c>
      <c r="O2430" s="73">
        <v>-164.54878201219501</v>
      </c>
      <c r="P2430" s="182">
        <v>4</v>
      </c>
      <c r="Q2430" s="182">
        <v>2000</v>
      </c>
      <c r="R2430" s="46">
        <v>5.2249999999999996</v>
      </c>
      <c r="S2430" s="46">
        <v>0</v>
      </c>
      <c r="T2430" s="46">
        <v>0</v>
      </c>
      <c r="U2430" s="46">
        <v>0</v>
      </c>
      <c r="V2430" s="46" t="s">
        <v>62</v>
      </c>
      <c r="W2430" s="46">
        <v>2000</v>
      </c>
      <c r="X2430" s="46">
        <v>5.2249999999999996</v>
      </c>
      <c r="AF2430" s="46">
        <v>9</v>
      </c>
      <c r="AG2430" s="46">
        <v>4500</v>
      </c>
      <c r="AH2430" s="46">
        <v>23912.7</v>
      </c>
      <c r="AI2430" s="46">
        <v>5.3140000000000001</v>
      </c>
      <c r="AJ2430" s="46">
        <v>9</v>
      </c>
      <c r="AK2430" s="46">
        <v>3700</v>
      </c>
      <c r="AL2430" s="46">
        <v>19797.915000000001</v>
      </c>
      <c r="AM2430" s="46">
        <v>5.351</v>
      </c>
      <c r="AN2430" s="46" t="s">
        <v>63</v>
      </c>
      <c r="AO2430" s="46">
        <v>800</v>
      </c>
      <c r="AP2430" s="46">
        <v>4114.7849999999999</v>
      </c>
      <c r="AQ2430" s="46">
        <v>5.1429999999999998</v>
      </c>
      <c r="AR2430" s="46">
        <v>136.9</v>
      </c>
      <c r="AS2430" s="46">
        <v>13</v>
      </c>
      <c r="AT2430" s="46">
        <v>6500</v>
      </c>
      <c r="AU2430" s="46">
        <v>34383.9</v>
      </c>
      <c r="AV2430" s="46">
        <v>5.29</v>
      </c>
      <c r="AW2430" s="46">
        <v>9</v>
      </c>
      <c r="AX2430" s="46">
        <v>3700</v>
      </c>
      <c r="AY2430" s="46">
        <v>19797.915000000001</v>
      </c>
      <c r="AZ2430" s="46">
        <v>5.351</v>
      </c>
      <c r="BA2430" s="46" t="s">
        <v>63</v>
      </c>
      <c r="BB2430" s="46">
        <v>2800</v>
      </c>
      <c r="BC2430" s="46">
        <v>14585.985000000001</v>
      </c>
      <c r="BD2430" s="46">
        <v>5.2089999999999996</v>
      </c>
      <c r="BE2430" s="46">
        <v>225.7</v>
      </c>
      <c r="BF2430" s="46">
        <v>10471.200000000001</v>
      </c>
      <c r="BG2430" s="46">
        <v>5.24</v>
      </c>
      <c r="BH2430" s="46">
        <v>0</v>
      </c>
      <c r="BJ2430">
        <v>10471.200000000001</v>
      </c>
      <c r="BK2430">
        <v>5.24</v>
      </c>
      <c r="BL2430">
        <v>27.27</v>
      </c>
    </row>
    <row r="2431" spans="1:64" x14ac:dyDescent="0.25">
      <c r="A2431" s="136">
        <v>43165</v>
      </c>
      <c r="B2431" s="201" t="s">
        <v>124</v>
      </c>
      <c r="C2431" t="s">
        <v>125</v>
      </c>
      <c r="D2431">
        <v>100</v>
      </c>
      <c r="E2431">
        <v>100</v>
      </c>
      <c r="F2431">
        <v>-53.579000000000001</v>
      </c>
      <c r="G2431">
        <v>6012.9</v>
      </c>
      <c r="H2431">
        <v>0</v>
      </c>
      <c r="I2431" s="309">
        <v>655</v>
      </c>
      <c r="J2431">
        <v>6.55</v>
      </c>
      <c r="K2431" s="133">
        <v>1.3466727263512701E-3</v>
      </c>
      <c r="L2431" s="181">
        <v>-7</v>
      </c>
      <c r="M2431" s="133">
        <v>0</v>
      </c>
    </row>
    <row r="2432" spans="1:64" x14ac:dyDescent="0.25">
      <c r="A2432" s="136">
        <v>43165</v>
      </c>
      <c r="B2432" s="201" t="s">
        <v>71</v>
      </c>
      <c r="C2432" t="s">
        <v>126</v>
      </c>
      <c r="D2432">
        <v>1100</v>
      </c>
      <c r="E2432">
        <v>1100</v>
      </c>
      <c r="F2432">
        <v>4.6100000000000003</v>
      </c>
      <c r="G2432">
        <v>2331.5</v>
      </c>
      <c r="H2432">
        <v>45.99</v>
      </c>
      <c r="I2432" s="309">
        <v>7403</v>
      </c>
      <c r="J2432">
        <v>6.73</v>
      </c>
      <c r="K2432" s="133">
        <v>1.52204857911121E-2</v>
      </c>
      <c r="L2432" s="181">
        <v>55</v>
      </c>
      <c r="M2432" s="133">
        <v>1.04269476819702E-2</v>
      </c>
      <c r="N2432" s="73">
        <v>-5077.2979999999998</v>
      </c>
      <c r="O2432" s="73">
        <v>340.50361511976001</v>
      </c>
      <c r="P2432" s="182">
        <v>0</v>
      </c>
      <c r="Q2432" s="182">
        <v>0</v>
      </c>
      <c r="R2432" s="46">
        <v>0</v>
      </c>
      <c r="S2432" s="46">
        <v>5</v>
      </c>
      <c r="T2432" s="46">
        <v>2000</v>
      </c>
      <c r="U2432" s="46">
        <v>6.625</v>
      </c>
      <c r="V2432" s="46" t="s">
        <v>68</v>
      </c>
      <c r="W2432" s="46">
        <v>2000</v>
      </c>
      <c r="X2432" s="46">
        <v>6.625</v>
      </c>
      <c r="AF2432" s="46">
        <v>43</v>
      </c>
      <c r="AG2432" s="46">
        <v>21600</v>
      </c>
      <c r="AH2432" s="46">
        <v>138103.96</v>
      </c>
      <c r="AI2432" s="46">
        <v>6.3940000000000001</v>
      </c>
      <c r="AJ2432" s="46">
        <v>41</v>
      </c>
      <c r="AK2432" s="46">
        <v>18500</v>
      </c>
      <c r="AL2432" s="46">
        <v>119652.91099999999</v>
      </c>
      <c r="AM2432" s="46">
        <v>6.468</v>
      </c>
      <c r="AN2432" s="46" t="s">
        <v>63</v>
      </c>
      <c r="AO2432" s="46">
        <v>3100</v>
      </c>
      <c r="AP2432" s="46">
        <v>18451.048999999999</v>
      </c>
      <c r="AQ2432" s="46">
        <v>5.952</v>
      </c>
      <c r="AR2432" s="46">
        <v>1369</v>
      </c>
      <c r="AS2432" s="46">
        <v>43</v>
      </c>
      <c r="AT2432" s="46">
        <v>21600</v>
      </c>
      <c r="AU2432" s="46">
        <v>138103.96</v>
      </c>
      <c r="AV2432" s="46">
        <v>6.3940000000000001</v>
      </c>
      <c r="AW2432" s="46">
        <v>46</v>
      </c>
      <c r="AX2432" s="46">
        <v>20500</v>
      </c>
      <c r="AY2432" s="46">
        <v>132870.462</v>
      </c>
      <c r="AZ2432" s="46">
        <v>6.4809999999999999</v>
      </c>
      <c r="BA2432" s="46" t="s">
        <v>63</v>
      </c>
      <c r="BB2432" s="46">
        <v>1100</v>
      </c>
      <c r="BC2432" s="46">
        <v>5233.4979999999996</v>
      </c>
      <c r="BD2432" s="46">
        <v>4.758</v>
      </c>
      <c r="BE2432" s="46">
        <v>1783.5</v>
      </c>
      <c r="BF2432" s="46">
        <v>0</v>
      </c>
      <c r="BH2432" s="46">
        <v>13217.550999999999</v>
      </c>
      <c r="BI2432">
        <v>6.61</v>
      </c>
      <c r="BJ2432">
        <v>-13217.550999999999</v>
      </c>
      <c r="BK2432">
        <v>-6.61</v>
      </c>
      <c r="BL2432">
        <v>203.42</v>
      </c>
    </row>
    <row r="2433" spans="1:64" x14ac:dyDescent="0.25">
      <c r="A2433" s="136">
        <v>43165</v>
      </c>
      <c r="B2433" s="201" t="s">
        <v>79</v>
      </c>
      <c r="C2433" t="s">
        <v>143</v>
      </c>
      <c r="D2433">
        <v>5400</v>
      </c>
      <c r="E2433">
        <v>5400</v>
      </c>
      <c r="F2433">
        <v>16.536000000000001</v>
      </c>
      <c r="G2433">
        <v>-10725.64</v>
      </c>
      <c r="H2433">
        <v>-12.01</v>
      </c>
      <c r="I2433" s="309">
        <v>78570</v>
      </c>
      <c r="J2433">
        <v>14.55</v>
      </c>
      <c r="K2433" s="133">
        <v>0.16153904749529699</v>
      </c>
      <c r="L2433" s="181">
        <v>793.07</v>
      </c>
      <c r="M2433" s="133">
        <v>0.18359084422913199</v>
      </c>
      <c r="N2433" s="73">
        <v>-10837.2040000001</v>
      </c>
      <c r="O2433" s="73">
        <v>-745.47731576050103</v>
      </c>
      <c r="P2433" s="182">
        <v>8</v>
      </c>
      <c r="Q2433" s="182">
        <v>4500</v>
      </c>
      <c r="R2433" s="46">
        <v>15.808</v>
      </c>
      <c r="S2433" s="46">
        <v>0</v>
      </c>
      <c r="T2433" s="46">
        <v>0</v>
      </c>
      <c r="U2433" s="46">
        <v>0</v>
      </c>
      <c r="V2433" s="46" t="s">
        <v>62</v>
      </c>
      <c r="W2433" s="46">
        <v>4500</v>
      </c>
      <c r="X2433" s="46">
        <v>15.808</v>
      </c>
      <c r="AF2433" s="46">
        <v>9</v>
      </c>
      <c r="AG2433" s="46">
        <v>4500</v>
      </c>
      <c r="AH2433" s="46">
        <v>73662.7</v>
      </c>
      <c r="AI2433" s="46">
        <v>16.369</v>
      </c>
      <c r="AJ2433" s="46">
        <v>9</v>
      </c>
      <c r="AK2433" s="46">
        <v>3600</v>
      </c>
      <c r="AL2433" s="46">
        <v>55541.196000000004</v>
      </c>
      <c r="AM2433" s="46">
        <v>15.428000000000001</v>
      </c>
      <c r="AN2433" s="46" t="s">
        <v>63</v>
      </c>
      <c r="AO2433" s="46">
        <v>900</v>
      </c>
      <c r="AP2433" s="46">
        <v>18121.504000000001</v>
      </c>
      <c r="AQ2433" s="46">
        <v>20.135000000000002</v>
      </c>
      <c r="AR2433" s="46">
        <v>-3387.6</v>
      </c>
      <c r="AS2433" s="46">
        <v>17</v>
      </c>
      <c r="AT2433" s="46">
        <v>9000</v>
      </c>
      <c r="AU2433" s="46">
        <v>144840.4</v>
      </c>
      <c r="AV2433" s="46">
        <v>16.093</v>
      </c>
      <c r="AW2433" s="46">
        <v>9</v>
      </c>
      <c r="AX2433" s="46">
        <v>3600</v>
      </c>
      <c r="AY2433" s="46">
        <v>55541.196000000004</v>
      </c>
      <c r="AZ2433" s="46">
        <v>15.428000000000001</v>
      </c>
      <c r="BA2433" s="46" t="s">
        <v>63</v>
      </c>
      <c r="BB2433" s="46">
        <v>5400</v>
      </c>
      <c r="BC2433" s="46">
        <v>89299.203999999998</v>
      </c>
      <c r="BD2433" s="46">
        <v>16.536999999999999</v>
      </c>
      <c r="BE2433" s="46">
        <v>-2394</v>
      </c>
      <c r="BF2433" s="46">
        <v>71177.7</v>
      </c>
      <c r="BG2433" s="46">
        <v>15.82</v>
      </c>
      <c r="BH2433" s="46">
        <v>0</v>
      </c>
      <c r="BJ2433">
        <v>71177.7</v>
      </c>
      <c r="BK2433">
        <v>15.82</v>
      </c>
      <c r="BL2433">
        <v>-232.82</v>
      </c>
    </row>
    <row r="2434" spans="1:64" x14ac:dyDescent="0.25">
      <c r="A2434" s="136">
        <v>43165</v>
      </c>
      <c r="B2434" s="201" t="s">
        <v>65</v>
      </c>
      <c r="C2434" t="s">
        <v>127</v>
      </c>
      <c r="D2434">
        <v>8200</v>
      </c>
      <c r="E2434">
        <v>8200</v>
      </c>
      <c r="F2434">
        <v>8.9640000000000004</v>
      </c>
      <c r="G2434">
        <v>12515.74</v>
      </c>
      <c r="H2434">
        <v>17.02</v>
      </c>
      <c r="I2434" s="309">
        <v>86018</v>
      </c>
      <c r="J2434">
        <v>10.49</v>
      </c>
      <c r="K2434" s="133">
        <v>0.176852052786692</v>
      </c>
      <c r="L2434" s="181">
        <v>1065.6099999999999</v>
      </c>
      <c r="M2434" s="133">
        <v>0.151119830331572</v>
      </c>
      <c r="N2434" s="73">
        <v>8561.31699999997</v>
      </c>
      <c r="O2434" s="73">
        <v>1219.03599855174</v>
      </c>
      <c r="P2434" s="182">
        <v>0</v>
      </c>
      <c r="Q2434" s="182">
        <v>0</v>
      </c>
      <c r="R2434" s="46">
        <v>0</v>
      </c>
      <c r="S2434" s="46">
        <v>20</v>
      </c>
      <c r="T2434" s="46">
        <v>8400</v>
      </c>
      <c r="U2434" s="46">
        <v>11.798</v>
      </c>
      <c r="V2434" s="46" t="s">
        <v>68</v>
      </c>
      <c r="W2434" s="46">
        <v>8400</v>
      </c>
      <c r="X2434" s="46">
        <v>11.798</v>
      </c>
      <c r="AF2434" s="46">
        <v>165</v>
      </c>
      <c r="AG2434" s="46">
        <v>87800</v>
      </c>
      <c r="AH2434" s="46">
        <v>1020868.231</v>
      </c>
      <c r="AI2434" s="46">
        <v>11.627000000000001</v>
      </c>
      <c r="AJ2434" s="46">
        <v>185</v>
      </c>
      <c r="AK2434" s="46">
        <v>80400</v>
      </c>
      <c r="AL2434" s="46">
        <v>847622.65300000005</v>
      </c>
      <c r="AM2434" s="46">
        <v>10.542999999999999</v>
      </c>
      <c r="AN2434" s="46" t="s">
        <v>63</v>
      </c>
      <c r="AO2434" s="46">
        <v>7400</v>
      </c>
      <c r="AP2434" s="46">
        <v>173245.57800000001</v>
      </c>
      <c r="AQ2434" s="46">
        <v>23.411999999999999</v>
      </c>
      <c r="AR2434" s="46">
        <v>-87153.600000000006</v>
      </c>
      <c r="AS2434" s="46">
        <v>166</v>
      </c>
      <c r="AT2434" s="46">
        <v>87900</v>
      </c>
      <c r="AU2434" s="46">
        <v>1022156.231</v>
      </c>
      <c r="AV2434" s="46">
        <v>11.629</v>
      </c>
      <c r="AW2434" s="46">
        <v>205</v>
      </c>
      <c r="AX2434" s="46">
        <v>88800</v>
      </c>
      <c r="AY2434" s="46">
        <v>946530.54599999997</v>
      </c>
      <c r="AZ2434" s="46">
        <v>10.659000000000001</v>
      </c>
      <c r="BA2434" s="46" t="s">
        <v>69</v>
      </c>
      <c r="BB2434" s="46">
        <v>900</v>
      </c>
      <c r="BC2434" s="46">
        <v>75625.684999999998</v>
      </c>
      <c r="BD2434" s="46">
        <v>84.028999999999996</v>
      </c>
      <c r="BE2434" s="46">
        <v>-85263</v>
      </c>
      <c r="BF2434" s="46">
        <v>1288</v>
      </c>
      <c r="BH2434" s="46">
        <v>98907.892999999895</v>
      </c>
      <c r="BI2434">
        <v>11.77</v>
      </c>
      <c r="BJ2434">
        <v>-97619.892999999996</v>
      </c>
      <c r="BK2434">
        <v>-11.62</v>
      </c>
      <c r="BL2434">
        <v>-8308.26</v>
      </c>
    </row>
    <row r="2435" spans="1:64" x14ac:dyDescent="0.25">
      <c r="A2435" s="136">
        <v>43165</v>
      </c>
      <c r="B2435" s="201" t="s">
        <v>77</v>
      </c>
      <c r="C2435" t="s">
        <v>128</v>
      </c>
      <c r="D2435">
        <v>4300</v>
      </c>
      <c r="E2435">
        <v>4300</v>
      </c>
      <c r="F2435">
        <v>5.9779999999999998</v>
      </c>
      <c r="G2435">
        <v>-595.27</v>
      </c>
      <c r="H2435">
        <v>-2.31</v>
      </c>
      <c r="I2435" s="309">
        <v>25112</v>
      </c>
      <c r="J2435">
        <v>5.84</v>
      </c>
      <c r="K2435" s="133">
        <v>5.1629993136081097E-2</v>
      </c>
      <c r="L2435" s="181">
        <v>0</v>
      </c>
      <c r="M2435" s="133">
        <v>5.2853861645722498E-2</v>
      </c>
      <c r="N2435" s="73">
        <v>-1272.2139999999999</v>
      </c>
      <c r="O2435" s="73">
        <v>-133.073774655173</v>
      </c>
      <c r="P2435" s="182">
        <v>6</v>
      </c>
      <c r="Q2435" s="182">
        <v>3000</v>
      </c>
      <c r="R2435" s="46">
        <v>6.798</v>
      </c>
      <c r="S2435" s="46">
        <v>0</v>
      </c>
      <c r="T2435" s="46">
        <v>0</v>
      </c>
      <c r="U2435" s="46">
        <v>0</v>
      </c>
      <c r="V2435" s="46" t="s">
        <v>62</v>
      </c>
      <c r="W2435" s="46">
        <v>3000</v>
      </c>
      <c r="X2435" s="46">
        <v>6.798</v>
      </c>
      <c r="AF2435" s="46">
        <v>39</v>
      </c>
      <c r="AG2435" s="46">
        <v>19500</v>
      </c>
      <c r="AH2435" s="46">
        <v>142169</v>
      </c>
      <c r="AI2435" s="46">
        <v>7.2910000000000004</v>
      </c>
      <c r="AJ2435" s="46">
        <v>39</v>
      </c>
      <c r="AK2435" s="46">
        <v>18200</v>
      </c>
      <c r="AL2435" s="46">
        <v>136881.78599999999</v>
      </c>
      <c r="AM2435" s="46">
        <v>7.5209999999999999</v>
      </c>
      <c r="AN2435" s="46" t="s">
        <v>63</v>
      </c>
      <c r="AO2435" s="46">
        <v>1300</v>
      </c>
      <c r="AP2435" s="46">
        <v>5287.2139999999999</v>
      </c>
      <c r="AQ2435" s="46">
        <v>4.0670000000000002</v>
      </c>
      <c r="AR2435" s="46">
        <v>4186</v>
      </c>
      <c r="AS2435" s="46">
        <v>45</v>
      </c>
      <c r="AT2435" s="46">
        <v>22500</v>
      </c>
      <c r="AU2435" s="46">
        <v>162594</v>
      </c>
      <c r="AV2435" s="46">
        <v>7.226</v>
      </c>
      <c r="AW2435" s="46">
        <v>39</v>
      </c>
      <c r="AX2435" s="46">
        <v>18200</v>
      </c>
      <c r="AY2435" s="46">
        <v>136881.78599999999</v>
      </c>
      <c r="AZ2435" s="46">
        <v>7.5209999999999999</v>
      </c>
      <c r="BA2435" s="46" t="s">
        <v>63</v>
      </c>
      <c r="BB2435" s="46">
        <v>4300</v>
      </c>
      <c r="BC2435" s="46">
        <v>25712.214</v>
      </c>
      <c r="BD2435" s="46">
        <v>5.98</v>
      </c>
      <c r="BE2435" s="46">
        <v>5369</v>
      </c>
      <c r="BF2435" s="46">
        <v>20425</v>
      </c>
      <c r="BG2435" s="46">
        <v>6.81</v>
      </c>
      <c r="BH2435" s="46">
        <v>0</v>
      </c>
      <c r="BJ2435">
        <v>20425</v>
      </c>
      <c r="BK2435">
        <v>6.81</v>
      </c>
      <c r="BL2435">
        <v>716.78</v>
      </c>
    </row>
    <row r="2436" spans="1:64" x14ac:dyDescent="0.25">
      <c r="A2436" s="136">
        <v>43165</v>
      </c>
      <c r="B2436" s="201" t="s">
        <v>67</v>
      </c>
      <c r="C2436" t="s">
        <v>129</v>
      </c>
      <c r="D2436">
        <v>100</v>
      </c>
      <c r="E2436">
        <v>100</v>
      </c>
      <c r="F2436">
        <v>-16.027999999999999</v>
      </c>
      <c r="G2436">
        <v>2560.8000000000002</v>
      </c>
      <c r="H2436">
        <v>0</v>
      </c>
      <c r="I2436" s="309">
        <v>958</v>
      </c>
      <c r="J2436">
        <v>9.58</v>
      </c>
      <c r="K2436" s="133">
        <v>1.9696373615946802E-3</v>
      </c>
      <c r="L2436" s="181">
        <v>4</v>
      </c>
      <c r="M2436" s="133">
        <v>0</v>
      </c>
      <c r="N2436" s="73">
        <v>2581.5064999997599</v>
      </c>
      <c r="O2436" s="73">
        <v>263.01893442913098</v>
      </c>
      <c r="P2436" s="182">
        <v>0</v>
      </c>
      <c r="Q2436" s="182">
        <v>0</v>
      </c>
      <c r="R2436" s="46">
        <v>0</v>
      </c>
      <c r="S2436" s="46">
        <v>20</v>
      </c>
      <c r="T2436" s="46">
        <v>8000</v>
      </c>
      <c r="U2436" s="46">
        <v>8.891</v>
      </c>
      <c r="V2436" s="46" t="s">
        <v>68</v>
      </c>
      <c r="W2436" s="46">
        <v>8000</v>
      </c>
      <c r="X2436" s="46">
        <v>8.891</v>
      </c>
      <c r="AF2436" s="46">
        <v>174</v>
      </c>
      <c r="AG2436" s="46">
        <v>86400</v>
      </c>
      <c r="AH2436" s="46">
        <v>716375</v>
      </c>
      <c r="AI2436" s="46">
        <v>8.2910000000000004</v>
      </c>
      <c r="AJ2436" s="46">
        <v>177</v>
      </c>
      <c r="AK2436" s="46">
        <v>80900</v>
      </c>
      <c r="AL2436" s="46">
        <v>716150.74650000001</v>
      </c>
      <c r="AM2436" s="46">
        <v>8.8520000000000003</v>
      </c>
      <c r="AN2436" s="46" t="s">
        <v>63</v>
      </c>
      <c r="AO2436" s="46">
        <v>5500</v>
      </c>
      <c r="AP2436" s="46">
        <v>224.25299999999999</v>
      </c>
      <c r="AQ2436" s="46">
        <v>4.1000000000000002E-2</v>
      </c>
      <c r="AR2436" s="46">
        <v>45384.9</v>
      </c>
      <c r="AS2436" s="46">
        <v>174</v>
      </c>
      <c r="AT2436" s="46">
        <v>86400</v>
      </c>
      <c r="AU2436" s="46">
        <v>716375</v>
      </c>
      <c r="AV2436" s="46">
        <v>8.2910000000000004</v>
      </c>
      <c r="AW2436" s="46">
        <v>197</v>
      </c>
      <c r="AX2436" s="46">
        <v>88900</v>
      </c>
      <c r="AY2436" s="46">
        <v>787103.62250000006</v>
      </c>
      <c r="AZ2436" s="46">
        <v>8.8539999999999992</v>
      </c>
      <c r="BA2436" s="46" t="s">
        <v>69</v>
      </c>
      <c r="BB2436" s="46">
        <v>2500</v>
      </c>
      <c r="BC2436" s="46">
        <v>70728.623000000007</v>
      </c>
      <c r="BD2436" s="46">
        <v>28.291</v>
      </c>
      <c r="BE2436" s="46">
        <v>48643.199999999997</v>
      </c>
      <c r="BF2436" s="46">
        <v>0</v>
      </c>
      <c r="BH2436" s="46">
        <v>70952.876000000004</v>
      </c>
      <c r="BI2436">
        <v>8.8699999999999992</v>
      </c>
      <c r="BJ2436">
        <v>70504.37</v>
      </c>
      <c r="BK2436">
        <v>8.81</v>
      </c>
      <c r="BL2436">
        <v>4737.46</v>
      </c>
    </row>
    <row r="2437" spans="1:64" x14ac:dyDescent="0.25">
      <c r="A2437" s="136">
        <v>43165</v>
      </c>
      <c r="B2437" s="201" t="s">
        <v>78</v>
      </c>
      <c r="C2437" t="s">
        <v>142</v>
      </c>
      <c r="D2437">
        <v>200</v>
      </c>
      <c r="E2437">
        <v>200</v>
      </c>
      <c r="F2437">
        <v>3.0830000000000002</v>
      </c>
      <c r="G2437">
        <v>1405.45</v>
      </c>
      <c r="H2437">
        <v>227.93</v>
      </c>
      <c r="I2437" s="309">
        <v>2022</v>
      </c>
      <c r="J2437">
        <v>10.11</v>
      </c>
      <c r="K2437" s="133">
        <v>4.1572095460797997E-3</v>
      </c>
      <c r="L2437" s="181">
        <v>-38</v>
      </c>
      <c r="M2437" s="133">
        <v>1.26761995333111E-3</v>
      </c>
      <c r="N2437" s="73">
        <v>1435.4590000000001</v>
      </c>
      <c r="O2437" s="73">
        <v>139.83833045808899</v>
      </c>
      <c r="P2437" s="182">
        <v>0</v>
      </c>
      <c r="Q2437" s="182">
        <v>0</v>
      </c>
      <c r="R2437" s="46">
        <v>0</v>
      </c>
      <c r="S2437" s="46">
        <v>3</v>
      </c>
      <c r="T2437" s="46">
        <v>1200</v>
      </c>
      <c r="U2437" s="46">
        <v>9.9</v>
      </c>
      <c r="V2437" s="46" t="s">
        <v>68</v>
      </c>
      <c r="W2437" s="46">
        <v>1200</v>
      </c>
      <c r="X2437" s="46">
        <v>9.9</v>
      </c>
      <c r="AF2437" s="46">
        <v>12</v>
      </c>
      <c r="AG2437" s="46">
        <v>6000</v>
      </c>
      <c r="AH2437" s="46">
        <v>58025</v>
      </c>
      <c r="AI2437" s="46">
        <v>9.6709999999999994</v>
      </c>
      <c r="AJ2437" s="46">
        <v>12</v>
      </c>
      <c r="AK2437" s="46">
        <v>4600</v>
      </c>
      <c r="AL2437" s="46">
        <v>45555.339</v>
      </c>
      <c r="AM2437" s="46">
        <v>9.9030000000000005</v>
      </c>
      <c r="AN2437" s="46" t="s">
        <v>63</v>
      </c>
      <c r="AO2437" s="46">
        <v>1400</v>
      </c>
      <c r="AP2437" s="46">
        <v>12469.661</v>
      </c>
      <c r="AQ2437" s="46">
        <v>8.907</v>
      </c>
      <c r="AR2437" s="46">
        <v>1067.2</v>
      </c>
      <c r="AS2437" s="46">
        <v>12</v>
      </c>
      <c r="AT2437" s="46">
        <v>6000</v>
      </c>
      <c r="AU2437" s="46">
        <v>58025</v>
      </c>
      <c r="AV2437" s="46">
        <v>9.6709999999999994</v>
      </c>
      <c r="AW2437" s="46">
        <v>15</v>
      </c>
      <c r="AX2437" s="46">
        <v>5800</v>
      </c>
      <c r="AY2437" s="46">
        <v>57408.459000000003</v>
      </c>
      <c r="AZ2437" s="46">
        <v>9.8979999999999997</v>
      </c>
      <c r="BA2437" s="46" t="s">
        <v>63</v>
      </c>
      <c r="BB2437" s="46">
        <v>200</v>
      </c>
      <c r="BC2437" s="46">
        <v>616.54100000000005</v>
      </c>
      <c r="BD2437" s="46">
        <v>3.0830000000000002</v>
      </c>
      <c r="BE2437" s="46">
        <v>1316.6</v>
      </c>
      <c r="BF2437" s="46">
        <v>0</v>
      </c>
      <c r="BH2437" s="46">
        <v>11853.12</v>
      </c>
      <c r="BI2437">
        <v>9.8800000000000008</v>
      </c>
      <c r="BJ2437">
        <v>-11853.12</v>
      </c>
      <c r="BK2437">
        <v>-9.8800000000000008</v>
      </c>
      <c r="BL2437">
        <v>105.56</v>
      </c>
    </row>
    <row r="2438" spans="1:64" x14ac:dyDescent="0.25">
      <c r="A2438" s="136">
        <v>43165</v>
      </c>
      <c r="B2438" s="201" t="s">
        <v>72</v>
      </c>
      <c r="C2438" t="s">
        <v>130</v>
      </c>
      <c r="D2438">
        <v>3300</v>
      </c>
      <c r="E2438">
        <v>3300</v>
      </c>
      <c r="F2438">
        <v>6.8769999999999998</v>
      </c>
      <c r="G2438">
        <v>-1242.9100000000001</v>
      </c>
      <c r="H2438">
        <v>-5.48</v>
      </c>
      <c r="I2438" s="309">
        <v>21450</v>
      </c>
      <c r="J2438">
        <v>6.5</v>
      </c>
      <c r="K2438" s="133">
        <v>4.4100961801885101E-2</v>
      </c>
      <c r="L2438" s="181">
        <v>132</v>
      </c>
      <c r="M2438" s="133">
        <v>4.66563709596092E-2</v>
      </c>
      <c r="N2438" s="73">
        <v>-2058.61599999999</v>
      </c>
      <c r="O2438" s="73">
        <v>-290.50435870252898</v>
      </c>
      <c r="P2438" s="182">
        <v>0</v>
      </c>
      <c r="Q2438" s="182">
        <v>0</v>
      </c>
      <c r="R2438" s="46">
        <v>0</v>
      </c>
      <c r="S2438" s="46">
        <v>11</v>
      </c>
      <c r="T2438" s="46">
        <v>4400</v>
      </c>
      <c r="U2438" s="46">
        <v>7.5519999999999996</v>
      </c>
      <c r="V2438" s="46" t="s">
        <v>68</v>
      </c>
      <c r="W2438" s="46">
        <v>4400</v>
      </c>
      <c r="X2438" s="46">
        <v>7.5519999999999996</v>
      </c>
      <c r="AF2438" s="46">
        <v>32</v>
      </c>
      <c r="AG2438" s="46">
        <v>15900</v>
      </c>
      <c r="AH2438" s="46">
        <v>121142</v>
      </c>
      <c r="AI2438" s="46">
        <v>7.6189999999999998</v>
      </c>
      <c r="AJ2438" s="46">
        <v>32</v>
      </c>
      <c r="AK2438" s="46">
        <v>14800</v>
      </c>
      <c r="AL2438" s="46">
        <v>66041.797000000006</v>
      </c>
      <c r="AM2438" s="46">
        <v>4.4619999999999997</v>
      </c>
      <c r="AN2438" s="46" t="s">
        <v>63</v>
      </c>
      <c r="AO2438" s="46">
        <v>1100</v>
      </c>
      <c r="AP2438" s="46">
        <v>55100.203000000001</v>
      </c>
      <c r="AQ2438" s="46">
        <v>50.091000000000001</v>
      </c>
      <c r="AR2438" s="46">
        <v>-46723.6</v>
      </c>
      <c r="AS2438" s="46">
        <v>32</v>
      </c>
      <c r="AT2438" s="46">
        <v>15900</v>
      </c>
      <c r="AU2438" s="46">
        <v>121142</v>
      </c>
      <c r="AV2438" s="46">
        <v>7.6189999999999998</v>
      </c>
      <c r="AW2438" s="46">
        <v>44</v>
      </c>
      <c r="AX2438" s="46">
        <v>19700</v>
      </c>
      <c r="AY2438" s="46">
        <v>99181.569000000003</v>
      </c>
      <c r="AZ2438" s="46">
        <v>5.0350000000000001</v>
      </c>
      <c r="BA2438" s="46" t="s">
        <v>69</v>
      </c>
      <c r="BB2438" s="46">
        <v>3800</v>
      </c>
      <c r="BC2438" s="46">
        <v>21960.431</v>
      </c>
      <c r="BD2438" s="46">
        <v>5.7789999999999999</v>
      </c>
      <c r="BE2438" s="46">
        <v>-41085.599999999999</v>
      </c>
      <c r="BF2438" s="46">
        <v>0</v>
      </c>
      <c r="BH2438" s="46">
        <v>33139.771999999997</v>
      </c>
      <c r="BI2438">
        <v>7.53</v>
      </c>
      <c r="BJ2438">
        <v>-33139.771999999997</v>
      </c>
      <c r="BK2438">
        <v>-7.53</v>
      </c>
      <c r="BL2438">
        <v>-7188.25</v>
      </c>
    </row>
    <row r="2439" spans="1:64" x14ac:dyDescent="0.25">
      <c r="A2439" s="136">
        <v>43165</v>
      </c>
      <c r="B2439" s="201" t="s">
        <v>70</v>
      </c>
      <c r="C2439" t="s">
        <v>131</v>
      </c>
      <c r="D2439">
        <v>13900</v>
      </c>
      <c r="E2439">
        <v>13900</v>
      </c>
      <c r="F2439">
        <v>11.211</v>
      </c>
      <c r="G2439">
        <v>-33092.39</v>
      </c>
      <c r="H2439">
        <v>-21.24</v>
      </c>
      <c r="I2439" s="309">
        <v>122737</v>
      </c>
      <c r="J2439">
        <v>8.83</v>
      </c>
      <c r="K2439" s="133">
        <v>0.25234590902927601</v>
      </c>
      <c r="L2439" s="181">
        <v>-278</v>
      </c>
      <c r="M2439" s="133">
        <v>0.32038349538466498</v>
      </c>
      <c r="N2439" s="73">
        <v>-33369.39</v>
      </c>
      <c r="O2439" s="73">
        <v>-3785.7781276958099</v>
      </c>
      <c r="P2439" s="182">
        <v>5</v>
      </c>
      <c r="Q2439" s="182">
        <v>3500</v>
      </c>
      <c r="R2439" s="46">
        <v>8.2110000000000003</v>
      </c>
      <c r="S2439" s="46">
        <v>4</v>
      </c>
      <c r="T2439" s="46">
        <v>1600</v>
      </c>
      <c r="U2439" s="46">
        <v>8.5850000000000009</v>
      </c>
      <c r="V2439" s="46" t="s">
        <v>62</v>
      </c>
      <c r="W2439" s="46">
        <v>1900</v>
      </c>
      <c r="X2439" s="46">
        <v>7.8959999999999999</v>
      </c>
      <c r="AF2439" s="46">
        <v>128</v>
      </c>
      <c r="AG2439" s="46">
        <v>64600</v>
      </c>
      <c r="AH2439" s="46">
        <v>861448</v>
      </c>
      <c r="AI2439" s="46">
        <v>13.335000000000001</v>
      </c>
      <c r="AJ2439" s="46">
        <v>131</v>
      </c>
      <c r="AK2439" s="46">
        <v>52600</v>
      </c>
      <c r="AL2439" s="46">
        <v>720277.34600000002</v>
      </c>
      <c r="AM2439" s="46">
        <v>13.693</v>
      </c>
      <c r="AN2439" s="46" t="s">
        <v>63</v>
      </c>
      <c r="AO2439" s="46">
        <v>12000</v>
      </c>
      <c r="AP2439" s="46">
        <v>141170.65400000001</v>
      </c>
      <c r="AQ2439" s="46">
        <v>11.763999999999999</v>
      </c>
      <c r="AR2439" s="46">
        <v>18830.8</v>
      </c>
      <c r="AS2439" s="46">
        <v>133</v>
      </c>
      <c r="AT2439" s="46">
        <v>68100</v>
      </c>
      <c r="AU2439" s="46">
        <v>890213</v>
      </c>
      <c r="AV2439" s="46">
        <v>13.071999999999999</v>
      </c>
      <c r="AW2439" s="46">
        <v>136</v>
      </c>
      <c r="AX2439" s="46">
        <v>54200</v>
      </c>
      <c r="AY2439" s="46">
        <v>734384.61</v>
      </c>
      <c r="AZ2439" s="46">
        <v>13.55</v>
      </c>
      <c r="BA2439" s="46" t="s">
        <v>63</v>
      </c>
      <c r="BB2439" s="46">
        <v>13900</v>
      </c>
      <c r="BC2439" s="46">
        <v>155828.39000000001</v>
      </c>
      <c r="BD2439" s="46">
        <v>11.211</v>
      </c>
      <c r="BE2439" s="46">
        <v>25907.599999999999</v>
      </c>
      <c r="BF2439" s="46">
        <v>28765</v>
      </c>
      <c r="BG2439" s="46">
        <v>8.2200000000000006</v>
      </c>
      <c r="BH2439" s="46">
        <v>14107.264000000099</v>
      </c>
      <c r="BI2439">
        <v>8.82</v>
      </c>
      <c r="BJ2439">
        <v>14657.736000000001</v>
      </c>
      <c r="BK2439">
        <v>7.71</v>
      </c>
      <c r="BL2439">
        <v>2132.59</v>
      </c>
    </row>
    <row r="2440" spans="1:64" x14ac:dyDescent="0.25">
      <c r="A2440" s="136">
        <v>43165</v>
      </c>
      <c r="B2440" s="201" t="s">
        <v>137</v>
      </c>
      <c r="C2440" t="s">
        <v>138</v>
      </c>
      <c r="D2440">
        <v>100</v>
      </c>
      <c r="E2440">
        <v>100</v>
      </c>
      <c r="F2440">
        <v>-130.48500000000001</v>
      </c>
      <c r="G2440">
        <v>16351.5</v>
      </c>
      <c r="H2440">
        <v>0</v>
      </c>
      <c r="I2440" s="309">
        <v>3303</v>
      </c>
      <c r="J2440">
        <v>33.03</v>
      </c>
      <c r="K2440" s="133">
        <v>6.7909313208217503E-3</v>
      </c>
      <c r="L2440" s="181">
        <v>33</v>
      </c>
      <c r="M2440" s="133">
        <v>0</v>
      </c>
    </row>
    <row r="2441" spans="1:64" x14ac:dyDescent="0.25">
      <c r="A2441" s="136">
        <v>43165</v>
      </c>
      <c r="B2441" s="201" t="s">
        <v>835</v>
      </c>
      <c r="C2441" t="s">
        <v>839</v>
      </c>
      <c r="I2441" s="309">
        <v>11986.34</v>
      </c>
      <c r="K2441" s="133">
        <v>2.4643781934004998E-2</v>
      </c>
      <c r="L2441" s="181">
        <v>0</v>
      </c>
      <c r="M2441" s="133">
        <v>0.255148119093979</v>
      </c>
    </row>
    <row r="2442" spans="1:64" x14ac:dyDescent="0.25">
      <c r="A2442" s="136">
        <v>43166</v>
      </c>
      <c r="B2442" s="201" t="s">
        <v>132</v>
      </c>
      <c r="C2442" t="s">
        <v>123</v>
      </c>
      <c r="D2442">
        <v>11212085</v>
      </c>
      <c r="E2442">
        <v>11212085</v>
      </c>
      <c r="F2442">
        <v>0.01</v>
      </c>
      <c r="G2442">
        <v>3166.41</v>
      </c>
      <c r="H2442">
        <v>0</v>
      </c>
      <c r="I2442" s="309">
        <v>112120.85</v>
      </c>
      <c r="J2442">
        <v>0.01</v>
      </c>
      <c r="K2442" s="133">
        <v>0.23187236445459999</v>
      </c>
      <c r="L2442" s="181">
        <v>7.2399999999997799</v>
      </c>
      <c r="M2442" s="133">
        <v>0</v>
      </c>
    </row>
    <row r="2443" spans="1:64" x14ac:dyDescent="0.25">
      <c r="A2443" s="136">
        <v>43166</v>
      </c>
      <c r="B2443" s="201" t="s">
        <v>61</v>
      </c>
      <c r="C2443" t="s">
        <v>136</v>
      </c>
      <c r="D2443">
        <v>2800</v>
      </c>
      <c r="E2443">
        <v>2800</v>
      </c>
      <c r="F2443">
        <v>5.2069999999999999</v>
      </c>
      <c r="G2443">
        <v>-552.89</v>
      </c>
      <c r="H2443">
        <v>-3.78</v>
      </c>
      <c r="I2443" s="309">
        <v>14028</v>
      </c>
      <c r="J2443">
        <v>5.01</v>
      </c>
      <c r="K2443" s="133">
        <v>2.9010710573181799E-2</v>
      </c>
      <c r="L2443" s="181">
        <v>-28</v>
      </c>
      <c r="M2443" s="133">
        <v>3.0154118882905701E-2</v>
      </c>
      <c r="N2443" s="73">
        <v>-809.98500000000104</v>
      </c>
      <c r="O2443" s="73">
        <v>-164.54878201219501</v>
      </c>
      <c r="P2443" s="182">
        <v>4</v>
      </c>
      <c r="Q2443" s="182">
        <v>2000</v>
      </c>
      <c r="R2443" s="46">
        <v>5.2249999999999996</v>
      </c>
      <c r="S2443" s="46">
        <v>0</v>
      </c>
      <c r="T2443" s="46">
        <v>0</v>
      </c>
      <c r="U2443" s="46">
        <v>0</v>
      </c>
      <c r="V2443" s="46" t="s">
        <v>62</v>
      </c>
      <c r="W2443" s="46">
        <v>2000</v>
      </c>
      <c r="X2443" s="46">
        <v>5.2249999999999996</v>
      </c>
      <c r="AF2443" s="46">
        <v>9</v>
      </c>
      <c r="AG2443" s="46">
        <v>4500</v>
      </c>
      <c r="AH2443" s="46">
        <v>23912.7</v>
      </c>
      <c r="AI2443" s="46">
        <v>5.3140000000000001</v>
      </c>
      <c r="AJ2443" s="46">
        <v>9</v>
      </c>
      <c r="AK2443" s="46">
        <v>3700</v>
      </c>
      <c r="AL2443" s="46">
        <v>19797.915000000001</v>
      </c>
      <c r="AM2443" s="46">
        <v>5.351</v>
      </c>
      <c r="AN2443" s="46" t="s">
        <v>63</v>
      </c>
      <c r="AO2443" s="46">
        <v>800</v>
      </c>
      <c r="AP2443" s="46">
        <v>4114.7849999999999</v>
      </c>
      <c r="AQ2443" s="46">
        <v>5.1429999999999998</v>
      </c>
      <c r="AR2443" s="46">
        <v>136.9</v>
      </c>
      <c r="AS2443" s="46">
        <v>13</v>
      </c>
      <c r="AT2443" s="46">
        <v>6500</v>
      </c>
      <c r="AU2443" s="46">
        <v>34383.9</v>
      </c>
      <c r="AV2443" s="46">
        <v>5.29</v>
      </c>
      <c r="AW2443" s="46">
        <v>9</v>
      </c>
      <c r="AX2443" s="46">
        <v>3700</v>
      </c>
      <c r="AY2443" s="46">
        <v>19797.915000000001</v>
      </c>
      <c r="AZ2443" s="46">
        <v>5.351</v>
      </c>
      <c r="BA2443" s="46" t="s">
        <v>63</v>
      </c>
      <c r="BB2443" s="46">
        <v>2800</v>
      </c>
      <c r="BC2443" s="46">
        <v>14585.985000000001</v>
      </c>
      <c r="BD2443" s="46">
        <v>5.2089999999999996</v>
      </c>
      <c r="BE2443" s="46">
        <v>225.7</v>
      </c>
      <c r="BF2443" s="46">
        <v>10471.200000000001</v>
      </c>
      <c r="BG2443" s="46">
        <v>5.24</v>
      </c>
      <c r="BH2443" s="46">
        <v>0</v>
      </c>
      <c r="BJ2443">
        <v>10471.200000000001</v>
      </c>
      <c r="BK2443">
        <v>5.24</v>
      </c>
      <c r="BL2443">
        <v>27.33</v>
      </c>
    </row>
    <row r="2444" spans="1:64" x14ac:dyDescent="0.25">
      <c r="A2444" s="136">
        <v>43166</v>
      </c>
      <c r="B2444" s="201" t="s">
        <v>124</v>
      </c>
      <c r="C2444" t="s">
        <v>125</v>
      </c>
      <c r="D2444">
        <v>100</v>
      </c>
      <c r="E2444">
        <v>100</v>
      </c>
      <c r="F2444">
        <v>-53.579000000000001</v>
      </c>
      <c r="G2444">
        <v>6020.9</v>
      </c>
      <c r="H2444">
        <v>0</v>
      </c>
      <c r="I2444" s="309">
        <v>663</v>
      </c>
      <c r="J2444">
        <v>6.63</v>
      </c>
      <c r="K2444" s="133">
        <v>1.37112212075987E-3</v>
      </c>
      <c r="L2444" s="181">
        <v>8</v>
      </c>
      <c r="M2444" s="133">
        <v>0</v>
      </c>
    </row>
    <row r="2445" spans="1:64" x14ac:dyDescent="0.25">
      <c r="A2445" s="136">
        <v>43166</v>
      </c>
      <c r="B2445" s="201" t="s">
        <v>71</v>
      </c>
      <c r="C2445" t="s">
        <v>126</v>
      </c>
      <c r="D2445">
        <v>1100</v>
      </c>
      <c r="E2445">
        <v>1100</v>
      </c>
      <c r="F2445">
        <v>4.6100000000000003</v>
      </c>
      <c r="G2445">
        <v>2353.5</v>
      </c>
      <c r="H2445">
        <v>46.42</v>
      </c>
      <c r="I2445" s="309">
        <v>7425</v>
      </c>
      <c r="J2445">
        <v>6.75</v>
      </c>
      <c r="K2445" s="133">
        <v>1.53553269180122E-2</v>
      </c>
      <c r="L2445" s="181">
        <v>22</v>
      </c>
      <c r="M2445" s="133">
        <v>1.04881535979392E-2</v>
      </c>
      <c r="N2445" s="73">
        <v>-5077.2979999999998</v>
      </c>
      <c r="O2445" s="73">
        <v>340.50361511976001</v>
      </c>
      <c r="P2445" s="182">
        <v>0</v>
      </c>
      <c r="Q2445" s="182">
        <v>0</v>
      </c>
      <c r="R2445" s="46">
        <v>0</v>
      </c>
      <c r="S2445" s="46">
        <v>5</v>
      </c>
      <c r="T2445" s="46">
        <v>2000</v>
      </c>
      <c r="U2445" s="46">
        <v>6.625</v>
      </c>
      <c r="V2445" s="46" t="s">
        <v>68</v>
      </c>
      <c r="W2445" s="46">
        <v>2000</v>
      </c>
      <c r="X2445" s="46">
        <v>6.625</v>
      </c>
      <c r="AF2445" s="46">
        <v>43</v>
      </c>
      <c r="AG2445" s="46">
        <v>21600</v>
      </c>
      <c r="AH2445" s="46">
        <v>138103.96</v>
      </c>
      <c r="AI2445" s="46">
        <v>6.3940000000000001</v>
      </c>
      <c r="AJ2445" s="46">
        <v>41</v>
      </c>
      <c r="AK2445" s="46">
        <v>18500</v>
      </c>
      <c r="AL2445" s="46">
        <v>119652.91099999999</v>
      </c>
      <c r="AM2445" s="46">
        <v>6.468</v>
      </c>
      <c r="AN2445" s="46" t="s">
        <v>63</v>
      </c>
      <c r="AO2445" s="46">
        <v>3100</v>
      </c>
      <c r="AP2445" s="46">
        <v>18451.048999999999</v>
      </c>
      <c r="AQ2445" s="46">
        <v>5.952</v>
      </c>
      <c r="AR2445" s="46">
        <v>1369</v>
      </c>
      <c r="AS2445" s="46">
        <v>43</v>
      </c>
      <c r="AT2445" s="46">
        <v>21600</v>
      </c>
      <c r="AU2445" s="46">
        <v>138103.96</v>
      </c>
      <c r="AV2445" s="46">
        <v>6.3940000000000001</v>
      </c>
      <c r="AW2445" s="46">
        <v>46</v>
      </c>
      <c r="AX2445" s="46">
        <v>20500</v>
      </c>
      <c r="AY2445" s="46">
        <v>132870.462</v>
      </c>
      <c r="AZ2445" s="46">
        <v>6.4809999999999999</v>
      </c>
      <c r="BA2445" s="46" t="s">
        <v>63</v>
      </c>
      <c r="BB2445" s="46">
        <v>1100</v>
      </c>
      <c r="BC2445" s="46">
        <v>5233.4979999999996</v>
      </c>
      <c r="BD2445" s="46">
        <v>4.758</v>
      </c>
      <c r="BE2445" s="46">
        <v>1783.5</v>
      </c>
      <c r="BF2445" s="46">
        <v>0</v>
      </c>
      <c r="BH2445" s="46">
        <v>13217.550999999999</v>
      </c>
      <c r="BI2445">
        <v>6.61</v>
      </c>
      <c r="BJ2445">
        <v>-13217.550999999999</v>
      </c>
      <c r="BK2445">
        <v>-6.61</v>
      </c>
      <c r="BL2445">
        <v>202.81</v>
      </c>
    </row>
    <row r="2446" spans="1:64" x14ac:dyDescent="0.25">
      <c r="A2446" s="136">
        <v>43166</v>
      </c>
      <c r="B2446" s="201" t="s">
        <v>79</v>
      </c>
      <c r="C2446" t="s">
        <v>143</v>
      </c>
      <c r="D2446">
        <v>5400</v>
      </c>
      <c r="E2446">
        <v>5400</v>
      </c>
      <c r="F2446">
        <v>16.536000000000001</v>
      </c>
      <c r="G2446">
        <v>-11643.64</v>
      </c>
      <c r="H2446">
        <v>-13.04</v>
      </c>
      <c r="I2446" s="309">
        <v>77652</v>
      </c>
      <c r="J2446">
        <v>14.38</v>
      </c>
      <c r="K2446" s="133">
        <v>0.160588800786193</v>
      </c>
      <c r="L2446" s="181">
        <v>-918</v>
      </c>
      <c r="M2446" s="133">
        <v>0.18466851778493301</v>
      </c>
      <c r="N2446" s="73">
        <v>-10837.2040000001</v>
      </c>
      <c r="O2446" s="73">
        <v>-745.47731576050103</v>
      </c>
      <c r="P2446" s="182">
        <v>8</v>
      </c>
      <c r="Q2446" s="182">
        <v>4500</v>
      </c>
      <c r="R2446" s="46">
        <v>15.808</v>
      </c>
      <c r="S2446" s="46">
        <v>0</v>
      </c>
      <c r="T2446" s="46">
        <v>0</v>
      </c>
      <c r="U2446" s="46">
        <v>0</v>
      </c>
      <c r="V2446" s="46" t="s">
        <v>62</v>
      </c>
      <c r="W2446" s="46">
        <v>4500</v>
      </c>
      <c r="X2446" s="46">
        <v>15.808</v>
      </c>
      <c r="AF2446" s="46">
        <v>9</v>
      </c>
      <c r="AG2446" s="46">
        <v>4500</v>
      </c>
      <c r="AH2446" s="46">
        <v>73662.7</v>
      </c>
      <c r="AI2446" s="46">
        <v>16.369</v>
      </c>
      <c r="AJ2446" s="46">
        <v>9</v>
      </c>
      <c r="AK2446" s="46">
        <v>3600</v>
      </c>
      <c r="AL2446" s="46">
        <v>55541.196000000004</v>
      </c>
      <c r="AM2446" s="46">
        <v>15.428000000000001</v>
      </c>
      <c r="AN2446" s="46" t="s">
        <v>63</v>
      </c>
      <c r="AO2446" s="46">
        <v>900</v>
      </c>
      <c r="AP2446" s="46">
        <v>18121.504000000001</v>
      </c>
      <c r="AQ2446" s="46">
        <v>20.135000000000002</v>
      </c>
      <c r="AR2446" s="46">
        <v>-3387.6</v>
      </c>
      <c r="AS2446" s="46">
        <v>17</v>
      </c>
      <c r="AT2446" s="46">
        <v>9000</v>
      </c>
      <c r="AU2446" s="46">
        <v>144840.4</v>
      </c>
      <c r="AV2446" s="46">
        <v>16.093</v>
      </c>
      <c r="AW2446" s="46">
        <v>9</v>
      </c>
      <c r="AX2446" s="46">
        <v>3600</v>
      </c>
      <c r="AY2446" s="46">
        <v>55541.196000000004</v>
      </c>
      <c r="AZ2446" s="46">
        <v>15.428000000000001</v>
      </c>
      <c r="BA2446" s="46" t="s">
        <v>63</v>
      </c>
      <c r="BB2446" s="46">
        <v>5400</v>
      </c>
      <c r="BC2446" s="46">
        <v>89299.203999999998</v>
      </c>
      <c r="BD2446" s="46">
        <v>16.536999999999999</v>
      </c>
      <c r="BE2446" s="46">
        <v>-2394</v>
      </c>
      <c r="BF2446" s="46">
        <v>71177.7</v>
      </c>
      <c r="BG2446" s="46">
        <v>15.82</v>
      </c>
      <c r="BH2446" s="46">
        <v>0</v>
      </c>
      <c r="BJ2446">
        <v>71177.7</v>
      </c>
      <c r="BK2446">
        <v>15.82</v>
      </c>
      <c r="BL2446">
        <v>-235.58</v>
      </c>
    </row>
    <row r="2447" spans="1:64" x14ac:dyDescent="0.25">
      <c r="A2447" s="136">
        <v>43166</v>
      </c>
      <c r="B2447" s="201" t="s">
        <v>65</v>
      </c>
      <c r="C2447" t="s">
        <v>127</v>
      </c>
      <c r="D2447">
        <v>8600</v>
      </c>
      <c r="E2447">
        <v>8200</v>
      </c>
      <c r="F2447">
        <v>9.032</v>
      </c>
      <c r="G2447">
        <v>11760.74</v>
      </c>
      <c r="H2447">
        <v>15.15</v>
      </c>
      <c r="I2447" s="309">
        <v>89440</v>
      </c>
      <c r="J2447">
        <v>10.4</v>
      </c>
      <c r="K2447" s="133">
        <v>0.184967062565254</v>
      </c>
      <c r="L2447" s="181">
        <v>-755</v>
      </c>
      <c r="M2447" s="133">
        <v>0.16064517603357101</v>
      </c>
      <c r="N2447" s="73">
        <v>7736.31699999997</v>
      </c>
      <c r="O2447" s="73">
        <v>1151.6645795541599</v>
      </c>
      <c r="P2447" s="182">
        <v>0</v>
      </c>
      <c r="Q2447" s="182">
        <v>0</v>
      </c>
      <c r="R2447" s="46">
        <v>0</v>
      </c>
      <c r="S2447" s="46">
        <v>19</v>
      </c>
      <c r="T2447" s="46">
        <v>8000</v>
      </c>
      <c r="U2447" s="46">
        <v>11.867000000000001</v>
      </c>
      <c r="V2447" s="46" t="s">
        <v>68</v>
      </c>
      <c r="W2447" s="46">
        <v>8000</v>
      </c>
      <c r="X2447" s="46">
        <v>11.867000000000001</v>
      </c>
      <c r="AF2447" s="46">
        <v>166</v>
      </c>
      <c r="AG2447" s="46">
        <v>88200</v>
      </c>
      <c r="AH2447" s="46">
        <v>1025045.231</v>
      </c>
      <c r="AI2447" s="46">
        <v>11.622</v>
      </c>
      <c r="AJ2447" s="46">
        <v>186</v>
      </c>
      <c r="AK2447" s="46">
        <v>80800</v>
      </c>
      <c r="AL2447" s="46">
        <v>851785.48100000003</v>
      </c>
      <c r="AM2447" s="46">
        <v>10.542</v>
      </c>
      <c r="AN2447" s="46" t="s">
        <v>63</v>
      </c>
      <c r="AO2447" s="46">
        <v>7400</v>
      </c>
      <c r="AP2447" s="46">
        <v>173259.75</v>
      </c>
      <c r="AQ2447" s="46">
        <v>23.413</v>
      </c>
      <c r="AR2447" s="46">
        <v>-87264</v>
      </c>
      <c r="AS2447" s="46">
        <v>167</v>
      </c>
      <c r="AT2447" s="46">
        <v>88300</v>
      </c>
      <c r="AU2447" s="46">
        <v>1026333.231</v>
      </c>
      <c r="AV2447" s="46">
        <v>11.622999999999999</v>
      </c>
      <c r="AW2447" s="46">
        <v>205</v>
      </c>
      <c r="AX2447" s="46">
        <v>88800</v>
      </c>
      <c r="AY2447" s="46">
        <v>946530.54599999997</v>
      </c>
      <c r="AZ2447" s="46">
        <v>10.659000000000001</v>
      </c>
      <c r="BA2447" s="46" t="s">
        <v>69</v>
      </c>
      <c r="BB2447" s="46">
        <v>500</v>
      </c>
      <c r="BC2447" s="46">
        <v>79802.684999999998</v>
      </c>
      <c r="BD2447" s="46">
        <v>159.60499999999999</v>
      </c>
      <c r="BE2447" s="46">
        <v>-85121.2</v>
      </c>
      <c r="BF2447" s="46">
        <v>1288</v>
      </c>
      <c r="BH2447" s="46">
        <v>94745.0649999999</v>
      </c>
      <c r="BI2447">
        <v>11.84</v>
      </c>
      <c r="BJ2447">
        <v>-93457.065000000002</v>
      </c>
      <c r="BK2447">
        <v>-11.68</v>
      </c>
      <c r="BL2447">
        <v>-8390.77</v>
      </c>
    </row>
    <row r="2448" spans="1:64" x14ac:dyDescent="0.25">
      <c r="A2448" s="136">
        <v>43166</v>
      </c>
      <c r="B2448" s="201" t="s">
        <v>77</v>
      </c>
      <c r="C2448" t="s">
        <v>128</v>
      </c>
      <c r="D2448">
        <v>4300</v>
      </c>
      <c r="E2448">
        <v>4300</v>
      </c>
      <c r="F2448">
        <v>5.9779999999999998</v>
      </c>
      <c r="G2448">
        <v>-595.27</v>
      </c>
      <c r="H2448">
        <v>-2.31</v>
      </c>
      <c r="I2448" s="309">
        <v>25112</v>
      </c>
      <c r="J2448">
        <v>5.84</v>
      </c>
      <c r="K2448" s="133">
        <v>5.1933059874090498E-2</v>
      </c>
      <c r="L2448" s="181">
        <v>0</v>
      </c>
      <c r="M2448" s="133">
        <v>5.3164112460553102E-2</v>
      </c>
      <c r="N2448" s="73">
        <v>-1272.2139999999999</v>
      </c>
      <c r="O2448" s="73">
        <v>-133.073774655173</v>
      </c>
      <c r="P2448" s="182">
        <v>6</v>
      </c>
      <c r="Q2448" s="182">
        <v>3000</v>
      </c>
      <c r="R2448" s="46">
        <v>6.798</v>
      </c>
      <c r="S2448" s="46">
        <v>0</v>
      </c>
      <c r="T2448" s="46">
        <v>0</v>
      </c>
      <c r="U2448" s="46">
        <v>0</v>
      </c>
      <c r="V2448" s="46" t="s">
        <v>62</v>
      </c>
      <c r="W2448" s="46">
        <v>3000</v>
      </c>
      <c r="X2448" s="46">
        <v>6.798</v>
      </c>
      <c r="AF2448" s="46">
        <v>39</v>
      </c>
      <c r="AG2448" s="46">
        <v>19500</v>
      </c>
      <c r="AH2448" s="46">
        <v>142169</v>
      </c>
      <c r="AI2448" s="46">
        <v>7.2910000000000004</v>
      </c>
      <c r="AJ2448" s="46">
        <v>39</v>
      </c>
      <c r="AK2448" s="46">
        <v>18200</v>
      </c>
      <c r="AL2448" s="46">
        <v>136881.78599999999</v>
      </c>
      <c r="AM2448" s="46">
        <v>7.5209999999999999</v>
      </c>
      <c r="AN2448" s="46" t="s">
        <v>63</v>
      </c>
      <c r="AO2448" s="46">
        <v>1300</v>
      </c>
      <c r="AP2448" s="46">
        <v>5287.2139999999999</v>
      </c>
      <c r="AQ2448" s="46">
        <v>4.0670000000000002</v>
      </c>
      <c r="AR2448" s="46">
        <v>4186</v>
      </c>
      <c r="AS2448" s="46">
        <v>45</v>
      </c>
      <c r="AT2448" s="46">
        <v>22500</v>
      </c>
      <c r="AU2448" s="46">
        <v>162594</v>
      </c>
      <c r="AV2448" s="46">
        <v>7.226</v>
      </c>
      <c r="AW2448" s="46">
        <v>39</v>
      </c>
      <c r="AX2448" s="46">
        <v>18200</v>
      </c>
      <c r="AY2448" s="46">
        <v>136881.78599999999</v>
      </c>
      <c r="AZ2448" s="46">
        <v>7.5209999999999999</v>
      </c>
      <c r="BA2448" s="46" t="s">
        <v>63</v>
      </c>
      <c r="BB2448" s="46">
        <v>4300</v>
      </c>
      <c r="BC2448" s="46">
        <v>25712.214</v>
      </c>
      <c r="BD2448" s="46">
        <v>5.98</v>
      </c>
      <c r="BE2448" s="46">
        <v>5369</v>
      </c>
      <c r="BF2448" s="46">
        <v>20425</v>
      </c>
      <c r="BG2448" s="46">
        <v>6.81</v>
      </c>
      <c r="BH2448" s="46">
        <v>0</v>
      </c>
      <c r="BJ2448">
        <v>20425</v>
      </c>
      <c r="BK2448">
        <v>6.81</v>
      </c>
      <c r="BL2448">
        <v>716.78</v>
      </c>
    </row>
    <row r="2449" spans="1:64" x14ac:dyDescent="0.25">
      <c r="A2449" s="136">
        <v>43166</v>
      </c>
      <c r="B2449" s="201" t="s">
        <v>67</v>
      </c>
      <c r="C2449" t="s">
        <v>129</v>
      </c>
      <c r="D2449">
        <v>100</v>
      </c>
      <c r="E2449">
        <v>100</v>
      </c>
      <c r="F2449">
        <v>-16.027999999999999</v>
      </c>
      <c r="G2449">
        <v>2596.8000000000002</v>
      </c>
      <c r="H2449">
        <v>0</v>
      </c>
      <c r="I2449" s="309">
        <v>994</v>
      </c>
      <c r="J2449">
        <v>9.94</v>
      </c>
      <c r="K2449" s="133">
        <v>2.0556491523911198E-3</v>
      </c>
      <c r="L2449" s="181">
        <v>36</v>
      </c>
      <c r="M2449" s="133">
        <v>0</v>
      </c>
      <c r="N2449" s="73">
        <v>2581.5064999997599</v>
      </c>
      <c r="O2449" s="73">
        <v>263.01893442913098</v>
      </c>
      <c r="P2449" s="182">
        <v>0</v>
      </c>
      <c r="Q2449" s="182">
        <v>0</v>
      </c>
      <c r="R2449" s="46">
        <v>0</v>
      </c>
      <c r="S2449" s="46">
        <v>20</v>
      </c>
      <c r="T2449" s="46">
        <v>8000</v>
      </c>
      <c r="U2449" s="46">
        <v>8.891</v>
      </c>
      <c r="V2449" s="46" t="s">
        <v>68</v>
      </c>
      <c r="W2449" s="46">
        <v>8000</v>
      </c>
      <c r="X2449" s="46">
        <v>8.891</v>
      </c>
      <c r="AF2449" s="46">
        <v>174</v>
      </c>
      <c r="AG2449" s="46">
        <v>86400</v>
      </c>
      <c r="AH2449" s="46">
        <v>716375</v>
      </c>
      <c r="AI2449" s="46">
        <v>8.2910000000000004</v>
      </c>
      <c r="AJ2449" s="46">
        <v>177</v>
      </c>
      <c r="AK2449" s="46">
        <v>80900</v>
      </c>
      <c r="AL2449" s="46">
        <v>716150.74650000001</v>
      </c>
      <c r="AM2449" s="46">
        <v>8.8520000000000003</v>
      </c>
      <c r="AN2449" s="46" t="s">
        <v>63</v>
      </c>
      <c r="AO2449" s="46">
        <v>5500</v>
      </c>
      <c r="AP2449" s="46">
        <v>224.25299999999999</v>
      </c>
      <c r="AQ2449" s="46">
        <v>4.1000000000000002E-2</v>
      </c>
      <c r="AR2449" s="46">
        <v>45384.9</v>
      </c>
      <c r="AS2449" s="46">
        <v>174</v>
      </c>
      <c r="AT2449" s="46">
        <v>86400</v>
      </c>
      <c r="AU2449" s="46">
        <v>716375</v>
      </c>
      <c r="AV2449" s="46">
        <v>8.2910000000000004</v>
      </c>
      <c r="AW2449" s="46">
        <v>197</v>
      </c>
      <c r="AX2449" s="46">
        <v>88900</v>
      </c>
      <c r="AY2449" s="46">
        <v>787103.62250000006</v>
      </c>
      <c r="AZ2449" s="46">
        <v>8.8539999999999992</v>
      </c>
      <c r="BA2449" s="46" t="s">
        <v>69</v>
      </c>
      <c r="BB2449" s="46">
        <v>2500</v>
      </c>
      <c r="BC2449" s="46">
        <v>70728.623000000007</v>
      </c>
      <c r="BD2449" s="46">
        <v>28.291</v>
      </c>
      <c r="BE2449" s="46">
        <v>48643.199999999997</v>
      </c>
      <c r="BF2449" s="46">
        <v>0</v>
      </c>
      <c r="BH2449" s="46">
        <v>70952.876000000004</v>
      </c>
      <c r="BI2449">
        <v>8.8699999999999992</v>
      </c>
      <c r="BJ2449">
        <v>70504.37</v>
      </c>
      <c r="BK2449">
        <v>8.81</v>
      </c>
      <c r="BL2449">
        <v>4565.8900000000003</v>
      </c>
    </row>
    <row r="2450" spans="1:64" x14ac:dyDescent="0.25">
      <c r="A2450" s="136">
        <v>43166</v>
      </c>
      <c r="B2450" s="201" t="s">
        <v>78</v>
      </c>
      <c r="C2450" t="s">
        <v>142</v>
      </c>
      <c r="D2450">
        <v>200</v>
      </c>
      <c r="E2450">
        <v>200</v>
      </c>
      <c r="F2450">
        <v>3.0830000000000002</v>
      </c>
      <c r="G2450">
        <v>1395.45</v>
      </c>
      <c r="H2450">
        <v>226.31</v>
      </c>
      <c r="I2450" s="309">
        <v>2012</v>
      </c>
      <c r="J2450">
        <v>10.06</v>
      </c>
      <c r="K2450" s="133">
        <v>4.1609316847192601E-3</v>
      </c>
      <c r="L2450" s="181">
        <v>-10</v>
      </c>
      <c r="M2450" s="133">
        <v>1.2750608500067899E-3</v>
      </c>
      <c r="N2450" s="73">
        <v>1435.4590000000001</v>
      </c>
      <c r="O2450" s="73">
        <v>139.83833045808899</v>
      </c>
      <c r="P2450" s="182">
        <v>0</v>
      </c>
      <c r="Q2450" s="182">
        <v>0</v>
      </c>
      <c r="R2450" s="46">
        <v>0</v>
      </c>
      <c r="S2450" s="46">
        <v>3</v>
      </c>
      <c r="T2450" s="46">
        <v>1200</v>
      </c>
      <c r="U2450" s="46">
        <v>9.9</v>
      </c>
      <c r="V2450" s="46" t="s">
        <v>68</v>
      </c>
      <c r="W2450" s="46">
        <v>1200</v>
      </c>
      <c r="X2450" s="46">
        <v>9.9</v>
      </c>
      <c r="AF2450" s="46">
        <v>12</v>
      </c>
      <c r="AG2450" s="46">
        <v>6000</v>
      </c>
      <c r="AH2450" s="46">
        <v>58025</v>
      </c>
      <c r="AI2450" s="46">
        <v>9.6709999999999994</v>
      </c>
      <c r="AJ2450" s="46">
        <v>12</v>
      </c>
      <c r="AK2450" s="46">
        <v>4600</v>
      </c>
      <c r="AL2450" s="46">
        <v>45555.339</v>
      </c>
      <c r="AM2450" s="46">
        <v>9.9030000000000005</v>
      </c>
      <c r="AN2450" s="46" t="s">
        <v>63</v>
      </c>
      <c r="AO2450" s="46">
        <v>1400</v>
      </c>
      <c r="AP2450" s="46">
        <v>12469.661</v>
      </c>
      <c r="AQ2450" s="46">
        <v>8.907</v>
      </c>
      <c r="AR2450" s="46">
        <v>1067.2</v>
      </c>
      <c r="AS2450" s="46">
        <v>12</v>
      </c>
      <c r="AT2450" s="46">
        <v>6000</v>
      </c>
      <c r="AU2450" s="46">
        <v>58025</v>
      </c>
      <c r="AV2450" s="46">
        <v>9.6709999999999994</v>
      </c>
      <c r="AW2450" s="46">
        <v>15</v>
      </c>
      <c r="AX2450" s="46">
        <v>5800</v>
      </c>
      <c r="AY2450" s="46">
        <v>57408.459000000003</v>
      </c>
      <c r="AZ2450" s="46">
        <v>9.8979999999999997</v>
      </c>
      <c r="BA2450" s="46" t="s">
        <v>63</v>
      </c>
      <c r="BB2450" s="46">
        <v>200</v>
      </c>
      <c r="BC2450" s="46">
        <v>616.54100000000005</v>
      </c>
      <c r="BD2450" s="46">
        <v>3.0830000000000002</v>
      </c>
      <c r="BE2450" s="46">
        <v>1316.6</v>
      </c>
      <c r="BF2450" s="46">
        <v>0</v>
      </c>
      <c r="BH2450" s="46">
        <v>11853.12</v>
      </c>
      <c r="BI2450">
        <v>9.8800000000000008</v>
      </c>
      <c r="BJ2450">
        <v>-11853.12</v>
      </c>
      <c r="BK2450">
        <v>-9.8800000000000008</v>
      </c>
      <c r="BL2450">
        <v>106.08</v>
      </c>
    </row>
    <row r="2451" spans="1:64" x14ac:dyDescent="0.25">
      <c r="A2451" s="136">
        <v>43166</v>
      </c>
      <c r="B2451" s="201" t="s">
        <v>72</v>
      </c>
      <c r="C2451" t="s">
        <v>130</v>
      </c>
      <c r="D2451">
        <v>2900</v>
      </c>
      <c r="E2451">
        <v>2900</v>
      </c>
      <c r="F2451">
        <v>6.9160000000000004</v>
      </c>
      <c r="G2451">
        <v>-1003.55</v>
      </c>
      <c r="H2451">
        <v>-5</v>
      </c>
      <c r="I2451" s="309">
        <v>19053</v>
      </c>
      <c r="J2451">
        <v>6.57</v>
      </c>
      <c r="K2451" s="133">
        <v>3.9402699497493102E-2</v>
      </c>
      <c r="L2451" s="181">
        <v>239.36</v>
      </c>
      <c r="M2451" s="133">
        <v>4.1478098598984103E-2</v>
      </c>
      <c r="N2451" s="73">
        <v>-1109.25999999999</v>
      </c>
      <c r="O2451" s="73">
        <v>-134.206690620269</v>
      </c>
      <c r="P2451" s="182">
        <v>0</v>
      </c>
      <c r="Q2451" s="182">
        <v>0</v>
      </c>
      <c r="R2451" s="46">
        <v>0</v>
      </c>
      <c r="S2451" s="46">
        <v>12</v>
      </c>
      <c r="T2451" s="46">
        <v>4800</v>
      </c>
      <c r="U2451" s="46">
        <v>7.4729999999999999</v>
      </c>
      <c r="V2451" s="46" t="s">
        <v>68</v>
      </c>
      <c r="W2451" s="46">
        <v>4800</v>
      </c>
      <c r="X2451" s="46">
        <v>7.4729999999999999</v>
      </c>
      <c r="AF2451" s="46">
        <v>32</v>
      </c>
      <c r="AG2451" s="46">
        <v>15900</v>
      </c>
      <c r="AH2451" s="46">
        <v>121142</v>
      </c>
      <c r="AI2451" s="46">
        <v>7.6189999999999998</v>
      </c>
      <c r="AJ2451" s="46">
        <v>32</v>
      </c>
      <c r="AK2451" s="46">
        <v>14800</v>
      </c>
      <c r="AL2451" s="46">
        <v>66041.797000000006</v>
      </c>
      <c r="AM2451" s="46">
        <v>4.4619999999999997</v>
      </c>
      <c r="AN2451" s="46" t="s">
        <v>63</v>
      </c>
      <c r="AO2451" s="46">
        <v>1100</v>
      </c>
      <c r="AP2451" s="46">
        <v>55100.203000000001</v>
      </c>
      <c r="AQ2451" s="46">
        <v>50.091000000000001</v>
      </c>
      <c r="AR2451" s="46">
        <v>-46723.6</v>
      </c>
      <c r="AS2451" s="46">
        <v>32</v>
      </c>
      <c r="AT2451" s="46">
        <v>15900</v>
      </c>
      <c r="AU2451" s="46">
        <v>121142</v>
      </c>
      <c r="AV2451" s="46">
        <v>7.6189999999999998</v>
      </c>
      <c r="AW2451" s="46">
        <v>45</v>
      </c>
      <c r="AX2451" s="46">
        <v>20100</v>
      </c>
      <c r="AY2451" s="46">
        <v>101817.925</v>
      </c>
      <c r="AZ2451" s="46">
        <v>5.0659999999999998</v>
      </c>
      <c r="BA2451" s="46" t="s">
        <v>69</v>
      </c>
      <c r="BB2451" s="46">
        <v>4200</v>
      </c>
      <c r="BC2451" s="46">
        <v>19324.075000000001</v>
      </c>
      <c r="BD2451" s="46">
        <v>4.601</v>
      </c>
      <c r="BE2451" s="46">
        <v>-40592.699999999997</v>
      </c>
      <c r="BF2451" s="46">
        <v>0</v>
      </c>
      <c r="BH2451" s="46">
        <v>35776.127999999997</v>
      </c>
      <c r="BI2451">
        <v>7.45</v>
      </c>
      <c r="BJ2451">
        <v>-35776.127999999997</v>
      </c>
      <c r="BK2451">
        <v>-7.45</v>
      </c>
      <c r="BL2451">
        <v>-7111.66</v>
      </c>
    </row>
    <row r="2452" spans="1:64" x14ac:dyDescent="0.25">
      <c r="A2452" s="136">
        <v>43166</v>
      </c>
      <c r="B2452" s="201" t="s">
        <v>70</v>
      </c>
      <c r="C2452" t="s">
        <v>131</v>
      </c>
      <c r="D2452">
        <v>13900</v>
      </c>
      <c r="E2452">
        <v>13900</v>
      </c>
      <c r="F2452">
        <v>11.211</v>
      </c>
      <c r="G2452">
        <v>-34621.39</v>
      </c>
      <c r="H2452">
        <v>-22.22</v>
      </c>
      <c r="I2452" s="309">
        <v>121208</v>
      </c>
      <c r="J2452">
        <v>8.7200000000000006</v>
      </c>
      <c r="K2452" s="133">
        <v>0.25066511314187501</v>
      </c>
      <c r="L2452" s="181">
        <v>-1529</v>
      </c>
      <c r="M2452" s="133">
        <v>0.32226413830093198</v>
      </c>
      <c r="N2452" s="73">
        <v>-33369.39</v>
      </c>
      <c r="O2452" s="73">
        <v>-3785.7781276958099</v>
      </c>
      <c r="P2452" s="182">
        <v>5</v>
      </c>
      <c r="Q2452" s="182">
        <v>3500</v>
      </c>
      <c r="R2452" s="46">
        <v>8.2110000000000003</v>
      </c>
      <c r="S2452" s="46">
        <v>4</v>
      </c>
      <c r="T2452" s="46">
        <v>1600</v>
      </c>
      <c r="U2452" s="46">
        <v>8.5850000000000009</v>
      </c>
      <c r="V2452" s="46" t="s">
        <v>62</v>
      </c>
      <c r="W2452" s="46">
        <v>1900</v>
      </c>
      <c r="X2452" s="46">
        <v>7.8959999999999999</v>
      </c>
      <c r="AF2452" s="46">
        <v>128</v>
      </c>
      <c r="AG2452" s="46">
        <v>64600</v>
      </c>
      <c r="AH2452" s="46">
        <v>861448</v>
      </c>
      <c r="AI2452" s="46">
        <v>13.335000000000001</v>
      </c>
      <c r="AJ2452" s="46">
        <v>131</v>
      </c>
      <c r="AK2452" s="46">
        <v>52600</v>
      </c>
      <c r="AL2452" s="46">
        <v>720277.34600000002</v>
      </c>
      <c r="AM2452" s="46">
        <v>13.693</v>
      </c>
      <c r="AN2452" s="46" t="s">
        <v>63</v>
      </c>
      <c r="AO2452" s="46">
        <v>12000</v>
      </c>
      <c r="AP2452" s="46">
        <v>141170.65400000001</v>
      </c>
      <c r="AQ2452" s="46">
        <v>11.763999999999999</v>
      </c>
      <c r="AR2452" s="46">
        <v>18830.8</v>
      </c>
      <c r="AS2452" s="46">
        <v>133</v>
      </c>
      <c r="AT2452" s="46">
        <v>68100</v>
      </c>
      <c r="AU2452" s="46">
        <v>890213</v>
      </c>
      <c r="AV2452" s="46">
        <v>13.071999999999999</v>
      </c>
      <c r="AW2452" s="46">
        <v>136</v>
      </c>
      <c r="AX2452" s="46">
        <v>54200</v>
      </c>
      <c r="AY2452" s="46">
        <v>734384.61</v>
      </c>
      <c r="AZ2452" s="46">
        <v>13.55</v>
      </c>
      <c r="BA2452" s="46" t="s">
        <v>63</v>
      </c>
      <c r="BB2452" s="46">
        <v>13900</v>
      </c>
      <c r="BC2452" s="46">
        <v>155828.39000000001</v>
      </c>
      <c r="BD2452" s="46">
        <v>11.211</v>
      </c>
      <c r="BE2452" s="46">
        <v>25907.599999999999</v>
      </c>
      <c r="BF2452" s="46">
        <v>28765</v>
      </c>
      <c r="BG2452" s="46">
        <v>8.2200000000000006</v>
      </c>
      <c r="BH2452" s="46">
        <v>14107.264000000099</v>
      </c>
      <c r="BI2452">
        <v>8.82</v>
      </c>
      <c r="BJ2452">
        <v>14657.736000000001</v>
      </c>
      <c r="BK2452">
        <v>7.71</v>
      </c>
      <c r="BL2452">
        <v>2159.5</v>
      </c>
    </row>
    <row r="2453" spans="1:64" x14ac:dyDescent="0.25">
      <c r="A2453" s="136">
        <v>43166</v>
      </c>
      <c r="B2453" s="201" t="s">
        <v>137</v>
      </c>
      <c r="C2453" t="s">
        <v>138</v>
      </c>
      <c r="D2453">
        <v>100</v>
      </c>
      <c r="E2453">
        <v>100</v>
      </c>
      <c r="F2453">
        <v>-130.48500000000001</v>
      </c>
      <c r="G2453">
        <v>16440.5</v>
      </c>
      <c r="H2453">
        <v>0</v>
      </c>
      <c r="I2453" s="309">
        <v>3392</v>
      </c>
      <c r="J2453">
        <v>33.92</v>
      </c>
      <c r="K2453" s="133">
        <v>7.01485103109728E-3</v>
      </c>
      <c r="L2453" s="181">
        <v>89</v>
      </c>
      <c r="M2453" s="133">
        <v>0</v>
      </c>
    </row>
    <row r="2454" spans="1:64" x14ac:dyDescent="0.25">
      <c r="A2454" s="136">
        <v>43166</v>
      </c>
      <c r="B2454" s="201" t="s">
        <v>835</v>
      </c>
      <c r="C2454" t="s">
        <v>839</v>
      </c>
      <c r="I2454" s="309">
        <v>10445.700000000001</v>
      </c>
      <c r="K2454" s="133">
        <v>2.1602308200334E-2</v>
      </c>
      <c r="L2454" s="181">
        <v>0</v>
      </c>
      <c r="M2454" s="133">
        <v>0.25347467265493401</v>
      </c>
    </row>
    <row r="2455" spans="1:64" x14ac:dyDescent="0.25">
      <c r="A2455" s="136">
        <v>43167</v>
      </c>
      <c r="B2455" s="201" t="s">
        <v>132</v>
      </c>
      <c r="C2455" t="s">
        <v>123</v>
      </c>
      <c r="D2455">
        <v>11213089</v>
      </c>
      <c r="E2455">
        <v>11213089</v>
      </c>
      <c r="F2455">
        <v>0.01</v>
      </c>
      <c r="G2455">
        <v>3176.45</v>
      </c>
      <c r="H2455">
        <v>0</v>
      </c>
      <c r="I2455" s="309">
        <v>112130.89</v>
      </c>
      <c r="J2455">
        <v>0.01</v>
      </c>
      <c r="K2455" s="133">
        <v>0.230728865528157</v>
      </c>
      <c r="L2455" s="181">
        <v>10.039999999999999</v>
      </c>
      <c r="M2455" s="133">
        <v>0</v>
      </c>
    </row>
    <row r="2456" spans="1:64" x14ac:dyDescent="0.25">
      <c r="A2456" s="136">
        <v>43167</v>
      </c>
      <c r="B2456" s="201" t="s">
        <v>61</v>
      </c>
      <c r="C2456" t="s">
        <v>136</v>
      </c>
      <c r="D2456">
        <v>2400</v>
      </c>
      <c r="E2456">
        <v>2400</v>
      </c>
      <c r="F2456">
        <v>5.2380000000000004</v>
      </c>
      <c r="G2456">
        <v>-451.95</v>
      </c>
      <c r="H2456">
        <v>-3.59</v>
      </c>
      <c r="I2456" s="309">
        <v>12120</v>
      </c>
      <c r="J2456">
        <v>5.05</v>
      </c>
      <c r="K2456" s="133">
        <v>2.4939014130729398E-2</v>
      </c>
      <c r="L2456" s="181">
        <v>100.94</v>
      </c>
      <c r="M2456" s="133">
        <v>2.5868980090826998E-2</v>
      </c>
      <c r="N2456" s="73">
        <v>-481.24099999999999</v>
      </c>
      <c r="O2456" s="73">
        <v>-95.436583234126999</v>
      </c>
      <c r="P2456" s="182">
        <v>3</v>
      </c>
      <c r="Q2456" s="182">
        <v>1500</v>
      </c>
      <c r="R2456" s="46">
        <v>5.327</v>
      </c>
      <c r="S2456" s="46">
        <v>0</v>
      </c>
      <c r="T2456" s="46">
        <v>0</v>
      </c>
      <c r="U2456" s="46">
        <v>0</v>
      </c>
      <c r="V2456" s="46" t="s">
        <v>62</v>
      </c>
      <c r="W2456" s="46">
        <v>1500</v>
      </c>
      <c r="X2456" s="46">
        <v>5.327</v>
      </c>
      <c r="AF2456" s="46">
        <v>10</v>
      </c>
      <c r="AG2456" s="46">
        <v>5000</v>
      </c>
      <c r="AH2456" s="46">
        <v>26378</v>
      </c>
      <c r="AI2456" s="46">
        <v>5.2759999999999998</v>
      </c>
      <c r="AJ2456" s="46">
        <v>10</v>
      </c>
      <c r="AK2456" s="46">
        <v>4100</v>
      </c>
      <c r="AL2456" s="46">
        <v>21806.659</v>
      </c>
      <c r="AM2456" s="46">
        <v>5.319</v>
      </c>
      <c r="AN2456" s="46" t="s">
        <v>63</v>
      </c>
      <c r="AO2456" s="46">
        <v>900</v>
      </c>
      <c r="AP2456" s="46">
        <v>4571.3410000000003</v>
      </c>
      <c r="AQ2456" s="46">
        <v>5.0789999999999997</v>
      </c>
      <c r="AR2456" s="46">
        <v>176.3</v>
      </c>
      <c r="AS2456" s="46">
        <v>13</v>
      </c>
      <c r="AT2456" s="46">
        <v>6500</v>
      </c>
      <c r="AU2456" s="46">
        <v>34383.9</v>
      </c>
      <c r="AV2456" s="46">
        <v>5.29</v>
      </c>
      <c r="AW2456" s="46">
        <v>10</v>
      </c>
      <c r="AX2456" s="46">
        <v>4100</v>
      </c>
      <c r="AY2456" s="46">
        <v>21806.659</v>
      </c>
      <c r="AZ2456" s="46">
        <v>5.319</v>
      </c>
      <c r="BA2456" s="46" t="s">
        <v>63</v>
      </c>
      <c r="BB2456" s="46">
        <v>2400</v>
      </c>
      <c r="BC2456" s="46">
        <v>12577.241</v>
      </c>
      <c r="BD2456" s="46">
        <v>5.2409999999999997</v>
      </c>
      <c r="BE2456" s="46">
        <v>118.9</v>
      </c>
      <c r="BF2456" s="46">
        <v>8005.9</v>
      </c>
      <c r="BG2456" s="46">
        <v>5.34</v>
      </c>
      <c r="BH2456" s="46">
        <v>0</v>
      </c>
      <c r="BJ2456">
        <v>8005.9</v>
      </c>
      <c r="BK2456">
        <v>5.34</v>
      </c>
      <c r="BL2456">
        <v>34.909999999999997</v>
      </c>
    </row>
    <row r="2457" spans="1:64" x14ac:dyDescent="0.25">
      <c r="A2457" s="136">
        <v>43167</v>
      </c>
      <c r="B2457" s="201" t="s">
        <v>124</v>
      </c>
      <c r="C2457" t="s">
        <v>125</v>
      </c>
      <c r="D2457">
        <v>100</v>
      </c>
      <c r="E2457">
        <v>100</v>
      </c>
      <c r="F2457">
        <v>-53.579000000000001</v>
      </c>
      <c r="G2457">
        <v>6012.9</v>
      </c>
      <c r="H2457">
        <v>0</v>
      </c>
      <c r="I2457" s="309">
        <v>655</v>
      </c>
      <c r="J2457">
        <v>6.55</v>
      </c>
      <c r="K2457" s="133">
        <v>1.34777675376466E-3</v>
      </c>
      <c r="L2457" s="181">
        <v>-8</v>
      </c>
      <c r="M2457" s="133">
        <v>0</v>
      </c>
    </row>
    <row r="2458" spans="1:64" x14ac:dyDescent="0.25">
      <c r="A2458" s="136">
        <v>43167</v>
      </c>
      <c r="B2458" s="201" t="s">
        <v>71</v>
      </c>
      <c r="C2458" t="s">
        <v>126</v>
      </c>
      <c r="D2458">
        <v>1100</v>
      </c>
      <c r="E2458">
        <v>1100</v>
      </c>
      <c r="F2458">
        <v>4.6100000000000003</v>
      </c>
      <c r="G2458">
        <v>2320.5</v>
      </c>
      <c r="H2458">
        <v>45.77</v>
      </c>
      <c r="I2458" s="309">
        <v>7392</v>
      </c>
      <c r="J2458">
        <v>6.72</v>
      </c>
      <c r="K2458" s="133">
        <v>1.5210329410424999E-2</v>
      </c>
      <c r="L2458" s="181">
        <v>-33</v>
      </c>
      <c r="M2458" s="133">
        <v>1.0435495888118301E-2</v>
      </c>
      <c r="N2458" s="73">
        <v>-5077.2979999999998</v>
      </c>
      <c r="O2458" s="73">
        <v>340.50361511976001</v>
      </c>
      <c r="P2458" s="182">
        <v>0</v>
      </c>
      <c r="Q2458" s="182">
        <v>0</v>
      </c>
      <c r="R2458" s="46">
        <v>0</v>
      </c>
      <c r="S2458" s="46">
        <v>5</v>
      </c>
      <c r="T2458" s="46">
        <v>2000</v>
      </c>
      <c r="U2458" s="46">
        <v>6.625</v>
      </c>
      <c r="V2458" s="46" t="s">
        <v>68</v>
      </c>
      <c r="W2458" s="46">
        <v>2000</v>
      </c>
      <c r="X2458" s="46">
        <v>6.625</v>
      </c>
      <c r="AF2458" s="46">
        <v>43</v>
      </c>
      <c r="AG2458" s="46">
        <v>21600</v>
      </c>
      <c r="AH2458" s="46">
        <v>138103.96</v>
      </c>
      <c r="AI2458" s="46">
        <v>6.3940000000000001</v>
      </c>
      <c r="AJ2458" s="46">
        <v>41</v>
      </c>
      <c r="AK2458" s="46">
        <v>18500</v>
      </c>
      <c r="AL2458" s="46">
        <v>119652.91099999999</v>
      </c>
      <c r="AM2458" s="46">
        <v>6.468</v>
      </c>
      <c r="AN2458" s="46" t="s">
        <v>63</v>
      </c>
      <c r="AO2458" s="46">
        <v>3100</v>
      </c>
      <c r="AP2458" s="46">
        <v>18451.048999999999</v>
      </c>
      <c r="AQ2458" s="46">
        <v>5.952</v>
      </c>
      <c r="AR2458" s="46">
        <v>1369</v>
      </c>
      <c r="AS2458" s="46">
        <v>43</v>
      </c>
      <c r="AT2458" s="46">
        <v>21600</v>
      </c>
      <c r="AU2458" s="46">
        <v>138103.96</v>
      </c>
      <c r="AV2458" s="46">
        <v>6.3940000000000001</v>
      </c>
      <c r="AW2458" s="46">
        <v>46</v>
      </c>
      <c r="AX2458" s="46">
        <v>20500</v>
      </c>
      <c r="AY2458" s="46">
        <v>132870.462</v>
      </c>
      <c r="AZ2458" s="46">
        <v>6.4809999999999999</v>
      </c>
      <c r="BA2458" s="46" t="s">
        <v>63</v>
      </c>
      <c r="BB2458" s="46">
        <v>1100</v>
      </c>
      <c r="BC2458" s="46">
        <v>5233.4979999999996</v>
      </c>
      <c r="BD2458" s="46">
        <v>4.758</v>
      </c>
      <c r="BE2458" s="46">
        <v>1783.5</v>
      </c>
      <c r="BF2458" s="46">
        <v>0</v>
      </c>
      <c r="BH2458" s="46">
        <v>13217.550999999999</v>
      </c>
      <c r="BI2458">
        <v>6.61</v>
      </c>
      <c r="BJ2458">
        <v>-13217.550999999999</v>
      </c>
      <c r="BK2458">
        <v>-6.61</v>
      </c>
      <c r="BL2458">
        <v>203.72</v>
      </c>
    </row>
    <row r="2459" spans="1:64" x14ac:dyDescent="0.25">
      <c r="A2459" s="136">
        <v>43167</v>
      </c>
      <c r="B2459" s="201" t="s">
        <v>79</v>
      </c>
      <c r="C2459" t="s">
        <v>143</v>
      </c>
      <c r="D2459">
        <v>5400</v>
      </c>
      <c r="E2459">
        <v>5400</v>
      </c>
      <c r="F2459">
        <v>16.536000000000001</v>
      </c>
      <c r="G2459">
        <v>-11049.64</v>
      </c>
      <c r="H2459">
        <v>-12.37</v>
      </c>
      <c r="I2459" s="309">
        <v>78246</v>
      </c>
      <c r="J2459">
        <v>14.49</v>
      </c>
      <c r="K2459" s="133">
        <v>0.16100479370239701</v>
      </c>
      <c r="L2459" s="181">
        <v>594</v>
      </c>
      <c r="M2459" s="133">
        <v>0.183741355426776</v>
      </c>
      <c r="N2459" s="73">
        <v>-10837.2040000001</v>
      </c>
      <c r="O2459" s="73">
        <v>-745.47731576050103</v>
      </c>
      <c r="P2459" s="182">
        <v>8</v>
      </c>
      <c r="Q2459" s="182">
        <v>4500</v>
      </c>
      <c r="R2459" s="46">
        <v>15.808</v>
      </c>
      <c r="S2459" s="46">
        <v>0</v>
      </c>
      <c r="T2459" s="46">
        <v>0</v>
      </c>
      <c r="U2459" s="46">
        <v>0</v>
      </c>
      <c r="V2459" s="46" t="s">
        <v>62</v>
      </c>
      <c r="W2459" s="46">
        <v>4500</v>
      </c>
      <c r="X2459" s="46">
        <v>15.808</v>
      </c>
      <c r="AF2459" s="46">
        <v>9</v>
      </c>
      <c r="AG2459" s="46">
        <v>4500</v>
      </c>
      <c r="AH2459" s="46">
        <v>73662.7</v>
      </c>
      <c r="AI2459" s="46">
        <v>16.369</v>
      </c>
      <c r="AJ2459" s="46">
        <v>9</v>
      </c>
      <c r="AK2459" s="46">
        <v>3600</v>
      </c>
      <c r="AL2459" s="46">
        <v>55541.196000000004</v>
      </c>
      <c r="AM2459" s="46">
        <v>15.428000000000001</v>
      </c>
      <c r="AN2459" s="46" t="s">
        <v>63</v>
      </c>
      <c r="AO2459" s="46">
        <v>900</v>
      </c>
      <c r="AP2459" s="46">
        <v>18121.504000000001</v>
      </c>
      <c r="AQ2459" s="46">
        <v>20.135000000000002</v>
      </c>
      <c r="AR2459" s="46">
        <v>-3387.6</v>
      </c>
      <c r="AS2459" s="46">
        <v>17</v>
      </c>
      <c r="AT2459" s="46">
        <v>9000</v>
      </c>
      <c r="AU2459" s="46">
        <v>144840.4</v>
      </c>
      <c r="AV2459" s="46">
        <v>16.093</v>
      </c>
      <c r="AW2459" s="46">
        <v>9</v>
      </c>
      <c r="AX2459" s="46">
        <v>3600</v>
      </c>
      <c r="AY2459" s="46">
        <v>55541.196000000004</v>
      </c>
      <c r="AZ2459" s="46">
        <v>15.428000000000001</v>
      </c>
      <c r="BA2459" s="46" t="s">
        <v>63</v>
      </c>
      <c r="BB2459" s="46">
        <v>5400</v>
      </c>
      <c r="BC2459" s="46">
        <v>89299.203999999998</v>
      </c>
      <c r="BD2459" s="46">
        <v>16.536999999999999</v>
      </c>
      <c r="BE2459" s="46">
        <v>-2394</v>
      </c>
      <c r="BF2459" s="46">
        <v>71177.7</v>
      </c>
      <c r="BG2459" s="46">
        <v>15.82</v>
      </c>
      <c r="BH2459" s="46">
        <v>0</v>
      </c>
      <c r="BJ2459">
        <v>71177.7</v>
      </c>
      <c r="BK2459">
        <v>15.82</v>
      </c>
      <c r="BL2459">
        <v>-233.79</v>
      </c>
    </row>
    <row r="2460" spans="1:64" x14ac:dyDescent="0.25">
      <c r="A2460" s="136">
        <v>43167</v>
      </c>
      <c r="B2460" s="201" t="s">
        <v>65</v>
      </c>
      <c r="C2460" t="s">
        <v>127</v>
      </c>
      <c r="D2460">
        <v>8600</v>
      </c>
      <c r="E2460">
        <v>8600</v>
      </c>
      <c r="F2460">
        <v>9.032</v>
      </c>
      <c r="G2460">
        <v>12018.74</v>
      </c>
      <c r="H2460">
        <v>15.48</v>
      </c>
      <c r="I2460" s="309">
        <v>89698</v>
      </c>
      <c r="J2460">
        <v>10.43</v>
      </c>
      <c r="K2460" s="133">
        <v>0.18456928131173</v>
      </c>
      <c r="L2460" s="181">
        <v>258</v>
      </c>
      <c r="M2460" s="133">
        <v>0.159838627294109</v>
      </c>
      <c r="N2460" s="73">
        <v>7736.31699999997</v>
      </c>
      <c r="O2460" s="73">
        <v>1151.6645795541599</v>
      </c>
      <c r="P2460" s="182">
        <v>0</v>
      </c>
      <c r="Q2460" s="182">
        <v>0</v>
      </c>
      <c r="R2460" s="46">
        <v>0</v>
      </c>
      <c r="S2460" s="46">
        <v>19</v>
      </c>
      <c r="T2460" s="46">
        <v>8000</v>
      </c>
      <c r="U2460" s="46">
        <v>11.867000000000001</v>
      </c>
      <c r="V2460" s="46" t="s">
        <v>68</v>
      </c>
      <c r="W2460" s="46">
        <v>8000</v>
      </c>
      <c r="X2460" s="46">
        <v>11.867000000000001</v>
      </c>
      <c r="AF2460" s="46">
        <v>166</v>
      </c>
      <c r="AG2460" s="46">
        <v>88200</v>
      </c>
      <c r="AH2460" s="46">
        <v>1025045.231</v>
      </c>
      <c r="AI2460" s="46">
        <v>11.622</v>
      </c>
      <c r="AJ2460" s="46">
        <v>186</v>
      </c>
      <c r="AK2460" s="46">
        <v>80800</v>
      </c>
      <c r="AL2460" s="46">
        <v>851785.48100000003</v>
      </c>
      <c r="AM2460" s="46">
        <v>10.542</v>
      </c>
      <c r="AN2460" s="46" t="s">
        <v>63</v>
      </c>
      <c r="AO2460" s="46">
        <v>7400</v>
      </c>
      <c r="AP2460" s="46">
        <v>173259.75</v>
      </c>
      <c r="AQ2460" s="46">
        <v>23.413</v>
      </c>
      <c r="AR2460" s="46">
        <v>-87264</v>
      </c>
      <c r="AS2460" s="46">
        <v>167</v>
      </c>
      <c r="AT2460" s="46">
        <v>88300</v>
      </c>
      <c r="AU2460" s="46">
        <v>1026333.231</v>
      </c>
      <c r="AV2460" s="46">
        <v>11.622999999999999</v>
      </c>
      <c r="AW2460" s="46">
        <v>205</v>
      </c>
      <c r="AX2460" s="46">
        <v>88800</v>
      </c>
      <c r="AY2460" s="46">
        <v>946530.54599999997</v>
      </c>
      <c r="AZ2460" s="46">
        <v>10.659000000000001</v>
      </c>
      <c r="BA2460" s="46" t="s">
        <v>69</v>
      </c>
      <c r="BB2460" s="46">
        <v>500</v>
      </c>
      <c r="BC2460" s="46">
        <v>79802.684999999998</v>
      </c>
      <c r="BD2460" s="46">
        <v>159.60499999999999</v>
      </c>
      <c r="BE2460" s="46">
        <v>-85121.2</v>
      </c>
      <c r="BF2460" s="46">
        <v>1288</v>
      </c>
      <c r="BH2460" s="46">
        <v>94745.0649999999</v>
      </c>
      <c r="BI2460">
        <v>11.84</v>
      </c>
      <c r="BJ2460">
        <v>-93457.065000000002</v>
      </c>
      <c r="BK2460">
        <v>-11.68</v>
      </c>
      <c r="BL2460">
        <v>-8366.6299999999992</v>
      </c>
    </row>
    <row r="2461" spans="1:64" x14ac:dyDescent="0.25">
      <c r="A2461" s="136">
        <v>43167</v>
      </c>
      <c r="B2461" s="201" t="s">
        <v>77</v>
      </c>
      <c r="C2461" t="s">
        <v>128</v>
      </c>
      <c r="D2461">
        <v>4300</v>
      </c>
      <c r="E2461">
        <v>4300</v>
      </c>
      <c r="F2461">
        <v>5.9779999999999998</v>
      </c>
      <c r="G2461">
        <v>-595.27</v>
      </c>
      <c r="H2461">
        <v>-2.31</v>
      </c>
      <c r="I2461" s="309">
        <v>25112</v>
      </c>
      <c r="J2461">
        <v>5.84</v>
      </c>
      <c r="K2461" s="133">
        <v>5.1672320367234001E-2</v>
      </c>
      <c r="L2461" s="181">
        <v>0</v>
      </c>
      <c r="M2461" s="133">
        <v>5.2897192227101902E-2</v>
      </c>
      <c r="N2461" s="73">
        <v>-1272.2139999999999</v>
      </c>
      <c r="O2461" s="73">
        <v>-133.073774655173</v>
      </c>
      <c r="P2461" s="182">
        <v>6</v>
      </c>
      <c r="Q2461" s="182">
        <v>3000</v>
      </c>
      <c r="R2461" s="46">
        <v>6.798</v>
      </c>
      <c r="S2461" s="46">
        <v>0</v>
      </c>
      <c r="T2461" s="46">
        <v>0</v>
      </c>
      <c r="U2461" s="46">
        <v>0</v>
      </c>
      <c r="V2461" s="46" t="s">
        <v>62</v>
      </c>
      <c r="W2461" s="46">
        <v>3000</v>
      </c>
      <c r="X2461" s="46">
        <v>6.798</v>
      </c>
      <c r="AF2461" s="46">
        <v>39</v>
      </c>
      <c r="AG2461" s="46">
        <v>19500</v>
      </c>
      <c r="AH2461" s="46">
        <v>142169</v>
      </c>
      <c r="AI2461" s="46">
        <v>7.2910000000000004</v>
      </c>
      <c r="AJ2461" s="46">
        <v>39</v>
      </c>
      <c r="AK2461" s="46">
        <v>18200</v>
      </c>
      <c r="AL2461" s="46">
        <v>136881.78599999999</v>
      </c>
      <c r="AM2461" s="46">
        <v>7.5209999999999999</v>
      </c>
      <c r="AN2461" s="46" t="s">
        <v>63</v>
      </c>
      <c r="AO2461" s="46">
        <v>1300</v>
      </c>
      <c r="AP2461" s="46">
        <v>5287.2139999999999</v>
      </c>
      <c r="AQ2461" s="46">
        <v>4.0670000000000002</v>
      </c>
      <c r="AR2461" s="46">
        <v>4186</v>
      </c>
      <c r="AS2461" s="46">
        <v>45</v>
      </c>
      <c r="AT2461" s="46">
        <v>22500</v>
      </c>
      <c r="AU2461" s="46">
        <v>162594</v>
      </c>
      <c r="AV2461" s="46">
        <v>7.226</v>
      </c>
      <c r="AW2461" s="46">
        <v>39</v>
      </c>
      <c r="AX2461" s="46">
        <v>18200</v>
      </c>
      <c r="AY2461" s="46">
        <v>136881.78599999999</v>
      </c>
      <c r="AZ2461" s="46">
        <v>7.5209999999999999</v>
      </c>
      <c r="BA2461" s="46" t="s">
        <v>63</v>
      </c>
      <c r="BB2461" s="46">
        <v>4300</v>
      </c>
      <c r="BC2461" s="46">
        <v>25712.214</v>
      </c>
      <c r="BD2461" s="46">
        <v>5.98</v>
      </c>
      <c r="BE2461" s="46">
        <v>5369</v>
      </c>
      <c r="BF2461" s="46">
        <v>20425</v>
      </c>
      <c r="BG2461" s="46">
        <v>6.81</v>
      </c>
      <c r="BH2461" s="46">
        <v>0</v>
      </c>
      <c r="BJ2461">
        <v>20425</v>
      </c>
      <c r="BK2461">
        <v>6.81</v>
      </c>
      <c r="BL2461">
        <v>716.78</v>
      </c>
    </row>
    <row r="2462" spans="1:64" x14ac:dyDescent="0.25">
      <c r="A2462" s="136">
        <v>43167</v>
      </c>
      <c r="B2462" s="201" t="s">
        <v>67</v>
      </c>
      <c r="C2462" t="s">
        <v>129</v>
      </c>
      <c r="D2462">
        <v>100</v>
      </c>
      <c r="E2462">
        <v>100</v>
      </c>
      <c r="F2462">
        <v>-16.027999999999999</v>
      </c>
      <c r="G2462">
        <v>2602.8000000000002</v>
      </c>
      <c r="H2462">
        <v>0</v>
      </c>
      <c r="I2462" s="309">
        <v>1000</v>
      </c>
      <c r="J2462">
        <v>10</v>
      </c>
      <c r="K2462" s="133">
        <v>2.0576744332285002E-3</v>
      </c>
      <c r="L2462" s="181">
        <v>6</v>
      </c>
      <c r="M2462" s="133">
        <v>0</v>
      </c>
      <c r="N2462" s="73">
        <v>2581.5064999997599</v>
      </c>
      <c r="O2462" s="73">
        <v>263.01893442913098</v>
      </c>
      <c r="P2462" s="182">
        <v>0</v>
      </c>
      <c r="Q2462" s="182">
        <v>0</v>
      </c>
      <c r="R2462" s="46">
        <v>0</v>
      </c>
      <c r="S2462" s="46">
        <v>20</v>
      </c>
      <c r="T2462" s="46">
        <v>8000</v>
      </c>
      <c r="U2462" s="46">
        <v>8.891</v>
      </c>
      <c r="V2462" s="46" t="s">
        <v>68</v>
      </c>
      <c r="W2462" s="46">
        <v>8000</v>
      </c>
      <c r="X2462" s="46">
        <v>8.891</v>
      </c>
      <c r="AF2462" s="46">
        <v>174</v>
      </c>
      <c r="AG2462" s="46">
        <v>86400</v>
      </c>
      <c r="AH2462" s="46">
        <v>716375</v>
      </c>
      <c r="AI2462" s="46">
        <v>8.2910000000000004</v>
      </c>
      <c r="AJ2462" s="46">
        <v>177</v>
      </c>
      <c r="AK2462" s="46">
        <v>80900</v>
      </c>
      <c r="AL2462" s="46">
        <v>716150.74650000001</v>
      </c>
      <c r="AM2462" s="46">
        <v>8.8520000000000003</v>
      </c>
      <c r="AN2462" s="46" t="s">
        <v>63</v>
      </c>
      <c r="AO2462" s="46">
        <v>5500</v>
      </c>
      <c r="AP2462" s="46">
        <v>224.25299999999999</v>
      </c>
      <c r="AQ2462" s="46">
        <v>4.1000000000000002E-2</v>
      </c>
      <c r="AR2462" s="46">
        <v>45384.9</v>
      </c>
      <c r="AS2462" s="46">
        <v>174</v>
      </c>
      <c r="AT2462" s="46">
        <v>86400</v>
      </c>
      <c r="AU2462" s="46">
        <v>716375</v>
      </c>
      <c r="AV2462" s="46">
        <v>8.2910000000000004</v>
      </c>
      <c r="AW2462" s="46">
        <v>197</v>
      </c>
      <c r="AX2462" s="46">
        <v>88900</v>
      </c>
      <c r="AY2462" s="46">
        <v>787103.62250000006</v>
      </c>
      <c r="AZ2462" s="46">
        <v>8.8539999999999992</v>
      </c>
      <c r="BA2462" s="46" t="s">
        <v>69</v>
      </c>
      <c r="BB2462" s="46">
        <v>2500</v>
      </c>
      <c r="BC2462" s="46">
        <v>70728.623000000007</v>
      </c>
      <c r="BD2462" s="46">
        <v>28.291</v>
      </c>
      <c r="BE2462" s="46">
        <v>48643.199999999997</v>
      </c>
      <c r="BF2462" s="46">
        <v>0</v>
      </c>
      <c r="BH2462" s="46">
        <v>70952.876000000004</v>
      </c>
      <c r="BI2462">
        <v>8.8699999999999992</v>
      </c>
      <c r="BJ2462">
        <v>70504.37</v>
      </c>
      <c r="BK2462">
        <v>8.81</v>
      </c>
      <c r="BL2462">
        <v>4538.49</v>
      </c>
    </row>
    <row r="2463" spans="1:64" x14ac:dyDescent="0.25">
      <c r="A2463" s="136">
        <v>43167</v>
      </c>
      <c r="B2463" s="201" t="s">
        <v>78</v>
      </c>
      <c r="C2463" t="s">
        <v>142</v>
      </c>
      <c r="D2463">
        <v>500</v>
      </c>
      <c r="E2463">
        <v>0</v>
      </c>
      <c r="F2463">
        <v>7.1289999999999996</v>
      </c>
      <c r="G2463">
        <v>1415.45</v>
      </c>
      <c r="H2463">
        <v>39.71</v>
      </c>
      <c r="I2463" s="309">
        <v>4980</v>
      </c>
      <c r="J2463">
        <v>9.9600000000000009</v>
      </c>
      <c r="K2463" s="133">
        <v>1.0247218677477901E-2</v>
      </c>
      <c r="L2463" s="181">
        <v>20</v>
      </c>
      <c r="M2463" s="133">
        <v>7.3346834009646302E-3</v>
      </c>
      <c r="N2463" s="73">
        <v>1445.4549999999999</v>
      </c>
      <c r="O2463" s="73">
        <v>144.18485753492999</v>
      </c>
      <c r="P2463" s="182">
        <v>0</v>
      </c>
      <c r="Q2463" s="182">
        <v>0</v>
      </c>
      <c r="R2463" s="46">
        <v>0</v>
      </c>
      <c r="S2463" s="46">
        <v>2</v>
      </c>
      <c r="T2463" s="46">
        <v>800</v>
      </c>
      <c r="U2463" s="46">
        <v>9.9049999999999994</v>
      </c>
      <c r="V2463" s="46" t="s">
        <v>68</v>
      </c>
      <c r="W2463" s="46">
        <v>800</v>
      </c>
      <c r="X2463" s="46">
        <v>9.9049999999999994</v>
      </c>
      <c r="AF2463" s="46">
        <v>13</v>
      </c>
      <c r="AG2463" s="46">
        <v>6500</v>
      </c>
      <c r="AH2463" s="46">
        <v>62970</v>
      </c>
      <c r="AI2463" s="46">
        <v>9.6880000000000006</v>
      </c>
      <c r="AJ2463" s="46">
        <v>14</v>
      </c>
      <c r="AK2463" s="46">
        <v>5200</v>
      </c>
      <c r="AL2463" s="46">
        <v>51499.379000000001</v>
      </c>
      <c r="AM2463" s="46">
        <v>9.9039999999999999</v>
      </c>
      <c r="AN2463" s="46" t="s">
        <v>63</v>
      </c>
      <c r="AO2463" s="46">
        <v>1300</v>
      </c>
      <c r="AP2463" s="46">
        <v>11470.620999999999</v>
      </c>
      <c r="AQ2463" s="46">
        <v>8.8239999999999998</v>
      </c>
      <c r="AR2463" s="46">
        <v>1123.2</v>
      </c>
      <c r="AS2463" s="46">
        <v>13</v>
      </c>
      <c r="AT2463" s="46">
        <v>6500</v>
      </c>
      <c r="AU2463" s="46">
        <v>62970</v>
      </c>
      <c r="AV2463" s="46">
        <v>9.6880000000000006</v>
      </c>
      <c r="AW2463" s="46">
        <v>16</v>
      </c>
      <c r="AX2463" s="46">
        <v>6000</v>
      </c>
      <c r="AY2463" s="46">
        <v>59405.455000000002</v>
      </c>
      <c r="AZ2463" s="46">
        <v>9.9009999999999998</v>
      </c>
      <c r="BA2463" s="46" t="s">
        <v>63</v>
      </c>
      <c r="BB2463" s="46">
        <v>500</v>
      </c>
      <c r="BC2463" s="46">
        <v>3564.5450000000001</v>
      </c>
      <c r="BD2463" s="46">
        <v>7.1289999999999996</v>
      </c>
      <c r="BE2463" s="46">
        <v>1278</v>
      </c>
      <c r="BF2463" s="46">
        <v>0</v>
      </c>
      <c r="BH2463" s="46">
        <v>7906.076</v>
      </c>
      <c r="BI2463">
        <v>9.8800000000000008</v>
      </c>
      <c r="BJ2463">
        <v>-7906.076</v>
      </c>
      <c r="BK2463">
        <v>-9.8800000000000008</v>
      </c>
      <c r="BL2463">
        <v>112.77</v>
      </c>
    </row>
    <row r="2464" spans="1:64" x14ac:dyDescent="0.25">
      <c r="A2464" s="136">
        <v>43167</v>
      </c>
      <c r="B2464" s="201" t="s">
        <v>72</v>
      </c>
      <c r="C2464" t="s">
        <v>130</v>
      </c>
      <c r="D2464">
        <v>2900</v>
      </c>
      <c r="E2464">
        <v>2900</v>
      </c>
      <c r="F2464">
        <v>6.9160000000000004</v>
      </c>
      <c r="G2464">
        <v>-1206.55</v>
      </c>
      <c r="H2464">
        <v>-6.01</v>
      </c>
      <c r="I2464" s="309">
        <v>18850</v>
      </c>
      <c r="J2464">
        <v>6.5</v>
      </c>
      <c r="K2464" s="133">
        <v>3.87871630663571E-2</v>
      </c>
      <c r="L2464" s="181">
        <v>-203</v>
      </c>
      <c r="M2464" s="133">
        <v>4.1269850153769001E-2</v>
      </c>
      <c r="N2464" s="73">
        <v>-1109.25999999999</v>
      </c>
      <c r="O2464" s="73">
        <v>-134.206690620269</v>
      </c>
      <c r="P2464" s="182">
        <v>0</v>
      </c>
      <c r="Q2464" s="182">
        <v>0</v>
      </c>
      <c r="R2464" s="46">
        <v>0</v>
      </c>
      <c r="S2464" s="46">
        <v>12</v>
      </c>
      <c r="T2464" s="46">
        <v>4800</v>
      </c>
      <c r="U2464" s="46">
        <v>7.4729999999999999</v>
      </c>
      <c r="V2464" s="46" t="s">
        <v>68</v>
      </c>
      <c r="W2464" s="46">
        <v>4800</v>
      </c>
      <c r="X2464" s="46">
        <v>7.4729999999999999</v>
      </c>
      <c r="AF2464" s="46">
        <v>32</v>
      </c>
      <c r="AG2464" s="46">
        <v>15900</v>
      </c>
      <c r="AH2464" s="46">
        <v>121142</v>
      </c>
      <c r="AI2464" s="46">
        <v>7.6189999999999998</v>
      </c>
      <c r="AJ2464" s="46">
        <v>32</v>
      </c>
      <c r="AK2464" s="46">
        <v>14800</v>
      </c>
      <c r="AL2464" s="46">
        <v>66041.797000000006</v>
      </c>
      <c r="AM2464" s="46">
        <v>4.4619999999999997</v>
      </c>
      <c r="AN2464" s="46" t="s">
        <v>63</v>
      </c>
      <c r="AO2464" s="46">
        <v>1100</v>
      </c>
      <c r="AP2464" s="46">
        <v>55100.203000000001</v>
      </c>
      <c r="AQ2464" s="46">
        <v>50.091000000000001</v>
      </c>
      <c r="AR2464" s="46">
        <v>-46723.6</v>
      </c>
      <c r="AS2464" s="46">
        <v>32</v>
      </c>
      <c r="AT2464" s="46">
        <v>15900</v>
      </c>
      <c r="AU2464" s="46">
        <v>121142</v>
      </c>
      <c r="AV2464" s="46">
        <v>7.6189999999999998</v>
      </c>
      <c r="AW2464" s="46">
        <v>45</v>
      </c>
      <c r="AX2464" s="46">
        <v>20100</v>
      </c>
      <c r="AY2464" s="46">
        <v>101817.925</v>
      </c>
      <c r="AZ2464" s="46">
        <v>5.0659999999999998</v>
      </c>
      <c r="BA2464" s="46" t="s">
        <v>69</v>
      </c>
      <c r="BB2464" s="46">
        <v>4200</v>
      </c>
      <c r="BC2464" s="46">
        <v>19324.075000000001</v>
      </c>
      <c r="BD2464" s="46">
        <v>4.601</v>
      </c>
      <c r="BE2464" s="46">
        <v>-40592.699999999997</v>
      </c>
      <c r="BF2464" s="46">
        <v>0</v>
      </c>
      <c r="BH2464" s="46">
        <v>35776.127999999997</v>
      </c>
      <c r="BI2464">
        <v>7.45</v>
      </c>
      <c r="BJ2464">
        <v>-35776.127999999997</v>
      </c>
      <c r="BK2464">
        <v>-7.45</v>
      </c>
      <c r="BL2464">
        <v>-7188.25</v>
      </c>
    </row>
    <row r="2465" spans="1:64" x14ac:dyDescent="0.25">
      <c r="A2465" s="136">
        <v>43167</v>
      </c>
      <c r="B2465" s="201" t="s">
        <v>70</v>
      </c>
      <c r="C2465" t="s">
        <v>131</v>
      </c>
      <c r="D2465">
        <v>13900</v>
      </c>
      <c r="E2465">
        <v>13900</v>
      </c>
      <c r="F2465">
        <v>11.211</v>
      </c>
      <c r="G2465">
        <v>-33092.39</v>
      </c>
      <c r="H2465">
        <v>-21.24</v>
      </c>
      <c r="I2465" s="309">
        <v>122737</v>
      </c>
      <c r="J2465">
        <v>8.83</v>
      </c>
      <c r="K2465" s="133">
        <v>0.25255278691116601</v>
      </c>
      <c r="L2465" s="181">
        <v>1529</v>
      </c>
      <c r="M2465" s="133">
        <v>0.32064615174859201</v>
      </c>
      <c r="N2465" s="73">
        <v>-33369.39</v>
      </c>
      <c r="O2465" s="73">
        <v>-3785.7781276958099</v>
      </c>
      <c r="P2465" s="182">
        <v>5</v>
      </c>
      <c r="Q2465" s="182">
        <v>3500</v>
      </c>
      <c r="R2465" s="46">
        <v>8.2110000000000003</v>
      </c>
      <c r="S2465" s="46">
        <v>4</v>
      </c>
      <c r="T2465" s="46">
        <v>1600</v>
      </c>
      <c r="U2465" s="46">
        <v>8.5850000000000009</v>
      </c>
      <c r="V2465" s="46" t="s">
        <v>62</v>
      </c>
      <c r="W2465" s="46">
        <v>1900</v>
      </c>
      <c r="X2465" s="46">
        <v>7.8959999999999999</v>
      </c>
      <c r="AF2465" s="46">
        <v>128</v>
      </c>
      <c r="AG2465" s="46">
        <v>64600</v>
      </c>
      <c r="AH2465" s="46">
        <v>861448</v>
      </c>
      <c r="AI2465" s="46">
        <v>13.335000000000001</v>
      </c>
      <c r="AJ2465" s="46">
        <v>131</v>
      </c>
      <c r="AK2465" s="46">
        <v>52600</v>
      </c>
      <c r="AL2465" s="46">
        <v>720277.34600000002</v>
      </c>
      <c r="AM2465" s="46">
        <v>13.693</v>
      </c>
      <c r="AN2465" s="46" t="s">
        <v>63</v>
      </c>
      <c r="AO2465" s="46">
        <v>12000</v>
      </c>
      <c r="AP2465" s="46">
        <v>141170.65400000001</v>
      </c>
      <c r="AQ2465" s="46">
        <v>11.763999999999999</v>
      </c>
      <c r="AR2465" s="46">
        <v>18830.8</v>
      </c>
      <c r="AS2465" s="46">
        <v>133</v>
      </c>
      <c r="AT2465" s="46">
        <v>68100</v>
      </c>
      <c r="AU2465" s="46">
        <v>890213</v>
      </c>
      <c r="AV2465" s="46">
        <v>13.071999999999999</v>
      </c>
      <c r="AW2465" s="46">
        <v>136</v>
      </c>
      <c r="AX2465" s="46">
        <v>54200</v>
      </c>
      <c r="AY2465" s="46">
        <v>734384.61</v>
      </c>
      <c r="AZ2465" s="46">
        <v>13.55</v>
      </c>
      <c r="BA2465" s="46" t="s">
        <v>63</v>
      </c>
      <c r="BB2465" s="46">
        <v>13900</v>
      </c>
      <c r="BC2465" s="46">
        <v>155828.39000000001</v>
      </c>
      <c r="BD2465" s="46">
        <v>11.211</v>
      </c>
      <c r="BE2465" s="46">
        <v>25907.599999999999</v>
      </c>
      <c r="BF2465" s="46">
        <v>28765</v>
      </c>
      <c r="BG2465" s="46">
        <v>8.2200000000000006</v>
      </c>
      <c r="BH2465" s="46">
        <v>14107.264000000099</v>
      </c>
      <c r="BI2465">
        <v>8.82</v>
      </c>
      <c r="BJ2465">
        <v>14657.736000000001</v>
      </c>
      <c r="BK2465">
        <v>7.71</v>
      </c>
      <c r="BL2465">
        <v>2132.59</v>
      </c>
    </row>
    <row r="2466" spans="1:64" x14ac:dyDescent="0.25">
      <c r="A2466" s="136">
        <v>43167</v>
      </c>
      <c r="B2466" s="201" t="s">
        <v>137</v>
      </c>
      <c r="C2466" t="s">
        <v>138</v>
      </c>
      <c r="D2466">
        <v>100</v>
      </c>
      <c r="E2466">
        <v>100</v>
      </c>
      <c r="F2466">
        <v>-130.48500000000001</v>
      </c>
      <c r="G2466">
        <v>16606.5</v>
      </c>
      <c r="H2466">
        <v>0</v>
      </c>
      <c r="I2466" s="309">
        <v>3558</v>
      </c>
      <c r="J2466">
        <v>35.58</v>
      </c>
      <c r="K2466" s="133">
        <v>7.3212056334269896E-3</v>
      </c>
      <c r="L2466" s="181">
        <v>166</v>
      </c>
      <c r="M2466" s="133">
        <v>0</v>
      </c>
    </row>
    <row r="2467" spans="1:64" x14ac:dyDescent="0.25">
      <c r="A2467" s="136">
        <v>43167</v>
      </c>
      <c r="B2467" s="201" t="s">
        <v>835</v>
      </c>
      <c r="C2467" t="s">
        <v>839</v>
      </c>
      <c r="I2467" s="309">
        <v>9506.64</v>
      </c>
      <c r="K2467" s="133">
        <v>1.9561570073907301E-2</v>
      </c>
      <c r="L2467" s="181">
        <v>0</v>
      </c>
      <c r="M2467" s="133">
        <v>0.25029043560206399</v>
      </c>
    </row>
    <row r="2468" spans="1:64" x14ac:dyDescent="0.25">
      <c r="A2468" s="136">
        <v>43168</v>
      </c>
      <c r="B2468" s="201" t="s">
        <v>132</v>
      </c>
      <c r="C2468" t="s">
        <v>123</v>
      </c>
      <c r="D2468">
        <v>11214089</v>
      </c>
      <c r="E2468">
        <v>11214089</v>
      </c>
      <c r="F2468">
        <v>0.01</v>
      </c>
      <c r="G2468">
        <v>3186.45</v>
      </c>
      <c r="H2468">
        <v>0</v>
      </c>
      <c r="I2468" s="309">
        <v>112140.89</v>
      </c>
      <c r="J2468">
        <v>0.01</v>
      </c>
      <c r="K2468" s="133">
        <v>0.228917407871222</v>
      </c>
      <c r="L2468" s="181">
        <v>10</v>
      </c>
      <c r="M2468" s="133">
        <v>0</v>
      </c>
    </row>
    <row r="2469" spans="1:64" x14ac:dyDescent="0.25">
      <c r="A2469" s="136">
        <v>43168</v>
      </c>
      <c r="B2469" s="201" t="s">
        <v>61</v>
      </c>
      <c r="C2469" t="s">
        <v>136</v>
      </c>
      <c r="D2469">
        <v>2400</v>
      </c>
      <c r="E2469">
        <v>2400</v>
      </c>
      <c r="F2469">
        <v>5.2380000000000004</v>
      </c>
      <c r="G2469">
        <v>-451.95</v>
      </c>
      <c r="H2469">
        <v>-3.59</v>
      </c>
      <c r="I2469" s="309">
        <v>12120</v>
      </c>
      <c r="J2469">
        <v>5.05</v>
      </c>
      <c r="K2469" s="133">
        <v>2.4741010914031501E-2</v>
      </c>
      <c r="L2469" s="181">
        <v>0</v>
      </c>
      <c r="M2469" s="133">
        <v>2.5663593412595598E-2</v>
      </c>
      <c r="N2469" s="73">
        <v>-481.24099999999999</v>
      </c>
      <c r="O2469" s="73">
        <v>-95.436583234126999</v>
      </c>
      <c r="P2469" s="182">
        <v>3</v>
      </c>
      <c r="Q2469" s="182">
        <v>1500</v>
      </c>
      <c r="R2469" s="46">
        <v>5.327</v>
      </c>
      <c r="S2469" s="46">
        <v>0</v>
      </c>
      <c r="T2469" s="46">
        <v>0</v>
      </c>
      <c r="U2469" s="46">
        <v>0</v>
      </c>
      <c r="V2469" s="46" t="s">
        <v>62</v>
      </c>
      <c r="W2469" s="46">
        <v>1500</v>
      </c>
      <c r="X2469" s="46">
        <v>5.327</v>
      </c>
      <c r="AF2469" s="46">
        <v>10</v>
      </c>
      <c r="AG2469" s="46">
        <v>5000</v>
      </c>
      <c r="AH2469" s="46">
        <v>26378</v>
      </c>
      <c r="AI2469" s="46">
        <v>5.2759999999999998</v>
      </c>
      <c r="AJ2469" s="46">
        <v>10</v>
      </c>
      <c r="AK2469" s="46">
        <v>4100</v>
      </c>
      <c r="AL2469" s="46">
        <v>21806.659</v>
      </c>
      <c r="AM2469" s="46">
        <v>5.319</v>
      </c>
      <c r="AN2469" s="46" t="s">
        <v>63</v>
      </c>
      <c r="AO2469" s="46">
        <v>900</v>
      </c>
      <c r="AP2469" s="46">
        <v>4571.3410000000003</v>
      </c>
      <c r="AQ2469" s="46">
        <v>5.0789999999999997</v>
      </c>
      <c r="AR2469" s="46">
        <v>176.3</v>
      </c>
      <c r="AS2469" s="46">
        <v>13</v>
      </c>
      <c r="AT2469" s="46">
        <v>6500</v>
      </c>
      <c r="AU2469" s="46">
        <v>34383.9</v>
      </c>
      <c r="AV2469" s="46">
        <v>5.29</v>
      </c>
      <c r="AW2469" s="46">
        <v>10</v>
      </c>
      <c r="AX2469" s="46">
        <v>4100</v>
      </c>
      <c r="AY2469" s="46">
        <v>21806.659</v>
      </c>
      <c r="AZ2469" s="46">
        <v>5.319</v>
      </c>
      <c r="BA2469" s="46" t="s">
        <v>63</v>
      </c>
      <c r="BB2469" s="46">
        <v>2400</v>
      </c>
      <c r="BC2469" s="46">
        <v>12577.241</v>
      </c>
      <c r="BD2469" s="46">
        <v>5.2409999999999997</v>
      </c>
      <c r="BE2469" s="46">
        <v>118.9</v>
      </c>
      <c r="BF2469" s="46">
        <v>8005.9</v>
      </c>
      <c r="BG2469" s="46">
        <v>5.34</v>
      </c>
      <c r="BH2469" s="46">
        <v>0</v>
      </c>
      <c r="BJ2469">
        <v>8005.9</v>
      </c>
      <c r="BK2469">
        <v>5.34</v>
      </c>
      <c r="BL2469">
        <v>34.909999999999997</v>
      </c>
    </row>
    <row r="2470" spans="1:64" x14ac:dyDescent="0.25">
      <c r="A2470" s="136">
        <v>43168</v>
      </c>
      <c r="B2470" s="201" t="s">
        <v>124</v>
      </c>
      <c r="C2470" t="s">
        <v>125</v>
      </c>
      <c r="D2470">
        <v>100</v>
      </c>
      <c r="E2470">
        <v>100</v>
      </c>
      <c r="F2470">
        <v>-53.579000000000001</v>
      </c>
      <c r="G2470">
        <v>6012.9</v>
      </c>
      <c r="H2470">
        <v>0</v>
      </c>
      <c r="I2470" s="309">
        <v>655</v>
      </c>
      <c r="J2470">
        <v>6.55</v>
      </c>
      <c r="K2470" s="133">
        <v>1.3370760848754699E-3</v>
      </c>
      <c r="L2470" s="181">
        <v>0</v>
      </c>
      <c r="M2470" s="133">
        <v>0</v>
      </c>
    </row>
    <row r="2471" spans="1:64" x14ac:dyDescent="0.25">
      <c r="A2471" s="136">
        <v>43168</v>
      </c>
      <c r="B2471" s="201" t="s">
        <v>71</v>
      </c>
      <c r="C2471" t="s">
        <v>126</v>
      </c>
      <c r="D2471">
        <v>1100</v>
      </c>
      <c r="E2471">
        <v>1100</v>
      </c>
      <c r="F2471">
        <v>4.6100000000000003</v>
      </c>
      <c r="G2471">
        <v>2320.5</v>
      </c>
      <c r="H2471">
        <v>45.77</v>
      </c>
      <c r="I2471" s="309">
        <v>7392</v>
      </c>
      <c r="J2471">
        <v>6.72</v>
      </c>
      <c r="K2471" s="133">
        <v>1.50895670525182E-2</v>
      </c>
      <c r="L2471" s="181">
        <v>0</v>
      </c>
      <c r="M2471" s="133">
        <v>1.0352643304497601E-2</v>
      </c>
      <c r="N2471" s="73">
        <v>-5077.2979999999998</v>
      </c>
      <c r="O2471" s="73">
        <v>340.50361511976001</v>
      </c>
      <c r="P2471" s="182">
        <v>0</v>
      </c>
      <c r="Q2471" s="182">
        <v>0</v>
      </c>
      <c r="R2471" s="46">
        <v>0</v>
      </c>
      <c r="S2471" s="46">
        <v>5</v>
      </c>
      <c r="T2471" s="46">
        <v>2000</v>
      </c>
      <c r="U2471" s="46">
        <v>6.625</v>
      </c>
      <c r="V2471" s="46" t="s">
        <v>68</v>
      </c>
      <c r="W2471" s="46">
        <v>2000</v>
      </c>
      <c r="X2471" s="46">
        <v>6.625</v>
      </c>
      <c r="AF2471" s="46">
        <v>43</v>
      </c>
      <c r="AG2471" s="46">
        <v>21600</v>
      </c>
      <c r="AH2471" s="46">
        <v>138103.96</v>
      </c>
      <c r="AI2471" s="46">
        <v>6.3940000000000001</v>
      </c>
      <c r="AJ2471" s="46">
        <v>41</v>
      </c>
      <c r="AK2471" s="46">
        <v>18500</v>
      </c>
      <c r="AL2471" s="46">
        <v>119652.91099999999</v>
      </c>
      <c r="AM2471" s="46">
        <v>6.468</v>
      </c>
      <c r="AN2471" s="46" t="s">
        <v>63</v>
      </c>
      <c r="AO2471" s="46">
        <v>3100</v>
      </c>
      <c r="AP2471" s="46">
        <v>18451.048999999999</v>
      </c>
      <c r="AQ2471" s="46">
        <v>5.952</v>
      </c>
      <c r="AR2471" s="46">
        <v>1369</v>
      </c>
      <c r="AS2471" s="46">
        <v>43</v>
      </c>
      <c r="AT2471" s="46">
        <v>21600</v>
      </c>
      <c r="AU2471" s="46">
        <v>138103.96</v>
      </c>
      <c r="AV2471" s="46">
        <v>6.3940000000000001</v>
      </c>
      <c r="AW2471" s="46">
        <v>46</v>
      </c>
      <c r="AX2471" s="46">
        <v>20500</v>
      </c>
      <c r="AY2471" s="46">
        <v>132870.462</v>
      </c>
      <c r="AZ2471" s="46">
        <v>6.4809999999999999</v>
      </c>
      <c r="BA2471" s="46" t="s">
        <v>63</v>
      </c>
      <c r="BB2471" s="46">
        <v>1100</v>
      </c>
      <c r="BC2471" s="46">
        <v>5233.4979999999996</v>
      </c>
      <c r="BD2471" s="46">
        <v>4.758</v>
      </c>
      <c r="BE2471" s="46">
        <v>1783.5</v>
      </c>
      <c r="BF2471" s="46">
        <v>0</v>
      </c>
      <c r="BH2471" s="46">
        <v>13217.550999999999</v>
      </c>
      <c r="BI2471">
        <v>6.61</v>
      </c>
      <c r="BJ2471">
        <v>-13217.550999999999</v>
      </c>
      <c r="BK2471">
        <v>-6.61</v>
      </c>
      <c r="BL2471">
        <v>203.72</v>
      </c>
    </row>
    <row r="2472" spans="1:64" x14ac:dyDescent="0.25">
      <c r="A2472" s="136">
        <v>43168</v>
      </c>
      <c r="B2472" s="201" t="s">
        <v>79</v>
      </c>
      <c r="C2472" t="s">
        <v>143</v>
      </c>
      <c r="D2472">
        <v>5000</v>
      </c>
      <c r="E2472">
        <v>5000</v>
      </c>
      <c r="F2472">
        <v>16.681000000000001</v>
      </c>
      <c r="G2472">
        <v>-9806.66</v>
      </c>
      <c r="H2472">
        <v>-11.75</v>
      </c>
      <c r="I2472" s="309">
        <v>73600</v>
      </c>
      <c r="J2472">
        <v>14.72</v>
      </c>
      <c r="K2472" s="133">
        <v>0.15024244251425101</v>
      </c>
      <c r="L2472" s="181">
        <v>1242.98</v>
      </c>
      <c r="M2472" s="133">
        <v>0.17026114565700601</v>
      </c>
      <c r="N2472" s="73">
        <v>-9660.3440000000792</v>
      </c>
      <c r="O2472" s="73">
        <v>-654.61110698305697</v>
      </c>
      <c r="P2472" s="182">
        <v>8</v>
      </c>
      <c r="Q2472" s="182">
        <v>4500</v>
      </c>
      <c r="R2472" s="46">
        <v>15.808</v>
      </c>
      <c r="S2472" s="46">
        <v>1</v>
      </c>
      <c r="T2472" s="46">
        <v>400</v>
      </c>
      <c r="U2472" s="46">
        <v>14.75</v>
      </c>
      <c r="V2472" s="46" t="s">
        <v>62</v>
      </c>
      <c r="W2472" s="46">
        <v>4100</v>
      </c>
      <c r="X2472" s="46">
        <v>15.911</v>
      </c>
      <c r="AF2472" s="46">
        <v>9</v>
      </c>
      <c r="AG2472" s="46">
        <v>4500</v>
      </c>
      <c r="AH2472" s="46">
        <v>73662.7</v>
      </c>
      <c r="AI2472" s="46">
        <v>16.369</v>
      </c>
      <c r="AJ2472" s="46">
        <v>9</v>
      </c>
      <c r="AK2472" s="46">
        <v>3600</v>
      </c>
      <c r="AL2472" s="46">
        <v>55541.196000000004</v>
      </c>
      <c r="AM2472" s="46">
        <v>15.428000000000001</v>
      </c>
      <c r="AN2472" s="46" t="s">
        <v>63</v>
      </c>
      <c r="AO2472" s="46">
        <v>900</v>
      </c>
      <c r="AP2472" s="46">
        <v>18121.504000000001</v>
      </c>
      <c r="AQ2472" s="46">
        <v>20.135000000000002</v>
      </c>
      <c r="AR2472" s="46">
        <v>-3387.6</v>
      </c>
      <c r="AS2472" s="46">
        <v>17</v>
      </c>
      <c r="AT2472" s="46">
        <v>9000</v>
      </c>
      <c r="AU2472" s="46">
        <v>144840.4</v>
      </c>
      <c r="AV2472" s="46">
        <v>16.093</v>
      </c>
      <c r="AW2472" s="46">
        <v>10</v>
      </c>
      <c r="AX2472" s="46">
        <v>4000</v>
      </c>
      <c r="AY2472" s="46">
        <v>61430.055999999997</v>
      </c>
      <c r="AZ2472" s="46">
        <v>15.358000000000001</v>
      </c>
      <c r="BA2472" s="46" t="s">
        <v>63</v>
      </c>
      <c r="BB2472" s="46">
        <v>5000</v>
      </c>
      <c r="BC2472" s="46">
        <v>83410.343999999997</v>
      </c>
      <c r="BD2472" s="46">
        <v>16.681999999999999</v>
      </c>
      <c r="BE2472" s="46">
        <v>-2940</v>
      </c>
      <c r="BF2472" s="46">
        <v>71177.7</v>
      </c>
      <c r="BG2472" s="46">
        <v>15.82</v>
      </c>
      <c r="BH2472" s="46">
        <v>5888.86</v>
      </c>
      <c r="BI2472">
        <v>14.72</v>
      </c>
      <c r="BJ2472">
        <v>65288.84</v>
      </c>
      <c r="BK2472">
        <v>15.92</v>
      </c>
      <c r="BL2472">
        <v>-230.14</v>
      </c>
    </row>
    <row r="2473" spans="1:64" x14ac:dyDescent="0.25">
      <c r="A2473" s="136">
        <v>43168</v>
      </c>
      <c r="B2473" s="201" t="s">
        <v>65</v>
      </c>
      <c r="C2473" t="s">
        <v>127</v>
      </c>
      <c r="D2473">
        <v>8600</v>
      </c>
      <c r="E2473">
        <v>8600</v>
      </c>
      <c r="F2473">
        <v>9.032</v>
      </c>
      <c r="G2473">
        <v>12276.74</v>
      </c>
      <c r="H2473">
        <v>15.81</v>
      </c>
      <c r="I2473" s="309">
        <v>89956</v>
      </c>
      <c r="J2473">
        <v>10.46</v>
      </c>
      <c r="K2473" s="133">
        <v>0.18363055922298899</v>
      </c>
      <c r="L2473" s="181">
        <v>258</v>
      </c>
      <c r="M2473" s="133">
        <v>0.15856958906385299</v>
      </c>
      <c r="N2473" s="73">
        <v>7736.31699999997</v>
      </c>
      <c r="O2473" s="73">
        <v>1151.6645795541599</v>
      </c>
      <c r="P2473" s="182">
        <v>0</v>
      </c>
      <c r="Q2473" s="182">
        <v>0</v>
      </c>
      <c r="R2473" s="46">
        <v>0</v>
      </c>
      <c r="S2473" s="46">
        <v>19</v>
      </c>
      <c r="T2473" s="46">
        <v>8000</v>
      </c>
      <c r="U2473" s="46">
        <v>11.867000000000001</v>
      </c>
      <c r="V2473" s="46" t="s">
        <v>68</v>
      </c>
      <c r="W2473" s="46">
        <v>8000</v>
      </c>
      <c r="X2473" s="46">
        <v>11.867000000000001</v>
      </c>
      <c r="AF2473" s="46">
        <v>166</v>
      </c>
      <c r="AG2473" s="46">
        <v>88200</v>
      </c>
      <c r="AH2473" s="46">
        <v>1025045.231</v>
      </c>
      <c r="AI2473" s="46">
        <v>11.622</v>
      </c>
      <c r="AJ2473" s="46">
        <v>186</v>
      </c>
      <c r="AK2473" s="46">
        <v>80800</v>
      </c>
      <c r="AL2473" s="46">
        <v>851785.48100000003</v>
      </c>
      <c r="AM2473" s="46">
        <v>10.542</v>
      </c>
      <c r="AN2473" s="46" t="s">
        <v>63</v>
      </c>
      <c r="AO2473" s="46">
        <v>7400</v>
      </c>
      <c r="AP2473" s="46">
        <v>173259.75</v>
      </c>
      <c r="AQ2473" s="46">
        <v>23.413</v>
      </c>
      <c r="AR2473" s="46">
        <v>-87264</v>
      </c>
      <c r="AS2473" s="46">
        <v>167</v>
      </c>
      <c r="AT2473" s="46">
        <v>88300</v>
      </c>
      <c r="AU2473" s="46">
        <v>1026333.231</v>
      </c>
      <c r="AV2473" s="46">
        <v>11.622999999999999</v>
      </c>
      <c r="AW2473" s="46">
        <v>205</v>
      </c>
      <c r="AX2473" s="46">
        <v>88800</v>
      </c>
      <c r="AY2473" s="46">
        <v>946530.54599999997</v>
      </c>
      <c r="AZ2473" s="46">
        <v>10.659000000000001</v>
      </c>
      <c r="BA2473" s="46" t="s">
        <v>69</v>
      </c>
      <c r="BB2473" s="46">
        <v>500</v>
      </c>
      <c r="BC2473" s="46">
        <v>79802.684999999998</v>
      </c>
      <c r="BD2473" s="46">
        <v>159.60499999999999</v>
      </c>
      <c r="BE2473" s="46">
        <v>-85121.2</v>
      </c>
      <c r="BF2473" s="46">
        <v>1288</v>
      </c>
      <c r="BH2473" s="46">
        <v>94745.0649999999</v>
      </c>
      <c r="BI2473">
        <v>11.84</v>
      </c>
      <c r="BJ2473">
        <v>-93457.065000000002</v>
      </c>
      <c r="BK2473">
        <v>-11.68</v>
      </c>
      <c r="BL2473">
        <v>-8342.64</v>
      </c>
    </row>
    <row r="2474" spans="1:64" x14ac:dyDescent="0.25">
      <c r="A2474" s="136">
        <v>43168</v>
      </c>
      <c r="B2474" s="201" t="s">
        <v>77</v>
      </c>
      <c r="C2474" t="s">
        <v>128</v>
      </c>
      <c r="D2474">
        <v>4300</v>
      </c>
      <c r="E2474">
        <v>4300</v>
      </c>
      <c r="F2474">
        <v>5.9779999999999998</v>
      </c>
      <c r="G2474">
        <v>-595.27</v>
      </c>
      <c r="H2474">
        <v>-2.31</v>
      </c>
      <c r="I2474" s="309">
        <v>25112</v>
      </c>
      <c r="J2474">
        <v>5.84</v>
      </c>
      <c r="K2474" s="133">
        <v>5.1262068157851497E-2</v>
      </c>
      <c r="L2474" s="181">
        <v>0</v>
      </c>
      <c r="M2474" s="133">
        <v>5.2477215151811502E-2</v>
      </c>
      <c r="N2474" s="73">
        <v>-1272.2139999999999</v>
      </c>
      <c r="O2474" s="73">
        <v>-133.073774655173</v>
      </c>
      <c r="P2474" s="182">
        <v>6</v>
      </c>
      <c r="Q2474" s="182">
        <v>3000</v>
      </c>
      <c r="R2474" s="46">
        <v>6.798</v>
      </c>
      <c r="S2474" s="46">
        <v>0</v>
      </c>
      <c r="T2474" s="46">
        <v>0</v>
      </c>
      <c r="U2474" s="46">
        <v>0</v>
      </c>
      <c r="V2474" s="46" t="s">
        <v>62</v>
      </c>
      <c r="W2474" s="46">
        <v>3000</v>
      </c>
      <c r="X2474" s="46">
        <v>6.798</v>
      </c>
      <c r="AF2474" s="46">
        <v>39</v>
      </c>
      <c r="AG2474" s="46">
        <v>19500</v>
      </c>
      <c r="AH2474" s="46">
        <v>142169</v>
      </c>
      <c r="AI2474" s="46">
        <v>7.2910000000000004</v>
      </c>
      <c r="AJ2474" s="46">
        <v>39</v>
      </c>
      <c r="AK2474" s="46">
        <v>18200</v>
      </c>
      <c r="AL2474" s="46">
        <v>136881.78599999999</v>
      </c>
      <c r="AM2474" s="46">
        <v>7.5209999999999999</v>
      </c>
      <c r="AN2474" s="46" t="s">
        <v>63</v>
      </c>
      <c r="AO2474" s="46">
        <v>1300</v>
      </c>
      <c r="AP2474" s="46">
        <v>5287.2139999999999</v>
      </c>
      <c r="AQ2474" s="46">
        <v>4.0670000000000002</v>
      </c>
      <c r="AR2474" s="46">
        <v>4186</v>
      </c>
      <c r="AS2474" s="46">
        <v>45</v>
      </c>
      <c r="AT2474" s="46">
        <v>22500</v>
      </c>
      <c r="AU2474" s="46">
        <v>162594</v>
      </c>
      <c r="AV2474" s="46">
        <v>7.226</v>
      </c>
      <c r="AW2474" s="46">
        <v>39</v>
      </c>
      <c r="AX2474" s="46">
        <v>18200</v>
      </c>
      <c r="AY2474" s="46">
        <v>136881.78599999999</v>
      </c>
      <c r="AZ2474" s="46">
        <v>7.5209999999999999</v>
      </c>
      <c r="BA2474" s="46" t="s">
        <v>63</v>
      </c>
      <c r="BB2474" s="46">
        <v>4300</v>
      </c>
      <c r="BC2474" s="46">
        <v>25712.214</v>
      </c>
      <c r="BD2474" s="46">
        <v>5.98</v>
      </c>
      <c r="BE2474" s="46">
        <v>5369</v>
      </c>
      <c r="BF2474" s="46">
        <v>20425</v>
      </c>
      <c r="BG2474" s="46">
        <v>6.81</v>
      </c>
      <c r="BH2474" s="46">
        <v>0</v>
      </c>
      <c r="BJ2474">
        <v>20425</v>
      </c>
      <c r="BK2474">
        <v>6.81</v>
      </c>
      <c r="BL2474">
        <v>716.78</v>
      </c>
    </row>
    <row r="2475" spans="1:64" x14ac:dyDescent="0.25">
      <c r="A2475" s="136">
        <v>43168</v>
      </c>
      <c r="B2475" s="201" t="s">
        <v>67</v>
      </c>
      <c r="C2475" t="s">
        <v>129</v>
      </c>
      <c r="D2475">
        <v>100</v>
      </c>
      <c r="E2475">
        <v>100</v>
      </c>
      <c r="F2475">
        <v>-16.027999999999999</v>
      </c>
      <c r="G2475">
        <v>2602.8000000000002</v>
      </c>
      <c r="H2475">
        <v>0</v>
      </c>
      <c r="I2475" s="309">
        <v>1000</v>
      </c>
      <c r="J2475">
        <v>10</v>
      </c>
      <c r="K2475" s="133">
        <v>2.0413375341610199E-3</v>
      </c>
      <c r="L2475" s="181">
        <v>0</v>
      </c>
      <c r="M2475" s="133">
        <v>0</v>
      </c>
      <c r="N2475" s="73">
        <v>2581.5064999997599</v>
      </c>
      <c r="O2475" s="73">
        <v>263.01893442913098</v>
      </c>
      <c r="P2475" s="182">
        <v>0</v>
      </c>
      <c r="Q2475" s="182">
        <v>0</v>
      </c>
      <c r="R2475" s="46">
        <v>0</v>
      </c>
      <c r="S2475" s="46">
        <v>20</v>
      </c>
      <c r="T2475" s="46">
        <v>8000</v>
      </c>
      <c r="U2475" s="46">
        <v>8.891</v>
      </c>
      <c r="V2475" s="46" t="s">
        <v>68</v>
      </c>
      <c r="W2475" s="46">
        <v>8000</v>
      </c>
      <c r="X2475" s="46">
        <v>8.891</v>
      </c>
      <c r="AF2475" s="46">
        <v>174</v>
      </c>
      <c r="AG2475" s="46">
        <v>86400</v>
      </c>
      <c r="AH2475" s="46">
        <v>716375</v>
      </c>
      <c r="AI2475" s="46">
        <v>8.2910000000000004</v>
      </c>
      <c r="AJ2475" s="46">
        <v>177</v>
      </c>
      <c r="AK2475" s="46">
        <v>80900</v>
      </c>
      <c r="AL2475" s="46">
        <v>716150.74650000001</v>
      </c>
      <c r="AM2475" s="46">
        <v>8.8520000000000003</v>
      </c>
      <c r="AN2475" s="46" t="s">
        <v>63</v>
      </c>
      <c r="AO2475" s="46">
        <v>5500</v>
      </c>
      <c r="AP2475" s="46">
        <v>224.25299999999999</v>
      </c>
      <c r="AQ2475" s="46">
        <v>4.1000000000000002E-2</v>
      </c>
      <c r="AR2475" s="46">
        <v>45384.9</v>
      </c>
      <c r="AS2475" s="46">
        <v>174</v>
      </c>
      <c r="AT2475" s="46">
        <v>86400</v>
      </c>
      <c r="AU2475" s="46">
        <v>716375</v>
      </c>
      <c r="AV2475" s="46">
        <v>8.2910000000000004</v>
      </c>
      <c r="AW2475" s="46">
        <v>197</v>
      </c>
      <c r="AX2475" s="46">
        <v>88900</v>
      </c>
      <c r="AY2475" s="46">
        <v>787103.62250000006</v>
      </c>
      <c r="AZ2475" s="46">
        <v>8.8539999999999992</v>
      </c>
      <c r="BA2475" s="46" t="s">
        <v>69</v>
      </c>
      <c r="BB2475" s="46">
        <v>2500</v>
      </c>
      <c r="BC2475" s="46">
        <v>70728.623000000007</v>
      </c>
      <c r="BD2475" s="46">
        <v>28.291</v>
      </c>
      <c r="BE2475" s="46">
        <v>48643.199999999997</v>
      </c>
      <c r="BF2475" s="46">
        <v>0</v>
      </c>
      <c r="BH2475" s="46">
        <v>70952.876000000004</v>
      </c>
      <c r="BI2475">
        <v>8.8699999999999992</v>
      </c>
      <c r="BJ2475">
        <v>70504.37</v>
      </c>
      <c r="BK2475">
        <v>8.81</v>
      </c>
      <c r="BL2475">
        <v>4538.49</v>
      </c>
    </row>
    <row r="2476" spans="1:64" x14ac:dyDescent="0.25">
      <c r="A2476" s="136">
        <v>43168</v>
      </c>
      <c r="B2476" s="201" t="s">
        <v>78</v>
      </c>
      <c r="C2476" t="s">
        <v>142</v>
      </c>
      <c r="D2476">
        <v>100</v>
      </c>
      <c r="E2476">
        <v>100</v>
      </c>
      <c r="F2476">
        <v>-4.9039999999999999</v>
      </c>
      <c r="G2476">
        <v>1512.4</v>
      </c>
      <c r="H2476">
        <v>0</v>
      </c>
      <c r="I2476" s="309">
        <v>1022</v>
      </c>
      <c r="J2476">
        <v>10.220000000000001</v>
      </c>
      <c r="K2476" s="133">
        <v>2.08624695991256E-3</v>
      </c>
      <c r="L2476" s="181">
        <v>96.95</v>
      </c>
      <c r="M2476" s="133">
        <v>0</v>
      </c>
      <c r="N2476" s="73">
        <v>1506.3910000000001</v>
      </c>
      <c r="O2476" s="73">
        <v>148.19269729330699</v>
      </c>
      <c r="P2476" s="182">
        <v>0</v>
      </c>
      <c r="Q2476" s="182">
        <v>0</v>
      </c>
      <c r="R2476" s="46">
        <v>0</v>
      </c>
      <c r="S2476" s="46">
        <v>3</v>
      </c>
      <c r="T2476" s="46">
        <v>1200</v>
      </c>
      <c r="U2476" s="46">
        <v>9.99</v>
      </c>
      <c r="V2476" s="46" t="s">
        <v>68</v>
      </c>
      <c r="W2476" s="46">
        <v>1200</v>
      </c>
      <c r="X2476" s="46">
        <v>9.99</v>
      </c>
      <c r="AF2476" s="46">
        <v>13</v>
      </c>
      <c r="AG2476" s="46">
        <v>6500</v>
      </c>
      <c r="AH2476" s="46">
        <v>62970</v>
      </c>
      <c r="AI2476" s="46">
        <v>9.6880000000000006</v>
      </c>
      <c r="AJ2476" s="46">
        <v>14</v>
      </c>
      <c r="AK2476" s="46">
        <v>5200</v>
      </c>
      <c r="AL2476" s="46">
        <v>51499.379000000001</v>
      </c>
      <c r="AM2476" s="46">
        <v>9.9039999999999999</v>
      </c>
      <c r="AN2476" s="46" t="s">
        <v>63</v>
      </c>
      <c r="AO2476" s="46">
        <v>1300</v>
      </c>
      <c r="AP2476" s="46">
        <v>11470.620999999999</v>
      </c>
      <c r="AQ2476" s="46">
        <v>8.8239999999999998</v>
      </c>
      <c r="AR2476" s="46">
        <v>1123.2</v>
      </c>
      <c r="AS2476" s="46">
        <v>13</v>
      </c>
      <c r="AT2476" s="46">
        <v>6500</v>
      </c>
      <c r="AU2476" s="46">
        <v>62970</v>
      </c>
      <c r="AV2476" s="46">
        <v>9.6880000000000006</v>
      </c>
      <c r="AW2476" s="46">
        <v>17</v>
      </c>
      <c r="AX2476" s="46">
        <v>6400</v>
      </c>
      <c r="AY2476" s="46">
        <v>63460.391000000003</v>
      </c>
      <c r="AZ2476" s="46">
        <v>9.9160000000000004</v>
      </c>
      <c r="BA2476" s="46" t="s">
        <v>63</v>
      </c>
      <c r="BB2476" s="46">
        <v>100</v>
      </c>
      <c r="BC2476" s="46">
        <v>490.39100000000002</v>
      </c>
      <c r="BD2476" s="46">
        <v>4.9039999999999999</v>
      </c>
      <c r="BE2476" s="46">
        <v>1459.2</v>
      </c>
      <c r="BF2476" s="46">
        <v>0</v>
      </c>
      <c r="BH2476" s="46">
        <v>11961.012000000001</v>
      </c>
      <c r="BI2476">
        <v>9.9700000000000006</v>
      </c>
      <c r="BJ2476">
        <v>-10980.23</v>
      </c>
      <c r="BK2476">
        <v>-9.15</v>
      </c>
      <c r="BL2476">
        <v>109.9</v>
      </c>
    </row>
    <row r="2477" spans="1:64" x14ac:dyDescent="0.25">
      <c r="A2477" s="136">
        <v>43168</v>
      </c>
      <c r="B2477" s="201" t="s">
        <v>72</v>
      </c>
      <c r="C2477" t="s">
        <v>130</v>
      </c>
      <c r="D2477">
        <v>2900</v>
      </c>
      <c r="E2477">
        <v>2900</v>
      </c>
      <c r="F2477">
        <v>6.9160000000000004</v>
      </c>
      <c r="G2477">
        <v>-684.55</v>
      </c>
      <c r="H2477">
        <v>-3.41</v>
      </c>
      <c r="I2477" s="309">
        <v>19372</v>
      </c>
      <c r="J2477">
        <v>6.68</v>
      </c>
      <c r="K2477" s="133">
        <v>3.9544790711767197E-2</v>
      </c>
      <c r="L2477" s="181">
        <v>522</v>
      </c>
      <c r="M2477" s="133">
        <v>4.0942188320777201E-2</v>
      </c>
      <c r="N2477" s="73">
        <v>-1109.25999999999</v>
      </c>
      <c r="O2477" s="73">
        <v>-134.206690620269</v>
      </c>
      <c r="P2477" s="182">
        <v>0</v>
      </c>
      <c r="Q2477" s="182">
        <v>0</v>
      </c>
      <c r="R2477" s="46">
        <v>0</v>
      </c>
      <c r="S2477" s="46">
        <v>12</v>
      </c>
      <c r="T2477" s="46">
        <v>4800</v>
      </c>
      <c r="U2477" s="46">
        <v>7.4729999999999999</v>
      </c>
      <c r="V2477" s="46" t="s">
        <v>68</v>
      </c>
      <c r="W2477" s="46">
        <v>4800</v>
      </c>
      <c r="X2477" s="46">
        <v>7.4729999999999999</v>
      </c>
      <c r="AF2477" s="46">
        <v>32</v>
      </c>
      <c r="AG2477" s="46">
        <v>15900</v>
      </c>
      <c r="AH2477" s="46">
        <v>121142</v>
      </c>
      <c r="AI2477" s="46">
        <v>7.6189999999999998</v>
      </c>
      <c r="AJ2477" s="46">
        <v>32</v>
      </c>
      <c r="AK2477" s="46">
        <v>14800</v>
      </c>
      <c r="AL2477" s="46">
        <v>66041.797000000006</v>
      </c>
      <c r="AM2477" s="46">
        <v>4.4619999999999997</v>
      </c>
      <c r="AN2477" s="46" t="s">
        <v>63</v>
      </c>
      <c r="AO2477" s="46">
        <v>1100</v>
      </c>
      <c r="AP2477" s="46">
        <v>55100.203000000001</v>
      </c>
      <c r="AQ2477" s="46">
        <v>50.091000000000001</v>
      </c>
      <c r="AR2477" s="46">
        <v>-46723.6</v>
      </c>
      <c r="AS2477" s="46">
        <v>32</v>
      </c>
      <c r="AT2477" s="46">
        <v>15900</v>
      </c>
      <c r="AU2477" s="46">
        <v>121142</v>
      </c>
      <c r="AV2477" s="46">
        <v>7.6189999999999998</v>
      </c>
      <c r="AW2477" s="46">
        <v>45</v>
      </c>
      <c r="AX2477" s="46">
        <v>20100</v>
      </c>
      <c r="AY2477" s="46">
        <v>101817.925</v>
      </c>
      <c r="AZ2477" s="46">
        <v>5.0659999999999998</v>
      </c>
      <c r="BA2477" s="46" t="s">
        <v>69</v>
      </c>
      <c r="BB2477" s="46">
        <v>4200</v>
      </c>
      <c r="BC2477" s="46">
        <v>19324.075000000001</v>
      </c>
      <c r="BD2477" s="46">
        <v>4.601</v>
      </c>
      <c r="BE2477" s="46">
        <v>-40592.699999999997</v>
      </c>
      <c r="BF2477" s="46">
        <v>0</v>
      </c>
      <c r="BH2477" s="46">
        <v>35776.127999999997</v>
      </c>
      <c r="BI2477">
        <v>7.45</v>
      </c>
      <c r="BJ2477">
        <v>-35776.127999999997</v>
      </c>
      <c r="BK2477">
        <v>-7.45</v>
      </c>
      <c r="BL2477">
        <v>-6994.55</v>
      </c>
    </row>
    <row r="2478" spans="1:64" x14ac:dyDescent="0.25">
      <c r="A2478" s="136">
        <v>43168</v>
      </c>
      <c r="B2478" s="201" t="s">
        <v>70</v>
      </c>
      <c r="C2478" t="s">
        <v>131</v>
      </c>
      <c r="D2478">
        <v>13500</v>
      </c>
      <c r="E2478">
        <v>13500</v>
      </c>
      <c r="F2478">
        <v>11.28</v>
      </c>
      <c r="G2478">
        <v>-31448.95</v>
      </c>
      <c r="H2478">
        <v>-20.66</v>
      </c>
      <c r="I2478" s="309">
        <v>120825</v>
      </c>
      <c r="J2478">
        <v>8.9499999999999993</v>
      </c>
      <c r="K2478" s="133">
        <v>0.246644607565005</v>
      </c>
      <c r="L2478" s="181">
        <v>1643.44</v>
      </c>
      <c r="M2478" s="133">
        <v>0.31084252960995801</v>
      </c>
      <c r="N2478" s="73">
        <v>-31987.9540000001</v>
      </c>
      <c r="O2478" s="73">
        <v>-3588.3232349046102</v>
      </c>
      <c r="P2478" s="182">
        <v>5</v>
      </c>
      <c r="Q2478" s="182">
        <v>3500</v>
      </c>
      <c r="R2478" s="46">
        <v>8.2110000000000003</v>
      </c>
      <c r="S2478" s="46">
        <v>5</v>
      </c>
      <c r="T2478" s="46">
        <v>2000</v>
      </c>
      <c r="U2478" s="46">
        <v>8.65</v>
      </c>
      <c r="V2478" s="46" t="s">
        <v>62</v>
      </c>
      <c r="W2478" s="46">
        <v>1500</v>
      </c>
      <c r="X2478" s="46">
        <v>7.6260000000000003</v>
      </c>
      <c r="AF2478" s="46">
        <v>128</v>
      </c>
      <c r="AG2478" s="46">
        <v>64600</v>
      </c>
      <c r="AH2478" s="46">
        <v>861448</v>
      </c>
      <c r="AI2478" s="46">
        <v>13.335000000000001</v>
      </c>
      <c r="AJ2478" s="46">
        <v>131</v>
      </c>
      <c r="AK2478" s="46">
        <v>52600</v>
      </c>
      <c r="AL2478" s="46">
        <v>720277.34600000002</v>
      </c>
      <c r="AM2478" s="46">
        <v>13.693</v>
      </c>
      <c r="AN2478" s="46" t="s">
        <v>63</v>
      </c>
      <c r="AO2478" s="46">
        <v>12000</v>
      </c>
      <c r="AP2478" s="46">
        <v>141170.65400000001</v>
      </c>
      <c r="AQ2478" s="46">
        <v>11.763999999999999</v>
      </c>
      <c r="AR2478" s="46">
        <v>18830.8</v>
      </c>
      <c r="AS2478" s="46">
        <v>133</v>
      </c>
      <c r="AT2478" s="46">
        <v>68100</v>
      </c>
      <c r="AU2478" s="46">
        <v>890213</v>
      </c>
      <c r="AV2478" s="46">
        <v>13.071999999999999</v>
      </c>
      <c r="AW2478" s="46">
        <v>137</v>
      </c>
      <c r="AX2478" s="46">
        <v>54600</v>
      </c>
      <c r="AY2478" s="46">
        <v>737940.04599999997</v>
      </c>
      <c r="AZ2478" s="46">
        <v>13.515000000000001</v>
      </c>
      <c r="BA2478" s="46" t="s">
        <v>63</v>
      </c>
      <c r="BB2478" s="46">
        <v>13500</v>
      </c>
      <c r="BC2478" s="46">
        <v>152272.954</v>
      </c>
      <c r="BD2478" s="46">
        <v>11.279</v>
      </c>
      <c r="BE2478" s="46">
        <v>24187.8</v>
      </c>
      <c r="BF2478" s="46">
        <v>28765</v>
      </c>
      <c r="BG2478" s="46">
        <v>8.2200000000000006</v>
      </c>
      <c r="BH2478" s="46">
        <v>17662.700000000099</v>
      </c>
      <c r="BI2478">
        <v>8.83</v>
      </c>
      <c r="BJ2478">
        <v>11102.3</v>
      </c>
      <c r="BK2478">
        <v>7.4</v>
      </c>
      <c r="BL2478">
        <v>2104</v>
      </c>
    </row>
    <row r="2479" spans="1:64" x14ac:dyDescent="0.25">
      <c r="A2479" s="136">
        <v>43168</v>
      </c>
      <c r="B2479" s="201" t="s">
        <v>137</v>
      </c>
      <c r="C2479" t="s">
        <v>138</v>
      </c>
      <c r="D2479">
        <v>100</v>
      </c>
      <c r="E2479">
        <v>100</v>
      </c>
      <c r="F2479">
        <v>-130.48500000000001</v>
      </c>
      <c r="G2479">
        <v>16722.5</v>
      </c>
      <c r="H2479">
        <v>0</v>
      </c>
      <c r="I2479" s="309">
        <v>3674</v>
      </c>
      <c r="J2479">
        <v>36.74</v>
      </c>
      <c r="K2479" s="133">
        <v>7.4998741005075798E-3</v>
      </c>
      <c r="L2479" s="181">
        <v>116</v>
      </c>
      <c r="M2479" s="133">
        <v>0</v>
      </c>
    </row>
    <row r="2480" spans="1:64" x14ac:dyDescent="0.25">
      <c r="A2480" s="136">
        <v>43168</v>
      </c>
      <c r="B2480" s="201" t="s">
        <v>835</v>
      </c>
      <c r="C2480" t="s">
        <v>839</v>
      </c>
      <c r="I2480" s="309">
        <v>23006</v>
      </c>
      <c r="K2480" s="133">
        <v>4.6963011310908402E-2</v>
      </c>
      <c r="L2480" s="181">
        <v>0</v>
      </c>
      <c r="M2480" s="133">
        <v>0.27588041918213002</v>
      </c>
    </row>
    <row r="2481" spans="1:64" x14ac:dyDescent="0.25">
      <c r="A2481" s="136">
        <v>43171</v>
      </c>
      <c r="B2481" s="201" t="s">
        <v>132</v>
      </c>
      <c r="C2481" t="s">
        <v>123</v>
      </c>
      <c r="D2481">
        <v>11215212</v>
      </c>
      <c r="E2481">
        <v>11215212</v>
      </c>
      <c r="F2481">
        <v>0.01</v>
      </c>
      <c r="G2481">
        <v>3197.68</v>
      </c>
      <c r="H2481">
        <v>0</v>
      </c>
      <c r="I2481" s="309">
        <v>112152.12</v>
      </c>
      <c r="J2481">
        <v>0.01</v>
      </c>
      <c r="K2481" s="133">
        <v>0.22876417138186</v>
      </c>
      <c r="L2481" s="181">
        <v>11.23</v>
      </c>
      <c r="M2481" s="133">
        <v>0</v>
      </c>
    </row>
    <row r="2482" spans="1:64" x14ac:dyDescent="0.25">
      <c r="A2482" s="136">
        <v>43171</v>
      </c>
      <c r="B2482" s="201" t="s">
        <v>61</v>
      </c>
      <c r="C2482" t="s">
        <v>136</v>
      </c>
      <c r="D2482">
        <v>2400</v>
      </c>
      <c r="E2482">
        <v>2400</v>
      </c>
      <c r="F2482">
        <v>5.2380000000000004</v>
      </c>
      <c r="G2482">
        <v>-427.95</v>
      </c>
      <c r="H2482">
        <v>-3.4</v>
      </c>
      <c r="I2482" s="309">
        <v>12144</v>
      </c>
      <c r="J2482">
        <v>5.0599999999999996</v>
      </c>
      <c r="K2482" s="133">
        <v>2.4770928068602701E-2</v>
      </c>
      <c r="L2482" s="181">
        <v>24</v>
      </c>
      <c r="M2482" s="133">
        <v>2.5643846272403702E-2</v>
      </c>
      <c r="N2482" s="73">
        <v>-481.24099999999999</v>
      </c>
      <c r="O2482" s="73">
        <v>-95.436583234126999</v>
      </c>
      <c r="P2482" s="182">
        <v>3</v>
      </c>
      <c r="Q2482" s="182">
        <v>1500</v>
      </c>
      <c r="R2482" s="46">
        <v>5.327</v>
      </c>
      <c r="S2482" s="46">
        <v>0</v>
      </c>
      <c r="T2482" s="46">
        <v>0</v>
      </c>
      <c r="U2482" s="46">
        <v>0</v>
      </c>
      <c r="V2482" s="46" t="s">
        <v>62</v>
      </c>
      <c r="W2482" s="46">
        <v>1500</v>
      </c>
      <c r="X2482" s="46">
        <v>5.327</v>
      </c>
      <c r="AF2482" s="46">
        <v>10</v>
      </c>
      <c r="AG2482" s="46">
        <v>5000</v>
      </c>
      <c r="AH2482" s="46">
        <v>26378</v>
      </c>
      <c r="AI2482" s="46">
        <v>5.2759999999999998</v>
      </c>
      <c r="AJ2482" s="46">
        <v>10</v>
      </c>
      <c r="AK2482" s="46">
        <v>4100</v>
      </c>
      <c r="AL2482" s="46">
        <v>21806.659</v>
      </c>
      <c r="AM2482" s="46">
        <v>5.319</v>
      </c>
      <c r="AN2482" s="46" t="s">
        <v>63</v>
      </c>
      <c r="AO2482" s="46">
        <v>900</v>
      </c>
      <c r="AP2482" s="46">
        <v>4571.3410000000003</v>
      </c>
      <c r="AQ2482" s="46">
        <v>5.0789999999999997</v>
      </c>
      <c r="AR2482" s="46">
        <v>176.3</v>
      </c>
      <c r="AS2482" s="46">
        <v>13</v>
      </c>
      <c r="AT2482" s="46">
        <v>6500</v>
      </c>
      <c r="AU2482" s="46">
        <v>34383.9</v>
      </c>
      <c r="AV2482" s="46">
        <v>5.29</v>
      </c>
      <c r="AW2482" s="46">
        <v>10</v>
      </c>
      <c r="AX2482" s="46">
        <v>4100</v>
      </c>
      <c r="AY2482" s="46">
        <v>21806.659</v>
      </c>
      <c r="AZ2482" s="46">
        <v>5.319</v>
      </c>
      <c r="BA2482" s="46" t="s">
        <v>63</v>
      </c>
      <c r="BB2482" s="46">
        <v>2400</v>
      </c>
      <c r="BC2482" s="46">
        <v>12577.241</v>
      </c>
      <c r="BD2482" s="46">
        <v>5.2409999999999997</v>
      </c>
      <c r="BE2482" s="46">
        <v>118.9</v>
      </c>
      <c r="BF2482" s="46">
        <v>8005.9</v>
      </c>
      <c r="BG2482" s="46">
        <v>5.34</v>
      </c>
      <c r="BH2482" s="46">
        <v>0</v>
      </c>
      <c r="BJ2482">
        <v>8005.9</v>
      </c>
      <c r="BK2482">
        <v>5.34</v>
      </c>
      <c r="BL2482">
        <v>34.840000000000003</v>
      </c>
    </row>
    <row r="2483" spans="1:64" x14ac:dyDescent="0.25">
      <c r="A2483" s="136">
        <v>43171</v>
      </c>
      <c r="B2483" s="201" t="s">
        <v>124</v>
      </c>
      <c r="C2483" t="s">
        <v>125</v>
      </c>
      <c r="D2483">
        <v>100</v>
      </c>
      <c r="E2483">
        <v>100</v>
      </c>
      <c r="F2483">
        <v>-53.579000000000001</v>
      </c>
      <c r="G2483">
        <v>6005.9</v>
      </c>
      <c r="H2483">
        <v>0</v>
      </c>
      <c r="I2483" s="309">
        <v>648</v>
      </c>
      <c r="J2483">
        <v>6.48</v>
      </c>
      <c r="K2483" s="133">
        <v>1.32176888903611E-3</v>
      </c>
      <c r="L2483" s="181">
        <v>-7</v>
      </c>
      <c r="M2483" s="133">
        <v>0</v>
      </c>
    </row>
    <row r="2484" spans="1:64" x14ac:dyDescent="0.25">
      <c r="A2484" s="136">
        <v>43171</v>
      </c>
      <c r="B2484" s="201" t="s">
        <v>71</v>
      </c>
      <c r="C2484" t="s">
        <v>126</v>
      </c>
      <c r="D2484">
        <v>1100</v>
      </c>
      <c r="E2484">
        <v>1100</v>
      </c>
      <c r="F2484">
        <v>4.6100000000000003</v>
      </c>
      <c r="G2484">
        <v>2320.5</v>
      </c>
      <c r="H2484">
        <v>45.77</v>
      </c>
      <c r="I2484" s="309">
        <v>7392</v>
      </c>
      <c r="J2484">
        <v>6.72</v>
      </c>
      <c r="K2484" s="133">
        <v>1.50779562156712E-2</v>
      </c>
      <c r="L2484" s="181">
        <v>0</v>
      </c>
      <c r="M2484" s="133">
        <v>1.03446773468313E-2</v>
      </c>
      <c r="N2484" s="73">
        <v>-5077.2979999999998</v>
      </c>
      <c r="O2484" s="73">
        <v>340.50361511976001</v>
      </c>
      <c r="P2484" s="182">
        <v>0</v>
      </c>
      <c r="Q2484" s="182">
        <v>0</v>
      </c>
      <c r="R2484" s="46">
        <v>0</v>
      </c>
      <c r="S2484" s="46">
        <v>5</v>
      </c>
      <c r="T2484" s="46">
        <v>2000</v>
      </c>
      <c r="U2484" s="46">
        <v>6.625</v>
      </c>
      <c r="V2484" s="46" t="s">
        <v>68</v>
      </c>
      <c r="W2484" s="46">
        <v>2000</v>
      </c>
      <c r="X2484" s="46">
        <v>6.625</v>
      </c>
      <c r="AF2484" s="46">
        <v>43</v>
      </c>
      <c r="AG2484" s="46">
        <v>21600</v>
      </c>
      <c r="AH2484" s="46">
        <v>138103.96</v>
      </c>
      <c r="AI2484" s="46">
        <v>6.3940000000000001</v>
      </c>
      <c r="AJ2484" s="46">
        <v>41</v>
      </c>
      <c r="AK2484" s="46">
        <v>18500</v>
      </c>
      <c r="AL2484" s="46">
        <v>119652.91099999999</v>
      </c>
      <c r="AM2484" s="46">
        <v>6.468</v>
      </c>
      <c r="AN2484" s="46" t="s">
        <v>63</v>
      </c>
      <c r="AO2484" s="46">
        <v>3100</v>
      </c>
      <c r="AP2484" s="46">
        <v>18451.048999999999</v>
      </c>
      <c r="AQ2484" s="46">
        <v>5.952</v>
      </c>
      <c r="AR2484" s="46">
        <v>1369</v>
      </c>
      <c r="AS2484" s="46">
        <v>43</v>
      </c>
      <c r="AT2484" s="46">
        <v>21600</v>
      </c>
      <c r="AU2484" s="46">
        <v>138103.96</v>
      </c>
      <c r="AV2484" s="46">
        <v>6.3940000000000001</v>
      </c>
      <c r="AW2484" s="46">
        <v>46</v>
      </c>
      <c r="AX2484" s="46">
        <v>20500</v>
      </c>
      <c r="AY2484" s="46">
        <v>132870.462</v>
      </c>
      <c r="AZ2484" s="46">
        <v>6.4809999999999999</v>
      </c>
      <c r="BA2484" s="46" t="s">
        <v>63</v>
      </c>
      <c r="BB2484" s="46">
        <v>1100</v>
      </c>
      <c r="BC2484" s="46">
        <v>5233.4979999999996</v>
      </c>
      <c r="BD2484" s="46">
        <v>4.758</v>
      </c>
      <c r="BE2484" s="46">
        <v>1783.5</v>
      </c>
      <c r="BF2484" s="46">
        <v>0</v>
      </c>
      <c r="BH2484" s="46">
        <v>13217.550999999999</v>
      </c>
      <c r="BI2484">
        <v>6.61</v>
      </c>
      <c r="BJ2484">
        <v>-13217.550999999999</v>
      </c>
      <c r="BK2484">
        <v>-6.61</v>
      </c>
      <c r="BL2484">
        <v>203.72</v>
      </c>
    </row>
    <row r="2485" spans="1:64" x14ac:dyDescent="0.25">
      <c r="A2485" s="136">
        <v>43171</v>
      </c>
      <c r="B2485" s="201" t="s">
        <v>79</v>
      </c>
      <c r="C2485" t="s">
        <v>143</v>
      </c>
      <c r="D2485">
        <v>5000</v>
      </c>
      <c r="E2485">
        <v>5000</v>
      </c>
      <c r="F2485">
        <v>16.681000000000001</v>
      </c>
      <c r="G2485">
        <v>-9306.66</v>
      </c>
      <c r="H2485">
        <v>-11.16</v>
      </c>
      <c r="I2485" s="309">
        <v>74100</v>
      </c>
      <c r="J2485">
        <v>14.82</v>
      </c>
      <c r="K2485" s="133">
        <v>0.15114672018144501</v>
      </c>
      <c r="L2485" s="181">
        <v>500</v>
      </c>
      <c r="M2485" s="133">
        <v>0.170130136306193</v>
      </c>
      <c r="N2485" s="73">
        <v>-9660.3440000000792</v>
      </c>
      <c r="O2485" s="73">
        <v>-654.61110698305697</v>
      </c>
      <c r="P2485" s="182">
        <v>8</v>
      </c>
      <c r="Q2485" s="182">
        <v>4500</v>
      </c>
      <c r="R2485" s="46">
        <v>15.808</v>
      </c>
      <c r="S2485" s="46">
        <v>1</v>
      </c>
      <c r="T2485" s="46">
        <v>400</v>
      </c>
      <c r="U2485" s="46">
        <v>14.75</v>
      </c>
      <c r="V2485" s="46" t="s">
        <v>62</v>
      </c>
      <c r="W2485" s="46">
        <v>4100</v>
      </c>
      <c r="X2485" s="46">
        <v>15.911</v>
      </c>
      <c r="AF2485" s="46">
        <v>9</v>
      </c>
      <c r="AG2485" s="46">
        <v>4500</v>
      </c>
      <c r="AH2485" s="46">
        <v>73662.7</v>
      </c>
      <c r="AI2485" s="46">
        <v>16.369</v>
      </c>
      <c r="AJ2485" s="46">
        <v>9</v>
      </c>
      <c r="AK2485" s="46">
        <v>3600</v>
      </c>
      <c r="AL2485" s="46">
        <v>55541.196000000004</v>
      </c>
      <c r="AM2485" s="46">
        <v>15.428000000000001</v>
      </c>
      <c r="AN2485" s="46" t="s">
        <v>63</v>
      </c>
      <c r="AO2485" s="46">
        <v>900</v>
      </c>
      <c r="AP2485" s="46">
        <v>18121.504000000001</v>
      </c>
      <c r="AQ2485" s="46">
        <v>20.135000000000002</v>
      </c>
      <c r="AR2485" s="46">
        <v>-3387.6</v>
      </c>
      <c r="AS2485" s="46">
        <v>17</v>
      </c>
      <c r="AT2485" s="46">
        <v>9000</v>
      </c>
      <c r="AU2485" s="46">
        <v>144840.4</v>
      </c>
      <c r="AV2485" s="46">
        <v>16.093</v>
      </c>
      <c r="AW2485" s="46">
        <v>10</v>
      </c>
      <c r="AX2485" s="46">
        <v>4000</v>
      </c>
      <c r="AY2485" s="46">
        <v>61430.055999999997</v>
      </c>
      <c r="AZ2485" s="46">
        <v>15.358000000000001</v>
      </c>
      <c r="BA2485" s="46" t="s">
        <v>63</v>
      </c>
      <c r="BB2485" s="46">
        <v>5000</v>
      </c>
      <c r="BC2485" s="46">
        <v>83410.343999999997</v>
      </c>
      <c r="BD2485" s="46">
        <v>16.681999999999999</v>
      </c>
      <c r="BE2485" s="46">
        <v>-2940</v>
      </c>
      <c r="BF2485" s="46">
        <v>71177.7</v>
      </c>
      <c r="BG2485" s="46">
        <v>15.82</v>
      </c>
      <c r="BH2485" s="46">
        <v>5888.86</v>
      </c>
      <c r="BI2485">
        <v>14.72</v>
      </c>
      <c r="BJ2485">
        <v>65288.84</v>
      </c>
      <c r="BK2485">
        <v>15.92</v>
      </c>
      <c r="BL2485">
        <v>-228.58</v>
      </c>
    </row>
    <row r="2486" spans="1:64" x14ac:dyDescent="0.25">
      <c r="A2486" s="136">
        <v>43171</v>
      </c>
      <c r="B2486" s="201" t="s">
        <v>65</v>
      </c>
      <c r="C2486" t="s">
        <v>127</v>
      </c>
      <c r="D2486">
        <v>9600</v>
      </c>
      <c r="E2486">
        <v>8600</v>
      </c>
      <c r="F2486">
        <v>9.1739999999999995</v>
      </c>
      <c r="G2486">
        <v>11573.74</v>
      </c>
      <c r="H2486">
        <v>13.15</v>
      </c>
      <c r="I2486" s="309">
        <v>99648</v>
      </c>
      <c r="J2486">
        <v>10.38</v>
      </c>
      <c r="K2486" s="133">
        <v>0.203258682491776</v>
      </c>
      <c r="L2486" s="181">
        <v>-703</v>
      </c>
      <c r="M2486" s="133">
        <v>0.179650951840861</v>
      </c>
      <c r="N2486" s="73">
        <v>7387.31699999997</v>
      </c>
      <c r="O2486" s="73">
        <v>1122.5251265399299</v>
      </c>
      <c r="P2486" s="182">
        <v>1</v>
      </c>
      <c r="Q2486" s="182">
        <v>1000</v>
      </c>
      <c r="R2486" s="46">
        <v>10.39</v>
      </c>
      <c r="S2486" s="46">
        <v>19</v>
      </c>
      <c r="T2486" s="46">
        <v>8000</v>
      </c>
      <c r="U2486" s="46">
        <v>11.867000000000001</v>
      </c>
      <c r="V2486" s="46" t="s">
        <v>68</v>
      </c>
      <c r="W2486" s="46">
        <v>7000</v>
      </c>
      <c r="X2486" s="46">
        <v>12.077999999999999</v>
      </c>
      <c r="AF2486" s="46">
        <v>166</v>
      </c>
      <c r="AG2486" s="46">
        <v>88200</v>
      </c>
      <c r="AH2486" s="46">
        <v>1025045.231</v>
      </c>
      <c r="AI2486" s="46">
        <v>11.622</v>
      </c>
      <c r="AJ2486" s="46">
        <v>186</v>
      </c>
      <c r="AK2486" s="46">
        <v>80800</v>
      </c>
      <c r="AL2486" s="46">
        <v>851785.48100000003</v>
      </c>
      <c r="AM2486" s="46">
        <v>10.542</v>
      </c>
      <c r="AN2486" s="46" t="s">
        <v>63</v>
      </c>
      <c r="AO2486" s="46">
        <v>7400</v>
      </c>
      <c r="AP2486" s="46">
        <v>173259.75</v>
      </c>
      <c r="AQ2486" s="46">
        <v>23.413</v>
      </c>
      <c r="AR2486" s="46">
        <v>-87264</v>
      </c>
      <c r="AS2486" s="46">
        <v>168</v>
      </c>
      <c r="AT2486" s="46">
        <v>89300</v>
      </c>
      <c r="AU2486" s="46">
        <v>1036728.231</v>
      </c>
      <c r="AV2486" s="46">
        <v>11.609</v>
      </c>
      <c r="AW2486" s="46">
        <v>205</v>
      </c>
      <c r="AX2486" s="46">
        <v>88800</v>
      </c>
      <c r="AY2486" s="46">
        <v>946530.54599999997</v>
      </c>
      <c r="AZ2486" s="46">
        <v>10.659000000000001</v>
      </c>
      <c r="BA2486" s="46" t="s">
        <v>63</v>
      </c>
      <c r="BB2486" s="46">
        <v>500</v>
      </c>
      <c r="BC2486" s="46">
        <v>90197.684999999998</v>
      </c>
      <c r="BD2486" s="46">
        <v>180.39500000000001</v>
      </c>
      <c r="BE2486" s="46">
        <v>-84360</v>
      </c>
      <c r="BF2486" s="46">
        <v>11683</v>
      </c>
      <c r="BG2486" s="46">
        <v>11.68</v>
      </c>
      <c r="BH2486" s="46">
        <v>94745.0649999999</v>
      </c>
      <c r="BI2486">
        <v>11.84</v>
      </c>
      <c r="BJ2486">
        <v>-83062.065000000002</v>
      </c>
      <c r="BK2486">
        <v>-11.87</v>
      </c>
      <c r="BL2486">
        <v>-8406.94</v>
      </c>
    </row>
    <row r="2487" spans="1:64" x14ac:dyDescent="0.25">
      <c r="A2487" s="136">
        <v>43171</v>
      </c>
      <c r="B2487" s="201" t="s">
        <v>77</v>
      </c>
      <c r="C2487" t="s">
        <v>128</v>
      </c>
      <c r="D2487">
        <v>4300</v>
      </c>
      <c r="E2487">
        <v>4300</v>
      </c>
      <c r="F2487">
        <v>5.9779999999999998</v>
      </c>
      <c r="G2487">
        <v>-595.27</v>
      </c>
      <c r="H2487">
        <v>-2.31</v>
      </c>
      <c r="I2487" s="309">
        <v>25112</v>
      </c>
      <c r="J2487">
        <v>5.84</v>
      </c>
      <c r="K2487" s="133">
        <v>5.1222623983757598E-2</v>
      </c>
      <c r="L2487" s="181">
        <v>0</v>
      </c>
      <c r="M2487" s="133">
        <v>5.2436835969215202E-2</v>
      </c>
      <c r="N2487" s="73">
        <v>-1272.2139999999999</v>
      </c>
      <c r="O2487" s="73">
        <v>-133.073774655173</v>
      </c>
      <c r="P2487" s="182">
        <v>6</v>
      </c>
      <c r="Q2487" s="182">
        <v>3000</v>
      </c>
      <c r="R2487" s="46">
        <v>6.798</v>
      </c>
      <c r="S2487" s="46">
        <v>0</v>
      </c>
      <c r="T2487" s="46">
        <v>0</v>
      </c>
      <c r="U2487" s="46">
        <v>0</v>
      </c>
      <c r="V2487" s="46" t="s">
        <v>62</v>
      </c>
      <c r="W2487" s="46">
        <v>3000</v>
      </c>
      <c r="X2487" s="46">
        <v>6.798</v>
      </c>
      <c r="AF2487" s="46">
        <v>39</v>
      </c>
      <c r="AG2487" s="46">
        <v>19500</v>
      </c>
      <c r="AH2487" s="46">
        <v>142169</v>
      </c>
      <c r="AI2487" s="46">
        <v>7.2910000000000004</v>
      </c>
      <c r="AJ2487" s="46">
        <v>39</v>
      </c>
      <c r="AK2487" s="46">
        <v>18200</v>
      </c>
      <c r="AL2487" s="46">
        <v>136881.78599999999</v>
      </c>
      <c r="AM2487" s="46">
        <v>7.5209999999999999</v>
      </c>
      <c r="AN2487" s="46" t="s">
        <v>63</v>
      </c>
      <c r="AO2487" s="46">
        <v>1300</v>
      </c>
      <c r="AP2487" s="46">
        <v>5287.2139999999999</v>
      </c>
      <c r="AQ2487" s="46">
        <v>4.0670000000000002</v>
      </c>
      <c r="AR2487" s="46">
        <v>4186</v>
      </c>
      <c r="AS2487" s="46">
        <v>45</v>
      </c>
      <c r="AT2487" s="46">
        <v>22500</v>
      </c>
      <c r="AU2487" s="46">
        <v>162594</v>
      </c>
      <c r="AV2487" s="46">
        <v>7.226</v>
      </c>
      <c r="AW2487" s="46">
        <v>39</v>
      </c>
      <c r="AX2487" s="46">
        <v>18200</v>
      </c>
      <c r="AY2487" s="46">
        <v>136881.78599999999</v>
      </c>
      <c r="AZ2487" s="46">
        <v>7.5209999999999999</v>
      </c>
      <c r="BA2487" s="46" t="s">
        <v>63</v>
      </c>
      <c r="BB2487" s="46">
        <v>4300</v>
      </c>
      <c r="BC2487" s="46">
        <v>25712.214</v>
      </c>
      <c r="BD2487" s="46">
        <v>5.98</v>
      </c>
      <c r="BE2487" s="46">
        <v>5369</v>
      </c>
      <c r="BF2487" s="46">
        <v>20425</v>
      </c>
      <c r="BG2487" s="46">
        <v>6.81</v>
      </c>
      <c r="BH2487" s="46">
        <v>0</v>
      </c>
      <c r="BJ2487">
        <v>20425</v>
      </c>
      <c r="BK2487">
        <v>6.81</v>
      </c>
      <c r="BL2487">
        <v>716.78</v>
      </c>
    </row>
    <row r="2488" spans="1:64" x14ac:dyDescent="0.25">
      <c r="A2488" s="136">
        <v>43171</v>
      </c>
      <c r="B2488" s="201" t="s">
        <v>67</v>
      </c>
      <c r="C2488" t="s">
        <v>129</v>
      </c>
      <c r="D2488">
        <v>100</v>
      </c>
      <c r="E2488">
        <v>100</v>
      </c>
      <c r="F2488">
        <v>-16.027999999999999</v>
      </c>
      <c r="G2488">
        <v>2603.8000000000002</v>
      </c>
      <c r="H2488">
        <v>0</v>
      </c>
      <c r="I2488" s="309">
        <v>1001</v>
      </c>
      <c r="J2488">
        <v>10.01</v>
      </c>
      <c r="K2488" s="133">
        <v>2.0418065708721501E-3</v>
      </c>
      <c r="L2488" s="181">
        <v>1</v>
      </c>
      <c r="M2488" s="133">
        <v>0</v>
      </c>
      <c r="N2488" s="73">
        <v>2581.5064999997599</v>
      </c>
      <c r="O2488" s="73">
        <v>263.01893442913098</v>
      </c>
      <c r="P2488" s="182">
        <v>0</v>
      </c>
      <c r="Q2488" s="182">
        <v>0</v>
      </c>
      <c r="R2488" s="46">
        <v>0</v>
      </c>
      <c r="S2488" s="46">
        <v>20</v>
      </c>
      <c r="T2488" s="46">
        <v>8000</v>
      </c>
      <c r="U2488" s="46">
        <v>8.891</v>
      </c>
      <c r="V2488" s="46" t="s">
        <v>68</v>
      </c>
      <c r="W2488" s="46">
        <v>8000</v>
      </c>
      <c r="X2488" s="46">
        <v>8.891</v>
      </c>
      <c r="AF2488" s="46">
        <v>174</v>
      </c>
      <c r="AG2488" s="46">
        <v>86400</v>
      </c>
      <c r="AH2488" s="46">
        <v>716375</v>
      </c>
      <c r="AI2488" s="46">
        <v>8.2910000000000004</v>
      </c>
      <c r="AJ2488" s="46">
        <v>177</v>
      </c>
      <c r="AK2488" s="46">
        <v>80900</v>
      </c>
      <c r="AL2488" s="46">
        <v>716150.74650000001</v>
      </c>
      <c r="AM2488" s="46">
        <v>8.8520000000000003</v>
      </c>
      <c r="AN2488" s="46" t="s">
        <v>63</v>
      </c>
      <c r="AO2488" s="46">
        <v>5500</v>
      </c>
      <c r="AP2488" s="46">
        <v>224.25299999999999</v>
      </c>
      <c r="AQ2488" s="46">
        <v>4.1000000000000002E-2</v>
      </c>
      <c r="AR2488" s="46">
        <v>45384.9</v>
      </c>
      <c r="AS2488" s="46">
        <v>174</v>
      </c>
      <c r="AT2488" s="46">
        <v>86400</v>
      </c>
      <c r="AU2488" s="46">
        <v>716375</v>
      </c>
      <c r="AV2488" s="46">
        <v>8.2910000000000004</v>
      </c>
      <c r="AW2488" s="46">
        <v>197</v>
      </c>
      <c r="AX2488" s="46">
        <v>88900</v>
      </c>
      <c r="AY2488" s="46">
        <v>787103.62250000006</v>
      </c>
      <c r="AZ2488" s="46">
        <v>8.8539999999999992</v>
      </c>
      <c r="BA2488" s="46" t="s">
        <v>69</v>
      </c>
      <c r="BB2488" s="46">
        <v>2500</v>
      </c>
      <c r="BC2488" s="46">
        <v>70728.623000000007</v>
      </c>
      <c r="BD2488" s="46">
        <v>28.291</v>
      </c>
      <c r="BE2488" s="46">
        <v>48643.199999999997</v>
      </c>
      <c r="BF2488" s="46">
        <v>0</v>
      </c>
      <c r="BH2488" s="46">
        <v>70952.876000000004</v>
      </c>
      <c r="BI2488">
        <v>8.8699999999999992</v>
      </c>
      <c r="BJ2488">
        <v>70504.37</v>
      </c>
      <c r="BK2488">
        <v>8.81</v>
      </c>
      <c r="BL2488">
        <v>4533.96</v>
      </c>
    </row>
    <row r="2489" spans="1:64" x14ac:dyDescent="0.25">
      <c r="A2489" s="136">
        <v>43171</v>
      </c>
      <c r="B2489" s="201" t="s">
        <v>78</v>
      </c>
      <c r="C2489" t="s">
        <v>142</v>
      </c>
      <c r="D2489">
        <v>100</v>
      </c>
      <c r="E2489">
        <v>100</v>
      </c>
      <c r="F2489">
        <v>-4.9039999999999999</v>
      </c>
      <c r="G2489">
        <v>1570.4</v>
      </c>
      <c r="H2489">
        <v>0</v>
      </c>
      <c r="I2489" s="309">
        <v>1080</v>
      </c>
      <c r="J2489">
        <v>10.8</v>
      </c>
      <c r="K2489" s="133">
        <v>2.2029481483935198E-3</v>
      </c>
      <c r="L2489" s="181">
        <v>58</v>
      </c>
      <c r="M2489" s="133">
        <v>0</v>
      </c>
      <c r="N2489" s="73">
        <v>1506.3910000000001</v>
      </c>
      <c r="O2489" s="73">
        <v>148.19269729330699</v>
      </c>
      <c r="P2489" s="182">
        <v>0</v>
      </c>
      <c r="Q2489" s="182">
        <v>0</v>
      </c>
      <c r="R2489" s="46">
        <v>0</v>
      </c>
      <c r="S2489" s="46">
        <v>3</v>
      </c>
      <c r="T2489" s="46">
        <v>1200</v>
      </c>
      <c r="U2489" s="46">
        <v>9.99</v>
      </c>
      <c r="V2489" s="46" t="s">
        <v>68</v>
      </c>
      <c r="W2489" s="46">
        <v>1200</v>
      </c>
      <c r="X2489" s="46">
        <v>9.99</v>
      </c>
      <c r="AF2489" s="46">
        <v>13</v>
      </c>
      <c r="AG2489" s="46">
        <v>6500</v>
      </c>
      <c r="AH2489" s="46">
        <v>62970</v>
      </c>
      <c r="AI2489" s="46">
        <v>9.6880000000000006</v>
      </c>
      <c r="AJ2489" s="46">
        <v>14</v>
      </c>
      <c r="AK2489" s="46">
        <v>5200</v>
      </c>
      <c r="AL2489" s="46">
        <v>51499.379000000001</v>
      </c>
      <c r="AM2489" s="46">
        <v>9.9039999999999999</v>
      </c>
      <c r="AN2489" s="46" t="s">
        <v>63</v>
      </c>
      <c r="AO2489" s="46">
        <v>1300</v>
      </c>
      <c r="AP2489" s="46">
        <v>11470.620999999999</v>
      </c>
      <c r="AQ2489" s="46">
        <v>8.8239999999999998</v>
      </c>
      <c r="AR2489" s="46">
        <v>1123.2</v>
      </c>
      <c r="AS2489" s="46">
        <v>13</v>
      </c>
      <c r="AT2489" s="46">
        <v>6500</v>
      </c>
      <c r="AU2489" s="46">
        <v>62970</v>
      </c>
      <c r="AV2489" s="46">
        <v>9.6880000000000006</v>
      </c>
      <c r="AW2489" s="46">
        <v>17</v>
      </c>
      <c r="AX2489" s="46">
        <v>6400</v>
      </c>
      <c r="AY2489" s="46">
        <v>63460.391000000003</v>
      </c>
      <c r="AZ2489" s="46">
        <v>9.9160000000000004</v>
      </c>
      <c r="BA2489" s="46" t="s">
        <v>63</v>
      </c>
      <c r="BB2489" s="46">
        <v>100</v>
      </c>
      <c r="BC2489" s="46">
        <v>490.39100000000002</v>
      </c>
      <c r="BD2489" s="46">
        <v>4.9039999999999999</v>
      </c>
      <c r="BE2489" s="46">
        <v>1459.2</v>
      </c>
      <c r="BF2489" s="46">
        <v>0</v>
      </c>
      <c r="BH2489" s="46">
        <v>11961.012000000001</v>
      </c>
      <c r="BI2489">
        <v>9.9700000000000006</v>
      </c>
      <c r="BJ2489">
        <v>-10980.23</v>
      </c>
      <c r="BK2489">
        <v>-9.15</v>
      </c>
      <c r="BL2489">
        <v>104</v>
      </c>
    </row>
    <row r="2490" spans="1:64" x14ac:dyDescent="0.25">
      <c r="A2490" s="136">
        <v>43171</v>
      </c>
      <c r="B2490" s="201" t="s">
        <v>72</v>
      </c>
      <c r="C2490" t="s">
        <v>130</v>
      </c>
      <c r="D2490">
        <v>2900</v>
      </c>
      <c r="E2490">
        <v>2900</v>
      </c>
      <c r="F2490">
        <v>6.9160000000000004</v>
      </c>
      <c r="G2490">
        <v>-510.55</v>
      </c>
      <c r="H2490">
        <v>-2.54</v>
      </c>
      <c r="I2490" s="309">
        <v>19546</v>
      </c>
      <c r="J2490">
        <v>6.74</v>
      </c>
      <c r="K2490" s="133">
        <v>3.9869281952314699E-2</v>
      </c>
      <c r="L2490" s="181">
        <v>174</v>
      </c>
      <c r="M2490" s="133">
        <v>4.0910684894131598E-2</v>
      </c>
      <c r="N2490" s="73">
        <v>-1109.25999999999</v>
      </c>
      <c r="O2490" s="73">
        <v>-134.206690620269</v>
      </c>
      <c r="P2490" s="182">
        <v>0</v>
      </c>
      <c r="Q2490" s="182">
        <v>0</v>
      </c>
      <c r="R2490" s="46">
        <v>0</v>
      </c>
      <c r="S2490" s="46">
        <v>12</v>
      </c>
      <c r="T2490" s="46">
        <v>4800</v>
      </c>
      <c r="U2490" s="46">
        <v>7.4729999999999999</v>
      </c>
      <c r="V2490" s="46" t="s">
        <v>68</v>
      </c>
      <c r="W2490" s="46">
        <v>4800</v>
      </c>
      <c r="X2490" s="46">
        <v>7.4729999999999999</v>
      </c>
      <c r="AF2490" s="46">
        <v>32</v>
      </c>
      <c r="AG2490" s="46">
        <v>15900</v>
      </c>
      <c r="AH2490" s="46">
        <v>121142</v>
      </c>
      <c r="AI2490" s="46">
        <v>7.6189999999999998</v>
      </c>
      <c r="AJ2490" s="46">
        <v>32</v>
      </c>
      <c r="AK2490" s="46">
        <v>14800</v>
      </c>
      <c r="AL2490" s="46">
        <v>66041.797000000006</v>
      </c>
      <c r="AM2490" s="46">
        <v>4.4619999999999997</v>
      </c>
      <c r="AN2490" s="46" t="s">
        <v>63</v>
      </c>
      <c r="AO2490" s="46">
        <v>1100</v>
      </c>
      <c r="AP2490" s="46">
        <v>55100.203000000001</v>
      </c>
      <c r="AQ2490" s="46">
        <v>50.091000000000001</v>
      </c>
      <c r="AR2490" s="46">
        <v>-46723.6</v>
      </c>
      <c r="AS2490" s="46">
        <v>32</v>
      </c>
      <c r="AT2490" s="46">
        <v>15900</v>
      </c>
      <c r="AU2490" s="46">
        <v>121142</v>
      </c>
      <c r="AV2490" s="46">
        <v>7.6189999999999998</v>
      </c>
      <c r="AW2490" s="46">
        <v>45</v>
      </c>
      <c r="AX2490" s="46">
        <v>20100</v>
      </c>
      <c r="AY2490" s="46">
        <v>101817.925</v>
      </c>
      <c r="AZ2490" s="46">
        <v>5.0659999999999998</v>
      </c>
      <c r="BA2490" s="46" t="s">
        <v>69</v>
      </c>
      <c r="BB2490" s="46">
        <v>4200</v>
      </c>
      <c r="BC2490" s="46">
        <v>19324.075000000001</v>
      </c>
      <c r="BD2490" s="46">
        <v>4.601</v>
      </c>
      <c r="BE2490" s="46">
        <v>-40592.699999999997</v>
      </c>
      <c r="BF2490" s="46">
        <v>0</v>
      </c>
      <c r="BH2490" s="46">
        <v>35776.127999999997</v>
      </c>
      <c r="BI2490">
        <v>7.45</v>
      </c>
      <c r="BJ2490">
        <v>-35776.127999999997</v>
      </c>
      <c r="BK2490">
        <v>-7.45</v>
      </c>
      <c r="BL2490">
        <v>-6932.28</v>
      </c>
    </row>
    <row r="2491" spans="1:64" x14ac:dyDescent="0.25">
      <c r="A2491" s="136">
        <v>43171</v>
      </c>
      <c r="B2491" s="201" t="s">
        <v>70</v>
      </c>
      <c r="C2491" t="s">
        <v>131</v>
      </c>
      <c r="D2491">
        <v>13500</v>
      </c>
      <c r="E2491">
        <v>13100</v>
      </c>
      <c r="F2491">
        <v>11.28</v>
      </c>
      <c r="G2491">
        <v>-31178.95</v>
      </c>
      <c r="H2491">
        <v>-20.48</v>
      </c>
      <c r="I2491" s="309">
        <v>121095</v>
      </c>
      <c r="J2491">
        <v>8.9700000000000006</v>
      </c>
      <c r="K2491" s="133">
        <v>0.24700556113862401</v>
      </c>
      <c r="L2491" s="181">
        <v>270</v>
      </c>
      <c r="M2491" s="133">
        <v>0.31060334833432202</v>
      </c>
      <c r="N2491" s="73">
        <v>-31987.9540000001</v>
      </c>
      <c r="O2491" s="73">
        <v>-3588.3232349046102</v>
      </c>
      <c r="P2491" s="182">
        <v>3</v>
      </c>
      <c r="Q2491" s="182">
        <v>1500</v>
      </c>
      <c r="R2491" s="46">
        <v>8.1530000000000005</v>
      </c>
      <c r="S2491" s="46">
        <v>0</v>
      </c>
      <c r="T2491" s="46">
        <v>0</v>
      </c>
      <c r="U2491" s="46">
        <v>0</v>
      </c>
      <c r="V2491" s="46" t="s">
        <v>62</v>
      </c>
      <c r="W2491" s="46">
        <v>1500</v>
      </c>
      <c r="X2491" s="46">
        <v>8.1530000000000005</v>
      </c>
      <c r="AF2491" s="46">
        <v>130</v>
      </c>
      <c r="AG2491" s="46">
        <v>66600</v>
      </c>
      <c r="AH2491" s="46">
        <v>877968</v>
      </c>
      <c r="AI2491" s="46">
        <v>13.183</v>
      </c>
      <c r="AJ2491" s="46">
        <v>136</v>
      </c>
      <c r="AK2491" s="46">
        <v>54600</v>
      </c>
      <c r="AL2491" s="46">
        <v>737535.04599999997</v>
      </c>
      <c r="AM2491" s="46">
        <v>13.507999999999999</v>
      </c>
      <c r="AN2491" s="46" t="s">
        <v>63</v>
      </c>
      <c r="AO2491" s="46">
        <v>12000</v>
      </c>
      <c r="AP2491" s="46">
        <v>140432.954</v>
      </c>
      <c r="AQ2491" s="46">
        <v>11.702999999999999</v>
      </c>
      <c r="AR2491" s="46">
        <v>17745</v>
      </c>
      <c r="AS2491" s="46">
        <v>133</v>
      </c>
      <c r="AT2491" s="46">
        <v>68100</v>
      </c>
      <c r="AU2491" s="46">
        <v>890213</v>
      </c>
      <c r="AV2491" s="46">
        <v>13.071999999999999</v>
      </c>
      <c r="AW2491" s="46">
        <v>137</v>
      </c>
      <c r="AX2491" s="46">
        <v>54600</v>
      </c>
      <c r="AY2491" s="46">
        <v>737940.04599999997</v>
      </c>
      <c r="AZ2491" s="46">
        <v>13.515000000000001</v>
      </c>
      <c r="BA2491" s="46" t="s">
        <v>63</v>
      </c>
      <c r="BB2491" s="46">
        <v>13500</v>
      </c>
      <c r="BC2491" s="46">
        <v>152272.954</v>
      </c>
      <c r="BD2491" s="46">
        <v>11.279</v>
      </c>
      <c r="BE2491" s="46">
        <v>24187.8</v>
      </c>
      <c r="BF2491" s="46">
        <v>12245</v>
      </c>
      <c r="BG2491" s="46">
        <v>8.16</v>
      </c>
      <c r="BH2491" s="46">
        <v>405</v>
      </c>
      <c r="BJ2491">
        <v>11840</v>
      </c>
      <c r="BK2491">
        <v>7.89</v>
      </c>
      <c r="BL2491">
        <v>1978.26</v>
      </c>
    </row>
    <row r="2492" spans="1:64" x14ac:dyDescent="0.25">
      <c r="A2492" s="136">
        <v>43171</v>
      </c>
      <c r="B2492" s="201" t="s">
        <v>137</v>
      </c>
      <c r="C2492" t="s">
        <v>138</v>
      </c>
      <c r="D2492">
        <v>100</v>
      </c>
      <c r="E2492">
        <v>100</v>
      </c>
      <c r="F2492">
        <v>-130.48500000000001</v>
      </c>
      <c r="G2492">
        <v>16771.5</v>
      </c>
      <c r="H2492">
        <v>0</v>
      </c>
      <c r="I2492" s="309">
        <v>3723</v>
      </c>
      <c r="J2492">
        <v>37.229999999999997</v>
      </c>
      <c r="K2492" s="133">
        <v>7.5940518115454603E-3</v>
      </c>
      <c r="L2492" s="181">
        <v>49</v>
      </c>
      <c r="M2492" s="133">
        <v>0</v>
      </c>
    </row>
    <row r="2493" spans="1:64" x14ac:dyDescent="0.25">
      <c r="A2493" s="136">
        <v>43171</v>
      </c>
      <c r="B2493" s="201" t="s">
        <v>835</v>
      </c>
      <c r="C2493" t="s">
        <v>839</v>
      </c>
      <c r="I2493" s="309">
        <v>12611</v>
      </c>
      <c r="K2493" s="133">
        <v>2.57234991661025E-2</v>
      </c>
      <c r="L2493" s="181">
        <v>0</v>
      </c>
      <c r="M2493" s="133">
        <v>0.25448767054796201</v>
      </c>
    </row>
    <row r="2494" spans="1:64" x14ac:dyDescent="0.25">
      <c r="A2494" s="136">
        <v>43172</v>
      </c>
      <c r="B2494" s="201" t="s">
        <v>132</v>
      </c>
      <c r="C2494" t="s">
        <v>123</v>
      </c>
      <c r="D2494">
        <v>11998062</v>
      </c>
      <c r="E2494">
        <v>11218062</v>
      </c>
      <c r="F2494">
        <v>0.01</v>
      </c>
      <c r="G2494">
        <v>3226.18</v>
      </c>
      <c r="H2494">
        <v>0</v>
      </c>
      <c r="I2494" s="309">
        <v>119980.62</v>
      </c>
      <c r="J2494">
        <v>0.01</v>
      </c>
      <c r="K2494" s="133">
        <v>0.24465566351280399</v>
      </c>
      <c r="L2494" s="181">
        <v>28.5</v>
      </c>
      <c r="M2494" s="133">
        <v>0</v>
      </c>
    </row>
    <row r="2495" spans="1:64" x14ac:dyDescent="0.25">
      <c r="A2495" s="136">
        <v>43172</v>
      </c>
      <c r="B2495" s="201" t="s">
        <v>61</v>
      </c>
      <c r="C2495" t="s">
        <v>136</v>
      </c>
      <c r="D2495">
        <v>2400</v>
      </c>
      <c r="E2495">
        <v>2400</v>
      </c>
      <c r="F2495">
        <v>5.2380000000000004</v>
      </c>
      <c r="G2495">
        <v>-523.95000000000005</v>
      </c>
      <c r="H2495">
        <v>-4.16</v>
      </c>
      <c r="I2495" s="309">
        <v>12048</v>
      </c>
      <c r="J2495">
        <v>5.0199999999999996</v>
      </c>
      <c r="K2495" s="133">
        <v>2.4567396251180099E-2</v>
      </c>
      <c r="L2495" s="181">
        <v>-96.000000000000099</v>
      </c>
      <c r="M2495" s="133">
        <v>2.5635796588647401E-2</v>
      </c>
      <c r="N2495" s="73">
        <v>-481.24099999999999</v>
      </c>
      <c r="O2495" s="73">
        <v>-95.436583234126999</v>
      </c>
      <c r="P2495" s="182">
        <v>3</v>
      </c>
      <c r="Q2495" s="182">
        <v>1500</v>
      </c>
      <c r="R2495" s="46">
        <v>5.327</v>
      </c>
      <c r="S2495" s="46">
        <v>0</v>
      </c>
      <c r="T2495" s="46">
        <v>0</v>
      </c>
      <c r="U2495" s="46">
        <v>0</v>
      </c>
      <c r="V2495" s="46" t="s">
        <v>62</v>
      </c>
      <c r="W2495" s="46">
        <v>1500</v>
      </c>
      <c r="X2495" s="46">
        <v>5.327</v>
      </c>
      <c r="AF2495" s="46">
        <v>10</v>
      </c>
      <c r="AG2495" s="46">
        <v>5000</v>
      </c>
      <c r="AH2495" s="46">
        <v>26378</v>
      </c>
      <c r="AI2495" s="46">
        <v>5.2759999999999998</v>
      </c>
      <c r="AJ2495" s="46">
        <v>10</v>
      </c>
      <c r="AK2495" s="46">
        <v>4100</v>
      </c>
      <c r="AL2495" s="46">
        <v>21806.659</v>
      </c>
      <c r="AM2495" s="46">
        <v>5.319</v>
      </c>
      <c r="AN2495" s="46" t="s">
        <v>63</v>
      </c>
      <c r="AO2495" s="46">
        <v>900</v>
      </c>
      <c r="AP2495" s="46">
        <v>4571.3410000000003</v>
      </c>
      <c r="AQ2495" s="46">
        <v>5.0789999999999997</v>
      </c>
      <c r="AR2495" s="46">
        <v>176.3</v>
      </c>
      <c r="AS2495" s="46">
        <v>13</v>
      </c>
      <c r="AT2495" s="46">
        <v>6500</v>
      </c>
      <c r="AU2495" s="46">
        <v>34383.9</v>
      </c>
      <c r="AV2495" s="46">
        <v>5.29</v>
      </c>
      <c r="AW2495" s="46">
        <v>10</v>
      </c>
      <c r="AX2495" s="46">
        <v>4100</v>
      </c>
      <c r="AY2495" s="46">
        <v>21806.659</v>
      </c>
      <c r="AZ2495" s="46">
        <v>5.319</v>
      </c>
      <c r="BA2495" s="46" t="s">
        <v>63</v>
      </c>
      <c r="BB2495" s="46">
        <v>2400</v>
      </c>
      <c r="BC2495" s="46">
        <v>12577.241</v>
      </c>
      <c r="BD2495" s="46">
        <v>5.2409999999999997</v>
      </c>
      <c r="BE2495" s="46">
        <v>118.9</v>
      </c>
      <c r="BF2495" s="46">
        <v>8005.9</v>
      </c>
      <c r="BG2495" s="46">
        <v>5.34</v>
      </c>
      <c r="BH2495" s="46">
        <v>0</v>
      </c>
      <c r="BJ2495">
        <v>8005.9</v>
      </c>
      <c r="BK2495">
        <v>5.34</v>
      </c>
      <c r="BL2495">
        <v>35.119999999999997</v>
      </c>
    </row>
    <row r="2496" spans="1:64" x14ac:dyDescent="0.25">
      <c r="A2496" s="136">
        <v>43172</v>
      </c>
      <c r="B2496" s="201" t="s">
        <v>124</v>
      </c>
      <c r="C2496" t="s">
        <v>125</v>
      </c>
      <c r="D2496">
        <v>100</v>
      </c>
      <c r="E2496">
        <v>100</v>
      </c>
      <c r="F2496">
        <v>-53.579000000000001</v>
      </c>
      <c r="G2496">
        <v>6007.9</v>
      </c>
      <c r="H2496">
        <v>0</v>
      </c>
      <c r="I2496" s="309">
        <v>650</v>
      </c>
      <c r="J2496">
        <v>6.5</v>
      </c>
      <c r="K2496" s="133">
        <v>1.3254322346669201E-3</v>
      </c>
      <c r="L2496" s="181">
        <v>2</v>
      </c>
      <c r="M2496" s="133">
        <v>0</v>
      </c>
    </row>
    <row r="2497" spans="1:64" x14ac:dyDescent="0.25">
      <c r="A2497" s="136">
        <v>43172</v>
      </c>
      <c r="B2497" s="201" t="s">
        <v>71</v>
      </c>
      <c r="C2497" t="s">
        <v>126</v>
      </c>
      <c r="D2497">
        <v>1100</v>
      </c>
      <c r="E2497">
        <v>1100</v>
      </c>
      <c r="F2497">
        <v>4.6100000000000003</v>
      </c>
      <c r="G2497">
        <v>2320.5</v>
      </c>
      <c r="H2497">
        <v>45.77</v>
      </c>
      <c r="I2497" s="309">
        <v>7392</v>
      </c>
      <c r="J2497">
        <v>6.72</v>
      </c>
      <c r="K2497" s="133">
        <v>1.50732231979352E-2</v>
      </c>
      <c r="L2497" s="181">
        <v>0</v>
      </c>
      <c r="M2497" s="133">
        <v>1.03414301201743E-2</v>
      </c>
      <c r="N2497" s="73">
        <v>-5077.2979999999998</v>
      </c>
      <c r="O2497" s="73">
        <v>340.50361511976001</v>
      </c>
      <c r="P2497" s="182">
        <v>0</v>
      </c>
      <c r="Q2497" s="182">
        <v>0</v>
      </c>
      <c r="R2497" s="46">
        <v>0</v>
      </c>
      <c r="S2497" s="46">
        <v>5</v>
      </c>
      <c r="T2497" s="46">
        <v>2000</v>
      </c>
      <c r="U2497" s="46">
        <v>6.625</v>
      </c>
      <c r="V2497" s="46" t="s">
        <v>68</v>
      </c>
      <c r="W2497" s="46">
        <v>2000</v>
      </c>
      <c r="X2497" s="46">
        <v>6.625</v>
      </c>
      <c r="AF2497" s="46">
        <v>43</v>
      </c>
      <c r="AG2497" s="46">
        <v>21600</v>
      </c>
      <c r="AH2497" s="46">
        <v>138103.96</v>
      </c>
      <c r="AI2497" s="46">
        <v>6.3940000000000001</v>
      </c>
      <c r="AJ2497" s="46">
        <v>41</v>
      </c>
      <c r="AK2497" s="46">
        <v>18500</v>
      </c>
      <c r="AL2497" s="46">
        <v>119652.91099999999</v>
      </c>
      <c r="AM2497" s="46">
        <v>6.468</v>
      </c>
      <c r="AN2497" s="46" t="s">
        <v>63</v>
      </c>
      <c r="AO2497" s="46">
        <v>3100</v>
      </c>
      <c r="AP2497" s="46">
        <v>18451.048999999999</v>
      </c>
      <c r="AQ2497" s="46">
        <v>5.952</v>
      </c>
      <c r="AR2497" s="46">
        <v>1369</v>
      </c>
      <c r="AS2497" s="46">
        <v>43</v>
      </c>
      <c r="AT2497" s="46">
        <v>21600</v>
      </c>
      <c r="AU2497" s="46">
        <v>138103.96</v>
      </c>
      <c r="AV2497" s="46">
        <v>6.3940000000000001</v>
      </c>
      <c r="AW2497" s="46">
        <v>46</v>
      </c>
      <c r="AX2497" s="46">
        <v>20500</v>
      </c>
      <c r="AY2497" s="46">
        <v>132870.462</v>
      </c>
      <c r="AZ2497" s="46">
        <v>6.4809999999999999</v>
      </c>
      <c r="BA2497" s="46" t="s">
        <v>63</v>
      </c>
      <c r="BB2497" s="46">
        <v>1100</v>
      </c>
      <c r="BC2497" s="46">
        <v>5233.4979999999996</v>
      </c>
      <c r="BD2497" s="46">
        <v>4.758</v>
      </c>
      <c r="BE2497" s="46">
        <v>1783.5</v>
      </c>
      <c r="BF2497" s="46">
        <v>0</v>
      </c>
      <c r="BH2497" s="46">
        <v>13217.550999999999</v>
      </c>
      <c r="BI2497">
        <v>6.61</v>
      </c>
      <c r="BJ2497">
        <v>-13217.550999999999</v>
      </c>
      <c r="BK2497">
        <v>-6.61</v>
      </c>
      <c r="BL2497">
        <v>203.72</v>
      </c>
    </row>
    <row r="2498" spans="1:64" x14ac:dyDescent="0.25">
      <c r="A2498" s="136">
        <v>43172</v>
      </c>
      <c r="B2498" s="201" t="s">
        <v>79</v>
      </c>
      <c r="C2498" t="s">
        <v>143</v>
      </c>
      <c r="D2498">
        <v>5000</v>
      </c>
      <c r="E2498">
        <v>5000</v>
      </c>
      <c r="F2498">
        <v>16.681000000000001</v>
      </c>
      <c r="G2498">
        <v>-10006.66</v>
      </c>
      <c r="H2498">
        <v>-11.99</v>
      </c>
      <c r="I2498" s="309">
        <v>73400</v>
      </c>
      <c r="J2498">
        <v>14.68</v>
      </c>
      <c r="K2498" s="133">
        <v>0.149671886191618</v>
      </c>
      <c r="L2498" s="181">
        <v>-700</v>
      </c>
      <c r="M2498" s="133">
        <v>0.17007673192292899</v>
      </c>
      <c r="N2498" s="73">
        <v>-9660.3440000000792</v>
      </c>
      <c r="O2498" s="73">
        <v>-654.61110698305697</v>
      </c>
      <c r="P2498" s="182">
        <v>8</v>
      </c>
      <c r="Q2498" s="182">
        <v>4500</v>
      </c>
      <c r="R2498" s="46">
        <v>15.808</v>
      </c>
      <c r="S2498" s="46">
        <v>1</v>
      </c>
      <c r="T2498" s="46">
        <v>400</v>
      </c>
      <c r="U2498" s="46">
        <v>14.75</v>
      </c>
      <c r="V2498" s="46" t="s">
        <v>62</v>
      </c>
      <c r="W2498" s="46">
        <v>4100</v>
      </c>
      <c r="X2498" s="46">
        <v>15.911</v>
      </c>
      <c r="AF2498" s="46">
        <v>9</v>
      </c>
      <c r="AG2498" s="46">
        <v>4500</v>
      </c>
      <c r="AH2498" s="46">
        <v>73662.7</v>
      </c>
      <c r="AI2498" s="46">
        <v>16.369</v>
      </c>
      <c r="AJ2498" s="46">
        <v>9</v>
      </c>
      <c r="AK2498" s="46">
        <v>3600</v>
      </c>
      <c r="AL2498" s="46">
        <v>55541.196000000004</v>
      </c>
      <c r="AM2498" s="46">
        <v>15.428000000000001</v>
      </c>
      <c r="AN2498" s="46" t="s">
        <v>63</v>
      </c>
      <c r="AO2498" s="46">
        <v>900</v>
      </c>
      <c r="AP2498" s="46">
        <v>18121.504000000001</v>
      </c>
      <c r="AQ2498" s="46">
        <v>20.135000000000002</v>
      </c>
      <c r="AR2498" s="46">
        <v>-3387.6</v>
      </c>
      <c r="AS2498" s="46">
        <v>17</v>
      </c>
      <c r="AT2498" s="46">
        <v>9000</v>
      </c>
      <c r="AU2498" s="46">
        <v>144840.4</v>
      </c>
      <c r="AV2498" s="46">
        <v>16.093</v>
      </c>
      <c r="AW2498" s="46">
        <v>10</v>
      </c>
      <c r="AX2498" s="46">
        <v>4000</v>
      </c>
      <c r="AY2498" s="46">
        <v>61430.055999999997</v>
      </c>
      <c r="AZ2498" s="46">
        <v>15.358000000000001</v>
      </c>
      <c r="BA2498" s="46" t="s">
        <v>63</v>
      </c>
      <c r="BB2498" s="46">
        <v>5000</v>
      </c>
      <c r="BC2498" s="46">
        <v>83410.343999999997</v>
      </c>
      <c r="BD2498" s="46">
        <v>16.681999999999999</v>
      </c>
      <c r="BE2498" s="46">
        <v>-2940</v>
      </c>
      <c r="BF2498" s="46">
        <v>71177.7</v>
      </c>
      <c r="BG2498" s="46">
        <v>15.82</v>
      </c>
      <c r="BH2498" s="46">
        <v>5888.86</v>
      </c>
      <c r="BI2498">
        <v>14.72</v>
      </c>
      <c r="BJ2498">
        <v>65288.84</v>
      </c>
      <c r="BK2498">
        <v>15.92</v>
      </c>
      <c r="BL2498">
        <v>-230.76</v>
      </c>
    </row>
    <row r="2499" spans="1:64" x14ac:dyDescent="0.25">
      <c r="A2499" s="136">
        <v>43172</v>
      </c>
      <c r="B2499" s="201" t="s">
        <v>65</v>
      </c>
      <c r="C2499" t="s">
        <v>127</v>
      </c>
      <c r="D2499">
        <v>9700</v>
      </c>
      <c r="E2499">
        <v>9200</v>
      </c>
      <c r="F2499">
        <v>9.1820000000000004</v>
      </c>
      <c r="G2499">
        <v>11327.54</v>
      </c>
      <c r="H2499">
        <v>12.72</v>
      </c>
      <c r="I2499" s="309">
        <v>100395</v>
      </c>
      <c r="J2499">
        <v>10.35</v>
      </c>
      <c r="K2499" s="133">
        <v>0.20471810646059299</v>
      </c>
      <c r="L2499" s="181">
        <v>-246.19999999999899</v>
      </c>
      <c r="M2499" s="133">
        <v>0.181619819298318</v>
      </c>
      <c r="N2499" s="73">
        <v>7045.1209999999801</v>
      </c>
      <c r="O2499" s="73">
        <v>1093.8175036473301</v>
      </c>
      <c r="P2499" s="182">
        <v>1</v>
      </c>
      <c r="Q2499" s="182">
        <v>1000</v>
      </c>
      <c r="R2499" s="46">
        <v>10.39</v>
      </c>
      <c r="S2499" s="46">
        <v>19</v>
      </c>
      <c r="T2499" s="46">
        <v>8000</v>
      </c>
      <c r="U2499" s="46">
        <v>11.868</v>
      </c>
      <c r="V2499" s="46" t="s">
        <v>68</v>
      </c>
      <c r="W2499" s="46">
        <v>7000</v>
      </c>
      <c r="X2499" s="46">
        <v>12.079000000000001</v>
      </c>
      <c r="AF2499" s="46">
        <v>167</v>
      </c>
      <c r="AG2499" s="46">
        <v>88700</v>
      </c>
      <c r="AH2499" s="46">
        <v>1030225.231</v>
      </c>
      <c r="AI2499" s="46">
        <v>11.615</v>
      </c>
      <c r="AJ2499" s="46">
        <v>187</v>
      </c>
      <c r="AK2499" s="46">
        <v>81200</v>
      </c>
      <c r="AL2499" s="46">
        <v>855960.29700000002</v>
      </c>
      <c r="AM2499" s="46">
        <v>10.541</v>
      </c>
      <c r="AN2499" s="46" t="s">
        <v>63</v>
      </c>
      <c r="AO2499" s="46">
        <v>7500</v>
      </c>
      <c r="AP2499" s="46">
        <v>174264.93400000001</v>
      </c>
      <c r="AQ2499" s="46">
        <v>23.234999999999999</v>
      </c>
      <c r="AR2499" s="46">
        <v>-87208.8</v>
      </c>
      <c r="AS2499" s="46">
        <v>169</v>
      </c>
      <c r="AT2499" s="46">
        <v>89800</v>
      </c>
      <c r="AU2499" s="46">
        <v>1041908.231</v>
      </c>
      <c r="AV2499" s="46">
        <v>11.603</v>
      </c>
      <c r="AW2499" s="46">
        <v>206</v>
      </c>
      <c r="AX2499" s="46">
        <v>89200</v>
      </c>
      <c r="AY2499" s="46">
        <v>950717.35</v>
      </c>
      <c r="AZ2499" s="46">
        <v>10.657999999999999</v>
      </c>
      <c r="BA2499" s="46" t="s">
        <v>63</v>
      </c>
      <c r="BB2499" s="46">
        <v>600</v>
      </c>
      <c r="BC2499" s="46">
        <v>91190.880999999994</v>
      </c>
      <c r="BD2499" s="46">
        <v>151.98500000000001</v>
      </c>
      <c r="BE2499" s="46">
        <v>-84294</v>
      </c>
      <c r="BF2499" s="46">
        <v>11683</v>
      </c>
      <c r="BG2499" s="46">
        <v>11.68</v>
      </c>
      <c r="BH2499" s="46">
        <v>94757.053</v>
      </c>
      <c r="BI2499">
        <v>11.84</v>
      </c>
      <c r="BJ2499">
        <v>-83074.053</v>
      </c>
      <c r="BK2499">
        <v>-11.87</v>
      </c>
      <c r="BL2499">
        <v>-8425.9699999999993</v>
      </c>
    </row>
    <row r="2500" spans="1:64" x14ac:dyDescent="0.25">
      <c r="A2500" s="136">
        <v>43172</v>
      </c>
      <c r="B2500" s="201" t="s">
        <v>77</v>
      </c>
      <c r="C2500" t="s">
        <v>128</v>
      </c>
      <c r="D2500">
        <v>4300</v>
      </c>
      <c r="E2500">
        <v>4300</v>
      </c>
      <c r="F2500">
        <v>5.9779999999999998</v>
      </c>
      <c r="G2500">
        <v>-595.27</v>
      </c>
      <c r="H2500">
        <v>-2.31</v>
      </c>
      <c r="I2500" s="309">
        <v>25112</v>
      </c>
      <c r="J2500">
        <v>5.84</v>
      </c>
      <c r="K2500" s="133">
        <v>5.1206545041470299E-2</v>
      </c>
      <c r="L2500" s="181">
        <v>0</v>
      </c>
      <c r="M2500" s="133">
        <v>5.2420375881978301E-2</v>
      </c>
      <c r="N2500" s="73">
        <v>-1272.2139999999999</v>
      </c>
      <c r="O2500" s="73">
        <v>-133.073774655173</v>
      </c>
      <c r="P2500" s="182">
        <v>6</v>
      </c>
      <c r="Q2500" s="182">
        <v>3000</v>
      </c>
      <c r="R2500" s="46">
        <v>6.798</v>
      </c>
      <c r="S2500" s="46">
        <v>0</v>
      </c>
      <c r="T2500" s="46">
        <v>0</v>
      </c>
      <c r="U2500" s="46">
        <v>0</v>
      </c>
      <c r="V2500" s="46" t="s">
        <v>62</v>
      </c>
      <c r="W2500" s="46">
        <v>3000</v>
      </c>
      <c r="X2500" s="46">
        <v>6.798</v>
      </c>
      <c r="AF2500" s="46">
        <v>39</v>
      </c>
      <c r="AG2500" s="46">
        <v>19500</v>
      </c>
      <c r="AH2500" s="46">
        <v>142169</v>
      </c>
      <c r="AI2500" s="46">
        <v>7.2910000000000004</v>
      </c>
      <c r="AJ2500" s="46">
        <v>39</v>
      </c>
      <c r="AK2500" s="46">
        <v>18200</v>
      </c>
      <c r="AL2500" s="46">
        <v>136881.78599999999</v>
      </c>
      <c r="AM2500" s="46">
        <v>7.5209999999999999</v>
      </c>
      <c r="AN2500" s="46" t="s">
        <v>63</v>
      </c>
      <c r="AO2500" s="46">
        <v>1300</v>
      </c>
      <c r="AP2500" s="46">
        <v>5287.2139999999999</v>
      </c>
      <c r="AQ2500" s="46">
        <v>4.0670000000000002</v>
      </c>
      <c r="AR2500" s="46">
        <v>4186</v>
      </c>
      <c r="AS2500" s="46">
        <v>45</v>
      </c>
      <c r="AT2500" s="46">
        <v>22500</v>
      </c>
      <c r="AU2500" s="46">
        <v>162594</v>
      </c>
      <c r="AV2500" s="46">
        <v>7.226</v>
      </c>
      <c r="AW2500" s="46">
        <v>39</v>
      </c>
      <c r="AX2500" s="46">
        <v>18200</v>
      </c>
      <c r="AY2500" s="46">
        <v>136881.78599999999</v>
      </c>
      <c r="AZ2500" s="46">
        <v>7.5209999999999999</v>
      </c>
      <c r="BA2500" s="46" t="s">
        <v>63</v>
      </c>
      <c r="BB2500" s="46">
        <v>4300</v>
      </c>
      <c r="BC2500" s="46">
        <v>25712.214</v>
      </c>
      <c r="BD2500" s="46">
        <v>5.98</v>
      </c>
      <c r="BE2500" s="46">
        <v>5369</v>
      </c>
      <c r="BF2500" s="46">
        <v>20425</v>
      </c>
      <c r="BG2500" s="46">
        <v>6.81</v>
      </c>
      <c r="BH2500" s="46">
        <v>0</v>
      </c>
      <c r="BJ2500">
        <v>20425</v>
      </c>
      <c r="BK2500">
        <v>6.81</v>
      </c>
      <c r="BL2500">
        <v>716.78</v>
      </c>
    </row>
    <row r="2501" spans="1:64" x14ac:dyDescent="0.25">
      <c r="A2501" s="136">
        <v>43172</v>
      </c>
      <c r="B2501" s="201" t="s">
        <v>67</v>
      </c>
      <c r="C2501" t="s">
        <v>129</v>
      </c>
      <c r="D2501">
        <v>100</v>
      </c>
      <c r="E2501">
        <v>100</v>
      </c>
      <c r="F2501">
        <v>-16.027999999999999</v>
      </c>
      <c r="G2501">
        <v>2577.8000000000002</v>
      </c>
      <c r="H2501">
        <v>0</v>
      </c>
      <c r="I2501" s="309">
        <v>975</v>
      </c>
      <c r="J2501">
        <v>9.75</v>
      </c>
      <c r="K2501" s="133">
        <v>1.9881483520003801E-3</v>
      </c>
      <c r="L2501" s="181">
        <v>-26</v>
      </c>
      <c r="M2501" s="133">
        <v>0</v>
      </c>
      <c r="N2501" s="73">
        <v>2581.5064999997599</v>
      </c>
      <c r="O2501" s="73">
        <v>263.01893442913098</v>
      </c>
      <c r="P2501" s="182">
        <v>0</v>
      </c>
      <c r="Q2501" s="182">
        <v>0</v>
      </c>
      <c r="R2501" s="46">
        <v>0</v>
      </c>
      <c r="S2501" s="46">
        <v>20</v>
      </c>
      <c r="T2501" s="46">
        <v>8000</v>
      </c>
      <c r="U2501" s="46">
        <v>8.891</v>
      </c>
      <c r="V2501" s="46" t="s">
        <v>68</v>
      </c>
      <c r="W2501" s="46">
        <v>8000</v>
      </c>
      <c r="X2501" s="46">
        <v>8.891</v>
      </c>
      <c r="AF2501" s="46">
        <v>174</v>
      </c>
      <c r="AG2501" s="46">
        <v>86400</v>
      </c>
      <c r="AH2501" s="46">
        <v>716375</v>
      </c>
      <c r="AI2501" s="46">
        <v>8.2910000000000004</v>
      </c>
      <c r="AJ2501" s="46">
        <v>177</v>
      </c>
      <c r="AK2501" s="46">
        <v>80900</v>
      </c>
      <c r="AL2501" s="46">
        <v>716150.74650000001</v>
      </c>
      <c r="AM2501" s="46">
        <v>8.8520000000000003</v>
      </c>
      <c r="AN2501" s="46" t="s">
        <v>63</v>
      </c>
      <c r="AO2501" s="46">
        <v>5500</v>
      </c>
      <c r="AP2501" s="46">
        <v>224.25299999999999</v>
      </c>
      <c r="AQ2501" s="46">
        <v>4.1000000000000002E-2</v>
      </c>
      <c r="AR2501" s="46">
        <v>45384.9</v>
      </c>
      <c r="AS2501" s="46">
        <v>174</v>
      </c>
      <c r="AT2501" s="46">
        <v>86400</v>
      </c>
      <c r="AU2501" s="46">
        <v>716375</v>
      </c>
      <c r="AV2501" s="46">
        <v>8.2910000000000004</v>
      </c>
      <c r="AW2501" s="46">
        <v>197</v>
      </c>
      <c r="AX2501" s="46">
        <v>88900</v>
      </c>
      <c r="AY2501" s="46">
        <v>787103.62250000006</v>
      </c>
      <c r="AZ2501" s="46">
        <v>8.8539999999999992</v>
      </c>
      <c r="BA2501" s="46" t="s">
        <v>69</v>
      </c>
      <c r="BB2501" s="46">
        <v>2500</v>
      </c>
      <c r="BC2501" s="46">
        <v>70728.623000000007</v>
      </c>
      <c r="BD2501" s="46">
        <v>28.291</v>
      </c>
      <c r="BE2501" s="46">
        <v>48643.199999999997</v>
      </c>
      <c r="BF2501" s="46">
        <v>0</v>
      </c>
      <c r="BH2501" s="46">
        <v>70952.876000000004</v>
      </c>
      <c r="BI2501">
        <v>8.8699999999999992</v>
      </c>
      <c r="BJ2501">
        <v>70504.37</v>
      </c>
      <c r="BK2501">
        <v>8.81</v>
      </c>
      <c r="BL2501">
        <v>4654.8599999999997</v>
      </c>
    </row>
    <row r="2502" spans="1:64" x14ac:dyDescent="0.25">
      <c r="A2502" s="136">
        <v>43172</v>
      </c>
      <c r="B2502" s="201" t="s">
        <v>78</v>
      </c>
      <c r="C2502" t="s">
        <v>142</v>
      </c>
      <c r="D2502">
        <v>100</v>
      </c>
      <c r="E2502">
        <v>100</v>
      </c>
      <c r="F2502">
        <v>-4.9039999999999999</v>
      </c>
      <c r="G2502">
        <v>1533.4</v>
      </c>
      <c r="H2502">
        <v>0</v>
      </c>
      <c r="I2502" s="309">
        <v>1043</v>
      </c>
      <c r="J2502">
        <v>10.43</v>
      </c>
      <c r="K2502" s="133">
        <v>2.12680895501169E-3</v>
      </c>
      <c r="L2502" s="181">
        <v>-37</v>
      </c>
      <c r="M2502" s="133">
        <v>0</v>
      </c>
      <c r="N2502" s="73">
        <v>1506.3910000000001</v>
      </c>
      <c r="O2502" s="73">
        <v>148.19269729330699</v>
      </c>
      <c r="P2502" s="182">
        <v>0</v>
      </c>
      <c r="Q2502" s="182">
        <v>0</v>
      </c>
      <c r="R2502" s="46">
        <v>0</v>
      </c>
      <c r="S2502" s="46">
        <v>3</v>
      </c>
      <c r="T2502" s="46">
        <v>1200</v>
      </c>
      <c r="U2502" s="46">
        <v>9.99</v>
      </c>
      <c r="V2502" s="46" t="s">
        <v>68</v>
      </c>
      <c r="W2502" s="46">
        <v>1200</v>
      </c>
      <c r="X2502" s="46">
        <v>9.99</v>
      </c>
      <c r="AF2502" s="46">
        <v>13</v>
      </c>
      <c r="AG2502" s="46">
        <v>6500</v>
      </c>
      <c r="AH2502" s="46">
        <v>62970</v>
      </c>
      <c r="AI2502" s="46">
        <v>9.6880000000000006</v>
      </c>
      <c r="AJ2502" s="46">
        <v>14</v>
      </c>
      <c r="AK2502" s="46">
        <v>5200</v>
      </c>
      <c r="AL2502" s="46">
        <v>51499.379000000001</v>
      </c>
      <c r="AM2502" s="46">
        <v>9.9039999999999999</v>
      </c>
      <c r="AN2502" s="46" t="s">
        <v>63</v>
      </c>
      <c r="AO2502" s="46">
        <v>1300</v>
      </c>
      <c r="AP2502" s="46">
        <v>11470.620999999999</v>
      </c>
      <c r="AQ2502" s="46">
        <v>8.8239999999999998</v>
      </c>
      <c r="AR2502" s="46">
        <v>1123.2</v>
      </c>
      <c r="AS2502" s="46">
        <v>13</v>
      </c>
      <c r="AT2502" s="46">
        <v>6500</v>
      </c>
      <c r="AU2502" s="46">
        <v>62970</v>
      </c>
      <c r="AV2502" s="46">
        <v>9.6880000000000006</v>
      </c>
      <c r="AW2502" s="46">
        <v>17</v>
      </c>
      <c r="AX2502" s="46">
        <v>6400</v>
      </c>
      <c r="AY2502" s="46">
        <v>63460.391000000003</v>
      </c>
      <c r="AZ2502" s="46">
        <v>9.9160000000000004</v>
      </c>
      <c r="BA2502" s="46" t="s">
        <v>63</v>
      </c>
      <c r="BB2502" s="46">
        <v>100</v>
      </c>
      <c r="BC2502" s="46">
        <v>490.39100000000002</v>
      </c>
      <c r="BD2502" s="46">
        <v>4.9039999999999999</v>
      </c>
      <c r="BE2502" s="46">
        <v>1459.2</v>
      </c>
      <c r="BF2502" s="46">
        <v>0</v>
      </c>
      <c r="BH2502" s="46">
        <v>11961.012000000001</v>
      </c>
      <c r="BI2502">
        <v>9.9700000000000006</v>
      </c>
      <c r="BJ2502">
        <v>-10980.23</v>
      </c>
      <c r="BK2502">
        <v>-9.15</v>
      </c>
      <c r="BL2502">
        <v>107.69</v>
      </c>
    </row>
    <row r="2503" spans="1:64" x14ac:dyDescent="0.25">
      <c r="A2503" s="136">
        <v>43172</v>
      </c>
      <c r="B2503" s="201" t="s">
        <v>72</v>
      </c>
      <c r="C2503" t="s">
        <v>130</v>
      </c>
      <c r="D2503">
        <v>2500</v>
      </c>
      <c r="E2503">
        <v>2500</v>
      </c>
      <c r="F2503">
        <v>6.9379999999999997</v>
      </c>
      <c r="G2503">
        <v>-294.27</v>
      </c>
      <c r="H2503">
        <v>-1.7</v>
      </c>
      <c r="I2503" s="309">
        <v>17050</v>
      </c>
      <c r="J2503">
        <v>6.82</v>
      </c>
      <c r="K2503" s="133">
        <v>3.4767107078570801E-2</v>
      </c>
      <c r="L2503" s="181">
        <v>216.28</v>
      </c>
      <c r="M2503" s="133">
        <v>3.53671608381022E-2</v>
      </c>
      <c r="N2503" s="73">
        <v>-565.97999999999502</v>
      </c>
      <c r="O2503" s="73">
        <v>-50.602627205879699</v>
      </c>
      <c r="P2503" s="182">
        <v>0</v>
      </c>
      <c r="Q2503" s="182">
        <v>0</v>
      </c>
      <c r="R2503" s="46">
        <v>0</v>
      </c>
      <c r="S2503" s="46">
        <v>13</v>
      </c>
      <c r="T2503" s="46">
        <v>5200</v>
      </c>
      <c r="U2503" s="46">
        <v>7.4219999999999997</v>
      </c>
      <c r="V2503" s="46" t="s">
        <v>68</v>
      </c>
      <c r="W2503" s="46">
        <v>5200</v>
      </c>
      <c r="X2503" s="46">
        <v>7.4219999999999997</v>
      </c>
      <c r="AF2503" s="46">
        <v>32</v>
      </c>
      <c r="AG2503" s="46">
        <v>15900</v>
      </c>
      <c r="AH2503" s="46">
        <v>121142</v>
      </c>
      <c r="AI2503" s="46">
        <v>7.6189999999999998</v>
      </c>
      <c r="AJ2503" s="46">
        <v>32</v>
      </c>
      <c r="AK2503" s="46">
        <v>14800</v>
      </c>
      <c r="AL2503" s="46">
        <v>66041.797000000006</v>
      </c>
      <c r="AM2503" s="46">
        <v>4.4619999999999997</v>
      </c>
      <c r="AN2503" s="46" t="s">
        <v>63</v>
      </c>
      <c r="AO2503" s="46">
        <v>1100</v>
      </c>
      <c r="AP2503" s="46">
        <v>55100.203000000001</v>
      </c>
      <c r="AQ2503" s="46">
        <v>50.091000000000001</v>
      </c>
      <c r="AR2503" s="46">
        <v>-46723.6</v>
      </c>
      <c r="AS2503" s="46">
        <v>32</v>
      </c>
      <c r="AT2503" s="46">
        <v>15900</v>
      </c>
      <c r="AU2503" s="46">
        <v>121142</v>
      </c>
      <c r="AV2503" s="46">
        <v>7.6189999999999998</v>
      </c>
      <c r="AW2503" s="46">
        <v>46</v>
      </c>
      <c r="AX2503" s="46">
        <v>20500</v>
      </c>
      <c r="AY2503" s="46">
        <v>104530.205</v>
      </c>
      <c r="AZ2503" s="46">
        <v>5.0990000000000002</v>
      </c>
      <c r="BA2503" s="46" t="s">
        <v>69</v>
      </c>
      <c r="BB2503" s="46">
        <v>4600</v>
      </c>
      <c r="BC2503" s="46">
        <v>16611.794999999998</v>
      </c>
      <c r="BD2503" s="46">
        <v>3.6110000000000002</v>
      </c>
      <c r="BE2503" s="46">
        <v>-40068</v>
      </c>
      <c r="BF2503" s="46">
        <v>0</v>
      </c>
      <c r="BH2503" s="46">
        <v>38488.408000000003</v>
      </c>
      <c r="BI2503">
        <v>7.4</v>
      </c>
      <c r="BJ2503">
        <v>-38488.408000000003</v>
      </c>
      <c r="BK2503">
        <v>-7.4</v>
      </c>
      <c r="BL2503">
        <v>-6850.97</v>
      </c>
    </row>
    <row r="2504" spans="1:64" x14ac:dyDescent="0.25">
      <c r="A2504" s="136">
        <v>43172</v>
      </c>
      <c r="B2504" s="201" t="s">
        <v>70</v>
      </c>
      <c r="C2504" t="s">
        <v>131</v>
      </c>
      <c r="D2504">
        <v>13100</v>
      </c>
      <c r="E2504">
        <v>13100</v>
      </c>
      <c r="F2504">
        <v>11.346</v>
      </c>
      <c r="G2504">
        <v>-30083.59</v>
      </c>
      <c r="H2504">
        <v>-20.239999999999998</v>
      </c>
      <c r="I2504" s="309">
        <v>118555</v>
      </c>
      <c r="J2504">
        <v>9.0500000000000007</v>
      </c>
      <c r="K2504" s="133">
        <v>0.241748643970672</v>
      </c>
      <c r="L2504" s="181">
        <v>1095.3599999999999</v>
      </c>
      <c r="M2504" s="133">
        <v>0.30309289000221601</v>
      </c>
      <c r="N2504" s="73">
        <v>-29296.5980000001</v>
      </c>
      <c r="O2504" s="73">
        <v>-3214.2645116355702</v>
      </c>
      <c r="P2504" s="182">
        <v>3</v>
      </c>
      <c r="Q2504" s="182">
        <v>1500</v>
      </c>
      <c r="R2504" s="46">
        <v>8.1530000000000005</v>
      </c>
      <c r="S2504" s="46">
        <v>1</v>
      </c>
      <c r="T2504" s="46">
        <v>400</v>
      </c>
      <c r="U2504" s="46">
        <v>9.11</v>
      </c>
      <c r="V2504" s="46" t="s">
        <v>62</v>
      </c>
      <c r="W2504" s="46">
        <v>1100</v>
      </c>
      <c r="X2504" s="46">
        <v>7.8049999999999997</v>
      </c>
      <c r="AF2504" s="46">
        <v>130</v>
      </c>
      <c r="AG2504" s="46">
        <v>66600</v>
      </c>
      <c r="AH2504" s="46">
        <v>877968</v>
      </c>
      <c r="AI2504" s="46">
        <v>13.183</v>
      </c>
      <c r="AJ2504" s="46">
        <v>136</v>
      </c>
      <c r="AK2504" s="46">
        <v>54600</v>
      </c>
      <c r="AL2504" s="46">
        <v>737535.04599999997</v>
      </c>
      <c r="AM2504" s="46">
        <v>13.507999999999999</v>
      </c>
      <c r="AN2504" s="46" t="s">
        <v>63</v>
      </c>
      <c r="AO2504" s="46">
        <v>12000</v>
      </c>
      <c r="AP2504" s="46">
        <v>140432.954</v>
      </c>
      <c r="AQ2504" s="46">
        <v>11.702999999999999</v>
      </c>
      <c r="AR2504" s="46">
        <v>17745</v>
      </c>
      <c r="AS2504" s="46">
        <v>133</v>
      </c>
      <c r="AT2504" s="46">
        <v>68100</v>
      </c>
      <c r="AU2504" s="46">
        <v>890213</v>
      </c>
      <c r="AV2504" s="46">
        <v>13.071999999999999</v>
      </c>
      <c r="AW2504" s="46">
        <v>138</v>
      </c>
      <c r="AX2504" s="46">
        <v>55000</v>
      </c>
      <c r="AY2504" s="46">
        <v>741575.402</v>
      </c>
      <c r="AZ2504" s="46">
        <v>13.483000000000001</v>
      </c>
      <c r="BA2504" s="46" t="s">
        <v>63</v>
      </c>
      <c r="BB2504" s="46">
        <v>13100</v>
      </c>
      <c r="BC2504" s="46">
        <v>148637.598</v>
      </c>
      <c r="BD2504" s="46">
        <v>11.346</v>
      </c>
      <c r="BE2504" s="46">
        <v>22605</v>
      </c>
      <c r="BF2504" s="46">
        <v>12245</v>
      </c>
      <c r="BG2504" s="46">
        <v>8.16</v>
      </c>
      <c r="BH2504" s="46">
        <v>4040.3560000000298</v>
      </c>
      <c r="BI2504">
        <v>10.1</v>
      </c>
      <c r="BJ2504">
        <v>8204.6440000000002</v>
      </c>
      <c r="BK2504">
        <v>7.46</v>
      </c>
      <c r="BL2504">
        <v>1960.77</v>
      </c>
    </row>
    <row r="2505" spans="1:64" x14ac:dyDescent="0.25">
      <c r="A2505" s="136">
        <v>43172</v>
      </c>
      <c r="B2505" s="201" t="s">
        <v>137</v>
      </c>
      <c r="C2505" t="s">
        <v>138</v>
      </c>
      <c r="D2505">
        <v>100</v>
      </c>
      <c r="E2505">
        <v>100</v>
      </c>
      <c r="F2505">
        <v>-130.48500000000001</v>
      </c>
      <c r="G2505">
        <v>16688.5</v>
      </c>
      <c r="H2505">
        <v>0</v>
      </c>
      <c r="I2505" s="309">
        <v>3640</v>
      </c>
      <c r="J2505">
        <v>36.4</v>
      </c>
      <c r="K2505" s="133">
        <v>7.4224205141347598E-3</v>
      </c>
      <c r="L2505" s="181">
        <v>-83</v>
      </c>
      <c r="M2505" s="133">
        <v>0</v>
      </c>
    </row>
    <row r="2506" spans="1:64" x14ac:dyDescent="0.25">
      <c r="A2506" s="136">
        <v>43172</v>
      </c>
      <c r="B2506" s="201" t="s">
        <v>835</v>
      </c>
      <c r="C2506" t="s">
        <v>839</v>
      </c>
      <c r="I2506" s="309">
        <v>10165.44</v>
      </c>
      <c r="K2506" s="133">
        <v>2.07286182393423E-2</v>
      </c>
      <c r="L2506" s="181">
        <v>0</v>
      </c>
      <c r="M2506" s="133">
        <v>0.26538428175214601</v>
      </c>
    </row>
    <row r="2507" spans="1:64" x14ac:dyDescent="0.25">
      <c r="A2507" s="136">
        <v>43173</v>
      </c>
      <c r="B2507" s="201" t="s">
        <v>132</v>
      </c>
      <c r="C2507" t="s">
        <v>123</v>
      </c>
      <c r="D2507">
        <v>12000219</v>
      </c>
      <c r="E2507">
        <v>12000219</v>
      </c>
      <c r="F2507">
        <v>0.01</v>
      </c>
      <c r="G2507">
        <v>3247.75</v>
      </c>
      <c r="H2507">
        <v>0</v>
      </c>
      <c r="I2507" s="309">
        <v>120002.19</v>
      </c>
      <c r="J2507">
        <v>0.01</v>
      </c>
      <c r="K2507" s="133">
        <v>0.24684310401760101</v>
      </c>
      <c r="L2507" s="181">
        <v>21.570000000000199</v>
      </c>
      <c r="M2507" s="133">
        <v>0</v>
      </c>
    </row>
    <row r="2508" spans="1:64" x14ac:dyDescent="0.25">
      <c r="A2508" s="136">
        <v>43173</v>
      </c>
      <c r="B2508" s="201" t="s">
        <v>61</v>
      </c>
      <c r="C2508" t="s">
        <v>136</v>
      </c>
      <c r="D2508">
        <v>2400</v>
      </c>
      <c r="E2508">
        <v>2400</v>
      </c>
      <c r="F2508">
        <v>5.2380000000000004</v>
      </c>
      <c r="G2508">
        <v>-595.95000000000005</v>
      </c>
      <c r="H2508">
        <v>-4.7300000000000004</v>
      </c>
      <c r="I2508" s="309">
        <v>11976</v>
      </c>
      <c r="J2508">
        <v>4.99</v>
      </c>
      <c r="K2508" s="133">
        <v>2.4634492201473901E-2</v>
      </c>
      <c r="L2508" s="181">
        <v>-72</v>
      </c>
      <c r="M2508" s="133">
        <v>2.5860354394816199E-2</v>
      </c>
      <c r="N2508" s="73">
        <v>-481.24099999999999</v>
      </c>
      <c r="O2508" s="73">
        <v>-95.436583234126999</v>
      </c>
      <c r="P2508" s="182">
        <v>3</v>
      </c>
      <c r="Q2508" s="182">
        <v>1500</v>
      </c>
      <c r="R2508" s="46">
        <v>5.327</v>
      </c>
      <c r="S2508" s="46">
        <v>0</v>
      </c>
      <c r="T2508" s="46">
        <v>0</v>
      </c>
      <c r="U2508" s="46">
        <v>0</v>
      </c>
      <c r="V2508" s="46" t="s">
        <v>62</v>
      </c>
      <c r="W2508" s="46">
        <v>1500</v>
      </c>
      <c r="X2508" s="46">
        <v>5.327</v>
      </c>
      <c r="AF2508" s="46">
        <v>10</v>
      </c>
      <c r="AG2508" s="46">
        <v>5000</v>
      </c>
      <c r="AH2508" s="46">
        <v>26378</v>
      </c>
      <c r="AI2508" s="46">
        <v>5.2759999999999998</v>
      </c>
      <c r="AJ2508" s="46">
        <v>10</v>
      </c>
      <c r="AK2508" s="46">
        <v>4100</v>
      </c>
      <c r="AL2508" s="46">
        <v>21806.659</v>
      </c>
      <c r="AM2508" s="46">
        <v>5.319</v>
      </c>
      <c r="AN2508" s="46" t="s">
        <v>63</v>
      </c>
      <c r="AO2508" s="46">
        <v>900</v>
      </c>
      <c r="AP2508" s="46">
        <v>4571.3410000000003</v>
      </c>
      <c r="AQ2508" s="46">
        <v>5.0789999999999997</v>
      </c>
      <c r="AR2508" s="46">
        <v>176.3</v>
      </c>
      <c r="AS2508" s="46">
        <v>13</v>
      </c>
      <c r="AT2508" s="46">
        <v>6500</v>
      </c>
      <c r="AU2508" s="46">
        <v>34383.9</v>
      </c>
      <c r="AV2508" s="46">
        <v>5.29</v>
      </c>
      <c r="AW2508" s="46">
        <v>10</v>
      </c>
      <c r="AX2508" s="46">
        <v>4100</v>
      </c>
      <c r="AY2508" s="46">
        <v>21806.659</v>
      </c>
      <c r="AZ2508" s="46">
        <v>5.319</v>
      </c>
      <c r="BA2508" s="46" t="s">
        <v>63</v>
      </c>
      <c r="BB2508" s="46">
        <v>2400</v>
      </c>
      <c r="BC2508" s="46">
        <v>12577.241</v>
      </c>
      <c r="BD2508" s="46">
        <v>5.2409999999999997</v>
      </c>
      <c r="BE2508" s="46">
        <v>118.9</v>
      </c>
      <c r="BF2508" s="46">
        <v>8005.9</v>
      </c>
      <c r="BG2508" s="46">
        <v>5.34</v>
      </c>
      <c r="BH2508" s="46">
        <v>0</v>
      </c>
      <c r="BJ2508">
        <v>8005.9</v>
      </c>
      <c r="BK2508">
        <v>5.34</v>
      </c>
      <c r="BL2508">
        <v>35.33</v>
      </c>
    </row>
    <row r="2509" spans="1:64" x14ac:dyDescent="0.25">
      <c r="A2509" s="136">
        <v>43173</v>
      </c>
      <c r="B2509" s="201" t="s">
        <v>124</v>
      </c>
      <c r="C2509" t="s">
        <v>125</v>
      </c>
      <c r="D2509">
        <v>100</v>
      </c>
      <c r="E2509">
        <v>100</v>
      </c>
      <c r="F2509">
        <v>-53.579000000000001</v>
      </c>
      <c r="G2509">
        <v>6001.9</v>
      </c>
      <c r="H2509">
        <v>0</v>
      </c>
      <c r="I2509" s="309">
        <v>644</v>
      </c>
      <c r="J2509">
        <v>6.44</v>
      </c>
      <c r="K2509" s="133">
        <v>1.32470048244399E-3</v>
      </c>
      <c r="L2509" s="181">
        <v>-6</v>
      </c>
      <c r="M2509" s="133">
        <v>0</v>
      </c>
    </row>
    <row r="2510" spans="1:64" x14ac:dyDescent="0.25">
      <c r="A2510" s="136">
        <v>43173</v>
      </c>
      <c r="B2510" s="201" t="s">
        <v>71</v>
      </c>
      <c r="C2510" t="s">
        <v>126</v>
      </c>
      <c r="D2510">
        <v>1100</v>
      </c>
      <c r="E2510">
        <v>1100</v>
      </c>
      <c r="F2510">
        <v>4.6100000000000003</v>
      </c>
      <c r="G2510">
        <v>2254.5</v>
      </c>
      <c r="H2510">
        <v>44.47</v>
      </c>
      <c r="I2510" s="309">
        <v>7326</v>
      </c>
      <c r="J2510">
        <v>6.66</v>
      </c>
      <c r="K2510" s="133">
        <v>1.50694964819637E-2</v>
      </c>
      <c r="L2510" s="181">
        <v>-66</v>
      </c>
      <c r="M2510" s="133">
        <v>1.0432016299246401E-2</v>
      </c>
      <c r="N2510" s="73">
        <v>-5077.2979999999998</v>
      </c>
      <c r="O2510" s="73">
        <v>340.50361511976001</v>
      </c>
      <c r="P2510" s="182">
        <v>0</v>
      </c>
      <c r="Q2510" s="182">
        <v>0</v>
      </c>
      <c r="R2510" s="46">
        <v>0</v>
      </c>
      <c r="S2510" s="46">
        <v>5</v>
      </c>
      <c r="T2510" s="46">
        <v>2000</v>
      </c>
      <c r="U2510" s="46">
        <v>6.625</v>
      </c>
      <c r="V2510" s="46" t="s">
        <v>68</v>
      </c>
      <c r="W2510" s="46">
        <v>2000</v>
      </c>
      <c r="X2510" s="46">
        <v>6.625</v>
      </c>
      <c r="AF2510" s="46">
        <v>43</v>
      </c>
      <c r="AG2510" s="46">
        <v>21600</v>
      </c>
      <c r="AH2510" s="46">
        <v>138103.96</v>
      </c>
      <c r="AI2510" s="46">
        <v>6.3940000000000001</v>
      </c>
      <c r="AJ2510" s="46">
        <v>41</v>
      </c>
      <c r="AK2510" s="46">
        <v>18500</v>
      </c>
      <c r="AL2510" s="46">
        <v>119652.91099999999</v>
      </c>
      <c r="AM2510" s="46">
        <v>6.468</v>
      </c>
      <c r="AN2510" s="46" t="s">
        <v>63</v>
      </c>
      <c r="AO2510" s="46">
        <v>3100</v>
      </c>
      <c r="AP2510" s="46">
        <v>18451.048999999999</v>
      </c>
      <c r="AQ2510" s="46">
        <v>5.952</v>
      </c>
      <c r="AR2510" s="46">
        <v>1369</v>
      </c>
      <c r="AS2510" s="46">
        <v>43</v>
      </c>
      <c r="AT2510" s="46">
        <v>21600</v>
      </c>
      <c r="AU2510" s="46">
        <v>138103.96</v>
      </c>
      <c r="AV2510" s="46">
        <v>6.3940000000000001</v>
      </c>
      <c r="AW2510" s="46">
        <v>46</v>
      </c>
      <c r="AX2510" s="46">
        <v>20500</v>
      </c>
      <c r="AY2510" s="46">
        <v>132870.462</v>
      </c>
      <c r="AZ2510" s="46">
        <v>6.4809999999999999</v>
      </c>
      <c r="BA2510" s="46" t="s">
        <v>63</v>
      </c>
      <c r="BB2510" s="46">
        <v>1100</v>
      </c>
      <c r="BC2510" s="46">
        <v>5233.4979999999996</v>
      </c>
      <c r="BD2510" s="46">
        <v>4.758</v>
      </c>
      <c r="BE2510" s="46">
        <v>1783.5</v>
      </c>
      <c r="BF2510" s="46">
        <v>0</v>
      </c>
      <c r="BH2510" s="46">
        <v>13217.550999999999</v>
      </c>
      <c r="BI2510">
        <v>6.61</v>
      </c>
      <c r="BJ2510">
        <v>-13217.550999999999</v>
      </c>
      <c r="BK2510">
        <v>-6.61</v>
      </c>
      <c r="BL2510">
        <v>205.56</v>
      </c>
    </row>
    <row r="2511" spans="1:64" x14ac:dyDescent="0.25">
      <c r="A2511" s="136">
        <v>43173</v>
      </c>
      <c r="B2511" s="201" t="s">
        <v>79</v>
      </c>
      <c r="C2511" t="s">
        <v>143</v>
      </c>
      <c r="D2511">
        <v>5000</v>
      </c>
      <c r="E2511">
        <v>5000</v>
      </c>
      <c r="F2511">
        <v>16.681000000000001</v>
      </c>
      <c r="G2511">
        <v>-10256.66</v>
      </c>
      <c r="H2511">
        <v>-12.29</v>
      </c>
      <c r="I2511" s="309">
        <v>73150</v>
      </c>
      <c r="J2511">
        <v>14.63</v>
      </c>
      <c r="K2511" s="133">
        <v>0.15046869610369201</v>
      </c>
      <c r="L2511" s="181">
        <v>-250</v>
      </c>
      <c r="M2511" s="133">
        <v>0.17156652599540601</v>
      </c>
      <c r="N2511" s="73">
        <v>-9660.3440000000792</v>
      </c>
      <c r="O2511" s="73">
        <v>-654.61110698305697</v>
      </c>
      <c r="P2511" s="182">
        <v>8</v>
      </c>
      <c r="Q2511" s="182">
        <v>4500</v>
      </c>
      <c r="R2511" s="46">
        <v>15.808</v>
      </c>
      <c r="S2511" s="46">
        <v>1</v>
      </c>
      <c r="T2511" s="46">
        <v>400</v>
      </c>
      <c r="U2511" s="46">
        <v>14.75</v>
      </c>
      <c r="V2511" s="46" t="s">
        <v>62</v>
      </c>
      <c r="W2511" s="46">
        <v>4100</v>
      </c>
      <c r="X2511" s="46">
        <v>15.911</v>
      </c>
      <c r="AF2511" s="46">
        <v>9</v>
      </c>
      <c r="AG2511" s="46">
        <v>4500</v>
      </c>
      <c r="AH2511" s="46">
        <v>73662.7</v>
      </c>
      <c r="AI2511" s="46">
        <v>16.369</v>
      </c>
      <c r="AJ2511" s="46">
        <v>9</v>
      </c>
      <c r="AK2511" s="46">
        <v>3600</v>
      </c>
      <c r="AL2511" s="46">
        <v>55541.196000000004</v>
      </c>
      <c r="AM2511" s="46">
        <v>15.428000000000001</v>
      </c>
      <c r="AN2511" s="46" t="s">
        <v>63</v>
      </c>
      <c r="AO2511" s="46">
        <v>900</v>
      </c>
      <c r="AP2511" s="46">
        <v>18121.504000000001</v>
      </c>
      <c r="AQ2511" s="46">
        <v>20.135000000000002</v>
      </c>
      <c r="AR2511" s="46">
        <v>-3387.6</v>
      </c>
      <c r="AS2511" s="46">
        <v>17</v>
      </c>
      <c r="AT2511" s="46">
        <v>9000</v>
      </c>
      <c r="AU2511" s="46">
        <v>144840.4</v>
      </c>
      <c r="AV2511" s="46">
        <v>16.093</v>
      </c>
      <c r="AW2511" s="46">
        <v>10</v>
      </c>
      <c r="AX2511" s="46">
        <v>4000</v>
      </c>
      <c r="AY2511" s="46">
        <v>61430.055999999997</v>
      </c>
      <c r="AZ2511" s="46">
        <v>15.358000000000001</v>
      </c>
      <c r="BA2511" s="46" t="s">
        <v>63</v>
      </c>
      <c r="BB2511" s="46">
        <v>5000</v>
      </c>
      <c r="BC2511" s="46">
        <v>83410.343999999997</v>
      </c>
      <c r="BD2511" s="46">
        <v>16.681999999999999</v>
      </c>
      <c r="BE2511" s="46">
        <v>-2940</v>
      </c>
      <c r="BF2511" s="46">
        <v>71177.7</v>
      </c>
      <c r="BG2511" s="46">
        <v>15.82</v>
      </c>
      <c r="BH2511" s="46">
        <v>5888.86</v>
      </c>
      <c r="BI2511">
        <v>14.72</v>
      </c>
      <c r="BJ2511">
        <v>65288.84</v>
      </c>
      <c r="BK2511">
        <v>15.92</v>
      </c>
      <c r="BL2511">
        <v>-231.55</v>
      </c>
    </row>
    <row r="2512" spans="1:64" x14ac:dyDescent="0.25">
      <c r="A2512" s="136">
        <v>43173</v>
      </c>
      <c r="B2512" s="201" t="s">
        <v>65</v>
      </c>
      <c r="C2512" t="s">
        <v>127</v>
      </c>
      <c r="D2512">
        <v>10200</v>
      </c>
      <c r="E2512">
        <v>10200</v>
      </c>
      <c r="F2512">
        <v>9.2349999999999994</v>
      </c>
      <c r="G2512">
        <v>10663.54</v>
      </c>
      <c r="H2512">
        <v>11.32</v>
      </c>
      <c r="I2512" s="309">
        <v>104856</v>
      </c>
      <c r="J2512">
        <v>10.28</v>
      </c>
      <c r="K2512" s="133">
        <v>0.215687567992464</v>
      </c>
      <c r="L2512" s="181">
        <v>-664</v>
      </c>
      <c r="M2512" s="133">
        <v>0.19375279069035101</v>
      </c>
      <c r="N2512" s="73">
        <v>5973.1209999999801</v>
      </c>
      <c r="O2512" s="73">
        <v>1000.93234011229</v>
      </c>
      <c r="P2512" s="182">
        <v>2</v>
      </c>
      <c r="Q2512" s="182">
        <v>1500</v>
      </c>
      <c r="R2512" s="46">
        <v>10.34</v>
      </c>
      <c r="S2512" s="46">
        <v>19</v>
      </c>
      <c r="T2512" s="46">
        <v>8000</v>
      </c>
      <c r="U2512" s="46">
        <v>11.868</v>
      </c>
      <c r="V2512" s="46" t="s">
        <v>68</v>
      </c>
      <c r="W2512" s="46">
        <v>6500</v>
      </c>
      <c r="X2512" s="46">
        <v>12.221</v>
      </c>
      <c r="AF2512" s="46">
        <v>167</v>
      </c>
      <c r="AG2512" s="46">
        <v>88700</v>
      </c>
      <c r="AH2512" s="46">
        <v>1030225.231</v>
      </c>
      <c r="AI2512" s="46">
        <v>11.615</v>
      </c>
      <c r="AJ2512" s="46">
        <v>187</v>
      </c>
      <c r="AK2512" s="46">
        <v>81200</v>
      </c>
      <c r="AL2512" s="46">
        <v>855960.29700000002</v>
      </c>
      <c r="AM2512" s="46">
        <v>10.541</v>
      </c>
      <c r="AN2512" s="46" t="s">
        <v>63</v>
      </c>
      <c r="AO2512" s="46">
        <v>7500</v>
      </c>
      <c r="AP2512" s="46">
        <v>174264.93400000001</v>
      </c>
      <c r="AQ2512" s="46">
        <v>23.234999999999999</v>
      </c>
      <c r="AR2512" s="46">
        <v>-87208.8</v>
      </c>
      <c r="AS2512" s="46">
        <v>170</v>
      </c>
      <c r="AT2512" s="46">
        <v>90300</v>
      </c>
      <c r="AU2512" s="46">
        <v>1047033.231</v>
      </c>
      <c r="AV2512" s="46">
        <v>11.595000000000001</v>
      </c>
      <c r="AW2512" s="46">
        <v>206</v>
      </c>
      <c r="AX2512" s="46">
        <v>89200</v>
      </c>
      <c r="AY2512" s="46">
        <v>950717.35</v>
      </c>
      <c r="AZ2512" s="46">
        <v>10.657999999999999</v>
      </c>
      <c r="BA2512" s="46" t="s">
        <v>63</v>
      </c>
      <c r="BB2512" s="46">
        <v>1100</v>
      </c>
      <c r="BC2512" s="46">
        <v>96315.880999999994</v>
      </c>
      <c r="BD2512" s="46">
        <v>87.56</v>
      </c>
      <c r="BE2512" s="46">
        <v>-83580.399999999994</v>
      </c>
      <c r="BF2512" s="46">
        <v>16808</v>
      </c>
      <c r="BG2512" s="46">
        <v>11.21</v>
      </c>
      <c r="BH2512" s="46">
        <v>94757.053</v>
      </c>
      <c r="BI2512">
        <v>11.84</v>
      </c>
      <c r="BJ2512">
        <v>-77949.053</v>
      </c>
      <c r="BK2512">
        <v>-11.99</v>
      </c>
      <c r="BL2512">
        <v>-8483.35</v>
      </c>
    </row>
    <row r="2513" spans="1:64" x14ac:dyDescent="0.25">
      <c r="A2513" s="136">
        <v>43173</v>
      </c>
      <c r="B2513" s="201" t="s">
        <v>77</v>
      </c>
      <c r="C2513" t="s">
        <v>128</v>
      </c>
      <c r="D2513">
        <v>4300</v>
      </c>
      <c r="E2513">
        <v>4300</v>
      </c>
      <c r="F2513">
        <v>5.9779999999999998</v>
      </c>
      <c r="G2513">
        <v>-595.27</v>
      </c>
      <c r="H2513">
        <v>-2.31</v>
      </c>
      <c r="I2513" s="309">
        <v>25112</v>
      </c>
      <c r="J2513">
        <v>5.84</v>
      </c>
      <c r="K2513" s="133">
        <v>5.1655090862008299E-2</v>
      </c>
      <c r="L2513" s="181">
        <v>0</v>
      </c>
      <c r="M2513" s="133">
        <v>5.2879554303288501E-2</v>
      </c>
      <c r="N2513" s="73">
        <v>-1272.2139999999999</v>
      </c>
      <c r="O2513" s="73">
        <v>-133.073774655173</v>
      </c>
      <c r="P2513" s="182">
        <v>6</v>
      </c>
      <c r="Q2513" s="182">
        <v>3000</v>
      </c>
      <c r="R2513" s="46">
        <v>6.798</v>
      </c>
      <c r="S2513" s="46">
        <v>0</v>
      </c>
      <c r="T2513" s="46">
        <v>0</v>
      </c>
      <c r="U2513" s="46">
        <v>0</v>
      </c>
      <c r="V2513" s="46" t="s">
        <v>62</v>
      </c>
      <c r="W2513" s="46">
        <v>3000</v>
      </c>
      <c r="X2513" s="46">
        <v>6.798</v>
      </c>
      <c r="AF2513" s="46">
        <v>39</v>
      </c>
      <c r="AG2513" s="46">
        <v>19500</v>
      </c>
      <c r="AH2513" s="46">
        <v>142169</v>
      </c>
      <c r="AI2513" s="46">
        <v>7.2910000000000004</v>
      </c>
      <c r="AJ2513" s="46">
        <v>39</v>
      </c>
      <c r="AK2513" s="46">
        <v>18200</v>
      </c>
      <c r="AL2513" s="46">
        <v>136881.78599999999</v>
      </c>
      <c r="AM2513" s="46">
        <v>7.5209999999999999</v>
      </c>
      <c r="AN2513" s="46" t="s">
        <v>63</v>
      </c>
      <c r="AO2513" s="46">
        <v>1300</v>
      </c>
      <c r="AP2513" s="46">
        <v>5287.2139999999999</v>
      </c>
      <c r="AQ2513" s="46">
        <v>4.0670000000000002</v>
      </c>
      <c r="AR2513" s="46">
        <v>4186</v>
      </c>
      <c r="AS2513" s="46">
        <v>45</v>
      </c>
      <c r="AT2513" s="46">
        <v>22500</v>
      </c>
      <c r="AU2513" s="46">
        <v>162594</v>
      </c>
      <c r="AV2513" s="46">
        <v>7.226</v>
      </c>
      <c r="AW2513" s="46">
        <v>39</v>
      </c>
      <c r="AX2513" s="46">
        <v>18200</v>
      </c>
      <c r="AY2513" s="46">
        <v>136881.78599999999</v>
      </c>
      <c r="AZ2513" s="46">
        <v>7.5209999999999999</v>
      </c>
      <c r="BA2513" s="46" t="s">
        <v>63</v>
      </c>
      <c r="BB2513" s="46">
        <v>4300</v>
      </c>
      <c r="BC2513" s="46">
        <v>25712.214</v>
      </c>
      <c r="BD2513" s="46">
        <v>5.98</v>
      </c>
      <c r="BE2513" s="46">
        <v>5369</v>
      </c>
      <c r="BF2513" s="46">
        <v>20425</v>
      </c>
      <c r="BG2513" s="46">
        <v>6.81</v>
      </c>
      <c r="BH2513" s="46">
        <v>0</v>
      </c>
      <c r="BJ2513">
        <v>20425</v>
      </c>
      <c r="BK2513">
        <v>6.81</v>
      </c>
      <c r="BL2513">
        <v>716.78</v>
      </c>
    </row>
    <row r="2514" spans="1:64" x14ac:dyDescent="0.25">
      <c r="A2514" s="136">
        <v>43173</v>
      </c>
      <c r="B2514" s="201" t="s">
        <v>67</v>
      </c>
      <c r="C2514" t="s">
        <v>129</v>
      </c>
      <c r="D2514">
        <v>100</v>
      </c>
      <c r="E2514">
        <v>100</v>
      </c>
      <c r="F2514">
        <v>-16.027999999999999</v>
      </c>
      <c r="G2514">
        <v>2576.8000000000002</v>
      </c>
      <c r="H2514">
        <v>0</v>
      </c>
      <c r="I2514" s="309">
        <v>974</v>
      </c>
      <c r="J2514">
        <v>9.74</v>
      </c>
      <c r="K2514" s="133">
        <v>2.00350663028019E-3</v>
      </c>
      <c r="L2514" s="181">
        <v>-1</v>
      </c>
      <c r="M2514" s="133">
        <v>0</v>
      </c>
      <c r="N2514" s="73">
        <v>2581.5064999997599</v>
      </c>
      <c r="O2514" s="73">
        <v>263.01893442913098</v>
      </c>
      <c r="P2514" s="182">
        <v>0</v>
      </c>
      <c r="Q2514" s="182">
        <v>0</v>
      </c>
      <c r="R2514" s="46">
        <v>0</v>
      </c>
      <c r="S2514" s="46">
        <v>20</v>
      </c>
      <c r="T2514" s="46">
        <v>8000</v>
      </c>
      <c r="U2514" s="46">
        <v>8.891</v>
      </c>
      <c r="V2514" s="46" t="s">
        <v>68</v>
      </c>
      <c r="W2514" s="46">
        <v>8000</v>
      </c>
      <c r="X2514" s="46">
        <v>8.891</v>
      </c>
      <c r="AF2514" s="46">
        <v>174</v>
      </c>
      <c r="AG2514" s="46">
        <v>86400</v>
      </c>
      <c r="AH2514" s="46">
        <v>716375</v>
      </c>
      <c r="AI2514" s="46">
        <v>8.2910000000000004</v>
      </c>
      <c r="AJ2514" s="46">
        <v>177</v>
      </c>
      <c r="AK2514" s="46">
        <v>80900</v>
      </c>
      <c r="AL2514" s="46">
        <v>716150.74650000001</v>
      </c>
      <c r="AM2514" s="46">
        <v>8.8520000000000003</v>
      </c>
      <c r="AN2514" s="46" t="s">
        <v>63</v>
      </c>
      <c r="AO2514" s="46">
        <v>5500</v>
      </c>
      <c r="AP2514" s="46">
        <v>224.25299999999999</v>
      </c>
      <c r="AQ2514" s="46">
        <v>4.1000000000000002E-2</v>
      </c>
      <c r="AR2514" s="46">
        <v>45384.9</v>
      </c>
      <c r="AS2514" s="46">
        <v>174</v>
      </c>
      <c r="AT2514" s="46">
        <v>86400</v>
      </c>
      <c r="AU2514" s="46">
        <v>716375</v>
      </c>
      <c r="AV2514" s="46">
        <v>8.2910000000000004</v>
      </c>
      <c r="AW2514" s="46">
        <v>197</v>
      </c>
      <c r="AX2514" s="46">
        <v>88900</v>
      </c>
      <c r="AY2514" s="46">
        <v>787103.62250000006</v>
      </c>
      <c r="AZ2514" s="46">
        <v>8.8539999999999992</v>
      </c>
      <c r="BA2514" s="46" t="s">
        <v>69</v>
      </c>
      <c r="BB2514" s="46">
        <v>2500</v>
      </c>
      <c r="BC2514" s="46">
        <v>70728.623000000007</v>
      </c>
      <c r="BD2514" s="46">
        <v>28.291</v>
      </c>
      <c r="BE2514" s="46">
        <v>48643.199999999997</v>
      </c>
      <c r="BF2514" s="46">
        <v>0</v>
      </c>
      <c r="BH2514" s="46">
        <v>70952.876000000004</v>
      </c>
      <c r="BI2514">
        <v>8.8699999999999992</v>
      </c>
      <c r="BJ2514">
        <v>70504.37</v>
      </c>
      <c r="BK2514">
        <v>8.81</v>
      </c>
      <c r="BL2514">
        <v>4659.6400000000003</v>
      </c>
    </row>
    <row r="2515" spans="1:64" x14ac:dyDescent="0.25">
      <c r="A2515" s="136">
        <v>43173</v>
      </c>
      <c r="B2515" s="201" t="s">
        <v>78</v>
      </c>
      <c r="C2515" t="s">
        <v>142</v>
      </c>
      <c r="D2515">
        <v>100</v>
      </c>
      <c r="E2515">
        <v>100</v>
      </c>
      <c r="F2515">
        <v>-4.9039999999999999</v>
      </c>
      <c r="G2515">
        <v>1543.4</v>
      </c>
      <c r="H2515">
        <v>0</v>
      </c>
      <c r="I2515" s="309">
        <v>1053</v>
      </c>
      <c r="J2515">
        <v>10.53</v>
      </c>
      <c r="K2515" s="133">
        <v>2.1660087080955198E-3</v>
      </c>
      <c r="L2515" s="181">
        <v>10</v>
      </c>
      <c r="M2515" s="133">
        <v>0</v>
      </c>
      <c r="N2515" s="73">
        <v>1506.3910000000001</v>
      </c>
      <c r="O2515" s="73">
        <v>148.19269729330699</v>
      </c>
      <c r="P2515" s="182">
        <v>0</v>
      </c>
      <c r="Q2515" s="182">
        <v>0</v>
      </c>
      <c r="R2515" s="46">
        <v>0</v>
      </c>
      <c r="S2515" s="46">
        <v>3</v>
      </c>
      <c r="T2515" s="46">
        <v>1200</v>
      </c>
      <c r="U2515" s="46">
        <v>9.99</v>
      </c>
      <c r="V2515" s="46" t="s">
        <v>68</v>
      </c>
      <c r="W2515" s="46">
        <v>1200</v>
      </c>
      <c r="X2515" s="46">
        <v>9.99</v>
      </c>
      <c r="AF2515" s="46">
        <v>13</v>
      </c>
      <c r="AG2515" s="46">
        <v>6500</v>
      </c>
      <c r="AH2515" s="46">
        <v>62970</v>
      </c>
      <c r="AI2515" s="46">
        <v>9.6880000000000006</v>
      </c>
      <c r="AJ2515" s="46">
        <v>14</v>
      </c>
      <c r="AK2515" s="46">
        <v>5200</v>
      </c>
      <c r="AL2515" s="46">
        <v>51499.379000000001</v>
      </c>
      <c r="AM2515" s="46">
        <v>9.9039999999999999</v>
      </c>
      <c r="AN2515" s="46" t="s">
        <v>63</v>
      </c>
      <c r="AO2515" s="46">
        <v>1300</v>
      </c>
      <c r="AP2515" s="46">
        <v>11470.620999999999</v>
      </c>
      <c r="AQ2515" s="46">
        <v>8.8239999999999998</v>
      </c>
      <c r="AR2515" s="46">
        <v>1123.2</v>
      </c>
      <c r="AS2515" s="46">
        <v>13</v>
      </c>
      <c r="AT2515" s="46">
        <v>6500</v>
      </c>
      <c r="AU2515" s="46">
        <v>62970</v>
      </c>
      <c r="AV2515" s="46">
        <v>9.6880000000000006</v>
      </c>
      <c r="AW2515" s="46">
        <v>17</v>
      </c>
      <c r="AX2515" s="46">
        <v>6400</v>
      </c>
      <c r="AY2515" s="46">
        <v>63460.391000000003</v>
      </c>
      <c r="AZ2515" s="46">
        <v>9.9160000000000004</v>
      </c>
      <c r="BA2515" s="46" t="s">
        <v>63</v>
      </c>
      <c r="BB2515" s="46">
        <v>100</v>
      </c>
      <c r="BC2515" s="46">
        <v>490.39100000000002</v>
      </c>
      <c r="BD2515" s="46">
        <v>4.9039999999999999</v>
      </c>
      <c r="BE2515" s="46">
        <v>1459.2</v>
      </c>
      <c r="BF2515" s="46">
        <v>0</v>
      </c>
      <c r="BH2515" s="46">
        <v>11961.012000000001</v>
      </c>
      <c r="BI2515">
        <v>9.9700000000000006</v>
      </c>
      <c r="BJ2515">
        <v>-10980.23</v>
      </c>
      <c r="BK2515">
        <v>-9.15</v>
      </c>
      <c r="BL2515">
        <v>106.67</v>
      </c>
    </row>
    <row r="2516" spans="1:64" x14ac:dyDescent="0.25">
      <c r="A2516" s="136">
        <v>43173</v>
      </c>
      <c r="B2516" s="201" t="s">
        <v>72</v>
      </c>
      <c r="C2516" t="s">
        <v>130</v>
      </c>
      <c r="D2516">
        <v>2500</v>
      </c>
      <c r="E2516">
        <v>2500</v>
      </c>
      <c r="F2516">
        <v>6.9379999999999997</v>
      </c>
      <c r="G2516">
        <v>-694.27</v>
      </c>
      <c r="H2516">
        <v>-4.01</v>
      </c>
      <c r="I2516" s="309">
        <v>16650</v>
      </c>
      <c r="J2516">
        <v>6.66</v>
      </c>
      <c r="K2516" s="133">
        <v>3.4248855640826602E-2</v>
      </c>
      <c r="L2516" s="181">
        <v>-400</v>
      </c>
      <c r="M2516" s="133">
        <v>3.5676960926457703E-2</v>
      </c>
      <c r="N2516" s="73">
        <v>-565.97999999999502</v>
      </c>
      <c r="O2516" s="73">
        <v>-50.602627205879699</v>
      </c>
      <c r="P2516" s="182">
        <v>0</v>
      </c>
      <c r="Q2516" s="182">
        <v>0</v>
      </c>
      <c r="R2516" s="46">
        <v>0</v>
      </c>
      <c r="S2516" s="46">
        <v>13</v>
      </c>
      <c r="T2516" s="46">
        <v>5200</v>
      </c>
      <c r="U2516" s="46">
        <v>7.4219999999999997</v>
      </c>
      <c r="V2516" s="46" t="s">
        <v>68</v>
      </c>
      <c r="W2516" s="46">
        <v>5200</v>
      </c>
      <c r="X2516" s="46">
        <v>7.4219999999999997</v>
      </c>
      <c r="AF2516" s="46">
        <v>32</v>
      </c>
      <c r="AG2516" s="46">
        <v>15900</v>
      </c>
      <c r="AH2516" s="46">
        <v>121142</v>
      </c>
      <c r="AI2516" s="46">
        <v>7.6189999999999998</v>
      </c>
      <c r="AJ2516" s="46">
        <v>32</v>
      </c>
      <c r="AK2516" s="46">
        <v>14800</v>
      </c>
      <c r="AL2516" s="46">
        <v>66041.797000000006</v>
      </c>
      <c r="AM2516" s="46">
        <v>4.4619999999999997</v>
      </c>
      <c r="AN2516" s="46" t="s">
        <v>63</v>
      </c>
      <c r="AO2516" s="46">
        <v>1100</v>
      </c>
      <c r="AP2516" s="46">
        <v>55100.203000000001</v>
      </c>
      <c r="AQ2516" s="46">
        <v>50.091000000000001</v>
      </c>
      <c r="AR2516" s="46">
        <v>-46723.6</v>
      </c>
      <c r="AS2516" s="46">
        <v>32</v>
      </c>
      <c r="AT2516" s="46">
        <v>15900</v>
      </c>
      <c r="AU2516" s="46">
        <v>121142</v>
      </c>
      <c r="AV2516" s="46">
        <v>7.6189999999999998</v>
      </c>
      <c r="AW2516" s="46">
        <v>46</v>
      </c>
      <c r="AX2516" s="46">
        <v>20500</v>
      </c>
      <c r="AY2516" s="46">
        <v>104530.205</v>
      </c>
      <c r="AZ2516" s="46">
        <v>5.0990000000000002</v>
      </c>
      <c r="BA2516" s="46" t="s">
        <v>69</v>
      </c>
      <c r="BB2516" s="46">
        <v>4600</v>
      </c>
      <c r="BC2516" s="46">
        <v>16611.794999999998</v>
      </c>
      <c r="BD2516" s="46">
        <v>3.6110000000000002</v>
      </c>
      <c r="BE2516" s="46">
        <v>-40068</v>
      </c>
      <c r="BF2516" s="46">
        <v>0</v>
      </c>
      <c r="BH2516" s="46">
        <v>38488.408000000003</v>
      </c>
      <c r="BI2516">
        <v>7.4</v>
      </c>
      <c r="BJ2516">
        <v>-38488.408000000003</v>
      </c>
      <c r="BK2516">
        <v>-7.4</v>
      </c>
      <c r="BL2516">
        <v>-7015.56</v>
      </c>
    </row>
    <row r="2517" spans="1:64" x14ac:dyDescent="0.25">
      <c r="A2517" s="136">
        <v>43173</v>
      </c>
      <c r="B2517" s="201" t="s">
        <v>70</v>
      </c>
      <c r="C2517" t="s">
        <v>131</v>
      </c>
      <c r="D2517">
        <v>13100</v>
      </c>
      <c r="E2517">
        <v>13100</v>
      </c>
      <c r="F2517">
        <v>11.346</v>
      </c>
      <c r="G2517">
        <v>-32834.589999999997</v>
      </c>
      <c r="H2517">
        <v>-22.09</v>
      </c>
      <c r="I2517" s="309">
        <v>115804</v>
      </c>
      <c r="J2517">
        <v>8.84</v>
      </c>
      <c r="K2517" s="133">
        <v>0.238207476194011</v>
      </c>
      <c r="L2517" s="181">
        <v>-2751</v>
      </c>
      <c r="M2517" s="133">
        <v>0.30574784453850001</v>
      </c>
      <c r="N2517" s="73">
        <v>-29296.5980000001</v>
      </c>
      <c r="O2517" s="73">
        <v>-3214.2645116355702</v>
      </c>
      <c r="P2517" s="182">
        <v>2</v>
      </c>
      <c r="Q2517" s="182">
        <v>1000</v>
      </c>
      <c r="R2517" s="46">
        <v>8.07</v>
      </c>
      <c r="S2517" s="46">
        <v>0</v>
      </c>
      <c r="T2517" s="46">
        <v>0</v>
      </c>
      <c r="U2517" s="46">
        <v>0</v>
      </c>
      <c r="V2517" s="46" t="s">
        <v>62</v>
      </c>
      <c r="W2517" s="46">
        <v>1000</v>
      </c>
      <c r="X2517" s="46">
        <v>8.07</v>
      </c>
      <c r="AF2517" s="46">
        <v>131</v>
      </c>
      <c r="AG2517" s="46">
        <v>67100</v>
      </c>
      <c r="AH2517" s="46">
        <v>882133</v>
      </c>
      <c r="AI2517" s="46">
        <v>13.147</v>
      </c>
      <c r="AJ2517" s="46">
        <v>137</v>
      </c>
      <c r="AK2517" s="46">
        <v>55000</v>
      </c>
      <c r="AL2517" s="46">
        <v>741170.402</v>
      </c>
      <c r="AM2517" s="46">
        <v>13.476000000000001</v>
      </c>
      <c r="AN2517" s="46" t="s">
        <v>63</v>
      </c>
      <c r="AO2517" s="46">
        <v>12100</v>
      </c>
      <c r="AP2517" s="46">
        <v>140962.598</v>
      </c>
      <c r="AQ2517" s="46">
        <v>11.65</v>
      </c>
      <c r="AR2517" s="46">
        <v>18095</v>
      </c>
      <c r="AS2517" s="46">
        <v>133</v>
      </c>
      <c r="AT2517" s="46">
        <v>68100</v>
      </c>
      <c r="AU2517" s="46">
        <v>890213</v>
      </c>
      <c r="AV2517" s="46">
        <v>13.071999999999999</v>
      </c>
      <c r="AW2517" s="46">
        <v>138</v>
      </c>
      <c r="AX2517" s="46">
        <v>55000</v>
      </c>
      <c r="AY2517" s="46">
        <v>741575.402</v>
      </c>
      <c r="AZ2517" s="46">
        <v>13.483000000000001</v>
      </c>
      <c r="BA2517" s="46" t="s">
        <v>63</v>
      </c>
      <c r="BB2517" s="46">
        <v>13100</v>
      </c>
      <c r="BC2517" s="46">
        <v>148637.598</v>
      </c>
      <c r="BD2517" s="46">
        <v>11.346</v>
      </c>
      <c r="BE2517" s="46">
        <v>22605</v>
      </c>
      <c r="BF2517" s="46">
        <v>8080</v>
      </c>
      <c r="BG2517" s="46">
        <v>8.08</v>
      </c>
      <c r="BH2517" s="46">
        <v>405</v>
      </c>
      <c r="BJ2517">
        <v>7675</v>
      </c>
      <c r="BK2517">
        <v>7.68</v>
      </c>
      <c r="BL2517">
        <v>2046.95</v>
      </c>
    </row>
    <row r="2518" spans="1:64" x14ac:dyDescent="0.25">
      <c r="A2518" s="136">
        <v>43173</v>
      </c>
      <c r="B2518" s="201" t="s">
        <v>137</v>
      </c>
      <c r="C2518" t="s">
        <v>138</v>
      </c>
      <c r="D2518">
        <v>100</v>
      </c>
      <c r="E2518">
        <v>100</v>
      </c>
      <c r="F2518">
        <v>-130.48500000000001</v>
      </c>
      <c r="G2518">
        <v>16608.5</v>
      </c>
      <c r="H2518">
        <v>0</v>
      </c>
      <c r="I2518" s="309">
        <v>3560</v>
      </c>
      <c r="J2518">
        <v>35.6</v>
      </c>
      <c r="K2518" s="133">
        <v>7.3228784433238903E-3</v>
      </c>
      <c r="L2518" s="181">
        <v>-80</v>
      </c>
      <c r="M2518" s="133">
        <v>0</v>
      </c>
    </row>
    <row r="2519" spans="1:64" x14ac:dyDescent="0.25">
      <c r="A2519" s="136">
        <v>43173</v>
      </c>
      <c r="B2519" s="201" t="s">
        <v>835</v>
      </c>
      <c r="C2519" t="s">
        <v>839</v>
      </c>
      <c r="I2519" s="309">
        <v>5040.4399999999996</v>
      </c>
      <c r="K2519" s="133">
        <v>1.03681262418167E-2</v>
      </c>
      <c r="L2519" s="181">
        <v>0</v>
      </c>
      <c r="M2519" s="133">
        <v>0.257211230259417</v>
      </c>
    </row>
    <row r="2520" spans="1:64" x14ac:dyDescent="0.25">
      <c r="A2520" s="136">
        <v>43174</v>
      </c>
      <c r="B2520" s="201" t="s">
        <v>132</v>
      </c>
      <c r="C2520" t="s">
        <v>123</v>
      </c>
      <c r="D2520">
        <v>11000219</v>
      </c>
      <c r="E2520">
        <v>11000219</v>
      </c>
      <c r="F2520">
        <v>0.01</v>
      </c>
      <c r="G2520">
        <v>3247.75</v>
      </c>
      <c r="H2520">
        <v>0</v>
      </c>
      <c r="I2520" s="309">
        <v>110002.19</v>
      </c>
      <c r="J2520">
        <v>0.01</v>
      </c>
      <c r="K2520" s="133">
        <v>0.229139899059218</v>
      </c>
      <c r="L2520" s="181">
        <v>0</v>
      </c>
      <c r="M2520" s="133">
        <v>0</v>
      </c>
    </row>
    <row r="2521" spans="1:64" x14ac:dyDescent="0.25">
      <c r="A2521" s="136">
        <v>43174</v>
      </c>
      <c r="B2521" s="201" t="s">
        <v>61</v>
      </c>
      <c r="C2521" t="s">
        <v>136</v>
      </c>
      <c r="D2521">
        <v>2400</v>
      </c>
      <c r="E2521">
        <v>2400</v>
      </c>
      <c r="F2521">
        <v>5.2380000000000004</v>
      </c>
      <c r="G2521">
        <v>-643.95000000000005</v>
      </c>
      <c r="H2521">
        <v>-5.12</v>
      </c>
      <c r="I2521" s="309">
        <v>11928</v>
      </c>
      <c r="J2521">
        <v>4.97</v>
      </c>
      <c r="K2521" s="133">
        <v>2.4846602744712201E-2</v>
      </c>
      <c r="L2521" s="181">
        <v>-48</v>
      </c>
      <c r="M2521" s="133">
        <v>2.6187981839066499E-2</v>
      </c>
      <c r="N2521" s="73">
        <v>-481.24099999999999</v>
      </c>
      <c r="O2521" s="73">
        <v>-95.436583234126999</v>
      </c>
      <c r="P2521" s="182">
        <v>3</v>
      </c>
      <c r="Q2521" s="182">
        <v>1500</v>
      </c>
      <c r="R2521" s="46">
        <v>5.327</v>
      </c>
      <c r="S2521" s="46">
        <v>0</v>
      </c>
      <c r="T2521" s="46">
        <v>0</v>
      </c>
      <c r="U2521" s="46">
        <v>0</v>
      </c>
      <c r="V2521" s="46" t="s">
        <v>62</v>
      </c>
      <c r="W2521" s="46">
        <v>1500</v>
      </c>
      <c r="X2521" s="46">
        <v>5.327</v>
      </c>
      <c r="AF2521" s="46">
        <v>10</v>
      </c>
      <c r="AG2521" s="46">
        <v>5000</v>
      </c>
      <c r="AH2521" s="46">
        <v>26378</v>
      </c>
      <c r="AI2521" s="46">
        <v>5.2759999999999998</v>
      </c>
      <c r="AJ2521" s="46">
        <v>10</v>
      </c>
      <c r="AK2521" s="46">
        <v>4100</v>
      </c>
      <c r="AL2521" s="46">
        <v>21806.659</v>
      </c>
      <c r="AM2521" s="46">
        <v>5.319</v>
      </c>
      <c r="AN2521" s="46" t="s">
        <v>63</v>
      </c>
      <c r="AO2521" s="46">
        <v>900</v>
      </c>
      <c r="AP2521" s="46">
        <v>4571.3410000000003</v>
      </c>
      <c r="AQ2521" s="46">
        <v>5.0789999999999997</v>
      </c>
      <c r="AR2521" s="46">
        <v>176.3</v>
      </c>
      <c r="AS2521" s="46">
        <v>13</v>
      </c>
      <c r="AT2521" s="46">
        <v>6500</v>
      </c>
      <c r="AU2521" s="46">
        <v>34383.9</v>
      </c>
      <c r="AV2521" s="46">
        <v>5.29</v>
      </c>
      <c r="AW2521" s="46">
        <v>10</v>
      </c>
      <c r="AX2521" s="46">
        <v>4100</v>
      </c>
      <c r="AY2521" s="46">
        <v>21806.659</v>
      </c>
      <c r="AZ2521" s="46">
        <v>5.319</v>
      </c>
      <c r="BA2521" s="46" t="s">
        <v>63</v>
      </c>
      <c r="BB2521" s="46">
        <v>2400</v>
      </c>
      <c r="BC2521" s="46">
        <v>12577.241</v>
      </c>
      <c r="BD2521" s="46">
        <v>5.2409999999999997</v>
      </c>
      <c r="BE2521" s="46">
        <v>118.9</v>
      </c>
      <c r="BF2521" s="46">
        <v>8005.9</v>
      </c>
      <c r="BG2521" s="46">
        <v>5.34</v>
      </c>
      <c r="BH2521" s="46">
        <v>0</v>
      </c>
      <c r="BJ2521">
        <v>8005.9</v>
      </c>
      <c r="BK2521">
        <v>5.34</v>
      </c>
      <c r="BL2521">
        <v>35.47</v>
      </c>
    </row>
    <row r="2522" spans="1:64" x14ac:dyDescent="0.25">
      <c r="A2522" s="136">
        <v>43174</v>
      </c>
      <c r="B2522" s="201" t="s">
        <v>124</v>
      </c>
      <c r="C2522" t="s">
        <v>125</v>
      </c>
      <c r="D2522">
        <v>100</v>
      </c>
      <c r="E2522">
        <v>100</v>
      </c>
      <c r="F2522">
        <v>-53.579000000000001</v>
      </c>
      <c r="G2522">
        <v>6002.9</v>
      </c>
      <c r="H2522">
        <v>0</v>
      </c>
      <c r="I2522" s="309">
        <v>645</v>
      </c>
      <c r="J2522">
        <v>6.45</v>
      </c>
      <c r="K2522" s="133">
        <v>1.34356629530008E-3</v>
      </c>
      <c r="L2522" s="181">
        <v>1</v>
      </c>
      <c r="M2522" s="133">
        <v>0</v>
      </c>
    </row>
    <row r="2523" spans="1:64" x14ac:dyDescent="0.25">
      <c r="A2523" s="136">
        <v>43174</v>
      </c>
      <c r="B2523" s="201" t="s">
        <v>71</v>
      </c>
      <c r="C2523" t="s">
        <v>126</v>
      </c>
      <c r="D2523">
        <v>1100</v>
      </c>
      <c r="E2523">
        <v>1100</v>
      </c>
      <c r="F2523">
        <v>4.6100000000000003</v>
      </c>
      <c r="G2523">
        <v>2221.5</v>
      </c>
      <c r="H2523">
        <v>43.82</v>
      </c>
      <c r="I2523" s="309">
        <v>7293</v>
      </c>
      <c r="J2523">
        <v>6.63</v>
      </c>
      <c r="K2523" s="133">
        <v>1.5191672855230201E-2</v>
      </c>
      <c r="L2523" s="181">
        <v>-33</v>
      </c>
      <c r="M2523" s="133">
        <v>1.05641805683944E-2</v>
      </c>
      <c r="N2523" s="73">
        <v>-5077.2979999999998</v>
      </c>
      <c r="O2523" s="73">
        <v>340.50361511976001</v>
      </c>
      <c r="P2523" s="182">
        <v>0</v>
      </c>
      <c r="Q2523" s="182">
        <v>0</v>
      </c>
      <c r="R2523" s="46">
        <v>0</v>
      </c>
      <c r="S2523" s="46">
        <v>5</v>
      </c>
      <c r="T2523" s="46">
        <v>2000</v>
      </c>
      <c r="U2523" s="46">
        <v>6.625</v>
      </c>
      <c r="V2523" s="46" t="s">
        <v>68</v>
      </c>
      <c r="W2523" s="46">
        <v>2000</v>
      </c>
      <c r="X2523" s="46">
        <v>6.625</v>
      </c>
      <c r="AF2523" s="46">
        <v>43</v>
      </c>
      <c r="AG2523" s="46">
        <v>21600</v>
      </c>
      <c r="AH2523" s="46">
        <v>138103.96</v>
      </c>
      <c r="AI2523" s="46">
        <v>6.3940000000000001</v>
      </c>
      <c r="AJ2523" s="46">
        <v>41</v>
      </c>
      <c r="AK2523" s="46">
        <v>18500</v>
      </c>
      <c r="AL2523" s="46">
        <v>119652.91099999999</v>
      </c>
      <c r="AM2523" s="46">
        <v>6.468</v>
      </c>
      <c r="AN2523" s="46" t="s">
        <v>63</v>
      </c>
      <c r="AO2523" s="46">
        <v>3100</v>
      </c>
      <c r="AP2523" s="46">
        <v>18451.048999999999</v>
      </c>
      <c r="AQ2523" s="46">
        <v>5.952</v>
      </c>
      <c r="AR2523" s="46">
        <v>1369</v>
      </c>
      <c r="AS2523" s="46">
        <v>43</v>
      </c>
      <c r="AT2523" s="46">
        <v>21600</v>
      </c>
      <c r="AU2523" s="46">
        <v>138103.96</v>
      </c>
      <c r="AV2523" s="46">
        <v>6.3940000000000001</v>
      </c>
      <c r="AW2523" s="46">
        <v>46</v>
      </c>
      <c r="AX2523" s="46">
        <v>20500</v>
      </c>
      <c r="AY2523" s="46">
        <v>132870.462</v>
      </c>
      <c r="AZ2523" s="46">
        <v>6.4809999999999999</v>
      </c>
      <c r="BA2523" s="46" t="s">
        <v>63</v>
      </c>
      <c r="BB2523" s="46">
        <v>1100</v>
      </c>
      <c r="BC2523" s="46">
        <v>5233.4979999999996</v>
      </c>
      <c r="BD2523" s="46">
        <v>4.758</v>
      </c>
      <c r="BE2523" s="46">
        <v>1783.5</v>
      </c>
      <c r="BF2523" s="46">
        <v>0</v>
      </c>
      <c r="BH2523" s="46">
        <v>13217.550999999999</v>
      </c>
      <c r="BI2523">
        <v>6.61</v>
      </c>
      <c r="BJ2523">
        <v>-13217.550999999999</v>
      </c>
      <c r="BK2523">
        <v>-6.61</v>
      </c>
      <c r="BL2523">
        <v>206.49</v>
      </c>
    </row>
    <row r="2524" spans="1:64" x14ac:dyDescent="0.25">
      <c r="A2524" s="136">
        <v>43174</v>
      </c>
      <c r="B2524" s="201" t="s">
        <v>79</v>
      </c>
      <c r="C2524" t="s">
        <v>143</v>
      </c>
      <c r="D2524">
        <v>5000</v>
      </c>
      <c r="E2524">
        <v>5000</v>
      </c>
      <c r="F2524">
        <v>16.681000000000001</v>
      </c>
      <c r="G2524">
        <v>-11156.66</v>
      </c>
      <c r="H2524">
        <v>-13.37</v>
      </c>
      <c r="I2524" s="309">
        <v>72250</v>
      </c>
      <c r="J2524">
        <v>14.45</v>
      </c>
      <c r="K2524" s="133">
        <v>0.150500255558808</v>
      </c>
      <c r="L2524" s="181">
        <v>-900</v>
      </c>
      <c r="M2524" s="133">
        <v>0.173740119658223</v>
      </c>
      <c r="N2524" s="73">
        <v>-9660.3440000000792</v>
      </c>
      <c r="O2524" s="73">
        <v>-654.61110698305697</v>
      </c>
      <c r="P2524" s="182">
        <v>7</v>
      </c>
      <c r="Q2524" s="182">
        <v>4000</v>
      </c>
      <c r="R2524" s="46">
        <v>15.666</v>
      </c>
      <c r="S2524" s="46">
        <v>0</v>
      </c>
      <c r="T2524" s="46">
        <v>0</v>
      </c>
      <c r="U2524" s="46">
        <v>0</v>
      </c>
      <c r="V2524" s="46" t="s">
        <v>62</v>
      </c>
      <c r="W2524" s="46">
        <v>4000</v>
      </c>
      <c r="X2524" s="46">
        <v>15.666</v>
      </c>
      <c r="AF2524" s="46">
        <v>10</v>
      </c>
      <c r="AG2524" s="46">
        <v>5000</v>
      </c>
      <c r="AH2524" s="46">
        <v>82138</v>
      </c>
      <c r="AI2524" s="46">
        <v>16.428000000000001</v>
      </c>
      <c r="AJ2524" s="46">
        <v>10</v>
      </c>
      <c r="AK2524" s="46">
        <v>4000</v>
      </c>
      <c r="AL2524" s="46">
        <v>61430.055999999997</v>
      </c>
      <c r="AM2524" s="46">
        <v>15.358000000000001</v>
      </c>
      <c r="AN2524" s="46" t="s">
        <v>63</v>
      </c>
      <c r="AO2524" s="46">
        <v>1000</v>
      </c>
      <c r="AP2524" s="46">
        <v>20707.944</v>
      </c>
      <c r="AQ2524" s="46">
        <v>20.707999999999998</v>
      </c>
      <c r="AR2524" s="46">
        <v>-4280</v>
      </c>
      <c r="AS2524" s="46">
        <v>17</v>
      </c>
      <c r="AT2524" s="46">
        <v>9000</v>
      </c>
      <c r="AU2524" s="46">
        <v>144840.4</v>
      </c>
      <c r="AV2524" s="46">
        <v>16.093</v>
      </c>
      <c r="AW2524" s="46">
        <v>10</v>
      </c>
      <c r="AX2524" s="46">
        <v>4000</v>
      </c>
      <c r="AY2524" s="46">
        <v>61430.055999999997</v>
      </c>
      <c r="AZ2524" s="46">
        <v>15.358000000000001</v>
      </c>
      <c r="BA2524" s="46" t="s">
        <v>63</v>
      </c>
      <c r="BB2524" s="46">
        <v>5000</v>
      </c>
      <c r="BC2524" s="46">
        <v>83410.343999999997</v>
      </c>
      <c r="BD2524" s="46">
        <v>16.681999999999999</v>
      </c>
      <c r="BE2524" s="46">
        <v>-2940</v>
      </c>
      <c r="BF2524" s="46">
        <v>62702.400000000001</v>
      </c>
      <c r="BG2524" s="46">
        <v>15.68</v>
      </c>
      <c r="BH2524" s="46">
        <v>0</v>
      </c>
      <c r="BJ2524">
        <v>62702.400000000001</v>
      </c>
      <c r="BK2524">
        <v>15.68</v>
      </c>
      <c r="BL2524">
        <v>-296.19</v>
      </c>
    </row>
    <row r="2525" spans="1:64" x14ac:dyDescent="0.25">
      <c r="A2525" s="136">
        <v>43174</v>
      </c>
      <c r="B2525" s="201" t="s">
        <v>65</v>
      </c>
      <c r="C2525" t="s">
        <v>127</v>
      </c>
      <c r="D2525">
        <v>10700</v>
      </c>
      <c r="E2525">
        <v>10200</v>
      </c>
      <c r="F2525">
        <v>9.2799999999999994</v>
      </c>
      <c r="G2525">
        <v>9098.5400000000009</v>
      </c>
      <c r="H2525">
        <v>9.16</v>
      </c>
      <c r="I2525" s="309">
        <v>108391</v>
      </c>
      <c r="J2525">
        <v>10.130000000000001</v>
      </c>
      <c r="K2525" s="133">
        <v>0.22578371211452899</v>
      </c>
      <c r="L2525" s="181">
        <v>-1565</v>
      </c>
      <c r="M2525" s="133">
        <v>0.20683101183477801</v>
      </c>
      <c r="N2525" s="73">
        <v>5458.1209999999801</v>
      </c>
      <c r="O2525" s="73">
        <v>955.32921126102497</v>
      </c>
      <c r="P2525" s="182">
        <v>1</v>
      </c>
      <c r="Q2525" s="182">
        <v>500</v>
      </c>
      <c r="R2525" s="46">
        <v>10.19</v>
      </c>
      <c r="S2525" s="46">
        <v>16</v>
      </c>
      <c r="T2525" s="46">
        <v>6800</v>
      </c>
      <c r="U2525" s="46">
        <v>12.048</v>
      </c>
      <c r="V2525" s="46" t="s">
        <v>68</v>
      </c>
      <c r="W2525" s="46">
        <v>6300</v>
      </c>
      <c r="X2525" s="46">
        <v>12.195</v>
      </c>
      <c r="AF2525" s="46">
        <v>169</v>
      </c>
      <c r="AG2525" s="46">
        <v>90200</v>
      </c>
      <c r="AH2525" s="46">
        <v>1045745.231</v>
      </c>
      <c r="AI2525" s="46">
        <v>11.593999999999999</v>
      </c>
      <c r="AJ2525" s="46">
        <v>190</v>
      </c>
      <c r="AK2525" s="46">
        <v>82400</v>
      </c>
      <c r="AL2525" s="46">
        <v>868952.277</v>
      </c>
      <c r="AM2525" s="46">
        <v>10.545999999999999</v>
      </c>
      <c r="AN2525" s="46" t="s">
        <v>63</v>
      </c>
      <c r="AO2525" s="46">
        <v>7800</v>
      </c>
      <c r="AP2525" s="46">
        <v>176792.954</v>
      </c>
      <c r="AQ2525" s="46">
        <v>22.666</v>
      </c>
      <c r="AR2525" s="46">
        <v>-86355.199999999997</v>
      </c>
      <c r="AS2525" s="46">
        <v>171</v>
      </c>
      <c r="AT2525" s="46">
        <v>90800</v>
      </c>
      <c r="AU2525" s="46">
        <v>1052133.2309999999</v>
      </c>
      <c r="AV2525" s="46">
        <v>11.587</v>
      </c>
      <c r="AW2525" s="46">
        <v>206</v>
      </c>
      <c r="AX2525" s="46">
        <v>89200</v>
      </c>
      <c r="AY2525" s="46">
        <v>950717.35</v>
      </c>
      <c r="AZ2525" s="46">
        <v>10.657999999999999</v>
      </c>
      <c r="BA2525" s="46" t="s">
        <v>63</v>
      </c>
      <c r="BB2525" s="46">
        <v>1600</v>
      </c>
      <c r="BC2525" s="46">
        <v>101415.88099999999</v>
      </c>
      <c r="BD2525" s="46">
        <v>63.384999999999998</v>
      </c>
      <c r="BE2525" s="46">
        <v>-82866.8</v>
      </c>
      <c r="BF2525" s="46">
        <v>6388.0000000001201</v>
      </c>
      <c r="BG2525" s="46">
        <v>12.78</v>
      </c>
      <c r="BH2525" s="46">
        <v>81765.072999999902</v>
      </c>
      <c r="BI2525">
        <v>12.02</v>
      </c>
      <c r="BJ2525">
        <v>-75377.073000000004</v>
      </c>
      <c r="BK2525">
        <v>-11.96</v>
      </c>
      <c r="BL2525">
        <v>-8524.7000000000007</v>
      </c>
    </row>
    <row r="2526" spans="1:64" x14ac:dyDescent="0.25">
      <c r="A2526" s="136">
        <v>43174</v>
      </c>
      <c r="B2526" s="201" t="s">
        <v>77</v>
      </c>
      <c r="C2526" t="s">
        <v>128</v>
      </c>
      <c r="D2526">
        <v>4300</v>
      </c>
      <c r="E2526">
        <v>4300</v>
      </c>
      <c r="F2526">
        <v>5.9779999999999998</v>
      </c>
      <c r="G2526">
        <v>-595.27</v>
      </c>
      <c r="H2526">
        <v>-2.31</v>
      </c>
      <c r="I2526" s="309">
        <v>25112</v>
      </c>
      <c r="J2526">
        <v>5.84</v>
      </c>
      <c r="K2526" s="133">
        <v>5.2309514430349903E-2</v>
      </c>
      <c r="L2526" s="181">
        <v>0</v>
      </c>
      <c r="M2526" s="133">
        <v>5.3549490722758102E-2</v>
      </c>
      <c r="N2526" s="73">
        <v>-1272.2139999999999</v>
      </c>
      <c r="O2526" s="73">
        <v>-133.073774655173</v>
      </c>
      <c r="P2526" s="182">
        <v>6</v>
      </c>
      <c r="Q2526" s="182">
        <v>3000</v>
      </c>
      <c r="R2526" s="46">
        <v>6.798</v>
      </c>
      <c r="S2526" s="46">
        <v>0</v>
      </c>
      <c r="T2526" s="46">
        <v>0</v>
      </c>
      <c r="U2526" s="46">
        <v>0</v>
      </c>
      <c r="V2526" s="46" t="s">
        <v>62</v>
      </c>
      <c r="W2526" s="46">
        <v>3000</v>
      </c>
      <c r="X2526" s="46">
        <v>6.798</v>
      </c>
      <c r="AF2526" s="46">
        <v>39</v>
      </c>
      <c r="AG2526" s="46">
        <v>19500</v>
      </c>
      <c r="AH2526" s="46">
        <v>142169</v>
      </c>
      <c r="AI2526" s="46">
        <v>7.2910000000000004</v>
      </c>
      <c r="AJ2526" s="46">
        <v>39</v>
      </c>
      <c r="AK2526" s="46">
        <v>18200</v>
      </c>
      <c r="AL2526" s="46">
        <v>136881.78599999999</v>
      </c>
      <c r="AM2526" s="46">
        <v>7.5209999999999999</v>
      </c>
      <c r="AN2526" s="46" t="s">
        <v>63</v>
      </c>
      <c r="AO2526" s="46">
        <v>1300</v>
      </c>
      <c r="AP2526" s="46">
        <v>5287.2139999999999</v>
      </c>
      <c r="AQ2526" s="46">
        <v>4.0670000000000002</v>
      </c>
      <c r="AR2526" s="46">
        <v>4186</v>
      </c>
      <c r="AS2526" s="46">
        <v>45</v>
      </c>
      <c r="AT2526" s="46">
        <v>22500</v>
      </c>
      <c r="AU2526" s="46">
        <v>162594</v>
      </c>
      <c r="AV2526" s="46">
        <v>7.226</v>
      </c>
      <c r="AW2526" s="46">
        <v>39</v>
      </c>
      <c r="AX2526" s="46">
        <v>18200</v>
      </c>
      <c r="AY2526" s="46">
        <v>136881.78599999999</v>
      </c>
      <c r="AZ2526" s="46">
        <v>7.5209999999999999</v>
      </c>
      <c r="BA2526" s="46" t="s">
        <v>63</v>
      </c>
      <c r="BB2526" s="46">
        <v>4300</v>
      </c>
      <c r="BC2526" s="46">
        <v>25712.214</v>
      </c>
      <c r="BD2526" s="46">
        <v>5.98</v>
      </c>
      <c r="BE2526" s="46">
        <v>5369</v>
      </c>
      <c r="BF2526" s="46">
        <v>20425</v>
      </c>
      <c r="BG2526" s="46">
        <v>6.81</v>
      </c>
      <c r="BH2526" s="46">
        <v>0</v>
      </c>
      <c r="BJ2526">
        <v>20425</v>
      </c>
      <c r="BK2526">
        <v>6.81</v>
      </c>
      <c r="BL2526">
        <v>716.78</v>
      </c>
    </row>
    <row r="2527" spans="1:64" x14ac:dyDescent="0.25">
      <c r="A2527" s="136">
        <v>43174</v>
      </c>
      <c r="B2527" s="201" t="s">
        <v>67</v>
      </c>
      <c r="C2527" t="s">
        <v>129</v>
      </c>
      <c r="D2527">
        <v>100</v>
      </c>
      <c r="E2527">
        <v>100</v>
      </c>
      <c r="F2527">
        <v>-16.027999999999999</v>
      </c>
      <c r="G2527">
        <v>2561.8000000000002</v>
      </c>
      <c r="H2527">
        <v>0</v>
      </c>
      <c r="I2527" s="309">
        <v>959</v>
      </c>
      <c r="J2527">
        <v>9.59</v>
      </c>
      <c r="K2527" s="133">
        <v>1.9976435305314399E-3</v>
      </c>
      <c r="L2527" s="181">
        <v>-15</v>
      </c>
      <c r="M2527" s="133">
        <v>0</v>
      </c>
      <c r="N2527" s="73">
        <v>2581.5064999997599</v>
      </c>
      <c r="O2527" s="73">
        <v>263.01893442913098</v>
      </c>
      <c r="P2527" s="182">
        <v>0</v>
      </c>
      <c r="Q2527" s="182">
        <v>0</v>
      </c>
      <c r="R2527" s="46">
        <v>0</v>
      </c>
      <c r="S2527" s="46">
        <v>20</v>
      </c>
      <c r="T2527" s="46">
        <v>8000</v>
      </c>
      <c r="U2527" s="46">
        <v>8.891</v>
      </c>
      <c r="V2527" s="46" t="s">
        <v>68</v>
      </c>
      <c r="W2527" s="46">
        <v>8000</v>
      </c>
      <c r="X2527" s="46">
        <v>8.891</v>
      </c>
      <c r="AF2527" s="46">
        <v>174</v>
      </c>
      <c r="AG2527" s="46">
        <v>86400</v>
      </c>
      <c r="AH2527" s="46">
        <v>716375</v>
      </c>
      <c r="AI2527" s="46">
        <v>8.2910000000000004</v>
      </c>
      <c r="AJ2527" s="46">
        <v>177</v>
      </c>
      <c r="AK2527" s="46">
        <v>80900</v>
      </c>
      <c r="AL2527" s="46">
        <v>716150.74650000001</v>
      </c>
      <c r="AM2527" s="46">
        <v>8.8520000000000003</v>
      </c>
      <c r="AN2527" s="46" t="s">
        <v>63</v>
      </c>
      <c r="AO2527" s="46">
        <v>5500</v>
      </c>
      <c r="AP2527" s="46">
        <v>224.25299999999999</v>
      </c>
      <c r="AQ2527" s="46">
        <v>4.1000000000000002E-2</v>
      </c>
      <c r="AR2527" s="46">
        <v>45384.9</v>
      </c>
      <c r="AS2527" s="46">
        <v>174</v>
      </c>
      <c r="AT2527" s="46">
        <v>86400</v>
      </c>
      <c r="AU2527" s="46">
        <v>716375</v>
      </c>
      <c r="AV2527" s="46">
        <v>8.2910000000000004</v>
      </c>
      <c r="AW2527" s="46">
        <v>197</v>
      </c>
      <c r="AX2527" s="46">
        <v>88900</v>
      </c>
      <c r="AY2527" s="46">
        <v>787103.62250000006</v>
      </c>
      <c r="AZ2527" s="46">
        <v>8.8539999999999992</v>
      </c>
      <c r="BA2527" s="46" t="s">
        <v>69</v>
      </c>
      <c r="BB2527" s="46">
        <v>2500</v>
      </c>
      <c r="BC2527" s="46">
        <v>70728.623000000007</v>
      </c>
      <c r="BD2527" s="46">
        <v>28.291</v>
      </c>
      <c r="BE2527" s="46">
        <v>48643.199999999997</v>
      </c>
      <c r="BF2527" s="46">
        <v>0</v>
      </c>
      <c r="BH2527" s="46">
        <v>70952.876000000004</v>
      </c>
      <c r="BI2527">
        <v>8.8699999999999992</v>
      </c>
      <c r="BJ2527">
        <v>70504.37</v>
      </c>
      <c r="BK2527">
        <v>8.81</v>
      </c>
      <c r="BL2527">
        <v>4732.5200000000004</v>
      </c>
    </row>
    <row r="2528" spans="1:64" x14ac:dyDescent="0.25">
      <c r="A2528" s="136">
        <v>43174</v>
      </c>
      <c r="B2528" s="201" t="s">
        <v>78</v>
      </c>
      <c r="C2528" t="s">
        <v>142</v>
      </c>
      <c r="D2528">
        <v>100</v>
      </c>
      <c r="E2528">
        <v>100</v>
      </c>
      <c r="F2528">
        <v>-4.9039999999999999</v>
      </c>
      <c r="G2528">
        <v>1548.4</v>
      </c>
      <c r="H2528">
        <v>0</v>
      </c>
      <c r="I2528" s="309">
        <v>1058</v>
      </c>
      <c r="J2528">
        <v>10.58</v>
      </c>
      <c r="K2528" s="133">
        <v>2.2038653339961E-3</v>
      </c>
      <c r="L2528" s="181">
        <v>5</v>
      </c>
      <c r="M2528" s="133">
        <v>0</v>
      </c>
      <c r="N2528" s="73">
        <v>1506.3910000000001</v>
      </c>
      <c r="O2528" s="73">
        <v>148.19269729330699</v>
      </c>
      <c r="P2528" s="182">
        <v>0</v>
      </c>
      <c r="Q2528" s="182">
        <v>0</v>
      </c>
      <c r="R2528" s="46">
        <v>0</v>
      </c>
      <c r="S2528" s="46">
        <v>3</v>
      </c>
      <c r="T2528" s="46">
        <v>1200</v>
      </c>
      <c r="U2528" s="46">
        <v>9.99</v>
      </c>
      <c r="V2528" s="46" t="s">
        <v>68</v>
      </c>
      <c r="W2528" s="46">
        <v>1200</v>
      </c>
      <c r="X2528" s="46">
        <v>9.99</v>
      </c>
      <c r="AF2528" s="46">
        <v>13</v>
      </c>
      <c r="AG2528" s="46">
        <v>6500</v>
      </c>
      <c r="AH2528" s="46">
        <v>62970</v>
      </c>
      <c r="AI2528" s="46">
        <v>9.6880000000000006</v>
      </c>
      <c r="AJ2528" s="46">
        <v>14</v>
      </c>
      <c r="AK2528" s="46">
        <v>5200</v>
      </c>
      <c r="AL2528" s="46">
        <v>51499.379000000001</v>
      </c>
      <c r="AM2528" s="46">
        <v>9.9039999999999999</v>
      </c>
      <c r="AN2528" s="46" t="s">
        <v>63</v>
      </c>
      <c r="AO2528" s="46">
        <v>1300</v>
      </c>
      <c r="AP2528" s="46">
        <v>11470.620999999999</v>
      </c>
      <c r="AQ2528" s="46">
        <v>8.8239999999999998</v>
      </c>
      <c r="AR2528" s="46">
        <v>1123.2</v>
      </c>
      <c r="AS2528" s="46">
        <v>13</v>
      </c>
      <c r="AT2528" s="46">
        <v>6500</v>
      </c>
      <c r="AU2528" s="46">
        <v>62970</v>
      </c>
      <c r="AV2528" s="46">
        <v>9.6880000000000006</v>
      </c>
      <c r="AW2528" s="46">
        <v>17</v>
      </c>
      <c r="AX2528" s="46">
        <v>6400</v>
      </c>
      <c r="AY2528" s="46">
        <v>63460.391000000003</v>
      </c>
      <c r="AZ2528" s="46">
        <v>9.9160000000000004</v>
      </c>
      <c r="BA2528" s="46" t="s">
        <v>63</v>
      </c>
      <c r="BB2528" s="46">
        <v>100</v>
      </c>
      <c r="BC2528" s="46">
        <v>490.39100000000002</v>
      </c>
      <c r="BD2528" s="46">
        <v>4.9039999999999999</v>
      </c>
      <c r="BE2528" s="46">
        <v>1459.2</v>
      </c>
      <c r="BF2528" s="46">
        <v>0</v>
      </c>
      <c r="BH2528" s="46">
        <v>11961.012000000001</v>
      </c>
      <c r="BI2528">
        <v>9.9700000000000006</v>
      </c>
      <c r="BJ2528">
        <v>-10980.23</v>
      </c>
      <c r="BK2528">
        <v>-9.15</v>
      </c>
      <c r="BL2528">
        <v>106.16</v>
      </c>
    </row>
    <row r="2529" spans="1:64" x14ac:dyDescent="0.25">
      <c r="A2529" s="136">
        <v>43174</v>
      </c>
      <c r="B2529" s="201" t="s">
        <v>72</v>
      </c>
      <c r="C2529" t="s">
        <v>130</v>
      </c>
      <c r="D2529">
        <v>3000</v>
      </c>
      <c r="E2529">
        <v>2500</v>
      </c>
      <c r="F2529">
        <v>6.8650000000000002</v>
      </c>
      <c r="G2529">
        <v>-1124.27</v>
      </c>
      <c r="H2529">
        <v>-5.46</v>
      </c>
      <c r="I2529" s="309">
        <v>19470</v>
      </c>
      <c r="J2529">
        <v>6.49</v>
      </c>
      <c r="K2529" s="133">
        <v>4.05569546813839E-2</v>
      </c>
      <c r="L2529" s="181">
        <v>-430</v>
      </c>
      <c r="M2529" s="133">
        <v>4.2898863640790097E-2</v>
      </c>
      <c r="N2529" s="73">
        <v>-1345.98</v>
      </c>
      <c r="O2529" s="73">
        <v>-173.14450924498999</v>
      </c>
      <c r="P2529" s="182">
        <v>0</v>
      </c>
      <c r="Q2529" s="182">
        <v>0</v>
      </c>
      <c r="R2529" s="46">
        <v>0</v>
      </c>
      <c r="S2529" s="46">
        <v>12</v>
      </c>
      <c r="T2529" s="46">
        <v>4800</v>
      </c>
      <c r="U2529" s="46">
        <v>7.4889999999999999</v>
      </c>
      <c r="V2529" s="46" t="s">
        <v>68</v>
      </c>
      <c r="W2529" s="46">
        <v>4800</v>
      </c>
      <c r="X2529" s="46">
        <v>7.4889999999999999</v>
      </c>
      <c r="AF2529" s="46">
        <v>33</v>
      </c>
      <c r="AG2529" s="46">
        <v>16400</v>
      </c>
      <c r="AH2529" s="46">
        <v>124392</v>
      </c>
      <c r="AI2529" s="46">
        <v>7.585</v>
      </c>
      <c r="AJ2529" s="46">
        <v>33</v>
      </c>
      <c r="AK2529" s="46">
        <v>15200</v>
      </c>
      <c r="AL2529" s="46">
        <v>68678.153000000006</v>
      </c>
      <c r="AM2529" s="46">
        <v>4.5179999999999998</v>
      </c>
      <c r="AN2529" s="46" t="s">
        <v>63</v>
      </c>
      <c r="AO2529" s="46">
        <v>1200</v>
      </c>
      <c r="AP2529" s="46">
        <v>55713.847000000002</v>
      </c>
      <c r="AQ2529" s="46">
        <v>46.427999999999997</v>
      </c>
      <c r="AR2529" s="46">
        <v>-46618.400000000001</v>
      </c>
      <c r="AS2529" s="46">
        <v>33</v>
      </c>
      <c r="AT2529" s="46">
        <v>16400</v>
      </c>
      <c r="AU2529" s="46">
        <v>124392</v>
      </c>
      <c r="AV2529" s="46">
        <v>7.585</v>
      </c>
      <c r="AW2529" s="46">
        <v>46</v>
      </c>
      <c r="AX2529" s="46">
        <v>20500</v>
      </c>
      <c r="AY2529" s="46">
        <v>104530.205</v>
      </c>
      <c r="AZ2529" s="46">
        <v>5.0990000000000002</v>
      </c>
      <c r="BA2529" s="46" t="s">
        <v>69</v>
      </c>
      <c r="BB2529" s="46">
        <v>4100</v>
      </c>
      <c r="BC2529" s="46">
        <v>19861.794999999998</v>
      </c>
      <c r="BD2529" s="46">
        <v>4.8440000000000003</v>
      </c>
      <c r="BE2529" s="46">
        <v>-40770.400000000001</v>
      </c>
      <c r="BF2529" s="46">
        <v>0</v>
      </c>
      <c r="BH2529" s="46">
        <v>35852.052000000003</v>
      </c>
      <c r="BI2529">
        <v>7.47</v>
      </c>
      <c r="BJ2529">
        <v>-35852.052000000003</v>
      </c>
      <c r="BK2529">
        <v>-7.47</v>
      </c>
      <c r="BL2529">
        <v>-7183.11</v>
      </c>
    </row>
    <row r="2530" spans="1:64" x14ac:dyDescent="0.25">
      <c r="A2530" s="136">
        <v>43174</v>
      </c>
      <c r="B2530" s="201" t="s">
        <v>70</v>
      </c>
      <c r="C2530" t="s">
        <v>131</v>
      </c>
      <c r="D2530">
        <v>13600</v>
      </c>
      <c r="E2530">
        <v>13100</v>
      </c>
      <c r="F2530">
        <v>11.25</v>
      </c>
      <c r="G2530">
        <v>-35625.589999999997</v>
      </c>
      <c r="H2530">
        <v>-23.29</v>
      </c>
      <c r="I2530" s="309">
        <v>117368</v>
      </c>
      <c r="J2530">
        <v>8.6300000000000008</v>
      </c>
      <c r="K2530" s="133">
        <v>0.244483238677178</v>
      </c>
      <c r="L2530" s="181">
        <v>-2791</v>
      </c>
      <c r="M2530" s="133">
        <v>0.318693071195286</v>
      </c>
      <c r="N2530" s="73">
        <v>-34672.5980000001</v>
      </c>
      <c r="O2530" s="73">
        <v>-3983.36341390805</v>
      </c>
      <c r="P2530" s="182">
        <v>3</v>
      </c>
      <c r="Q2530" s="182">
        <v>1500</v>
      </c>
      <c r="R2530" s="46">
        <v>8.2799999999999994</v>
      </c>
      <c r="S2530" s="46">
        <v>0</v>
      </c>
      <c r="T2530" s="46">
        <v>0</v>
      </c>
      <c r="U2530" s="46">
        <v>0</v>
      </c>
      <c r="V2530" s="46" t="s">
        <v>62</v>
      </c>
      <c r="W2530" s="46">
        <v>1500</v>
      </c>
      <c r="X2530" s="46">
        <v>8.2799999999999994</v>
      </c>
      <c r="AF2530" s="46">
        <v>131</v>
      </c>
      <c r="AG2530" s="46">
        <v>67100</v>
      </c>
      <c r="AH2530" s="46">
        <v>882133</v>
      </c>
      <c r="AI2530" s="46">
        <v>13.147</v>
      </c>
      <c r="AJ2530" s="46">
        <v>137</v>
      </c>
      <c r="AK2530" s="46">
        <v>55000</v>
      </c>
      <c r="AL2530" s="46">
        <v>741170.402</v>
      </c>
      <c r="AM2530" s="46">
        <v>13.476000000000001</v>
      </c>
      <c r="AN2530" s="46" t="s">
        <v>63</v>
      </c>
      <c r="AO2530" s="46">
        <v>12100</v>
      </c>
      <c r="AP2530" s="46">
        <v>140962.598</v>
      </c>
      <c r="AQ2530" s="46">
        <v>11.65</v>
      </c>
      <c r="AR2530" s="46">
        <v>18095</v>
      </c>
      <c r="AS2530" s="46">
        <v>134</v>
      </c>
      <c r="AT2530" s="46">
        <v>68600</v>
      </c>
      <c r="AU2530" s="46">
        <v>894568</v>
      </c>
      <c r="AV2530" s="46">
        <v>13.04</v>
      </c>
      <c r="AW2530" s="46">
        <v>138</v>
      </c>
      <c r="AX2530" s="46">
        <v>55000</v>
      </c>
      <c r="AY2530" s="46">
        <v>741575.402</v>
      </c>
      <c r="AZ2530" s="46">
        <v>13.483000000000001</v>
      </c>
      <c r="BA2530" s="46" t="s">
        <v>63</v>
      </c>
      <c r="BB2530" s="46">
        <v>13600</v>
      </c>
      <c r="BC2530" s="46">
        <v>152992.598</v>
      </c>
      <c r="BD2530" s="46">
        <v>11.249000000000001</v>
      </c>
      <c r="BE2530" s="46">
        <v>24365</v>
      </c>
      <c r="BF2530" s="46">
        <v>12435</v>
      </c>
      <c r="BG2530" s="46">
        <v>8.2899999999999991</v>
      </c>
      <c r="BH2530" s="46">
        <v>405</v>
      </c>
      <c r="BJ2530">
        <v>12030</v>
      </c>
      <c r="BK2530">
        <v>8.02</v>
      </c>
      <c r="BL2530">
        <v>2096.7600000000002</v>
      </c>
    </row>
    <row r="2531" spans="1:64" x14ac:dyDescent="0.25">
      <c r="A2531" s="136">
        <v>43174</v>
      </c>
      <c r="B2531" s="201" t="s">
        <v>137</v>
      </c>
      <c r="C2531" t="s">
        <v>138</v>
      </c>
      <c r="D2531">
        <v>100</v>
      </c>
      <c r="E2531">
        <v>100</v>
      </c>
      <c r="F2531">
        <v>-130.48500000000001</v>
      </c>
      <c r="G2531">
        <v>16302.5</v>
      </c>
      <c r="H2531">
        <v>0</v>
      </c>
      <c r="I2531" s="309">
        <v>3254</v>
      </c>
      <c r="J2531">
        <v>32.54</v>
      </c>
      <c r="K2531" s="133">
        <v>6.77823988357592E-3</v>
      </c>
      <c r="L2531" s="181">
        <v>-306</v>
      </c>
      <c r="M2531" s="133">
        <v>0</v>
      </c>
    </row>
    <row r="2532" spans="1:64" x14ac:dyDescent="0.25">
      <c r="A2532" s="136">
        <v>43174</v>
      </c>
      <c r="B2532" s="201" t="s">
        <v>835</v>
      </c>
      <c r="C2532" t="s">
        <v>839</v>
      </c>
      <c r="I2532" s="309">
        <v>2335.44</v>
      </c>
      <c r="K2532" s="133">
        <v>4.86483483518701E-3</v>
      </c>
      <c r="L2532" s="181">
        <v>0</v>
      </c>
      <c r="M2532" s="133">
        <v>0.23400473389440499</v>
      </c>
    </row>
    <row r="2533" spans="1:64" x14ac:dyDescent="0.25">
      <c r="A2533" s="136">
        <v>43175</v>
      </c>
      <c r="B2533" s="201" t="s">
        <v>132</v>
      </c>
      <c r="C2533" t="s">
        <v>123</v>
      </c>
      <c r="D2533">
        <v>10001258</v>
      </c>
      <c r="E2533">
        <v>10001258</v>
      </c>
      <c r="F2533">
        <v>0.01</v>
      </c>
      <c r="G2533">
        <v>3258.14</v>
      </c>
      <c r="H2533">
        <v>0</v>
      </c>
      <c r="I2533" s="309">
        <v>100012.58</v>
      </c>
      <c r="J2533">
        <v>0.01</v>
      </c>
      <c r="K2533" s="133">
        <v>0.207052085391949</v>
      </c>
      <c r="L2533" s="181">
        <v>10.389999999999899</v>
      </c>
      <c r="M2533" s="133">
        <v>0</v>
      </c>
    </row>
    <row r="2534" spans="1:64" x14ac:dyDescent="0.25">
      <c r="A2534" s="136">
        <v>43175</v>
      </c>
      <c r="B2534" s="201" t="s">
        <v>61</v>
      </c>
      <c r="C2534" t="s">
        <v>136</v>
      </c>
      <c r="D2534">
        <v>2400</v>
      </c>
      <c r="E2534">
        <v>2400</v>
      </c>
      <c r="F2534">
        <v>5.2380000000000004</v>
      </c>
      <c r="G2534">
        <v>-619.95000000000005</v>
      </c>
      <c r="H2534">
        <v>-4.92</v>
      </c>
      <c r="I2534" s="309">
        <v>11952</v>
      </c>
      <c r="J2534">
        <v>4.9800000000000004</v>
      </c>
      <c r="K2534" s="133">
        <v>2.4743752481983499E-2</v>
      </c>
      <c r="L2534" s="181">
        <v>24</v>
      </c>
      <c r="M2534" s="133">
        <v>2.60272104263614E-2</v>
      </c>
      <c r="N2534" s="73">
        <v>-481.24099999999999</v>
      </c>
      <c r="O2534" s="73">
        <v>-95.436583234126999</v>
      </c>
      <c r="P2534" s="182">
        <v>3</v>
      </c>
      <c r="Q2534" s="182">
        <v>1500</v>
      </c>
      <c r="R2534" s="46">
        <v>5.327</v>
      </c>
      <c r="S2534" s="46">
        <v>0</v>
      </c>
      <c r="T2534" s="46">
        <v>0</v>
      </c>
      <c r="U2534" s="46">
        <v>0</v>
      </c>
      <c r="V2534" s="46" t="s">
        <v>62</v>
      </c>
      <c r="W2534" s="46">
        <v>1500</v>
      </c>
      <c r="X2534" s="46">
        <v>5.327</v>
      </c>
      <c r="AF2534" s="46">
        <v>10</v>
      </c>
      <c r="AG2534" s="46">
        <v>5000</v>
      </c>
      <c r="AH2534" s="46">
        <v>26378</v>
      </c>
      <c r="AI2534" s="46">
        <v>5.2759999999999998</v>
      </c>
      <c r="AJ2534" s="46">
        <v>10</v>
      </c>
      <c r="AK2534" s="46">
        <v>4100</v>
      </c>
      <c r="AL2534" s="46">
        <v>21806.659</v>
      </c>
      <c r="AM2534" s="46">
        <v>5.319</v>
      </c>
      <c r="AN2534" s="46" t="s">
        <v>63</v>
      </c>
      <c r="AO2534" s="46">
        <v>900</v>
      </c>
      <c r="AP2534" s="46">
        <v>4571.3410000000003</v>
      </c>
      <c r="AQ2534" s="46">
        <v>5.0789999999999997</v>
      </c>
      <c r="AR2534" s="46">
        <v>176.3</v>
      </c>
      <c r="AS2534" s="46">
        <v>13</v>
      </c>
      <c r="AT2534" s="46">
        <v>6500</v>
      </c>
      <c r="AU2534" s="46">
        <v>34383.9</v>
      </c>
      <c r="AV2534" s="46">
        <v>5.29</v>
      </c>
      <c r="AW2534" s="46">
        <v>10</v>
      </c>
      <c r="AX2534" s="46">
        <v>4100</v>
      </c>
      <c r="AY2534" s="46">
        <v>21806.659</v>
      </c>
      <c r="AZ2534" s="46">
        <v>5.319</v>
      </c>
      <c r="BA2534" s="46" t="s">
        <v>63</v>
      </c>
      <c r="BB2534" s="46">
        <v>2400</v>
      </c>
      <c r="BC2534" s="46">
        <v>12577.241</v>
      </c>
      <c r="BD2534" s="46">
        <v>5.2409999999999997</v>
      </c>
      <c r="BE2534" s="46">
        <v>118.9</v>
      </c>
      <c r="BF2534" s="46">
        <v>8005.9</v>
      </c>
      <c r="BG2534" s="46">
        <v>5.34</v>
      </c>
      <c r="BH2534" s="46">
        <v>0</v>
      </c>
      <c r="BJ2534">
        <v>8005.9</v>
      </c>
      <c r="BK2534">
        <v>5.34</v>
      </c>
      <c r="BL2534">
        <v>35.4</v>
      </c>
    </row>
    <row r="2535" spans="1:64" x14ac:dyDescent="0.25">
      <c r="A2535" s="136">
        <v>43175</v>
      </c>
      <c r="B2535" s="201" t="s">
        <v>124</v>
      </c>
      <c r="C2535" t="s">
        <v>125</v>
      </c>
      <c r="D2535">
        <v>100</v>
      </c>
      <c r="E2535">
        <v>100</v>
      </c>
      <c r="F2535">
        <v>-53.579000000000001</v>
      </c>
      <c r="G2535">
        <v>5993.9</v>
      </c>
      <c r="H2535">
        <v>0</v>
      </c>
      <c r="I2535" s="309">
        <v>636</v>
      </c>
      <c r="J2535">
        <v>6.36</v>
      </c>
      <c r="K2535" s="133">
        <v>1.3166856240412899E-3</v>
      </c>
      <c r="L2535" s="181">
        <v>-9</v>
      </c>
      <c r="M2535" s="133">
        <v>0</v>
      </c>
    </row>
    <row r="2536" spans="1:64" x14ac:dyDescent="0.25">
      <c r="A2536" s="136">
        <v>43175</v>
      </c>
      <c r="B2536" s="201" t="s">
        <v>71</v>
      </c>
      <c r="C2536" t="s">
        <v>126</v>
      </c>
      <c r="D2536">
        <v>1100</v>
      </c>
      <c r="E2536">
        <v>1100</v>
      </c>
      <c r="F2536">
        <v>4.6100000000000003</v>
      </c>
      <c r="G2536">
        <v>2188.5</v>
      </c>
      <c r="H2536">
        <v>43.17</v>
      </c>
      <c r="I2536" s="309">
        <v>7260</v>
      </c>
      <c r="J2536">
        <v>6.6</v>
      </c>
      <c r="K2536" s="133">
        <v>1.5030090614056199E-2</v>
      </c>
      <c r="L2536" s="181">
        <v>-33</v>
      </c>
      <c r="M2536" s="133">
        <v>1.04993256954802E-2</v>
      </c>
      <c r="N2536" s="73">
        <v>-5077.2979999999998</v>
      </c>
      <c r="O2536" s="73">
        <v>340.50361511976001</v>
      </c>
      <c r="P2536" s="182">
        <v>0</v>
      </c>
      <c r="Q2536" s="182">
        <v>0</v>
      </c>
      <c r="R2536" s="46">
        <v>0</v>
      </c>
      <c r="S2536" s="46">
        <v>5</v>
      </c>
      <c r="T2536" s="46">
        <v>2000</v>
      </c>
      <c r="U2536" s="46">
        <v>6.625</v>
      </c>
      <c r="V2536" s="46" t="s">
        <v>68</v>
      </c>
      <c r="W2536" s="46">
        <v>2000</v>
      </c>
      <c r="X2536" s="46">
        <v>6.625</v>
      </c>
      <c r="AF2536" s="46">
        <v>43</v>
      </c>
      <c r="AG2536" s="46">
        <v>21600</v>
      </c>
      <c r="AH2536" s="46">
        <v>138103.96</v>
      </c>
      <c r="AI2536" s="46">
        <v>6.3940000000000001</v>
      </c>
      <c r="AJ2536" s="46">
        <v>41</v>
      </c>
      <c r="AK2536" s="46">
        <v>18500</v>
      </c>
      <c r="AL2536" s="46">
        <v>119652.91099999999</v>
      </c>
      <c r="AM2536" s="46">
        <v>6.468</v>
      </c>
      <c r="AN2536" s="46" t="s">
        <v>63</v>
      </c>
      <c r="AO2536" s="46">
        <v>3100</v>
      </c>
      <c r="AP2536" s="46">
        <v>18451.048999999999</v>
      </c>
      <c r="AQ2536" s="46">
        <v>5.952</v>
      </c>
      <c r="AR2536" s="46">
        <v>1369</v>
      </c>
      <c r="AS2536" s="46">
        <v>43</v>
      </c>
      <c r="AT2536" s="46">
        <v>21600</v>
      </c>
      <c r="AU2536" s="46">
        <v>138103.96</v>
      </c>
      <c r="AV2536" s="46">
        <v>6.3940000000000001</v>
      </c>
      <c r="AW2536" s="46">
        <v>46</v>
      </c>
      <c r="AX2536" s="46">
        <v>20500</v>
      </c>
      <c r="AY2536" s="46">
        <v>132870.462</v>
      </c>
      <c r="AZ2536" s="46">
        <v>6.4809999999999999</v>
      </c>
      <c r="BA2536" s="46" t="s">
        <v>63</v>
      </c>
      <c r="BB2536" s="46">
        <v>1100</v>
      </c>
      <c r="BC2536" s="46">
        <v>5233.4979999999996</v>
      </c>
      <c r="BD2536" s="46">
        <v>4.758</v>
      </c>
      <c r="BE2536" s="46">
        <v>1783.5</v>
      </c>
      <c r="BF2536" s="46">
        <v>0</v>
      </c>
      <c r="BH2536" s="46">
        <v>13217.550999999999</v>
      </c>
      <c r="BI2536">
        <v>6.61</v>
      </c>
      <c r="BJ2536">
        <v>-13217.550999999999</v>
      </c>
      <c r="BK2536">
        <v>-6.61</v>
      </c>
      <c r="BL2536">
        <v>207.42</v>
      </c>
    </row>
    <row r="2537" spans="1:64" x14ac:dyDescent="0.25">
      <c r="A2537" s="136">
        <v>43175</v>
      </c>
      <c r="B2537" s="201" t="s">
        <v>79</v>
      </c>
      <c r="C2537" t="s">
        <v>143</v>
      </c>
      <c r="D2537">
        <v>5000</v>
      </c>
      <c r="E2537">
        <v>5000</v>
      </c>
      <c r="F2537">
        <v>16.681000000000001</v>
      </c>
      <c r="G2537">
        <v>-10756.66</v>
      </c>
      <c r="H2537">
        <v>-12.89</v>
      </c>
      <c r="I2537" s="309">
        <v>72650</v>
      </c>
      <c r="J2537">
        <v>14.53</v>
      </c>
      <c r="K2537" s="133">
        <v>0.15040441916132</v>
      </c>
      <c r="L2537" s="181">
        <v>400</v>
      </c>
      <c r="M2537" s="133">
        <v>0.17267350655864699</v>
      </c>
      <c r="N2537" s="73">
        <v>-9660.3440000000792</v>
      </c>
      <c r="O2537" s="73">
        <v>-654.61110698305697</v>
      </c>
      <c r="P2537" s="182">
        <v>7</v>
      </c>
      <c r="Q2537" s="182">
        <v>4000</v>
      </c>
      <c r="R2537" s="46">
        <v>15.666</v>
      </c>
      <c r="S2537" s="46">
        <v>0</v>
      </c>
      <c r="T2537" s="46">
        <v>0</v>
      </c>
      <c r="U2537" s="46">
        <v>0</v>
      </c>
      <c r="V2537" s="46" t="s">
        <v>62</v>
      </c>
      <c r="W2537" s="46">
        <v>4000</v>
      </c>
      <c r="X2537" s="46">
        <v>15.666</v>
      </c>
      <c r="AF2537" s="46">
        <v>10</v>
      </c>
      <c r="AG2537" s="46">
        <v>5000</v>
      </c>
      <c r="AH2537" s="46">
        <v>82138</v>
      </c>
      <c r="AI2537" s="46">
        <v>16.428000000000001</v>
      </c>
      <c r="AJ2537" s="46">
        <v>10</v>
      </c>
      <c r="AK2537" s="46">
        <v>4000</v>
      </c>
      <c r="AL2537" s="46">
        <v>61430.055999999997</v>
      </c>
      <c r="AM2537" s="46">
        <v>15.358000000000001</v>
      </c>
      <c r="AN2537" s="46" t="s">
        <v>63</v>
      </c>
      <c r="AO2537" s="46">
        <v>1000</v>
      </c>
      <c r="AP2537" s="46">
        <v>20707.944</v>
      </c>
      <c r="AQ2537" s="46">
        <v>20.707999999999998</v>
      </c>
      <c r="AR2537" s="46">
        <v>-4280</v>
      </c>
      <c r="AS2537" s="46">
        <v>17</v>
      </c>
      <c r="AT2537" s="46">
        <v>9000</v>
      </c>
      <c r="AU2537" s="46">
        <v>144840.4</v>
      </c>
      <c r="AV2537" s="46">
        <v>16.093</v>
      </c>
      <c r="AW2537" s="46">
        <v>10</v>
      </c>
      <c r="AX2537" s="46">
        <v>4000</v>
      </c>
      <c r="AY2537" s="46">
        <v>61430.055999999997</v>
      </c>
      <c r="AZ2537" s="46">
        <v>15.358000000000001</v>
      </c>
      <c r="BA2537" s="46" t="s">
        <v>63</v>
      </c>
      <c r="BB2537" s="46">
        <v>5000</v>
      </c>
      <c r="BC2537" s="46">
        <v>83410.343999999997</v>
      </c>
      <c r="BD2537" s="46">
        <v>16.681999999999999</v>
      </c>
      <c r="BE2537" s="46">
        <v>-2940</v>
      </c>
      <c r="BF2537" s="46">
        <v>62702.400000000001</v>
      </c>
      <c r="BG2537" s="46">
        <v>15.68</v>
      </c>
      <c r="BH2537" s="46">
        <v>0</v>
      </c>
      <c r="BJ2537">
        <v>62702.400000000001</v>
      </c>
      <c r="BK2537">
        <v>15.68</v>
      </c>
      <c r="BL2537">
        <v>-294.56</v>
      </c>
    </row>
    <row r="2538" spans="1:64" x14ac:dyDescent="0.25">
      <c r="A2538" s="136">
        <v>43175</v>
      </c>
      <c r="B2538" s="201" t="s">
        <v>65</v>
      </c>
      <c r="C2538" t="s">
        <v>127</v>
      </c>
      <c r="D2538">
        <v>10700</v>
      </c>
      <c r="E2538">
        <v>10700</v>
      </c>
      <c r="F2538">
        <v>9.2799999999999994</v>
      </c>
      <c r="G2538">
        <v>9847.5400000000009</v>
      </c>
      <c r="H2538">
        <v>9.91</v>
      </c>
      <c r="I2538" s="309">
        <v>109140</v>
      </c>
      <c r="J2538">
        <v>10.199999999999999</v>
      </c>
      <c r="K2538" s="133">
        <v>0.22594822171048101</v>
      </c>
      <c r="L2538" s="181">
        <v>749</v>
      </c>
      <c r="M2538" s="133">
        <v>0.205561249461784</v>
      </c>
      <c r="N2538" s="73">
        <v>5458.1209999999801</v>
      </c>
      <c r="O2538" s="73">
        <v>955.32921126102497</v>
      </c>
      <c r="P2538" s="182">
        <v>1</v>
      </c>
      <c r="Q2538" s="182">
        <v>500</v>
      </c>
      <c r="R2538" s="46">
        <v>10.19</v>
      </c>
      <c r="S2538" s="46">
        <v>16</v>
      </c>
      <c r="T2538" s="46">
        <v>6800</v>
      </c>
      <c r="U2538" s="46">
        <v>12.048</v>
      </c>
      <c r="V2538" s="46" t="s">
        <v>68</v>
      </c>
      <c r="W2538" s="46">
        <v>6300</v>
      </c>
      <c r="X2538" s="46">
        <v>12.195</v>
      </c>
      <c r="AF2538" s="46">
        <v>169</v>
      </c>
      <c r="AG2538" s="46">
        <v>90200</v>
      </c>
      <c r="AH2538" s="46">
        <v>1045745.231</v>
      </c>
      <c r="AI2538" s="46">
        <v>11.593999999999999</v>
      </c>
      <c r="AJ2538" s="46">
        <v>190</v>
      </c>
      <c r="AK2538" s="46">
        <v>82400</v>
      </c>
      <c r="AL2538" s="46">
        <v>868952.277</v>
      </c>
      <c r="AM2538" s="46">
        <v>10.545999999999999</v>
      </c>
      <c r="AN2538" s="46" t="s">
        <v>63</v>
      </c>
      <c r="AO2538" s="46">
        <v>7800</v>
      </c>
      <c r="AP2538" s="46">
        <v>176792.954</v>
      </c>
      <c r="AQ2538" s="46">
        <v>22.666</v>
      </c>
      <c r="AR2538" s="46">
        <v>-86355.199999999997</v>
      </c>
      <c r="AS2538" s="46">
        <v>171</v>
      </c>
      <c r="AT2538" s="46">
        <v>90800</v>
      </c>
      <c r="AU2538" s="46">
        <v>1052133.2309999999</v>
      </c>
      <c r="AV2538" s="46">
        <v>11.587</v>
      </c>
      <c r="AW2538" s="46">
        <v>206</v>
      </c>
      <c r="AX2538" s="46">
        <v>89200</v>
      </c>
      <c r="AY2538" s="46">
        <v>950717.35</v>
      </c>
      <c r="AZ2538" s="46">
        <v>10.657999999999999</v>
      </c>
      <c r="BA2538" s="46" t="s">
        <v>63</v>
      </c>
      <c r="BB2538" s="46">
        <v>1600</v>
      </c>
      <c r="BC2538" s="46">
        <v>101415.88099999999</v>
      </c>
      <c r="BD2538" s="46">
        <v>63.384999999999998</v>
      </c>
      <c r="BE2538" s="46">
        <v>-82866.8</v>
      </c>
      <c r="BF2538" s="46">
        <v>6388.0000000001201</v>
      </c>
      <c r="BG2538" s="46">
        <v>12.78</v>
      </c>
      <c r="BH2538" s="46">
        <v>81765.072999999902</v>
      </c>
      <c r="BI2538">
        <v>12.02</v>
      </c>
      <c r="BJ2538">
        <v>-75377.073000000004</v>
      </c>
      <c r="BK2538">
        <v>-11.96</v>
      </c>
      <c r="BL2538">
        <v>-8466.2000000000007</v>
      </c>
    </row>
    <row r="2539" spans="1:64" x14ac:dyDescent="0.25">
      <c r="A2539" s="136">
        <v>43175</v>
      </c>
      <c r="B2539" s="201" t="s">
        <v>77</v>
      </c>
      <c r="C2539" t="s">
        <v>128</v>
      </c>
      <c r="D2539">
        <v>4300</v>
      </c>
      <c r="E2539">
        <v>4300</v>
      </c>
      <c r="F2539">
        <v>5.9779999999999998</v>
      </c>
      <c r="G2539">
        <v>-595.27</v>
      </c>
      <c r="H2539">
        <v>-2.31</v>
      </c>
      <c r="I2539" s="309">
        <v>25112</v>
      </c>
      <c r="J2539">
        <v>5.84</v>
      </c>
      <c r="K2539" s="133">
        <v>5.1988379545479302E-2</v>
      </c>
      <c r="L2539" s="181">
        <v>0</v>
      </c>
      <c r="M2539" s="133">
        <v>5.3220743462811103E-2</v>
      </c>
      <c r="N2539" s="73">
        <v>-1272.2139999999999</v>
      </c>
      <c r="O2539" s="73">
        <v>-133.073774655173</v>
      </c>
      <c r="P2539" s="182">
        <v>6</v>
      </c>
      <c r="Q2539" s="182">
        <v>3000</v>
      </c>
      <c r="R2539" s="46">
        <v>6.798</v>
      </c>
      <c r="S2539" s="46">
        <v>0</v>
      </c>
      <c r="T2539" s="46">
        <v>0</v>
      </c>
      <c r="U2539" s="46">
        <v>0</v>
      </c>
      <c r="V2539" s="46" t="s">
        <v>62</v>
      </c>
      <c r="W2539" s="46">
        <v>3000</v>
      </c>
      <c r="X2539" s="46">
        <v>6.798</v>
      </c>
      <c r="AF2539" s="46">
        <v>39</v>
      </c>
      <c r="AG2539" s="46">
        <v>19500</v>
      </c>
      <c r="AH2539" s="46">
        <v>142169</v>
      </c>
      <c r="AI2539" s="46">
        <v>7.2910000000000004</v>
      </c>
      <c r="AJ2539" s="46">
        <v>39</v>
      </c>
      <c r="AK2539" s="46">
        <v>18200</v>
      </c>
      <c r="AL2539" s="46">
        <v>136881.78599999999</v>
      </c>
      <c r="AM2539" s="46">
        <v>7.5209999999999999</v>
      </c>
      <c r="AN2539" s="46" t="s">
        <v>63</v>
      </c>
      <c r="AO2539" s="46">
        <v>1300</v>
      </c>
      <c r="AP2539" s="46">
        <v>5287.2139999999999</v>
      </c>
      <c r="AQ2539" s="46">
        <v>4.0670000000000002</v>
      </c>
      <c r="AR2539" s="46">
        <v>4186</v>
      </c>
      <c r="AS2539" s="46">
        <v>45</v>
      </c>
      <c r="AT2539" s="46">
        <v>22500</v>
      </c>
      <c r="AU2539" s="46">
        <v>162594</v>
      </c>
      <c r="AV2539" s="46">
        <v>7.226</v>
      </c>
      <c r="AW2539" s="46">
        <v>39</v>
      </c>
      <c r="AX2539" s="46">
        <v>18200</v>
      </c>
      <c r="AY2539" s="46">
        <v>136881.78599999999</v>
      </c>
      <c r="AZ2539" s="46">
        <v>7.5209999999999999</v>
      </c>
      <c r="BA2539" s="46" t="s">
        <v>63</v>
      </c>
      <c r="BB2539" s="46">
        <v>4300</v>
      </c>
      <c r="BC2539" s="46">
        <v>25712.214</v>
      </c>
      <c r="BD2539" s="46">
        <v>5.98</v>
      </c>
      <c r="BE2539" s="46">
        <v>5369</v>
      </c>
      <c r="BF2539" s="46">
        <v>20425</v>
      </c>
      <c r="BG2539" s="46">
        <v>6.81</v>
      </c>
      <c r="BH2539" s="46">
        <v>0</v>
      </c>
      <c r="BJ2539">
        <v>20425</v>
      </c>
      <c r="BK2539">
        <v>6.81</v>
      </c>
      <c r="BL2539">
        <v>716.78</v>
      </c>
    </row>
    <row r="2540" spans="1:64" x14ac:dyDescent="0.25">
      <c r="A2540" s="136">
        <v>43175</v>
      </c>
      <c r="B2540" s="201" t="s">
        <v>67</v>
      </c>
      <c r="C2540" t="s">
        <v>129</v>
      </c>
      <c r="D2540">
        <v>100</v>
      </c>
      <c r="E2540">
        <v>100</v>
      </c>
      <c r="F2540">
        <v>-16.027999999999999</v>
      </c>
      <c r="G2540">
        <v>2568.8000000000002</v>
      </c>
      <c r="H2540">
        <v>0</v>
      </c>
      <c r="I2540" s="309">
        <v>966</v>
      </c>
      <c r="J2540">
        <v>9.66</v>
      </c>
      <c r="K2540" s="133">
        <v>1.9998715610438401E-3</v>
      </c>
      <c r="L2540" s="181">
        <v>7</v>
      </c>
      <c r="M2540" s="133">
        <v>0</v>
      </c>
      <c r="N2540" s="73">
        <v>2581.5064999997599</v>
      </c>
      <c r="O2540" s="73">
        <v>263.01893442913098</v>
      </c>
      <c r="P2540" s="182">
        <v>0</v>
      </c>
      <c r="Q2540" s="182">
        <v>0</v>
      </c>
      <c r="R2540" s="46">
        <v>0</v>
      </c>
      <c r="S2540" s="46">
        <v>20</v>
      </c>
      <c r="T2540" s="46">
        <v>8000</v>
      </c>
      <c r="U2540" s="46">
        <v>8.891</v>
      </c>
      <c r="V2540" s="46" t="s">
        <v>68</v>
      </c>
      <c r="W2540" s="46">
        <v>8000</v>
      </c>
      <c r="X2540" s="46">
        <v>8.891</v>
      </c>
      <c r="AF2540" s="46">
        <v>174</v>
      </c>
      <c r="AG2540" s="46">
        <v>86400</v>
      </c>
      <c r="AH2540" s="46">
        <v>716375</v>
      </c>
      <c r="AI2540" s="46">
        <v>8.2910000000000004</v>
      </c>
      <c r="AJ2540" s="46">
        <v>177</v>
      </c>
      <c r="AK2540" s="46">
        <v>80900</v>
      </c>
      <c r="AL2540" s="46">
        <v>716150.74650000001</v>
      </c>
      <c r="AM2540" s="46">
        <v>8.8520000000000003</v>
      </c>
      <c r="AN2540" s="46" t="s">
        <v>63</v>
      </c>
      <c r="AO2540" s="46">
        <v>5500</v>
      </c>
      <c r="AP2540" s="46">
        <v>224.25299999999999</v>
      </c>
      <c r="AQ2540" s="46">
        <v>4.1000000000000002E-2</v>
      </c>
      <c r="AR2540" s="46">
        <v>45384.9</v>
      </c>
      <c r="AS2540" s="46">
        <v>174</v>
      </c>
      <c r="AT2540" s="46">
        <v>86400</v>
      </c>
      <c r="AU2540" s="46">
        <v>716375</v>
      </c>
      <c r="AV2540" s="46">
        <v>8.2910000000000004</v>
      </c>
      <c r="AW2540" s="46">
        <v>197</v>
      </c>
      <c r="AX2540" s="46">
        <v>88900</v>
      </c>
      <c r="AY2540" s="46">
        <v>787103.62250000006</v>
      </c>
      <c r="AZ2540" s="46">
        <v>8.8539999999999992</v>
      </c>
      <c r="BA2540" s="46" t="s">
        <v>69</v>
      </c>
      <c r="BB2540" s="46">
        <v>2500</v>
      </c>
      <c r="BC2540" s="46">
        <v>70728.623000000007</v>
      </c>
      <c r="BD2540" s="46">
        <v>28.291</v>
      </c>
      <c r="BE2540" s="46">
        <v>48643.199999999997</v>
      </c>
      <c r="BF2540" s="46">
        <v>0</v>
      </c>
      <c r="BH2540" s="46">
        <v>70952.876000000004</v>
      </c>
      <c r="BI2540">
        <v>8.8699999999999992</v>
      </c>
      <c r="BJ2540">
        <v>70504.37</v>
      </c>
      <c r="BK2540">
        <v>8.81</v>
      </c>
      <c r="BL2540">
        <v>4698.2299999999996</v>
      </c>
    </row>
    <row r="2541" spans="1:64" x14ac:dyDescent="0.25">
      <c r="A2541" s="136">
        <v>43175</v>
      </c>
      <c r="B2541" s="201" t="s">
        <v>78</v>
      </c>
      <c r="C2541" t="s">
        <v>142</v>
      </c>
      <c r="D2541">
        <v>100</v>
      </c>
      <c r="E2541">
        <v>100</v>
      </c>
      <c r="F2541">
        <v>-4.9039999999999999</v>
      </c>
      <c r="G2541">
        <v>1645.4</v>
      </c>
      <c r="H2541">
        <v>0</v>
      </c>
      <c r="I2541" s="309">
        <v>1155</v>
      </c>
      <c r="J2541">
        <v>11.55</v>
      </c>
      <c r="K2541" s="133">
        <v>2.3911507795089399E-3</v>
      </c>
      <c r="L2541" s="181">
        <v>97</v>
      </c>
      <c r="M2541" s="133">
        <v>0</v>
      </c>
      <c r="N2541" s="73">
        <v>1506.3910000000001</v>
      </c>
      <c r="O2541" s="73">
        <v>148.19269729330699</v>
      </c>
      <c r="P2541" s="182">
        <v>0</v>
      </c>
      <c r="Q2541" s="182">
        <v>0</v>
      </c>
      <c r="R2541" s="46">
        <v>0</v>
      </c>
      <c r="S2541" s="46">
        <v>3</v>
      </c>
      <c r="T2541" s="46">
        <v>1200</v>
      </c>
      <c r="U2541" s="46">
        <v>9.99</v>
      </c>
      <c r="V2541" s="46" t="s">
        <v>68</v>
      </c>
      <c r="W2541" s="46">
        <v>1200</v>
      </c>
      <c r="X2541" s="46">
        <v>9.99</v>
      </c>
      <c r="AF2541" s="46">
        <v>13</v>
      </c>
      <c r="AG2541" s="46">
        <v>6500</v>
      </c>
      <c r="AH2541" s="46">
        <v>62970</v>
      </c>
      <c r="AI2541" s="46">
        <v>9.6880000000000006</v>
      </c>
      <c r="AJ2541" s="46">
        <v>14</v>
      </c>
      <c r="AK2541" s="46">
        <v>5200</v>
      </c>
      <c r="AL2541" s="46">
        <v>51499.379000000001</v>
      </c>
      <c r="AM2541" s="46">
        <v>9.9039999999999999</v>
      </c>
      <c r="AN2541" s="46" t="s">
        <v>63</v>
      </c>
      <c r="AO2541" s="46">
        <v>1300</v>
      </c>
      <c r="AP2541" s="46">
        <v>11470.620999999999</v>
      </c>
      <c r="AQ2541" s="46">
        <v>8.8239999999999998</v>
      </c>
      <c r="AR2541" s="46">
        <v>1123.2</v>
      </c>
      <c r="AS2541" s="46">
        <v>13</v>
      </c>
      <c r="AT2541" s="46">
        <v>6500</v>
      </c>
      <c r="AU2541" s="46">
        <v>62970</v>
      </c>
      <c r="AV2541" s="46">
        <v>9.6880000000000006</v>
      </c>
      <c r="AW2541" s="46">
        <v>17</v>
      </c>
      <c r="AX2541" s="46">
        <v>6400</v>
      </c>
      <c r="AY2541" s="46">
        <v>63460.391000000003</v>
      </c>
      <c r="AZ2541" s="46">
        <v>9.9160000000000004</v>
      </c>
      <c r="BA2541" s="46" t="s">
        <v>63</v>
      </c>
      <c r="BB2541" s="46">
        <v>100</v>
      </c>
      <c r="BC2541" s="46">
        <v>490.39100000000002</v>
      </c>
      <c r="BD2541" s="46">
        <v>4.9039999999999999</v>
      </c>
      <c r="BE2541" s="46">
        <v>1459.2</v>
      </c>
      <c r="BF2541" s="46">
        <v>0</v>
      </c>
      <c r="BH2541" s="46">
        <v>11961.012000000001</v>
      </c>
      <c r="BI2541">
        <v>9.9700000000000006</v>
      </c>
      <c r="BJ2541">
        <v>-10980.23</v>
      </c>
      <c r="BK2541">
        <v>-9.15</v>
      </c>
      <c r="BL2541">
        <v>97.25</v>
      </c>
    </row>
    <row r="2542" spans="1:64" x14ac:dyDescent="0.25">
      <c r="A2542" s="136">
        <v>43175</v>
      </c>
      <c r="B2542" s="201" t="s">
        <v>72</v>
      </c>
      <c r="C2542" t="s">
        <v>130</v>
      </c>
      <c r="D2542">
        <v>3000</v>
      </c>
      <c r="E2542">
        <v>3000</v>
      </c>
      <c r="F2542">
        <v>6.8650000000000002</v>
      </c>
      <c r="G2542">
        <v>-1034.27</v>
      </c>
      <c r="H2542">
        <v>-5.0199999999999996</v>
      </c>
      <c r="I2542" s="309">
        <v>19560</v>
      </c>
      <c r="J2542">
        <v>6.52</v>
      </c>
      <c r="K2542" s="133">
        <v>4.04942937205151E-2</v>
      </c>
      <c r="L2542" s="181">
        <v>90</v>
      </c>
      <c r="M2542" s="133">
        <v>4.26355019601019E-2</v>
      </c>
      <c r="N2542" s="73">
        <v>-1345.98</v>
      </c>
      <c r="O2542" s="73">
        <v>-173.14450924498999</v>
      </c>
      <c r="P2542" s="182">
        <v>0</v>
      </c>
      <c r="Q2542" s="182">
        <v>0</v>
      </c>
      <c r="R2542" s="46">
        <v>0</v>
      </c>
      <c r="S2542" s="46">
        <v>12</v>
      </c>
      <c r="T2542" s="46">
        <v>4800</v>
      </c>
      <c r="U2542" s="46">
        <v>7.4889999999999999</v>
      </c>
      <c r="V2542" s="46" t="s">
        <v>68</v>
      </c>
      <c r="W2542" s="46">
        <v>4800</v>
      </c>
      <c r="X2542" s="46">
        <v>7.4889999999999999</v>
      </c>
      <c r="AF2542" s="46">
        <v>33</v>
      </c>
      <c r="AG2542" s="46">
        <v>16400</v>
      </c>
      <c r="AH2542" s="46">
        <v>124392</v>
      </c>
      <c r="AI2542" s="46">
        <v>7.585</v>
      </c>
      <c r="AJ2542" s="46">
        <v>33</v>
      </c>
      <c r="AK2542" s="46">
        <v>15200</v>
      </c>
      <c r="AL2542" s="46">
        <v>68678.153000000006</v>
      </c>
      <c r="AM2542" s="46">
        <v>4.5179999999999998</v>
      </c>
      <c r="AN2542" s="46" t="s">
        <v>63</v>
      </c>
      <c r="AO2542" s="46">
        <v>1200</v>
      </c>
      <c r="AP2542" s="46">
        <v>55713.847000000002</v>
      </c>
      <c r="AQ2542" s="46">
        <v>46.427999999999997</v>
      </c>
      <c r="AR2542" s="46">
        <v>-46618.400000000001</v>
      </c>
      <c r="AS2542" s="46">
        <v>33</v>
      </c>
      <c r="AT2542" s="46">
        <v>16400</v>
      </c>
      <c r="AU2542" s="46">
        <v>124392</v>
      </c>
      <c r="AV2542" s="46">
        <v>7.585</v>
      </c>
      <c r="AW2542" s="46">
        <v>46</v>
      </c>
      <c r="AX2542" s="46">
        <v>20500</v>
      </c>
      <c r="AY2542" s="46">
        <v>104530.205</v>
      </c>
      <c r="AZ2542" s="46">
        <v>5.0990000000000002</v>
      </c>
      <c r="BA2542" s="46" t="s">
        <v>69</v>
      </c>
      <c r="BB2542" s="46">
        <v>4100</v>
      </c>
      <c r="BC2542" s="46">
        <v>19861.794999999998</v>
      </c>
      <c r="BD2542" s="46">
        <v>4.8440000000000003</v>
      </c>
      <c r="BE2542" s="46">
        <v>-40770.400000000001</v>
      </c>
      <c r="BF2542" s="46">
        <v>0</v>
      </c>
      <c r="BH2542" s="46">
        <v>35852.052000000003</v>
      </c>
      <c r="BI2542">
        <v>7.47</v>
      </c>
      <c r="BJ2542">
        <v>-35852.052000000003</v>
      </c>
      <c r="BK2542">
        <v>-7.47</v>
      </c>
      <c r="BL2542">
        <v>-7150.06</v>
      </c>
    </row>
    <row r="2543" spans="1:64" x14ac:dyDescent="0.25">
      <c r="A2543" s="136">
        <v>43175</v>
      </c>
      <c r="B2543" s="201" t="s">
        <v>70</v>
      </c>
      <c r="C2543" t="s">
        <v>131</v>
      </c>
      <c r="D2543">
        <v>13600</v>
      </c>
      <c r="E2543">
        <v>13600</v>
      </c>
      <c r="F2543">
        <v>11.25</v>
      </c>
      <c r="G2543">
        <v>-34265.589999999997</v>
      </c>
      <c r="H2543">
        <v>-22.4</v>
      </c>
      <c r="I2543" s="309">
        <v>118728</v>
      </c>
      <c r="J2543">
        <v>8.73</v>
      </c>
      <c r="K2543" s="133">
        <v>0.245797878571028</v>
      </c>
      <c r="L2543" s="181">
        <v>1360</v>
      </c>
      <c r="M2543" s="133">
        <v>0.31673657315010501</v>
      </c>
      <c r="N2543" s="73">
        <v>-34672.5980000001</v>
      </c>
      <c r="O2543" s="73">
        <v>-3983.36341390805</v>
      </c>
      <c r="P2543" s="182">
        <v>3</v>
      </c>
      <c r="Q2543" s="182">
        <v>1500</v>
      </c>
      <c r="R2543" s="46">
        <v>8.2799999999999994</v>
      </c>
      <c r="S2543" s="46">
        <v>0</v>
      </c>
      <c r="T2543" s="46">
        <v>0</v>
      </c>
      <c r="U2543" s="46">
        <v>0</v>
      </c>
      <c r="V2543" s="46" t="s">
        <v>62</v>
      </c>
      <c r="W2543" s="46">
        <v>1500</v>
      </c>
      <c r="X2543" s="46">
        <v>8.2799999999999994</v>
      </c>
      <c r="AF2543" s="46">
        <v>131</v>
      </c>
      <c r="AG2543" s="46">
        <v>67100</v>
      </c>
      <c r="AH2543" s="46">
        <v>882133</v>
      </c>
      <c r="AI2543" s="46">
        <v>13.147</v>
      </c>
      <c r="AJ2543" s="46">
        <v>137</v>
      </c>
      <c r="AK2543" s="46">
        <v>55000</v>
      </c>
      <c r="AL2543" s="46">
        <v>741170.402</v>
      </c>
      <c r="AM2543" s="46">
        <v>13.476000000000001</v>
      </c>
      <c r="AN2543" s="46" t="s">
        <v>63</v>
      </c>
      <c r="AO2543" s="46">
        <v>12100</v>
      </c>
      <c r="AP2543" s="46">
        <v>140962.598</v>
      </c>
      <c r="AQ2543" s="46">
        <v>11.65</v>
      </c>
      <c r="AR2543" s="46">
        <v>18095</v>
      </c>
      <c r="AS2543" s="46">
        <v>134</v>
      </c>
      <c r="AT2543" s="46">
        <v>68600</v>
      </c>
      <c r="AU2543" s="46">
        <v>894568</v>
      </c>
      <c r="AV2543" s="46">
        <v>13.04</v>
      </c>
      <c r="AW2543" s="46">
        <v>138</v>
      </c>
      <c r="AX2543" s="46">
        <v>55000</v>
      </c>
      <c r="AY2543" s="46">
        <v>741575.402</v>
      </c>
      <c r="AZ2543" s="46">
        <v>13.483000000000001</v>
      </c>
      <c r="BA2543" s="46" t="s">
        <v>63</v>
      </c>
      <c r="BB2543" s="46">
        <v>13600</v>
      </c>
      <c r="BC2543" s="46">
        <v>152992.598</v>
      </c>
      <c r="BD2543" s="46">
        <v>11.249000000000001</v>
      </c>
      <c r="BE2543" s="46">
        <v>24365</v>
      </c>
      <c r="BF2543" s="46">
        <v>12435</v>
      </c>
      <c r="BG2543" s="46">
        <v>8.2899999999999991</v>
      </c>
      <c r="BH2543" s="46">
        <v>405</v>
      </c>
      <c r="BJ2543">
        <v>12030</v>
      </c>
      <c r="BK2543">
        <v>8.02</v>
      </c>
      <c r="BL2543">
        <v>2072.7399999999998</v>
      </c>
    </row>
    <row r="2544" spans="1:64" x14ac:dyDescent="0.25">
      <c r="A2544" s="136">
        <v>43175</v>
      </c>
      <c r="B2544" s="201" t="s">
        <v>137</v>
      </c>
      <c r="C2544" t="s">
        <v>138</v>
      </c>
      <c r="D2544">
        <v>100</v>
      </c>
      <c r="E2544">
        <v>100</v>
      </c>
      <c r="F2544">
        <v>-130.48500000000001</v>
      </c>
      <c r="G2544">
        <v>16572.5</v>
      </c>
      <c r="H2544">
        <v>0</v>
      </c>
      <c r="I2544" s="309">
        <v>3524</v>
      </c>
      <c r="J2544">
        <v>35.24</v>
      </c>
      <c r="K2544" s="133">
        <v>7.2955977030212298E-3</v>
      </c>
      <c r="L2544" s="181">
        <v>270</v>
      </c>
      <c r="M2544" s="133">
        <v>0</v>
      </c>
    </row>
    <row r="2545" spans="1:64" x14ac:dyDescent="0.25">
      <c r="A2545" s="136">
        <v>43175</v>
      </c>
      <c r="B2545" s="201" t="s">
        <v>835</v>
      </c>
      <c r="C2545" t="s">
        <v>839</v>
      </c>
      <c r="I2545" s="309">
        <v>12335.44</v>
      </c>
      <c r="K2545" s="133">
        <v>2.55375731355721E-2</v>
      </c>
      <c r="L2545" s="181">
        <v>0</v>
      </c>
      <c r="M2545" s="133">
        <v>0.232589658527521</v>
      </c>
    </row>
    <row r="2546" spans="1:64" x14ac:dyDescent="0.25">
      <c r="A2546" s="136">
        <v>43178</v>
      </c>
      <c r="B2546" s="201" t="s">
        <v>132</v>
      </c>
      <c r="C2546" t="s">
        <v>123</v>
      </c>
      <c r="D2546">
        <v>10002322</v>
      </c>
      <c r="E2546">
        <v>10002322</v>
      </c>
      <c r="F2546">
        <v>0.01</v>
      </c>
      <c r="G2546">
        <v>3268.78</v>
      </c>
      <c r="H2546">
        <v>0</v>
      </c>
      <c r="I2546" s="309">
        <v>100023.22</v>
      </c>
      <c r="J2546">
        <v>0.01</v>
      </c>
      <c r="K2546" s="133">
        <v>0.20714097274552001</v>
      </c>
      <c r="L2546" s="181">
        <v>10.640000000000301</v>
      </c>
      <c r="M2546" s="133">
        <v>0</v>
      </c>
    </row>
    <row r="2547" spans="1:64" x14ac:dyDescent="0.25">
      <c r="A2547" s="136">
        <v>43178</v>
      </c>
      <c r="B2547" s="201" t="s">
        <v>61</v>
      </c>
      <c r="C2547" t="s">
        <v>136</v>
      </c>
      <c r="D2547">
        <v>2400</v>
      </c>
      <c r="E2547">
        <v>2400</v>
      </c>
      <c r="F2547">
        <v>5.2380000000000004</v>
      </c>
      <c r="G2547">
        <v>-643.95000000000005</v>
      </c>
      <c r="H2547">
        <v>-5.12</v>
      </c>
      <c r="I2547" s="309">
        <v>11928</v>
      </c>
      <c r="J2547">
        <v>4.97</v>
      </c>
      <c r="K2547" s="133">
        <v>2.4702039415533301E-2</v>
      </c>
      <c r="L2547" s="181">
        <v>-24</v>
      </c>
      <c r="M2547" s="133">
        <v>2.6035614053497198E-2</v>
      </c>
      <c r="N2547" s="73">
        <v>-481.24099999999999</v>
      </c>
      <c r="O2547" s="73">
        <v>-95.436583234126999</v>
      </c>
      <c r="P2547" s="182">
        <v>3</v>
      </c>
      <c r="Q2547" s="182">
        <v>1500</v>
      </c>
      <c r="R2547" s="46">
        <v>5.327</v>
      </c>
      <c r="S2547" s="46">
        <v>0</v>
      </c>
      <c r="T2547" s="46">
        <v>0</v>
      </c>
      <c r="U2547" s="46">
        <v>0</v>
      </c>
      <c r="V2547" s="46" t="s">
        <v>62</v>
      </c>
      <c r="W2547" s="46">
        <v>1500</v>
      </c>
      <c r="X2547" s="46">
        <v>5.327</v>
      </c>
      <c r="AF2547" s="46">
        <v>10</v>
      </c>
      <c r="AG2547" s="46">
        <v>5000</v>
      </c>
      <c r="AH2547" s="46">
        <v>26378</v>
      </c>
      <c r="AI2547" s="46">
        <v>5.2759999999999998</v>
      </c>
      <c r="AJ2547" s="46">
        <v>10</v>
      </c>
      <c r="AK2547" s="46">
        <v>4100</v>
      </c>
      <c r="AL2547" s="46">
        <v>21806.659</v>
      </c>
      <c r="AM2547" s="46">
        <v>5.319</v>
      </c>
      <c r="AN2547" s="46" t="s">
        <v>63</v>
      </c>
      <c r="AO2547" s="46">
        <v>900</v>
      </c>
      <c r="AP2547" s="46">
        <v>4571.3410000000003</v>
      </c>
      <c r="AQ2547" s="46">
        <v>5.0789999999999997</v>
      </c>
      <c r="AR2547" s="46">
        <v>176.3</v>
      </c>
      <c r="AS2547" s="46">
        <v>13</v>
      </c>
      <c r="AT2547" s="46">
        <v>6500</v>
      </c>
      <c r="AU2547" s="46">
        <v>34383.9</v>
      </c>
      <c r="AV2547" s="46">
        <v>5.29</v>
      </c>
      <c r="AW2547" s="46">
        <v>10</v>
      </c>
      <c r="AX2547" s="46">
        <v>4100</v>
      </c>
      <c r="AY2547" s="46">
        <v>21806.659</v>
      </c>
      <c r="AZ2547" s="46">
        <v>5.319</v>
      </c>
      <c r="BA2547" s="46" t="s">
        <v>63</v>
      </c>
      <c r="BB2547" s="46">
        <v>2400</v>
      </c>
      <c r="BC2547" s="46">
        <v>12577.241</v>
      </c>
      <c r="BD2547" s="46">
        <v>5.2409999999999997</v>
      </c>
      <c r="BE2547" s="46">
        <v>118.9</v>
      </c>
      <c r="BF2547" s="46">
        <v>8005.9</v>
      </c>
      <c r="BG2547" s="46">
        <v>5.34</v>
      </c>
      <c r="BH2547" s="46">
        <v>0</v>
      </c>
      <c r="BJ2547">
        <v>8005.9</v>
      </c>
      <c r="BK2547">
        <v>5.34</v>
      </c>
      <c r="BL2547">
        <v>35.47</v>
      </c>
    </row>
    <row r="2548" spans="1:64" x14ac:dyDescent="0.25">
      <c r="A2548" s="136">
        <v>43178</v>
      </c>
      <c r="B2548" s="201" t="s">
        <v>124</v>
      </c>
      <c r="C2548" t="s">
        <v>125</v>
      </c>
      <c r="D2548">
        <v>100</v>
      </c>
      <c r="E2548">
        <v>100</v>
      </c>
      <c r="F2548">
        <v>-53.579000000000001</v>
      </c>
      <c r="G2548">
        <v>5997.9</v>
      </c>
      <c r="H2548">
        <v>0</v>
      </c>
      <c r="I2548" s="309">
        <v>640</v>
      </c>
      <c r="J2548">
        <v>6.4</v>
      </c>
      <c r="K2548" s="133">
        <v>1.32539446897563E-3</v>
      </c>
      <c r="L2548" s="181">
        <v>4</v>
      </c>
      <c r="M2548" s="133">
        <v>0</v>
      </c>
    </row>
    <row r="2549" spans="1:64" x14ac:dyDescent="0.25">
      <c r="A2549" s="136">
        <v>43178</v>
      </c>
      <c r="B2549" s="201" t="s">
        <v>71</v>
      </c>
      <c r="C2549" t="s">
        <v>126</v>
      </c>
      <c r="D2549">
        <v>1100</v>
      </c>
      <c r="E2549">
        <v>1100</v>
      </c>
      <c r="F2549">
        <v>4.6100000000000003</v>
      </c>
      <c r="G2549">
        <v>2243.5</v>
      </c>
      <c r="H2549">
        <v>44.25</v>
      </c>
      <c r="I2549" s="309">
        <v>7315</v>
      </c>
      <c r="J2549">
        <v>6.65</v>
      </c>
      <c r="K2549" s="133">
        <v>1.51488445946199E-2</v>
      </c>
      <c r="L2549" s="181">
        <v>55</v>
      </c>
      <c r="M2549" s="133">
        <v>1.0502715702203E-2</v>
      </c>
      <c r="N2549" s="73">
        <v>-5077.2979999999998</v>
      </c>
      <c r="O2549" s="73">
        <v>340.50361511976001</v>
      </c>
      <c r="P2549" s="182">
        <v>0</v>
      </c>
      <c r="Q2549" s="182">
        <v>0</v>
      </c>
      <c r="R2549" s="46">
        <v>0</v>
      </c>
      <c r="S2549" s="46">
        <v>5</v>
      </c>
      <c r="T2549" s="46">
        <v>2000</v>
      </c>
      <c r="U2549" s="46">
        <v>6.625</v>
      </c>
      <c r="V2549" s="46" t="s">
        <v>68</v>
      </c>
      <c r="W2549" s="46">
        <v>2000</v>
      </c>
      <c r="X2549" s="46">
        <v>6.625</v>
      </c>
      <c r="AF2549" s="46">
        <v>43</v>
      </c>
      <c r="AG2549" s="46">
        <v>21600</v>
      </c>
      <c r="AH2549" s="46">
        <v>138103.96</v>
      </c>
      <c r="AI2549" s="46">
        <v>6.3940000000000001</v>
      </c>
      <c r="AJ2549" s="46">
        <v>41</v>
      </c>
      <c r="AK2549" s="46">
        <v>18500</v>
      </c>
      <c r="AL2549" s="46">
        <v>119652.91099999999</v>
      </c>
      <c r="AM2549" s="46">
        <v>6.468</v>
      </c>
      <c r="AN2549" s="46" t="s">
        <v>63</v>
      </c>
      <c r="AO2549" s="46">
        <v>3100</v>
      </c>
      <c r="AP2549" s="46">
        <v>18451.048999999999</v>
      </c>
      <c r="AQ2549" s="46">
        <v>5.952</v>
      </c>
      <c r="AR2549" s="46">
        <v>1369</v>
      </c>
      <c r="AS2549" s="46">
        <v>43</v>
      </c>
      <c r="AT2549" s="46">
        <v>21600</v>
      </c>
      <c r="AU2549" s="46">
        <v>138103.96</v>
      </c>
      <c r="AV2549" s="46">
        <v>6.3940000000000001</v>
      </c>
      <c r="AW2549" s="46">
        <v>46</v>
      </c>
      <c r="AX2549" s="46">
        <v>20500</v>
      </c>
      <c r="AY2549" s="46">
        <v>132870.462</v>
      </c>
      <c r="AZ2549" s="46">
        <v>6.4809999999999999</v>
      </c>
      <c r="BA2549" s="46" t="s">
        <v>63</v>
      </c>
      <c r="BB2549" s="46">
        <v>1100</v>
      </c>
      <c r="BC2549" s="46">
        <v>5233.4979999999996</v>
      </c>
      <c r="BD2549" s="46">
        <v>4.758</v>
      </c>
      <c r="BE2549" s="46">
        <v>1783.5</v>
      </c>
      <c r="BF2549" s="46">
        <v>0</v>
      </c>
      <c r="BH2549" s="46">
        <v>13217.550999999999</v>
      </c>
      <c r="BI2549">
        <v>6.61</v>
      </c>
      <c r="BJ2549">
        <v>-13217.550999999999</v>
      </c>
      <c r="BK2549">
        <v>-6.61</v>
      </c>
      <c r="BL2549">
        <v>205.86</v>
      </c>
    </row>
    <row r="2550" spans="1:64" x14ac:dyDescent="0.25">
      <c r="A2550" s="136">
        <v>43178</v>
      </c>
      <c r="B2550" s="201" t="s">
        <v>79</v>
      </c>
      <c r="C2550" t="s">
        <v>143</v>
      </c>
      <c r="D2550">
        <v>5000</v>
      </c>
      <c r="E2550">
        <v>5000</v>
      </c>
      <c r="F2550">
        <v>16.681000000000001</v>
      </c>
      <c r="G2550">
        <v>-10656.66</v>
      </c>
      <c r="H2550">
        <v>-12.77</v>
      </c>
      <c r="I2550" s="309">
        <v>72750</v>
      </c>
      <c r="J2550">
        <v>14.55</v>
      </c>
      <c r="K2550" s="133">
        <v>0.15066007440308901</v>
      </c>
      <c r="L2550" s="181">
        <v>100</v>
      </c>
      <c r="M2550" s="133">
        <v>0.17272925912458001</v>
      </c>
      <c r="N2550" s="73">
        <v>-9660.3440000000792</v>
      </c>
      <c r="O2550" s="73">
        <v>-654.61110698305697</v>
      </c>
      <c r="P2550" s="182">
        <v>7</v>
      </c>
      <c r="Q2550" s="182">
        <v>4000</v>
      </c>
      <c r="R2550" s="46">
        <v>15.666</v>
      </c>
      <c r="S2550" s="46">
        <v>0</v>
      </c>
      <c r="T2550" s="46">
        <v>0</v>
      </c>
      <c r="U2550" s="46">
        <v>0</v>
      </c>
      <c r="V2550" s="46" t="s">
        <v>62</v>
      </c>
      <c r="W2550" s="46">
        <v>4000</v>
      </c>
      <c r="X2550" s="46">
        <v>15.666</v>
      </c>
      <c r="AF2550" s="46">
        <v>10</v>
      </c>
      <c r="AG2550" s="46">
        <v>5000</v>
      </c>
      <c r="AH2550" s="46">
        <v>82138</v>
      </c>
      <c r="AI2550" s="46">
        <v>16.428000000000001</v>
      </c>
      <c r="AJ2550" s="46">
        <v>10</v>
      </c>
      <c r="AK2550" s="46">
        <v>4000</v>
      </c>
      <c r="AL2550" s="46">
        <v>61430.055999999997</v>
      </c>
      <c r="AM2550" s="46">
        <v>15.358000000000001</v>
      </c>
      <c r="AN2550" s="46" t="s">
        <v>63</v>
      </c>
      <c r="AO2550" s="46">
        <v>1000</v>
      </c>
      <c r="AP2550" s="46">
        <v>20707.944</v>
      </c>
      <c r="AQ2550" s="46">
        <v>20.707999999999998</v>
      </c>
      <c r="AR2550" s="46">
        <v>-4280</v>
      </c>
      <c r="AS2550" s="46">
        <v>17</v>
      </c>
      <c r="AT2550" s="46">
        <v>9000</v>
      </c>
      <c r="AU2550" s="46">
        <v>144840.4</v>
      </c>
      <c r="AV2550" s="46">
        <v>16.093</v>
      </c>
      <c r="AW2550" s="46">
        <v>10</v>
      </c>
      <c r="AX2550" s="46">
        <v>4000</v>
      </c>
      <c r="AY2550" s="46">
        <v>61430.055999999997</v>
      </c>
      <c r="AZ2550" s="46">
        <v>15.358000000000001</v>
      </c>
      <c r="BA2550" s="46" t="s">
        <v>63</v>
      </c>
      <c r="BB2550" s="46">
        <v>5000</v>
      </c>
      <c r="BC2550" s="46">
        <v>83410.343999999997</v>
      </c>
      <c r="BD2550" s="46">
        <v>16.681999999999999</v>
      </c>
      <c r="BE2550" s="46">
        <v>-2940</v>
      </c>
      <c r="BF2550" s="46">
        <v>62702.400000000001</v>
      </c>
      <c r="BG2550" s="46">
        <v>15.68</v>
      </c>
      <c r="BH2550" s="46">
        <v>0</v>
      </c>
      <c r="BJ2550">
        <v>62702.400000000001</v>
      </c>
      <c r="BK2550">
        <v>15.68</v>
      </c>
      <c r="BL2550">
        <v>-294.16000000000003</v>
      </c>
    </row>
    <row r="2551" spans="1:64" x14ac:dyDescent="0.25">
      <c r="A2551" s="136">
        <v>43178</v>
      </c>
      <c r="B2551" s="201" t="s">
        <v>65</v>
      </c>
      <c r="C2551" t="s">
        <v>127</v>
      </c>
      <c r="D2551">
        <v>11200</v>
      </c>
      <c r="E2551">
        <v>10700</v>
      </c>
      <c r="F2551">
        <v>9.3170000000000002</v>
      </c>
      <c r="G2551">
        <v>7983.54</v>
      </c>
      <c r="H2551">
        <v>7.65</v>
      </c>
      <c r="I2551" s="309">
        <v>112336</v>
      </c>
      <c r="J2551">
        <v>10.029999999999999</v>
      </c>
      <c r="K2551" s="133">
        <v>0.23263986416694801</v>
      </c>
      <c r="L2551" s="181">
        <v>-1864</v>
      </c>
      <c r="M2551" s="133">
        <v>0.21610652079375101</v>
      </c>
      <c r="N2551" s="73">
        <v>4597.1209999999801</v>
      </c>
      <c r="O2551" s="73">
        <v>877.768067532131</v>
      </c>
      <c r="P2551" s="182">
        <v>1</v>
      </c>
      <c r="Q2551" s="182">
        <v>500</v>
      </c>
      <c r="R2551" s="46">
        <v>10.19</v>
      </c>
      <c r="S2551" s="46">
        <v>15</v>
      </c>
      <c r="T2551" s="46">
        <v>6400</v>
      </c>
      <c r="U2551" s="46">
        <v>12.17</v>
      </c>
      <c r="V2551" s="46" t="s">
        <v>68</v>
      </c>
      <c r="W2551" s="46">
        <v>5900</v>
      </c>
      <c r="X2551" s="46">
        <v>12.337999999999999</v>
      </c>
      <c r="AF2551" s="46">
        <v>170</v>
      </c>
      <c r="AG2551" s="46">
        <v>90700</v>
      </c>
      <c r="AH2551" s="46">
        <v>1050805.2309999999</v>
      </c>
      <c r="AI2551" s="46">
        <v>11.586</v>
      </c>
      <c r="AJ2551" s="46">
        <v>191</v>
      </c>
      <c r="AK2551" s="46">
        <v>82800</v>
      </c>
      <c r="AL2551" s="46">
        <v>872983.23699999996</v>
      </c>
      <c r="AM2551" s="46">
        <v>10.542999999999999</v>
      </c>
      <c r="AN2551" s="46" t="s">
        <v>63</v>
      </c>
      <c r="AO2551" s="46">
        <v>7900</v>
      </c>
      <c r="AP2551" s="46">
        <v>177821.99400000001</v>
      </c>
      <c r="AQ2551" s="46">
        <v>22.509</v>
      </c>
      <c r="AR2551" s="46">
        <v>-86360.4</v>
      </c>
      <c r="AS2551" s="46">
        <v>172</v>
      </c>
      <c r="AT2551" s="46">
        <v>91300</v>
      </c>
      <c r="AU2551" s="46">
        <v>1057193.2309999999</v>
      </c>
      <c r="AV2551" s="46">
        <v>11.579000000000001</v>
      </c>
      <c r="AW2551" s="46">
        <v>206</v>
      </c>
      <c r="AX2551" s="46">
        <v>89200</v>
      </c>
      <c r="AY2551" s="46">
        <v>950717.35</v>
      </c>
      <c r="AZ2551" s="46">
        <v>10.657999999999999</v>
      </c>
      <c r="BA2551" s="46" t="s">
        <v>63</v>
      </c>
      <c r="BB2551" s="46">
        <v>2100</v>
      </c>
      <c r="BC2551" s="46">
        <v>106475.88099999999</v>
      </c>
      <c r="BD2551" s="46">
        <v>50.703000000000003</v>
      </c>
      <c r="BE2551" s="46">
        <v>-82153.2</v>
      </c>
      <c r="BF2551" s="46">
        <v>6388</v>
      </c>
      <c r="BG2551" s="46">
        <v>12.78</v>
      </c>
      <c r="BH2551" s="46">
        <v>77734.112999999896</v>
      </c>
      <c r="BI2551">
        <v>12.15</v>
      </c>
      <c r="BJ2551">
        <v>-71346.112999999998</v>
      </c>
      <c r="BK2551">
        <v>-12.09</v>
      </c>
      <c r="BL2551">
        <v>-8610.2099999999991</v>
      </c>
    </row>
    <row r="2552" spans="1:64" x14ac:dyDescent="0.25">
      <c r="A2552" s="136">
        <v>43178</v>
      </c>
      <c r="B2552" s="201" t="s">
        <v>77</v>
      </c>
      <c r="C2552" t="s">
        <v>128</v>
      </c>
      <c r="D2552">
        <v>4300</v>
      </c>
      <c r="E2552">
        <v>4300</v>
      </c>
      <c r="F2552">
        <v>5.9779999999999998</v>
      </c>
      <c r="G2552">
        <v>-595.27</v>
      </c>
      <c r="H2552">
        <v>-2.31</v>
      </c>
      <c r="I2552" s="309">
        <v>25112</v>
      </c>
      <c r="J2552">
        <v>5.84</v>
      </c>
      <c r="K2552" s="133">
        <v>5.20051654764314E-2</v>
      </c>
      <c r="L2552" s="181">
        <v>0</v>
      </c>
      <c r="M2552" s="133">
        <v>5.3237927297598797E-2</v>
      </c>
      <c r="N2552" s="73">
        <v>-1272.2139999999999</v>
      </c>
      <c r="O2552" s="73">
        <v>-133.073774655173</v>
      </c>
      <c r="P2552" s="182">
        <v>6</v>
      </c>
      <c r="Q2552" s="182">
        <v>3000</v>
      </c>
      <c r="R2552" s="46">
        <v>6.798</v>
      </c>
      <c r="S2552" s="46">
        <v>0</v>
      </c>
      <c r="T2552" s="46">
        <v>0</v>
      </c>
      <c r="U2552" s="46">
        <v>0</v>
      </c>
      <c r="V2552" s="46" t="s">
        <v>62</v>
      </c>
      <c r="W2552" s="46">
        <v>3000</v>
      </c>
      <c r="X2552" s="46">
        <v>6.798</v>
      </c>
      <c r="AF2552" s="46">
        <v>39</v>
      </c>
      <c r="AG2552" s="46">
        <v>19500</v>
      </c>
      <c r="AH2552" s="46">
        <v>142169</v>
      </c>
      <c r="AI2552" s="46">
        <v>7.2910000000000004</v>
      </c>
      <c r="AJ2552" s="46">
        <v>39</v>
      </c>
      <c r="AK2552" s="46">
        <v>18200</v>
      </c>
      <c r="AL2552" s="46">
        <v>136881.78599999999</v>
      </c>
      <c r="AM2552" s="46">
        <v>7.5209999999999999</v>
      </c>
      <c r="AN2552" s="46" t="s">
        <v>63</v>
      </c>
      <c r="AO2552" s="46">
        <v>1300</v>
      </c>
      <c r="AP2552" s="46">
        <v>5287.2139999999999</v>
      </c>
      <c r="AQ2552" s="46">
        <v>4.0670000000000002</v>
      </c>
      <c r="AR2552" s="46">
        <v>4186</v>
      </c>
      <c r="AS2552" s="46">
        <v>45</v>
      </c>
      <c r="AT2552" s="46">
        <v>22500</v>
      </c>
      <c r="AU2552" s="46">
        <v>162594</v>
      </c>
      <c r="AV2552" s="46">
        <v>7.226</v>
      </c>
      <c r="AW2552" s="46">
        <v>39</v>
      </c>
      <c r="AX2552" s="46">
        <v>18200</v>
      </c>
      <c r="AY2552" s="46">
        <v>136881.78599999999</v>
      </c>
      <c r="AZ2552" s="46">
        <v>7.5209999999999999</v>
      </c>
      <c r="BA2552" s="46" t="s">
        <v>63</v>
      </c>
      <c r="BB2552" s="46">
        <v>4300</v>
      </c>
      <c r="BC2552" s="46">
        <v>25712.214</v>
      </c>
      <c r="BD2552" s="46">
        <v>5.98</v>
      </c>
      <c r="BE2552" s="46">
        <v>5369</v>
      </c>
      <c r="BF2552" s="46">
        <v>20425</v>
      </c>
      <c r="BG2552" s="46">
        <v>6.81</v>
      </c>
      <c r="BH2552" s="46">
        <v>0</v>
      </c>
      <c r="BJ2552">
        <v>20425</v>
      </c>
      <c r="BK2552">
        <v>6.81</v>
      </c>
      <c r="BL2552">
        <v>716.78</v>
      </c>
    </row>
    <row r="2553" spans="1:64" x14ac:dyDescent="0.25">
      <c r="A2553" s="136">
        <v>43178</v>
      </c>
      <c r="B2553" s="201" t="s">
        <v>67</v>
      </c>
      <c r="C2553" t="s">
        <v>129</v>
      </c>
      <c r="D2553">
        <v>600</v>
      </c>
      <c r="E2553">
        <v>100</v>
      </c>
      <c r="F2553">
        <v>5.07</v>
      </c>
      <c r="G2553">
        <v>2531.8000000000002</v>
      </c>
      <c r="H2553">
        <v>83.24</v>
      </c>
      <c r="I2553" s="309">
        <v>5574</v>
      </c>
      <c r="J2553">
        <v>9.2899999999999991</v>
      </c>
      <c r="K2553" s="133">
        <v>1.15433574532346E-2</v>
      </c>
      <c r="L2553" s="181">
        <v>-37</v>
      </c>
      <c r="M2553" s="133">
        <v>6.3001797711213598E-3</v>
      </c>
      <c r="N2553" s="73">
        <v>2523.5064999997599</v>
      </c>
      <c r="O2553" s="73">
        <v>271.79361495148402</v>
      </c>
      <c r="P2553" s="182">
        <v>0</v>
      </c>
      <c r="Q2553" s="182">
        <v>0</v>
      </c>
      <c r="R2553" s="46">
        <v>0</v>
      </c>
      <c r="S2553" s="46">
        <v>19</v>
      </c>
      <c r="T2553" s="46">
        <v>7600</v>
      </c>
      <c r="U2553" s="46">
        <v>8.8699999999999992</v>
      </c>
      <c r="V2553" s="46" t="s">
        <v>68</v>
      </c>
      <c r="W2553" s="46">
        <v>7600</v>
      </c>
      <c r="X2553" s="46">
        <v>8.8699999999999992</v>
      </c>
      <c r="AF2553" s="46">
        <v>175</v>
      </c>
      <c r="AG2553" s="46">
        <v>86900</v>
      </c>
      <c r="AH2553" s="46">
        <v>721020</v>
      </c>
      <c r="AI2553" s="46">
        <v>8.2970000000000006</v>
      </c>
      <c r="AJ2553" s="46">
        <v>178</v>
      </c>
      <c r="AK2553" s="46">
        <v>81300</v>
      </c>
      <c r="AL2553" s="46">
        <v>719854.03449999995</v>
      </c>
      <c r="AM2553" s="46">
        <v>8.8539999999999992</v>
      </c>
      <c r="AN2553" s="46" t="s">
        <v>63</v>
      </c>
      <c r="AO2553" s="46">
        <v>5600</v>
      </c>
      <c r="AP2553" s="46">
        <v>1165.9649999999999</v>
      </c>
      <c r="AQ2553" s="46">
        <v>0.20799999999999999</v>
      </c>
      <c r="AR2553" s="46">
        <v>45284.1</v>
      </c>
      <c r="AS2553" s="46">
        <v>175</v>
      </c>
      <c r="AT2553" s="46">
        <v>86900</v>
      </c>
      <c r="AU2553" s="46">
        <v>721020</v>
      </c>
      <c r="AV2553" s="46">
        <v>8.2970000000000006</v>
      </c>
      <c r="AW2553" s="46">
        <v>197</v>
      </c>
      <c r="AX2553" s="46">
        <v>88900</v>
      </c>
      <c r="AY2553" s="46">
        <v>787103.62250000006</v>
      </c>
      <c r="AZ2553" s="46">
        <v>8.8539999999999992</v>
      </c>
      <c r="BA2553" s="46" t="s">
        <v>69</v>
      </c>
      <c r="BB2553" s="46">
        <v>2000</v>
      </c>
      <c r="BC2553" s="46">
        <v>66083.623000000007</v>
      </c>
      <c r="BD2553" s="46">
        <v>33.042000000000002</v>
      </c>
      <c r="BE2553" s="46">
        <v>48403.3</v>
      </c>
      <c r="BF2553" s="46">
        <v>0</v>
      </c>
      <c r="BH2553" s="46">
        <v>67249.588000000105</v>
      </c>
      <c r="BI2553">
        <v>8.85</v>
      </c>
      <c r="BJ2553">
        <v>64917.658000000003</v>
      </c>
      <c r="BK2553">
        <v>8.5399999999999991</v>
      </c>
      <c r="BL2553">
        <v>4874.5</v>
      </c>
    </row>
    <row r="2554" spans="1:64" x14ac:dyDescent="0.25">
      <c r="A2554" s="136">
        <v>43178</v>
      </c>
      <c r="B2554" s="201" t="s">
        <v>78</v>
      </c>
      <c r="C2554" t="s">
        <v>142</v>
      </c>
      <c r="D2554">
        <v>100</v>
      </c>
      <c r="E2554">
        <v>100</v>
      </c>
      <c r="F2554">
        <v>-4.9039999999999999</v>
      </c>
      <c r="G2554">
        <v>1601.4</v>
      </c>
      <c r="H2554">
        <v>0</v>
      </c>
      <c r="I2554" s="309">
        <v>1111</v>
      </c>
      <c r="J2554">
        <v>11.11</v>
      </c>
      <c r="K2554" s="133">
        <v>2.3008019609873898E-3</v>
      </c>
      <c r="L2554" s="181">
        <v>-44</v>
      </c>
      <c r="M2554" s="133">
        <v>0</v>
      </c>
      <c r="N2554" s="73">
        <v>1506.3910000000001</v>
      </c>
      <c r="O2554" s="73">
        <v>148.19269729330699</v>
      </c>
      <c r="P2554" s="182">
        <v>0</v>
      </c>
      <c r="Q2554" s="182">
        <v>0</v>
      </c>
      <c r="R2554" s="46">
        <v>0</v>
      </c>
      <c r="S2554" s="46">
        <v>3</v>
      </c>
      <c r="T2554" s="46">
        <v>1200</v>
      </c>
      <c r="U2554" s="46">
        <v>9.99</v>
      </c>
      <c r="V2554" s="46" t="s">
        <v>68</v>
      </c>
      <c r="W2554" s="46">
        <v>1200</v>
      </c>
      <c r="X2554" s="46">
        <v>9.99</v>
      </c>
      <c r="AF2554" s="46">
        <v>13</v>
      </c>
      <c r="AG2554" s="46">
        <v>6500</v>
      </c>
      <c r="AH2554" s="46">
        <v>62970</v>
      </c>
      <c r="AI2554" s="46">
        <v>9.6880000000000006</v>
      </c>
      <c r="AJ2554" s="46">
        <v>14</v>
      </c>
      <c r="AK2554" s="46">
        <v>5200</v>
      </c>
      <c r="AL2554" s="46">
        <v>51499.379000000001</v>
      </c>
      <c r="AM2554" s="46">
        <v>9.9039999999999999</v>
      </c>
      <c r="AN2554" s="46" t="s">
        <v>63</v>
      </c>
      <c r="AO2554" s="46">
        <v>1300</v>
      </c>
      <c r="AP2554" s="46">
        <v>11470.620999999999</v>
      </c>
      <c r="AQ2554" s="46">
        <v>8.8239999999999998</v>
      </c>
      <c r="AR2554" s="46">
        <v>1123.2</v>
      </c>
      <c r="AS2554" s="46">
        <v>13</v>
      </c>
      <c r="AT2554" s="46">
        <v>6500</v>
      </c>
      <c r="AU2554" s="46">
        <v>62970</v>
      </c>
      <c r="AV2554" s="46">
        <v>9.6880000000000006</v>
      </c>
      <c r="AW2554" s="46">
        <v>17</v>
      </c>
      <c r="AX2554" s="46">
        <v>6400</v>
      </c>
      <c r="AY2554" s="46">
        <v>63460.391000000003</v>
      </c>
      <c r="AZ2554" s="46">
        <v>9.9160000000000004</v>
      </c>
      <c r="BA2554" s="46" t="s">
        <v>63</v>
      </c>
      <c r="BB2554" s="46">
        <v>100</v>
      </c>
      <c r="BC2554" s="46">
        <v>490.39100000000002</v>
      </c>
      <c r="BD2554" s="46">
        <v>4.9039999999999999</v>
      </c>
      <c r="BE2554" s="46">
        <v>1459.2</v>
      </c>
      <c r="BF2554" s="46">
        <v>0</v>
      </c>
      <c r="BH2554" s="46">
        <v>11961.012000000001</v>
      </c>
      <c r="BI2554">
        <v>9.9700000000000006</v>
      </c>
      <c r="BJ2554">
        <v>-10980.23</v>
      </c>
      <c r="BK2554">
        <v>-9.15</v>
      </c>
      <c r="BL2554">
        <v>101.1</v>
      </c>
    </row>
    <row r="2555" spans="1:64" x14ac:dyDescent="0.25">
      <c r="A2555" s="136">
        <v>43178</v>
      </c>
      <c r="B2555" s="201" t="s">
        <v>72</v>
      </c>
      <c r="C2555" t="s">
        <v>130</v>
      </c>
      <c r="D2555">
        <v>3000</v>
      </c>
      <c r="E2555">
        <v>3000</v>
      </c>
      <c r="F2555">
        <v>6.8650000000000002</v>
      </c>
      <c r="G2555">
        <v>-1094.27</v>
      </c>
      <c r="H2555">
        <v>-5.32</v>
      </c>
      <c r="I2555" s="309">
        <v>19500</v>
      </c>
      <c r="J2555">
        <v>6.5</v>
      </c>
      <c r="K2555" s="133">
        <v>4.0383112726601299E-2</v>
      </c>
      <c r="L2555" s="181">
        <v>-60</v>
      </c>
      <c r="M2555" s="133">
        <v>4.2649268047798103E-2</v>
      </c>
      <c r="N2555" s="73">
        <v>-1345.98</v>
      </c>
      <c r="O2555" s="73">
        <v>-173.14450924498999</v>
      </c>
      <c r="P2555" s="182">
        <v>0</v>
      </c>
      <c r="Q2555" s="182">
        <v>0</v>
      </c>
      <c r="R2555" s="46">
        <v>0</v>
      </c>
      <c r="S2555" s="46">
        <v>12</v>
      </c>
      <c r="T2555" s="46">
        <v>4800</v>
      </c>
      <c r="U2555" s="46">
        <v>7.4889999999999999</v>
      </c>
      <c r="V2555" s="46" t="s">
        <v>68</v>
      </c>
      <c r="W2555" s="46">
        <v>4800</v>
      </c>
      <c r="X2555" s="46">
        <v>7.4889999999999999</v>
      </c>
      <c r="AF2555" s="46">
        <v>33</v>
      </c>
      <c r="AG2555" s="46">
        <v>16400</v>
      </c>
      <c r="AH2555" s="46">
        <v>124392</v>
      </c>
      <c r="AI2555" s="46">
        <v>7.585</v>
      </c>
      <c r="AJ2555" s="46">
        <v>33</v>
      </c>
      <c r="AK2555" s="46">
        <v>15200</v>
      </c>
      <c r="AL2555" s="46">
        <v>68678.153000000006</v>
      </c>
      <c r="AM2555" s="46">
        <v>4.5179999999999998</v>
      </c>
      <c r="AN2555" s="46" t="s">
        <v>63</v>
      </c>
      <c r="AO2555" s="46">
        <v>1200</v>
      </c>
      <c r="AP2555" s="46">
        <v>55713.847000000002</v>
      </c>
      <c r="AQ2555" s="46">
        <v>46.427999999999997</v>
      </c>
      <c r="AR2555" s="46">
        <v>-46618.400000000001</v>
      </c>
      <c r="AS2555" s="46">
        <v>33</v>
      </c>
      <c r="AT2555" s="46">
        <v>16400</v>
      </c>
      <c r="AU2555" s="46">
        <v>124392</v>
      </c>
      <c r="AV2555" s="46">
        <v>7.585</v>
      </c>
      <c r="AW2555" s="46">
        <v>46</v>
      </c>
      <c r="AX2555" s="46">
        <v>20500</v>
      </c>
      <c r="AY2555" s="46">
        <v>104530.205</v>
      </c>
      <c r="AZ2555" s="46">
        <v>5.0990000000000002</v>
      </c>
      <c r="BA2555" s="46" t="s">
        <v>69</v>
      </c>
      <c r="BB2555" s="46">
        <v>4100</v>
      </c>
      <c r="BC2555" s="46">
        <v>19861.794999999998</v>
      </c>
      <c r="BD2555" s="46">
        <v>4.8440000000000003</v>
      </c>
      <c r="BE2555" s="46">
        <v>-40770.400000000001</v>
      </c>
      <c r="BF2555" s="46">
        <v>0</v>
      </c>
      <c r="BH2555" s="46">
        <v>35852.052000000003</v>
      </c>
      <c r="BI2555">
        <v>7.47</v>
      </c>
      <c r="BJ2555">
        <v>-35852.052000000003</v>
      </c>
      <c r="BK2555">
        <v>-7.47</v>
      </c>
      <c r="BL2555">
        <v>-7172.06</v>
      </c>
    </row>
    <row r="2556" spans="1:64" x14ac:dyDescent="0.25">
      <c r="A2556" s="136">
        <v>43178</v>
      </c>
      <c r="B2556" s="201" t="s">
        <v>70</v>
      </c>
      <c r="C2556" t="s">
        <v>131</v>
      </c>
      <c r="D2556">
        <v>13200</v>
      </c>
      <c r="E2556">
        <v>12800</v>
      </c>
      <c r="F2556">
        <v>11.321999999999999</v>
      </c>
      <c r="G2556">
        <v>-32630.14</v>
      </c>
      <c r="H2556">
        <v>-21.83</v>
      </c>
      <c r="I2556" s="309">
        <v>116820</v>
      </c>
      <c r="J2556">
        <v>8.85</v>
      </c>
      <c r="K2556" s="133">
        <v>0.24192590916520801</v>
      </c>
      <c r="L2556" s="181">
        <v>1635.45</v>
      </c>
      <c r="M2556" s="133">
        <v>0.309500607724428</v>
      </c>
      <c r="N2556" s="73">
        <v>-32233.15</v>
      </c>
      <c r="O2556" s="73">
        <v>-3628.0443046171199</v>
      </c>
      <c r="P2556" s="182">
        <v>2</v>
      </c>
      <c r="Q2556" s="182">
        <v>1000</v>
      </c>
      <c r="R2556" s="46">
        <v>8.07</v>
      </c>
      <c r="S2556" s="46">
        <v>0</v>
      </c>
      <c r="T2556" s="46">
        <v>0</v>
      </c>
      <c r="U2556" s="46">
        <v>0</v>
      </c>
      <c r="V2556" s="46" t="s">
        <v>62</v>
      </c>
      <c r="W2556" s="46">
        <v>1000</v>
      </c>
      <c r="X2556" s="46">
        <v>8.07</v>
      </c>
      <c r="AF2556" s="46">
        <v>132</v>
      </c>
      <c r="AG2556" s="46">
        <v>67600</v>
      </c>
      <c r="AH2556" s="46">
        <v>886488</v>
      </c>
      <c r="AI2556" s="46">
        <v>13.114000000000001</v>
      </c>
      <c r="AJ2556" s="46">
        <v>138</v>
      </c>
      <c r="AK2556" s="46">
        <v>55400</v>
      </c>
      <c r="AL2556" s="46">
        <v>744713.85</v>
      </c>
      <c r="AM2556" s="46">
        <v>13.442</v>
      </c>
      <c r="AN2556" s="46" t="s">
        <v>63</v>
      </c>
      <c r="AO2556" s="46">
        <v>12200</v>
      </c>
      <c r="AP2556" s="46">
        <v>141774.15</v>
      </c>
      <c r="AQ2556" s="46">
        <v>11.621</v>
      </c>
      <c r="AR2556" s="46">
        <v>18171.2</v>
      </c>
      <c r="AS2556" s="46">
        <v>134</v>
      </c>
      <c r="AT2556" s="46">
        <v>68600</v>
      </c>
      <c r="AU2556" s="46">
        <v>894568</v>
      </c>
      <c r="AV2556" s="46">
        <v>13.04</v>
      </c>
      <c r="AW2556" s="46">
        <v>139</v>
      </c>
      <c r="AX2556" s="46">
        <v>55400</v>
      </c>
      <c r="AY2556" s="46">
        <v>745118.85</v>
      </c>
      <c r="AZ2556" s="46">
        <v>13.45</v>
      </c>
      <c r="BA2556" s="46" t="s">
        <v>63</v>
      </c>
      <c r="BB2556" s="46">
        <v>13200</v>
      </c>
      <c r="BC2556" s="46">
        <v>149449.15</v>
      </c>
      <c r="BD2556" s="46">
        <v>11.321999999999999</v>
      </c>
      <c r="BE2556" s="46">
        <v>22714</v>
      </c>
      <c r="BF2556" s="46">
        <v>8080</v>
      </c>
      <c r="BG2556" s="46">
        <v>8.08</v>
      </c>
      <c r="BH2556" s="46">
        <v>405</v>
      </c>
      <c r="BJ2556">
        <v>7675</v>
      </c>
      <c r="BK2556">
        <v>7.68</v>
      </c>
      <c r="BL2556">
        <v>2053.2399999999998</v>
      </c>
    </row>
    <row r="2557" spans="1:64" x14ac:dyDescent="0.25">
      <c r="A2557" s="136">
        <v>43178</v>
      </c>
      <c r="B2557" s="201" t="s">
        <v>137</v>
      </c>
      <c r="C2557" t="s">
        <v>138</v>
      </c>
      <c r="D2557">
        <v>100</v>
      </c>
      <c r="E2557">
        <v>100</v>
      </c>
      <c r="F2557">
        <v>-130.48500000000001</v>
      </c>
      <c r="G2557">
        <v>16640.5</v>
      </c>
      <c r="H2557">
        <v>0</v>
      </c>
      <c r="I2557" s="309">
        <v>3592</v>
      </c>
      <c r="J2557">
        <v>35.92</v>
      </c>
      <c r="K2557" s="133">
        <v>7.4387764571257403E-3</v>
      </c>
      <c r="L2557" s="181">
        <v>68</v>
      </c>
      <c r="M2557" s="133">
        <v>0</v>
      </c>
    </row>
    <row r="2558" spans="1:64" x14ac:dyDescent="0.25">
      <c r="A2558" s="136">
        <v>43178</v>
      </c>
      <c r="B2558" s="201" t="s">
        <v>835</v>
      </c>
      <c r="C2558" t="s">
        <v>839</v>
      </c>
      <c r="I2558" s="309">
        <v>6173.89</v>
      </c>
      <c r="K2558" s="133">
        <v>1.27856869657249E-2</v>
      </c>
      <c r="L2558" s="181">
        <v>0</v>
      </c>
      <c r="M2558" s="133">
        <v>0.219926659711245</v>
      </c>
    </row>
    <row r="2559" spans="1:64" x14ac:dyDescent="0.25">
      <c r="A2559" s="136">
        <v>43179</v>
      </c>
      <c r="B2559" s="201" t="s">
        <v>132</v>
      </c>
      <c r="C2559" t="s">
        <v>123</v>
      </c>
      <c r="D2559">
        <v>8904983</v>
      </c>
      <c r="E2559">
        <v>8904983</v>
      </c>
      <c r="F2559">
        <v>0.01</v>
      </c>
      <c r="G2559">
        <v>3295.39</v>
      </c>
      <c r="H2559">
        <v>0</v>
      </c>
      <c r="I2559" s="309">
        <v>89049.83</v>
      </c>
      <c r="J2559">
        <v>0.01</v>
      </c>
      <c r="K2559" s="133">
        <v>0.18376285635668599</v>
      </c>
      <c r="L2559" s="181">
        <v>26.609999999999701</v>
      </c>
      <c r="M2559" s="133">
        <v>0</v>
      </c>
    </row>
    <row r="2560" spans="1:64" x14ac:dyDescent="0.25">
      <c r="A2560" s="136">
        <v>43179</v>
      </c>
      <c r="B2560" s="201" t="s">
        <v>61</v>
      </c>
      <c r="C2560" t="s">
        <v>136</v>
      </c>
      <c r="D2560">
        <v>2400</v>
      </c>
      <c r="E2560">
        <v>2400</v>
      </c>
      <c r="F2560">
        <v>5.2380000000000004</v>
      </c>
      <c r="G2560">
        <v>-619.95000000000005</v>
      </c>
      <c r="H2560">
        <v>-4.92</v>
      </c>
      <c r="I2560" s="309">
        <v>11952</v>
      </c>
      <c r="J2560">
        <v>4.9800000000000004</v>
      </c>
      <c r="K2560" s="133">
        <v>2.4664097159703899E-2</v>
      </c>
      <c r="L2560" s="181">
        <v>24</v>
      </c>
      <c r="M2560" s="133">
        <v>2.5943423384114699E-2</v>
      </c>
      <c r="N2560" s="73">
        <v>-481.24099999999999</v>
      </c>
      <c r="O2560" s="73">
        <v>-95.436583234126999</v>
      </c>
      <c r="P2560" s="182">
        <v>3</v>
      </c>
      <c r="Q2560" s="182">
        <v>1500</v>
      </c>
      <c r="R2560" s="46">
        <v>5.327</v>
      </c>
      <c r="S2560" s="46">
        <v>0</v>
      </c>
      <c r="T2560" s="46">
        <v>0</v>
      </c>
      <c r="U2560" s="46">
        <v>0</v>
      </c>
      <c r="V2560" s="46" t="s">
        <v>62</v>
      </c>
      <c r="W2560" s="46">
        <v>1500</v>
      </c>
      <c r="X2560" s="46">
        <v>5.327</v>
      </c>
      <c r="AF2560" s="46">
        <v>10</v>
      </c>
      <c r="AG2560" s="46">
        <v>5000</v>
      </c>
      <c r="AH2560" s="46">
        <v>26378</v>
      </c>
      <c r="AI2560" s="46">
        <v>5.2759999999999998</v>
      </c>
      <c r="AJ2560" s="46">
        <v>10</v>
      </c>
      <c r="AK2560" s="46">
        <v>4100</v>
      </c>
      <c r="AL2560" s="46">
        <v>21806.659</v>
      </c>
      <c r="AM2560" s="46">
        <v>5.319</v>
      </c>
      <c r="AN2560" s="46" t="s">
        <v>63</v>
      </c>
      <c r="AO2560" s="46">
        <v>900</v>
      </c>
      <c r="AP2560" s="46">
        <v>4571.3410000000003</v>
      </c>
      <c r="AQ2560" s="46">
        <v>5.0789999999999997</v>
      </c>
      <c r="AR2560" s="46">
        <v>176.3</v>
      </c>
      <c r="AS2560" s="46">
        <v>13</v>
      </c>
      <c r="AT2560" s="46">
        <v>6500</v>
      </c>
      <c r="AU2560" s="46">
        <v>34383.9</v>
      </c>
      <c r="AV2560" s="46">
        <v>5.29</v>
      </c>
      <c r="AW2560" s="46">
        <v>10</v>
      </c>
      <c r="AX2560" s="46">
        <v>4100</v>
      </c>
      <c r="AY2560" s="46">
        <v>21806.659</v>
      </c>
      <c r="AZ2560" s="46">
        <v>5.319</v>
      </c>
      <c r="BA2560" s="46" t="s">
        <v>63</v>
      </c>
      <c r="BB2560" s="46">
        <v>2400</v>
      </c>
      <c r="BC2560" s="46">
        <v>12577.241</v>
      </c>
      <c r="BD2560" s="46">
        <v>5.2409999999999997</v>
      </c>
      <c r="BE2560" s="46">
        <v>118.9</v>
      </c>
      <c r="BF2560" s="46">
        <v>8005.9</v>
      </c>
      <c r="BG2560" s="46">
        <v>5.34</v>
      </c>
      <c r="BH2560" s="46">
        <v>0</v>
      </c>
      <c r="BJ2560">
        <v>8005.9</v>
      </c>
      <c r="BK2560">
        <v>5.34</v>
      </c>
      <c r="BL2560">
        <v>35.4</v>
      </c>
    </row>
    <row r="2561" spans="1:64" x14ac:dyDescent="0.25">
      <c r="A2561" s="136">
        <v>43179</v>
      </c>
      <c r="B2561" s="201" t="s">
        <v>124</v>
      </c>
      <c r="C2561" t="s">
        <v>125</v>
      </c>
      <c r="D2561">
        <v>100</v>
      </c>
      <c r="E2561">
        <v>100</v>
      </c>
      <c r="F2561">
        <v>-53.579000000000001</v>
      </c>
      <c r="G2561">
        <v>6010.9</v>
      </c>
      <c r="H2561">
        <v>0</v>
      </c>
      <c r="I2561" s="309">
        <v>653</v>
      </c>
      <c r="J2561">
        <v>6.53</v>
      </c>
      <c r="K2561" s="133">
        <v>1.34752806603804E-3</v>
      </c>
      <c r="L2561" s="181">
        <v>13</v>
      </c>
      <c r="M2561" s="133">
        <v>0</v>
      </c>
    </row>
    <row r="2562" spans="1:64" x14ac:dyDescent="0.25">
      <c r="A2562" s="136">
        <v>43179</v>
      </c>
      <c r="B2562" s="201" t="s">
        <v>71</v>
      </c>
      <c r="C2562" t="s">
        <v>126</v>
      </c>
      <c r="D2562">
        <v>1100</v>
      </c>
      <c r="E2562">
        <v>1100</v>
      </c>
      <c r="F2562">
        <v>4.6100000000000003</v>
      </c>
      <c r="G2562">
        <v>2331.5</v>
      </c>
      <c r="H2562">
        <v>45.99</v>
      </c>
      <c r="I2562" s="309">
        <v>7403</v>
      </c>
      <c r="J2562">
        <v>6.73</v>
      </c>
      <c r="K2562" s="133">
        <v>1.52767998053286E-2</v>
      </c>
      <c r="L2562" s="181">
        <v>88</v>
      </c>
      <c r="M2562" s="133">
        <v>1.0465526166787E-2</v>
      </c>
      <c r="N2562" s="73">
        <v>-5077.2979999999998</v>
      </c>
      <c r="O2562" s="73">
        <v>340.50361511976001</v>
      </c>
      <c r="P2562" s="182">
        <v>0</v>
      </c>
      <c r="Q2562" s="182">
        <v>0</v>
      </c>
      <c r="R2562" s="46">
        <v>0</v>
      </c>
      <c r="S2562" s="46">
        <v>5</v>
      </c>
      <c r="T2562" s="46">
        <v>2000</v>
      </c>
      <c r="U2562" s="46">
        <v>6.625</v>
      </c>
      <c r="V2562" s="46" t="s">
        <v>68</v>
      </c>
      <c r="W2562" s="46">
        <v>2000</v>
      </c>
      <c r="X2562" s="46">
        <v>6.625</v>
      </c>
      <c r="AF2562" s="46">
        <v>43</v>
      </c>
      <c r="AG2562" s="46">
        <v>21600</v>
      </c>
      <c r="AH2562" s="46">
        <v>138103.96</v>
      </c>
      <c r="AI2562" s="46">
        <v>6.3940000000000001</v>
      </c>
      <c r="AJ2562" s="46">
        <v>41</v>
      </c>
      <c r="AK2562" s="46">
        <v>18500</v>
      </c>
      <c r="AL2562" s="46">
        <v>119652.91099999999</v>
      </c>
      <c r="AM2562" s="46">
        <v>6.468</v>
      </c>
      <c r="AN2562" s="46" t="s">
        <v>63</v>
      </c>
      <c r="AO2562" s="46">
        <v>3100</v>
      </c>
      <c r="AP2562" s="46">
        <v>18451.048999999999</v>
      </c>
      <c r="AQ2562" s="46">
        <v>5.952</v>
      </c>
      <c r="AR2562" s="46">
        <v>1369</v>
      </c>
      <c r="AS2562" s="46">
        <v>43</v>
      </c>
      <c r="AT2562" s="46">
        <v>21600</v>
      </c>
      <c r="AU2562" s="46">
        <v>138103.96</v>
      </c>
      <c r="AV2562" s="46">
        <v>6.3940000000000001</v>
      </c>
      <c r="AW2562" s="46">
        <v>46</v>
      </c>
      <c r="AX2562" s="46">
        <v>20500</v>
      </c>
      <c r="AY2562" s="46">
        <v>132870.462</v>
      </c>
      <c r="AZ2562" s="46">
        <v>6.4809999999999999</v>
      </c>
      <c r="BA2562" s="46" t="s">
        <v>63</v>
      </c>
      <c r="BB2562" s="46">
        <v>1100</v>
      </c>
      <c r="BC2562" s="46">
        <v>5233.4979999999996</v>
      </c>
      <c r="BD2562" s="46">
        <v>4.758</v>
      </c>
      <c r="BE2562" s="46">
        <v>1783.5</v>
      </c>
      <c r="BF2562" s="46">
        <v>0</v>
      </c>
      <c r="BH2562" s="46">
        <v>13217.550999999999</v>
      </c>
      <c r="BI2562">
        <v>6.61</v>
      </c>
      <c r="BJ2562">
        <v>-13217.550999999999</v>
      </c>
      <c r="BK2562">
        <v>-6.61</v>
      </c>
      <c r="BL2562">
        <v>203.42</v>
      </c>
    </row>
    <row r="2563" spans="1:64" x14ac:dyDescent="0.25">
      <c r="A2563" s="136">
        <v>43179</v>
      </c>
      <c r="B2563" s="201" t="s">
        <v>79</v>
      </c>
      <c r="C2563" t="s">
        <v>143</v>
      </c>
      <c r="D2563">
        <v>5000</v>
      </c>
      <c r="E2563">
        <v>5000</v>
      </c>
      <c r="F2563">
        <v>16.681000000000001</v>
      </c>
      <c r="G2563">
        <v>-10556.66</v>
      </c>
      <c r="H2563">
        <v>-12.65</v>
      </c>
      <c r="I2563" s="309">
        <v>72850</v>
      </c>
      <c r="J2563">
        <v>14.57</v>
      </c>
      <c r="K2563" s="133">
        <v>0.15033295499367699</v>
      </c>
      <c r="L2563" s="181">
        <v>100</v>
      </c>
      <c r="M2563" s="133">
        <v>0.172117634371351</v>
      </c>
      <c r="N2563" s="73">
        <v>-9660.3440000000792</v>
      </c>
      <c r="O2563" s="73">
        <v>-654.61110698305697</v>
      </c>
      <c r="P2563" s="182">
        <v>7</v>
      </c>
      <c r="Q2563" s="182">
        <v>4000</v>
      </c>
      <c r="R2563" s="46">
        <v>15.666</v>
      </c>
      <c r="S2563" s="46">
        <v>0</v>
      </c>
      <c r="T2563" s="46">
        <v>0</v>
      </c>
      <c r="U2563" s="46">
        <v>0</v>
      </c>
      <c r="V2563" s="46" t="s">
        <v>62</v>
      </c>
      <c r="W2563" s="46">
        <v>4000</v>
      </c>
      <c r="X2563" s="46">
        <v>15.666</v>
      </c>
      <c r="AF2563" s="46">
        <v>10</v>
      </c>
      <c r="AG2563" s="46">
        <v>5000</v>
      </c>
      <c r="AH2563" s="46">
        <v>82138</v>
      </c>
      <c r="AI2563" s="46">
        <v>16.428000000000001</v>
      </c>
      <c r="AJ2563" s="46">
        <v>10</v>
      </c>
      <c r="AK2563" s="46">
        <v>4000</v>
      </c>
      <c r="AL2563" s="46">
        <v>61430.055999999997</v>
      </c>
      <c r="AM2563" s="46">
        <v>15.358000000000001</v>
      </c>
      <c r="AN2563" s="46" t="s">
        <v>63</v>
      </c>
      <c r="AO2563" s="46">
        <v>1000</v>
      </c>
      <c r="AP2563" s="46">
        <v>20707.944</v>
      </c>
      <c r="AQ2563" s="46">
        <v>20.707999999999998</v>
      </c>
      <c r="AR2563" s="46">
        <v>-4280</v>
      </c>
      <c r="AS2563" s="46">
        <v>17</v>
      </c>
      <c r="AT2563" s="46">
        <v>9000</v>
      </c>
      <c r="AU2563" s="46">
        <v>144840.4</v>
      </c>
      <c r="AV2563" s="46">
        <v>16.093</v>
      </c>
      <c r="AW2563" s="46">
        <v>10</v>
      </c>
      <c r="AX2563" s="46">
        <v>4000</v>
      </c>
      <c r="AY2563" s="46">
        <v>61430.055999999997</v>
      </c>
      <c r="AZ2563" s="46">
        <v>15.358000000000001</v>
      </c>
      <c r="BA2563" s="46" t="s">
        <v>63</v>
      </c>
      <c r="BB2563" s="46">
        <v>5000</v>
      </c>
      <c r="BC2563" s="46">
        <v>83410.343999999997</v>
      </c>
      <c r="BD2563" s="46">
        <v>16.681999999999999</v>
      </c>
      <c r="BE2563" s="46">
        <v>-2940</v>
      </c>
      <c r="BF2563" s="46">
        <v>62702.400000000001</v>
      </c>
      <c r="BG2563" s="46">
        <v>15.68</v>
      </c>
      <c r="BH2563" s="46">
        <v>0</v>
      </c>
      <c r="BJ2563">
        <v>62702.400000000001</v>
      </c>
      <c r="BK2563">
        <v>15.68</v>
      </c>
      <c r="BL2563">
        <v>-293.75</v>
      </c>
    </row>
    <row r="2564" spans="1:64" x14ac:dyDescent="0.25">
      <c r="A2564" s="136">
        <v>43179</v>
      </c>
      <c r="B2564" s="201" t="s">
        <v>65</v>
      </c>
      <c r="C2564" t="s">
        <v>127</v>
      </c>
      <c r="D2564">
        <v>11700</v>
      </c>
      <c r="E2564">
        <v>11200</v>
      </c>
      <c r="F2564">
        <v>9.3460000000000001</v>
      </c>
      <c r="G2564">
        <v>7881.54</v>
      </c>
      <c r="H2564">
        <v>7.21</v>
      </c>
      <c r="I2564" s="309">
        <v>117234</v>
      </c>
      <c r="J2564">
        <v>10.02</v>
      </c>
      <c r="K2564" s="133">
        <v>0.241923591567999</v>
      </c>
      <c r="L2564" s="181">
        <v>-102</v>
      </c>
      <c r="M2564" s="133">
        <v>0.225659278622208</v>
      </c>
      <c r="N2564" s="73">
        <v>3248.1209999999801</v>
      </c>
      <c r="O2564" s="73">
        <v>753.34431058557004</v>
      </c>
      <c r="P2564" s="182">
        <v>2</v>
      </c>
      <c r="Q2564" s="182">
        <v>1000</v>
      </c>
      <c r="R2564" s="46">
        <v>10.09</v>
      </c>
      <c r="S2564" s="46">
        <v>15</v>
      </c>
      <c r="T2564" s="46">
        <v>6400</v>
      </c>
      <c r="U2564" s="46">
        <v>12.17</v>
      </c>
      <c r="V2564" s="46" t="s">
        <v>68</v>
      </c>
      <c r="W2564" s="46">
        <v>5400</v>
      </c>
      <c r="X2564" s="46">
        <v>12.555</v>
      </c>
      <c r="AF2564" s="46">
        <v>170</v>
      </c>
      <c r="AG2564" s="46">
        <v>90700</v>
      </c>
      <c r="AH2564" s="46">
        <v>1050805.2309999999</v>
      </c>
      <c r="AI2564" s="46">
        <v>11.586</v>
      </c>
      <c r="AJ2564" s="46">
        <v>191</v>
      </c>
      <c r="AK2564" s="46">
        <v>82800</v>
      </c>
      <c r="AL2564" s="46">
        <v>872983.23699999996</v>
      </c>
      <c r="AM2564" s="46">
        <v>10.542999999999999</v>
      </c>
      <c r="AN2564" s="46" t="s">
        <v>63</v>
      </c>
      <c r="AO2564" s="46">
        <v>7900</v>
      </c>
      <c r="AP2564" s="46">
        <v>177821.99400000001</v>
      </c>
      <c r="AQ2564" s="46">
        <v>22.509</v>
      </c>
      <c r="AR2564" s="46">
        <v>-86360.4</v>
      </c>
      <c r="AS2564" s="46">
        <v>173</v>
      </c>
      <c r="AT2564" s="46">
        <v>91800</v>
      </c>
      <c r="AU2564" s="46">
        <v>1062193.2309999999</v>
      </c>
      <c r="AV2564" s="46">
        <v>11.571</v>
      </c>
      <c r="AW2564" s="46">
        <v>206</v>
      </c>
      <c r="AX2564" s="46">
        <v>89200</v>
      </c>
      <c r="AY2564" s="46">
        <v>950717.35</v>
      </c>
      <c r="AZ2564" s="46">
        <v>10.657999999999999</v>
      </c>
      <c r="BA2564" s="46" t="s">
        <v>63</v>
      </c>
      <c r="BB2564" s="46">
        <v>2600</v>
      </c>
      <c r="BC2564" s="46">
        <v>111475.88099999999</v>
      </c>
      <c r="BD2564" s="46">
        <v>42.875</v>
      </c>
      <c r="BE2564" s="46">
        <v>-81439.600000000006</v>
      </c>
      <c r="BF2564" s="46">
        <v>11388</v>
      </c>
      <c r="BG2564" s="46">
        <v>11.39</v>
      </c>
      <c r="BH2564" s="46">
        <v>77734.112999999896</v>
      </c>
      <c r="BI2564">
        <v>12.15</v>
      </c>
      <c r="BJ2564">
        <v>-66346.112999999998</v>
      </c>
      <c r="BK2564">
        <v>-12.29</v>
      </c>
      <c r="BL2564">
        <v>-8618.7999999999993</v>
      </c>
    </row>
    <row r="2565" spans="1:64" x14ac:dyDescent="0.25">
      <c r="A2565" s="136">
        <v>43179</v>
      </c>
      <c r="B2565" s="201" t="s">
        <v>77</v>
      </c>
      <c r="C2565" t="s">
        <v>128</v>
      </c>
      <c r="D2565">
        <v>4300</v>
      </c>
      <c r="E2565">
        <v>4300</v>
      </c>
      <c r="F2565">
        <v>5.9779999999999998</v>
      </c>
      <c r="G2565">
        <v>-595.27</v>
      </c>
      <c r="H2565">
        <v>-2.31</v>
      </c>
      <c r="I2565" s="309">
        <v>25112</v>
      </c>
      <c r="J2565">
        <v>5.84</v>
      </c>
      <c r="K2565" s="133">
        <v>5.1821018061787398E-2</v>
      </c>
      <c r="L2565" s="181">
        <v>0</v>
      </c>
      <c r="M2565" s="133">
        <v>5.3049414741527801E-2</v>
      </c>
      <c r="N2565" s="73">
        <v>-1272.2139999999999</v>
      </c>
      <c r="O2565" s="73">
        <v>-133.073774655173</v>
      </c>
      <c r="P2565" s="182">
        <v>6</v>
      </c>
      <c r="Q2565" s="182">
        <v>3000</v>
      </c>
      <c r="R2565" s="46">
        <v>6.798</v>
      </c>
      <c r="S2565" s="46">
        <v>0</v>
      </c>
      <c r="T2565" s="46">
        <v>0</v>
      </c>
      <c r="U2565" s="46">
        <v>0</v>
      </c>
      <c r="V2565" s="46" t="s">
        <v>62</v>
      </c>
      <c r="W2565" s="46">
        <v>3000</v>
      </c>
      <c r="X2565" s="46">
        <v>6.798</v>
      </c>
      <c r="AF2565" s="46">
        <v>39</v>
      </c>
      <c r="AG2565" s="46">
        <v>19500</v>
      </c>
      <c r="AH2565" s="46">
        <v>142169</v>
      </c>
      <c r="AI2565" s="46">
        <v>7.2910000000000004</v>
      </c>
      <c r="AJ2565" s="46">
        <v>39</v>
      </c>
      <c r="AK2565" s="46">
        <v>18200</v>
      </c>
      <c r="AL2565" s="46">
        <v>136881.78599999999</v>
      </c>
      <c r="AM2565" s="46">
        <v>7.5209999999999999</v>
      </c>
      <c r="AN2565" s="46" t="s">
        <v>63</v>
      </c>
      <c r="AO2565" s="46">
        <v>1300</v>
      </c>
      <c r="AP2565" s="46">
        <v>5287.2139999999999</v>
      </c>
      <c r="AQ2565" s="46">
        <v>4.0670000000000002</v>
      </c>
      <c r="AR2565" s="46">
        <v>4186</v>
      </c>
      <c r="AS2565" s="46">
        <v>45</v>
      </c>
      <c r="AT2565" s="46">
        <v>22500</v>
      </c>
      <c r="AU2565" s="46">
        <v>162594</v>
      </c>
      <c r="AV2565" s="46">
        <v>7.226</v>
      </c>
      <c r="AW2565" s="46">
        <v>39</v>
      </c>
      <c r="AX2565" s="46">
        <v>18200</v>
      </c>
      <c r="AY2565" s="46">
        <v>136881.78599999999</v>
      </c>
      <c r="AZ2565" s="46">
        <v>7.5209999999999999</v>
      </c>
      <c r="BA2565" s="46" t="s">
        <v>63</v>
      </c>
      <c r="BB2565" s="46">
        <v>4300</v>
      </c>
      <c r="BC2565" s="46">
        <v>25712.214</v>
      </c>
      <c r="BD2565" s="46">
        <v>5.98</v>
      </c>
      <c r="BE2565" s="46">
        <v>5369</v>
      </c>
      <c r="BF2565" s="46">
        <v>20425</v>
      </c>
      <c r="BG2565" s="46">
        <v>6.81</v>
      </c>
      <c r="BH2565" s="46">
        <v>0</v>
      </c>
      <c r="BJ2565">
        <v>20425</v>
      </c>
      <c r="BK2565">
        <v>6.81</v>
      </c>
      <c r="BL2565">
        <v>716.78</v>
      </c>
    </row>
    <row r="2566" spans="1:64" x14ac:dyDescent="0.25">
      <c r="A2566" s="136">
        <v>43179</v>
      </c>
      <c r="B2566" s="201" t="s">
        <v>67</v>
      </c>
      <c r="C2566" t="s">
        <v>129</v>
      </c>
      <c r="D2566">
        <v>700</v>
      </c>
      <c r="E2566">
        <v>200</v>
      </c>
      <c r="F2566">
        <v>5.5810000000000004</v>
      </c>
      <c r="G2566">
        <v>2540.1</v>
      </c>
      <c r="H2566">
        <v>65.03</v>
      </c>
      <c r="I2566" s="309">
        <v>6447</v>
      </c>
      <c r="J2566">
        <v>9.2100000000000009</v>
      </c>
      <c r="K2566" s="133">
        <v>1.3304002207882399E-2</v>
      </c>
      <c r="L2566" s="181">
        <v>8.2999999999997307</v>
      </c>
      <c r="M2566" s="133">
        <v>8.0622624827013899E-3</v>
      </c>
      <c r="N2566" s="73">
        <v>2572.8024999997701</v>
      </c>
      <c r="O2566" s="73">
        <v>277.70152254317202</v>
      </c>
      <c r="P2566" s="182">
        <v>0</v>
      </c>
      <c r="Q2566" s="182">
        <v>0</v>
      </c>
      <c r="R2566" s="46">
        <v>0</v>
      </c>
      <c r="S2566" s="46">
        <v>19</v>
      </c>
      <c r="T2566" s="46">
        <v>7600</v>
      </c>
      <c r="U2566" s="46">
        <v>8.8789999999999996</v>
      </c>
      <c r="V2566" s="46" t="s">
        <v>68</v>
      </c>
      <c r="W2566" s="46">
        <v>7600</v>
      </c>
      <c r="X2566" s="46">
        <v>8.8789999999999996</v>
      </c>
      <c r="AF2566" s="46">
        <v>176</v>
      </c>
      <c r="AG2566" s="46">
        <v>87400</v>
      </c>
      <c r="AH2566" s="46">
        <v>725580</v>
      </c>
      <c r="AI2566" s="46">
        <v>8.3019999999999996</v>
      </c>
      <c r="AJ2566" s="46">
        <v>179</v>
      </c>
      <c r="AK2566" s="46">
        <v>81700</v>
      </c>
      <c r="AL2566" s="46">
        <v>723477.40249999997</v>
      </c>
      <c r="AM2566" s="46">
        <v>8.8550000000000004</v>
      </c>
      <c r="AN2566" s="46" t="s">
        <v>63</v>
      </c>
      <c r="AO2566" s="46">
        <v>5700</v>
      </c>
      <c r="AP2566" s="46">
        <v>2102.5970000000002</v>
      </c>
      <c r="AQ2566" s="46">
        <v>0.36899999999999999</v>
      </c>
      <c r="AR2566" s="46">
        <v>45180.1</v>
      </c>
      <c r="AS2566" s="46">
        <v>176</v>
      </c>
      <c r="AT2566" s="46">
        <v>87400</v>
      </c>
      <c r="AU2566" s="46">
        <v>725580</v>
      </c>
      <c r="AV2566" s="46">
        <v>8.3019999999999996</v>
      </c>
      <c r="AW2566" s="46">
        <v>198</v>
      </c>
      <c r="AX2566" s="46">
        <v>89300</v>
      </c>
      <c r="AY2566" s="46">
        <v>790798.91850000003</v>
      </c>
      <c r="AZ2566" s="46">
        <v>8.8559999999999999</v>
      </c>
      <c r="BA2566" s="46" t="s">
        <v>69</v>
      </c>
      <c r="BB2566" s="46">
        <v>1900</v>
      </c>
      <c r="BC2566" s="46">
        <v>65218.919000000002</v>
      </c>
      <c r="BD2566" s="46">
        <v>34.326000000000001</v>
      </c>
      <c r="BE2566" s="46">
        <v>48419.6</v>
      </c>
      <c r="BF2566" s="46">
        <v>0</v>
      </c>
      <c r="BH2566" s="46">
        <v>67321.516000000105</v>
      </c>
      <c r="BI2566">
        <v>8.86</v>
      </c>
      <c r="BJ2566">
        <v>63116.322</v>
      </c>
      <c r="BK2566">
        <v>8.3000000000000007</v>
      </c>
      <c r="BL2566">
        <v>4905.55</v>
      </c>
    </row>
    <row r="2567" spans="1:64" x14ac:dyDescent="0.25">
      <c r="A2567" s="136">
        <v>43179</v>
      </c>
      <c r="B2567" s="201" t="s">
        <v>78</v>
      </c>
      <c r="C2567" t="s">
        <v>142</v>
      </c>
      <c r="D2567">
        <v>100</v>
      </c>
      <c r="E2567">
        <v>100</v>
      </c>
      <c r="F2567">
        <v>-4.9039999999999999</v>
      </c>
      <c r="G2567">
        <v>1615.4</v>
      </c>
      <c r="H2567">
        <v>0</v>
      </c>
      <c r="I2567" s="309">
        <v>1125</v>
      </c>
      <c r="J2567">
        <v>11.25</v>
      </c>
      <c r="K2567" s="133">
        <v>2.32154528988176E-3</v>
      </c>
      <c r="L2567" s="181">
        <v>14</v>
      </c>
      <c r="M2567" s="133">
        <v>0</v>
      </c>
      <c r="N2567" s="73">
        <v>1506.3910000000001</v>
      </c>
      <c r="O2567" s="73">
        <v>148.19269729330699</v>
      </c>
      <c r="P2567" s="182">
        <v>0</v>
      </c>
      <c r="Q2567" s="182">
        <v>0</v>
      </c>
      <c r="R2567" s="46">
        <v>0</v>
      </c>
      <c r="S2567" s="46">
        <v>3</v>
      </c>
      <c r="T2567" s="46">
        <v>1200</v>
      </c>
      <c r="U2567" s="46">
        <v>9.99</v>
      </c>
      <c r="V2567" s="46" t="s">
        <v>68</v>
      </c>
      <c r="W2567" s="46">
        <v>1200</v>
      </c>
      <c r="X2567" s="46">
        <v>9.99</v>
      </c>
      <c r="AF2567" s="46">
        <v>13</v>
      </c>
      <c r="AG2567" s="46">
        <v>6500</v>
      </c>
      <c r="AH2567" s="46">
        <v>62970</v>
      </c>
      <c r="AI2567" s="46">
        <v>9.6880000000000006</v>
      </c>
      <c r="AJ2567" s="46">
        <v>14</v>
      </c>
      <c r="AK2567" s="46">
        <v>5200</v>
      </c>
      <c r="AL2567" s="46">
        <v>51499.379000000001</v>
      </c>
      <c r="AM2567" s="46">
        <v>9.9039999999999999</v>
      </c>
      <c r="AN2567" s="46" t="s">
        <v>63</v>
      </c>
      <c r="AO2567" s="46">
        <v>1300</v>
      </c>
      <c r="AP2567" s="46">
        <v>11470.620999999999</v>
      </c>
      <c r="AQ2567" s="46">
        <v>8.8239999999999998</v>
      </c>
      <c r="AR2567" s="46">
        <v>1123.2</v>
      </c>
      <c r="AS2567" s="46">
        <v>13</v>
      </c>
      <c r="AT2567" s="46">
        <v>6500</v>
      </c>
      <c r="AU2567" s="46">
        <v>62970</v>
      </c>
      <c r="AV2567" s="46">
        <v>9.6880000000000006</v>
      </c>
      <c r="AW2567" s="46">
        <v>17</v>
      </c>
      <c r="AX2567" s="46">
        <v>6400</v>
      </c>
      <c r="AY2567" s="46">
        <v>63460.391000000003</v>
      </c>
      <c r="AZ2567" s="46">
        <v>9.9160000000000004</v>
      </c>
      <c r="BA2567" s="46" t="s">
        <v>63</v>
      </c>
      <c r="BB2567" s="46">
        <v>100</v>
      </c>
      <c r="BC2567" s="46">
        <v>490.39100000000002</v>
      </c>
      <c r="BD2567" s="46">
        <v>4.9039999999999999</v>
      </c>
      <c r="BE2567" s="46">
        <v>1459.2</v>
      </c>
      <c r="BF2567" s="46">
        <v>0</v>
      </c>
      <c r="BH2567" s="46">
        <v>11961.012000000001</v>
      </c>
      <c r="BI2567">
        <v>9.9700000000000006</v>
      </c>
      <c r="BJ2567">
        <v>-10980.23</v>
      </c>
      <c r="BK2567">
        <v>-9.15</v>
      </c>
      <c r="BL2567">
        <v>99.84</v>
      </c>
    </row>
    <row r="2568" spans="1:64" x14ac:dyDescent="0.25">
      <c r="A2568" s="136">
        <v>43179</v>
      </c>
      <c r="B2568" s="201" t="s">
        <v>72</v>
      </c>
      <c r="C2568" t="s">
        <v>130</v>
      </c>
      <c r="D2568">
        <v>3000</v>
      </c>
      <c r="E2568">
        <v>3000</v>
      </c>
      <c r="F2568">
        <v>6.8650000000000002</v>
      </c>
      <c r="G2568">
        <v>-344.27</v>
      </c>
      <c r="H2568">
        <v>-1.67</v>
      </c>
      <c r="I2568" s="309">
        <v>20250</v>
      </c>
      <c r="J2568">
        <v>6.75</v>
      </c>
      <c r="K2568" s="133">
        <v>4.1787815217871803E-2</v>
      </c>
      <c r="L2568" s="181">
        <v>750</v>
      </c>
      <c r="M2568" s="133">
        <v>4.24982493484918E-2</v>
      </c>
      <c r="N2568" s="73">
        <v>-1345.98</v>
      </c>
      <c r="O2568" s="73">
        <v>-173.14450924498999</v>
      </c>
      <c r="P2568" s="182">
        <v>0</v>
      </c>
      <c r="Q2568" s="182">
        <v>0</v>
      </c>
      <c r="R2568" s="46">
        <v>0</v>
      </c>
      <c r="S2568" s="46">
        <v>12</v>
      </c>
      <c r="T2568" s="46">
        <v>4800</v>
      </c>
      <c r="U2568" s="46">
        <v>7.4889999999999999</v>
      </c>
      <c r="V2568" s="46" t="s">
        <v>68</v>
      </c>
      <c r="W2568" s="46">
        <v>4800</v>
      </c>
      <c r="X2568" s="46">
        <v>7.4889999999999999</v>
      </c>
      <c r="AF2568" s="46">
        <v>33</v>
      </c>
      <c r="AG2568" s="46">
        <v>16400</v>
      </c>
      <c r="AH2568" s="46">
        <v>124392</v>
      </c>
      <c r="AI2568" s="46">
        <v>7.585</v>
      </c>
      <c r="AJ2568" s="46">
        <v>33</v>
      </c>
      <c r="AK2568" s="46">
        <v>15200</v>
      </c>
      <c r="AL2568" s="46">
        <v>68678.153000000006</v>
      </c>
      <c r="AM2568" s="46">
        <v>4.5179999999999998</v>
      </c>
      <c r="AN2568" s="46" t="s">
        <v>63</v>
      </c>
      <c r="AO2568" s="46">
        <v>1200</v>
      </c>
      <c r="AP2568" s="46">
        <v>55713.847000000002</v>
      </c>
      <c r="AQ2568" s="46">
        <v>46.427999999999997</v>
      </c>
      <c r="AR2568" s="46">
        <v>-46618.400000000001</v>
      </c>
      <c r="AS2568" s="46">
        <v>33</v>
      </c>
      <c r="AT2568" s="46">
        <v>16400</v>
      </c>
      <c r="AU2568" s="46">
        <v>124392</v>
      </c>
      <c r="AV2568" s="46">
        <v>7.585</v>
      </c>
      <c r="AW2568" s="46">
        <v>46</v>
      </c>
      <c r="AX2568" s="46">
        <v>20500</v>
      </c>
      <c r="AY2568" s="46">
        <v>104530.205</v>
      </c>
      <c r="AZ2568" s="46">
        <v>5.0990000000000002</v>
      </c>
      <c r="BA2568" s="46" t="s">
        <v>69</v>
      </c>
      <c r="BB2568" s="46">
        <v>4100</v>
      </c>
      <c r="BC2568" s="46">
        <v>19861.794999999998</v>
      </c>
      <c r="BD2568" s="46">
        <v>4.8440000000000003</v>
      </c>
      <c r="BE2568" s="46">
        <v>-40770.400000000001</v>
      </c>
      <c r="BF2568" s="46">
        <v>0</v>
      </c>
      <c r="BH2568" s="46">
        <v>35852.052000000003</v>
      </c>
      <c r="BI2568">
        <v>7.47</v>
      </c>
      <c r="BJ2568">
        <v>-35852.052000000003</v>
      </c>
      <c r="BK2568">
        <v>-7.47</v>
      </c>
      <c r="BL2568">
        <v>-6906.43</v>
      </c>
    </row>
    <row r="2569" spans="1:64" x14ac:dyDescent="0.25">
      <c r="A2569" s="136">
        <v>43179</v>
      </c>
      <c r="B2569" s="201" t="s">
        <v>70</v>
      </c>
      <c r="C2569" t="s">
        <v>131</v>
      </c>
      <c r="D2569">
        <v>13200</v>
      </c>
      <c r="E2569">
        <v>13200</v>
      </c>
      <c r="F2569">
        <v>11.321999999999999</v>
      </c>
      <c r="G2569">
        <v>-31970.14</v>
      </c>
      <c r="H2569">
        <v>-21.39</v>
      </c>
      <c r="I2569" s="309">
        <v>117480</v>
      </c>
      <c r="J2569">
        <v>8.9</v>
      </c>
      <c r="K2569" s="133">
        <v>0.24243123613805301</v>
      </c>
      <c r="L2569" s="181">
        <v>660</v>
      </c>
      <c r="M2569" s="133">
        <v>0.30840468319037401</v>
      </c>
      <c r="N2569" s="73">
        <v>-32233.15</v>
      </c>
      <c r="O2569" s="73">
        <v>-3628.0443046171199</v>
      </c>
      <c r="P2569" s="182">
        <v>2</v>
      </c>
      <c r="Q2569" s="182">
        <v>1000</v>
      </c>
      <c r="R2569" s="46">
        <v>8.07</v>
      </c>
      <c r="S2569" s="46">
        <v>0</v>
      </c>
      <c r="T2569" s="46">
        <v>0</v>
      </c>
      <c r="U2569" s="46">
        <v>0</v>
      </c>
      <c r="V2569" s="46" t="s">
        <v>62</v>
      </c>
      <c r="W2569" s="46">
        <v>1000</v>
      </c>
      <c r="X2569" s="46">
        <v>8.07</v>
      </c>
      <c r="AF2569" s="46">
        <v>132</v>
      </c>
      <c r="AG2569" s="46">
        <v>67600</v>
      </c>
      <c r="AH2569" s="46">
        <v>886488</v>
      </c>
      <c r="AI2569" s="46">
        <v>13.114000000000001</v>
      </c>
      <c r="AJ2569" s="46">
        <v>138</v>
      </c>
      <c r="AK2569" s="46">
        <v>55400</v>
      </c>
      <c r="AL2569" s="46">
        <v>744713.85</v>
      </c>
      <c r="AM2569" s="46">
        <v>13.442</v>
      </c>
      <c r="AN2569" s="46" t="s">
        <v>63</v>
      </c>
      <c r="AO2569" s="46">
        <v>12200</v>
      </c>
      <c r="AP2569" s="46">
        <v>141774.15</v>
      </c>
      <c r="AQ2569" s="46">
        <v>11.621</v>
      </c>
      <c r="AR2569" s="46">
        <v>18171.2</v>
      </c>
      <c r="AS2569" s="46">
        <v>134</v>
      </c>
      <c r="AT2569" s="46">
        <v>68600</v>
      </c>
      <c r="AU2569" s="46">
        <v>894568</v>
      </c>
      <c r="AV2569" s="46">
        <v>13.04</v>
      </c>
      <c r="AW2569" s="46">
        <v>139</v>
      </c>
      <c r="AX2569" s="46">
        <v>55400</v>
      </c>
      <c r="AY2569" s="46">
        <v>745118.85</v>
      </c>
      <c r="AZ2569" s="46">
        <v>13.45</v>
      </c>
      <c r="BA2569" s="46" t="s">
        <v>63</v>
      </c>
      <c r="BB2569" s="46">
        <v>13200</v>
      </c>
      <c r="BC2569" s="46">
        <v>149449.15</v>
      </c>
      <c r="BD2569" s="46">
        <v>11.321999999999999</v>
      </c>
      <c r="BE2569" s="46">
        <v>22714</v>
      </c>
      <c r="BF2569" s="46">
        <v>8080</v>
      </c>
      <c r="BG2569" s="46">
        <v>8.08</v>
      </c>
      <c r="BH2569" s="46">
        <v>405</v>
      </c>
      <c r="BJ2569">
        <v>7675</v>
      </c>
      <c r="BK2569">
        <v>7.68</v>
      </c>
      <c r="BL2569">
        <v>2041.71</v>
      </c>
    </row>
    <row r="2570" spans="1:64" x14ac:dyDescent="0.25">
      <c r="A2570" s="136">
        <v>43179</v>
      </c>
      <c r="B2570" s="201" t="s">
        <v>137</v>
      </c>
      <c r="C2570" t="s">
        <v>138</v>
      </c>
      <c r="D2570">
        <v>100</v>
      </c>
      <c r="E2570">
        <v>100</v>
      </c>
      <c r="F2570">
        <v>-130.48500000000001</v>
      </c>
      <c r="G2570">
        <v>16774.5</v>
      </c>
      <c r="H2570">
        <v>0</v>
      </c>
      <c r="I2570" s="309">
        <v>3726</v>
      </c>
      <c r="J2570">
        <v>37.26</v>
      </c>
      <c r="K2570" s="133">
        <v>7.6889580000883999E-3</v>
      </c>
      <c r="L2570" s="181">
        <v>134</v>
      </c>
      <c r="M2570" s="133">
        <v>0</v>
      </c>
    </row>
    <row r="2571" spans="1:64" x14ac:dyDescent="0.25">
      <c r="A2571" s="136">
        <v>43179</v>
      </c>
      <c r="B2571" s="201" t="s">
        <v>835</v>
      </c>
      <c r="C2571" t="s">
        <v>839</v>
      </c>
      <c r="I2571" s="309">
        <v>11309.19</v>
      </c>
      <c r="K2571" s="133">
        <v>2.3337597135002601E-2</v>
      </c>
      <c r="L2571" s="181">
        <v>0</v>
      </c>
      <c r="M2571" s="133">
        <v>0.20710045349168901</v>
      </c>
    </row>
    <row r="2572" spans="1:64" x14ac:dyDescent="0.25">
      <c r="A2572" s="136">
        <v>43180</v>
      </c>
      <c r="B2572" s="201" t="s">
        <v>132</v>
      </c>
      <c r="C2572" t="s">
        <v>123</v>
      </c>
      <c r="D2572">
        <v>8905972</v>
      </c>
      <c r="E2572">
        <v>8905972</v>
      </c>
      <c r="F2572">
        <v>0.01</v>
      </c>
      <c r="G2572">
        <v>3305.28</v>
      </c>
      <c r="H2572">
        <v>0</v>
      </c>
      <c r="I2572" s="309">
        <v>89059.72</v>
      </c>
      <c r="J2572">
        <v>0.01</v>
      </c>
      <c r="K2572" s="133">
        <v>0.18412493244665301</v>
      </c>
      <c r="L2572" s="181">
        <v>9.8900000000003292</v>
      </c>
      <c r="M2572" s="133">
        <v>0</v>
      </c>
    </row>
    <row r="2573" spans="1:64" x14ac:dyDescent="0.25">
      <c r="A2573" s="136">
        <v>43180</v>
      </c>
      <c r="B2573" s="201" t="s">
        <v>61</v>
      </c>
      <c r="C2573" t="s">
        <v>136</v>
      </c>
      <c r="D2573">
        <v>2400</v>
      </c>
      <c r="E2573">
        <v>2400</v>
      </c>
      <c r="F2573">
        <v>5.2380000000000004</v>
      </c>
      <c r="G2573">
        <v>-499.95</v>
      </c>
      <c r="H2573">
        <v>-3.97</v>
      </c>
      <c r="I2573" s="309">
        <v>12072</v>
      </c>
      <c r="J2573">
        <v>5.03</v>
      </c>
      <c r="K2573" s="133">
        <v>2.4958041463593102E-2</v>
      </c>
      <c r="L2573" s="181">
        <v>120</v>
      </c>
      <c r="M2573" s="133">
        <v>2.5991654189713401E-2</v>
      </c>
      <c r="N2573" s="73">
        <v>-481.24099999999999</v>
      </c>
      <c r="O2573" s="73">
        <v>-95.436583234126999</v>
      </c>
      <c r="P2573" s="182">
        <v>3</v>
      </c>
      <c r="Q2573" s="182">
        <v>1500</v>
      </c>
      <c r="R2573" s="46">
        <v>5.327</v>
      </c>
      <c r="S2573" s="46">
        <v>0</v>
      </c>
      <c r="T2573" s="46">
        <v>0</v>
      </c>
      <c r="U2573" s="46">
        <v>0</v>
      </c>
      <c r="V2573" s="46" t="s">
        <v>62</v>
      </c>
      <c r="W2573" s="46">
        <v>1500</v>
      </c>
      <c r="X2573" s="46">
        <v>5.327</v>
      </c>
      <c r="AF2573" s="46">
        <v>10</v>
      </c>
      <c r="AG2573" s="46">
        <v>5000</v>
      </c>
      <c r="AH2573" s="46">
        <v>26378</v>
      </c>
      <c r="AI2573" s="46">
        <v>5.2759999999999998</v>
      </c>
      <c r="AJ2573" s="46">
        <v>10</v>
      </c>
      <c r="AK2573" s="46">
        <v>4100</v>
      </c>
      <c r="AL2573" s="46">
        <v>21806.659</v>
      </c>
      <c r="AM2573" s="46">
        <v>5.319</v>
      </c>
      <c r="AN2573" s="46" t="s">
        <v>63</v>
      </c>
      <c r="AO2573" s="46">
        <v>900</v>
      </c>
      <c r="AP2573" s="46">
        <v>4571.3410000000003</v>
      </c>
      <c r="AQ2573" s="46">
        <v>5.0789999999999997</v>
      </c>
      <c r="AR2573" s="46">
        <v>176.3</v>
      </c>
      <c r="AS2573" s="46">
        <v>13</v>
      </c>
      <c r="AT2573" s="46">
        <v>6500</v>
      </c>
      <c r="AU2573" s="46">
        <v>34383.9</v>
      </c>
      <c r="AV2573" s="46">
        <v>5.29</v>
      </c>
      <c r="AW2573" s="46">
        <v>10</v>
      </c>
      <c r="AX2573" s="46">
        <v>4100</v>
      </c>
      <c r="AY2573" s="46">
        <v>21806.659</v>
      </c>
      <c r="AZ2573" s="46">
        <v>5.319</v>
      </c>
      <c r="BA2573" s="46" t="s">
        <v>63</v>
      </c>
      <c r="BB2573" s="46">
        <v>2400</v>
      </c>
      <c r="BC2573" s="46">
        <v>12577.241</v>
      </c>
      <c r="BD2573" s="46">
        <v>5.2409999999999997</v>
      </c>
      <c r="BE2573" s="46">
        <v>118.9</v>
      </c>
      <c r="BF2573" s="46">
        <v>8005.9</v>
      </c>
      <c r="BG2573" s="46">
        <v>5.34</v>
      </c>
      <c r="BH2573" s="46">
        <v>0</v>
      </c>
      <c r="BJ2573">
        <v>8005.9</v>
      </c>
      <c r="BK2573">
        <v>5.34</v>
      </c>
      <c r="BL2573">
        <v>35.049999999999997</v>
      </c>
    </row>
    <row r="2574" spans="1:64" x14ac:dyDescent="0.25">
      <c r="A2574" s="136">
        <v>43180</v>
      </c>
      <c r="B2574" s="201" t="s">
        <v>124</v>
      </c>
      <c r="C2574" t="s">
        <v>125</v>
      </c>
      <c r="D2574">
        <v>100</v>
      </c>
      <c r="E2574">
        <v>100</v>
      </c>
      <c r="F2574">
        <v>-53.579000000000001</v>
      </c>
      <c r="G2574">
        <v>6006.9</v>
      </c>
      <c r="H2574">
        <v>0</v>
      </c>
      <c r="I2574" s="309">
        <v>649</v>
      </c>
      <c r="J2574">
        <v>6.49</v>
      </c>
      <c r="K2574" s="133">
        <v>1.34176349485354E-3</v>
      </c>
      <c r="L2574" s="181">
        <v>-4</v>
      </c>
      <c r="M2574" s="133">
        <v>0</v>
      </c>
    </row>
    <row r="2575" spans="1:64" x14ac:dyDescent="0.25">
      <c r="A2575" s="136">
        <v>43180</v>
      </c>
      <c r="B2575" s="201" t="s">
        <v>71</v>
      </c>
      <c r="C2575" t="s">
        <v>126</v>
      </c>
      <c r="D2575">
        <v>1100</v>
      </c>
      <c r="E2575">
        <v>1100</v>
      </c>
      <c r="F2575">
        <v>4.6100000000000003</v>
      </c>
      <c r="G2575">
        <v>2353.5</v>
      </c>
      <c r="H2575">
        <v>46.42</v>
      </c>
      <c r="I2575" s="309">
        <v>7425</v>
      </c>
      <c r="J2575">
        <v>6.75</v>
      </c>
      <c r="K2575" s="133">
        <v>1.5350684051290499E-2</v>
      </c>
      <c r="L2575" s="181">
        <v>22</v>
      </c>
      <c r="M2575" s="133">
        <v>1.04849823792754E-2</v>
      </c>
      <c r="N2575" s="73">
        <v>-5077.2979999999998</v>
      </c>
      <c r="O2575" s="73">
        <v>340.50361511976001</v>
      </c>
      <c r="P2575" s="182">
        <v>0</v>
      </c>
      <c r="Q2575" s="182">
        <v>0</v>
      </c>
      <c r="R2575" s="46">
        <v>0</v>
      </c>
      <c r="S2575" s="46">
        <v>5</v>
      </c>
      <c r="T2575" s="46">
        <v>2000</v>
      </c>
      <c r="U2575" s="46">
        <v>6.625</v>
      </c>
      <c r="V2575" s="46" t="s">
        <v>68</v>
      </c>
      <c r="W2575" s="46">
        <v>2000</v>
      </c>
      <c r="X2575" s="46">
        <v>6.625</v>
      </c>
      <c r="AF2575" s="46">
        <v>43</v>
      </c>
      <c r="AG2575" s="46">
        <v>21600</v>
      </c>
      <c r="AH2575" s="46">
        <v>138103.96</v>
      </c>
      <c r="AI2575" s="46">
        <v>6.3940000000000001</v>
      </c>
      <c r="AJ2575" s="46">
        <v>41</v>
      </c>
      <c r="AK2575" s="46">
        <v>18500</v>
      </c>
      <c r="AL2575" s="46">
        <v>119652.91099999999</v>
      </c>
      <c r="AM2575" s="46">
        <v>6.468</v>
      </c>
      <c r="AN2575" s="46" t="s">
        <v>63</v>
      </c>
      <c r="AO2575" s="46">
        <v>3100</v>
      </c>
      <c r="AP2575" s="46">
        <v>18451.048999999999</v>
      </c>
      <c r="AQ2575" s="46">
        <v>5.952</v>
      </c>
      <c r="AR2575" s="46">
        <v>1369</v>
      </c>
      <c r="AS2575" s="46">
        <v>43</v>
      </c>
      <c r="AT2575" s="46">
        <v>21600</v>
      </c>
      <c r="AU2575" s="46">
        <v>138103.96</v>
      </c>
      <c r="AV2575" s="46">
        <v>6.3940000000000001</v>
      </c>
      <c r="AW2575" s="46">
        <v>46</v>
      </c>
      <c r="AX2575" s="46">
        <v>20500</v>
      </c>
      <c r="AY2575" s="46">
        <v>132870.462</v>
      </c>
      <c r="AZ2575" s="46">
        <v>6.4809999999999999</v>
      </c>
      <c r="BA2575" s="46" t="s">
        <v>63</v>
      </c>
      <c r="BB2575" s="46">
        <v>1100</v>
      </c>
      <c r="BC2575" s="46">
        <v>5233.4979999999996</v>
      </c>
      <c r="BD2575" s="46">
        <v>4.758</v>
      </c>
      <c r="BE2575" s="46">
        <v>1783.5</v>
      </c>
      <c r="BF2575" s="46">
        <v>0</v>
      </c>
      <c r="BH2575" s="46">
        <v>13217.550999999999</v>
      </c>
      <c r="BI2575">
        <v>6.61</v>
      </c>
      <c r="BJ2575">
        <v>-13217.550999999999</v>
      </c>
      <c r="BK2575">
        <v>-6.61</v>
      </c>
      <c r="BL2575">
        <v>202.81</v>
      </c>
    </row>
    <row r="2576" spans="1:64" x14ac:dyDescent="0.25">
      <c r="A2576" s="136">
        <v>43180</v>
      </c>
      <c r="B2576" s="201" t="s">
        <v>79</v>
      </c>
      <c r="C2576" t="s">
        <v>143</v>
      </c>
      <c r="D2576">
        <v>5000</v>
      </c>
      <c r="E2576">
        <v>5000</v>
      </c>
      <c r="F2576">
        <v>16.681000000000001</v>
      </c>
      <c r="G2576">
        <v>-10506.66</v>
      </c>
      <c r="H2576">
        <v>-12.59</v>
      </c>
      <c r="I2576" s="309">
        <v>72900</v>
      </c>
      <c r="J2576">
        <v>14.58</v>
      </c>
      <c r="K2576" s="133">
        <v>0.15071580704903401</v>
      </c>
      <c r="L2576" s="181">
        <v>50</v>
      </c>
      <c r="M2576" s="133">
        <v>0.17243761419978601</v>
      </c>
      <c r="N2576" s="73">
        <v>-9660.3440000000792</v>
      </c>
      <c r="O2576" s="73">
        <v>-654.61110698305697</v>
      </c>
      <c r="P2576" s="182">
        <v>7</v>
      </c>
      <c r="Q2576" s="182">
        <v>4000</v>
      </c>
      <c r="R2576" s="46">
        <v>15.666</v>
      </c>
      <c r="S2576" s="46">
        <v>0</v>
      </c>
      <c r="T2576" s="46">
        <v>0</v>
      </c>
      <c r="U2576" s="46">
        <v>0</v>
      </c>
      <c r="V2576" s="46" t="s">
        <v>62</v>
      </c>
      <c r="W2576" s="46">
        <v>4000</v>
      </c>
      <c r="X2576" s="46">
        <v>15.666</v>
      </c>
      <c r="AF2576" s="46">
        <v>10</v>
      </c>
      <c r="AG2576" s="46">
        <v>5000</v>
      </c>
      <c r="AH2576" s="46">
        <v>82138</v>
      </c>
      <c r="AI2576" s="46">
        <v>16.428000000000001</v>
      </c>
      <c r="AJ2576" s="46">
        <v>10</v>
      </c>
      <c r="AK2576" s="46">
        <v>4000</v>
      </c>
      <c r="AL2576" s="46">
        <v>61430.055999999997</v>
      </c>
      <c r="AM2576" s="46">
        <v>15.358000000000001</v>
      </c>
      <c r="AN2576" s="46" t="s">
        <v>63</v>
      </c>
      <c r="AO2576" s="46">
        <v>1000</v>
      </c>
      <c r="AP2576" s="46">
        <v>20707.944</v>
      </c>
      <c r="AQ2576" s="46">
        <v>20.707999999999998</v>
      </c>
      <c r="AR2576" s="46">
        <v>-4280</v>
      </c>
      <c r="AS2576" s="46">
        <v>17</v>
      </c>
      <c r="AT2576" s="46">
        <v>9000</v>
      </c>
      <c r="AU2576" s="46">
        <v>144840.4</v>
      </c>
      <c r="AV2576" s="46">
        <v>16.093</v>
      </c>
      <c r="AW2576" s="46">
        <v>10</v>
      </c>
      <c r="AX2576" s="46">
        <v>4000</v>
      </c>
      <c r="AY2576" s="46">
        <v>61430.055999999997</v>
      </c>
      <c r="AZ2576" s="46">
        <v>15.358000000000001</v>
      </c>
      <c r="BA2576" s="46" t="s">
        <v>63</v>
      </c>
      <c r="BB2576" s="46">
        <v>5000</v>
      </c>
      <c r="BC2576" s="46">
        <v>83410.343999999997</v>
      </c>
      <c r="BD2576" s="46">
        <v>16.681999999999999</v>
      </c>
      <c r="BE2576" s="46">
        <v>-2940</v>
      </c>
      <c r="BF2576" s="46">
        <v>62702.400000000001</v>
      </c>
      <c r="BG2576" s="46">
        <v>15.68</v>
      </c>
      <c r="BH2576" s="46">
        <v>0</v>
      </c>
      <c r="BJ2576">
        <v>62702.400000000001</v>
      </c>
      <c r="BK2576">
        <v>15.68</v>
      </c>
      <c r="BL2576">
        <v>-293.55</v>
      </c>
    </row>
    <row r="2577" spans="1:64" x14ac:dyDescent="0.25">
      <c r="A2577" s="136">
        <v>43180</v>
      </c>
      <c r="B2577" s="201" t="s">
        <v>65</v>
      </c>
      <c r="C2577" t="s">
        <v>127</v>
      </c>
      <c r="D2577">
        <v>11700</v>
      </c>
      <c r="E2577">
        <v>11700</v>
      </c>
      <c r="F2577">
        <v>9.3460000000000001</v>
      </c>
      <c r="G2577">
        <v>8115.54</v>
      </c>
      <c r="H2577">
        <v>7.43</v>
      </c>
      <c r="I2577" s="309">
        <v>117468</v>
      </c>
      <c r="J2577">
        <v>10.039999999999999</v>
      </c>
      <c r="K2577" s="133">
        <v>0.24285712513629501</v>
      </c>
      <c r="L2577" s="181">
        <v>234</v>
      </c>
      <c r="M2577" s="133">
        <v>0.226078796456752</v>
      </c>
      <c r="N2577" s="73">
        <v>3248.1209999999801</v>
      </c>
      <c r="O2577" s="73">
        <v>753.34431058557004</v>
      </c>
      <c r="P2577" s="182">
        <v>2</v>
      </c>
      <c r="Q2577" s="182">
        <v>1000</v>
      </c>
      <c r="R2577" s="46">
        <v>10.09</v>
      </c>
      <c r="S2577" s="46">
        <v>15</v>
      </c>
      <c r="T2577" s="46">
        <v>6400</v>
      </c>
      <c r="U2577" s="46">
        <v>12.17</v>
      </c>
      <c r="V2577" s="46" t="s">
        <v>68</v>
      </c>
      <c r="W2577" s="46">
        <v>5400</v>
      </c>
      <c r="X2577" s="46">
        <v>12.555</v>
      </c>
      <c r="AF2577" s="46">
        <v>170</v>
      </c>
      <c r="AG2577" s="46">
        <v>90700</v>
      </c>
      <c r="AH2577" s="46">
        <v>1050805.2309999999</v>
      </c>
      <c r="AI2577" s="46">
        <v>11.586</v>
      </c>
      <c r="AJ2577" s="46">
        <v>191</v>
      </c>
      <c r="AK2577" s="46">
        <v>82800</v>
      </c>
      <c r="AL2577" s="46">
        <v>872983.23699999996</v>
      </c>
      <c r="AM2577" s="46">
        <v>10.542999999999999</v>
      </c>
      <c r="AN2577" s="46" t="s">
        <v>63</v>
      </c>
      <c r="AO2577" s="46">
        <v>7900</v>
      </c>
      <c r="AP2577" s="46">
        <v>177821.99400000001</v>
      </c>
      <c r="AQ2577" s="46">
        <v>22.509</v>
      </c>
      <c r="AR2577" s="46">
        <v>-86360.4</v>
      </c>
      <c r="AS2577" s="46">
        <v>173</v>
      </c>
      <c r="AT2577" s="46">
        <v>91800</v>
      </c>
      <c r="AU2577" s="46">
        <v>1062193.2309999999</v>
      </c>
      <c r="AV2577" s="46">
        <v>11.571</v>
      </c>
      <c r="AW2577" s="46">
        <v>206</v>
      </c>
      <c r="AX2577" s="46">
        <v>89200</v>
      </c>
      <c r="AY2577" s="46">
        <v>950717.35</v>
      </c>
      <c r="AZ2577" s="46">
        <v>10.657999999999999</v>
      </c>
      <c r="BA2577" s="46" t="s">
        <v>63</v>
      </c>
      <c r="BB2577" s="46">
        <v>2600</v>
      </c>
      <c r="BC2577" s="46">
        <v>111475.88099999999</v>
      </c>
      <c r="BD2577" s="46">
        <v>42.875</v>
      </c>
      <c r="BE2577" s="46">
        <v>-81439.600000000006</v>
      </c>
      <c r="BF2577" s="46">
        <v>11388</v>
      </c>
      <c r="BG2577" s="46">
        <v>11.39</v>
      </c>
      <c r="BH2577" s="46">
        <v>77734.112999999896</v>
      </c>
      <c r="BI2577">
        <v>12.15</v>
      </c>
      <c r="BJ2577">
        <v>-66346.112999999998</v>
      </c>
      <c r="BK2577">
        <v>-12.29</v>
      </c>
      <c r="BL2577">
        <v>-8601.6299999999992</v>
      </c>
    </row>
    <row r="2578" spans="1:64" x14ac:dyDescent="0.25">
      <c r="A2578" s="136">
        <v>43180</v>
      </c>
      <c r="B2578" s="201" t="s">
        <v>77</v>
      </c>
      <c r="C2578" t="s">
        <v>128</v>
      </c>
      <c r="D2578">
        <v>4300</v>
      </c>
      <c r="E2578">
        <v>4300</v>
      </c>
      <c r="F2578">
        <v>5.9779999999999998</v>
      </c>
      <c r="G2578">
        <v>-595.27</v>
      </c>
      <c r="H2578">
        <v>-2.31</v>
      </c>
      <c r="I2578" s="309">
        <v>25112</v>
      </c>
      <c r="J2578">
        <v>5.84</v>
      </c>
      <c r="K2578" s="133">
        <v>5.1917357292391601E-2</v>
      </c>
      <c r="L2578" s="181">
        <v>0</v>
      </c>
      <c r="M2578" s="133">
        <v>5.3148037655383E-2</v>
      </c>
      <c r="N2578" s="73">
        <v>-1272.2139999999999</v>
      </c>
      <c r="O2578" s="73">
        <v>-133.073774655173</v>
      </c>
      <c r="P2578" s="182">
        <v>6</v>
      </c>
      <c r="Q2578" s="182">
        <v>3000</v>
      </c>
      <c r="R2578" s="46">
        <v>6.798</v>
      </c>
      <c r="S2578" s="46">
        <v>0</v>
      </c>
      <c r="T2578" s="46">
        <v>0</v>
      </c>
      <c r="U2578" s="46">
        <v>0</v>
      </c>
      <c r="V2578" s="46" t="s">
        <v>62</v>
      </c>
      <c r="W2578" s="46">
        <v>3000</v>
      </c>
      <c r="X2578" s="46">
        <v>6.798</v>
      </c>
      <c r="AF2578" s="46">
        <v>39</v>
      </c>
      <c r="AG2578" s="46">
        <v>19500</v>
      </c>
      <c r="AH2578" s="46">
        <v>142169</v>
      </c>
      <c r="AI2578" s="46">
        <v>7.2910000000000004</v>
      </c>
      <c r="AJ2578" s="46">
        <v>39</v>
      </c>
      <c r="AK2578" s="46">
        <v>18200</v>
      </c>
      <c r="AL2578" s="46">
        <v>136881.78599999999</v>
      </c>
      <c r="AM2578" s="46">
        <v>7.5209999999999999</v>
      </c>
      <c r="AN2578" s="46" t="s">
        <v>63</v>
      </c>
      <c r="AO2578" s="46">
        <v>1300</v>
      </c>
      <c r="AP2578" s="46">
        <v>5287.2139999999999</v>
      </c>
      <c r="AQ2578" s="46">
        <v>4.0670000000000002</v>
      </c>
      <c r="AR2578" s="46">
        <v>4186</v>
      </c>
      <c r="AS2578" s="46">
        <v>45</v>
      </c>
      <c r="AT2578" s="46">
        <v>22500</v>
      </c>
      <c r="AU2578" s="46">
        <v>162594</v>
      </c>
      <c r="AV2578" s="46">
        <v>7.226</v>
      </c>
      <c r="AW2578" s="46">
        <v>39</v>
      </c>
      <c r="AX2578" s="46">
        <v>18200</v>
      </c>
      <c r="AY2578" s="46">
        <v>136881.78599999999</v>
      </c>
      <c r="AZ2578" s="46">
        <v>7.5209999999999999</v>
      </c>
      <c r="BA2578" s="46" t="s">
        <v>63</v>
      </c>
      <c r="BB2578" s="46">
        <v>4300</v>
      </c>
      <c r="BC2578" s="46">
        <v>25712.214</v>
      </c>
      <c r="BD2578" s="46">
        <v>5.98</v>
      </c>
      <c r="BE2578" s="46">
        <v>5369</v>
      </c>
      <c r="BF2578" s="46">
        <v>20425</v>
      </c>
      <c r="BG2578" s="46">
        <v>6.81</v>
      </c>
      <c r="BH2578" s="46">
        <v>0</v>
      </c>
      <c r="BJ2578">
        <v>20425</v>
      </c>
      <c r="BK2578">
        <v>6.81</v>
      </c>
      <c r="BL2578">
        <v>716.78</v>
      </c>
    </row>
    <row r="2579" spans="1:64" x14ac:dyDescent="0.25">
      <c r="A2579" s="136">
        <v>43180</v>
      </c>
      <c r="B2579" s="201" t="s">
        <v>67</v>
      </c>
      <c r="C2579" t="s">
        <v>129</v>
      </c>
      <c r="D2579">
        <v>700</v>
      </c>
      <c r="E2579">
        <v>700</v>
      </c>
      <c r="F2579">
        <v>5.5810000000000004</v>
      </c>
      <c r="G2579">
        <v>2421.1</v>
      </c>
      <c r="H2579">
        <v>61.98</v>
      </c>
      <c r="I2579" s="309">
        <v>6328</v>
      </c>
      <c r="J2579">
        <v>9.0399999999999991</v>
      </c>
      <c r="K2579" s="133">
        <v>1.3082710932870899E-2</v>
      </c>
      <c r="L2579" s="181">
        <v>-119</v>
      </c>
      <c r="M2579" s="133">
        <v>8.0772508444426801E-3</v>
      </c>
      <c r="N2579" s="73">
        <v>2572.8024999997701</v>
      </c>
      <c r="O2579" s="73">
        <v>277.70152254317202</v>
      </c>
      <c r="P2579" s="182">
        <v>0</v>
      </c>
      <c r="Q2579" s="182">
        <v>0</v>
      </c>
      <c r="R2579" s="46">
        <v>0</v>
      </c>
      <c r="S2579" s="46">
        <v>19</v>
      </c>
      <c r="T2579" s="46">
        <v>7600</v>
      </c>
      <c r="U2579" s="46">
        <v>8.8789999999999996</v>
      </c>
      <c r="V2579" s="46" t="s">
        <v>68</v>
      </c>
      <c r="W2579" s="46">
        <v>7600</v>
      </c>
      <c r="X2579" s="46">
        <v>8.8789999999999996</v>
      </c>
      <c r="AF2579" s="46">
        <v>176</v>
      </c>
      <c r="AG2579" s="46">
        <v>87400</v>
      </c>
      <c r="AH2579" s="46">
        <v>725580</v>
      </c>
      <c r="AI2579" s="46">
        <v>8.3019999999999996</v>
      </c>
      <c r="AJ2579" s="46">
        <v>179</v>
      </c>
      <c r="AK2579" s="46">
        <v>81700</v>
      </c>
      <c r="AL2579" s="46">
        <v>723477.40249999997</v>
      </c>
      <c r="AM2579" s="46">
        <v>8.8550000000000004</v>
      </c>
      <c r="AN2579" s="46" t="s">
        <v>63</v>
      </c>
      <c r="AO2579" s="46">
        <v>5700</v>
      </c>
      <c r="AP2579" s="46">
        <v>2102.5970000000002</v>
      </c>
      <c r="AQ2579" s="46">
        <v>0.36899999999999999</v>
      </c>
      <c r="AR2579" s="46">
        <v>45180.1</v>
      </c>
      <c r="AS2579" s="46">
        <v>176</v>
      </c>
      <c r="AT2579" s="46">
        <v>87400</v>
      </c>
      <c r="AU2579" s="46">
        <v>725580</v>
      </c>
      <c r="AV2579" s="46">
        <v>8.3019999999999996</v>
      </c>
      <c r="AW2579" s="46">
        <v>198</v>
      </c>
      <c r="AX2579" s="46">
        <v>89300</v>
      </c>
      <c r="AY2579" s="46">
        <v>790798.91850000003</v>
      </c>
      <c r="AZ2579" s="46">
        <v>8.8559999999999999</v>
      </c>
      <c r="BA2579" s="46" t="s">
        <v>69</v>
      </c>
      <c r="BB2579" s="46">
        <v>1900</v>
      </c>
      <c r="BC2579" s="46">
        <v>65218.919000000002</v>
      </c>
      <c r="BD2579" s="46">
        <v>34.326000000000001</v>
      </c>
      <c r="BE2579" s="46">
        <v>48419.6</v>
      </c>
      <c r="BF2579" s="46">
        <v>0</v>
      </c>
      <c r="BH2579" s="46">
        <v>67321.516000000105</v>
      </c>
      <c r="BI2579">
        <v>8.86</v>
      </c>
      <c r="BJ2579">
        <v>63116.322</v>
      </c>
      <c r="BK2579">
        <v>8.3000000000000007</v>
      </c>
      <c r="BL2579">
        <v>4997.8</v>
      </c>
    </row>
    <row r="2580" spans="1:64" x14ac:dyDescent="0.25">
      <c r="A2580" s="136">
        <v>43180</v>
      </c>
      <c r="B2580" s="201" t="s">
        <v>78</v>
      </c>
      <c r="C2580" t="s">
        <v>142</v>
      </c>
      <c r="D2580">
        <v>100</v>
      </c>
      <c r="E2580">
        <v>100</v>
      </c>
      <c r="F2580">
        <v>-4.9039999999999999</v>
      </c>
      <c r="G2580">
        <v>1578.4</v>
      </c>
      <c r="H2580">
        <v>0</v>
      </c>
      <c r="I2580" s="309">
        <v>1088</v>
      </c>
      <c r="J2580">
        <v>10.88</v>
      </c>
      <c r="K2580" s="133">
        <v>2.2493662286604799E-3</v>
      </c>
      <c r="L2580" s="181">
        <v>-37</v>
      </c>
      <c r="M2580" s="133">
        <v>0</v>
      </c>
      <c r="N2580" s="73">
        <v>1506.3910000000001</v>
      </c>
      <c r="O2580" s="73">
        <v>148.19269729330699</v>
      </c>
      <c r="P2580" s="182">
        <v>0</v>
      </c>
      <c r="Q2580" s="182">
        <v>0</v>
      </c>
      <c r="R2580" s="46">
        <v>0</v>
      </c>
      <c r="S2580" s="46">
        <v>3</v>
      </c>
      <c r="T2580" s="46">
        <v>1200</v>
      </c>
      <c r="U2580" s="46">
        <v>9.99</v>
      </c>
      <c r="V2580" s="46" t="s">
        <v>68</v>
      </c>
      <c r="W2580" s="46">
        <v>1200</v>
      </c>
      <c r="X2580" s="46">
        <v>9.99</v>
      </c>
      <c r="AF2580" s="46">
        <v>13</v>
      </c>
      <c r="AG2580" s="46">
        <v>6500</v>
      </c>
      <c r="AH2580" s="46">
        <v>62970</v>
      </c>
      <c r="AI2580" s="46">
        <v>9.6880000000000006</v>
      </c>
      <c r="AJ2580" s="46">
        <v>14</v>
      </c>
      <c r="AK2580" s="46">
        <v>5200</v>
      </c>
      <c r="AL2580" s="46">
        <v>51499.379000000001</v>
      </c>
      <c r="AM2580" s="46">
        <v>9.9039999999999999</v>
      </c>
      <c r="AN2580" s="46" t="s">
        <v>63</v>
      </c>
      <c r="AO2580" s="46">
        <v>1300</v>
      </c>
      <c r="AP2580" s="46">
        <v>11470.620999999999</v>
      </c>
      <c r="AQ2580" s="46">
        <v>8.8239999999999998</v>
      </c>
      <c r="AR2580" s="46">
        <v>1123.2</v>
      </c>
      <c r="AS2580" s="46">
        <v>13</v>
      </c>
      <c r="AT2580" s="46">
        <v>6500</v>
      </c>
      <c r="AU2580" s="46">
        <v>62970</v>
      </c>
      <c r="AV2580" s="46">
        <v>9.6880000000000006</v>
      </c>
      <c r="AW2580" s="46">
        <v>17</v>
      </c>
      <c r="AX2580" s="46">
        <v>6400</v>
      </c>
      <c r="AY2580" s="46">
        <v>63460.391000000003</v>
      </c>
      <c r="AZ2580" s="46">
        <v>9.9160000000000004</v>
      </c>
      <c r="BA2580" s="46" t="s">
        <v>63</v>
      </c>
      <c r="BB2580" s="46">
        <v>100</v>
      </c>
      <c r="BC2580" s="46">
        <v>490.39100000000002</v>
      </c>
      <c r="BD2580" s="46">
        <v>4.9039999999999999</v>
      </c>
      <c r="BE2580" s="46">
        <v>1459.2</v>
      </c>
      <c r="BF2580" s="46">
        <v>0</v>
      </c>
      <c r="BH2580" s="46">
        <v>11961.012000000001</v>
      </c>
      <c r="BI2580">
        <v>9.9700000000000006</v>
      </c>
      <c r="BJ2580">
        <v>-10980.23</v>
      </c>
      <c r="BK2580">
        <v>-9.15</v>
      </c>
      <c r="BL2580">
        <v>103.24</v>
      </c>
    </row>
    <row r="2581" spans="1:64" x14ac:dyDescent="0.25">
      <c r="A2581" s="136">
        <v>43180</v>
      </c>
      <c r="B2581" s="201" t="s">
        <v>72</v>
      </c>
      <c r="C2581" t="s">
        <v>130</v>
      </c>
      <c r="D2581">
        <v>3000</v>
      </c>
      <c r="E2581">
        <v>3000</v>
      </c>
      <c r="F2581">
        <v>6.8650000000000002</v>
      </c>
      <c r="G2581">
        <v>-584.27</v>
      </c>
      <c r="H2581">
        <v>-2.84</v>
      </c>
      <c r="I2581" s="309">
        <v>20010</v>
      </c>
      <c r="J2581">
        <v>6.67</v>
      </c>
      <c r="K2581" s="133">
        <v>4.1369318231154598E-2</v>
      </c>
      <c r="L2581" s="181">
        <v>-240</v>
      </c>
      <c r="M2581" s="133">
        <v>4.2577256839995997E-2</v>
      </c>
      <c r="N2581" s="73">
        <v>-1345.98</v>
      </c>
      <c r="O2581" s="73">
        <v>-173.14450924498999</v>
      </c>
      <c r="P2581" s="182">
        <v>0</v>
      </c>
      <c r="Q2581" s="182">
        <v>0</v>
      </c>
      <c r="R2581" s="46">
        <v>0</v>
      </c>
      <c r="S2581" s="46">
        <v>12</v>
      </c>
      <c r="T2581" s="46">
        <v>4800</v>
      </c>
      <c r="U2581" s="46">
        <v>7.4889999999999999</v>
      </c>
      <c r="V2581" s="46" t="s">
        <v>68</v>
      </c>
      <c r="W2581" s="46">
        <v>4800</v>
      </c>
      <c r="X2581" s="46">
        <v>7.4889999999999999</v>
      </c>
      <c r="AF2581" s="46">
        <v>33</v>
      </c>
      <c r="AG2581" s="46">
        <v>16400</v>
      </c>
      <c r="AH2581" s="46">
        <v>124392</v>
      </c>
      <c r="AI2581" s="46">
        <v>7.585</v>
      </c>
      <c r="AJ2581" s="46">
        <v>33</v>
      </c>
      <c r="AK2581" s="46">
        <v>15200</v>
      </c>
      <c r="AL2581" s="46">
        <v>68678.153000000006</v>
      </c>
      <c r="AM2581" s="46">
        <v>4.5179999999999998</v>
      </c>
      <c r="AN2581" s="46" t="s">
        <v>63</v>
      </c>
      <c r="AO2581" s="46">
        <v>1200</v>
      </c>
      <c r="AP2581" s="46">
        <v>55713.847000000002</v>
      </c>
      <c r="AQ2581" s="46">
        <v>46.427999999999997</v>
      </c>
      <c r="AR2581" s="46">
        <v>-46618.400000000001</v>
      </c>
      <c r="AS2581" s="46">
        <v>33</v>
      </c>
      <c r="AT2581" s="46">
        <v>16400</v>
      </c>
      <c r="AU2581" s="46">
        <v>124392</v>
      </c>
      <c r="AV2581" s="46">
        <v>7.585</v>
      </c>
      <c r="AW2581" s="46">
        <v>46</v>
      </c>
      <c r="AX2581" s="46">
        <v>20500</v>
      </c>
      <c r="AY2581" s="46">
        <v>104530.205</v>
      </c>
      <c r="AZ2581" s="46">
        <v>5.0990000000000002</v>
      </c>
      <c r="BA2581" s="46" t="s">
        <v>69</v>
      </c>
      <c r="BB2581" s="46">
        <v>4100</v>
      </c>
      <c r="BC2581" s="46">
        <v>19861.794999999998</v>
      </c>
      <c r="BD2581" s="46">
        <v>4.8440000000000003</v>
      </c>
      <c r="BE2581" s="46">
        <v>-40770.400000000001</v>
      </c>
      <c r="BF2581" s="46">
        <v>0</v>
      </c>
      <c r="BH2581" s="46">
        <v>35852.052000000003</v>
      </c>
      <c r="BI2581">
        <v>7.47</v>
      </c>
      <c r="BJ2581">
        <v>-35852.052000000003</v>
      </c>
      <c r="BK2581">
        <v>-7.47</v>
      </c>
      <c r="BL2581">
        <v>-6989.27</v>
      </c>
    </row>
    <row r="2582" spans="1:64" x14ac:dyDescent="0.25">
      <c r="A2582" s="136">
        <v>43180</v>
      </c>
      <c r="B2582" s="201" t="s">
        <v>70</v>
      </c>
      <c r="C2582" t="s">
        <v>131</v>
      </c>
      <c r="D2582">
        <v>13200</v>
      </c>
      <c r="E2582">
        <v>13200</v>
      </c>
      <c r="F2582">
        <v>11.321999999999999</v>
      </c>
      <c r="G2582">
        <v>-33158.14</v>
      </c>
      <c r="H2582">
        <v>-22.19</v>
      </c>
      <c r="I2582" s="309">
        <v>116292</v>
      </c>
      <c r="J2582">
        <v>8.81</v>
      </c>
      <c r="K2582" s="133">
        <v>0.24042582487443501</v>
      </c>
      <c r="L2582" s="181">
        <v>-1188</v>
      </c>
      <c r="M2582" s="133">
        <v>0.308978031052005</v>
      </c>
      <c r="N2582" s="73">
        <v>-32233.15</v>
      </c>
      <c r="O2582" s="73">
        <v>-3628.0443046171199</v>
      </c>
      <c r="P2582" s="182">
        <v>2</v>
      </c>
      <c r="Q2582" s="182">
        <v>1000</v>
      </c>
      <c r="R2582" s="46">
        <v>8.07</v>
      </c>
      <c r="S2582" s="46">
        <v>0</v>
      </c>
      <c r="T2582" s="46">
        <v>0</v>
      </c>
      <c r="U2582" s="46">
        <v>0</v>
      </c>
      <c r="V2582" s="46" t="s">
        <v>62</v>
      </c>
      <c r="W2582" s="46">
        <v>1000</v>
      </c>
      <c r="X2582" s="46">
        <v>8.07</v>
      </c>
      <c r="AF2582" s="46">
        <v>132</v>
      </c>
      <c r="AG2582" s="46">
        <v>67600</v>
      </c>
      <c r="AH2582" s="46">
        <v>886488</v>
      </c>
      <c r="AI2582" s="46">
        <v>13.114000000000001</v>
      </c>
      <c r="AJ2582" s="46">
        <v>138</v>
      </c>
      <c r="AK2582" s="46">
        <v>55400</v>
      </c>
      <c r="AL2582" s="46">
        <v>744713.85</v>
      </c>
      <c r="AM2582" s="46">
        <v>13.442</v>
      </c>
      <c r="AN2582" s="46" t="s">
        <v>63</v>
      </c>
      <c r="AO2582" s="46">
        <v>12200</v>
      </c>
      <c r="AP2582" s="46">
        <v>141774.15</v>
      </c>
      <c r="AQ2582" s="46">
        <v>11.621</v>
      </c>
      <c r="AR2582" s="46">
        <v>18171.2</v>
      </c>
      <c r="AS2582" s="46">
        <v>134</v>
      </c>
      <c r="AT2582" s="46">
        <v>68600</v>
      </c>
      <c r="AU2582" s="46">
        <v>894568</v>
      </c>
      <c r="AV2582" s="46">
        <v>13.04</v>
      </c>
      <c r="AW2582" s="46">
        <v>139</v>
      </c>
      <c r="AX2582" s="46">
        <v>55400</v>
      </c>
      <c r="AY2582" s="46">
        <v>745118.85</v>
      </c>
      <c r="AZ2582" s="46">
        <v>13.45</v>
      </c>
      <c r="BA2582" s="46" t="s">
        <v>63</v>
      </c>
      <c r="BB2582" s="46">
        <v>13200</v>
      </c>
      <c r="BC2582" s="46">
        <v>149449.15</v>
      </c>
      <c r="BD2582" s="46">
        <v>11.321999999999999</v>
      </c>
      <c r="BE2582" s="46">
        <v>22714</v>
      </c>
      <c r="BF2582" s="46">
        <v>8080</v>
      </c>
      <c r="BG2582" s="46">
        <v>8.08</v>
      </c>
      <c r="BH2582" s="46">
        <v>405</v>
      </c>
      <c r="BJ2582">
        <v>7675</v>
      </c>
      <c r="BK2582">
        <v>7.68</v>
      </c>
      <c r="BL2582">
        <v>2062.5700000000002</v>
      </c>
    </row>
    <row r="2583" spans="1:64" x14ac:dyDescent="0.25">
      <c r="A2583" s="136">
        <v>43180</v>
      </c>
      <c r="B2583" s="201" t="s">
        <v>137</v>
      </c>
      <c r="C2583" t="s">
        <v>138</v>
      </c>
      <c r="D2583">
        <v>100</v>
      </c>
      <c r="E2583">
        <v>100</v>
      </c>
      <c r="F2583">
        <v>-130.48500000000001</v>
      </c>
      <c r="G2583">
        <v>17014.5</v>
      </c>
      <c r="H2583">
        <v>0</v>
      </c>
      <c r="I2583" s="309">
        <v>3966</v>
      </c>
      <c r="J2583">
        <v>39.659999999999997</v>
      </c>
      <c r="K2583" s="133">
        <v>8.1994360871943707E-3</v>
      </c>
      <c r="L2583" s="181">
        <v>240</v>
      </c>
      <c r="M2583" s="133">
        <v>0</v>
      </c>
    </row>
    <row r="2584" spans="1:64" x14ac:dyDescent="0.25">
      <c r="A2584" s="136">
        <v>43180</v>
      </c>
      <c r="B2584" s="201" t="s">
        <v>835</v>
      </c>
      <c r="C2584" t="s">
        <v>839</v>
      </c>
      <c r="I2584" s="309">
        <v>11322.08</v>
      </c>
      <c r="K2584" s="133">
        <v>2.3407632711573801E-2</v>
      </c>
      <c r="L2584" s="181">
        <v>0</v>
      </c>
      <c r="M2584" s="133">
        <v>0.20753256515822699</v>
      </c>
    </row>
    <row r="2585" spans="1:64" x14ac:dyDescent="0.25">
      <c r="A2585" s="136">
        <v>43181</v>
      </c>
      <c r="B2585" s="201" t="s">
        <v>132</v>
      </c>
      <c r="C2585" t="s">
        <v>123</v>
      </c>
      <c r="D2585">
        <v>8906840</v>
      </c>
      <c r="E2585">
        <v>8906840</v>
      </c>
      <c r="F2585">
        <v>0.01</v>
      </c>
      <c r="G2585">
        <v>3313.96</v>
      </c>
      <c r="H2585">
        <v>0</v>
      </c>
      <c r="I2585" s="309">
        <v>89068.4</v>
      </c>
      <c r="J2585">
        <v>0.01</v>
      </c>
      <c r="K2585" s="133">
        <v>0.18279357227395099</v>
      </c>
      <c r="L2585" s="181">
        <v>8.6799999999998398</v>
      </c>
      <c r="M2585" s="133">
        <v>0</v>
      </c>
    </row>
    <row r="2586" spans="1:64" x14ac:dyDescent="0.25">
      <c r="A2586" s="136">
        <v>43181</v>
      </c>
      <c r="B2586" s="201" t="s">
        <v>61</v>
      </c>
      <c r="C2586" t="s">
        <v>136</v>
      </c>
      <c r="D2586">
        <v>2400</v>
      </c>
      <c r="E2586">
        <v>2400</v>
      </c>
      <c r="F2586">
        <v>5.2380000000000004</v>
      </c>
      <c r="G2586">
        <v>-475.95</v>
      </c>
      <c r="H2586">
        <v>-3.78</v>
      </c>
      <c r="I2586" s="309">
        <v>12096</v>
      </c>
      <c r="J2586">
        <v>5.04</v>
      </c>
      <c r="K2586" s="133">
        <v>2.4824416406107101E-2</v>
      </c>
      <c r="L2586" s="181">
        <v>24</v>
      </c>
      <c r="M2586" s="133">
        <v>2.5801200548673801E-2</v>
      </c>
      <c r="N2586" s="73">
        <v>-481.24099999999999</v>
      </c>
      <c r="O2586" s="73">
        <v>-95.436583234126999</v>
      </c>
      <c r="P2586" s="182">
        <v>3</v>
      </c>
      <c r="Q2586" s="182">
        <v>1500</v>
      </c>
      <c r="R2586" s="46">
        <v>5.327</v>
      </c>
      <c r="S2586" s="46">
        <v>0</v>
      </c>
      <c r="T2586" s="46">
        <v>0</v>
      </c>
      <c r="U2586" s="46">
        <v>0</v>
      </c>
      <c r="V2586" s="46" t="s">
        <v>62</v>
      </c>
      <c r="W2586" s="46">
        <v>1500</v>
      </c>
      <c r="X2586" s="46">
        <v>5.327</v>
      </c>
      <c r="AF2586" s="46">
        <v>10</v>
      </c>
      <c r="AG2586" s="46">
        <v>5000</v>
      </c>
      <c r="AH2586" s="46">
        <v>26378</v>
      </c>
      <c r="AI2586" s="46">
        <v>5.2759999999999998</v>
      </c>
      <c r="AJ2586" s="46">
        <v>10</v>
      </c>
      <c r="AK2586" s="46">
        <v>4100</v>
      </c>
      <c r="AL2586" s="46">
        <v>21806.659</v>
      </c>
      <c r="AM2586" s="46">
        <v>5.319</v>
      </c>
      <c r="AN2586" s="46" t="s">
        <v>63</v>
      </c>
      <c r="AO2586" s="46">
        <v>900</v>
      </c>
      <c r="AP2586" s="46">
        <v>4571.3410000000003</v>
      </c>
      <c r="AQ2586" s="46">
        <v>5.0789999999999997</v>
      </c>
      <c r="AR2586" s="46">
        <v>176.3</v>
      </c>
      <c r="AS2586" s="46">
        <v>13</v>
      </c>
      <c r="AT2586" s="46">
        <v>6500</v>
      </c>
      <c r="AU2586" s="46">
        <v>34383.9</v>
      </c>
      <c r="AV2586" s="46">
        <v>5.29</v>
      </c>
      <c r="AW2586" s="46">
        <v>10</v>
      </c>
      <c r="AX2586" s="46">
        <v>4100</v>
      </c>
      <c r="AY2586" s="46">
        <v>21806.659</v>
      </c>
      <c r="AZ2586" s="46">
        <v>5.319</v>
      </c>
      <c r="BA2586" s="46" t="s">
        <v>63</v>
      </c>
      <c r="BB2586" s="46">
        <v>2400</v>
      </c>
      <c r="BC2586" s="46">
        <v>12577.241</v>
      </c>
      <c r="BD2586" s="46">
        <v>5.2409999999999997</v>
      </c>
      <c r="BE2586" s="46">
        <v>118.9</v>
      </c>
      <c r="BF2586" s="46">
        <v>8005.9</v>
      </c>
      <c r="BG2586" s="46">
        <v>5.34</v>
      </c>
      <c r="BH2586" s="46">
        <v>0</v>
      </c>
      <c r="BJ2586">
        <v>8005.9</v>
      </c>
      <c r="BK2586">
        <v>5.34</v>
      </c>
      <c r="BL2586">
        <v>34.979999999999997</v>
      </c>
    </row>
    <row r="2587" spans="1:64" x14ac:dyDescent="0.25">
      <c r="A2587" s="136">
        <v>43181</v>
      </c>
      <c r="B2587" s="201" t="s">
        <v>124</v>
      </c>
      <c r="C2587" t="s">
        <v>125</v>
      </c>
      <c r="D2587">
        <v>100</v>
      </c>
      <c r="E2587">
        <v>100</v>
      </c>
      <c r="F2587">
        <v>-53.579000000000001</v>
      </c>
      <c r="G2587">
        <v>6004.9</v>
      </c>
      <c r="H2587">
        <v>0</v>
      </c>
      <c r="I2587" s="309">
        <v>647</v>
      </c>
      <c r="J2587">
        <v>6.47</v>
      </c>
      <c r="K2587" s="133">
        <v>1.3278271672248099E-3</v>
      </c>
      <c r="L2587" s="181">
        <v>-2</v>
      </c>
      <c r="M2587" s="133">
        <v>0</v>
      </c>
    </row>
    <row r="2588" spans="1:64" x14ac:dyDescent="0.25">
      <c r="A2588" s="136">
        <v>43181</v>
      </c>
      <c r="B2588" s="201" t="s">
        <v>71</v>
      </c>
      <c r="C2588" t="s">
        <v>126</v>
      </c>
      <c r="D2588">
        <v>1100</v>
      </c>
      <c r="E2588">
        <v>1100</v>
      </c>
      <c r="F2588">
        <v>4.6100000000000003</v>
      </c>
      <c r="G2588">
        <v>2342.5</v>
      </c>
      <c r="H2588">
        <v>46.2</v>
      </c>
      <c r="I2588" s="309">
        <v>7414</v>
      </c>
      <c r="J2588">
        <v>6.74</v>
      </c>
      <c r="K2588" s="133">
        <v>1.5215626920872799E-2</v>
      </c>
      <c r="L2588" s="181">
        <v>-11</v>
      </c>
      <c r="M2588" s="133">
        <v>1.04081537536022E-2</v>
      </c>
      <c r="N2588" s="73">
        <v>-5077.2979999999998</v>
      </c>
      <c r="O2588" s="73">
        <v>340.50361511976001</v>
      </c>
      <c r="P2588" s="182">
        <v>0</v>
      </c>
      <c r="Q2588" s="182">
        <v>0</v>
      </c>
      <c r="R2588" s="46">
        <v>0</v>
      </c>
      <c r="S2588" s="46">
        <v>5</v>
      </c>
      <c r="T2588" s="46">
        <v>2000</v>
      </c>
      <c r="U2588" s="46">
        <v>6.625</v>
      </c>
      <c r="V2588" s="46" t="s">
        <v>68</v>
      </c>
      <c r="W2588" s="46">
        <v>2000</v>
      </c>
      <c r="X2588" s="46">
        <v>6.625</v>
      </c>
      <c r="AF2588" s="46">
        <v>43</v>
      </c>
      <c r="AG2588" s="46">
        <v>21600</v>
      </c>
      <c r="AH2588" s="46">
        <v>138103.96</v>
      </c>
      <c r="AI2588" s="46">
        <v>6.3940000000000001</v>
      </c>
      <c r="AJ2588" s="46">
        <v>41</v>
      </c>
      <c r="AK2588" s="46">
        <v>18500</v>
      </c>
      <c r="AL2588" s="46">
        <v>119652.91099999999</v>
      </c>
      <c r="AM2588" s="46">
        <v>6.468</v>
      </c>
      <c r="AN2588" s="46" t="s">
        <v>63</v>
      </c>
      <c r="AO2588" s="46">
        <v>3100</v>
      </c>
      <c r="AP2588" s="46">
        <v>18451.048999999999</v>
      </c>
      <c r="AQ2588" s="46">
        <v>5.952</v>
      </c>
      <c r="AR2588" s="46">
        <v>1369</v>
      </c>
      <c r="AS2588" s="46">
        <v>43</v>
      </c>
      <c r="AT2588" s="46">
        <v>21600</v>
      </c>
      <c r="AU2588" s="46">
        <v>138103.96</v>
      </c>
      <c r="AV2588" s="46">
        <v>6.3940000000000001</v>
      </c>
      <c r="AW2588" s="46">
        <v>46</v>
      </c>
      <c r="AX2588" s="46">
        <v>20500</v>
      </c>
      <c r="AY2588" s="46">
        <v>132870.462</v>
      </c>
      <c r="AZ2588" s="46">
        <v>6.4809999999999999</v>
      </c>
      <c r="BA2588" s="46" t="s">
        <v>63</v>
      </c>
      <c r="BB2588" s="46">
        <v>1100</v>
      </c>
      <c r="BC2588" s="46">
        <v>5233.4979999999996</v>
      </c>
      <c r="BD2588" s="46">
        <v>4.758</v>
      </c>
      <c r="BE2588" s="46">
        <v>1783.5</v>
      </c>
      <c r="BF2588" s="46">
        <v>0</v>
      </c>
      <c r="BH2588" s="46">
        <v>13217.550999999999</v>
      </c>
      <c r="BI2588">
        <v>6.61</v>
      </c>
      <c r="BJ2588">
        <v>-13217.550999999999</v>
      </c>
      <c r="BK2588">
        <v>-6.61</v>
      </c>
      <c r="BL2588">
        <v>203.12</v>
      </c>
    </row>
    <row r="2589" spans="1:64" x14ac:dyDescent="0.25">
      <c r="A2589" s="136">
        <v>43181</v>
      </c>
      <c r="B2589" s="201" t="s">
        <v>79</v>
      </c>
      <c r="C2589" t="s">
        <v>143</v>
      </c>
      <c r="D2589">
        <v>5000</v>
      </c>
      <c r="E2589">
        <v>5000</v>
      </c>
      <c r="F2589">
        <v>16.681000000000001</v>
      </c>
      <c r="G2589">
        <v>-9706.66</v>
      </c>
      <c r="H2589">
        <v>-11.63</v>
      </c>
      <c r="I2589" s="309">
        <v>73700</v>
      </c>
      <c r="J2589">
        <v>14.74</v>
      </c>
      <c r="K2589" s="133">
        <v>0.15125326464369199</v>
      </c>
      <c r="L2589" s="181">
        <v>800</v>
      </c>
      <c r="M2589" s="133">
        <v>0.171174078942014</v>
      </c>
      <c r="N2589" s="73">
        <v>-9660.3440000000792</v>
      </c>
      <c r="O2589" s="73">
        <v>-654.61110698305697</v>
      </c>
      <c r="P2589" s="182">
        <v>7</v>
      </c>
      <c r="Q2589" s="182">
        <v>4000</v>
      </c>
      <c r="R2589" s="46">
        <v>15.666</v>
      </c>
      <c r="S2589" s="46">
        <v>0</v>
      </c>
      <c r="T2589" s="46">
        <v>0</v>
      </c>
      <c r="U2589" s="46">
        <v>0</v>
      </c>
      <c r="V2589" s="46" t="s">
        <v>62</v>
      </c>
      <c r="W2589" s="46">
        <v>4000</v>
      </c>
      <c r="X2589" s="46">
        <v>15.666</v>
      </c>
      <c r="AF2589" s="46">
        <v>10</v>
      </c>
      <c r="AG2589" s="46">
        <v>5000</v>
      </c>
      <c r="AH2589" s="46">
        <v>82138</v>
      </c>
      <c r="AI2589" s="46">
        <v>16.428000000000001</v>
      </c>
      <c r="AJ2589" s="46">
        <v>10</v>
      </c>
      <c r="AK2589" s="46">
        <v>4000</v>
      </c>
      <c r="AL2589" s="46">
        <v>61430.055999999997</v>
      </c>
      <c r="AM2589" s="46">
        <v>15.358000000000001</v>
      </c>
      <c r="AN2589" s="46" t="s">
        <v>63</v>
      </c>
      <c r="AO2589" s="46">
        <v>1000</v>
      </c>
      <c r="AP2589" s="46">
        <v>20707.944</v>
      </c>
      <c r="AQ2589" s="46">
        <v>20.707999999999998</v>
      </c>
      <c r="AR2589" s="46">
        <v>-4280</v>
      </c>
      <c r="AS2589" s="46">
        <v>17</v>
      </c>
      <c r="AT2589" s="46">
        <v>9000</v>
      </c>
      <c r="AU2589" s="46">
        <v>144840.4</v>
      </c>
      <c r="AV2589" s="46">
        <v>16.093</v>
      </c>
      <c r="AW2589" s="46">
        <v>10</v>
      </c>
      <c r="AX2589" s="46">
        <v>4000</v>
      </c>
      <c r="AY2589" s="46">
        <v>61430.055999999997</v>
      </c>
      <c r="AZ2589" s="46">
        <v>15.358000000000001</v>
      </c>
      <c r="BA2589" s="46" t="s">
        <v>63</v>
      </c>
      <c r="BB2589" s="46">
        <v>5000</v>
      </c>
      <c r="BC2589" s="46">
        <v>83410.343999999997</v>
      </c>
      <c r="BD2589" s="46">
        <v>16.681999999999999</v>
      </c>
      <c r="BE2589" s="46">
        <v>-2940</v>
      </c>
      <c r="BF2589" s="46">
        <v>62702.400000000001</v>
      </c>
      <c r="BG2589" s="46">
        <v>15.68</v>
      </c>
      <c r="BH2589" s="46">
        <v>0</v>
      </c>
      <c r="BJ2589">
        <v>62702.400000000001</v>
      </c>
      <c r="BK2589">
        <v>15.68</v>
      </c>
      <c r="BL2589">
        <v>-290.37</v>
      </c>
    </row>
    <row r="2590" spans="1:64" x14ac:dyDescent="0.25">
      <c r="A2590" s="136">
        <v>43181</v>
      </c>
      <c r="B2590" s="201" t="s">
        <v>65</v>
      </c>
      <c r="C2590" t="s">
        <v>127</v>
      </c>
      <c r="D2590">
        <v>11700</v>
      </c>
      <c r="E2590">
        <v>11700</v>
      </c>
      <c r="F2590">
        <v>9.3460000000000001</v>
      </c>
      <c r="G2590">
        <v>7530.54</v>
      </c>
      <c r="H2590">
        <v>6.89</v>
      </c>
      <c r="I2590" s="309">
        <v>116883</v>
      </c>
      <c r="J2590">
        <v>9.99</v>
      </c>
      <c r="K2590" s="133">
        <v>0.239877005852763</v>
      </c>
      <c r="L2590" s="181">
        <v>-585</v>
      </c>
      <c r="M2590" s="133">
        <v>0.22442220585914099</v>
      </c>
      <c r="N2590" s="73">
        <v>3248.1209999999801</v>
      </c>
      <c r="O2590" s="73">
        <v>753.34431058557004</v>
      </c>
      <c r="P2590" s="182">
        <v>2</v>
      </c>
      <c r="Q2590" s="182">
        <v>1000</v>
      </c>
      <c r="R2590" s="46">
        <v>10.09</v>
      </c>
      <c r="S2590" s="46">
        <v>15</v>
      </c>
      <c r="T2590" s="46">
        <v>6400</v>
      </c>
      <c r="U2590" s="46">
        <v>12.17</v>
      </c>
      <c r="V2590" s="46" t="s">
        <v>68</v>
      </c>
      <c r="W2590" s="46">
        <v>5400</v>
      </c>
      <c r="X2590" s="46">
        <v>12.555</v>
      </c>
      <c r="AF2590" s="46">
        <v>170</v>
      </c>
      <c r="AG2590" s="46">
        <v>90700</v>
      </c>
      <c r="AH2590" s="46">
        <v>1050805.2309999999</v>
      </c>
      <c r="AI2590" s="46">
        <v>11.586</v>
      </c>
      <c r="AJ2590" s="46">
        <v>191</v>
      </c>
      <c r="AK2590" s="46">
        <v>82800</v>
      </c>
      <c r="AL2590" s="46">
        <v>872983.23699999996</v>
      </c>
      <c r="AM2590" s="46">
        <v>10.542999999999999</v>
      </c>
      <c r="AN2590" s="46" t="s">
        <v>63</v>
      </c>
      <c r="AO2590" s="46">
        <v>7900</v>
      </c>
      <c r="AP2590" s="46">
        <v>177821.99400000001</v>
      </c>
      <c r="AQ2590" s="46">
        <v>22.509</v>
      </c>
      <c r="AR2590" s="46">
        <v>-86360.4</v>
      </c>
      <c r="AS2590" s="46">
        <v>173</v>
      </c>
      <c r="AT2590" s="46">
        <v>91800</v>
      </c>
      <c r="AU2590" s="46">
        <v>1062193.2309999999</v>
      </c>
      <c r="AV2590" s="46">
        <v>11.571</v>
      </c>
      <c r="AW2590" s="46">
        <v>206</v>
      </c>
      <c r="AX2590" s="46">
        <v>89200</v>
      </c>
      <c r="AY2590" s="46">
        <v>950717.35</v>
      </c>
      <c r="AZ2590" s="46">
        <v>10.657999999999999</v>
      </c>
      <c r="BA2590" s="46" t="s">
        <v>63</v>
      </c>
      <c r="BB2590" s="46">
        <v>2600</v>
      </c>
      <c r="BC2590" s="46">
        <v>111475.88099999999</v>
      </c>
      <c r="BD2590" s="46">
        <v>42.875</v>
      </c>
      <c r="BE2590" s="46">
        <v>-81439.600000000006</v>
      </c>
      <c r="BF2590" s="46">
        <v>11388</v>
      </c>
      <c r="BG2590" s="46">
        <v>11.39</v>
      </c>
      <c r="BH2590" s="46">
        <v>77734.112999999896</v>
      </c>
      <c r="BI2590">
        <v>12.15</v>
      </c>
      <c r="BJ2590">
        <v>-66346.112999999998</v>
      </c>
      <c r="BK2590">
        <v>-12.29</v>
      </c>
      <c r="BL2590">
        <v>-8644.68</v>
      </c>
    </row>
    <row r="2591" spans="1:64" x14ac:dyDescent="0.25">
      <c r="A2591" s="136">
        <v>43181</v>
      </c>
      <c r="B2591" s="201" t="s">
        <v>77</v>
      </c>
      <c r="C2591" t="s">
        <v>128</v>
      </c>
      <c r="D2591">
        <v>4300</v>
      </c>
      <c r="E2591">
        <v>4300</v>
      </c>
      <c r="F2591">
        <v>5.9779999999999998</v>
      </c>
      <c r="G2591">
        <v>-595.27</v>
      </c>
      <c r="H2591">
        <v>-2.31</v>
      </c>
      <c r="I2591" s="309">
        <v>25112</v>
      </c>
      <c r="J2591">
        <v>5.84</v>
      </c>
      <c r="K2591" s="133">
        <v>5.1536933266382402E-2</v>
      </c>
      <c r="L2591" s="181">
        <v>0</v>
      </c>
      <c r="M2591" s="133">
        <v>5.2758595828722298E-2</v>
      </c>
      <c r="N2591" s="73">
        <v>-1272.2139999999999</v>
      </c>
      <c r="O2591" s="73">
        <v>-133.073774655173</v>
      </c>
      <c r="P2591" s="182">
        <v>6</v>
      </c>
      <c r="Q2591" s="182">
        <v>3000</v>
      </c>
      <c r="R2591" s="46">
        <v>6.798</v>
      </c>
      <c r="S2591" s="46">
        <v>0</v>
      </c>
      <c r="T2591" s="46">
        <v>0</v>
      </c>
      <c r="U2591" s="46">
        <v>0</v>
      </c>
      <c r="V2591" s="46" t="s">
        <v>62</v>
      </c>
      <c r="W2591" s="46">
        <v>3000</v>
      </c>
      <c r="X2591" s="46">
        <v>6.798</v>
      </c>
      <c r="AF2591" s="46">
        <v>39</v>
      </c>
      <c r="AG2591" s="46">
        <v>19500</v>
      </c>
      <c r="AH2591" s="46">
        <v>142169</v>
      </c>
      <c r="AI2591" s="46">
        <v>7.2910000000000004</v>
      </c>
      <c r="AJ2591" s="46">
        <v>39</v>
      </c>
      <c r="AK2591" s="46">
        <v>18200</v>
      </c>
      <c r="AL2591" s="46">
        <v>136881.78599999999</v>
      </c>
      <c r="AM2591" s="46">
        <v>7.5209999999999999</v>
      </c>
      <c r="AN2591" s="46" t="s">
        <v>63</v>
      </c>
      <c r="AO2591" s="46">
        <v>1300</v>
      </c>
      <c r="AP2591" s="46">
        <v>5287.2139999999999</v>
      </c>
      <c r="AQ2591" s="46">
        <v>4.0670000000000002</v>
      </c>
      <c r="AR2591" s="46">
        <v>4186</v>
      </c>
      <c r="AS2591" s="46">
        <v>45</v>
      </c>
      <c r="AT2591" s="46">
        <v>22500</v>
      </c>
      <c r="AU2591" s="46">
        <v>162594</v>
      </c>
      <c r="AV2591" s="46">
        <v>7.226</v>
      </c>
      <c r="AW2591" s="46">
        <v>39</v>
      </c>
      <c r="AX2591" s="46">
        <v>18200</v>
      </c>
      <c r="AY2591" s="46">
        <v>136881.78599999999</v>
      </c>
      <c r="AZ2591" s="46">
        <v>7.5209999999999999</v>
      </c>
      <c r="BA2591" s="46" t="s">
        <v>63</v>
      </c>
      <c r="BB2591" s="46">
        <v>4300</v>
      </c>
      <c r="BC2591" s="46">
        <v>25712.214</v>
      </c>
      <c r="BD2591" s="46">
        <v>5.98</v>
      </c>
      <c r="BE2591" s="46">
        <v>5369</v>
      </c>
      <c r="BF2591" s="46">
        <v>20425</v>
      </c>
      <c r="BG2591" s="46">
        <v>6.81</v>
      </c>
      <c r="BH2591" s="46">
        <v>0</v>
      </c>
      <c r="BJ2591">
        <v>20425</v>
      </c>
      <c r="BK2591">
        <v>6.81</v>
      </c>
      <c r="BL2591">
        <v>716.78</v>
      </c>
    </row>
    <row r="2592" spans="1:64" x14ac:dyDescent="0.25">
      <c r="A2592" s="136">
        <v>43181</v>
      </c>
      <c r="B2592" s="201" t="s">
        <v>67</v>
      </c>
      <c r="C2592" t="s">
        <v>129</v>
      </c>
      <c r="D2592">
        <v>800</v>
      </c>
      <c r="E2592">
        <v>300</v>
      </c>
      <c r="F2592">
        <v>5.9619999999999997</v>
      </c>
      <c r="G2592">
        <v>2526.44</v>
      </c>
      <c r="H2592">
        <v>52.97</v>
      </c>
      <c r="I2592" s="309">
        <v>7296</v>
      </c>
      <c r="J2592">
        <v>9.1199999999999992</v>
      </c>
      <c r="K2592" s="133">
        <v>1.49734575147948E-2</v>
      </c>
      <c r="L2592" s="181">
        <v>105.34</v>
      </c>
      <c r="M2592" s="133">
        <v>9.7884873936766002E-3</v>
      </c>
      <c r="N2592" s="73">
        <v>2540.1464999997602</v>
      </c>
      <c r="O2592" s="73">
        <v>277.77641430522698</v>
      </c>
      <c r="P2592" s="182">
        <v>0</v>
      </c>
      <c r="Q2592" s="182">
        <v>0</v>
      </c>
      <c r="R2592" s="46">
        <v>0</v>
      </c>
      <c r="S2592" s="46">
        <v>19</v>
      </c>
      <c r="T2592" s="46">
        <v>7600</v>
      </c>
      <c r="U2592" s="46">
        <v>8.8859999999999992</v>
      </c>
      <c r="V2592" s="46" t="s">
        <v>68</v>
      </c>
      <c r="W2592" s="46">
        <v>7600</v>
      </c>
      <c r="X2592" s="46">
        <v>8.8859999999999992</v>
      </c>
      <c r="AF2592" s="46">
        <v>177</v>
      </c>
      <c r="AG2592" s="46">
        <v>87900</v>
      </c>
      <c r="AH2592" s="46">
        <v>730090</v>
      </c>
      <c r="AI2592" s="46">
        <v>8.3059999999999992</v>
      </c>
      <c r="AJ2592" s="46">
        <v>180</v>
      </c>
      <c r="AK2592" s="46">
        <v>82100</v>
      </c>
      <c r="AL2592" s="46">
        <v>727072.79850000003</v>
      </c>
      <c r="AM2592" s="46">
        <v>8.8559999999999999</v>
      </c>
      <c r="AN2592" s="46" t="s">
        <v>63</v>
      </c>
      <c r="AO2592" s="46">
        <v>5800</v>
      </c>
      <c r="AP2592" s="46">
        <v>3017.201</v>
      </c>
      <c r="AQ2592" s="46">
        <v>0.52</v>
      </c>
      <c r="AR2592" s="46">
        <v>45155</v>
      </c>
      <c r="AS2592" s="46">
        <v>177</v>
      </c>
      <c r="AT2592" s="46">
        <v>87900</v>
      </c>
      <c r="AU2592" s="46">
        <v>730090</v>
      </c>
      <c r="AV2592" s="46">
        <v>8.3059999999999992</v>
      </c>
      <c r="AW2592" s="46">
        <v>199</v>
      </c>
      <c r="AX2592" s="46">
        <v>89700</v>
      </c>
      <c r="AY2592" s="46">
        <v>794446.26249999995</v>
      </c>
      <c r="AZ2592" s="46">
        <v>8.8569999999999993</v>
      </c>
      <c r="BA2592" s="46" t="s">
        <v>69</v>
      </c>
      <c r="BB2592" s="46">
        <v>1800</v>
      </c>
      <c r="BC2592" s="46">
        <v>64356.262999999999</v>
      </c>
      <c r="BD2592" s="46">
        <v>35.753</v>
      </c>
      <c r="BE2592" s="46">
        <v>48432.9</v>
      </c>
      <c r="BF2592" s="46">
        <v>0</v>
      </c>
      <c r="BH2592" s="46">
        <v>67373.464000000196</v>
      </c>
      <c r="BI2592">
        <v>8.86</v>
      </c>
      <c r="BJ2592">
        <v>61339.061999999998</v>
      </c>
      <c r="BK2592">
        <v>8.07</v>
      </c>
      <c r="BL2592">
        <v>4951.21</v>
      </c>
    </row>
    <row r="2593" spans="1:64" x14ac:dyDescent="0.25">
      <c r="A2593" s="136">
        <v>43181</v>
      </c>
      <c r="B2593" s="201" t="s">
        <v>78</v>
      </c>
      <c r="C2593" t="s">
        <v>142</v>
      </c>
      <c r="D2593">
        <v>100</v>
      </c>
      <c r="E2593">
        <v>100</v>
      </c>
      <c r="F2593">
        <v>-4.9039999999999999</v>
      </c>
      <c r="G2593">
        <v>1539.4</v>
      </c>
      <c r="H2593">
        <v>0</v>
      </c>
      <c r="I2593" s="309">
        <v>1049</v>
      </c>
      <c r="J2593">
        <v>10.49</v>
      </c>
      <c r="K2593" s="133">
        <v>2.1528449743722202E-3</v>
      </c>
      <c r="L2593" s="181">
        <v>-39</v>
      </c>
      <c r="M2593" s="133">
        <v>0</v>
      </c>
      <c r="N2593" s="73">
        <v>1506.3910000000001</v>
      </c>
      <c r="O2593" s="73">
        <v>148.19269729330699</v>
      </c>
      <c r="P2593" s="182">
        <v>0</v>
      </c>
      <c r="Q2593" s="182">
        <v>0</v>
      </c>
      <c r="R2593" s="46">
        <v>0</v>
      </c>
      <c r="S2593" s="46">
        <v>3</v>
      </c>
      <c r="T2593" s="46">
        <v>1200</v>
      </c>
      <c r="U2593" s="46">
        <v>9.99</v>
      </c>
      <c r="V2593" s="46" t="s">
        <v>68</v>
      </c>
      <c r="W2593" s="46">
        <v>1200</v>
      </c>
      <c r="X2593" s="46">
        <v>9.99</v>
      </c>
      <c r="AF2593" s="46">
        <v>13</v>
      </c>
      <c r="AG2593" s="46">
        <v>6500</v>
      </c>
      <c r="AH2593" s="46">
        <v>62970</v>
      </c>
      <c r="AI2593" s="46">
        <v>9.6880000000000006</v>
      </c>
      <c r="AJ2593" s="46">
        <v>14</v>
      </c>
      <c r="AK2593" s="46">
        <v>5200</v>
      </c>
      <c r="AL2593" s="46">
        <v>51499.379000000001</v>
      </c>
      <c r="AM2593" s="46">
        <v>9.9039999999999999</v>
      </c>
      <c r="AN2593" s="46" t="s">
        <v>63</v>
      </c>
      <c r="AO2593" s="46">
        <v>1300</v>
      </c>
      <c r="AP2593" s="46">
        <v>11470.620999999999</v>
      </c>
      <c r="AQ2593" s="46">
        <v>8.8239999999999998</v>
      </c>
      <c r="AR2593" s="46">
        <v>1123.2</v>
      </c>
      <c r="AS2593" s="46">
        <v>13</v>
      </c>
      <c r="AT2593" s="46">
        <v>6500</v>
      </c>
      <c r="AU2593" s="46">
        <v>62970</v>
      </c>
      <c r="AV2593" s="46">
        <v>9.6880000000000006</v>
      </c>
      <c r="AW2593" s="46">
        <v>17</v>
      </c>
      <c r="AX2593" s="46">
        <v>6400</v>
      </c>
      <c r="AY2593" s="46">
        <v>63460.391000000003</v>
      </c>
      <c r="AZ2593" s="46">
        <v>9.9160000000000004</v>
      </c>
      <c r="BA2593" s="46" t="s">
        <v>63</v>
      </c>
      <c r="BB2593" s="46">
        <v>100</v>
      </c>
      <c r="BC2593" s="46">
        <v>490.39100000000002</v>
      </c>
      <c r="BD2593" s="46">
        <v>4.9039999999999999</v>
      </c>
      <c r="BE2593" s="46">
        <v>1459.2</v>
      </c>
      <c r="BF2593" s="46">
        <v>0</v>
      </c>
      <c r="BH2593" s="46">
        <v>11961.012000000001</v>
      </c>
      <c r="BI2593">
        <v>9.9700000000000006</v>
      </c>
      <c r="BJ2593">
        <v>-10980.23</v>
      </c>
      <c r="BK2593">
        <v>-9.15</v>
      </c>
      <c r="BL2593">
        <v>107.07</v>
      </c>
    </row>
    <row r="2594" spans="1:64" x14ac:dyDescent="0.25">
      <c r="A2594" s="136">
        <v>43181</v>
      </c>
      <c r="B2594" s="201" t="s">
        <v>72</v>
      </c>
      <c r="C2594" t="s">
        <v>130</v>
      </c>
      <c r="D2594">
        <v>3000</v>
      </c>
      <c r="E2594">
        <v>3000</v>
      </c>
      <c r="F2594">
        <v>6.8650000000000002</v>
      </c>
      <c r="G2594">
        <v>-914.27</v>
      </c>
      <c r="H2594">
        <v>-4.4400000000000004</v>
      </c>
      <c r="I2594" s="309">
        <v>19680</v>
      </c>
      <c r="J2594">
        <v>6.56</v>
      </c>
      <c r="K2594" s="133">
        <v>4.0388931454380599E-2</v>
      </c>
      <c r="L2594" s="181">
        <v>-330</v>
      </c>
      <c r="M2594" s="133">
        <v>4.2265272326372297E-2</v>
      </c>
      <c r="N2594" s="73">
        <v>-1345.98</v>
      </c>
      <c r="O2594" s="73">
        <v>-173.14450924498999</v>
      </c>
      <c r="P2594" s="182">
        <v>0</v>
      </c>
      <c r="Q2594" s="182">
        <v>0</v>
      </c>
      <c r="R2594" s="46">
        <v>0</v>
      </c>
      <c r="S2594" s="46">
        <v>12</v>
      </c>
      <c r="T2594" s="46">
        <v>4800</v>
      </c>
      <c r="U2594" s="46">
        <v>7.4889999999999999</v>
      </c>
      <c r="V2594" s="46" t="s">
        <v>68</v>
      </c>
      <c r="W2594" s="46">
        <v>4800</v>
      </c>
      <c r="X2594" s="46">
        <v>7.4889999999999999</v>
      </c>
      <c r="AF2594" s="46">
        <v>33</v>
      </c>
      <c r="AG2594" s="46">
        <v>16400</v>
      </c>
      <c r="AH2594" s="46">
        <v>124392</v>
      </c>
      <c r="AI2594" s="46">
        <v>7.585</v>
      </c>
      <c r="AJ2594" s="46">
        <v>33</v>
      </c>
      <c r="AK2594" s="46">
        <v>15200</v>
      </c>
      <c r="AL2594" s="46">
        <v>68678.153000000006</v>
      </c>
      <c r="AM2594" s="46">
        <v>4.5179999999999998</v>
      </c>
      <c r="AN2594" s="46" t="s">
        <v>63</v>
      </c>
      <c r="AO2594" s="46">
        <v>1200</v>
      </c>
      <c r="AP2594" s="46">
        <v>55713.847000000002</v>
      </c>
      <c r="AQ2594" s="46">
        <v>46.427999999999997</v>
      </c>
      <c r="AR2594" s="46">
        <v>-46618.400000000001</v>
      </c>
      <c r="AS2594" s="46">
        <v>33</v>
      </c>
      <c r="AT2594" s="46">
        <v>16400</v>
      </c>
      <c r="AU2594" s="46">
        <v>124392</v>
      </c>
      <c r="AV2594" s="46">
        <v>7.585</v>
      </c>
      <c r="AW2594" s="46">
        <v>46</v>
      </c>
      <c r="AX2594" s="46">
        <v>20500</v>
      </c>
      <c r="AY2594" s="46">
        <v>104530.205</v>
      </c>
      <c r="AZ2594" s="46">
        <v>5.0990000000000002</v>
      </c>
      <c r="BA2594" s="46" t="s">
        <v>69</v>
      </c>
      <c r="BB2594" s="46">
        <v>4100</v>
      </c>
      <c r="BC2594" s="46">
        <v>19861.794999999998</v>
      </c>
      <c r="BD2594" s="46">
        <v>4.8440000000000003</v>
      </c>
      <c r="BE2594" s="46">
        <v>-40770.400000000001</v>
      </c>
      <c r="BF2594" s="46">
        <v>0</v>
      </c>
      <c r="BH2594" s="46">
        <v>35852.052000000003</v>
      </c>
      <c r="BI2594">
        <v>7.47</v>
      </c>
      <c r="BJ2594">
        <v>-35852.052000000003</v>
      </c>
      <c r="BK2594">
        <v>-7.47</v>
      </c>
      <c r="BL2594">
        <v>-7106.46</v>
      </c>
    </row>
    <row r="2595" spans="1:64" x14ac:dyDescent="0.25">
      <c r="A2595" s="136">
        <v>43181</v>
      </c>
      <c r="B2595" s="201" t="s">
        <v>70</v>
      </c>
      <c r="C2595" t="s">
        <v>131</v>
      </c>
      <c r="D2595">
        <v>12800</v>
      </c>
      <c r="E2595">
        <v>12800</v>
      </c>
      <c r="F2595">
        <v>11.395</v>
      </c>
      <c r="G2595">
        <v>-29498.75</v>
      </c>
      <c r="H2595">
        <v>-20.23</v>
      </c>
      <c r="I2595" s="309">
        <v>116352</v>
      </c>
      <c r="J2595">
        <v>9.09</v>
      </c>
      <c r="K2595" s="133">
        <v>0.238787243525411</v>
      </c>
      <c r="L2595" s="181">
        <v>3659.39</v>
      </c>
      <c r="M2595" s="133">
        <v>0.29932702969105701</v>
      </c>
      <c r="N2595" s="73">
        <v>-30393.7580000001</v>
      </c>
      <c r="O2595" s="73">
        <v>-3367.9114324833799</v>
      </c>
      <c r="P2595" s="182">
        <v>2</v>
      </c>
      <c r="Q2595" s="182">
        <v>1000</v>
      </c>
      <c r="R2595" s="46">
        <v>8.07</v>
      </c>
      <c r="S2595" s="46">
        <v>1</v>
      </c>
      <c r="T2595" s="46">
        <v>400</v>
      </c>
      <c r="U2595" s="46">
        <v>9.02</v>
      </c>
      <c r="V2595" s="46" t="s">
        <v>62</v>
      </c>
      <c r="W2595" s="46">
        <v>600</v>
      </c>
      <c r="X2595" s="46">
        <v>7.4370000000000003</v>
      </c>
      <c r="AF2595" s="46">
        <v>132</v>
      </c>
      <c r="AG2595" s="46">
        <v>67600</v>
      </c>
      <c r="AH2595" s="46">
        <v>886488</v>
      </c>
      <c r="AI2595" s="46">
        <v>13.114000000000001</v>
      </c>
      <c r="AJ2595" s="46">
        <v>138</v>
      </c>
      <c r="AK2595" s="46">
        <v>55400</v>
      </c>
      <c r="AL2595" s="46">
        <v>744713.85</v>
      </c>
      <c r="AM2595" s="46">
        <v>13.442</v>
      </c>
      <c r="AN2595" s="46" t="s">
        <v>63</v>
      </c>
      <c r="AO2595" s="46">
        <v>12200</v>
      </c>
      <c r="AP2595" s="46">
        <v>141774.15</v>
      </c>
      <c r="AQ2595" s="46">
        <v>11.621</v>
      </c>
      <c r="AR2595" s="46">
        <v>18171.2</v>
      </c>
      <c r="AS2595" s="46">
        <v>134</v>
      </c>
      <c r="AT2595" s="46">
        <v>68600</v>
      </c>
      <c r="AU2595" s="46">
        <v>894568</v>
      </c>
      <c r="AV2595" s="46">
        <v>13.04</v>
      </c>
      <c r="AW2595" s="46">
        <v>140</v>
      </c>
      <c r="AX2595" s="46">
        <v>55800</v>
      </c>
      <c r="AY2595" s="46">
        <v>748718.24199999997</v>
      </c>
      <c r="AZ2595" s="46">
        <v>13.417999999999999</v>
      </c>
      <c r="BA2595" s="46" t="s">
        <v>63</v>
      </c>
      <c r="BB2595" s="46">
        <v>12800</v>
      </c>
      <c r="BC2595" s="46">
        <v>145849.758</v>
      </c>
      <c r="BD2595" s="46">
        <v>11.395</v>
      </c>
      <c r="BE2595" s="46">
        <v>21092.400000000001</v>
      </c>
      <c r="BF2595" s="46">
        <v>8080</v>
      </c>
      <c r="BG2595" s="46">
        <v>8.08</v>
      </c>
      <c r="BH2595" s="46">
        <v>4004.3919999999898</v>
      </c>
      <c r="BI2595">
        <v>10.01</v>
      </c>
      <c r="BJ2595">
        <v>4075.6080000000102</v>
      </c>
      <c r="BK2595">
        <v>6.79</v>
      </c>
      <c r="BL2595">
        <v>1999.03</v>
      </c>
    </row>
    <row r="2596" spans="1:64" x14ac:dyDescent="0.25">
      <c r="A2596" s="136">
        <v>43181</v>
      </c>
      <c r="B2596" s="201" t="s">
        <v>137</v>
      </c>
      <c r="C2596" t="s">
        <v>138</v>
      </c>
      <c r="D2596">
        <v>100</v>
      </c>
      <c r="E2596">
        <v>100</v>
      </c>
      <c r="F2596">
        <v>-130.48500000000001</v>
      </c>
      <c r="G2596">
        <v>16954.5</v>
      </c>
      <c r="H2596">
        <v>0</v>
      </c>
      <c r="I2596" s="309">
        <v>3906</v>
      </c>
      <c r="J2596">
        <v>39.06</v>
      </c>
      <c r="K2596" s="133">
        <v>8.0162177978054094E-3</v>
      </c>
      <c r="L2596" s="181">
        <v>-60</v>
      </c>
      <c r="M2596" s="133">
        <v>0</v>
      </c>
    </row>
    <row r="2597" spans="1:64" x14ac:dyDescent="0.25">
      <c r="A2597" s="136">
        <v>43181</v>
      </c>
      <c r="B2597" s="201" t="s">
        <v>835</v>
      </c>
      <c r="C2597" t="s">
        <v>839</v>
      </c>
      <c r="I2597" s="309">
        <v>14058.81</v>
      </c>
      <c r="K2597" s="133">
        <v>2.8852658202243898E-2</v>
      </c>
      <c r="L2597" s="181">
        <v>0</v>
      </c>
      <c r="M2597" s="133">
        <v>0.21164623047619499</v>
      </c>
    </row>
    <row r="2598" spans="1:64" x14ac:dyDescent="0.25">
      <c r="A2598" s="136">
        <v>43182</v>
      </c>
      <c r="B2598" s="201" t="s">
        <v>132</v>
      </c>
      <c r="C2598" t="s">
        <v>123</v>
      </c>
      <c r="D2598">
        <v>4907679</v>
      </c>
      <c r="E2598">
        <v>4907679</v>
      </c>
      <c r="F2598">
        <v>8.9999999999999993E-3</v>
      </c>
      <c r="G2598">
        <v>3322.35</v>
      </c>
      <c r="H2598">
        <v>11.11</v>
      </c>
      <c r="I2598" s="309">
        <v>49076.79</v>
      </c>
      <c r="J2598">
        <v>0.01</v>
      </c>
      <c r="K2598" s="133">
        <v>0.105181092732006</v>
      </c>
      <c r="L2598" s="181">
        <v>8.3899999999998691</v>
      </c>
      <c r="M2598" s="133">
        <v>0</v>
      </c>
    </row>
    <row r="2599" spans="1:64" x14ac:dyDescent="0.25">
      <c r="A2599" s="136">
        <v>43182</v>
      </c>
      <c r="B2599" s="201" t="s">
        <v>61</v>
      </c>
      <c r="C2599" t="s">
        <v>136</v>
      </c>
      <c r="D2599">
        <v>2900</v>
      </c>
      <c r="E2599">
        <v>2400</v>
      </c>
      <c r="F2599">
        <v>5.18</v>
      </c>
      <c r="G2599">
        <v>-928</v>
      </c>
      <c r="H2599">
        <v>-6.18</v>
      </c>
      <c r="I2599" s="309">
        <v>14094</v>
      </c>
      <c r="J2599">
        <v>4.8600000000000003</v>
      </c>
      <c r="K2599" s="133">
        <v>3.0206179356165999E-2</v>
      </c>
      <c r="L2599" s="181">
        <v>-452.05</v>
      </c>
      <c r="M2599" s="133">
        <v>3.2195063593609102E-2</v>
      </c>
      <c r="N2599" s="73">
        <v>-846.54100000000096</v>
      </c>
      <c r="O2599" s="73">
        <v>-173.030210531698</v>
      </c>
      <c r="P2599" s="182">
        <v>4</v>
      </c>
      <c r="Q2599" s="182">
        <v>2000</v>
      </c>
      <c r="R2599" s="46">
        <v>5.218</v>
      </c>
      <c r="S2599" s="46">
        <v>0</v>
      </c>
      <c r="T2599" s="46">
        <v>0</v>
      </c>
      <c r="U2599" s="46">
        <v>0</v>
      </c>
      <c r="V2599" s="46" t="s">
        <v>62</v>
      </c>
      <c r="W2599" s="46">
        <v>2000</v>
      </c>
      <c r="X2599" s="46">
        <v>5.218</v>
      </c>
      <c r="AF2599" s="46">
        <v>10</v>
      </c>
      <c r="AG2599" s="46">
        <v>5000</v>
      </c>
      <c r="AH2599" s="46">
        <v>26378</v>
      </c>
      <c r="AI2599" s="46">
        <v>5.2759999999999998</v>
      </c>
      <c r="AJ2599" s="46">
        <v>10</v>
      </c>
      <c r="AK2599" s="46">
        <v>4100</v>
      </c>
      <c r="AL2599" s="46">
        <v>21806.659</v>
      </c>
      <c r="AM2599" s="46">
        <v>5.319</v>
      </c>
      <c r="AN2599" s="46" t="s">
        <v>63</v>
      </c>
      <c r="AO2599" s="46">
        <v>900</v>
      </c>
      <c r="AP2599" s="46">
        <v>4571.3410000000003</v>
      </c>
      <c r="AQ2599" s="46">
        <v>5.0789999999999997</v>
      </c>
      <c r="AR2599" s="46">
        <v>176.3</v>
      </c>
      <c r="AS2599" s="46">
        <v>14</v>
      </c>
      <c r="AT2599" s="46">
        <v>7000</v>
      </c>
      <c r="AU2599" s="46">
        <v>36834.199999999997</v>
      </c>
      <c r="AV2599" s="46">
        <v>5.2619999999999996</v>
      </c>
      <c r="AW2599" s="46">
        <v>10</v>
      </c>
      <c r="AX2599" s="46">
        <v>4100</v>
      </c>
      <c r="AY2599" s="46">
        <v>21806.659</v>
      </c>
      <c r="AZ2599" s="46">
        <v>5.319</v>
      </c>
      <c r="BA2599" s="46" t="s">
        <v>63</v>
      </c>
      <c r="BB2599" s="46">
        <v>2900</v>
      </c>
      <c r="BC2599" s="46">
        <v>15027.540999999999</v>
      </c>
      <c r="BD2599" s="46">
        <v>5.1820000000000004</v>
      </c>
      <c r="BE2599" s="46">
        <v>233.7</v>
      </c>
      <c r="BF2599" s="46">
        <v>10456.200000000001</v>
      </c>
      <c r="BG2599" s="46">
        <v>5.23</v>
      </c>
      <c r="BH2599" s="46">
        <v>0</v>
      </c>
      <c r="BJ2599">
        <v>10456.200000000001</v>
      </c>
      <c r="BK2599">
        <v>5.23</v>
      </c>
      <c r="BL2599">
        <v>36.28</v>
      </c>
    </row>
    <row r="2600" spans="1:64" x14ac:dyDescent="0.25">
      <c r="A2600" s="136">
        <v>43182</v>
      </c>
      <c r="B2600" s="201" t="s">
        <v>124</v>
      </c>
      <c r="C2600" t="s">
        <v>125</v>
      </c>
      <c r="D2600">
        <v>100</v>
      </c>
      <c r="E2600">
        <v>100</v>
      </c>
      <c r="F2600">
        <v>-53.579000000000001</v>
      </c>
      <c r="G2600">
        <v>5985.9</v>
      </c>
      <c r="H2600">
        <v>0</v>
      </c>
      <c r="I2600" s="309">
        <v>628</v>
      </c>
      <c r="J2600">
        <v>6.28</v>
      </c>
      <c r="K2600" s="133">
        <v>1.34592597102826E-3</v>
      </c>
      <c r="L2600" s="181">
        <v>-19</v>
      </c>
      <c r="M2600" s="133">
        <v>0</v>
      </c>
    </row>
    <row r="2601" spans="1:64" x14ac:dyDescent="0.25">
      <c r="A2601" s="136">
        <v>43182</v>
      </c>
      <c r="B2601" s="201" t="s">
        <v>71</v>
      </c>
      <c r="C2601" t="s">
        <v>126</v>
      </c>
      <c r="D2601">
        <v>1100</v>
      </c>
      <c r="E2601">
        <v>1100</v>
      </c>
      <c r="F2601">
        <v>4.6100000000000003</v>
      </c>
      <c r="G2601">
        <v>2254.5</v>
      </c>
      <c r="H2601">
        <v>44.47</v>
      </c>
      <c r="I2601" s="309">
        <v>7326</v>
      </c>
      <c r="J2601">
        <v>6.66</v>
      </c>
      <c r="K2601" s="133">
        <v>1.5701040865848701E-2</v>
      </c>
      <c r="L2601" s="181">
        <v>-88</v>
      </c>
      <c r="M2601" s="133">
        <v>1.08692094937417E-2</v>
      </c>
      <c r="N2601" s="73">
        <v>-5077.2979999999998</v>
      </c>
      <c r="O2601" s="73">
        <v>340.50361511976001</v>
      </c>
      <c r="P2601" s="182">
        <v>0</v>
      </c>
      <c r="Q2601" s="182">
        <v>0</v>
      </c>
      <c r="R2601" s="46">
        <v>0</v>
      </c>
      <c r="S2601" s="46">
        <v>5</v>
      </c>
      <c r="T2601" s="46">
        <v>2000</v>
      </c>
      <c r="U2601" s="46">
        <v>6.625</v>
      </c>
      <c r="V2601" s="46" t="s">
        <v>68</v>
      </c>
      <c r="W2601" s="46">
        <v>2000</v>
      </c>
      <c r="X2601" s="46">
        <v>6.625</v>
      </c>
      <c r="AF2601" s="46">
        <v>43</v>
      </c>
      <c r="AG2601" s="46">
        <v>21600</v>
      </c>
      <c r="AH2601" s="46">
        <v>138103.96</v>
      </c>
      <c r="AI2601" s="46">
        <v>6.3940000000000001</v>
      </c>
      <c r="AJ2601" s="46">
        <v>41</v>
      </c>
      <c r="AK2601" s="46">
        <v>18500</v>
      </c>
      <c r="AL2601" s="46">
        <v>119652.91099999999</v>
      </c>
      <c r="AM2601" s="46">
        <v>6.468</v>
      </c>
      <c r="AN2601" s="46" t="s">
        <v>63</v>
      </c>
      <c r="AO2601" s="46">
        <v>3100</v>
      </c>
      <c r="AP2601" s="46">
        <v>18451.048999999999</v>
      </c>
      <c r="AQ2601" s="46">
        <v>5.952</v>
      </c>
      <c r="AR2601" s="46">
        <v>1369</v>
      </c>
      <c r="AS2601" s="46">
        <v>43</v>
      </c>
      <c r="AT2601" s="46">
        <v>21600</v>
      </c>
      <c r="AU2601" s="46">
        <v>138103.96</v>
      </c>
      <c r="AV2601" s="46">
        <v>6.3940000000000001</v>
      </c>
      <c r="AW2601" s="46">
        <v>46</v>
      </c>
      <c r="AX2601" s="46">
        <v>20500</v>
      </c>
      <c r="AY2601" s="46">
        <v>132870.462</v>
      </c>
      <c r="AZ2601" s="46">
        <v>6.4809999999999999</v>
      </c>
      <c r="BA2601" s="46" t="s">
        <v>63</v>
      </c>
      <c r="BB2601" s="46">
        <v>1100</v>
      </c>
      <c r="BC2601" s="46">
        <v>5233.4979999999996</v>
      </c>
      <c r="BD2601" s="46">
        <v>4.758</v>
      </c>
      <c r="BE2601" s="46">
        <v>1783.5</v>
      </c>
      <c r="BF2601" s="46">
        <v>0</v>
      </c>
      <c r="BH2601" s="46">
        <v>13217.550999999999</v>
      </c>
      <c r="BI2601">
        <v>6.61</v>
      </c>
      <c r="BJ2601">
        <v>-13217.550999999999</v>
      </c>
      <c r="BK2601">
        <v>-6.61</v>
      </c>
      <c r="BL2601">
        <v>205.56</v>
      </c>
    </row>
    <row r="2602" spans="1:64" x14ac:dyDescent="0.25">
      <c r="A2602" s="136">
        <v>43182</v>
      </c>
      <c r="B2602" s="201" t="s">
        <v>79</v>
      </c>
      <c r="C2602" t="s">
        <v>143</v>
      </c>
      <c r="D2602">
        <v>6000</v>
      </c>
      <c r="E2602">
        <v>5000</v>
      </c>
      <c r="F2602">
        <v>16.242999999999999</v>
      </c>
      <c r="G2602">
        <v>-14296.94</v>
      </c>
      <c r="H2602">
        <v>-14.67</v>
      </c>
      <c r="I2602" s="309">
        <v>83160</v>
      </c>
      <c r="J2602">
        <v>13.86</v>
      </c>
      <c r="K2602" s="133">
        <v>0.17822803145017499</v>
      </c>
      <c r="L2602" s="181">
        <v>-4590.28</v>
      </c>
      <c r="M2602" s="133">
        <v>0.208869150641628</v>
      </c>
      <c r="N2602" s="73">
        <v>-13880.9440000001</v>
      </c>
      <c r="O2602" s="73">
        <v>-995.98015276382603</v>
      </c>
      <c r="P2602" s="182">
        <v>9</v>
      </c>
      <c r="Q2602" s="182">
        <v>5000</v>
      </c>
      <c r="R2602" s="46">
        <v>15.340999999999999</v>
      </c>
      <c r="S2602" s="46">
        <v>0</v>
      </c>
      <c r="T2602" s="46">
        <v>0</v>
      </c>
      <c r="U2602" s="46">
        <v>0</v>
      </c>
      <c r="V2602" s="46" t="s">
        <v>62</v>
      </c>
      <c r="W2602" s="46">
        <v>5000</v>
      </c>
      <c r="X2602" s="46">
        <v>15.340999999999999</v>
      </c>
      <c r="AF2602" s="46">
        <v>10</v>
      </c>
      <c r="AG2602" s="46">
        <v>5000</v>
      </c>
      <c r="AH2602" s="46">
        <v>82138</v>
      </c>
      <c r="AI2602" s="46">
        <v>16.428000000000001</v>
      </c>
      <c r="AJ2602" s="46">
        <v>10</v>
      </c>
      <c r="AK2602" s="46">
        <v>4000</v>
      </c>
      <c r="AL2602" s="46">
        <v>61430.055999999997</v>
      </c>
      <c r="AM2602" s="46">
        <v>15.358000000000001</v>
      </c>
      <c r="AN2602" s="46" t="s">
        <v>63</v>
      </c>
      <c r="AO2602" s="46">
        <v>1000</v>
      </c>
      <c r="AP2602" s="46">
        <v>20707.944</v>
      </c>
      <c r="AQ2602" s="46">
        <v>20.707999999999998</v>
      </c>
      <c r="AR2602" s="46">
        <v>-4280</v>
      </c>
      <c r="AS2602" s="46">
        <v>19</v>
      </c>
      <c r="AT2602" s="46">
        <v>10000</v>
      </c>
      <c r="AU2602" s="46">
        <v>158891</v>
      </c>
      <c r="AV2602" s="46">
        <v>15.888999999999999</v>
      </c>
      <c r="AW2602" s="46">
        <v>10</v>
      </c>
      <c r="AX2602" s="46">
        <v>4000</v>
      </c>
      <c r="AY2602" s="46">
        <v>61430.055999999997</v>
      </c>
      <c r="AZ2602" s="46">
        <v>15.358000000000001</v>
      </c>
      <c r="BA2602" s="46" t="s">
        <v>63</v>
      </c>
      <c r="BB2602" s="46">
        <v>6000</v>
      </c>
      <c r="BC2602" s="46">
        <v>97460.944000000003</v>
      </c>
      <c r="BD2602" s="46">
        <v>16.242999999999999</v>
      </c>
      <c r="BE2602" s="46">
        <v>-2124</v>
      </c>
      <c r="BF2602" s="46">
        <v>76753</v>
      </c>
      <c r="BG2602" s="46">
        <v>15.35</v>
      </c>
      <c r="BH2602" s="46">
        <v>0</v>
      </c>
      <c r="BJ2602">
        <v>76753</v>
      </c>
      <c r="BK2602">
        <v>15.35</v>
      </c>
      <c r="BL2602">
        <v>-308.8</v>
      </c>
    </row>
    <row r="2603" spans="1:64" x14ac:dyDescent="0.25">
      <c r="A2603" s="136">
        <v>43182</v>
      </c>
      <c r="B2603" s="201" t="s">
        <v>65</v>
      </c>
      <c r="C2603" t="s">
        <v>127</v>
      </c>
      <c r="D2603">
        <v>12700</v>
      </c>
      <c r="E2603">
        <v>11700</v>
      </c>
      <c r="F2603">
        <v>9.3719999999999999</v>
      </c>
      <c r="G2603">
        <v>3913.54</v>
      </c>
      <c r="H2603">
        <v>3.29</v>
      </c>
      <c r="I2603" s="309">
        <v>122936</v>
      </c>
      <c r="J2603">
        <v>9.68</v>
      </c>
      <c r="K2603" s="133">
        <v>0.26347572479988801</v>
      </c>
      <c r="L2603" s="181">
        <v>-3617</v>
      </c>
      <c r="M2603" s="133">
        <v>0.255088248486739</v>
      </c>
      <c r="N2603" s="73">
        <v>-2273.8790000000399</v>
      </c>
      <c r="O2603" s="73">
        <v>210.563553279101</v>
      </c>
      <c r="P2603" s="182">
        <v>1</v>
      </c>
      <c r="Q2603" s="182">
        <v>500</v>
      </c>
      <c r="R2603" s="46">
        <v>9.5299999999999994</v>
      </c>
      <c r="S2603" s="46">
        <v>14</v>
      </c>
      <c r="T2603" s="46">
        <v>6000</v>
      </c>
      <c r="U2603" s="46">
        <v>12.279</v>
      </c>
      <c r="V2603" s="46" t="s">
        <v>68</v>
      </c>
      <c r="W2603" s="46">
        <v>5500</v>
      </c>
      <c r="X2603" s="46">
        <v>12.529</v>
      </c>
      <c r="AF2603" s="46">
        <v>173</v>
      </c>
      <c r="AG2603" s="46">
        <v>92200</v>
      </c>
      <c r="AH2603" s="46">
        <v>1065805.2309999999</v>
      </c>
      <c r="AI2603" s="46">
        <v>11.56</v>
      </c>
      <c r="AJ2603" s="46">
        <v>192</v>
      </c>
      <c r="AK2603" s="46">
        <v>83200</v>
      </c>
      <c r="AL2603" s="46">
        <v>877190.02099999995</v>
      </c>
      <c r="AM2603" s="46">
        <v>10.542999999999999</v>
      </c>
      <c r="AN2603" s="46" t="s">
        <v>63</v>
      </c>
      <c r="AO2603" s="46">
        <v>9000</v>
      </c>
      <c r="AP2603" s="46">
        <v>188615.21</v>
      </c>
      <c r="AQ2603" s="46">
        <v>20.957000000000001</v>
      </c>
      <c r="AR2603" s="46">
        <v>-84614.399999999994</v>
      </c>
      <c r="AS2603" s="46">
        <v>175</v>
      </c>
      <c r="AT2603" s="46">
        <v>92800</v>
      </c>
      <c r="AU2603" s="46">
        <v>1071863.2309999999</v>
      </c>
      <c r="AV2603" s="46">
        <v>11.55</v>
      </c>
      <c r="AW2603" s="46">
        <v>206</v>
      </c>
      <c r="AX2603" s="46">
        <v>89200</v>
      </c>
      <c r="AY2603" s="46">
        <v>950717.35</v>
      </c>
      <c r="AZ2603" s="46">
        <v>10.657999999999999</v>
      </c>
      <c r="BA2603" s="46" t="s">
        <v>63</v>
      </c>
      <c r="BB2603" s="46">
        <v>3600</v>
      </c>
      <c r="BC2603" s="46">
        <v>121145.88099999999</v>
      </c>
      <c r="BD2603" s="46">
        <v>33.652000000000001</v>
      </c>
      <c r="BE2603" s="46">
        <v>-79566.399999999994</v>
      </c>
      <c r="BF2603" s="46">
        <v>6058</v>
      </c>
      <c r="BG2603" s="46">
        <v>12.12</v>
      </c>
      <c r="BH2603" s="46">
        <v>73527.328999999896</v>
      </c>
      <c r="BI2603">
        <v>12.25</v>
      </c>
      <c r="BJ2603">
        <v>-67469.328999999998</v>
      </c>
      <c r="BK2603">
        <v>-12.27</v>
      </c>
      <c r="BL2603">
        <v>-8741.16</v>
      </c>
    </row>
    <row r="2604" spans="1:64" x14ac:dyDescent="0.25">
      <c r="A2604" s="136">
        <v>43182</v>
      </c>
      <c r="B2604" s="201" t="s">
        <v>77</v>
      </c>
      <c r="C2604" t="s">
        <v>128</v>
      </c>
      <c r="D2604">
        <v>4300</v>
      </c>
      <c r="E2604">
        <v>4300</v>
      </c>
      <c r="F2604">
        <v>5.9779999999999998</v>
      </c>
      <c r="G2604">
        <v>-595.27</v>
      </c>
      <c r="H2604">
        <v>-2.31</v>
      </c>
      <c r="I2604" s="309">
        <v>25112</v>
      </c>
      <c r="J2604">
        <v>5.84</v>
      </c>
      <c r="K2604" s="133">
        <v>5.38198932873592E-2</v>
      </c>
      <c r="L2604" s="181">
        <v>0</v>
      </c>
      <c r="M2604" s="133">
        <v>5.5095672511521601E-2</v>
      </c>
      <c r="N2604" s="73">
        <v>-1272.2139999999999</v>
      </c>
      <c r="O2604" s="73">
        <v>-133.073774655173</v>
      </c>
      <c r="P2604" s="182">
        <v>6</v>
      </c>
      <c r="Q2604" s="182">
        <v>3000</v>
      </c>
      <c r="R2604" s="46">
        <v>6.798</v>
      </c>
      <c r="S2604" s="46">
        <v>0</v>
      </c>
      <c r="T2604" s="46">
        <v>0</v>
      </c>
      <c r="U2604" s="46">
        <v>0</v>
      </c>
      <c r="V2604" s="46" t="s">
        <v>62</v>
      </c>
      <c r="W2604" s="46">
        <v>3000</v>
      </c>
      <c r="X2604" s="46">
        <v>6.798</v>
      </c>
      <c r="AF2604" s="46">
        <v>39</v>
      </c>
      <c r="AG2604" s="46">
        <v>19500</v>
      </c>
      <c r="AH2604" s="46">
        <v>142169</v>
      </c>
      <c r="AI2604" s="46">
        <v>7.2910000000000004</v>
      </c>
      <c r="AJ2604" s="46">
        <v>39</v>
      </c>
      <c r="AK2604" s="46">
        <v>18200</v>
      </c>
      <c r="AL2604" s="46">
        <v>136881.78599999999</v>
      </c>
      <c r="AM2604" s="46">
        <v>7.5209999999999999</v>
      </c>
      <c r="AN2604" s="46" t="s">
        <v>63</v>
      </c>
      <c r="AO2604" s="46">
        <v>1300</v>
      </c>
      <c r="AP2604" s="46">
        <v>5287.2139999999999</v>
      </c>
      <c r="AQ2604" s="46">
        <v>4.0670000000000002</v>
      </c>
      <c r="AR2604" s="46">
        <v>4186</v>
      </c>
      <c r="AS2604" s="46">
        <v>45</v>
      </c>
      <c r="AT2604" s="46">
        <v>22500</v>
      </c>
      <c r="AU2604" s="46">
        <v>162594</v>
      </c>
      <c r="AV2604" s="46">
        <v>7.226</v>
      </c>
      <c r="AW2604" s="46">
        <v>39</v>
      </c>
      <c r="AX2604" s="46">
        <v>18200</v>
      </c>
      <c r="AY2604" s="46">
        <v>136881.78599999999</v>
      </c>
      <c r="AZ2604" s="46">
        <v>7.5209999999999999</v>
      </c>
      <c r="BA2604" s="46" t="s">
        <v>63</v>
      </c>
      <c r="BB2604" s="46">
        <v>4300</v>
      </c>
      <c r="BC2604" s="46">
        <v>25712.214</v>
      </c>
      <c r="BD2604" s="46">
        <v>5.98</v>
      </c>
      <c r="BE2604" s="46">
        <v>5369</v>
      </c>
      <c r="BF2604" s="46">
        <v>20425</v>
      </c>
      <c r="BG2604" s="46">
        <v>6.81</v>
      </c>
      <c r="BH2604" s="46">
        <v>0</v>
      </c>
      <c r="BJ2604">
        <v>20425</v>
      </c>
      <c r="BK2604">
        <v>6.81</v>
      </c>
      <c r="BL2604">
        <v>716.78</v>
      </c>
    </row>
    <row r="2605" spans="1:64" x14ac:dyDescent="0.25">
      <c r="A2605" s="136">
        <v>43182</v>
      </c>
      <c r="B2605" s="201" t="s">
        <v>67</v>
      </c>
      <c r="C2605" t="s">
        <v>129</v>
      </c>
      <c r="D2605">
        <v>2800</v>
      </c>
      <c r="E2605">
        <v>800</v>
      </c>
      <c r="F2605">
        <v>7.7460000000000004</v>
      </c>
      <c r="G2605">
        <v>1522.44</v>
      </c>
      <c r="H2605">
        <v>7.02</v>
      </c>
      <c r="I2605" s="309">
        <v>23212</v>
      </c>
      <c r="J2605">
        <v>8.2899999999999991</v>
      </c>
      <c r="K2605" s="133">
        <v>4.9747824266732299E-2</v>
      </c>
      <c r="L2605" s="181">
        <v>-1004</v>
      </c>
      <c r="M2605" s="133">
        <v>4.6484939656330701E-2</v>
      </c>
      <c r="N2605" s="73">
        <v>1324.14649999976</v>
      </c>
      <c r="O2605" s="73">
        <v>161.00783780410899</v>
      </c>
      <c r="P2605" s="182">
        <v>0</v>
      </c>
      <c r="Q2605" s="182">
        <v>0</v>
      </c>
      <c r="R2605" s="46">
        <v>0</v>
      </c>
      <c r="S2605" s="46">
        <v>15</v>
      </c>
      <c r="T2605" s="46">
        <v>6000</v>
      </c>
      <c r="U2605" s="46">
        <v>8.9529999999999994</v>
      </c>
      <c r="V2605" s="46" t="s">
        <v>68</v>
      </c>
      <c r="W2605" s="46">
        <v>6000</v>
      </c>
      <c r="X2605" s="46">
        <v>8.9529999999999994</v>
      </c>
      <c r="AF2605" s="46">
        <v>181</v>
      </c>
      <c r="AG2605" s="46">
        <v>89900</v>
      </c>
      <c r="AH2605" s="46">
        <v>747010</v>
      </c>
      <c r="AI2605" s="46">
        <v>8.3089999999999993</v>
      </c>
      <c r="AJ2605" s="46">
        <v>184</v>
      </c>
      <c r="AK2605" s="46">
        <v>83700</v>
      </c>
      <c r="AL2605" s="46">
        <v>740854.98250000004</v>
      </c>
      <c r="AM2605" s="46">
        <v>8.8510000000000009</v>
      </c>
      <c r="AN2605" s="46" t="s">
        <v>63</v>
      </c>
      <c r="AO2605" s="46">
        <v>6200</v>
      </c>
      <c r="AP2605" s="46">
        <v>6155.0169999999998</v>
      </c>
      <c r="AQ2605" s="46">
        <v>0.99299999999999999</v>
      </c>
      <c r="AR2605" s="46">
        <v>45365.4</v>
      </c>
      <c r="AS2605" s="46">
        <v>181</v>
      </c>
      <c r="AT2605" s="46">
        <v>89900</v>
      </c>
      <c r="AU2605" s="46">
        <v>747010</v>
      </c>
      <c r="AV2605" s="46">
        <v>8.3089999999999993</v>
      </c>
      <c r="AW2605" s="46">
        <v>199</v>
      </c>
      <c r="AX2605" s="46">
        <v>89700</v>
      </c>
      <c r="AY2605" s="46">
        <v>794446.26249999995</v>
      </c>
      <c r="AZ2605" s="46">
        <v>8.8569999999999993</v>
      </c>
      <c r="BA2605" s="46" t="s">
        <v>63</v>
      </c>
      <c r="BB2605" s="46">
        <v>200</v>
      </c>
      <c r="BC2605" s="46">
        <v>47436.262999999999</v>
      </c>
      <c r="BD2605" s="46">
        <v>237.18100000000001</v>
      </c>
      <c r="BE2605" s="46">
        <v>49155.6</v>
      </c>
      <c r="BF2605" s="46">
        <v>0</v>
      </c>
      <c r="BH2605" s="46">
        <v>53591.280000000297</v>
      </c>
      <c r="BI2605">
        <v>8.93</v>
      </c>
      <c r="BJ2605">
        <v>41281.245999999999</v>
      </c>
      <c r="BK2605">
        <v>6.88</v>
      </c>
      <c r="BL2605">
        <v>5472.3</v>
      </c>
    </row>
    <row r="2606" spans="1:64" x14ac:dyDescent="0.25">
      <c r="A2606" s="136">
        <v>43182</v>
      </c>
      <c r="B2606" s="201" t="s">
        <v>78</v>
      </c>
      <c r="C2606" t="s">
        <v>142</v>
      </c>
      <c r="D2606">
        <v>100</v>
      </c>
      <c r="E2606">
        <v>100</v>
      </c>
      <c r="F2606">
        <v>-4.9039999999999999</v>
      </c>
      <c r="G2606">
        <v>1449.4</v>
      </c>
      <c r="H2606">
        <v>0</v>
      </c>
      <c r="I2606" s="309">
        <v>959</v>
      </c>
      <c r="J2606">
        <v>9.59</v>
      </c>
      <c r="K2606" s="133">
        <v>2.0553232583058901E-3</v>
      </c>
      <c r="L2606" s="181">
        <v>-90</v>
      </c>
      <c r="M2606" s="133">
        <v>0</v>
      </c>
      <c r="N2606" s="73">
        <v>1506.3910000000001</v>
      </c>
      <c r="O2606" s="73">
        <v>148.19269729330699</v>
      </c>
      <c r="P2606" s="182">
        <v>0</v>
      </c>
      <c r="Q2606" s="182">
        <v>0</v>
      </c>
      <c r="R2606" s="46">
        <v>0</v>
      </c>
      <c r="S2606" s="46">
        <v>3</v>
      </c>
      <c r="T2606" s="46">
        <v>1200</v>
      </c>
      <c r="U2606" s="46">
        <v>9.99</v>
      </c>
      <c r="V2606" s="46" t="s">
        <v>68</v>
      </c>
      <c r="W2606" s="46">
        <v>1200</v>
      </c>
      <c r="X2606" s="46">
        <v>9.99</v>
      </c>
      <c r="AF2606" s="46">
        <v>13</v>
      </c>
      <c r="AG2606" s="46">
        <v>6500</v>
      </c>
      <c r="AH2606" s="46">
        <v>62970</v>
      </c>
      <c r="AI2606" s="46">
        <v>9.6880000000000006</v>
      </c>
      <c r="AJ2606" s="46">
        <v>14</v>
      </c>
      <c r="AK2606" s="46">
        <v>5200</v>
      </c>
      <c r="AL2606" s="46">
        <v>51499.379000000001</v>
      </c>
      <c r="AM2606" s="46">
        <v>9.9039999999999999</v>
      </c>
      <c r="AN2606" s="46" t="s">
        <v>63</v>
      </c>
      <c r="AO2606" s="46">
        <v>1300</v>
      </c>
      <c r="AP2606" s="46">
        <v>11470.620999999999</v>
      </c>
      <c r="AQ2606" s="46">
        <v>8.8239999999999998</v>
      </c>
      <c r="AR2606" s="46">
        <v>1123.2</v>
      </c>
      <c r="AS2606" s="46">
        <v>13</v>
      </c>
      <c r="AT2606" s="46">
        <v>6500</v>
      </c>
      <c r="AU2606" s="46">
        <v>62970</v>
      </c>
      <c r="AV2606" s="46">
        <v>9.6880000000000006</v>
      </c>
      <c r="AW2606" s="46">
        <v>17</v>
      </c>
      <c r="AX2606" s="46">
        <v>6400</v>
      </c>
      <c r="AY2606" s="46">
        <v>63460.391000000003</v>
      </c>
      <c r="AZ2606" s="46">
        <v>9.9160000000000004</v>
      </c>
      <c r="BA2606" s="46" t="s">
        <v>63</v>
      </c>
      <c r="BB2606" s="46">
        <v>100</v>
      </c>
      <c r="BC2606" s="46">
        <v>490.39100000000002</v>
      </c>
      <c r="BD2606" s="46">
        <v>4.9039999999999999</v>
      </c>
      <c r="BE2606" s="46">
        <v>1459.2</v>
      </c>
      <c r="BF2606" s="46">
        <v>0</v>
      </c>
      <c r="BH2606" s="46">
        <v>11961.012000000001</v>
      </c>
      <c r="BI2606">
        <v>9.9700000000000006</v>
      </c>
      <c r="BJ2606">
        <v>-10980.23</v>
      </c>
      <c r="BK2606">
        <v>-9.15</v>
      </c>
      <c r="BL2606">
        <v>117.12</v>
      </c>
    </row>
    <row r="2607" spans="1:64" x14ac:dyDescent="0.25">
      <c r="A2607" s="136">
        <v>43182</v>
      </c>
      <c r="B2607" s="201" t="s">
        <v>72</v>
      </c>
      <c r="C2607" t="s">
        <v>130</v>
      </c>
      <c r="D2607">
        <v>4000</v>
      </c>
      <c r="E2607">
        <v>3000</v>
      </c>
      <c r="F2607">
        <v>6.7039999999999997</v>
      </c>
      <c r="G2607">
        <v>-2774.27</v>
      </c>
      <c r="H2607">
        <v>-10.35</v>
      </c>
      <c r="I2607" s="309">
        <v>24040</v>
      </c>
      <c r="J2607">
        <v>6.01</v>
      </c>
      <c r="K2607" s="133">
        <v>5.1522389082037101E-2</v>
      </c>
      <c r="L2607" s="181">
        <v>-1860</v>
      </c>
      <c r="M2607" s="133">
        <v>5.7468188514592199E-2</v>
      </c>
      <c r="N2607" s="73">
        <v>-2795.98</v>
      </c>
      <c r="O2607" s="73">
        <v>-424.58463118811602</v>
      </c>
      <c r="P2607" s="182">
        <v>0</v>
      </c>
      <c r="Q2607" s="182">
        <v>0</v>
      </c>
      <c r="R2607" s="46">
        <v>0</v>
      </c>
      <c r="S2607" s="46">
        <v>10</v>
      </c>
      <c r="T2607" s="46">
        <v>4000</v>
      </c>
      <c r="U2607" s="46">
        <v>7.7009999999999996</v>
      </c>
      <c r="V2607" s="46" t="s">
        <v>68</v>
      </c>
      <c r="W2607" s="46">
        <v>4000</v>
      </c>
      <c r="X2607" s="46">
        <v>7.7009999999999996</v>
      </c>
      <c r="AF2607" s="46">
        <v>35</v>
      </c>
      <c r="AG2607" s="46">
        <v>17400</v>
      </c>
      <c r="AH2607" s="46">
        <v>130612</v>
      </c>
      <c r="AI2607" s="46">
        <v>7.5060000000000002</v>
      </c>
      <c r="AJ2607" s="46">
        <v>35</v>
      </c>
      <c r="AK2607" s="46">
        <v>16000</v>
      </c>
      <c r="AL2607" s="46">
        <v>73807.009000000005</v>
      </c>
      <c r="AM2607" s="46">
        <v>4.6130000000000004</v>
      </c>
      <c r="AN2607" s="46" t="s">
        <v>63</v>
      </c>
      <c r="AO2607" s="46">
        <v>1400</v>
      </c>
      <c r="AP2607" s="46">
        <v>56804.991000000002</v>
      </c>
      <c r="AQ2607" s="46">
        <v>40.575000000000003</v>
      </c>
      <c r="AR2607" s="46">
        <v>-46288</v>
      </c>
      <c r="AS2607" s="46">
        <v>35</v>
      </c>
      <c r="AT2607" s="46">
        <v>17400</v>
      </c>
      <c r="AU2607" s="46">
        <v>130612</v>
      </c>
      <c r="AV2607" s="46">
        <v>7.5060000000000002</v>
      </c>
      <c r="AW2607" s="46">
        <v>46</v>
      </c>
      <c r="AX2607" s="46">
        <v>20500</v>
      </c>
      <c r="AY2607" s="46">
        <v>104530.205</v>
      </c>
      <c r="AZ2607" s="46">
        <v>5.0990000000000002</v>
      </c>
      <c r="BA2607" s="46" t="s">
        <v>69</v>
      </c>
      <c r="BB2607" s="46">
        <v>3100</v>
      </c>
      <c r="BC2607" s="46">
        <v>26081.794999999998</v>
      </c>
      <c r="BD2607" s="46">
        <v>8.4130000000000003</v>
      </c>
      <c r="BE2607" s="46">
        <v>-41881.800000000003</v>
      </c>
      <c r="BF2607" s="46">
        <v>0</v>
      </c>
      <c r="BH2607" s="46">
        <v>30723.196</v>
      </c>
      <c r="BI2607">
        <v>7.68</v>
      </c>
      <c r="BJ2607">
        <v>-30723.196</v>
      </c>
      <c r="BK2607">
        <v>-7.68</v>
      </c>
      <c r="BL2607">
        <v>-7701.83</v>
      </c>
    </row>
    <row r="2608" spans="1:64" x14ac:dyDescent="0.25">
      <c r="A2608" s="136">
        <v>43182</v>
      </c>
      <c r="B2608" s="201" t="s">
        <v>70</v>
      </c>
      <c r="C2608" t="s">
        <v>131</v>
      </c>
      <c r="D2608">
        <v>13300</v>
      </c>
      <c r="E2608">
        <v>12800</v>
      </c>
      <c r="F2608">
        <v>11.291</v>
      </c>
      <c r="G2608">
        <v>-38189.75</v>
      </c>
      <c r="H2608">
        <v>-25.43</v>
      </c>
      <c r="I2608" s="309">
        <v>111986</v>
      </c>
      <c r="J2608">
        <v>8.42</v>
      </c>
      <c r="K2608" s="133">
        <v>0.24000774807574901</v>
      </c>
      <c r="L2608" s="181">
        <v>-8691</v>
      </c>
      <c r="M2608" s="133">
        <v>0.321855799591794</v>
      </c>
      <c r="N2608" s="73">
        <v>-35262.758000000002</v>
      </c>
      <c r="O2608" s="73">
        <v>-4079.2970626157498</v>
      </c>
      <c r="P2608" s="182">
        <v>3</v>
      </c>
      <c r="Q2608" s="182">
        <v>1500</v>
      </c>
      <c r="R2608" s="46">
        <v>8.26</v>
      </c>
      <c r="S2608" s="46">
        <v>1</v>
      </c>
      <c r="T2608" s="46">
        <v>400</v>
      </c>
      <c r="U2608" s="46">
        <v>9.02</v>
      </c>
      <c r="V2608" s="46" t="s">
        <v>62</v>
      </c>
      <c r="W2608" s="46">
        <v>1100</v>
      </c>
      <c r="X2608" s="46">
        <v>7.984</v>
      </c>
      <c r="AF2608" s="46">
        <v>132</v>
      </c>
      <c r="AG2608" s="46">
        <v>67600</v>
      </c>
      <c r="AH2608" s="46">
        <v>886488</v>
      </c>
      <c r="AI2608" s="46">
        <v>13.114000000000001</v>
      </c>
      <c r="AJ2608" s="46">
        <v>138</v>
      </c>
      <c r="AK2608" s="46">
        <v>55400</v>
      </c>
      <c r="AL2608" s="46">
        <v>744713.85</v>
      </c>
      <c r="AM2608" s="46">
        <v>13.442</v>
      </c>
      <c r="AN2608" s="46" t="s">
        <v>63</v>
      </c>
      <c r="AO2608" s="46">
        <v>12200</v>
      </c>
      <c r="AP2608" s="46">
        <v>141774.15</v>
      </c>
      <c r="AQ2608" s="46">
        <v>11.621</v>
      </c>
      <c r="AR2608" s="46">
        <v>18171.2</v>
      </c>
      <c r="AS2608" s="46">
        <v>135</v>
      </c>
      <c r="AT2608" s="46">
        <v>69100</v>
      </c>
      <c r="AU2608" s="46">
        <v>898893</v>
      </c>
      <c r="AV2608" s="46">
        <v>13.009</v>
      </c>
      <c r="AW2608" s="46">
        <v>140</v>
      </c>
      <c r="AX2608" s="46">
        <v>55800</v>
      </c>
      <c r="AY2608" s="46">
        <v>748718.24199999997</v>
      </c>
      <c r="AZ2608" s="46">
        <v>13.417999999999999</v>
      </c>
      <c r="BA2608" s="46" t="s">
        <v>63</v>
      </c>
      <c r="BB2608" s="46">
        <v>13300</v>
      </c>
      <c r="BC2608" s="46">
        <v>150174.758</v>
      </c>
      <c r="BD2608" s="46">
        <v>11.291</v>
      </c>
      <c r="BE2608" s="46">
        <v>22822.2</v>
      </c>
      <c r="BF2608" s="46">
        <v>12405</v>
      </c>
      <c r="BG2608" s="46">
        <v>8.27</v>
      </c>
      <c r="BH2608" s="46">
        <v>4004.3919999999898</v>
      </c>
      <c r="BI2608">
        <v>10.01</v>
      </c>
      <c r="BJ2608">
        <v>8400.6080000000093</v>
      </c>
      <c r="BK2608">
        <v>7.64</v>
      </c>
      <c r="BL2608">
        <v>2158.1</v>
      </c>
    </row>
    <row r="2609" spans="1:64" x14ac:dyDescent="0.25">
      <c r="A2609" s="136">
        <v>43182</v>
      </c>
      <c r="B2609" s="201" t="s">
        <v>137</v>
      </c>
      <c r="C2609" t="s">
        <v>138</v>
      </c>
      <c r="D2609">
        <v>100</v>
      </c>
      <c r="E2609">
        <v>100</v>
      </c>
      <c r="F2609">
        <v>-130.48500000000001</v>
      </c>
      <c r="G2609">
        <v>16688.5</v>
      </c>
      <c r="H2609">
        <v>0</v>
      </c>
      <c r="I2609" s="309">
        <v>3640</v>
      </c>
      <c r="J2609">
        <v>36.4</v>
      </c>
      <c r="K2609" s="133">
        <v>7.8012269658325802E-3</v>
      </c>
      <c r="L2609" s="181">
        <v>-266</v>
      </c>
      <c r="M2609" s="133">
        <v>0</v>
      </c>
    </row>
    <row r="2610" spans="1:64" x14ac:dyDescent="0.25">
      <c r="A2610" s="136">
        <v>43182</v>
      </c>
      <c r="B2610" s="201" t="s">
        <v>835</v>
      </c>
      <c r="C2610" t="s">
        <v>839</v>
      </c>
      <c r="I2610" s="309">
        <v>423.48</v>
      </c>
      <c r="K2610" s="133">
        <v>9.0759988887109298E-4</v>
      </c>
      <c r="L2610" s="181">
        <v>0</v>
      </c>
      <c r="M2610" s="133">
        <v>0.106088692620877</v>
      </c>
    </row>
    <row r="2611" spans="1:64" x14ac:dyDescent="0.25">
      <c r="A2611" s="136">
        <v>43185</v>
      </c>
      <c r="B2611" s="201" t="s">
        <v>132</v>
      </c>
      <c r="C2611" t="s">
        <v>123</v>
      </c>
      <c r="D2611">
        <v>2908503</v>
      </c>
      <c r="E2611">
        <v>2908503</v>
      </c>
      <c r="F2611">
        <v>8.9999999999999993E-3</v>
      </c>
      <c r="G2611">
        <v>3330.59</v>
      </c>
      <c r="H2611">
        <v>11.11</v>
      </c>
      <c r="I2611" s="309">
        <v>29085.03</v>
      </c>
      <c r="J2611">
        <v>0.01</v>
      </c>
      <c r="K2611" s="133">
        <v>6.1643682756184703E-2</v>
      </c>
      <c r="L2611" s="181">
        <v>8.24000000000024</v>
      </c>
      <c r="M2611" s="133">
        <v>0</v>
      </c>
    </row>
    <row r="2612" spans="1:64" x14ac:dyDescent="0.25">
      <c r="A2612" s="136">
        <v>43185</v>
      </c>
      <c r="B2612" s="201" t="s">
        <v>61</v>
      </c>
      <c r="C2612" t="s">
        <v>136</v>
      </c>
      <c r="D2612">
        <v>2900</v>
      </c>
      <c r="E2612">
        <v>2900</v>
      </c>
      <c r="F2612">
        <v>5.18</v>
      </c>
      <c r="G2612">
        <v>-841</v>
      </c>
      <c r="H2612">
        <v>-5.6</v>
      </c>
      <c r="I2612" s="309">
        <v>14181</v>
      </c>
      <c r="J2612">
        <v>4.8899999999999997</v>
      </c>
      <c r="K2612" s="133">
        <v>3.0055635671183901E-2</v>
      </c>
      <c r="L2612" s="181">
        <v>87</v>
      </c>
      <c r="M2612" s="133">
        <v>3.1838076232460703E-2</v>
      </c>
      <c r="N2612" s="73">
        <v>-846.54100000000096</v>
      </c>
      <c r="O2612" s="73">
        <v>-173.030210531698</v>
      </c>
      <c r="P2612" s="182">
        <v>4</v>
      </c>
      <c r="Q2612" s="182">
        <v>2000</v>
      </c>
      <c r="R2612" s="46">
        <v>5.218</v>
      </c>
      <c r="S2612" s="46">
        <v>0</v>
      </c>
      <c r="T2612" s="46">
        <v>0</v>
      </c>
      <c r="U2612" s="46">
        <v>0</v>
      </c>
      <c r="V2612" s="46" t="s">
        <v>62</v>
      </c>
      <c r="W2612" s="46">
        <v>2000</v>
      </c>
      <c r="X2612" s="46">
        <v>5.218</v>
      </c>
      <c r="AF2612" s="46">
        <v>10</v>
      </c>
      <c r="AG2612" s="46">
        <v>5000</v>
      </c>
      <c r="AH2612" s="46">
        <v>26378</v>
      </c>
      <c r="AI2612" s="46">
        <v>5.2759999999999998</v>
      </c>
      <c r="AJ2612" s="46">
        <v>10</v>
      </c>
      <c r="AK2612" s="46">
        <v>4100</v>
      </c>
      <c r="AL2612" s="46">
        <v>21806.659</v>
      </c>
      <c r="AM2612" s="46">
        <v>5.319</v>
      </c>
      <c r="AN2612" s="46" t="s">
        <v>63</v>
      </c>
      <c r="AO2612" s="46">
        <v>900</v>
      </c>
      <c r="AP2612" s="46">
        <v>4571.3410000000003</v>
      </c>
      <c r="AQ2612" s="46">
        <v>5.0789999999999997</v>
      </c>
      <c r="AR2612" s="46">
        <v>176.3</v>
      </c>
      <c r="AS2612" s="46">
        <v>14</v>
      </c>
      <c r="AT2612" s="46">
        <v>7000</v>
      </c>
      <c r="AU2612" s="46">
        <v>36834.199999999997</v>
      </c>
      <c r="AV2612" s="46">
        <v>5.2619999999999996</v>
      </c>
      <c r="AW2612" s="46">
        <v>10</v>
      </c>
      <c r="AX2612" s="46">
        <v>4100</v>
      </c>
      <c r="AY2612" s="46">
        <v>21806.659</v>
      </c>
      <c r="AZ2612" s="46">
        <v>5.319</v>
      </c>
      <c r="BA2612" s="46" t="s">
        <v>63</v>
      </c>
      <c r="BB2612" s="46">
        <v>2900</v>
      </c>
      <c r="BC2612" s="46">
        <v>15027.540999999999</v>
      </c>
      <c r="BD2612" s="46">
        <v>5.1820000000000004</v>
      </c>
      <c r="BE2612" s="46">
        <v>233.7</v>
      </c>
      <c r="BF2612" s="46">
        <v>10456.200000000001</v>
      </c>
      <c r="BG2612" s="46">
        <v>5.23</v>
      </c>
      <c r="BH2612" s="46">
        <v>0</v>
      </c>
      <c r="BJ2612">
        <v>10456.200000000001</v>
      </c>
      <c r="BK2612">
        <v>5.23</v>
      </c>
      <c r="BL2612">
        <v>36.049999999999997</v>
      </c>
    </row>
    <row r="2613" spans="1:64" x14ac:dyDescent="0.25">
      <c r="A2613" s="136">
        <v>43185</v>
      </c>
      <c r="B2613" s="201" t="s">
        <v>124</v>
      </c>
      <c r="C2613" t="s">
        <v>125</v>
      </c>
      <c r="D2613">
        <v>100</v>
      </c>
      <c r="E2613">
        <v>100</v>
      </c>
      <c r="F2613">
        <v>-53.579000000000001</v>
      </c>
      <c r="G2613">
        <v>5959.9</v>
      </c>
      <c r="H2613">
        <v>0</v>
      </c>
      <c r="I2613" s="309">
        <v>602</v>
      </c>
      <c r="J2613">
        <v>6.02</v>
      </c>
      <c r="K2613" s="133">
        <v>1.27589681080691E-3</v>
      </c>
      <c r="L2613" s="181">
        <v>-26</v>
      </c>
      <c r="M2613" s="133">
        <v>0</v>
      </c>
    </row>
    <row r="2614" spans="1:64" x14ac:dyDescent="0.25">
      <c r="A2614" s="136">
        <v>43185</v>
      </c>
      <c r="B2614" s="201" t="s">
        <v>71</v>
      </c>
      <c r="C2614" t="s">
        <v>126</v>
      </c>
      <c r="D2614">
        <v>1600</v>
      </c>
      <c r="E2614">
        <v>1100</v>
      </c>
      <c r="F2614">
        <v>5.16</v>
      </c>
      <c r="G2614">
        <v>1983.44</v>
      </c>
      <c r="H2614">
        <v>24.03</v>
      </c>
      <c r="I2614" s="309">
        <v>10240</v>
      </c>
      <c r="J2614">
        <v>6.4</v>
      </c>
      <c r="K2614" s="133">
        <v>2.17029623632271E-2</v>
      </c>
      <c r="L2614" s="181">
        <v>-271.06</v>
      </c>
      <c r="M2614" s="133">
        <v>1.74992002861061E-2</v>
      </c>
      <c r="N2614" s="73">
        <v>1918.402</v>
      </c>
      <c r="O2614" s="73">
        <v>301.48471682389902</v>
      </c>
      <c r="P2614" s="182">
        <v>0</v>
      </c>
      <c r="Q2614" s="182">
        <v>0</v>
      </c>
      <c r="R2614" s="46">
        <v>0</v>
      </c>
      <c r="S2614" s="46">
        <v>4</v>
      </c>
      <c r="T2614" s="46">
        <v>1500</v>
      </c>
      <c r="U2614" s="46">
        <v>6.7229999999999999</v>
      </c>
      <c r="V2614" s="46" t="s">
        <v>68</v>
      </c>
      <c r="W2614" s="46">
        <v>1500</v>
      </c>
      <c r="X2614" s="46">
        <v>6.7229999999999999</v>
      </c>
      <c r="AF2614" s="46">
        <v>44</v>
      </c>
      <c r="AG2614" s="46">
        <v>22100</v>
      </c>
      <c r="AH2614" s="46">
        <v>141289.26</v>
      </c>
      <c r="AI2614" s="46">
        <v>6.3929999999999998</v>
      </c>
      <c r="AJ2614" s="46">
        <v>42</v>
      </c>
      <c r="AK2614" s="46">
        <v>19000</v>
      </c>
      <c r="AL2614" s="46">
        <v>122809.446</v>
      </c>
      <c r="AM2614" s="46">
        <v>6.4640000000000004</v>
      </c>
      <c r="AN2614" s="46" t="s">
        <v>63</v>
      </c>
      <c r="AO2614" s="46">
        <v>3100</v>
      </c>
      <c r="AP2614" s="46">
        <v>18479.813999999998</v>
      </c>
      <c r="AQ2614" s="46">
        <v>5.9610000000000003</v>
      </c>
      <c r="AR2614" s="46">
        <v>1349</v>
      </c>
      <c r="AS2614" s="46">
        <v>44</v>
      </c>
      <c r="AT2614" s="46">
        <v>22100</v>
      </c>
      <c r="AU2614" s="46">
        <v>141289.26</v>
      </c>
      <c r="AV2614" s="46">
        <v>6.3929999999999998</v>
      </c>
      <c r="AW2614" s="46">
        <v>46</v>
      </c>
      <c r="AX2614" s="46">
        <v>20500</v>
      </c>
      <c r="AY2614" s="46">
        <v>132870.462</v>
      </c>
      <c r="AZ2614" s="46">
        <v>6.4809999999999999</v>
      </c>
      <c r="BA2614" s="46" t="s">
        <v>63</v>
      </c>
      <c r="BB2614" s="46">
        <v>1600</v>
      </c>
      <c r="BC2614" s="46">
        <v>8418.7980000000007</v>
      </c>
      <c r="BD2614" s="46">
        <v>5.2619999999999996</v>
      </c>
      <c r="BE2614" s="46">
        <v>1804</v>
      </c>
      <c r="BF2614" s="46">
        <v>0</v>
      </c>
      <c r="BH2614" s="46">
        <v>10061.016</v>
      </c>
      <c r="BI2614">
        <v>6.71</v>
      </c>
      <c r="BJ2614">
        <v>-10061.016</v>
      </c>
      <c r="BK2614">
        <v>-6.71</v>
      </c>
      <c r="BL2614">
        <v>210.78</v>
      </c>
    </row>
    <row r="2615" spans="1:64" x14ac:dyDescent="0.25">
      <c r="A2615" s="136">
        <v>43185</v>
      </c>
      <c r="B2615" s="201" t="s">
        <v>79</v>
      </c>
      <c r="C2615" t="s">
        <v>143</v>
      </c>
      <c r="D2615">
        <v>6100</v>
      </c>
      <c r="E2615">
        <v>5600</v>
      </c>
      <c r="F2615">
        <v>16.187000000000001</v>
      </c>
      <c r="G2615">
        <v>-13401.78</v>
      </c>
      <c r="H2615">
        <v>-13.57</v>
      </c>
      <c r="I2615" s="309">
        <v>85339</v>
      </c>
      <c r="J2615">
        <v>13.99</v>
      </c>
      <c r="K2615" s="133">
        <v>0.18087002979642899</v>
      </c>
      <c r="L2615" s="181">
        <v>895.16</v>
      </c>
      <c r="M2615" s="133">
        <v>0.20927416328668799</v>
      </c>
      <c r="N2615" s="73">
        <v>-13467.076000000099</v>
      </c>
      <c r="O2615" s="73">
        <v>-962.82850228899201</v>
      </c>
      <c r="P2615" s="182">
        <v>9</v>
      </c>
      <c r="Q2615" s="182">
        <v>5000</v>
      </c>
      <c r="R2615" s="46">
        <v>15.315</v>
      </c>
      <c r="S2615" s="46">
        <v>0</v>
      </c>
      <c r="T2615" s="46">
        <v>0</v>
      </c>
      <c r="U2615" s="46">
        <v>0</v>
      </c>
      <c r="V2615" s="46" t="s">
        <v>62</v>
      </c>
      <c r="W2615" s="46">
        <v>5000</v>
      </c>
      <c r="X2615" s="46">
        <v>15.315</v>
      </c>
      <c r="AF2615" s="46">
        <v>11</v>
      </c>
      <c r="AG2615" s="46">
        <v>5500</v>
      </c>
      <c r="AH2615" s="46">
        <v>89133.3</v>
      </c>
      <c r="AI2615" s="46">
        <v>16.206</v>
      </c>
      <c r="AJ2615" s="46">
        <v>11</v>
      </c>
      <c r="AK2615" s="46">
        <v>4400</v>
      </c>
      <c r="AL2615" s="46">
        <v>67011.2239999999</v>
      </c>
      <c r="AM2615" s="46">
        <v>15.23</v>
      </c>
      <c r="AN2615" s="46" t="s">
        <v>63</v>
      </c>
      <c r="AO2615" s="46">
        <v>1100</v>
      </c>
      <c r="AP2615" s="46">
        <v>22122.076000000001</v>
      </c>
      <c r="AQ2615" s="46">
        <v>20.111000000000001</v>
      </c>
      <c r="AR2615" s="46">
        <v>-4294.3999999999996</v>
      </c>
      <c r="AS2615" s="46">
        <v>20</v>
      </c>
      <c r="AT2615" s="46">
        <v>10500</v>
      </c>
      <c r="AU2615" s="46">
        <v>165756.29999999999</v>
      </c>
      <c r="AV2615" s="46">
        <v>15.786</v>
      </c>
      <c r="AW2615" s="46">
        <v>11</v>
      </c>
      <c r="AX2615" s="46">
        <v>4400</v>
      </c>
      <c r="AY2615" s="46">
        <v>67011.2239999999</v>
      </c>
      <c r="AZ2615" s="46">
        <v>15.23</v>
      </c>
      <c r="BA2615" s="46" t="s">
        <v>63</v>
      </c>
      <c r="BB2615" s="46">
        <v>6100</v>
      </c>
      <c r="BC2615" s="46">
        <v>98745.076000000001</v>
      </c>
      <c r="BD2615" s="46">
        <v>16.187999999999999</v>
      </c>
      <c r="BE2615" s="46">
        <v>-2446.4</v>
      </c>
      <c r="BF2615" s="46">
        <v>76623</v>
      </c>
      <c r="BG2615" s="46">
        <v>15.32</v>
      </c>
      <c r="BH2615" s="46">
        <v>0</v>
      </c>
      <c r="BJ2615">
        <v>76623</v>
      </c>
      <c r="BK2615">
        <v>15.32</v>
      </c>
      <c r="BL2615">
        <v>-306.95999999999998</v>
      </c>
    </row>
    <row r="2616" spans="1:64" x14ac:dyDescent="0.25">
      <c r="A2616" s="136">
        <v>43185</v>
      </c>
      <c r="B2616" s="201" t="s">
        <v>65</v>
      </c>
      <c r="C2616" t="s">
        <v>127</v>
      </c>
      <c r="D2616">
        <v>12800</v>
      </c>
      <c r="E2616">
        <v>12300</v>
      </c>
      <c r="F2616">
        <v>9.3689999999999998</v>
      </c>
      <c r="G2616">
        <v>6412.63</v>
      </c>
      <c r="H2616">
        <v>5.35</v>
      </c>
      <c r="I2616" s="309">
        <v>126336</v>
      </c>
      <c r="J2616">
        <v>9.8699999999999992</v>
      </c>
      <c r="K2616" s="133">
        <v>0.26776029815631402</v>
      </c>
      <c r="L2616" s="181">
        <v>2499.09</v>
      </c>
      <c r="M2616" s="133">
        <v>0.25416917827942898</v>
      </c>
      <c r="N2616" s="73">
        <v>850.212999999982</v>
      </c>
      <c r="O2616" s="73">
        <v>524.99494541963702</v>
      </c>
      <c r="P2616" s="182">
        <v>0</v>
      </c>
      <c r="Q2616" s="182">
        <v>0</v>
      </c>
      <c r="R2616" s="46">
        <v>0</v>
      </c>
      <c r="S2616" s="46">
        <v>13</v>
      </c>
      <c r="T2616" s="46">
        <v>5600</v>
      </c>
      <c r="U2616" s="46">
        <v>12.404999999999999</v>
      </c>
      <c r="V2616" s="46" t="s">
        <v>68</v>
      </c>
      <c r="W2616" s="46">
        <v>5600</v>
      </c>
      <c r="X2616" s="46">
        <v>12.404999999999999</v>
      </c>
      <c r="AF2616" s="46">
        <v>175</v>
      </c>
      <c r="AG2616" s="46">
        <v>93200</v>
      </c>
      <c r="AH2616" s="46">
        <v>1075375.2309999999</v>
      </c>
      <c r="AI2616" s="46">
        <v>11.538</v>
      </c>
      <c r="AJ2616" s="46">
        <v>194</v>
      </c>
      <c r="AK2616" s="46">
        <v>84000</v>
      </c>
      <c r="AL2616" s="46">
        <v>885283.90899999999</v>
      </c>
      <c r="AM2616" s="46">
        <v>10.539</v>
      </c>
      <c r="AN2616" s="46" t="s">
        <v>63</v>
      </c>
      <c r="AO2616" s="46">
        <v>9200</v>
      </c>
      <c r="AP2616" s="46">
        <v>190091.32199999999</v>
      </c>
      <c r="AQ2616" s="46">
        <v>20.661999999999999</v>
      </c>
      <c r="AR2616" s="46">
        <v>-83916</v>
      </c>
      <c r="AS2616" s="46">
        <v>176</v>
      </c>
      <c r="AT2616" s="46">
        <v>93300</v>
      </c>
      <c r="AU2616" s="46">
        <v>1076663.2309999999</v>
      </c>
      <c r="AV2616" s="46">
        <v>11.54</v>
      </c>
      <c r="AW2616" s="46">
        <v>207</v>
      </c>
      <c r="AX2616" s="46">
        <v>89600</v>
      </c>
      <c r="AY2616" s="46">
        <v>954616.44200000004</v>
      </c>
      <c r="AZ2616" s="46">
        <v>10.654</v>
      </c>
      <c r="BA2616" s="46" t="s">
        <v>63</v>
      </c>
      <c r="BB2616" s="46">
        <v>3700</v>
      </c>
      <c r="BC2616" s="46">
        <v>122046.789</v>
      </c>
      <c r="BD2616" s="46">
        <v>32.985999999999997</v>
      </c>
      <c r="BE2616" s="46">
        <v>-79385.600000000006</v>
      </c>
      <c r="BF2616" s="46">
        <v>1288</v>
      </c>
      <c r="BH2616" s="46">
        <v>69332.533000000098</v>
      </c>
      <c r="BI2616">
        <v>12.38</v>
      </c>
      <c r="BJ2616">
        <v>-68044.532999999996</v>
      </c>
      <c r="BK2616">
        <v>-12.15</v>
      </c>
      <c r="BL2616">
        <v>-8502.1299999999992</v>
      </c>
    </row>
    <row r="2617" spans="1:64" x14ac:dyDescent="0.25">
      <c r="A2617" s="136">
        <v>43185</v>
      </c>
      <c r="B2617" s="201" t="s">
        <v>77</v>
      </c>
      <c r="C2617" t="s">
        <v>128</v>
      </c>
      <c r="D2617">
        <v>4300</v>
      </c>
      <c r="E2617">
        <v>4300</v>
      </c>
      <c r="F2617">
        <v>5.9779999999999998</v>
      </c>
      <c r="G2617">
        <v>-595.27</v>
      </c>
      <c r="H2617">
        <v>-2.31</v>
      </c>
      <c r="I2617" s="309">
        <v>25112</v>
      </c>
      <c r="J2617">
        <v>5.84</v>
      </c>
      <c r="K2617" s="133">
        <v>5.3223124107945198E-2</v>
      </c>
      <c r="L2617" s="181">
        <v>0</v>
      </c>
      <c r="M2617" s="133">
        <v>5.4484757155401999E-2</v>
      </c>
      <c r="N2617" s="73">
        <v>-1272.2139999999999</v>
      </c>
      <c r="O2617" s="73">
        <v>-133.073774655173</v>
      </c>
      <c r="P2617" s="182">
        <v>6</v>
      </c>
      <c r="Q2617" s="182">
        <v>3000</v>
      </c>
      <c r="R2617" s="46">
        <v>6.798</v>
      </c>
      <c r="S2617" s="46">
        <v>0</v>
      </c>
      <c r="T2617" s="46">
        <v>0</v>
      </c>
      <c r="U2617" s="46">
        <v>0</v>
      </c>
      <c r="V2617" s="46" t="s">
        <v>62</v>
      </c>
      <c r="W2617" s="46">
        <v>3000</v>
      </c>
      <c r="X2617" s="46">
        <v>6.798</v>
      </c>
      <c r="AF2617" s="46">
        <v>39</v>
      </c>
      <c r="AG2617" s="46">
        <v>19500</v>
      </c>
      <c r="AH2617" s="46">
        <v>142169</v>
      </c>
      <c r="AI2617" s="46">
        <v>7.2910000000000004</v>
      </c>
      <c r="AJ2617" s="46">
        <v>39</v>
      </c>
      <c r="AK2617" s="46">
        <v>18200</v>
      </c>
      <c r="AL2617" s="46">
        <v>136881.78599999999</v>
      </c>
      <c r="AM2617" s="46">
        <v>7.5209999999999999</v>
      </c>
      <c r="AN2617" s="46" t="s">
        <v>63</v>
      </c>
      <c r="AO2617" s="46">
        <v>1300</v>
      </c>
      <c r="AP2617" s="46">
        <v>5287.2139999999999</v>
      </c>
      <c r="AQ2617" s="46">
        <v>4.0670000000000002</v>
      </c>
      <c r="AR2617" s="46">
        <v>4186</v>
      </c>
      <c r="AS2617" s="46">
        <v>45</v>
      </c>
      <c r="AT2617" s="46">
        <v>22500</v>
      </c>
      <c r="AU2617" s="46">
        <v>162594</v>
      </c>
      <c r="AV2617" s="46">
        <v>7.226</v>
      </c>
      <c r="AW2617" s="46">
        <v>39</v>
      </c>
      <c r="AX2617" s="46">
        <v>18200</v>
      </c>
      <c r="AY2617" s="46">
        <v>136881.78599999999</v>
      </c>
      <c r="AZ2617" s="46">
        <v>7.5209999999999999</v>
      </c>
      <c r="BA2617" s="46" t="s">
        <v>63</v>
      </c>
      <c r="BB2617" s="46">
        <v>4300</v>
      </c>
      <c r="BC2617" s="46">
        <v>25712.214</v>
      </c>
      <c r="BD2617" s="46">
        <v>5.98</v>
      </c>
      <c r="BE2617" s="46">
        <v>5369</v>
      </c>
      <c r="BF2617" s="46">
        <v>20425</v>
      </c>
      <c r="BG2617" s="46">
        <v>6.81</v>
      </c>
      <c r="BH2617" s="46">
        <v>0</v>
      </c>
      <c r="BJ2617">
        <v>20425</v>
      </c>
      <c r="BK2617">
        <v>6.81</v>
      </c>
      <c r="BL2617">
        <v>716.78</v>
      </c>
    </row>
    <row r="2618" spans="1:64" x14ac:dyDescent="0.25">
      <c r="A2618" s="136">
        <v>43185</v>
      </c>
      <c r="B2618" s="201" t="s">
        <v>67</v>
      </c>
      <c r="C2618" t="s">
        <v>129</v>
      </c>
      <c r="D2618">
        <v>2900</v>
      </c>
      <c r="E2618">
        <v>2400</v>
      </c>
      <c r="F2618">
        <v>7.7489999999999997</v>
      </c>
      <c r="G2618">
        <v>1974.12</v>
      </c>
      <c r="H2618">
        <v>8.7899999999999991</v>
      </c>
      <c r="I2618" s="309">
        <v>24447</v>
      </c>
      <c r="J2618">
        <v>8.43</v>
      </c>
      <c r="K2618" s="133">
        <v>5.1813703212286399E-2</v>
      </c>
      <c r="L2618" s="181">
        <v>451.68</v>
      </c>
      <c r="M2618" s="133">
        <v>4.7629694222003797E-2</v>
      </c>
      <c r="N2618" s="73">
        <v>1594.82649999976</v>
      </c>
      <c r="O2618" s="73">
        <v>192.05169719876801</v>
      </c>
      <c r="P2618" s="182">
        <v>0</v>
      </c>
      <c r="Q2618" s="182">
        <v>0</v>
      </c>
      <c r="R2618" s="46">
        <v>0</v>
      </c>
      <c r="S2618" s="46">
        <v>15</v>
      </c>
      <c r="T2618" s="46">
        <v>6000</v>
      </c>
      <c r="U2618" s="46">
        <v>8.9260000000000002</v>
      </c>
      <c r="V2618" s="46" t="s">
        <v>68</v>
      </c>
      <c r="W2618" s="46">
        <v>6000</v>
      </c>
      <c r="X2618" s="46">
        <v>8.9260000000000002</v>
      </c>
      <c r="AF2618" s="46">
        <v>182</v>
      </c>
      <c r="AG2618" s="46">
        <v>90400</v>
      </c>
      <c r="AH2618" s="46">
        <v>751105</v>
      </c>
      <c r="AI2618" s="46">
        <v>8.3089999999999993</v>
      </c>
      <c r="AJ2618" s="46">
        <v>185</v>
      </c>
      <c r="AK2618" s="46">
        <v>84100</v>
      </c>
      <c r="AL2618" s="46">
        <v>744330.49849999999</v>
      </c>
      <c r="AM2618" s="46">
        <v>8.8510000000000009</v>
      </c>
      <c r="AN2618" s="46" t="s">
        <v>63</v>
      </c>
      <c r="AO2618" s="46">
        <v>6300</v>
      </c>
      <c r="AP2618" s="46">
        <v>6774.5020000000004</v>
      </c>
      <c r="AQ2618" s="46">
        <v>1.075</v>
      </c>
      <c r="AR2618" s="46">
        <v>45582.2</v>
      </c>
      <c r="AS2618" s="46">
        <v>182</v>
      </c>
      <c r="AT2618" s="46">
        <v>90400</v>
      </c>
      <c r="AU2618" s="46">
        <v>751105</v>
      </c>
      <c r="AV2618" s="46">
        <v>8.3089999999999993</v>
      </c>
      <c r="AW2618" s="46">
        <v>200</v>
      </c>
      <c r="AX2618" s="46">
        <v>90100</v>
      </c>
      <c r="AY2618" s="46">
        <v>797757.9425</v>
      </c>
      <c r="AZ2618" s="46">
        <v>8.8539999999999992</v>
      </c>
      <c r="BA2618" s="46" t="s">
        <v>63</v>
      </c>
      <c r="BB2618" s="46">
        <v>300</v>
      </c>
      <c r="BC2618" s="46">
        <v>46652.942999999999</v>
      </c>
      <c r="BD2618" s="46">
        <v>155.51</v>
      </c>
      <c r="BE2618" s="46">
        <v>49104.5</v>
      </c>
      <c r="BF2618" s="46">
        <v>0</v>
      </c>
      <c r="BH2618" s="46">
        <v>53427.444000000403</v>
      </c>
      <c r="BI2618">
        <v>8.9</v>
      </c>
      <c r="BJ2618">
        <v>39878.440999999999</v>
      </c>
      <c r="BK2618">
        <v>6.65</v>
      </c>
      <c r="BL2618">
        <v>5407.14</v>
      </c>
    </row>
    <row r="2619" spans="1:64" x14ac:dyDescent="0.25">
      <c r="A2619" s="136">
        <v>43185</v>
      </c>
      <c r="B2619" s="201" t="s">
        <v>78</v>
      </c>
      <c r="C2619" t="s">
        <v>142</v>
      </c>
      <c r="D2619">
        <v>100</v>
      </c>
      <c r="E2619">
        <v>100</v>
      </c>
      <c r="F2619">
        <v>-4.9039999999999999</v>
      </c>
      <c r="G2619">
        <v>1461.4</v>
      </c>
      <c r="H2619">
        <v>0</v>
      </c>
      <c r="I2619" s="309">
        <v>971</v>
      </c>
      <c r="J2619">
        <v>9.7100000000000009</v>
      </c>
      <c r="K2619" s="133">
        <v>2.0579664506536598E-3</v>
      </c>
      <c r="L2619" s="181">
        <v>12</v>
      </c>
      <c r="M2619" s="133">
        <v>0</v>
      </c>
      <c r="N2619" s="73">
        <v>1506.3910000000001</v>
      </c>
      <c r="O2619" s="73">
        <v>148.19269729330699</v>
      </c>
      <c r="P2619" s="182">
        <v>0</v>
      </c>
      <c r="Q2619" s="182">
        <v>0</v>
      </c>
      <c r="R2619" s="46">
        <v>0</v>
      </c>
      <c r="S2619" s="46">
        <v>3</v>
      </c>
      <c r="T2619" s="46">
        <v>1200</v>
      </c>
      <c r="U2619" s="46">
        <v>9.99</v>
      </c>
      <c r="V2619" s="46" t="s">
        <v>68</v>
      </c>
      <c r="W2619" s="46">
        <v>1200</v>
      </c>
      <c r="X2619" s="46">
        <v>9.99</v>
      </c>
      <c r="AF2619" s="46">
        <v>13</v>
      </c>
      <c r="AG2619" s="46">
        <v>6500</v>
      </c>
      <c r="AH2619" s="46">
        <v>62970</v>
      </c>
      <c r="AI2619" s="46">
        <v>9.6880000000000006</v>
      </c>
      <c r="AJ2619" s="46">
        <v>14</v>
      </c>
      <c r="AK2619" s="46">
        <v>5200</v>
      </c>
      <c r="AL2619" s="46">
        <v>51499.379000000001</v>
      </c>
      <c r="AM2619" s="46">
        <v>9.9039999999999999</v>
      </c>
      <c r="AN2619" s="46" t="s">
        <v>63</v>
      </c>
      <c r="AO2619" s="46">
        <v>1300</v>
      </c>
      <c r="AP2619" s="46">
        <v>11470.620999999999</v>
      </c>
      <c r="AQ2619" s="46">
        <v>8.8239999999999998</v>
      </c>
      <c r="AR2619" s="46">
        <v>1123.2</v>
      </c>
      <c r="AS2619" s="46">
        <v>13</v>
      </c>
      <c r="AT2619" s="46">
        <v>6500</v>
      </c>
      <c r="AU2619" s="46">
        <v>62970</v>
      </c>
      <c r="AV2619" s="46">
        <v>9.6880000000000006</v>
      </c>
      <c r="AW2619" s="46">
        <v>17</v>
      </c>
      <c r="AX2619" s="46">
        <v>6400</v>
      </c>
      <c r="AY2619" s="46">
        <v>63460.391000000003</v>
      </c>
      <c r="AZ2619" s="46">
        <v>9.9160000000000004</v>
      </c>
      <c r="BA2619" s="46" t="s">
        <v>63</v>
      </c>
      <c r="BB2619" s="46">
        <v>100</v>
      </c>
      <c r="BC2619" s="46">
        <v>490.39100000000002</v>
      </c>
      <c r="BD2619" s="46">
        <v>4.9039999999999999</v>
      </c>
      <c r="BE2619" s="46">
        <v>1459.2</v>
      </c>
      <c r="BF2619" s="46">
        <v>0</v>
      </c>
      <c r="BH2619" s="46">
        <v>11961.012000000001</v>
      </c>
      <c r="BI2619">
        <v>9.9700000000000006</v>
      </c>
      <c r="BJ2619">
        <v>-10980.23</v>
      </c>
      <c r="BK2619">
        <v>-9.15</v>
      </c>
      <c r="BL2619">
        <v>115.67</v>
      </c>
    </row>
    <row r="2620" spans="1:64" x14ac:dyDescent="0.25">
      <c r="A2620" s="136">
        <v>43185</v>
      </c>
      <c r="B2620" s="201" t="s">
        <v>72</v>
      </c>
      <c r="C2620" t="s">
        <v>130</v>
      </c>
      <c r="D2620">
        <v>4000</v>
      </c>
      <c r="E2620">
        <v>4000</v>
      </c>
      <c r="F2620">
        <v>6.7039999999999997</v>
      </c>
      <c r="G2620">
        <v>-2414.27</v>
      </c>
      <c r="H2620">
        <v>-9.01</v>
      </c>
      <c r="I2620" s="309">
        <v>24400</v>
      </c>
      <c r="J2620">
        <v>6.1</v>
      </c>
      <c r="K2620" s="133">
        <v>5.1714090006127103E-2</v>
      </c>
      <c r="L2620" s="181">
        <v>360</v>
      </c>
      <c r="M2620" s="133">
        <v>5.6830966074942299E-2</v>
      </c>
      <c r="N2620" s="73">
        <v>-2795.98</v>
      </c>
      <c r="O2620" s="73">
        <v>-424.58463118811602</v>
      </c>
      <c r="P2620" s="182">
        <v>0</v>
      </c>
      <c r="Q2620" s="182">
        <v>0</v>
      </c>
      <c r="R2620" s="46">
        <v>0</v>
      </c>
      <c r="S2620" s="46">
        <v>10</v>
      </c>
      <c r="T2620" s="46">
        <v>4000</v>
      </c>
      <c r="U2620" s="46">
        <v>7.7009999999999996</v>
      </c>
      <c r="V2620" s="46" t="s">
        <v>68</v>
      </c>
      <c r="W2620" s="46">
        <v>4000</v>
      </c>
      <c r="X2620" s="46">
        <v>7.7009999999999996</v>
      </c>
      <c r="AF2620" s="46">
        <v>35</v>
      </c>
      <c r="AG2620" s="46">
        <v>17400</v>
      </c>
      <c r="AH2620" s="46">
        <v>130612</v>
      </c>
      <c r="AI2620" s="46">
        <v>7.5060000000000002</v>
      </c>
      <c r="AJ2620" s="46">
        <v>35</v>
      </c>
      <c r="AK2620" s="46">
        <v>16000</v>
      </c>
      <c r="AL2620" s="46">
        <v>73807.009000000005</v>
      </c>
      <c r="AM2620" s="46">
        <v>4.6130000000000004</v>
      </c>
      <c r="AN2620" s="46" t="s">
        <v>63</v>
      </c>
      <c r="AO2620" s="46">
        <v>1400</v>
      </c>
      <c r="AP2620" s="46">
        <v>56804.991000000002</v>
      </c>
      <c r="AQ2620" s="46">
        <v>40.575000000000003</v>
      </c>
      <c r="AR2620" s="46">
        <v>-46288</v>
      </c>
      <c r="AS2620" s="46">
        <v>35</v>
      </c>
      <c r="AT2620" s="46">
        <v>17400</v>
      </c>
      <c r="AU2620" s="46">
        <v>130612</v>
      </c>
      <c r="AV2620" s="46">
        <v>7.5060000000000002</v>
      </c>
      <c r="AW2620" s="46">
        <v>46</v>
      </c>
      <c r="AX2620" s="46">
        <v>20500</v>
      </c>
      <c r="AY2620" s="46">
        <v>104530.205</v>
      </c>
      <c r="AZ2620" s="46">
        <v>5.0990000000000002</v>
      </c>
      <c r="BA2620" s="46" t="s">
        <v>69</v>
      </c>
      <c r="BB2620" s="46">
        <v>3100</v>
      </c>
      <c r="BC2620" s="46">
        <v>26081.794999999998</v>
      </c>
      <c r="BD2620" s="46">
        <v>8.4130000000000003</v>
      </c>
      <c r="BE2620" s="46">
        <v>-41881.800000000003</v>
      </c>
      <c r="BF2620" s="46">
        <v>0</v>
      </c>
      <c r="BH2620" s="46">
        <v>30723.196</v>
      </c>
      <c r="BI2620">
        <v>7.68</v>
      </c>
      <c r="BJ2620">
        <v>-30723.196</v>
      </c>
      <c r="BK2620">
        <v>-7.68</v>
      </c>
      <c r="BL2620">
        <v>-7588.2</v>
      </c>
    </row>
    <row r="2621" spans="1:64" x14ac:dyDescent="0.25">
      <c r="A2621" s="136">
        <v>43185</v>
      </c>
      <c r="B2621" s="201" t="s">
        <v>70</v>
      </c>
      <c r="C2621" t="s">
        <v>131</v>
      </c>
      <c r="D2621">
        <v>13400</v>
      </c>
      <c r="E2621">
        <v>12900</v>
      </c>
      <c r="F2621">
        <v>11.262</v>
      </c>
      <c r="G2621">
        <v>-36877.14</v>
      </c>
      <c r="H2621">
        <v>-24.44</v>
      </c>
      <c r="I2621" s="309">
        <v>114034</v>
      </c>
      <c r="J2621">
        <v>8.51</v>
      </c>
      <c r="K2621" s="133">
        <v>0.24168707130158601</v>
      </c>
      <c r="L2621" s="181">
        <v>1312.61</v>
      </c>
      <c r="M2621" s="133">
        <v>0.31984558511833</v>
      </c>
      <c r="N2621" s="73">
        <v>-37412.146000000103</v>
      </c>
      <c r="O2621" s="73">
        <v>-4414.80990873672</v>
      </c>
      <c r="P2621" s="182">
        <v>2</v>
      </c>
      <c r="Q2621" s="182">
        <v>1000</v>
      </c>
      <c r="R2621" s="46">
        <v>8.08</v>
      </c>
      <c r="S2621" s="46">
        <v>0</v>
      </c>
      <c r="T2621" s="46">
        <v>0</v>
      </c>
      <c r="U2621" s="46">
        <v>0</v>
      </c>
      <c r="V2621" s="46" t="s">
        <v>62</v>
      </c>
      <c r="W2621" s="46">
        <v>1000</v>
      </c>
      <c r="X2621" s="46">
        <v>8.08</v>
      </c>
      <c r="AF2621" s="46">
        <v>134</v>
      </c>
      <c r="AG2621" s="46">
        <v>68600</v>
      </c>
      <c r="AH2621" s="46">
        <v>894918</v>
      </c>
      <c r="AI2621" s="46">
        <v>13.045</v>
      </c>
      <c r="AJ2621" s="46">
        <v>140</v>
      </c>
      <c r="AK2621" s="46">
        <v>56200</v>
      </c>
      <c r="AL2621" s="46">
        <v>751692.85400000005</v>
      </c>
      <c r="AM2621" s="46">
        <v>13.375</v>
      </c>
      <c r="AN2621" s="46" t="s">
        <v>63</v>
      </c>
      <c r="AO2621" s="46">
        <v>12400</v>
      </c>
      <c r="AP2621" s="46">
        <v>143225.14600000001</v>
      </c>
      <c r="AQ2621" s="46">
        <v>11.55</v>
      </c>
      <c r="AR2621" s="46">
        <v>18546</v>
      </c>
      <c r="AS2621" s="46">
        <v>136</v>
      </c>
      <c r="AT2621" s="46">
        <v>69600</v>
      </c>
      <c r="AU2621" s="46">
        <v>903008</v>
      </c>
      <c r="AV2621" s="46">
        <v>12.974</v>
      </c>
      <c r="AW2621" s="46">
        <v>141</v>
      </c>
      <c r="AX2621" s="46">
        <v>56200</v>
      </c>
      <c r="AY2621" s="46">
        <v>752097.85400000005</v>
      </c>
      <c r="AZ2621" s="46">
        <v>13.382999999999999</v>
      </c>
      <c r="BA2621" s="46" t="s">
        <v>63</v>
      </c>
      <c r="BB2621" s="46">
        <v>13400</v>
      </c>
      <c r="BC2621" s="46">
        <v>150910.14600000001</v>
      </c>
      <c r="BD2621" s="46">
        <v>11.262</v>
      </c>
      <c r="BE2621" s="46">
        <v>22985.8</v>
      </c>
      <c r="BF2621" s="46">
        <v>8090</v>
      </c>
      <c r="BG2621" s="46">
        <v>8.09</v>
      </c>
      <c r="BH2621" s="46">
        <v>405</v>
      </c>
      <c r="BJ2621">
        <v>7685</v>
      </c>
      <c r="BK2621">
        <v>7.69</v>
      </c>
      <c r="BL2621">
        <v>2179.3200000000002</v>
      </c>
    </row>
    <row r="2622" spans="1:64" x14ac:dyDescent="0.25">
      <c r="A2622" s="136">
        <v>43185</v>
      </c>
      <c r="B2622" s="201" t="s">
        <v>137</v>
      </c>
      <c r="C2622" t="s">
        <v>138</v>
      </c>
      <c r="D2622">
        <v>100</v>
      </c>
      <c r="E2622">
        <v>100</v>
      </c>
      <c r="F2622">
        <v>-130.48500000000001</v>
      </c>
      <c r="G2622">
        <v>16591.5</v>
      </c>
      <c r="H2622">
        <v>0</v>
      </c>
      <c r="I2622" s="309">
        <v>3543</v>
      </c>
      <c r="J2622">
        <v>35.43</v>
      </c>
      <c r="K2622" s="133">
        <v>7.5091402004798403E-3</v>
      </c>
      <c r="L2622" s="181">
        <v>-97</v>
      </c>
      <c r="M2622" s="133">
        <v>0</v>
      </c>
    </row>
    <row r="2623" spans="1:64" x14ac:dyDescent="0.25">
      <c r="A2623" s="136">
        <v>43185</v>
      </c>
      <c r="B2623" s="201" t="s">
        <v>835</v>
      </c>
      <c r="C2623" t="s">
        <v>839</v>
      </c>
      <c r="I2623" s="309">
        <v>13534.96</v>
      </c>
      <c r="K2623" s="133">
        <v>2.8686399166775799E-2</v>
      </c>
      <c r="L2623" s="181">
        <v>0</v>
      </c>
      <c r="M2623" s="133">
        <v>9.0330081922960506E-2</v>
      </c>
    </row>
    <row r="2624" spans="1:64" x14ac:dyDescent="0.25">
      <c r="A2624" s="136">
        <v>43186</v>
      </c>
      <c r="B2624" s="201" t="s">
        <v>132</v>
      </c>
      <c r="C2624" t="s">
        <v>123</v>
      </c>
      <c r="D2624">
        <v>5009810</v>
      </c>
      <c r="E2624">
        <v>2909810</v>
      </c>
      <c r="F2624">
        <v>8.9999999999999993E-3</v>
      </c>
      <c r="G2624">
        <v>3343.66</v>
      </c>
      <c r="H2624">
        <v>11.11</v>
      </c>
      <c r="I2624" s="309">
        <v>50098.1</v>
      </c>
      <c r="J2624">
        <v>0.01</v>
      </c>
      <c r="K2624" s="133">
        <v>0.10493829875789</v>
      </c>
      <c r="L2624" s="181">
        <v>13.0699999999997</v>
      </c>
      <c r="M2624" s="133">
        <v>0</v>
      </c>
    </row>
    <row r="2625" spans="1:64" x14ac:dyDescent="0.25">
      <c r="A2625" s="136">
        <v>43186</v>
      </c>
      <c r="B2625" s="201" t="s">
        <v>61</v>
      </c>
      <c r="C2625" t="s">
        <v>136</v>
      </c>
      <c r="D2625">
        <v>2900</v>
      </c>
      <c r="E2625">
        <v>2900</v>
      </c>
      <c r="F2625">
        <v>5.18</v>
      </c>
      <c r="G2625">
        <v>-841</v>
      </c>
      <c r="H2625">
        <v>-5.6</v>
      </c>
      <c r="I2625" s="309">
        <v>14181</v>
      </c>
      <c r="J2625">
        <v>4.8899999999999997</v>
      </c>
      <c r="K2625" s="133">
        <v>2.9704320417054401E-2</v>
      </c>
      <c r="L2625" s="181">
        <v>0</v>
      </c>
      <c r="M2625" s="133">
        <v>3.14659263313583E-2</v>
      </c>
      <c r="N2625" s="73">
        <v>-846.54100000000096</v>
      </c>
      <c r="O2625" s="73">
        <v>-173.030210531698</v>
      </c>
      <c r="P2625" s="182">
        <v>4</v>
      </c>
      <c r="Q2625" s="182">
        <v>2000</v>
      </c>
      <c r="R2625" s="46">
        <v>5.218</v>
      </c>
      <c r="S2625" s="46">
        <v>0</v>
      </c>
      <c r="T2625" s="46">
        <v>0</v>
      </c>
      <c r="U2625" s="46">
        <v>0</v>
      </c>
      <c r="V2625" s="46" t="s">
        <v>62</v>
      </c>
      <c r="W2625" s="46">
        <v>2000</v>
      </c>
      <c r="X2625" s="46">
        <v>5.218</v>
      </c>
      <c r="AF2625" s="46">
        <v>10</v>
      </c>
      <c r="AG2625" s="46">
        <v>5000</v>
      </c>
      <c r="AH2625" s="46">
        <v>26378</v>
      </c>
      <c r="AI2625" s="46">
        <v>5.2759999999999998</v>
      </c>
      <c r="AJ2625" s="46">
        <v>10</v>
      </c>
      <c r="AK2625" s="46">
        <v>4100</v>
      </c>
      <c r="AL2625" s="46">
        <v>21806.659</v>
      </c>
      <c r="AM2625" s="46">
        <v>5.319</v>
      </c>
      <c r="AN2625" s="46" t="s">
        <v>63</v>
      </c>
      <c r="AO2625" s="46">
        <v>900</v>
      </c>
      <c r="AP2625" s="46">
        <v>4571.3410000000003</v>
      </c>
      <c r="AQ2625" s="46">
        <v>5.0789999999999997</v>
      </c>
      <c r="AR2625" s="46">
        <v>176.3</v>
      </c>
      <c r="AS2625" s="46">
        <v>14</v>
      </c>
      <c r="AT2625" s="46">
        <v>7000</v>
      </c>
      <c r="AU2625" s="46">
        <v>36834.199999999997</v>
      </c>
      <c r="AV2625" s="46">
        <v>5.2619999999999996</v>
      </c>
      <c r="AW2625" s="46">
        <v>10</v>
      </c>
      <c r="AX2625" s="46">
        <v>4100</v>
      </c>
      <c r="AY2625" s="46">
        <v>21806.659</v>
      </c>
      <c r="AZ2625" s="46">
        <v>5.319</v>
      </c>
      <c r="BA2625" s="46" t="s">
        <v>63</v>
      </c>
      <c r="BB2625" s="46">
        <v>2900</v>
      </c>
      <c r="BC2625" s="46">
        <v>15027.540999999999</v>
      </c>
      <c r="BD2625" s="46">
        <v>5.1820000000000004</v>
      </c>
      <c r="BE2625" s="46">
        <v>233.7</v>
      </c>
      <c r="BF2625" s="46">
        <v>10456.200000000001</v>
      </c>
      <c r="BG2625" s="46">
        <v>5.23</v>
      </c>
      <c r="BH2625" s="46">
        <v>0</v>
      </c>
      <c r="BJ2625">
        <v>10456.200000000001</v>
      </c>
      <c r="BK2625">
        <v>5.23</v>
      </c>
      <c r="BL2625">
        <v>36.049999999999997</v>
      </c>
    </row>
    <row r="2626" spans="1:64" x14ac:dyDescent="0.25">
      <c r="A2626" s="136">
        <v>43186</v>
      </c>
      <c r="B2626" s="201" t="s">
        <v>124</v>
      </c>
      <c r="C2626" t="s">
        <v>125</v>
      </c>
      <c r="D2626">
        <v>100</v>
      </c>
      <c r="E2626">
        <v>100</v>
      </c>
      <c r="F2626">
        <v>-53.579000000000001</v>
      </c>
      <c r="G2626">
        <v>5955.9</v>
      </c>
      <c r="H2626">
        <v>0</v>
      </c>
      <c r="I2626" s="309">
        <v>598</v>
      </c>
      <c r="J2626">
        <v>5.98</v>
      </c>
      <c r="K2626" s="133">
        <v>1.2526044432267501E-3</v>
      </c>
      <c r="L2626" s="181">
        <v>-4</v>
      </c>
      <c r="M2626" s="133">
        <v>0</v>
      </c>
    </row>
    <row r="2627" spans="1:64" x14ac:dyDescent="0.25">
      <c r="A2627" s="136">
        <v>43186</v>
      </c>
      <c r="B2627" s="201" t="s">
        <v>71</v>
      </c>
      <c r="C2627" t="s">
        <v>126</v>
      </c>
      <c r="D2627">
        <v>1600</v>
      </c>
      <c r="E2627">
        <v>1600</v>
      </c>
      <c r="F2627">
        <v>5.16</v>
      </c>
      <c r="G2627">
        <v>2015.44</v>
      </c>
      <c r="H2627">
        <v>24.42</v>
      </c>
      <c r="I2627" s="309">
        <v>10272</v>
      </c>
      <c r="J2627">
        <v>6.42</v>
      </c>
      <c r="K2627" s="133">
        <v>2.15163090983699E-2</v>
      </c>
      <c r="L2627" s="181">
        <v>32</v>
      </c>
      <c r="M2627" s="133">
        <v>1.7294655086569001E-2</v>
      </c>
      <c r="N2627" s="73">
        <v>1918.402</v>
      </c>
      <c r="O2627" s="73">
        <v>301.48471682389902</v>
      </c>
      <c r="P2627" s="182">
        <v>0</v>
      </c>
      <c r="Q2627" s="182">
        <v>0</v>
      </c>
      <c r="R2627" s="46">
        <v>0</v>
      </c>
      <c r="S2627" s="46">
        <v>4</v>
      </c>
      <c r="T2627" s="46">
        <v>1500</v>
      </c>
      <c r="U2627" s="46">
        <v>6.7229999999999999</v>
      </c>
      <c r="V2627" s="46" t="s">
        <v>68</v>
      </c>
      <c r="W2627" s="46">
        <v>1500</v>
      </c>
      <c r="X2627" s="46">
        <v>6.7229999999999999</v>
      </c>
      <c r="AF2627" s="46">
        <v>44</v>
      </c>
      <c r="AG2627" s="46">
        <v>22100</v>
      </c>
      <c r="AH2627" s="46">
        <v>141289.26</v>
      </c>
      <c r="AI2627" s="46">
        <v>6.3929999999999998</v>
      </c>
      <c r="AJ2627" s="46">
        <v>42</v>
      </c>
      <c r="AK2627" s="46">
        <v>19000</v>
      </c>
      <c r="AL2627" s="46">
        <v>122809.446</v>
      </c>
      <c r="AM2627" s="46">
        <v>6.4640000000000004</v>
      </c>
      <c r="AN2627" s="46" t="s">
        <v>63</v>
      </c>
      <c r="AO2627" s="46">
        <v>3100</v>
      </c>
      <c r="AP2627" s="46">
        <v>18479.813999999998</v>
      </c>
      <c r="AQ2627" s="46">
        <v>5.9610000000000003</v>
      </c>
      <c r="AR2627" s="46">
        <v>1349</v>
      </c>
      <c r="AS2627" s="46">
        <v>44</v>
      </c>
      <c r="AT2627" s="46">
        <v>22100</v>
      </c>
      <c r="AU2627" s="46">
        <v>141289.26</v>
      </c>
      <c r="AV2627" s="46">
        <v>6.3929999999999998</v>
      </c>
      <c r="AW2627" s="46">
        <v>46</v>
      </c>
      <c r="AX2627" s="46">
        <v>20500</v>
      </c>
      <c r="AY2627" s="46">
        <v>132870.462</v>
      </c>
      <c r="AZ2627" s="46">
        <v>6.4809999999999999</v>
      </c>
      <c r="BA2627" s="46" t="s">
        <v>63</v>
      </c>
      <c r="BB2627" s="46">
        <v>1600</v>
      </c>
      <c r="BC2627" s="46">
        <v>8418.7980000000007</v>
      </c>
      <c r="BD2627" s="46">
        <v>5.2619999999999996</v>
      </c>
      <c r="BE2627" s="46">
        <v>1804</v>
      </c>
      <c r="BF2627" s="46">
        <v>0</v>
      </c>
      <c r="BH2627" s="46">
        <v>10061.016</v>
      </c>
      <c r="BI2627">
        <v>6.71</v>
      </c>
      <c r="BJ2627">
        <v>-10061.016</v>
      </c>
      <c r="BK2627">
        <v>-6.71</v>
      </c>
      <c r="BL2627">
        <v>210.12</v>
      </c>
    </row>
    <row r="2628" spans="1:64" x14ac:dyDescent="0.25">
      <c r="A2628" s="136">
        <v>43186</v>
      </c>
      <c r="B2628" s="201" t="s">
        <v>79</v>
      </c>
      <c r="C2628" t="s">
        <v>143</v>
      </c>
      <c r="D2628">
        <v>5700</v>
      </c>
      <c r="E2628">
        <v>5700</v>
      </c>
      <c r="F2628">
        <v>16.323</v>
      </c>
      <c r="G2628">
        <v>-12099.6</v>
      </c>
      <c r="H2628">
        <v>-13.01</v>
      </c>
      <c r="I2628" s="309">
        <v>80940</v>
      </c>
      <c r="J2628">
        <v>14.2</v>
      </c>
      <c r="K2628" s="133">
        <v>0.16954147765012201</v>
      </c>
      <c r="L2628" s="181">
        <v>1302.18</v>
      </c>
      <c r="M2628" s="133">
        <v>0.19488598052849401</v>
      </c>
      <c r="N2628" s="73">
        <v>-11648.0280000001</v>
      </c>
      <c r="O2628" s="73">
        <v>-815.28039117647802</v>
      </c>
      <c r="P2628" s="182">
        <v>9</v>
      </c>
      <c r="Q2628" s="182">
        <v>5000</v>
      </c>
      <c r="R2628" s="46">
        <v>15.315</v>
      </c>
      <c r="S2628" s="46">
        <v>1</v>
      </c>
      <c r="T2628" s="46">
        <v>400</v>
      </c>
      <c r="U2628" s="46">
        <v>14.28</v>
      </c>
      <c r="V2628" s="46" t="s">
        <v>62</v>
      </c>
      <c r="W2628" s="46">
        <v>4600</v>
      </c>
      <c r="X2628" s="46">
        <v>15.404999999999999</v>
      </c>
      <c r="AF2628" s="46">
        <v>11</v>
      </c>
      <c r="AG2628" s="46">
        <v>5500</v>
      </c>
      <c r="AH2628" s="46">
        <v>89133.3</v>
      </c>
      <c r="AI2628" s="46">
        <v>16.206</v>
      </c>
      <c r="AJ2628" s="46">
        <v>11</v>
      </c>
      <c r="AK2628" s="46">
        <v>4400</v>
      </c>
      <c r="AL2628" s="46">
        <v>67011.2239999999</v>
      </c>
      <c r="AM2628" s="46">
        <v>15.23</v>
      </c>
      <c r="AN2628" s="46" t="s">
        <v>63</v>
      </c>
      <c r="AO2628" s="46">
        <v>1100</v>
      </c>
      <c r="AP2628" s="46">
        <v>22122.076000000001</v>
      </c>
      <c r="AQ2628" s="46">
        <v>20.111000000000001</v>
      </c>
      <c r="AR2628" s="46">
        <v>-4294.3999999999996</v>
      </c>
      <c r="AS2628" s="46">
        <v>20</v>
      </c>
      <c r="AT2628" s="46">
        <v>10500</v>
      </c>
      <c r="AU2628" s="46">
        <v>165756.29999999999</v>
      </c>
      <c r="AV2628" s="46">
        <v>15.786</v>
      </c>
      <c r="AW2628" s="46">
        <v>12</v>
      </c>
      <c r="AX2628" s="46">
        <v>4800</v>
      </c>
      <c r="AY2628" s="46">
        <v>72712.271999999895</v>
      </c>
      <c r="AZ2628" s="46">
        <v>15.148</v>
      </c>
      <c r="BA2628" s="46" t="s">
        <v>63</v>
      </c>
      <c r="BB2628" s="46">
        <v>5700</v>
      </c>
      <c r="BC2628" s="46">
        <v>93044.028000000006</v>
      </c>
      <c r="BD2628" s="46">
        <v>16.324000000000002</v>
      </c>
      <c r="BE2628" s="46">
        <v>-3062.4</v>
      </c>
      <c r="BF2628" s="46">
        <v>76623</v>
      </c>
      <c r="BG2628" s="46">
        <v>15.32</v>
      </c>
      <c r="BH2628" s="46">
        <v>5701.0479999999998</v>
      </c>
      <c r="BI2628">
        <v>14.25</v>
      </c>
      <c r="BJ2628">
        <v>70921.952000000005</v>
      </c>
      <c r="BK2628">
        <v>15.42</v>
      </c>
      <c r="BL2628">
        <v>-302.42</v>
      </c>
    </row>
    <row r="2629" spans="1:64" x14ac:dyDescent="0.25">
      <c r="A2629" s="136">
        <v>43186</v>
      </c>
      <c r="B2629" s="201" t="s">
        <v>65</v>
      </c>
      <c r="C2629" t="s">
        <v>127</v>
      </c>
      <c r="D2629">
        <v>12800</v>
      </c>
      <c r="E2629">
        <v>12400</v>
      </c>
      <c r="F2629">
        <v>9.3689999999999998</v>
      </c>
      <c r="G2629">
        <v>6156.63</v>
      </c>
      <c r="H2629">
        <v>5.13</v>
      </c>
      <c r="I2629" s="309">
        <v>126080</v>
      </c>
      <c r="J2629">
        <v>9.85</v>
      </c>
      <c r="K2629" s="133">
        <v>0.26409426120740598</v>
      </c>
      <c r="L2629" s="181">
        <v>-256</v>
      </c>
      <c r="M2629" s="133">
        <v>0.25119823764000898</v>
      </c>
      <c r="N2629" s="73">
        <v>850.212999999982</v>
      </c>
      <c r="O2629" s="73">
        <v>524.99494541963702</v>
      </c>
      <c r="P2629" s="182">
        <v>0</v>
      </c>
      <c r="Q2629" s="182">
        <v>0</v>
      </c>
      <c r="R2629" s="46">
        <v>0</v>
      </c>
      <c r="S2629" s="46">
        <v>13</v>
      </c>
      <c r="T2629" s="46">
        <v>5600</v>
      </c>
      <c r="U2629" s="46">
        <v>12.404999999999999</v>
      </c>
      <c r="V2629" s="46" t="s">
        <v>68</v>
      </c>
      <c r="W2629" s="46">
        <v>5600</v>
      </c>
      <c r="X2629" s="46">
        <v>12.404999999999999</v>
      </c>
      <c r="AF2629" s="46">
        <v>175</v>
      </c>
      <c r="AG2629" s="46">
        <v>93200</v>
      </c>
      <c r="AH2629" s="46">
        <v>1075375.2309999999</v>
      </c>
      <c r="AI2629" s="46">
        <v>11.538</v>
      </c>
      <c r="AJ2629" s="46">
        <v>194</v>
      </c>
      <c r="AK2629" s="46">
        <v>84000</v>
      </c>
      <c r="AL2629" s="46">
        <v>885283.90899999999</v>
      </c>
      <c r="AM2629" s="46">
        <v>10.539</v>
      </c>
      <c r="AN2629" s="46" t="s">
        <v>63</v>
      </c>
      <c r="AO2629" s="46">
        <v>9200</v>
      </c>
      <c r="AP2629" s="46">
        <v>190091.32199999999</v>
      </c>
      <c r="AQ2629" s="46">
        <v>20.661999999999999</v>
      </c>
      <c r="AR2629" s="46">
        <v>-83916</v>
      </c>
      <c r="AS2629" s="46">
        <v>176</v>
      </c>
      <c r="AT2629" s="46">
        <v>93300</v>
      </c>
      <c r="AU2629" s="46">
        <v>1076663.2309999999</v>
      </c>
      <c r="AV2629" s="46">
        <v>11.54</v>
      </c>
      <c r="AW2629" s="46">
        <v>207</v>
      </c>
      <c r="AX2629" s="46">
        <v>89600</v>
      </c>
      <c r="AY2629" s="46">
        <v>954616.44200000004</v>
      </c>
      <c r="AZ2629" s="46">
        <v>10.654</v>
      </c>
      <c r="BA2629" s="46" t="s">
        <v>63</v>
      </c>
      <c r="BB2629" s="46">
        <v>3700</v>
      </c>
      <c r="BC2629" s="46">
        <v>122046.789</v>
      </c>
      <c r="BD2629" s="46">
        <v>32.985999999999997</v>
      </c>
      <c r="BE2629" s="46">
        <v>-79385.600000000006</v>
      </c>
      <c r="BF2629" s="46">
        <v>1288</v>
      </c>
      <c r="BH2629" s="46">
        <v>69332.533000000098</v>
      </c>
      <c r="BI2629">
        <v>12.38</v>
      </c>
      <c r="BJ2629">
        <v>-68044.532999999996</v>
      </c>
      <c r="BK2629">
        <v>-12.15</v>
      </c>
      <c r="BL2629">
        <v>-8519.39</v>
      </c>
    </row>
    <row r="2630" spans="1:64" x14ac:dyDescent="0.25">
      <c r="A2630" s="136">
        <v>43186</v>
      </c>
      <c r="B2630" s="201" t="s">
        <v>77</v>
      </c>
      <c r="C2630" t="s">
        <v>128</v>
      </c>
      <c r="D2630">
        <v>4300</v>
      </c>
      <c r="E2630">
        <v>4300</v>
      </c>
      <c r="F2630">
        <v>5.9779999999999998</v>
      </c>
      <c r="G2630">
        <v>-595.27</v>
      </c>
      <c r="H2630">
        <v>-2.31</v>
      </c>
      <c r="I2630" s="309">
        <v>25112</v>
      </c>
      <c r="J2630">
        <v>5.84</v>
      </c>
      <c r="K2630" s="133">
        <v>5.2601007990485199E-2</v>
      </c>
      <c r="L2630" s="181">
        <v>0</v>
      </c>
      <c r="M2630" s="133">
        <v>5.3847894022123297E-2</v>
      </c>
      <c r="N2630" s="73">
        <v>-1272.2139999999999</v>
      </c>
      <c r="O2630" s="73">
        <v>-133.073774655173</v>
      </c>
      <c r="P2630" s="182">
        <v>6</v>
      </c>
      <c r="Q2630" s="182">
        <v>3000</v>
      </c>
      <c r="R2630" s="46">
        <v>6.798</v>
      </c>
      <c r="S2630" s="46">
        <v>0</v>
      </c>
      <c r="T2630" s="46">
        <v>0</v>
      </c>
      <c r="U2630" s="46">
        <v>0</v>
      </c>
      <c r="V2630" s="46" t="s">
        <v>62</v>
      </c>
      <c r="W2630" s="46">
        <v>3000</v>
      </c>
      <c r="X2630" s="46">
        <v>6.798</v>
      </c>
      <c r="AF2630" s="46">
        <v>39</v>
      </c>
      <c r="AG2630" s="46">
        <v>19500</v>
      </c>
      <c r="AH2630" s="46">
        <v>142169</v>
      </c>
      <c r="AI2630" s="46">
        <v>7.2910000000000004</v>
      </c>
      <c r="AJ2630" s="46">
        <v>39</v>
      </c>
      <c r="AK2630" s="46">
        <v>18200</v>
      </c>
      <c r="AL2630" s="46">
        <v>136881.78599999999</v>
      </c>
      <c r="AM2630" s="46">
        <v>7.5209999999999999</v>
      </c>
      <c r="AN2630" s="46" t="s">
        <v>63</v>
      </c>
      <c r="AO2630" s="46">
        <v>1300</v>
      </c>
      <c r="AP2630" s="46">
        <v>5287.2139999999999</v>
      </c>
      <c r="AQ2630" s="46">
        <v>4.0670000000000002</v>
      </c>
      <c r="AR2630" s="46">
        <v>4186</v>
      </c>
      <c r="AS2630" s="46">
        <v>45</v>
      </c>
      <c r="AT2630" s="46">
        <v>22500</v>
      </c>
      <c r="AU2630" s="46">
        <v>162594</v>
      </c>
      <c r="AV2630" s="46">
        <v>7.226</v>
      </c>
      <c r="AW2630" s="46">
        <v>39</v>
      </c>
      <c r="AX2630" s="46">
        <v>18200</v>
      </c>
      <c r="AY2630" s="46">
        <v>136881.78599999999</v>
      </c>
      <c r="AZ2630" s="46">
        <v>7.5209999999999999</v>
      </c>
      <c r="BA2630" s="46" t="s">
        <v>63</v>
      </c>
      <c r="BB2630" s="46">
        <v>4300</v>
      </c>
      <c r="BC2630" s="46">
        <v>25712.214</v>
      </c>
      <c r="BD2630" s="46">
        <v>5.98</v>
      </c>
      <c r="BE2630" s="46">
        <v>5369</v>
      </c>
      <c r="BF2630" s="46">
        <v>20425</v>
      </c>
      <c r="BG2630" s="46">
        <v>6.81</v>
      </c>
      <c r="BH2630" s="46">
        <v>0</v>
      </c>
      <c r="BJ2630">
        <v>20425</v>
      </c>
      <c r="BK2630">
        <v>6.81</v>
      </c>
      <c r="BL2630">
        <v>716.78</v>
      </c>
    </row>
    <row r="2631" spans="1:64" x14ac:dyDescent="0.25">
      <c r="A2631" s="136">
        <v>43186</v>
      </c>
      <c r="B2631" s="201" t="s">
        <v>67</v>
      </c>
      <c r="C2631" t="s">
        <v>129</v>
      </c>
      <c r="D2631">
        <v>2500</v>
      </c>
      <c r="E2631">
        <v>2500</v>
      </c>
      <c r="F2631">
        <v>7.625</v>
      </c>
      <c r="G2631">
        <v>1963.7</v>
      </c>
      <c r="H2631">
        <v>10.3</v>
      </c>
      <c r="I2631" s="309">
        <v>21025</v>
      </c>
      <c r="J2631">
        <v>8.41</v>
      </c>
      <c r="K2631" s="133">
        <v>4.40401478575961E-2</v>
      </c>
      <c r="L2631" s="181">
        <v>-10.419999999999799</v>
      </c>
      <c r="M2631" s="133">
        <v>3.9926871360665701E-2</v>
      </c>
      <c r="N2631" s="73">
        <v>2311.4064999997599</v>
      </c>
      <c r="O2631" s="73">
        <v>270.20477154968103</v>
      </c>
      <c r="P2631" s="182">
        <v>0</v>
      </c>
      <c r="Q2631" s="182">
        <v>0</v>
      </c>
      <c r="R2631" s="46">
        <v>0</v>
      </c>
      <c r="S2631" s="46">
        <v>16</v>
      </c>
      <c r="T2631" s="46">
        <v>6400</v>
      </c>
      <c r="U2631" s="46">
        <v>8.9030000000000005</v>
      </c>
      <c r="V2631" s="46" t="s">
        <v>68</v>
      </c>
      <c r="W2631" s="46">
        <v>6400</v>
      </c>
      <c r="X2631" s="46">
        <v>8.9030000000000005</v>
      </c>
      <c r="AF2631" s="46">
        <v>182</v>
      </c>
      <c r="AG2631" s="46">
        <v>90400</v>
      </c>
      <c r="AH2631" s="46">
        <v>751105</v>
      </c>
      <c r="AI2631" s="46">
        <v>8.3089999999999993</v>
      </c>
      <c r="AJ2631" s="46">
        <v>185</v>
      </c>
      <c r="AK2631" s="46">
        <v>84100</v>
      </c>
      <c r="AL2631" s="46">
        <v>744330.49849999999</v>
      </c>
      <c r="AM2631" s="46">
        <v>8.8510000000000009</v>
      </c>
      <c r="AN2631" s="46" t="s">
        <v>63</v>
      </c>
      <c r="AO2631" s="46">
        <v>6300</v>
      </c>
      <c r="AP2631" s="46">
        <v>6774.5020000000004</v>
      </c>
      <c r="AQ2631" s="46">
        <v>1.075</v>
      </c>
      <c r="AR2631" s="46">
        <v>45582.2</v>
      </c>
      <c r="AS2631" s="46">
        <v>182</v>
      </c>
      <c r="AT2631" s="46">
        <v>90400</v>
      </c>
      <c r="AU2631" s="46">
        <v>751105</v>
      </c>
      <c r="AV2631" s="46">
        <v>8.3089999999999993</v>
      </c>
      <c r="AW2631" s="46">
        <v>201</v>
      </c>
      <c r="AX2631" s="46">
        <v>90500</v>
      </c>
      <c r="AY2631" s="46">
        <v>801169.52249999996</v>
      </c>
      <c r="AZ2631" s="46">
        <v>8.8529999999999998</v>
      </c>
      <c r="BA2631" s="46" t="s">
        <v>69</v>
      </c>
      <c r="BB2631" s="46">
        <v>100</v>
      </c>
      <c r="BC2631" s="46">
        <v>50064.523000000001</v>
      </c>
      <c r="BD2631" s="46">
        <v>500.64499999999998</v>
      </c>
      <c r="BE2631" s="46">
        <v>49177.599999999999</v>
      </c>
      <c r="BF2631" s="46">
        <v>0</v>
      </c>
      <c r="BH2631" s="46">
        <v>56839.024000000303</v>
      </c>
      <c r="BI2631">
        <v>8.8800000000000008</v>
      </c>
      <c r="BJ2631">
        <v>43290.021000000001</v>
      </c>
      <c r="BK2631">
        <v>6.76</v>
      </c>
      <c r="BL2631">
        <v>5420</v>
      </c>
    </row>
    <row r="2632" spans="1:64" x14ac:dyDescent="0.25">
      <c r="A2632" s="136">
        <v>43186</v>
      </c>
      <c r="B2632" s="201" t="s">
        <v>78</v>
      </c>
      <c r="C2632" t="s">
        <v>142</v>
      </c>
      <c r="D2632">
        <v>100</v>
      </c>
      <c r="E2632">
        <v>100</v>
      </c>
      <c r="F2632">
        <v>-4.9039999999999999</v>
      </c>
      <c r="G2632">
        <v>1506.4</v>
      </c>
      <c r="H2632">
        <v>0</v>
      </c>
      <c r="I2632" s="309">
        <v>1016</v>
      </c>
      <c r="J2632">
        <v>10.16</v>
      </c>
      <c r="K2632" s="133">
        <v>2.1281707597297301E-3</v>
      </c>
      <c r="L2632" s="181">
        <v>45</v>
      </c>
      <c r="M2632" s="133">
        <v>0</v>
      </c>
      <c r="N2632" s="73">
        <v>1506.3910000000001</v>
      </c>
      <c r="O2632" s="73">
        <v>148.19269729330699</v>
      </c>
      <c r="P2632" s="182">
        <v>0</v>
      </c>
      <c r="Q2632" s="182">
        <v>0</v>
      </c>
      <c r="R2632" s="46">
        <v>0</v>
      </c>
      <c r="S2632" s="46">
        <v>3</v>
      </c>
      <c r="T2632" s="46">
        <v>1200</v>
      </c>
      <c r="U2632" s="46">
        <v>9.99</v>
      </c>
      <c r="V2632" s="46" t="s">
        <v>68</v>
      </c>
      <c r="W2632" s="46">
        <v>1200</v>
      </c>
      <c r="X2632" s="46">
        <v>9.99</v>
      </c>
      <c r="AF2632" s="46">
        <v>13</v>
      </c>
      <c r="AG2632" s="46">
        <v>6500</v>
      </c>
      <c r="AH2632" s="46">
        <v>62970</v>
      </c>
      <c r="AI2632" s="46">
        <v>9.6880000000000006</v>
      </c>
      <c r="AJ2632" s="46">
        <v>14</v>
      </c>
      <c r="AK2632" s="46">
        <v>5200</v>
      </c>
      <c r="AL2632" s="46">
        <v>51499.379000000001</v>
      </c>
      <c r="AM2632" s="46">
        <v>9.9039999999999999</v>
      </c>
      <c r="AN2632" s="46" t="s">
        <v>63</v>
      </c>
      <c r="AO2632" s="46">
        <v>1300</v>
      </c>
      <c r="AP2632" s="46">
        <v>11470.620999999999</v>
      </c>
      <c r="AQ2632" s="46">
        <v>8.8239999999999998</v>
      </c>
      <c r="AR2632" s="46">
        <v>1123.2</v>
      </c>
      <c r="AS2632" s="46">
        <v>13</v>
      </c>
      <c r="AT2632" s="46">
        <v>6500</v>
      </c>
      <c r="AU2632" s="46">
        <v>62970</v>
      </c>
      <c r="AV2632" s="46">
        <v>9.6880000000000006</v>
      </c>
      <c r="AW2632" s="46">
        <v>17</v>
      </c>
      <c r="AX2632" s="46">
        <v>6400</v>
      </c>
      <c r="AY2632" s="46">
        <v>63460.391000000003</v>
      </c>
      <c r="AZ2632" s="46">
        <v>9.9160000000000004</v>
      </c>
      <c r="BA2632" s="46" t="s">
        <v>63</v>
      </c>
      <c r="BB2632" s="46">
        <v>100</v>
      </c>
      <c r="BC2632" s="46">
        <v>490.39100000000002</v>
      </c>
      <c r="BD2632" s="46">
        <v>4.9039999999999999</v>
      </c>
      <c r="BE2632" s="46">
        <v>1459.2</v>
      </c>
      <c r="BF2632" s="46">
        <v>0</v>
      </c>
      <c r="BH2632" s="46">
        <v>11961.012000000001</v>
      </c>
      <c r="BI2632">
        <v>9.9700000000000006</v>
      </c>
      <c r="BJ2632">
        <v>-10980.23</v>
      </c>
      <c r="BK2632">
        <v>-9.15</v>
      </c>
      <c r="BL2632">
        <v>110.55</v>
      </c>
    </row>
    <row r="2633" spans="1:64" x14ac:dyDescent="0.25">
      <c r="A2633" s="136">
        <v>43186</v>
      </c>
      <c r="B2633" s="201" t="s">
        <v>72</v>
      </c>
      <c r="C2633" t="s">
        <v>130</v>
      </c>
      <c r="D2633">
        <v>3600</v>
      </c>
      <c r="E2633">
        <v>3600</v>
      </c>
      <c r="F2633">
        <v>6.7519999999999998</v>
      </c>
      <c r="G2633">
        <v>-1661.79</v>
      </c>
      <c r="H2633">
        <v>-6.84</v>
      </c>
      <c r="I2633" s="309">
        <v>22644</v>
      </c>
      <c r="J2633">
        <v>6.29</v>
      </c>
      <c r="K2633" s="133">
        <v>4.7431396341850403E-2</v>
      </c>
      <c r="L2633" s="181">
        <v>752.48</v>
      </c>
      <c r="M2633" s="133">
        <v>5.0912275167452101E-2</v>
      </c>
      <c r="N2633" s="73">
        <v>-1883.4959999999901</v>
      </c>
      <c r="O2633" s="73">
        <v>-264.06281510333599</v>
      </c>
      <c r="P2633" s="182">
        <v>0</v>
      </c>
      <c r="Q2633" s="182">
        <v>0</v>
      </c>
      <c r="R2633" s="46">
        <v>0</v>
      </c>
      <c r="S2633" s="46">
        <v>11</v>
      </c>
      <c r="T2633" s="46">
        <v>4400</v>
      </c>
      <c r="U2633" s="46">
        <v>7.5730000000000004</v>
      </c>
      <c r="V2633" s="46" t="s">
        <v>68</v>
      </c>
      <c r="W2633" s="46">
        <v>4400</v>
      </c>
      <c r="X2633" s="46">
        <v>7.5730000000000004</v>
      </c>
      <c r="AF2633" s="46">
        <v>35</v>
      </c>
      <c r="AG2633" s="46">
        <v>17400</v>
      </c>
      <c r="AH2633" s="46">
        <v>130612</v>
      </c>
      <c r="AI2633" s="46">
        <v>7.5060000000000002</v>
      </c>
      <c r="AJ2633" s="46">
        <v>35</v>
      </c>
      <c r="AK2633" s="46">
        <v>16000</v>
      </c>
      <c r="AL2633" s="46">
        <v>73807.009000000005</v>
      </c>
      <c r="AM2633" s="46">
        <v>4.6130000000000004</v>
      </c>
      <c r="AN2633" s="46" t="s">
        <v>63</v>
      </c>
      <c r="AO2633" s="46">
        <v>1400</v>
      </c>
      <c r="AP2633" s="46">
        <v>56804.991000000002</v>
      </c>
      <c r="AQ2633" s="46">
        <v>40.575000000000003</v>
      </c>
      <c r="AR2633" s="46">
        <v>-46288</v>
      </c>
      <c r="AS2633" s="46">
        <v>35</v>
      </c>
      <c r="AT2633" s="46">
        <v>17400</v>
      </c>
      <c r="AU2633" s="46">
        <v>130612</v>
      </c>
      <c r="AV2633" s="46">
        <v>7.5060000000000002</v>
      </c>
      <c r="AW2633" s="46">
        <v>47</v>
      </c>
      <c r="AX2633" s="46">
        <v>20900</v>
      </c>
      <c r="AY2633" s="46">
        <v>107038.689</v>
      </c>
      <c r="AZ2633" s="46">
        <v>5.1210000000000004</v>
      </c>
      <c r="BA2633" s="46" t="s">
        <v>69</v>
      </c>
      <c r="BB2633" s="46">
        <v>3500</v>
      </c>
      <c r="BC2633" s="46">
        <v>23573.311000000002</v>
      </c>
      <c r="BD2633" s="46">
        <v>6.7350000000000003</v>
      </c>
      <c r="BE2633" s="46">
        <v>-41499</v>
      </c>
      <c r="BF2633" s="46">
        <v>0</v>
      </c>
      <c r="BH2633" s="46">
        <v>33231.68</v>
      </c>
      <c r="BI2633">
        <v>7.55</v>
      </c>
      <c r="BJ2633">
        <v>-33231.68</v>
      </c>
      <c r="BK2633">
        <v>-7.55</v>
      </c>
      <c r="BL2633">
        <v>-7358.98</v>
      </c>
    </row>
    <row r="2634" spans="1:64" x14ac:dyDescent="0.25">
      <c r="A2634" s="136">
        <v>43186</v>
      </c>
      <c r="B2634" s="201" t="s">
        <v>70</v>
      </c>
      <c r="C2634" t="s">
        <v>131</v>
      </c>
      <c r="D2634">
        <v>12600</v>
      </c>
      <c r="E2634">
        <v>12600</v>
      </c>
      <c r="F2634">
        <v>11.423</v>
      </c>
      <c r="G2634">
        <v>-33296.14</v>
      </c>
      <c r="H2634">
        <v>-23.14</v>
      </c>
      <c r="I2634" s="309">
        <v>110628</v>
      </c>
      <c r="J2634">
        <v>8.7799999999999994</v>
      </c>
      <c r="K2634" s="133">
        <v>0.23172763268443</v>
      </c>
      <c r="L2634" s="181">
        <v>3581</v>
      </c>
      <c r="M2634" s="133">
        <v>0.30147160075516499</v>
      </c>
      <c r="N2634" s="73">
        <v>-33169.150000000103</v>
      </c>
      <c r="O2634" s="73">
        <v>-3771.6229152446099</v>
      </c>
      <c r="P2634" s="182">
        <v>2</v>
      </c>
      <c r="Q2634" s="182">
        <v>1000</v>
      </c>
      <c r="R2634" s="46">
        <v>8.08</v>
      </c>
      <c r="S2634" s="46">
        <v>2</v>
      </c>
      <c r="T2634" s="46">
        <v>800</v>
      </c>
      <c r="U2634" s="46">
        <v>8.7550000000000008</v>
      </c>
      <c r="V2634" s="46" t="s">
        <v>62</v>
      </c>
      <c r="W2634" s="46">
        <v>200</v>
      </c>
      <c r="X2634" s="46">
        <v>5.38</v>
      </c>
      <c r="AF2634" s="46">
        <v>134</v>
      </c>
      <c r="AG2634" s="46">
        <v>68600</v>
      </c>
      <c r="AH2634" s="46">
        <v>894918</v>
      </c>
      <c r="AI2634" s="46">
        <v>13.045</v>
      </c>
      <c r="AJ2634" s="46">
        <v>140</v>
      </c>
      <c r="AK2634" s="46">
        <v>56200</v>
      </c>
      <c r="AL2634" s="46">
        <v>751692.85400000005</v>
      </c>
      <c r="AM2634" s="46">
        <v>13.375</v>
      </c>
      <c r="AN2634" s="46" t="s">
        <v>63</v>
      </c>
      <c r="AO2634" s="46">
        <v>12400</v>
      </c>
      <c r="AP2634" s="46">
        <v>143225.14600000001</v>
      </c>
      <c r="AQ2634" s="46">
        <v>11.55</v>
      </c>
      <c r="AR2634" s="46">
        <v>18546</v>
      </c>
      <c r="AS2634" s="46">
        <v>136</v>
      </c>
      <c r="AT2634" s="46">
        <v>69600</v>
      </c>
      <c r="AU2634" s="46">
        <v>903008</v>
      </c>
      <c r="AV2634" s="46">
        <v>12.974</v>
      </c>
      <c r="AW2634" s="46">
        <v>143</v>
      </c>
      <c r="AX2634" s="46">
        <v>57000</v>
      </c>
      <c r="AY2634" s="46">
        <v>759084.85</v>
      </c>
      <c r="AZ2634" s="46">
        <v>13.317</v>
      </c>
      <c r="BA2634" s="46" t="s">
        <v>63</v>
      </c>
      <c r="BB2634" s="46">
        <v>12600</v>
      </c>
      <c r="BC2634" s="46">
        <v>143923.15</v>
      </c>
      <c r="BD2634" s="46">
        <v>11.422000000000001</v>
      </c>
      <c r="BE2634" s="46">
        <v>19551</v>
      </c>
      <c r="BF2634" s="46">
        <v>8090</v>
      </c>
      <c r="BG2634" s="46">
        <v>8.09</v>
      </c>
      <c r="BH2634" s="46">
        <v>7391.9960000000401</v>
      </c>
      <c r="BI2634">
        <v>9.24</v>
      </c>
      <c r="BJ2634">
        <v>698.00399999998604</v>
      </c>
      <c r="BK2634">
        <v>3.49</v>
      </c>
      <c r="BL2634">
        <v>2112.3000000000002</v>
      </c>
    </row>
    <row r="2635" spans="1:64" x14ac:dyDescent="0.25">
      <c r="A2635" s="136">
        <v>43186</v>
      </c>
      <c r="B2635" s="201" t="s">
        <v>137</v>
      </c>
      <c r="C2635" t="s">
        <v>138</v>
      </c>
      <c r="D2635">
        <v>100</v>
      </c>
      <c r="E2635">
        <v>100</v>
      </c>
      <c r="F2635">
        <v>-130.48500000000001</v>
      </c>
      <c r="G2635">
        <v>16716.5</v>
      </c>
      <c r="H2635">
        <v>0</v>
      </c>
      <c r="I2635" s="309">
        <v>3668</v>
      </c>
      <c r="J2635">
        <v>36.68</v>
      </c>
      <c r="K2635" s="133">
        <v>7.6831991601266298E-3</v>
      </c>
      <c r="L2635" s="181">
        <v>125</v>
      </c>
      <c r="M2635" s="133">
        <v>0</v>
      </c>
    </row>
    <row r="2636" spans="1:64" x14ac:dyDescent="0.25">
      <c r="A2636" s="136">
        <v>43186</v>
      </c>
      <c r="B2636" s="201" t="s">
        <v>835</v>
      </c>
      <c r="C2636" t="s">
        <v>839</v>
      </c>
      <c r="I2636" s="309">
        <v>11143.2</v>
      </c>
      <c r="K2636" s="133">
        <v>2.3341173631712901E-2</v>
      </c>
      <c r="L2636" s="181">
        <v>0</v>
      </c>
      <c r="M2636" s="133">
        <v>0.12827947238960299</v>
      </c>
    </row>
    <row r="2637" spans="1:64" x14ac:dyDescent="0.25">
      <c r="A2637" s="136">
        <v>43187</v>
      </c>
      <c r="B2637" s="201" t="s">
        <v>132</v>
      </c>
      <c r="C2637" t="s">
        <v>123</v>
      </c>
      <c r="D2637">
        <v>5010121</v>
      </c>
      <c r="E2637">
        <v>5010121</v>
      </c>
      <c r="F2637">
        <v>8.9999999999999993E-3</v>
      </c>
      <c r="G2637">
        <v>3346.77</v>
      </c>
      <c r="H2637">
        <v>11.11</v>
      </c>
      <c r="I2637" s="309">
        <v>50101.21</v>
      </c>
      <c r="J2637">
        <v>0.01</v>
      </c>
      <c r="K2637" s="133">
        <v>0.105505242188805</v>
      </c>
      <c r="L2637" s="181">
        <v>3.11000000000013</v>
      </c>
      <c r="M2637" s="133">
        <v>0</v>
      </c>
    </row>
    <row r="2638" spans="1:64" x14ac:dyDescent="0.25">
      <c r="A2638" s="136">
        <v>43187</v>
      </c>
      <c r="B2638" s="201" t="s">
        <v>61</v>
      </c>
      <c r="C2638" t="s">
        <v>136</v>
      </c>
      <c r="D2638">
        <v>2900</v>
      </c>
      <c r="E2638">
        <v>2900</v>
      </c>
      <c r="F2638">
        <v>5.18</v>
      </c>
      <c r="G2638">
        <v>-1044</v>
      </c>
      <c r="H2638">
        <v>-6.95</v>
      </c>
      <c r="I2638" s="309">
        <v>13978</v>
      </c>
      <c r="J2638">
        <v>4.82</v>
      </c>
      <c r="K2638" s="133">
        <v>2.94354622436287E-2</v>
      </c>
      <c r="L2638" s="181">
        <v>-203</v>
      </c>
      <c r="M2638" s="133">
        <v>3.1633961498339601E-2</v>
      </c>
      <c r="N2638" s="73">
        <v>-846.54100000000096</v>
      </c>
      <c r="O2638" s="73">
        <v>-173.030210531698</v>
      </c>
      <c r="P2638" s="182">
        <v>4</v>
      </c>
      <c r="Q2638" s="182">
        <v>2000</v>
      </c>
      <c r="R2638" s="46">
        <v>5.218</v>
      </c>
      <c r="S2638" s="46">
        <v>0</v>
      </c>
      <c r="T2638" s="46">
        <v>0</v>
      </c>
      <c r="U2638" s="46">
        <v>0</v>
      </c>
      <c r="V2638" s="46" t="s">
        <v>62</v>
      </c>
      <c r="W2638" s="46">
        <v>2000</v>
      </c>
      <c r="X2638" s="46">
        <v>5.218</v>
      </c>
      <c r="AF2638" s="46">
        <v>10</v>
      </c>
      <c r="AG2638" s="46">
        <v>5000</v>
      </c>
      <c r="AH2638" s="46">
        <v>26378</v>
      </c>
      <c r="AI2638" s="46">
        <v>5.2759999999999998</v>
      </c>
      <c r="AJ2638" s="46">
        <v>10</v>
      </c>
      <c r="AK2638" s="46">
        <v>4100</v>
      </c>
      <c r="AL2638" s="46">
        <v>21806.659</v>
      </c>
      <c r="AM2638" s="46">
        <v>5.319</v>
      </c>
      <c r="AN2638" s="46" t="s">
        <v>63</v>
      </c>
      <c r="AO2638" s="46">
        <v>900</v>
      </c>
      <c r="AP2638" s="46">
        <v>4571.3410000000003</v>
      </c>
      <c r="AQ2638" s="46">
        <v>5.0789999999999997</v>
      </c>
      <c r="AR2638" s="46">
        <v>176.3</v>
      </c>
      <c r="AS2638" s="46">
        <v>14</v>
      </c>
      <c r="AT2638" s="46">
        <v>7000</v>
      </c>
      <c r="AU2638" s="46">
        <v>36834.199999999997</v>
      </c>
      <c r="AV2638" s="46">
        <v>5.2619999999999996</v>
      </c>
      <c r="AW2638" s="46">
        <v>10</v>
      </c>
      <c r="AX2638" s="46">
        <v>4100</v>
      </c>
      <c r="AY2638" s="46">
        <v>21806.659</v>
      </c>
      <c r="AZ2638" s="46">
        <v>5.319</v>
      </c>
      <c r="BA2638" s="46" t="s">
        <v>63</v>
      </c>
      <c r="BB2638" s="46">
        <v>2900</v>
      </c>
      <c r="BC2638" s="46">
        <v>15027.540999999999</v>
      </c>
      <c r="BD2638" s="46">
        <v>5.1820000000000004</v>
      </c>
      <c r="BE2638" s="46">
        <v>233.7</v>
      </c>
      <c r="BF2638" s="46">
        <v>10456.200000000001</v>
      </c>
      <c r="BG2638" s="46">
        <v>5.23</v>
      </c>
      <c r="BH2638" s="46">
        <v>0</v>
      </c>
      <c r="BJ2638">
        <v>10456.200000000001</v>
      </c>
      <c r="BK2638">
        <v>5.23</v>
      </c>
      <c r="BL2638">
        <v>36.58</v>
      </c>
    </row>
    <row r="2639" spans="1:64" x14ac:dyDescent="0.25">
      <c r="A2639" s="136">
        <v>43187</v>
      </c>
      <c r="B2639" s="201" t="s">
        <v>124</v>
      </c>
      <c r="C2639" t="s">
        <v>125</v>
      </c>
      <c r="D2639">
        <v>100</v>
      </c>
      <c r="E2639">
        <v>100</v>
      </c>
      <c r="F2639">
        <v>-53.579000000000001</v>
      </c>
      <c r="G2639">
        <v>5955.9</v>
      </c>
      <c r="H2639">
        <v>0</v>
      </c>
      <c r="I2639" s="309">
        <v>598</v>
      </c>
      <c r="J2639">
        <v>5.98</v>
      </c>
      <c r="K2639" s="133">
        <v>1.25929363440335E-3</v>
      </c>
      <c r="L2639" s="181">
        <v>0</v>
      </c>
      <c r="M2639" s="133">
        <v>0</v>
      </c>
    </row>
    <row r="2640" spans="1:64" x14ac:dyDescent="0.25">
      <c r="A2640" s="136">
        <v>43187</v>
      </c>
      <c r="B2640" s="201" t="s">
        <v>71</v>
      </c>
      <c r="C2640" t="s">
        <v>126</v>
      </c>
      <c r="D2640">
        <v>1600</v>
      </c>
      <c r="E2640">
        <v>1600</v>
      </c>
      <c r="F2640">
        <v>5.16</v>
      </c>
      <c r="G2640">
        <v>2015.44</v>
      </c>
      <c r="H2640">
        <v>24.42</v>
      </c>
      <c r="I2640" s="309">
        <v>10272</v>
      </c>
      <c r="J2640">
        <v>6.42</v>
      </c>
      <c r="K2640" s="133">
        <v>2.1631211057844799E-2</v>
      </c>
      <c r="L2640" s="181">
        <v>0</v>
      </c>
      <c r="M2640" s="133">
        <v>1.7387012458309901E-2</v>
      </c>
      <c r="N2640" s="73">
        <v>1918.402</v>
      </c>
      <c r="O2640" s="73">
        <v>301.48471682389902</v>
      </c>
      <c r="P2640" s="182">
        <v>0</v>
      </c>
      <c r="Q2640" s="182">
        <v>0</v>
      </c>
      <c r="R2640" s="46">
        <v>0</v>
      </c>
      <c r="S2640" s="46">
        <v>4</v>
      </c>
      <c r="T2640" s="46">
        <v>1500</v>
      </c>
      <c r="U2640" s="46">
        <v>6.7229999999999999</v>
      </c>
      <c r="V2640" s="46" t="s">
        <v>68</v>
      </c>
      <c r="W2640" s="46">
        <v>1500</v>
      </c>
      <c r="X2640" s="46">
        <v>6.7229999999999999</v>
      </c>
      <c r="AF2640" s="46">
        <v>44</v>
      </c>
      <c r="AG2640" s="46">
        <v>22100</v>
      </c>
      <c r="AH2640" s="46">
        <v>141289.26</v>
      </c>
      <c r="AI2640" s="46">
        <v>6.3929999999999998</v>
      </c>
      <c r="AJ2640" s="46">
        <v>42</v>
      </c>
      <c r="AK2640" s="46">
        <v>19000</v>
      </c>
      <c r="AL2640" s="46">
        <v>122809.446</v>
      </c>
      <c r="AM2640" s="46">
        <v>6.4640000000000004</v>
      </c>
      <c r="AN2640" s="46" t="s">
        <v>63</v>
      </c>
      <c r="AO2640" s="46">
        <v>3100</v>
      </c>
      <c r="AP2640" s="46">
        <v>18479.813999999998</v>
      </c>
      <c r="AQ2640" s="46">
        <v>5.9610000000000003</v>
      </c>
      <c r="AR2640" s="46">
        <v>1349</v>
      </c>
      <c r="AS2640" s="46">
        <v>44</v>
      </c>
      <c r="AT2640" s="46">
        <v>22100</v>
      </c>
      <c r="AU2640" s="46">
        <v>141289.26</v>
      </c>
      <c r="AV2640" s="46">
        <v>6.3929999999999998</v>
      </c>
      <c r="AW2640" s="46">
        <v>46</v>
      </c>
      <c r="AX2640" s="46">
        <v>20500</v>
      </c>
      <c r="AY2640" s="46">
        <v>132870.462</v>
      </c>
      <c r="AZ2640" s="46">
        <v>6.4809999999999999</v>
      </c>
      <c r="BA2640" s="46" t="s">
        <v>63</v>
      </c>
      <c r="BB2640" s="46">
        <v>1600</v>
      </c>
      <c r="BC2640" s="46">
        <v>8418.7980000000007</v>
      </c>
      <c r="BD2640" s="46">
        <v>5.2619999999999996</v>
      </c>
      <c r="BE2640" s="46">
        <v>1804</v>
      </c>
      <c r="BF2640" s="46">
        <v>0</v>
      </c>
      <c r="BH2640" s="46">
        <v>10061.016</v>
      </c>
      <c r="BI2640">
        <v>6.71</v>
      </c>
      <c r="BJ2640">
        <v>-10061.016</v>
      </c>
      <c r="BK2640">
        <v>-6.71</v>
      </c>
      <c r="BL2640">
        <v>210.12</v>
      </c>
    </row>
    <row r="2641" spans="1:64" x14ac:dyDescent="0.25">
      <c r="A2641" s="136">
        <v>43187</v>
      </c>
      <c r="B2641" s="201" t="s">
        <v>79</v>
      </c>
      <c r="C2641" t="s">
        <v>143</v>
      </c>
      <c r="D2641">
        <v>5700</v>
      </c>
      <c r="E2641">
        <v>5700</v>
      </c>
      <c r="F2641">
        <v>16.323</v>
      </c>
      <c r="G2641">
        <v>-12099.6</v>
      </c>
      <c r="H2641">
        <v>-13.01</v>
      </c>
      <c r="I2641" s="309">
        <v>80940</v>
      </c>
      <c r="J2641">
        <v>14.2</v>
      </c>
      <c r="K2641" s="133">
        <v>0.170446867506032</v>
      </c>
      <c r="L2641" s="181">
        <v>0</v>
      </c>
      <c r="M2641" s="133">
        <v>0.195926715764939</v>
      </c>
      <c r="N2641" s="73">
        <v>-11648.0280000001</v>
      </c>
      <c r="O2641" s="73">
        <v>-815.28039117647802</v>
      </c>
      <c r="P2641" s="182">
        <v>8</v>
      </c>
      <c r="Q2641" s="182">
        <v>4500</v>
      </c>
      <c r="R2641" s="46">
        <v>15.429</v>
      </c>
      <c r="S2641" s="46">
        <v>0</v>
      </c>
      <c r="T2641" s="46">
        <v>0</v>
      </c>
      <c r="U2641" s="46">
        <v>0</v>
      </c>
      <c r="V2641" s="46" t="s">
        <v>62</v>
      </c>
      <c r="W2641" s="46">
        <v>4500</v>
      </c>
      <c r="X2641" s="46">
        <v>15.429</v>
      </c>
      <c r="AF2641" s="46">
        <v>12</v>
      </c>
      <c r="AG2641" s="46">
        <v>6000</v>
      </c>
      <c r="AH2641" s="46">
        <v>96283.6</v>
      </c>
      <c r="AI2641" s="46">
        <v>16.047000000000001</v>
      </c>
      <c r="AJ2641" s="46">
        <v>12</v>
      </c>
      <c r="AK2641" s="46">
        <v>4800</v>
      </c>
      <c r="AL2641" s="46">
        <v>72712.271999999895</v>
      </c>
      <c r="AM2641" s="46">
        <v>15.148</v>
      </c>
      <c r="AN2641" s="46" t="s">
        <v>63</v>
      </c>
      <c r="AO2641" s="46">
        <v>1200</v>
      </c>
      <c r="AP2641" s="46">
        <v>23571.328000000001</v>
      </c>
      <c r="AQ2641" s="46">
        <v>19.643000000000001</v>
      </c>
      <c r="AR2641" s="46">
        <v>-4315.2</v>
      </c>
      <c r="AS2641" s="46">
        <v>20</v>
      </c>
      <c r="AT2641" s="46">
        <v>10500</v>
      </c>
      <c r="AU2641" s="46">
        <v>165756.29999999999</v>
      </c>
      <c r="AV2641" s="46">
        <v>15.786</v>
      </c>
      <c r="AW2641" s="46">
        <v>12</v>
      </c>
      <c r="AX2641" s="46">
        <v>4800</v>
      </c>
      <c r="AY2641" s="46">
        <v>72712.271999999895</v>
      </c>
      <c r="AZ2641" s="46">
        <v>15.148</v>
      </c>
      <c r="BA2641" s="46" t="s">
        <v>63</v>
      </c>
      <c r="BB2641" s="46">
        <v>5700</v>
      </c>
      <c r="BC2641" s="46">
        <v>93044.028000000006</v>
      </c>
      <c r="BD2641" s="46">
        <v>16.324000000000002</v>
      </c>
      <c r="BE2641" s="46">
        <v>-3062.4</v>
      </c>
      <c r="BF2641" s="46">
        <v>69472.7</v>
      </c>
      <c r="BG2641" s="46">
        <v>15.44</v>
      </c>
      <c r="BH2641" s="46">
        <v>0</v>
      </c>
      <c r="BJ2641">
        <v>69472.7</v>
      </c>
      <c r="BK2641">
        <v>15.44</v>
      </c>
      <c r="BL2641">
        <v>-303.89</v>
      </c>
    </row>
    <row r="2642" spans="1:64" x14ac:dyDescent="0.25">
      <c r="A2642" s="136">
        <v>43187</v>
      </c>
      <c r="B2642" s="201" t="s">
        <v>65</v>
      </c>
      <c r="C2642" t="s">
        <v>127</v>
      </c>
      <c r="D2642">
        <v>13300</v>
      </c>
      <c r="E2642">
        <v>12800</v>
      </c>
      <c r="F2642">
        <v>9.3810000000000002</v>
      </c>
      <c r="G2642">
        <v>4246.63</v>
      </c>
      <c r="H2642">
        <v>3.4</v>
      </c>
      <c r="I2642" s="309">
        <v>129010</v>
      </c>
      <c r="J2642">
        <v>9.6999999999999993</v>
      </c>
      <c r="K2642" s="133">
        <v>0.27167470196383903</v>
      </c>
      <c r="L2642" s="181">
        <v>-1910</v>
      </c>
      <c r="M2642" s="133">
        <v>0.26273196931055098</v>
      </c>
      <c r="N2642" s="73">
        <v>-434.787000000018</v>
      </c>
      <c r="O2642" s="73">
        <v>397.605286116841</v>
      </c>
      <c r="P2642" s="182">
        <v>1</v>
      </c>
      <c r="Q2642" s="182">
        <v>500</v>
      </c>
      <c r="R2642" s="46">
        <v>9.67</v>
      </c>
      <c r="S2642" s="46">
        <v>13</v>
      </c>
      <c r="T2642" s="46">
        <v>5600</v>
      </c>
      <c r="U2642" s="46">
        <v>12.404999999999999</v>
      </c>
      <c r="V2642" s="46" t="s">
        <v>68</v>
      </c>
      <c r="W2642" s="46">
        <v>5100</v>
      </c>
      <c r="X2642" s="46">
        <v>12.673</v>
      </c>
      <c r="AF2642" s="46">
        <v>175</v>
      </c>
      <c r="AG2642" s="46">
        <v>93200</v>
      </c>
      <c r="AH2642" s="46">
        <v>1075375.2309999999</v>
      </c>
      <c r="AI2642" s="46">
        <v>11.538</v>
      </c>
      <c r="AJ2642" s="46">
        <v>194</v>
      </c>
      <c r="AK2642" s="46">
        <v>84000</v>
      </c>
      <c r="AL2642" s="46">
        <v>885283.90899999999</v>
      </c>
      <c r="AM2642" s="46">
        <v>10.539</v>
      </c>
      <c r="AN2642" s="46" t="s">
        <v>63</v>
      </c>
      <c r="AO2642" s="46">
        <v>9200</v>
      </c>
      <c r="AP2642" s="46">
        <v>190091.32199999999</v>
      </c>
      <c r="AQ2642" s="46">
        <v>20.661999999999999</v>
      </c>
      <c r="AR2642" s="46">
        <v>-83916</v>
      </c>
      <c r="AS2642" s="46">
        <v>177</v>
      </c>
      <c r="AT2642" s="46">
        <v>93800</v>
      </c>
      <c r="AU2642" s="46">
        <v>1081503.2309999999</v>
      </c>
      <c r="AV2642" s="46">
        <v>11.53</v>
      </c>
      <c r="AW2642" s="46">
        <v>207</v>
      </c>
      <c r="AX2642" s="46">
        <v>89600</v>
      </c>
      <c r="AY2642" s="46">
        <v>954616.44200000004</v>
      </c>
      <c r="AZ2642" s="46">
        <v>10.654</v>
      </c>
      <c r="BA2642" s="46" t="s">
        <v>63</v>
      </c>
      <c r="BB2642" s="46">
        <v>4200</v>
      </c>
      <c r="BC2642" s="46">
        <v>126886.789</v>
      </c>
      <c r="BD2642" s="46">
        <v>30.210999999999999</v>
      </c>
      <c r="BE2642" s="46">
        <v>-78489.600000000006</v>
      </c>
      <c r="BF2642" s="46">
        <v>6128</v>
      </c>
      <c r="BG2642" s="46">
        <v>12.26</v>
      </c>
      <c r="BH2642" s="46">
        <v>69332.533000000098</v>
      </c>
      <c r="BI2642">
        <v>12.38</v>
      </c>
      <c r="BJ2642">
        <v>-63204.533000000003</v>
      </c>
      <c r="BK2642">
        <v>-12.39</v>
      </c>
      <c r="BL2642">
        <v>-8651.1299999999992</v>
      </c>
    </row>
    <row r="2643" spans="1:64" x14ac:dyDescent="0.25">
      <c r="A2643" s="136">
        <v>43187</v>
      </c>
      <c r="B2643" s="201" t="s">
        <v>77</v>
      </c>
      <c r="C2643" t="s">
        <v>128</v>
      </c>
      <c r="D2643">
        <v>4300</v>
      </c>
      <c r="E2643">
        <v>4300</v>
      </c>
      <c r="F2643">
        <v>5.9779999999999998</v>
      </c>
      <c r="G2643">
        <v>-595.27</v>
      </c>
      <c r="H2643">
        <v>-2.31</v>
      </c>
      <c r="I2643" s="309">
        <v>25112</v>
      </c>
      <c r="J2643">
        <v>5.84</v>
      </c>
      <c r="K2643" s="133">
        <v>5.2881909276148498E-2</v>
      </c>
      <c r="L2643" s="181">
        <v>0</v>
      </c>
      <c r="M2643" s="133">
        <v>5.4135453961351401E-2</v>
      </c>
      <c r="N2643" s="73">
        <v>-1272.2139999999999</v>
      </c>
      <c r="O2643" s="73">
        <v>-133.073774655173</v>
      </c>
      <c r="P2643" s="182">
        <v>6</v>
      </c>
      <c r="Q2643" s="182">
        <v>3000</v>
      </c>
      <c r="R2643" s="46">
        <v>6.798</v>
      </c>
      <c r="S2643" s="46">
        <v>0</v>
      </c>
      <c r="T2643" s="46">
        <v>0</v>
      </c>
      <c r="U2643" s="46">
        <v>0</v>
      </c>
      <c r="V2643" s="46" t="s">
        <v>62</v>
      </c>
      <c r="W2643" s="46">
        <v>3000</v>
      </c>
      <c r="X2643" s="46">
        <v>6.798</v>
      </c>
      <c r="AF2643" s="46">
        <v>39</v>
      </c>
      <c r="AG2643" s="46">
        <v>19500</v>
      </c>
      <c r="AH2643" s="46">
        <v>142169</v>
      </c>
      <c r="AI2643" s="46">
        <v>7.2910000000000004</v>
      </c>
      <c r="AJ2643" s="46">
        <v>39</v>
      </c>
      <c r="AK2643" s="46">
        <v>18200</v>
      </c>
      <c r="AL2643" s="46">
        <v>136881.78599999999</v>
      </c>
      <c r="AM2643" s="46">
        <v>7.5209999999999999</v>
      </c>
      <c r="AN2643" s="46" t="s">
        <v>63</v>
      </c>
      <c r="AO2643" s="46">
        <v>1300</v>
      </c>
      <c r="AP2643" s="46">
        <v>5287.2139999999999</v>
      </c>
      <c r="AQ2643" s="46">
        <v>4.0670000000000002</v>
      </c>
      <c r="AR2643" s="46">
        <v>4186</v>
      </c>
      <c r="AS2643" s="46">
        <v>45</v>
      </c>
      <c r="AT2643" s="46">
        <v>22500</v>
      </c>
      <c r="AU2643" s="46">
        <v>162594</v>
      </c>
      <c r="AV2643" s="46">
        <v>7.226</v>
      </c>
      <c r="AW2643" s="46">
        <v>39</v>
      </c>
      <c r="AX2643" s="46">
        <v>18200</v>
      </c>
      <c r="AY2643" s="46">
        <v>136881.78599999999</v>
      </c>
      <c r="AZ2643" s="46">
        <v>7.5209999999999999</v>
      </c>
      <c r="BA2643" s="46" t="s">
        <v>63</v>
      </c>
      <c r="BB2643" s="46">
        <v>4300</v>
      </c>
      <c r="BC2643" s="46">
        <v>25712.214</v>
      </c>
      <c r="BD2643" s="46">
        <v>5.98</v>
      </c>
      <c r="BE2643" s="46">
        <v>5369</v>
      </c>
      <c r="BF2643" s="46">
        <v>20425</v>
      </c>
      <c r="BG2643" s="46">
        <v>6.81</v>
      </c>
      <c r="BH2643" s="46">
        <v>0</v>
      </c>
      <c r="BJ2643">
        <v>20425</v>
      </c>
      <c r="BK2643">
        <v>6.81</v>
      </c>
      <c r="BL2643">
        <v>716.78</v>
      </c>
    </row>
    <row r="2644" spans="1:64" x14ac:dyDescent="0.25">
      <c r="A2644" s="136">
        <v>43187</v>
      </c>
      <c r="B2644" s="201" t="s">
        <v>67</v>
      </c>
      <c r="C2644" t="s">
        <v>129</v>
      </c>
      <c r="D2644">
        <v>3000</v>
      </c>
      <c r="E2644">
        <v>2500</v>
      </c>
      <c r="F2644">
        <v>7.734</v>
      </c>
      <c r="G2644">
        <v>1218.7</v>
      </c>
      <c r="H2644">
        <v>5.25</v>
      </c>
      <c r="I2644" s="309">
        <v>24420</v>
      </c>
      <c r="J2644">
        <v>8.14</v>
      </c>
      <c r="K2644" s="133">
        <v>5.1424666475133302E-2</v>
      </c>
      <c r="L2644" s="181">
        <v>-745</v>
      </c>
      <c r="M2644" s="133">
        <v>4.8858276588431997E-2</v>
      </c>
      <c r="N2644" s="73">
        <v>1606.4064999997599</v>
      </c>
      <c r="O2644" s="73">
        <v>194.147919800457</v>
      </c>
      <c r="P2644" s="182">
        <v>0</v>
      </c>
      <c r="Q2644" s="182">
        <v>0</v>
      </c>
      <c r="R2644" s="46">
        <v>0</v>
      </c>
      <c r="S2644" s="46">
        <v>15</v>
      </c>
      <c r="T2644" s="46">
        <v>6000</v>
      </c>
      <c r="U2644" s="46">
        <v>8.9429999999999996</v>
      </c>
      <c r="V2644" s="46" t="s">
        <v>68</v>
      </c>
      <c r="W2644" s="46">
        <v>6000</v>
      </c>
      <c r="X2644" s="46">
        <v>8.9429999999999996</v>
      </c>
      <c r="AF2644" s="46">
        <v>183</v>
      </c>
      <c r="AG2644" s="46">
        <v>90900</v>
      </c>
      <c r="AH2644" s="46">
        <v>755245</v>
      </c>
      <c r="AI2644" s="46">
        <v>8.3089999999999993</v>
      </c>
      <c r="AJ2644" s="46">
        <v>186</v>
      </c>
      <c r="AK2644" s="46">
        <v>84500</v>
      </c>
      <c r="AL2644" s="46">
        <v>747642.17850000004</v>
      </c>
      <c r="AM2644" s="46">
        <v>8.8480000000000008</v>
      </c>
      <c r="AN2644" s="46" t="s">
        <v>63</v>
      </c>
      <c r="AO2644" s="46">
        <v>6400</v>
      </c>
      <c r="AP2644" s="46">
        <v>7602.8209999999999</v>
      </c>
      <c r="AQ2644" s="46">
        <v>1.1879999999999999</v>
      </c>
      <c r="AR2644" s="46">
        <v>45545.5</v>
      </c>
      <c r="AS2644" s="46">
        <v>183</v>
      </c>
      <c r="AT2644" s="46">
        <v>90900</v>
      </c>
      <c r="AU2644" s="46">
        <v>755245</v>
      </c>
      <c r="AV2644" s="46">
        <v>8.3089999999999993</v>
      </c>
      <c r="AW2644" s="46">
        <v>201</v>
      </c>
      <c r="AX2644" s="46">
        <v>90500</v>
      </c>
      <c r="AY2644" s="46">
        <v>801169.52249999996</v>
      </c>
      <c r="AZ2644" s="46">
        <v>8.8529999999999998</v>
      </c>
      <c r="BA2644" s="46" t="s">
        <v>63</v>
      </c>
      <c r="BB2644" s="46">
        <v>400</v>
      </c>
      <c r="BC2644" s="46">
        <v>45924.523000000001</v>
      </c>
      <c r="BD2644" s="46">
        <v>114.81100000000001</v>
      </c>
      <c r="BE2644" s="46">
        <v>49232</v>
      </c>
      <c r="BF2644" s="46">
        <v>0</v>
      </c>
      <c r="BH2644" s="46">
        <v>53527.344000000303</v>
      </c>
      <c r="BI2644">
        <v>8.92</v>
      </c>
      <c r="BJ2644">
        <v>38321.701999999997</v>
      </c>
      <c r="BK2644">
        <v>6.39</v>
      </c>
      <c r="BL2644">
        <v>5595.27</v>
      </c>
    </row>
    <row r="2645" spans="1:64" x14ac:dyDescent="0.25">
      <c r="A2645" s="136">
        <v>43187</v>
      </c>
      <c r="B2645" s="201" t="s">
        <v>78</v>
      </c>
      <c r="C2645" t="s">
        <v>142</v>
      </c>
      <c r="D2645">
        <v>100</v>
      </c>
      <c r="E2645">
        <v>100</v>
      </c>
      <c r="F2645">
        <v>-4.9039999999999999</v>
      </c>
      <c r="G2645">
        <v>1480.4</v>
      </c>
      <c r="H2645">
        <v>0</v>
      </c>
      <c r="I2645" s="309">
        <v>990</v>
      </c>
      <c r="J2645">
        <v>9.9</v>
      </c>
      <c r="K2645" s="133">
        <v>2.0847837760189199E-3</v>
      </c>
      <c r="L2645" s="181">
        <v>-26</v>
      </c>
      <c r="M2645" s="133">
        <v>0</v>
      </c>
      <c r="N2645" s="73">
        <v>1506.3910000000001</v>
      </c>
      <c r="O2645" s="73">
        <v>148.19269729330699</v>
      </c>
      <c r="P2645" s="182">
        <v>0</v>
      </c>
      <c r="Q2645" s="182">
        <v>0</v>
      </c>
      <c r="R2645" s="46">
        <v>0</v>
      </c>
      <c r="S2645" s="46">
        <v>3</v>
      </c>
      <c r="T2645" s="46">
        <v>1200</v>
      </c>
      <c r="U2645" s="46">
        <v>9.99</v>
      </c>
      <c r="V2645" s="46" t="s">
        <v>68</v>
      </c>
      <c r="W2645" s="46">
        <v>1200</v>
      </c>
      <c r="X2645" s="46">
        <v>9.99</v>
      </c>
      <c r="AF2645" s="46">
        <v>13</v>
      </c>
      <c r="AG2645" s="46">
        <v>6500</v>
      </c>
      <c r="AH2645" s="46">
        <v>62970</v>
      </c>
      <c r="AI2645" s="46">
        <v>9.6880000000000006</v>
      </c>
      <c r="AJ2645" s="46">
        <v>14</v>
      </c>
      <c r="AK2645" s="46">
        <v>5200</v>
      </c>
      <c r="AL2645" s="46">
        <v>51499.379000000001</v>
      </c>
      <c r="AM2645" s="46">
        <v>9.9039999999999999</v>
      </c>
      <c r="AN2645" s="46" t="s">
        <v>63</v>
      </c>
      <c r="AO2645" s="46">
        <v>1300</v>
      </c>
      <c r="AP2645" s="46">
        <v>11470.620999999999</v>
      </c>
      <c r="AQ2645" s="46">
        <v>8.8239999999999998</v>
      </c>
      <c r="AR2645" s="46">
        <v>1123.2</v>
      </c>
      <c r="AS2645" s="46">
        <v>13</v>
      </c>
      <c r="AT2645" s="46">
        <v>6500</v>
      </c>
      <c r="AU2645" s="46">
        <v>62970</v>
      </c>
      <c r="AV2645" s="46">
        <v>9.6880000000000006</v>
      </c>
      <c r="AW2645" s="46">
        <v>17</v>
      </c>
      <c r="AX2645" s="46">
        <v>6400</v>
      </c>
      <c r="AY2645" s="46">
        <v>63460.391000000003</v>
      </c>
      <c r="AZ2645" s="46">
        <v>9.9160000000000004</v>
      </c>
      <c r="BA2645" s="46" t="s">
        <v>63</v>
      </c>
      <c r="BB2645" s="46">
        <v>100</v>
      </c>
      <c r="BC2645" s="46">
        <v>490.39100000000002</v>
      </c>
      <c r="BD2645" s="46">
        <v>4.9039999999999999</v>
      </c>
      <c r="BE2645" s="46">
        <v>1459.2</v>
      </c>
      <c r="BF2645" s="46">
        <v>0</v>
      </c>
      <c r="BH2645" s="46">
        <v>11961.012000000001</v>
      </c>
      <c r="BI2645">
        <v>9.9700000000000006</v>
      </c>
      <c r="BJ2645">
        <v>-10980.23</v>
      </c>
      <c r="BK2645">
        <v>-9.15</v>
      </c>
      <c r="BL2645">
        <v>113.45</v>
      </c>
    </row>
    <row r="2646" spans="1:64" x14ac:dyDescent="0.25">
      <c r="A2646" s="136">
        <v>43187</v>
      </c>
      <c r="B2646" s="201" t="s">
        <v>72</v>
      </c>
      <c r="C2646" t="s">
        <v>130</v>
      </c>
      <c r="D2646">
        <v>3600</v>
      </c>
      <c r="E2646">
        <v>3600</v>
      </c>
      <c r="F2646">
        <v>6.7519999999999998</v>
      </c>
      <c r="G2646">
        <v>-1589.79</v>
      </c>
      <c r="H2646">
        <v>-6.55</v>
      </c>
      <c r="I2646" s="309">
        <v>22716</v>
      </c>
      <c r="J2646">
        <v>6.31</v>
      </c>
      <c r="K2646" s="133">
        <v>4.7836311369743201E-2</v>
      </c>
      <c r="L2646" s="181">
        <v>72</v>
      </c>
      <c r="M2646" s="133">
        <v>5.1184158237699902E-2</v>
      </c>
      <c r="N2646" s="73">
        <v>-1883.4959999999901</v>
      </c>
      <c r="O2646" s="73">
        <v>-264.06281510333599</v>
      </c>
      <c r="P2646" s="182">
        <v>0</v>
      </c>
      <c r="Q2646" s="182">
        <v>0</v>
      </c>
      <c r="R2646" s="46">
        <v>0</v>
      </c>
      <c r="S2646" s="46">
        <v>11</v>
      </c>
      <c r="T2646" s="46">
        <v>4400</v>
      </c>
      <c r="U2646" s="46">
        <v>7.5730000000000004</v>
      </c>
      <c r="V2646" s="46" t="s">
        <v>68</v>
      </c>
      <c r="W2646" s="46">
        <v>4400</v>
      </c>
      <c r="X2646" s="46">
        <v>7.5730000000000004</v>
      </c>
      <c r="AF2646" s="46">
        <v>35</v>
      </c>
      <c r="AG2646" s="46">
        <v>17400</v>
      </c>
      <c r="AH2646" s="46">
        <v>130612</v>
      </c>
      <c r="AI2646" s="46">
        <v>7.5060000000000002</v>
      </c>
      <c r="AJ2646" s="46">
        <v>35</v>
      </c>
      <c r="AK2646" s="46">
        <v>16000</v>
      </c>
      <c r="AL2646" s="46">
        <v>73807.009000000005</v>
      </c>
      <c r="AM2646" s="46">
        <v>4.6130000000000004</v>
      </c>
      <c r="AN2646" s="46" t="s">
        <v>63</v>
      </c>
      <c r="AO2646" s="46">
        <v>1400</v>
      </c>
      <c r="AP2646" s="46">
        <v>56804.991000000002</v>
      </c>
      <c r="AQ2646" s="46">
        <v>40.575000000000003</v>
      </c>
      <c r="AR2646" s="46">
        <v>-46288</v>
      </c>
      <c r="AS2646" s="46">
        <v>35</v>
      </c>
      <c r="AT2646" s="46">
        <v>17400</v>
      </c>
      <c r="AU2646" s="46">
        <v>130612</v>
      </c>
      <c r="AV2646" s="46">
        <v>7.5060000000000002</v>
      </c>
      <c r="AW2646" s="46">
        <v>47</v>
      </c>
      <c r="AX2646" s="46">
        <v>20900</v>
      </c>
      <c r="AY2646" s="46">
        <v>107038.689</v>
      </c>
      <c r="AZ2646" s="46">
        <v>5.1210000000000004</v>
      </c>
      <c r="BA2646" s="46" t="s">
        <v>69</v>
      </c>
      <c r="BB2646" s="46">
        <v>3500</v>
      </c>
      <c r="BC2646" s="46">
        <v>23573.311000000002</v>
      </c>
      <c r="BD2646" s="46">
        <v>6.7350000000000003</v>
      </c>
      <c r="BE2646" s="46">
        <v>-41499</v>
      </c>
      <c r="BF2646" s="46">
        <v>0</v>
      </c>
      <c r="BH2646" s="46">
        <v>33231.68</v>
      </c>
      <c r="BI2646">
        <v>7.55</v>
      </c>
      <c r="BJ2646">
        <v>-33231.68</v>
      </c>
      <c r="BK2646">
        <v>-7.55</v>
      </c>
      <c r="BL2646">
        <v>-7335.66</v>
      </c>
    </row>
    <row r="2647" spans="1:64" x14ac:dyDescent="0.25">
      <c r="A2647" s="136">
        <v>43187</v>
      </c>
      <c r="B2647" s="201" t="s">
        <v>70</v>
      </c>
      <c r="C2647" t="s">
        <v>131</v>
      </c>
      <c r="D2647">
        <v>11700</v>
      </c>
      <c r="E2647">
        <v>11700</v>
      </c>
      <c r="F2647">
        <v>11.618</v>
      </c>
      <c r="G2647">
        <v>-32973.160000000003</v>
      </c>
      <c r="H2647">
        <v>-24.25</v>
      </c>
      <c r="I2647" s="309">
        <v>102960</v>
      </c>
      <c r="J2647">
        <v>8.8000000000000007</v>
      </c>
      <c r="K2647" s="133">
        <v>0.216817512705967</v>
      </c>
      <c r="L2647" s="181">
        <v>322.97999999999598</v>
      </c>
      <c r="M2647" s="133">
        <v>0.286253784435337</v>
      </c>
      <c r="N2647" s="73">
        <v>-31451.159000000102</v>
      </c>
      <c r="O2647" s="73">
        <v>-3520.2053102463701</v>
      </c>
      <c r="P2647" s="182">
        <v>2</v>
      </c>
      <c r="Q2647" s="182">
        <v>1000</v>
      </c>
      <c r="R2647" s="46">
        <v>8.08</v>
      </c>
      <c r="S2647" s="46">
        <v>4</v>
      </c>
      <c r="T2647" s="46">
        <v>1700</v>
      </c>
      <c r="U2647" s="46">
        <v>8.8309999999999995</v>
      </c>
      <c r="V2647" s="46" t="s">
        <v>68</v>
      </c>
      <c r="W2647" s="46">
        <v>700</v>
      </c>
      <c r="X2647" s="46">
        <v>9.9039999999999999</v>
      </c>
      <c r="AF2647" s="46">
        <v>134</v>
      </c>
      <c r="AG2647" s="46">
        <v>68600</v>
      </c>
      <c r="AH2647" s="46">
        <v>894918</v>
      </c>
      <c r="AI2647" s="46">
        <v>13.045</v>
      </c>
      <c r="AJ2647" s="46">
        <v>140</v>
      </c>
      <c r="AK2647" s="46">
        <v>56200</v>
      </c>
      <c r="AL2647" s="46">
        <v>751692.85400000005</v>
      </c>
      <c r="AM2647" s="46">
        <v>13.375</v>
      </c>
      <c r="AN2647" s="46" t="s">
        <v>63</v>
      </c>
      <c r="AO2647" s="46">
        <v>12400</v>
      </c>
      <c r="AP2647" s="46">
        <v>143225.14600000001</v>
      </c>
      <c r="AQ2647" s="46">
        <v>11.55</v>
      </c>
      <c r="AR2647" s="46">
        <v>18546</v>
      </c>
      <c r="AS2647" s="46">
        <v>136</v>
      </c>
      <c r="AT2647" s="46">
        <v>69600</v>
      </c>
      <c r="AU2647" s="46">
        <v>903008</v>
      </c>
      <c r="AV2647" s="46">
        <v>12.974</v>
      </c>
      <c r="AW2647" s="46">
        <v>145</v>
      </c>
      <c r="AX2647" s="46">
        <v>57900</v>
      </c>
      <c r="AY2647" s="46">
        <v>767075.84100000001</v>
      </c>
      <c r="AZ2647" s="46">
        <v>13.247999999999999</v>
      </c>
      <c r="BA2647" s="46" t="s">
        <v>63</v>
      </c>
      <c r="BB2647" s="46">
        <v>11700</v>
      </c>
      <c r="BC2647" s="46">
        <v>135932.15900000001</v>
      </c>
      <c r="BD2647" s="46">
        <v>11.618</v>
      </c>
      <c r="BE2647" s="46">
        <v>15864.6</v>
      </c>
      <c r="BF2647" s="46">
        <v>8090</v>
      </c>
      <c r="BG2647" s="46">
        <v>8.09</v>
      </c>
      <c r="BH2647" s="46">
        <v>15382.987000000099</v>
      </c>
      <c r="BI2647">
        <v>9.0500000000000007</v>
      </c>
      <c r="BJ2647">
        <v>-7292.9869999999901</v>
      </c>
      <c r="BK2647">
        <v>-10.42</v>
      </c>
      <c r="BL2647">
        <v>2107.5</v>
      </c>
    </row>
    <row r="2648" spans="1:64" x14ac:dyDescent="0.25">
      <c r="A2648" s="136">
        <v>43187</v>
      </c>
      <c r="B2648" s="201" t="s">
        <v>137</v>
      </c>
      <c r="C2648" t="s">
        <v>138</v>
      </c>
      <c r="D2648">
        <v>100</v>
      </c>
      <c r="E2648">
        <v>100</v>
      </c>
      <c r="F2648">
        <v>-130.48500000000001</v>
      </c>
      <c r="G2648">
        <v>16666.5</v>
      </c>
      <c r="H2648">
        <v>0</v>
      </c>
      <c r="I2648" s="309">
        <v>3618</v>
      </c>
      <c r="J2648">
        <v>36.18</v>
      </c>
      <c r="K2648" s="133">
        <v>7.6189370723600503E-3</v>
      </c>
      <c r="L2648" s="181">
        <v>-50</v>
      </c>
      <c r="M2648" s="133">
        <v>0</v>
      </c>
    </row>
    <row r="2649" spans="1:64" x14ac:dyDescent="0.25">
      <c r="A2649" s="136">
        <v>43187</v>
      </c>
      <c r="B2649" s="201" t="s">
        <v>835</v>
      </c>
      <c r="C2649" t="s">
        <v>839</v>
      </c>
      <c r="I2649" s="309">
        <v>10154.18</v>
      </c>
      <c r="K2649" s="133">
        <v>2.1383100730076501E-2</v>
      </c>
      <c r="L2649" s="181">
        <v>0</v>
      </c>
      <c r="M2649" s="133">
        <v>0.12688834291888099</v>
      </c>
    </row>
    <row r="2650" spans="1:64" x14ac:dyDescent="0.25">
      <c r="A2650" s="136">
        <v>43188</v>
      </c>
      <c r="B2650" s="201" t="s">
        <v>132</v>
      </c>
      <c r="C2650" t="s">
        <v>123</v>
      </c>
      <c r="D2650">
        <v>5010634</v>
      </c>
      <c r="E2650">
        <v>5010634</v>
      </c>
      <c r="F2650">
        <v>8.9999999999999993E-3</v>
      </c>
      <c r="G2650">
        <v>3351.9</v>
      </c>
      <c r="H2650">
        <v>11.11</v>
      </c>
      <c r="I2650" s="309">
        <v>50106.34</v>
      </c>
      <c r="J2650">
        <v>0.01</v>
      </c>
      <c r="K2650" s="133">
        <v>0.103767651833456</v>
      </c>
      <c r="L2650" s="181">
        <v>5.13000000000011</v>
      </c>
      <c r="M2650" s="133">
        <v>0</v>
      </c>
    </row>
    <row r="2651" spans="1:64" x14ac:dyDescent="0.25">
      <c r="A2651" s="136">
        <v>43188</v>
      </c>
      <c r="B2651" s="201" t="s">
        <v>61</v>
      </c>
      <c r="C2651" t="s">
        <v>136</v>
      </c>
      <c r="D2651">
        <v>2900</v>
      </c>
      <c r="E2651">
        <v>2900</v>
      </c>
      <c r="F2651">
        <v>5.18</v>
      </c>
      <c r="G2651">
        <v>-1015</v>
      </c>
      <c r="H2651">
        <v>-6.76</v>
      </c>
      <c r="I2651" s="309">
        <v>14007</v>
      </c>
      <c r="J2651">
        <v>4.83</v>
      </c>
      <c r="K2651" s="133">
        <v>2.9007776246104199E-2</v>
      </c>
      <c r="L2651" s="181">
        <v>29</v>
      </c>
      <c r="M2651" s="133">
        <v>3.1109789017561101E-2</v>
      </c>
      <c r="N2651" s="73">
        <v>-846.54100000000096</v>
      </c>
      <c r="O2651" s="73">
        <v>-173.030210531698</v>
      </c>
      <c r="P2651" s="182">
        <v>4</v>
      </c>
      <c r="Q2651" s="182">
        <v>2000</v>
      </c>
      <c r="R2651" s="46">
        <v>5.218</v>
      </c>
      <c r="S2651" s="46">
        <v>0</v>
      </c>
      <c r="T2651" s="46">
        <v>0</v>
      </c>
      <c r="U2651" s="46">
        <v>0</v>
      </c>
      <c r="V2651" s="46" t="s">
        <v>62</v>
      </c>
      <c r="W2651" s="46">
        <v>2000</v>
      </c>
      <c r="X2651" s="46">
        <v>5.218</v>
      </c>
      <c r="AF2651" s="46">
        <v>10</v>
      </c>
      <c r="AG2651" s="46">
        <v>5000</v>
      </c>
      <c r="AH2651" s="46">
        <v>26378</v>
      </c>
      <c r="AI2651" s="46">
        <v>5.2759999999999998</v>
      </c>
      <c r="AJ2651" s="46">
        <v>10</v>
      </c>
      <c r="AK2651" s="46">
        <v>4100</v>
      </c>
      <c r="AL2651" s="46">
        <v>21806.659</v>
      </c>
      <c r="AM2651" s="46">
        <v>5.319</v>
      </c>
      <c r="AN2651" s="46" t="s">
        <v>63</v>
      </c>
      <c r="AO2651" s="46">
        <v>900</v>
      </c>
      <c r="AP2651" s="46">
        <v>4571.3410000000003</v>
      </c>
      <c r="AQ2651" s="46">
        <v>5.0789999999999997</v>
      </c>
      <c r="AR2651" s="46">
        <v>176.3</v>
      </c>
      <c r="AS2651" s="46">
        <v>14</v>
      </c>
      <c r="AT2651" s="46">
        <v>7000</v>
      </c>
      <c r="AU2651" s="46">
        <v>36834.199999999997</v>
      </c>
      <c r="AV2651" s="46">
        <v>5.2619999999999996</v>
      </c>
      <c r="AW2651" s="46">
        <v>10</v>
      </c>
      <c r="AX2651" s="46">
        <v>4100</v>
      </c>
      <c r="AY2651" s="46">
        <v>21806.659</v>
      </c>
      <c r="AZ2651" s="46">
        <v>5.319</v>
      </c>
      <c r="BA2651" s="46" t="s">
        <v>63</v>
      </c>
      <c r="BB2651" s="46">
        <v>2900</v>
      </c>
      <c r="BC2651" s="46">
        <v>15027.540999999999</v>
      </c>
      <c r="BD2651" s="46">
        <v>5.1820000000000004</v>
      </c>
      <c r="BE2651" s="46">
        <v>233.7</v>
      </c>
      <c r="BF2651" s="46">
        <v>10456.200000000001</v>
      </c>
      <c r="BG2651" s="46">
        <v>5.23</v>
      </c>
      <c r="BH2651" s="46">
        <v>0</v>
      </c>
      <c r="BJ2651">
        <v>10456.200000000001</v>
      </c>
      <c r="BK2651">
        <v>5.23</v>
      </c>
      <c r="BL2651">
        <v>36.5</v>
      </c>
    </row>
    <row r="2652" spans="1:64" x14ac:dyDescent="0.25">
      <c r="A2652" s="136">
        <v>43188</v>
      </c>
      <c r="B2652" s="201" t="s">
        <v>124</v>
      </c>
      <c r="C2652" t="s">
        <v>125</v>
      </c>
      <c r="D2652">
        <v>100</v>
      </c>
      <c r="E2652">
        <v>100</v>
      </c>
      <c r="F2652">
        <v>-53.579000000000001</v>
      </c>
      <c r="G2652">
        <v>5966.9</v>
      </c>
      <c r="H2652">
        <v>0</v>
      </c>
      <c r="I2652" s="309">
        <v>609</v>
      </c>
      <c r="J2652">
        <v>6.09</v>
      </c>
      <c r="K2652" s="133">
        <v>1.2612076628741001E-3</v>
      </c>
      <c r="L2652" s="181">
        <v>11</v>
      </c>
      <c r="M2652" s="133">
        <v>0</v>
      </c>
    </row>
    <row r="2653" spans="1:64" x14ac:dyDescent="0.25">
      <c r="A2653" s="136">
        <v>43188</v>
      </c>
      <c r="B2653" s="201" t="s">
        <v>71</v>
      </c>
      <c r="C2653" t="s">
        <v>126</v>
      </c>
      <c r="D2653">
        <v>1600</v>
      </c>
      <c r="E2653">
        <v>1600</v>
      </c>
      <c r="F2653">
        <v>5.16</v>
      </c>
      <c r="G2653">
        <v>2127.44</v>
      </c>
      <c r="H2653">
        <v>25.78</v>
      </c>
      <c r="I2653" s="309">
        <v>10384</v>
      </c>
      <c r="J2653">
        <v>6.49</v>
      </c>
      <c r="K2653" s="133">
        <v>2.1504729673702198E-2</v>
      </c>
      <c r="L2653" s="181">
        <v>112</v>
      </c>
      <c r="M2653" s="133">
        <v>1.70989109047287E-2</v>
      </c>
      <c r="N2653" s="73">
        <v>1918.402</v>
      </c>
      <c r="O2653" s="73">
        <v>301.48471682389902</v>
      </c>
      <c r="P2653" s="182">
        <v>0</v>
      </c>
      <c r="Q2653" s="182">
        <v>0</v>
      </c>
      <c r="R2653" s="46">
        <v>0</v>
      </c>
      <c r="S2653" s="46">
        <v>4</v>
      </c>
      <c r="T2653" s="46">
        <v>1500</v>
      </c>
      <c r="U2653" s="46">
        <v>6.7229999999999999</v>
      </c>
      <c r="V2653" s="46" t="s">
        <v>68</v>
      </c>
      <c r="W2653" s="46">
        <v>1500</v>
      </c>
      <c r="X2653" s="46">
        <v>6.7229999999999999</v>
      </c>
      <c r="AF2653" s="46">
        <v>44</v>
      </c>
      <c r="AG2653" s="46">
        <v>22100</v>
      </c>
      <c r="AH2653" s="46">
        <v>141289.26</v>
      </c>
      <c r="AI2653" s="46">
        <v>6.3929999999999998</v>
      </c>
      <c r="AJ2653" s="46">
        <v>42</v>
      </c>
      <c r="AK2653" s="46">
        <v>19000</v>
      </c>
      <c r="AL2653" s="46">
        <v>122809.446</v>
      </c>
      <c r="AM2653" s="46">
        <v>6.4640000000000004</v>
      </c>
      <c r="AN2653" s="46" t="s">
        <v>63</v>
      </c>
      <c r="AO2653" s="46">
        <v>3100</v>
      </c>
      <c r="AP2653" s="46">
        <v>18479.813999999998</v>
      </c>
      <c r="AQ2653" s="46">
        <v>5.9610000000000003</v>
      </c>
      <c r="AR2653" s="46">
        <v>1349</v>
      </c>
      <c r="AS2653" s="46">
        <v>44</v>
      </c>
      <c r="AT2653" s="46">
        <v>22100</v>
      </c>
      <c r="AU2653" s="46">
        <v>141289.26</v>
      </c>
      <c r="AV2653" s="46">
        <v>6.3929999999999998</v>
      </c>
      <c r="AW2653" s="46">
        <v>46</v>
      </c>
      <c r="AX2653" s="46">
        <v>20500</v>
      </c>
      <c r="AY2653" s="46">
        <v>132870.462</v>
      </c>
      <c r="AZ2653" s="46">
        <v>6.4809999999999999</v>
      </c>
      <c r="BA2653" s="46" t="s">
        <v>63</v>
      </c>
      <c r="BB2653" s="46">
        <v>1600</v>
      </c>
      <c r="BC2653" s="46">
        <v>8418.7980000000007</v>
      </c>
      <c r="BD2653" s="46">
        <v>5.2619999999999996</v>
      </c>
      <c r="BE2653" s="46">
        <v>1804</v>
      </c>
      <c r="BF2653" s="46">
        <v>0</v>
      </c>
      <c r="BH2653" s="46">
        <v>10061.016</v>
      </c>
      <c r="BI2653">
        <v>6.71</v>
      </c>
      <c r="BJ2653">
        <v>-10061.016</v>
      </c>
      <c r="BK2653">
        <v>-6.71</v>
      </c>
      <c r="BL2653">
        <v>207.86</v>
      </c>
    </row>
    <row r="2654" spans="1:64" x14ac:dyDescent="0.25">
      <c r="A2654" s="136">
        <v>43188</v>
      </c>
      <c r="B2654" s="201" t="s">
        <v>79</v>
      </c>
      <c r="C2654" t="s">
        <v>143</v>
      </c>
      <c r="D2654">
        <v>5700</v>
      </c>
      <c r="E2654">
        <v>5700</v>
      </c>
      <c r="F2654">
        <v>16.323</v>
      </c>
      <c r="G2654">
        <v>-11073.6</v>
      </c>
      <c r="H2654">
        <v>-11.9</v>
      </c>
      <c r="I2654" s="309">
        <v>81966</v>
      </c>
      <c r="J2654">
        <v>14.38</v>
      </c>
      <c r="K2654" s="133">
        <v>0.16974736830071999</v>
      </c>
      <c r="L2654" s="181">
        <v>1026</v>
      </c>
      <c r="M2654" s="133">
        <v>0.192680224089886</v>
      </c>
      <c r="N2654" s="73">
        <v>-11648.0280000001</v>
      </c>
      <c r="O2654" s="73">
        <v>-815.28039117647802</v>
      </c>
      <c r="P2654" s="182">
        <v>8</v>
      </c>
      <c r="Q2654" s="182">
        <v>4500</v>
      </c>
      <c r="R2654" s="46">
        <v>15.429</v>
      </c>
      <c r="S2654" s="46">
        <v>0</v>
      </c>
      <c r="T2654" s="46">
        <v>0</v>
      </c>
      <c r="U2654" s="46">
        <v>0</v>
      </c>
      <c r="V2654" s="46" t="s">
        <v>62</v>
      </c>
      <c r="W2654" s="46">
        <v>4500</v>
      </c>
      <c r="X2654" s="46">
        <v>15.429</v>
      </c>
      <c r="AF2654" s="46">
        <v>12</v>
      </c>
      <c r="AG2654" s="46">
        <v>6000</v>
      </c>
      <c r="AH2654" s="46">
        <v>96283.6</v>
      </c>
      <c r="AI2654" s="46">
        <v>16.047000000000001</v>
      </c>
      <c r="AJ2654" s="46">
        <v>12</v>
      </c>
      <c r="AK2654" s="46">
        <v>4800</v>
      </c>
      <c r="AL2654" s="46">
        <v>72712.271999999895</v>
      </c>
      <c r="AM2654" s="46">
        <v>15.148</v>
      </c>
      <c r="AN2654" s="46" t="s">
        <v>63</v>
      </c>
      <c r="AO2654" s="46">
        <v>1200</v>
      </c>
      <c r="AP2654" s="46">
        <v>23571.328000000001</v>
      </c>
      <c r="AQ2654" s="46">
        <v>19.643000000000001</v>
      </c>
      <c r="AR2654" s="46">
        <v>-4315.2</v>
      </c>
      <c r="AS2654" s="46">
        <v>20</v>
      </c>
      <c r="AT2654" s="46">
        <v>10500</v>
      </c>
      <c r="AU2654" s="46">
        <v>165756.29999999999</v>
      </c>
      <c r="AV2654" s="46">
        <v>15.786</v>
      </c>
      <c r="AW2654" s="46">
        <v>12</v>
      </c>
      <c r="AX2654" s="46">
        <v>4800</v>
      </c>
      <c r="AY2654" s="46">
        <v>72712.271999999895</v>
      </c>
      <c r="AZ2654" s="46">
        <v>15.148</v>
      </c>
      <c r="BA2654" s="46" t="s">
        <v>63</v>
      </c>
      <c r="BB2654" s="46">
        <v>5700</v>
      </c>
      <c r="BC2654" s="46">
        <v>93044.028000000006</v>
      </c>
      <c r="BD2654" s="46">
        <v>16.324000000000002</v>
      </c>
      <c r="BE2654" s="46">
        <v>-3062.4</v>
      </c>
      <c r="BF2654" s="46">
        <v>69472.7</v>
      </c>
      <c r="BG2654" s="46">
        <v>15.44</v>
      </c>
      <c r="BH2654" s="46">
        <v>0</v>
      </c>
      <c r="BJ2654">
        <v>69472.7</v>
      </c>
      <c r="BK2654">
        <v>15.44</v>
      </c>
      <c r="BL2654">
        <v>-300.08</v>
      </c>
    </row>
    <row r="2655" spans="1:64" x14ac:dyDescent="0.25">
      <c r="A2655" s="136">
        <v>43188</v>
      </c>
      <c r="B2655" s="201" t="s">
        <v>65</v>
      </c>
      <c r="C2655" t="s">
        <v>127</v>
      </c>
      <c r="D2655">
        <v>13300</v>
      </c>
      <c r="E2655">
        <v>13300</v>
      </c>
      <c r="F2655">
        <v>9.3810000000000002</v>
      </c>
      <c r="G2655">
        <v>7438.63</v>
      </c>
      <c r="H2655">
        <v>5.96</v>
      </c>
      <c r="I2655" s="309">
        <v>132202</v>
      </c>
      <c r="J2655">
        <v>9.94</v>
      </c>
      <c r="K2655" s="133">
        <v>0.27378353932230098</v>
      </c>
      <c r="L2655" s="181">
        <v>3192</v>
      </c>
      <c r="M2655" s="133">
        <v>0.25837851935959999</v>
      </c>
      <c r="N2655" s="73">
        <v>-434.787000000018</v>
      </c>
      <c r="O2655" s="73">
        <v>397.605286116841</v>
      </c>
      <c r="P2655" s="182">
        <v>1</v>
      </c>
      <c r="Q2655" s="182">
        <v>500</v>
      </c>
      <c r="R2655" s="46">
        <v>9.67</v>
      </c>
      <c r="S2655" s="46">
        <v>13</v>
      </c>
      <c r="T2655" s="46">
        <v>5600</v>
      </c>
      <c r="U2655" s="46">
        <v>12.404999999999999</v>
      </c>
      <c r="V2655" s="46" t="s">
        <v>68</v>
      </c>
      <c r="W2655" s="46">
        <v>5100</v>
      </c>
      <c r="X2655" s="46">
        <v>12.673</v>
      </c>
      <c r="AF2655" s="46">
        <v>175</v>
      </c>
      <c r="AG2655" s="46">
        <v>93200</v>
      </c>
      <c r="AH2655" s="46">
        <v>1075375.2309999999</v>
      </c>
      <c r="AI2655" s="46">
        <v>11.538</v>
      </c>
      <c r="AJ2655" s="46">
        <v>194</v>
      </c>
      <c r="AK2655" s="46">
        <v>84000</v>
      </c>
      <c r="AL2655" s="46">
        <v>885283.90899999999</v>
      </c>
      <c r="AM2655" s="46">
        <v>10.539</v>
      </c>
      <c r="AN2655" s="46" t="s">
        <v>63</v>
      </c>
      <c r="AO2655" s="46">
        <v>9200</v>
      </c>
      <c r="AP2655" s="46">
        <v>190091.32199999999</v>
      </c>
      <c r="AQ2655" s="46">
        <v>20.661999999999999</v>
      </c>
      <c r="AR2655" s="46">
        <v>-83916</v>
      </c>
      <c r="AS2655" s="46">
        <v>177</v>
      </c>
      <c r="AT2655" s="46">
        <v>93800</v>
      </c>
      <c r="AU2655" s="46">
        <v>1081503.2309999999</v>
      </c>
      <c r="AV2655" s="46">
        <v>11.53</v>
      </c>
      <c r="AW2655" s="46">
        <v>207</v>
      </c>
      <c r="AX2655" s="46">
        <v>89600</v>
      </c>
      <c r="AY2655" s="46">
        <v>954616.44200000004</v>
      </c>
      <c r="AZ2655" s="46">
        <v>10.654</v>
      </c>
      <c r="BA2655" s="46" t="s">
        <v>63</v>
      </c>
      <c r="BB2655" s="46">
        <v>4200</v>
      </c>
      <c r="BC2655" s="46">
        <v>126886.789</v>
      </c>
      <c r="BD2655" s="46">
        <v>30.210999999999999</v>
      </c>
      <c r="BE2655" s="46">
        <v>-78489.600000000006</v>
      </c>
      <c r="BF2655" s="46">
        <v>6128</v>
      </c>
      <c r="BG2655" s="46">
        <v>12.26</v>
      </c>
      <c r="BH2655" s="46">
        <v>69332.533000000098</v>
      </c>
      <c r="BI2655">
        <v>12.38</v>
      </c>
      <c r="BJ2655">
        <v>-63204.533000000003</v>
      </c>
      <c r="BK2655">
        <v>-12.39</v>
      </c>
      <c r="BL2655">
        <v>-8442.25</v>
      </c>
    </row>
    <row r="2656" spans="1:64" x14ac:dyDescent="0.25">
      <c r="A2656" s="136">
        <v>43188</v>
      </c>
      <c r="B2656" s="201" t="s">
        <v>77</v>
      </c>
      <c r="C2656" t="s">
        <v>128</v>
      </c>
      <c r="D2656">
        <v>4300</v>
      </c>
      <c r="E2656">
        <v>4300</v>
      </c>
      <c r="F2656">
        <v>5.9779999999999998</v>
      </c>
      <c r="G2656">
        <v>-595.27</v>
      </c>
      <c r="H2656">
        <v>-2.31</v>
      </c>
      <c r="I2656" s="309">
        <v>25112</v>
      </c>
      <c r="J2656">
        <v>5.84</v>
      </c>
      <c r="K2656" s="133">
        <v>5.2005659819530897E-2</v>
      </c>
      <c r="L2656" s="181">
        <v>0</v>
      </c>
      <c r="M2656" s="133">
        <v>5.32384333589054E-2</v>
      </c>
      <c r="N2656" s="73">
        <v>-1272.2139999999999</v>
      </c>
      <c r="O2656" s="73">
        <v>-133.073774655173</v>
      </c>
      <c r="P2656" s="182">
        <v>6</v>
      </c>
      <c r="Q2656" s="182">
        <v>3000</v>
      </c>
      <c r="R2656" s="46">
        <v>6.798</v>
      </c>
      <c r="S2656" s="46">
        <v>0</v>
      </c>
      <c r="T2656" s="46">
        <v>0</v>
      </c>
      <c r="U2656" s="46">
        <v>0</v>
      </c>
      <c r="V2656" s="46" t="s">
        <v>62</v>
      </c>
      <c r="W2656" s="46">
        <v>3000</v>
      </c>
      <c r="X2656" s="46">
        <v>6.798</v>
      </c>
      <c r="AF2656" s="46">
        <v>39</v>
      </c>
      <c r="AG2656" s="46">
        <v>19500</v>
      </c>
      <c r="AH2656" s="46">
        <v>142169</v>
      </c>
      <c r="AI2656" s="46">
        <v>7.2910000000000004</v>
      </c>
      <c r="AJ2656" s="46">
        <v>39</v>
      </c>
      <c r="AK2656" s="46">
        <v>18200</v>
      </c>
      <c r="AL2656" s="46">
        <v>136881.78599999999</v>
      </c>
      <c r="AM2656" s="46">
        <v>7.5209999999999999</v>
      </c>
      <c r="AN2656" s="46" t="s">
        <v>63</v>
      </c>
      <c r="AO2656" s="46">
        <v>1300</v>
      </c>
      <c r="AP2656" s="46">
        <v>5287.2139999999999</v>
      </c>
      <c r="AQ2656" s="46">
        <v>4.0670000000000002</v>
      </c>
      <c r="AR2656" s="46">
        <v>4186</v>
      </c>
      <c r="AS2656" s="46">
        <v>45</v>
      </c>
      <c r="AT2656" s="46">
        <v>22500</v>
      </c>
      <c r="AU2656" s="46">
        <v>162594</v>
      </c>
      <c r="AV2656" s="46">
        <v>7.226</v>
      </c>
      <c r="AW2656" s="46">
        <v>39</v>
      </c>
      <c r="AX2656" s="46">
        <v>18200</v>
      </c>
      <c r="AY2656" s="46">
        <v>136881.78599999999</v>
      </c>
      <c r="AZ2656" s="46">
        <v>7.5209999999999999</v>
      </c>
      <c r="BA2656" s="46" t="s">
        <v>63</v>
      </c>
      <c r="BB2656" s="46">
        <v>4300</v>
      </c>
      <c r="BC2656" s="46">
        <v>25712.214</v>
      </c>
      <c r="BD2656" s="46">
        <v>5.98</v>
      </c>
      <c r="BE2656" s="46">
        <v>5369</v>
      </c>
      <c r="BF2656" s="46">
        <v>20425</v>
      </c>
      <c r="BG2656" s="46">
        <v>6.81</v>
      </c>
      <c r="BH2656" s="46">
        <v>0</v>
      </c>
      <c r="BJ2656">
        <v>20425</v>
      </c>
      <c r="BK2656">
        <v>6.81</v>
      </c>
      <c r="BL2656">
        <v>716.78</v>
      </c>
    </row>
    <row r="2657" spans="1:64" x14ac:dyDescent="0.25">
      <c r="A2657" s="136">
        <v>43188</v>
      </c>
      <c r="B2657" s="201" t="s">
        <v>67</v>
      </c>
      <c r="C2657" t="s">
        <v>129</v>
      </c>
      <c r="D2657">
        <v>3000</v>
      </c>
      <c r="E2657">
        <v>3000</v>
      </c>
      <c r="F2657">
        <v>7.734</v>
      </c>
      <c r="G2657">
        <v>2298.6999999999998</v>
      </c>
      <c r="H2657">
        <v>9.91</v>
      </c>
      <c r="I2657" s="309">
        <v>25500</v>
      </c>
      <c r="J2657">
        <v>8.5</v>
      </c>
      <c r="K2657" s="133">
        <v>5.2809187854334097E-2</v>
      </c>
      <c r="L2657" s="181">
        <v>1080</v>
      </c>
      <c r="M2657" s="133">
        <v>4.8048698437833798E-2</v>
      </c>
      <c r="N2657" s="73">
        <v>1606.4064999997599</v>
      </c>
      <c r="O2657" s="73">
        <v>194.147919800457</v>
      </c>
      <c r="P2657" s="182">
        <v>0</v>
      </c>
      <c r="Q2657" s="182">
        <v>0</v>
      </c>
      <c r="R2657" s="46">
        <v>0</v>
      </c>
      <c r="S2657" s="46">
        <v>15</v>
      </c>
      <c r="T2657" s="46">
        <v>6000</v>
      </c>
      <c r="U2657" s="46">
        <v>8.9429999999999996</v>
      </c>
      <c r="V2657" s="46" t="s">
        <v>68</v>
      </c>
      <c r="W2657" s="46">
        <v>6000</v>
      </c>
      <c r="X2657" s="46">
        <v>8.9429999999999996</v>
      </c>
      <c r="AF2657" s="46">
        <v>183</v>
      </c>
      <c r="AG2657" s="46">
        <v>90900</v>
      </c>
      <c r="AH2657" s="46">
        <v>755245</v>
      </c>
      <c r="AI2657" s="46">
        <v>8.3089999999999993</v>
      </c>
      <c r="AJ2657" s="46">
        <v>186</v>
      </c>
      <c r="AK2657" s="46">
        <v>84500</v>
      </c>
      <c r="AL2657" s="46">
        <v>747642.17850000004</v>
      </c>
      <c r="AM2657" s="46">
        <v>8.8480000000000008</v>
      </c>
      <c r="AN2657" s="46" t="s">
        <v>63</v>
      </c>
      <c r="AO2657" s="46">
        <v>6400</v>
      </c>
      <c r="AP2657" s="46">
        <v>7602.8209999999999</v>
      </c>
      <c r="AQ2657" s="46">
        <v>1.1879999999999999</v>
      </c>
      <c r="AR2657" s="46">
        <v>45545.5</v>
      </c>
      <c r="AS2657" s="46">
        <v>183</v>
      </c>
      <c r="AT2657" s="46">
        <v>90900</v>
      </c>
      <c r="AU2657" s="46">
        <v>755245</v>
      </c>
      <c r="AV2657" s="46">
        <v>8.3089999999999993</v>
      </c>
      <c r="AW2657" s="46">
        <v>201</v>
      </c>
      <c r="AX2657" s="46">
        <v>90500</v>
      </c>
      <c r="AY2657" s="46">
        <v>801169.52249999996</v>
      </c>
      <c r="AZ2657" s="46">
        <v>8.8529999999999998</v>
      </c>
      <c r="BA2657" s="46" t="s">
        <v>63</v>
      </c>
      <c r="BB2657" s="46">
        <v>400</v>
      </c>
      <c r="BC2657" s="46">
        <v>45924.523000000001</v>
      </c>
      <c r="BD2657" s="46">
        <v>114.81100000000001</v>
      </c>
      <c r="BE2657" s="46">
        <v>49232</v>
      </c>
      <c r="BF2657" s="46">
        <v>0</v>
      </c>
      <c r="BH2657" s="46">
        <v>53527.344000000303</v>
      </c>
      <c r="BI2657">
        <v>8.92</v>
      </c>
      <c r="BJ2657">
        <v>38321.701999999997</v>
      </c>
      <c r="BK2657">
        <v>6.39</v>
      </c>
      <c r="BL2657">
        <v>5358.29</v>
      </c>
    </row>
    <row r="2658" spans="1:64" x14ac:dyDescent="0.25">
      <c r="A2658" s="136">
        <v>43188</v>
      </c>
      <c r="B2658" s="201" t="s">
        <v>78</v>
      </c>
      <c r="C2658" t="s">
        <v>142</v>
      </c>
      <c r="D2658">
        <v>100</v>
      </c>
      <c r="E2658">
        <v>100</v>
      </c>
      <c r="F2658">
        <v>-4.9039999999999999</v>
      </c>
      <c r="G2658">
        <v>1504.4</v>
      </c>
      <c r="H2658">
        <v>0</v>
      </c>
      <c r="I2658" s="309">
        <v>1014</v>
      </c>
      <c r="J2658">
        <v>10.14</v>
      </c>
      <c r="K2658" s="133">
        <v>2.09994182291352E-3</v>
      </c>
      <c r="L2658" s="181">
        <v>24</v>
      </c>
      <c r="M2658" s="133">
        <v>0</v>
      </c>
      <c r="N2658" s="73">
        <v>1506.3910000000001</v>
      </c>
      <c r="O2658" s="73">
        <v>148.19269729330699</v>
      </c>
      <c r="P2658" s="182">
        <v>0</v>
      </c>
      <c r="Q2658" s="182">
        <v>0</v>
      </c>
      <c r="R2658" s="46">
        <v>0</v>
      </c>
      <c r="S2658" s="46">
        <v>3</v>
      </c>
      <c r="T2658" s="46">
        <v>1200</v>
      </c>
      <c r="U2658" s="46">
        <v>9.99</v>
      </c>
      <c r="V2658" s="46" t="s">
        <v>68</v>
      </c>
      <c r="W2658" s="46">
        <v>1200</v>
      </c>
      <c r="X2658" s="46">
        <v>9.99</v>
      </c>
      <c r="AF2658" s="46">
        <v>13</v>
      </c>
      <c r="AG2658" s="46">
        <v>6500</v>
      </c>
      <c r="AH2658" s="46">
        <v>62970</v>
      </c>
      <c r="AI2658" s="46">
        <v>9.6880000000000006</v>
      </c>
      <c r="AJ2658" s="46">
        <v>14</v>
      </c>
      <c r="AK2658" s="46">
        <v>5200</v>
      </c>
      <c r="AL2658" s="46">
        <v>51499.379000000001</v>
      </c>
      <c r="AM2658" s="46">
        <v>9.9039999999999999</v>
      </c>
      <c r="AN2658" s="46" t="s">
        <v>63</v>
      </c>
      <c r="AO2658" s="46">
        <v>1300</v>
      </c>
      <c r="AP2658" s="46">
        <v>11470.620999999999</v>
      </c>
      <c r="AQ2658" s="46">
        <v>8.8239999999999998</v>
      </c>
      <c r="AR2658" s="46">
        <v>1123.2</v>
      </c>
      <c r="AS2658" s="46">
        <v>13</v>
      </c>
      <c r="AT2658" s="46">
        <v>6500</v>
      </c>
      <c r="AU2658" s="46">
        <v>62970</v>
      </c>
      <c r="AV2658" s="46">
        <v>9.6880000000000006</v>
      </c>
      <c r="AW2658" s="46">
        <v>17</v>
      </c>
      <c r="AX2658" s="46">
        <v>6400</v>
      </c>
      <c r="AY2658" s="46">
        <v>63460.391000000003</v>
      </c>
      <c r="AZ2658" s="46">
        <v>9.9160000000000004</v>
      </c>
      <c r="BA2658" s="46" t="s">
        <v>63</v>
      </c>
      <c r="BB2658" s="46">
        <v>100</v>
      </c>
      <c r="BC2658" s="46">
        <v>490.39100000000002</v>
      </c>
      <c r="BD2658" s="46">
        <v>4.9039999999999999</v>
      </c>
      <c r="BE2658" s="46">
        <v>1459.2</v>
      </c>
      <c r="BF2658" s="46">
        <v>0</v>
      </c>
      <c r="BH2658" s="46">
        <v>11961.012000000001</v>
      </c>
      <c r="BI2658">
        <v>9.9700000000000006</v>
      </c>
      <c r="BJ2658">
        <v>-10980.23</v>
      </c>
      <c r="BK2658">
        <v>-9.15</v>
      </c>
      <c r="BL2658">
        <v>110.77</v>
      </c>
    </row>
    <row r="2659" spans="1:64" x14ac:dyDescent="0.25">
      <c r="A2659" s="136">
        <v>43188</v>
      </c>
      <c r="B2659" s="201" t="s">
        <v>72</v>
      </c>
      <c r="C2659" t="s">
        <v>130</v>
      </c>
      <c r="D2659">
        <v>3600</v>
      </c>
      <c r="E2659">
        <v>3600</v>
      </c>
      <c r="F2659">
        <v>6.7519999999999998</v>
      </c>
      <c r="G2659">
        <v>-1301.79</v>
      </c>
      <c r="H2659">
        <v>-5.36</v>
      </c>
      <c r="I2659" s="309">
        <v>23004</v>
      </c>
      <c r="J2659">
        <v>6.39</v>
      </c>
      <c r="K2659" s="133">
        <v>4.7640100290239303E-2</v>
      </c>
      <c r="L2659" s="181">
        <v>288</v>
      </c>
      <c r="M2659" s="133">
        <v>5.0336040394431202E-2</v>
      </c>
      <c r="N2659" s="73">
        <v>-1883.4959999999901</v>
      </c>
      <c r="O2659" s="73">
        <v>-264.06281510333599</v>
      </c>
      <c r="P2659" s="182">
        <v>0</v>
      </c>
      <c r="Q2659" s="182">
        <v>0</v>
      </c>
      <c r="R2659" s="46">
        <v>0</v>
      </c>
      <c r="S2659" s="46">
        <v>11</v>
      </c>
      <c r="T2659" s="46">
        <v>4400</v>
      </c>
      <c r="U2659" s="46">
        <v>7.5730000000000004</v>
      </c>
      <c r="V2659" s="46" t="s">
        <v>68</v>
      </c>
      <c r="W2659" s="46">
        <v>4400</v>
      </c>
      <c r="X2659" s="46">
        <v>7.5730000000000004</v>
      </c>
      <c r="AF2659" s="46">
        <v>35</v>
      </c>
      <c r="AG2659" s="46">
        <v>17400</v>
      </c>
      <c r="AH2659" s="46">
        <v>130612</v>
      </c>
      <c r="AI2659" s="46">
        <v>7.5060000000000002</v>
      </c>
      <c r="AJ2659" s="46">
        <v>35</v>
      </c>
      <c r="AK2659" s="46">
        <v>16000</v>
      </c>
      <c r="AL2659" s="46">
        <v>73807.009000000005</v>
      </c>
      <c r="AM2659" s="46">
        <v>4.6130000000000004</v>
      </c>
      <c r="AN2659" s="46" t="s">
        <v>63</v>
      </c>
      <c r="AO2659" s="46">
        <v>1400</v>
      </c>
      <c r="AP2659" s="46">
        <v>56804.991000000002</v>
      </c>
      <c r="AQ2659" s="46">
        <v>40.575000000000003</v>
      </c>
      <c r="AR2659" s="46">
        <v>-46288</v>
      </c>
      <c r="AS2659" s="46">
        <v>35</v>
      </c>
      <c r="AT2659" s="46">
        <v>17400</v>
      </c>
      <c r="AU2659" s="46">
        <v>130612</v>
      </c>
      <c r="AV2659" s="46">
        <v>7.5060000000000002</v>
      </c>
      <c r="AW2659" s="46">
        <v>47</v>
      </c>
      <c r="AX2659" s="46">
        <v>20900</v>
      </c>
      <c r="AY2659" s="46">
        <v>107038.689</v>
      </c>
      <c r="AZ2659" s="46">
        <v>5.1210000000000004</v>
      </c>
      <c r="BA2659" s="46" t="s">
        <v>69</v>
      </c>
      <c r="BB2659" s="46">
        <v>3500</v>
      </c>
      <c r="BC2659" s="46">
        <v>23573.311000000002</v>
      </c>
      <c r="BD2659" s="46">
        <v>6.7350000000000003</v>
      </c>
      <c r="BE2659" s="46">
        <v>-41499</v>
      </c>
      <c r="BF2659" s="46">
        <v>0</v>
      </c>
      <c r="BH2659" s="46">
        <v>33231.68</v>
      </c>
      <c r="BI2659">
        <v>7.55</v>
      </c>
      <c r="BJ2659">
        <v>-33231.68</v>
      </c>
      <c r="BK2659">
        <v>-7.55</v>
      </c>
      <c r="BL2659">
        <v>-7243.82</v>
      </c>
    </row>
    <row r="2660" spans="1:64" x14ac:dyDescent="0.25">
      <c r="A2660" s="136">
        <v>43188</v>
      </c>
      <c r="B2660" s="201" t="s">
        <v>70</v>
      </c>
      <c r="C2660" t="s">
        <v>131</v>
      </c>
      <c r="D2660">
        <v>11700</v>
      </c>
      <c r="E2660">
        <v>11700</v>
      </c>
      <c r="F2660">
        <v>11.618</v>
      </c>
      <c r="G2660">
        <v>-31101.16</v>
      </c>
      <c r="H2660">
        <v>-22.88</v>
      </c>
      <c r="I2660" s="309">
        <v>104832</v>
      </c>
      <c r="J2660">
        <v>8.9600000000000009</v>
      </c>
      <c r="K2660" s="133">
        <v>0.21710167769198299</v>
      </c>
      <c r="L2660" s="181">
        <v>1872</v>
      </c>
      <c r="M2660" s="133">
        <v>0.281510579689147</v>
      </c>
      <c r="N2660" s="73">
        <v>-31451.159000000102</v>
      </c>
      <c r="O2660" s="73">
        <v>-3520.2053102463701</v>
      </c>
      <c r="P2660" s="182">
        <v>2</v>
      </c>
      <c r="Q2660" s="182">
        <v>1000</v>
      </c>
      <c r="R2660" s="46">
        <v>8.08</v>
      </c>
      <c r="S2660" s="46">
        <v>4</v>
      </c>
      <c r="T2660" s="46">
        <v>1700</v>
      </c>
      <c r="U2660" s="46">
        <v>8.8309999999999995</v>
      </c>
      <c r="V2660" s="46" t="s">
        <v>68</v>
      </c>
      <c r="W2660" s="46">
        <v>700</v>
      </c>
      <c r="X2660" s="46">
        <v>9.9039999999999999</v>
      </c>
      <c r="AF2660" s="46">
        <v>134</v>
      </c>
      <c r="AG2660" s="46">
        <v>68600</v>
      </c>
      <c r="AH2660" s="46">
        <v>894918</v>
      </c>
      <c r="AI2660" s="46">
        <v>13.045</v>
      </c>
      <c r="AJ2660" s="46">
        <v>140</v>
      </c>
      <c r="AK2660" s="46">
        <v>56200</v>
      </c>
      <c r="AL2660" s="46">
        <v>751692.85400000005</v>
      </c>
      <c r="AM2660" s="46">
        <v>13.375</v>
      </c>
      <c r="AN2660" s="46" t="s">
        <v>63</v>
      </c>
      <c r="AO2660" s="46">
        <v>12400</v>
      </c>
      <c r="AP2660" s="46">
        <v>143225.14600000001</v>
      </c>
      <c r="AQ2660" s="46">
        <v>11.55</v>
      </c>
      <c r="AR2660" s="46">
        <v>18546</v>
      </c>
      <c r="AS2660" s="46">
        <v>136</v>
      </c>
      <c r="AT2660" s="46">
        <v>69600</v>
      </c>
      <c r="AU2660" s="46">
        <v>903008</v>
      </c>
      <c r="AV2660" s="46">
        <v>12.974</v>
      </c>
      <c r="AW2660" s="46">
        <v>145</v>
      </c>
      <c r="AX2660" s="46">
        <v>57900</v>
      </c>
      <c r="AY2660" s="46">
        <v>767075.84100000001</v>
      </c>
      <c r="AZ2660" s="46">
        <v>13.247999999999999</v>
      </c>
      <c r="BA2660" s="46" t="s">
        <v>63</v>
      </c>
      <c r="BB2660" s="46">
        <v>11700</v>
      </c>
      <c r="BC2660" s="46">
        <v>135932.15900000001</v>
      </c>
      <c r="BD2660" s="46">
        <v>11.618</v>
      </c>
      <c r="BE2660" s="46">
        <v>15864.6</v>
      </c>
      <c r="BF2660" s="46">
        <v>8090</v>
      </c>
      <c r="BG2660" s="46">
        <v>8.09</v>
      </c>
      <c r="BH2660" s="46">
        <v>15382.987000000099</v>
      </c>
      <c r="BI2660">
        <v>9.0500000000000007</v>
      </c>
      <c r="BJ2660">
        <v>-7292.9869999999901</v>
      </c>
      <c r="BK2660">
        <v>-10.42</v>
      </c>
      <c r="BL2660">
        <v>2069.87</v>
      </c>
    </row>
    <row r="2661" spans="1:64" x14ac:dyDescent="0.25">
      <c r="A2661" s="136">
        <v>43188</v>
      </c>
      <c r="B2661" s="201" t="s">
        <v>137</v>
      </c>
      <c r="C2661" t="s">
        <v>138</v>
      </c>
      <c r="D2661">
        <v>100</v>
      </c>
      <c r="E2661">
        <v>100</v>
      </c>
      <c r="F2661">
        <v>-130.48500000000001</v>
      </c>
      <c r="G2661">
        <v>17028.5</v>
      </c>
      <c r="H2661">
        <v>0</v>
      </c>
      <c r="I2661" s="309">
        <v>3980</v>
      </c>
      <c r="J2661">
        <v>39.799999999999997</v>
      </c>
      <c r="K2661" s="133">
        <v>8.2423752023627408E-3</v>
      </c>
      <c r="L2661" s="181">
        <v>362</v>
      </c>
      <c r="M2661" s="133">
        <v>0</v>
      </c>
    </row>
    <row r="2662" spans="1:64" x14ac:dyDescent="0.25">
      <c r="A2662" s="136">
        <v>43188</v>
      </c>
      <c r="B2662" s="201" t="s">
        <v>835</v>
      </c>
      <c r="C2662" t="s">
        <v>839</v>
      </c>
      <c r="I2662" s="309">
        <v>10154.18</v>
      </c>
      <c r="K2662" s="133">
        <v>2.1028784279479299E-2</v>
      </c>
      <c r="L2662" s="181">
        <v>0</v>
      </c>
      <c r="M2662" s="133">
        <v>0.124796436112936</v>
      </c>
    </row>
    <row r="2663" spans="1:64" x14ac:dyDescent="0.25">
      <c r="A2663" s="136">
        <v>43189</v>
      </c>
      <c r="B2663" s="201" t="s">
        <v>132</v>
      </c>
      <c r="C2663" t="s">
        <v>123</v>
      </c>
      <c r="D2663">
        <v>5011184</v>
      </c>
      <c r="E2663">
        <v>5011184</v>
      </c>
      <c r="F2663">
        <v>8.9999999999999993E-3</v>
      </c>
      <c r="G2663">
        <v>3357.4</v>
      </c>
      <c r="H2663">
        <v>11.11</v>
      </c>
      <c r="I2663" s="309">
        <v>50111.839999999997</v>
      </c>
      <c r="J2663">
        <v>0.01</v>
      </c>
      <c r="K2663" s="133">
        <v>0.103687974014691</v>
      </c>
      <c r="L2663" s="181">
        <v>5.5</v>
      </c>
      <c r="M2663" s="133">
        <v>0</v>
      </c>
    </row>
    <row r="2664" spans="1:64" x14ac:dyDescent="0.25">
      <c r="A2664" s="136">
        <v>43189</v>
      </c>
      <c r="B2664" s="201" t="s">
        <v>61</v>
      </c>
      <c r="C2664" t="s">
        <v>136</v>
      </c>
      <c r="D2664">
        <v>2900</v>
      </c>
      <c r="E2664">
        <v>2900</v>
      </c>
      <c r="F2664">
        <v>5.18</v>
      </c>
      <c r="G2664">
        <v>-1044</v>
      </c>
      <c r="H2664">
        <v>-6.95</v>
      </c>
      <c r="I2664" s="309">
        <v>13978</v>
      </c>
      <c r="J2664">
        <v>4.82</v>
      </c>
      <c r="K2664" s="133">
        <v>2.8922316577825801E-2</v>
      </c>
      <c r="L2664" s="181">
        <v>-29</v>
      </c>
      <c r="M2664" s="133">
        <v>3.1082489600236001E-2</v>
      </c>
      <c r="N2664" s="73">
        <v>-846.54100000000096</v>
      </c>
      <c r="O2664" s="73">
        <v>-173.030210531698</v>
      </c>
      <c r="P2664" s="182">
        <v>4</v>
      </c>
      <c r="Q2664" s="182">
        <v>2000</v>
      </c>
      <c r="R2664" s="46">
        <v>5.218</v>
      </c>
      <c r="S2664" s="46">
        <v>0</v>
      </c>
      <c r="T2664" s="46">
        <v>0</v>
      </c>
      <c r="U2664" s="46">
        <v>0</v>
      </c>
      <c r="V2664" s="46" t="s">
        <v>62</v>
      </c>
      <c r="W2664" s="46">
        <v>2000</v>
      </c>
      <c r="X2664" s="46">
        <v>5.218</v>
      </c>
      <c r="AF2664" s="46">
        <v>10</v>
      </c>
      <c r="AG2664" s="46">
        <v>5000</v>
      </c>
      <c r="AH2664" s="46">
        <v>26378</v>
      </c>
      <c r="AI2664" s="46">
        <v>5.2759999999999998</v>
      </c>
      <c r="AJ2664" s="46">
        <v>10</v>
      </c>
      <c r="AK2664" s="46">
        <v>4100</v>
      </c>
      <c r="AL2664" s="46">
        <v>21806.659</v>
      </c>
      <c r="AM2664" s="46">
        <v>5.319</v>
      </c>
      <c r="AN2664" s="46" t="s">
        <v>63</v>
      </c>
      <c r="AO2664" s="46">
        <v>900</v>
      </c>
      <c r="AP2664" s="46">
        <v>4571.3410000000003</v>
      </c>
      <c r="AQ2664" s="46">
        <v>5.0789999999999997</v>
      </c>
      <c r="AR2664" s="46">
        <v>176.3</v>
      </c>
      <c r="AS2664" s="46">
        <v>14</v>
      </c>
      <c r="AT2664" s="46">
        <v>7000</v>
      </c>
      <c r="AU2664" s="46">
        <v>36834.199999999997</v>
      </c>
      <c r="AV2664" s="46">
        <v>5.2619999999999996</v>
      </c>
      <c r="AW2664" s="46">
        <v>10</v>
      </c>
      <c r="AX2664" s="46">
        <v>4100</v>
      </c>
      <c r="AY2664" s="46">
        <v>21806.659</v>
      </c>
      <c r="AZ2664" s="46">
        <v>5.319</v>
      </c>
      <c r="BA2664" s="46" t="s">
        <v>63</v>
      </c>
      <c r="BB2664" s="46">
        <v>2900</v>
      </c>
      <c r="BC2664" s="46">
        <v>15027.540999999999</v>
      </c>
      <c r="BD2664" s="46">
        <v>5.1820000000000004</v>
      </c>
      <c r="BE2664" s="46">
        <v>233.7</v>
      </c>
      <c r="BF2664" s="46">
        <v>10456.200000000001</v>
      </c>
      <c r="BG2664" s="46">
        <v>5.23</v>
      </c>
      <c r="BH2664" s="46">
        <v>0</v>
      </c>
      <c r="BJ2664">
        <v>10456.200000000001</v>
      </c>
      <c r="BK2664">
        <v>5.23</v>
      </c>
      <c r="BL2664">
        <v>36.58</v>
      </c>
    </row>
    <row r="2665" spans="1:64" x14ac:dyDescent="0.25">
      <c r="A2665" s="136">
        <v>43189</v>
      </c>
      <c r="B2665" s="201" t="s">
        <v>124</v>
      </c>
      <c r="C2665" t="s">
        <v>125</v>
      </c>
      <c r="D2665">
        <v>100</v>
      </c>
      <c r="E2665">
        <v>100</v>
      </c>
      <c r="F2665">
        <v>-53.579000000000001</v>
      </c>
      <c r="G2665">
        <v>5966.9</v>
      </c>
      <c r="H2665">
        <v>0</v>
      </c>
      <c r="I2665" s="309">
        <v>609</v>
      </c>
      <c r="J2665">
        <v>6.09</v>
      </c>
      <c r="K2665" s="133">
        <v>1.2601009297393E-3</v>
      </c>
      <c r="L2665" s="181">
        <v>0</v>
      </c>
      <c r="M2665" s="133">
        <v>0</v>
      </c>
    </row>
    <row r="2666" spans="1:64" x14ac:dyDescent="0.25">
      <c r="A2666" s="136">
        <v>43189</v>
      </c>
      <c r="B2666" s="201" t="s">
        <v>71</v>
      </c>
      <c r="C2666" t="s">
        <v>126</v>
      </c>
      <c r="D2666">
        <v>1600</v>
      </c>
      <c r="E2666">
        <v>1600</v>
      </c>
      <c r="F2666">
        <v>5.16</v>
      </c>
      <c r="G2666">
        <v>2047.44</v>
      </c>
      <c r="H2666">
        <v>24.81</v>
      </c>
      <c r="I2666" s="309">
        <v>10304</v>
      </c>
      <c r="J2666">
        <v>6.44</v>
      </c>
      <c r="K2666" s="133">
        <v>2.13203283744396E-2</v>
      </c>
      <c r="L2666" s="181">
        <v>-80</v>
      </c>
      <c r="M2666" s="133">
        <v>1.7083906293018501E-2</v>
      </c>
      <c r="N2666" s="73">
        <v>1918.402</v>
      </c>
      <c r="O2666" s="73">
        <v>301.48471682389902</v>
      </c>
      <c r="P2666" s="182">
        <v>0</v>
      </c>
      <c r="Q2666" s="182">
        <v>0</v>
      </c>
      <c r="R2666" s="46">
        <v>0</v>
      </c>
      <c r="S2666" s="46">
        <v>4</v>
      </c>
      <c r="T2666" s="46">
        <v>1500</v>
      </c>
      <c r="U2666" s="46">
        <v>6.7229999999999999</v>
      </c>
      <c r="V2666" s="46" t="s">
        <v>68</v>
      </c>
      <c r="W2666" s="46">
        <v>1500</v>
      </c>
      <c r="X2666" s="46">
        <v>6.7229999999999999</v>
      </c>
      <c r="AF2666" s="46">
        <v>44</v>
      </c>
      <c r="AG2666" s="46">
        <v>22100</v>
      </c>
      <c r="AH2666" s="46">
        <v>141289.26</v>
      </c>
      <c r="AI2666" s="46">
        <v>6.3929999999999998</v>
      </c>
      <c r="AJ2666" s="46">
        <v>42</v>
      </c>
      <c r="AK2666" s="46">
        <v>19000</v>
      </c>
      <c r="AL2666" s="46">
        <v>122809.446</v>
      </c>
      <c r="AM2666" s="46">
        <v>6.4640000000000004</v>
      </c>
      <c r="AN2666" s="46" t="s">
        <v>63</v>
      </c>
      <c r="AO2666" s="46">
        <v>3100</v>
      </c>
      <c r="AP2666" s="46">
        <v>18479.813999999998</v>
      </c>
      <c r="AQ2666" s="46">
        <v>5.9610000000000003</v>
      </c>
      <c r="AR2666" s="46">
        <v>1349</v>
      </c>
      <c r="AS2666" s="46">
        <v>44</v>
      </c>
      <c r="AT2666" s="46">
        <v>22100</v>
      </c>
      <c r="AU2666" s="46">
        <v>141289.26</v>
      </c>
      <c r="AV2666" s="46">
        <v>6.3929999999999998</v>
      </c>
      <c r="AW2666" s="46">
        <v>46</v>
      </c>
      <c r="AX2666" s="46">
        <v>20500</v>
      </c>
      <c r="AY2666" s="46">
        <v>132870.462</v>
      </c>
      <c r="AZ2666" s="46">
        <v>6.4809999999999999</v>
      </c>
      <c r="BA2666" s="46" t="s">
        <v>63</v>
      </c>
      <c r="BB2666" s="46">
        <v>1600</v>
      </c>
      <c r="BC2666" s="46">
        <v>8418.7980000000007</v>
      </c>
      <c r="BD2666" s="46">
        <v>5.2619999999999996</v>
      </c>
      <c r="BE2666" s="46">
        <v>1804</v>
      </c>
      <c r="BF2666" s="46">
        <v>0</v>
      </c>
      <c r="BH2666" s="46">
        <v>10061.016</v>
      </c>
      <c r="BI2666">
        <v>6.71</v>
      </c>
      <c r="BJ2666">
        <v>-10061.016</v>
      </c>
      <c r="BK2666">
        <v>-6.71</v>
      </c>
      <c r="BL2666">
        <v>209.47</v>
      </c>
    </row>
    <row r="2667" spans="1:64" x14ac:dyDescent="0.25">
      <c r="A2667" s="136">
        <v>43189</v>
      </c>
      <c r="B2667" s="201" t="s">
        <v>79</v>
      </c>
      <c r="C2667" t="s">
        <v>143</v>
      </c>
      <c r="D2667">
        <v>5700</v>
      </c>
      <c r="E2667">
        <v>5300</v>
      </c>
      <c r="F2667">
        <v>16.323</v>
      </c>
      <c r="G2667">
        <v>-10617.6</v>
      </c>
      <c r="H2667">
        <v>-11.41</v>
      </c>
      <c r="I2667" s="309">
        <v>82422</v>
      </c>
      <c r="J2667">
        <v>14.46</v>
      </c>
      <c r="K2667" s="133">
        <v>0.17054193568304199</v>
      </c>
      <c r="L2667" s="181">
        <v>456</v>
      </c>
      <c r="M2667" s="133">
        <v>0.19251114361670299</v>
      </c>
      <c r="N2667" s="73">
        <v>-11648.0280000001</v>
      </c>
      <c r="O2667" s="73">
        <v>-815.28039117647802</v>
      </c>
      <c r="P2667" s="182">
        <v>8</v>
      </c>
      <c r="Q2667" s="182">
        <v>4500</v>
      </c>
      <c r="R2667" s="46">
        <v>15.429</v>
      </c>
      <c r="S2667" s="46">
        <v>0</v>
      </c>
      <c r="T2667" s="46">
        <v>0</v>
      </c>
      <c r="U2667" s="46">
        <v>0</v>
      </c>
      <c r="V2667" s="46" t="s">
        <v>62</v>
      </c>
      <c r="W2667" s="46">
        <v>4500</v>
      </c>
      <c r="X2667" s="46">
        <v>15.429</v>
      </c>
      <c r="AF2667" s="46">
        <v>12</v>
      </c>
      <c r="AG2667" s="46">
        <v>6000</v>
      </c>
      <c r="AH2667" s="46">
        <v>96283.6</v>
      </c>
      <c r="AI2667" s="46">
        <v>16.047000000000001</v>
      </c>
      <c r="AJ2667" s="46">
        <v>12</v>
      </c>
      <c r="AK2667" s="46">
        <v>4800</v>
      </c>
      <c r="AL2667" s="46">
        <v>72712.271999999895</v>
      </c>
      <c r="AM2667" s="46">
        <v>15.148</v>
      </c>
      <c r="AN2667" s="46" t="s">
        <v>63</v>
      </c>
      <c r="AO2667" s="46">
        <v>1200</v>
      </c>
      <c r="AP2667" s="46">
        <v>23571.328000000001</v>
      </c>
      <c r="AQ2667" s="46">
        <v>19.643000000000001</v>
      </c>
      <c r="AR2667" s="46">
        <v>-4315.2</v>
      </c>
      <c r="AS2667" s="46">
        <v>20</v>
      </c>
      <c r="AT2667" s="46">
        <v>10500</v>
      </c>
      <c r="AU2667" s="46">
        <v>165756.29999999999</v>
      </c>
      <c r="AV2667" s="46">
        <v>15.786</v>
      </c>
      <c r="AW2667" s="46">
        <v>12</v>
      </c>
      <c r="AX2667" s="46">
        <v>4800</v>
      </c>
      <c r="AY2667" s="46">
        <v>72712.271999999895</v>
      </c>
      <c r="AZ2667" s="46">
        <v>15.148</v>
      </c>
      <c r="BA2667" s="46" t="s">
        <v>63</v>
      </c>
      <c r="BB2667" s="46">
        <v>5700</v>
      </c>
      <c r="BC2667" s="46">
        <v>93044.028000000006</v>
      </c>
      <c r="BD2667" s="46">
        <v>16.324000000000002</v>
      </c>
      <c r="BE2667" s="46">
        <v>-3062.4</v>
      </c>
      <c r="BF2667" s="46">
        <v>69472.7</v>
      </c>
      <c r="BG2667" s="46">
        <v>15.44</v>
      </c>
      <c r="BH2667" s="46">
        <v>0</v>
      </c>
      <c r="BJ2667">
        <v>69472.7</v>
      </c>
      <c r="BK2667">
        <v>15.44</v>
      </c>
      <c r="BL2667">
        <v>-298.42</v>
      </c>
    </row>
    <row r="2668" spans="1:64" x14ac:dyDescent="0.25">
      <c r="A2668" s="136">
        <v>43189</v>
      </c>
      <c r="B2668" s="201" t="s">
        <v>65</v>
      </c>
      <c r="C2668" t="s">
        <v>127</v>
      </c>
      <c r="D2668">
        <v>13300</v>
      </c>
      <c r="E2668">
        <v>12900</v>
      </c>
      <c r="F2668">
        <v>9.3810000000000002</v>
      </c>
      <c r="G2668">
        <v>5443.63</v>
      </c>
      <c r="H2668">
        <v>4.3600000000000003</v>
      </c>
      <c r="I2668" s="309">
        <v>130207</v>
      </c>
      <c r="J2668">
        <v>9.7899999999999991</v>
      </c>
      <c r="K2668" s="133">
        <v>0.26941537234575502</v>
      </c>
      <c r="L2668" s="181">
        <v>-1995</v>
      </c>
      <c r="M2668" s="133">
        <v>0.25815178741282102</v>
      </c>
      <c r="N2668" s="73">
        <v>-434.787000000018</v>
      </c>
      <c r="O2668" s="73">
        <v>397.605286116841</v>
      </c>
      <c r="P2668" s="182">
        <v>0</v>
      </c>
      <c r="Q2668" s="182">
        <v>0</v>
      </c>
      <c r="R2668" s="46">
        <v>0</v>
      </c>
      <c r="S2668" s="46">
        <v>12</v>
      </c>
      <c r="T2668" s="46">
        <v>5200</v>
      </c>
      <c r="U2668" s="46">
        <v>12.451000000000001</v>
      </c>
      <c r="V2668" s="46" t="s">
        <v>68</v>
      </c>
      <c r="W2668" s="46">
        <v>5200</v>
      </c>
      <c r="X2668" s="46">
        <v>12.451000000000001</v>
      </c>
      <c r="AF2668" s="46">
        <v>176</v>
      </c>
      <c r="AG2668" s="46">
        <v>93700</v>
      </c>
      <c r="AH2668" s="46">
        <v>1080215.2309999999</v>
      </c>
      <c r="AI2668" s="46">
        <v>11.528</v>
      </c>
      <c r="AJ2668" s="46">
        <v>195</v>
      </c>
      <c r="AK2668" s="46">
        <v>84400</v>
      </c>
      <c r="AL2668" s="46">
        <v>889994.18900000001</v>
      </c>
      <c r="AM2668" s="46">
        <v>10.545</v>
      </c>
      <c r="AN2668" s="46" t="s">
        <v>63</v>
      </c>
      <c r="AO2668" s="46">
        <v>9300</v>
      </c>
      <c r="AP2668" s="46">
        <v>190221.04199999999</v>
      </c>
      <c r="AQ2668" s="46">
        <v>20.454000000000001</v>
      </c>
      <c r="AR2668" s="46">
        <v>-82965.2</v>
      </c>
      <c r="AS2668" s="46">
        <v>177</v>
      </c>
      <c r="AT2668" s="46">
        <v>93800</v>
      </c>
      <c r="AU2668" s="46">
        <v>1081503.2309999999</v>
      </c>
      <c r="AV2668" s="46">
        <v>11.53</v>
      </c>
      <c r="AW2668" s="46">
        <v>207</v>
      </c>
      <c r="AX2668" s="46">
        <v>89600</v>
      </c>
      <c r="AY2668" s="46">
        <v>954616.44200000004</v>
      </c>
      <c r="AZ2668" s="46">
        <v>10.654</v>
      </c>
      <c r="BA2668" s="46" t="s">
        <v>63</v>
      </c>
      <c r="BB2668" s="46">
        <v>4200</v>
      </c>
      <c r="BC2668" s="46">
        <v>126886.789</v>
      </c>
      <c r="BD2668" s="46">
        <v>30.210999999999999</v>
      </c>
      <c r="BE2668" s="46">
        <v>-78489.600000000006</v>
      </c>
      <c r="BF2668" s="46">
        <v>1288</v>
      </c>
      <c r="BH2668" s="46">
        <v>64622.252999999997</v>
      </c>
      <c r="BI2668">
        <v>12.43</v>
      </c>
      <c r="BJ2668">
        <v>-63334.252999999997</v>
      </c>
      <c r="BK2668">
        <v>-12.18</v>
      </c>
      <c r="BL2668">
        <v>-8474.48</v>
      </c>
    </row>
    <row r="2669" spans="1:64" x14ac:dyDescent="0.25">
      <c r="A2669" s="136">
        <v>43189</v>
      </c>
      <c r="B2669" s="201" t="s">
        <v>77</v>
      </c>
      <c r="C2669" t="s">
        <v>128</v>
      </c>
      <c r="D2669">
        <v>4300</v>
      </c>
      <c r="E2669">
        <v>4300</v>
      </c>
      <c r="F2669">
        <v>5.9779999999999998</v>
      </c>
      <c r="G2669">
        <v>-595.27</v>
      </c>
      <c r="H2669">
        <v>-2.31</v>
      </c>
      <c r="I2669" s="309">
        <v>25112</v>
      </c>
      <c r="J2669">
        <v>5.84</v>
      </c>
      <c r="K2669" s="133">
        <v>5.1960023887706402E-2</v>
      </c>
      <c r="L2669" s="181">
        <v>0</v>
      </c>
      <c r="M2669" s="133">
        <v>5.3191715645417303E-2</v>
      </c>
      <c r="N2669" s="73">
        <v>-1272.2139999999999</v>
      </c>
      <c r="O2669" s="73">
        <v>-133.073774655173</v>
      </c>
      <c r="P2669" s="182">
        <v>6</v>
      </c>
      <c r="Q2669" s="182">
        <v>3000</v>
      </c>
      <c r="R2669" s="46">
        <v>6.798</v>
      </c>
      <c r="S2669" s="46">
        <v>0</v>
      </c>
      <c r="T2669" s="46">
        <v>0</v>
      </c>
      <c r="U2669" s="46">
        <v>0</v>
      </c>
      <c r="V2669" s="46" t="s">
        <v>62</v>
      </c>
      <c r="W2669" s="46">
        <v>3000</v>
      </c>
      <c r="X2669" s="46">
        <v>6.798</v>
      </c>
      <c r="AF2669" s="46">
        <v>39</v>
      </c>
      <c r="AG2669" s="46">
        <v>19500</v>
      </c>
      <c r="AH2669" s="46">
        <v>142169</v>
      </c>
      <c r="AI2669" s="46">
        <v>7.2910000000000004</v>
      </c>
      <c r="AJ2669" s="46">
        <v>39</v>
      </c>
      <c r="AK2669" s="46">
        <v>18200</v>
      </c>
      <c r="AL2669" s="46">
        <v>136881.78599999999</v>
      </c>
      <c r="AM2669" s="46">
        <v>7.5209999999999999</v>
      </c>
      <c r="AN2669" s="46" t="s">
        <v>63</v>
      </c>
      <c r="AO2669" s="46">
        <v>1300</v>
      </c>
      <c r="AP2669" s="46">
        <v>5287.2139999999999</v>
      </c>
      <c r="AQ2669" s="46">
        <v>4.0670000000000002</v>
      </c>
      <c r="AR2669" s="46">
        <v>4186</v>
      </c>
      <c r="AS2669" s="46">
        <v>45</v>
      </c>
      <c r="AT2669" s="46">
        <v>22500</v>
      </c>
      <c r="AU2669" s="46">
        <v>162594</v>
      </c>
      <c r="AV2669" s="46">
        <v>7.226</v>
      </c>
      <c r="AW2669" s="46">
        <v>39</v>
      </c>
      <c r="AX2669" s="46">
        <v>18200</v>
      </c>
      <c r="AY2669" s="46">
        <v>136881.78599999999</v>
      </c>
      <c r="AZ2669" s="46">
        <v>7.5209999999999999</v>
      </c>
      <c r="BA2669" s="46" t="s">
        <v>63</v>
      </c>
      <c r="BB2669" s="46">
        <v>4300</v>
      </c>
      <c r="BC2669" s="46">
        <v>25712.214</v>
      </c>
      <c r="BD2669" s="46">
        <v>5.98</v>
      </c>
      <c r="BE2669" s="46">
        <v>5369</v>
      </c>
      <c r="BF2669" s="46">
        <v>20425</v>
      </c>
      <c r="BG2669" s="46">
        <v>6.81</v>
      </c>
      <c r="BH2669" s="46">
        <v>0</v>
      </c>
      <c r="BJ2669">
        <v>20425</v>
      </c>
      <c r="BK2669">
        <v>6.81</v>
      </c>
      <c r="BL2669">
        <v>716.78</v>
      </c>
    </row>
    <row r="2670" spans="1:64" x14ac:dyDescent="0.25">
      <c r="A2670" s="136">
        <v>43189</v>
      </c>
      <c r="B2670" s="201" t="s">
        <v>67</v>
      </c>
      <c r="C2670" t="s">
        <v>129</v>
      </c>
      <c r="D2670">
        <v>1400</v>
      </c>
      <c r="E2670">
        <v>1400</v>
      </c>
      <c r="F2670">
        <v>6.6020000000000003</v>
      </c>
      <c r="G2670">
        <v>3230.7</v>
      </c>
      <c r="H2670">
        <v>34.96</v>
      </c>
      <c r="I2670" s="309">
        <v>12474</v>
      </c>
      <c r="J2670">
        <v>8.91</v>
      </c>
      <c r="K2670" s="133">
        <v>2.5810343181556599E-2</v>
      </c>
      <c r="L2670" s="181">
        <v>932</v>
      </c>
      <c r="M2670" s="133">
        <v>1.91256008601958E-2</v>
      </c>
      <c r="N2670" s="73">
        <v>3270.4144999997702</v>
      </c>
      <c r="O2670" s="73">
        <v>365.63526764538898</v>
      </c>
      <c r="P2670" s="182">
        <v>0</v>
      </c>
      <c r="Q2670" s="182">
        <v>0</v>
      </c>
      <c r="R2670" s="46">
        <v>0</v>
      </c>
      <c r="S2670" s="46">
        <v>19</v>
      </c>
      <c r="T2670" s="46">
        <v>7600</v>
      </c>
      <c r="U2670" s="46">
        <v>8.9009999999999998</v>
      </c>
      <c r="V2670" s="46" t="s">
        <v>68</v>
      </c>
      <c r="W2670" s="46">
        <v>7600</v>
      </c>
      <c r="X2670" s="46">
        <v>8.9009999999999998</v>
      </c>
      <c r="AF2670" s="46">
        <v>183</v>
      </c>
      <c r="AG2670" s="46">
        <v>90900</v>
      </c>
      <c r="AH2670" s="46">
        <v>755245</v>
      </c>
      <c r="AI2670" s="46">
        <v>8.3089999999999993</v>
      </c>
      <c r="AJ2670" s="46">
        <v>186</v>
      </c>
      <c r="AK2670" s="46">
        <v>84500</v>
      </c>
      <c r="AL2670" s="46">
        <v>747642.17850000004</v>
      </c>
      <c r="AM2670" s="46">
        <v>8.8480000000000008</v>
      </c>
      <c r="AN2670" s="46" t="s">
        <v>63</v>
      </c>
      <c r="AO2670" s="46">
        <v>6400</v>
      </c>
      <c r="AP2670" s="46">
        <v>7602.8209999999999</v>
      </c>
      <c r="AQ2670" s="46">
        <v>1.1879999999999999</v>
      </c>
      <c r="AR2670" s="46">
        <v>45545.5</v>
      </c>
      <c r="AS2670" s="46">
        <v>183</v>
      </c>
      <c r="AT2670" s="46">
        <v>90900</v>
      </c>
      <c r="AU2670" s="46">
        <v>755245</v>
      </c>
      <c r="AV2670" s="46">
        <v>8.3089999999999993</v>
      </c>
      <c r="AW2670" s="46">
        <v>205</v>
      </c>
      <c r="AX2670" s="46">
        <v>92100</v>
      </c>
      <c r="AY2670" s="46">
        <v>815127.53049999999</v>
      </c>
      <c r="AZ2670" s="46">
        <v>8.85</v>
      </c>
      <c r="BA2670" s="46" t="s">
        <v>69</v>
      </c>
      <c r="BB2670" s="46">
        <v>1200</v>
      </c>
      <c r="BC2670" s="46">
        <v>59882.531000000003</v>
      </c>
      <c r="BD2670" s="46">
        <v>49.902000000000001</v>
      </c>
      <c r="BE2670" s="46">
        <v>49176.9</v>
      </c>
      <c r="BF2670" s="46">
        <v>0</v>
      </c>
      <c r="BH2670" s="46">
        <v>67485.352000000203</v>
      </c>
      <c r="BI2670">
        <v>8.8800000000000008</v>
      </c>
      <c r="BJ2670">
        <v>52279.71</v>
      </c>
      <c r="BK2670">
        <v>6.88</v>
      </c>
      <c r="BL2670">
        <v>5111.7299999999996</v>
      </c>
    </row>
    <row r="2671" spans="1:64" x14ac:dyDescent="0.25">
      <c r="A2671" s="136">
        <v>43189</v>
      </c>
      <c r="B2671" s="201" t="s">
        <v>78</v>
      </c>
      <c r="C2671" t="s">
        <v>142</v>
      </c>
      <c r="D2671">
        <v>100</v>
      </c>
      <c r="E2671">
        <v>100</v>
      </c>
      <c r="F2671">
        <v>-4.9039999999999999</v>
      </c>
      <c r="G2671">
        <v>1511.4</v>
      </c>
      <c r="H2671">
        <v>0</v>
      </c>
      <c r="I2671" s="309">
        <v>1021</v>
      </c>
      <c r="J2671">
        <v>10.210000000000001</v>
      </c>
      <c r="K2671" s="133">
        <v>2.1125830037172799E-3</v>
      </c>
      <c r="L2671" s="181">
        <v>7</v>
      </c>
      <c r="M2671" s="133">
        <v>0</v>
      </c>
      <c r="N2671" s="73">
        <v>1506.3910000000001</v>
      </c>
      <c r="O2671" s="73">
        <v>148.19269729330699</v>
      </c>
      <c r="P2671" s="182">
        <v>0</v>
      </c>
      <c r="Q2671" s="182">
        <v>0</v>
      </c>
      <c r="R2671" s="46">
        <v>0</v>
      </c>
      <c r="S2671" s="46">
        <v>3</v>
      </c>
      <c r="T2671" s="46">
        <v>1200</v>
      </c>
      <c r="U2671" s="46">
        <v>9.99</v>
      </c>
      <c r="V2671" s="46" t="s">
        <v>68</v>
      </c>
      <c r="W2671" s="46">
        <v>1200</v>
      </c>
      <c r="X2671" s="46">
        <v>9.99</v>
      </c>
      <c r="AF2671" s="46">
        <v>13</v>
      </c>
      <c r="AG2671" s="46">
        <v>6500</v>
      </c>
      <c r="AH2671" s="46">
        <v>62970</v>
      </c>
      <c r="AI2671" s="46">
        <v>9.6880000000000006</v>
      </c>
      <c r="AJ2671" s="46">
        <v>14</v>
      </c>
      <c r="AK2671" s="46">
        <v>5200</v>
      </c>
      <c r="AL2671" s="46">
        <v>51499.379000000001</v>
      </c>
      <c r="AM2671" s="46">
        <v>9.9039999999999999</v>
      </c>
      <c r="AN2671" s="46" t="s">
        <v>63</v>
      </c>
      <c r="AO2671" s="46">
        <v>1300</v>
      </c>
      <c r="AP2671" s="46">
        <v>11470.620999999999</v>
      </c>
      <c r="AQ2671" s="46">
        <v>8.8239999999999998</v>
      </c>
      <c r="AR2671" s="46">
        <v>1123.2</v>
      </c>
      <c r="AS2671" s="46">
        <v>13</v>
      </c>
      <c r="AT2671" s="46">
        <v>6500</v>
      </c>
      <c r="AU2671" s="46">
        <v>62970</v>
      </c>
      <c r="AV2671" s="46">
        <v>9.6880000000000006</v>
      </c>
      <c r="AW2671" s="46">
        <v>17</v>
      </c>
      <c r="AX2671" s="46">
        <v>6400</v>
      </c>
      <c r="AY2671" s="46">
        <v>63460.391000000003</v>
      </c>
      <c r="AZ2671" s="46">
        <v>9.9160000000000004</v>
      </c>
      <c r="BA2671" s="46" t="s">
        <v>63</v>
      </c>
      <c r="BB2671" s="46">
        <v>100</v>
      </c>
      <c r="BC2671" s="46">
        <v>490.39100000000002</v>
      </c>
      <c r="BD2671" s="46">
        <v>4.9039999999999999</v>
      </c>
      <c r="BE2671" s="46">
        <v>1459.2</v>
      </c>
      <c r="BF2671" s="46">
        <v>0</v>
      </c>
      <c r="BH2671" s="46">
        <v>11961.012000000001</v>
      </c>
      <c r="BI2671">
        <v>9.9700000000000006</v>
      </c>
      <c r="BJ2671">
        <v>-10980.23</v>
      </c>
      <c r="BK2671">
        <v>-9.15</v>
      </c>
      <c r="BL2671">
        <v>110.01</v>
      </c>
    </row>
    <row r="2672" spans="1:64" x14ac:dyDescent="0.25">
      <c r="A2672" s="136">
        <v>43189</v>
      </c>
      <c r="B2672" s="201" t="s">
        <v>72</v>
      </c>
      <c r="C2672" t="s">
        <v>130</v>
      </c>
      <c r="D2672">
        <v>3200</v>
      </c>
      <c r="E2672">
        <v>3200</v>
      </c>
      <c r="F2672">
        <v>6.782</v>
      </c>
      <c r="G2672">
        <v>-805.41</v>
      </c>
      <c r="H2672">
        <v>-3.71</v>
      </c>
      <c r="I2672" s="309">
        <v>20896</v>
      </c>
      <c r="J2672">
        <v>6.53</v>
      </c>
      <c r="K2672" s="133">
        <v>4.3236566548164802E-2</v>
      </c>
      <c r="L2672" s="181">
        <v>496.38</v>
      </c>
      <c r="M2672" s="133">
        <v>4.4903065546229297E-2</v>
      </c>
      <c r="N2672" s="73">
        <v>-1027.1079999999999</v>
      </c>
      <c r="O2672" s="73">
        <v>-123.276462633994</v>
      </c>
      <c r="P2672" s="182">
        <v>0</v>
      </c>
      <c r="Q2672" s="182">
        <v>0</v>
      </c>
      <c r="R2672" s="46">
        <v>0</v>
      </c>
      <c r="S2672" s="46">
        <v>12</v>
      </c>
      <c r="T2672" s="46">
        <v>4800</v>
      </c>
      <c r="U2672" s="46">
        <v>7.4859999999999998</v>
      </c>
      <c r="V2672" s="46" t="s">
        <v>68</v>
      </c>
      <c r="W2672" s="46">
        <v>4800</v>
      </c>
      <c r="X2672" s="46">
        <v>7.4859999999999998</v>
      </c>
      <c r="AF2672" s="46">
        <v>35</v>
      </c>
      <c r="AG2672" s="46">
        <v>17400</v>
      </c>
      <c r="AH2672" s="46">
        <v>130612</v>
      </c>
      <c r="AI2672" s="46">
        <v>7.5060000000000002</v>
      </c>
      <c r="AJ2672" s="46">
        <v>35</v>
      </c>
      <c r="AK2672" s="46">
        <v>16000</v>
      </c>
      <c r="AL2672" s="46">
        <v>73807.009000000005</v>
      </c>
      <c r="AM2672" s="46">
        <v>4.6130000000000004</v>
      </c>
      <c r="AN2672" s="46" t="s">
        <v>63</v>
      </c>
      <c r="AO2672" s="46">
        <v>1400</v>
      </c>
      <c r="AP2672" s="46">
        <v>56804.991000000002</v>
      </c>
      <c r="AQ2672" s="46">
        <v>40.575000000000003</v>
      </c>
      <c r="AR2672" s="46">
        <v>-46288</v>
      </c>
      <c r="AS2672" s="46">
        <v>35</v>
      </c>
      <c r="AT2672" s="46">
        <v>17400</v>
      </c>
      <c r="AU2672" s="46">
        <v>130612</v>
      </c>
      <c r="AV2672" s="46">
        <v>7.5060000000000002</v>
      </c>
      <c r="AW2672" s="46">
        <v>48</v>
      </c>
      <c r="AX2672" s="46">
        <v>21300</v>
      </c>
      <c r="AY2672" s="46">
        <v>109643.077</v>
      </c>
      <c r="AZ2672" s="46">
        <v>5.1479999999999997</v>
      </c>
      <c r="BA2672" s="46" t="s">
        <v>69</v>
      </c>
      <c r="BB2672" s="46">
        <v>3900</v>
      </c>
      <c r="BC2672" s="46">
        <v>20968.922999999999</v>
      </c>
      <c r="BD2672" s="46">
        <v>5.3769999999999998</v>
      </c>
      <c r="BE2672" s="46">
        <v>-41029.199999999997</v>
      </c>
      <c r="BF2672" s="46">
        <v>0</v>
      </c>
      <c r="BH2672" s="46">
        <v>35836.067999999999</v>
      </c>
      <c r="BI2672">
        <v>7.47</v>
      </c>
      <c r="BJ2672">
        <v>-35836.067999999999</v>
      </c>
      <c r="BK2672">
        <v>-7.47</v>
      </c>
      <c r="BL2672">
        <v>-7088.51</v>
      </c>
    </row>
    <row r="2673" spans="1:64" x14ac:dyDescent="0.25">
      <c r="A2673" s="136">
        <v>43189</v>
      </c>
      <c r="B2673" s="201" t="s">
        <v>70</v>
      </c>
      <c r="C2673" t="s">
        <v>131</v>
      </c>
      <c r="D2673">
        <v>11700</v>
      </c>
      <c r="E2673">
        <v>11700</v>
      </c>
      <c r="F2673">
        <v>11.618</v>
      </c>
      <c r="G2673">
        <v>-30867.16</v>
      </c>
      <c r="H2673">
        <v>-22.71</v>
      </c>
      <c r="I2673" s="309">
        <v>105066</v>
      </c>
      <c r="J2673">
        <v>8.98</v>
      </c>
      <c r="K2673" s="133">
        <v>0.21739534365186999</v>
      </c>
      <c r="L2673" s="181">
        <v>234</v>
      </c>
      <c r="M2673" s="133">
        <v>0.28126354893005001</v>
      </c>
      <c r="N2673" s="73">
        <v>-31451.159000000102</v>
      </c>
      <c r="O2673" s="73">
        <v>-3520.2053102463701</v>
      </c>
      <c r="P2673" s="182">
        <v>2</v>
      </c>
      <c r="Q2673" s="182">
        <v>1000</v>
      </c>
      <c r="R2673" s="46">
        <v>8.08</v>
      </c>
      <c r="S2673" s="46">
        <v>4</v>
      </c>
      <c r="T2673" s="46">
        <v>1700</v>
      </c>
      <c r="U2673" s="46">
        <v>8.8309999999999995</v>
      </c>
      <c r="V2673" s="46" t="s">
        <v>68</v>
      </c>
      <c r="W2673" s="46">
        <v>700</v>
      </c>
      <c r="X2673" s="46">
        <v>9.9039999999999999</v>
      </c>
      <c r="AF2673" s="46">
        <v>134</v>
      </c>
      <c r="AG2673" s="46">
        <v>68600</v>
      </c>
      <c r="AH2673" s="46">
        <v>894918</v>
      </c>
      <c r="AI2673" s="46">
        <v>13.045</v>
      </c>
      <c r="AJ2673" s="46">
        <v>140</v>
      </c>
      <c r="AK2673" s="46">
        <v>56200</v>
      </c>
      <c r="AL2673" s="46">
        <v>751692.85400000005</v>
      </c>
      <c r="AM2673" s="46">
        <v>13.375</v>
      </c>
      <c r="AN2673" s="46" t="s">
        <v>63</v>
      </c>
      <c r="AO2673" s="46">
        <v>12400</v>
      </c>
      <c r="AP2673" s="46">
        <v>143225.14600000001</v>
      </c>
      <c r="AQ2673" s="46">
        <v>11.55</v>
      </c>
      <c r="AR2673" s="46">
        <v>18546</v>
      </c>
      <c r="AS2673" s="46">
        <v>136</v>
      </c>
      <c r="AT2673" s="46">
        <v>69600</v>
      </c>
      <c r="AU2673" s="46">
        <v>903008</v>
      </c>
      <c r="AV2673" s="46">
        <v>12.974</v>
      </c>
      <c r="AW2673" s="46">
        <v>145</v>
      </c>
      <c r="AX2673" s="46">
        <v>57900</v>
      </c>
      <c r="AY2673" s="46">
        <v>767075.84100000001</v>
      </c>
      <c r="AZ2673" s="46">
        <v>13.247999999999999</v>
      </c>
      <c r="BA2673" s="46" t="s">
        <v>63</v>
      </c>
      <c r="BB2673" s="46">
        <v>11700</v>
      </c>
      <c r="BC2673" s="46">
        <v>135932.15900000001</v>
      </c>
      <c r="BD2673" s="46">
        <v>11.618</v>
      </c>
      <c r="BE2673" s="46">
        <v>15864.6</v>
      </c>
      <c r="BF2673" s="46">
        <v>8090</v>
      </c>
      <c r="BG2673" s="46">
        <v>8.09</v>
      </c>
      <c r="BH2673" s="46">
        <v>15382.987000000099</v>
      </c>
      <c r="BI2673">
        <v>9.0500000000000007</v>
      </c>
      <c r="BJ2673">
        <v>-7292.9869999999901</v>
      </c>
      <c r="BK2673">
        <v>-10.42</v>
      </c>
      <c r="BL2673">
        <v>2065.2600000000002</v>
      </c>
    </row>
    <row r="2674" spans="1:64" x14ac:dyDescent="0.25">
      <c r="A2674" s="136">
        <v>43189</v>
      </c>
      <c r="B2674" s="201" t="s">
        <v>137</v>
      </c>
      <c r="C2674" t="s">
        <v>138</v>
      </c>
      <c r="D2674">
        <v>100</v>
      </c>
      <c r="E2674">
        <v>100</v>
      </c>
      <c r="F2674">
        <v>-130.48500000000001</v>
      </c>
      <c r="G2674">
        <v>17426.5</v>
      </c>
      <c r="H2674">
        <v>0</v>
      </c>
      <c r="I2674" s="309">
        <v>4378</v>
      </c>
      <c r="J2674">
        <v>43.78</v>
      </c>
      <c r="K2674" s="133">
        <v>9.0586566016398005E-3</v>
      </c>
      <c r="L2674" s="181">
        <v>398</v>
      </c>
      <c r="M2674" s="133">
        <v>0</v>
      </c>
    </row>
    <row r="2675" spans="1:64" x14ac:dyDescent="0.25">
      <c r="A2675" s="136">
        <v>43189</v>
      </c>
      <c r="B2675" s="201" t="s">
        <v>133</v>
      </c>
      <c r="C2675" t="s">
        <v>134</v>
      </c>
      <c r="D2675">
        <v>26000</v>
      </c>
      <c r="E2675">
        <v>0</v>
      </c>
      <c r="F2675">
        <v>1</v>
      </c>
      <c r="G2675">
        <v>-0.78</v>
      </c>
      <c r="H2675">
        <v>0</v>
      </c>
      <c r="I2675" s="309">
        <v>26000</v>
      </c>
      <c r="J2675">
        <v>1</v>
      </c>
      <c r="K2675" s="133">
        <v>5.3797412435503601E-2</v>
      </c>
      <c r="L2675" s="181">
        <v>1.1599999999999999</v>
      </c>
      <c r="M2675" s="133">
        <v>0</v>
      </c>
    </row>
    <row r="2676" spans="1:64" x14ac:dyDescent="0.25">
      <c r="A2676" s="136">
        <v>43189</v>
      </c>
      <c r="B2676" s="201" t="s">
        <v>835</v>
      </c>
      <c r="C2676" t="s">
        <v>839</v>
      </c>
      <c r="I2676" s="309">
        <v>715.78</v>
      </c>
      <c r="K2676" s="133">
        <v>1.4810427643494101E-3</v>
      </c>
      <c r="L2676" s="181">
        <v>0</v>
      </c>
      <c r="M2676" s="133">
        <v>0.15896642921454401</v>
      </c>
    </row>
    <row r="2677" spans="1:64" x14ac:dyDescent="0.25">
      <c r="A2677" s="136">
        <v>43192</v>
      </c>
      <c r="B2677" s="201" t="s">
        <v>132</v>
      </c>
      <c r="C2677" t="s">
        <v>123</v>
      </c>
      <c r="D2677">
        <v>5011744</v>
      </c>
      <c r="E2677">
        <v>5011744</v>
      </c>
      <c r="F2677">
        <v>8.9999999999999993E-3</v>
      </c>
      <c r="G2677">
        <v>3363</v>
      </c>
      <c r="H2677">
        <v>11.11</v>
      </c>
      <c r="I2677" s="309">
        <v>50117.440000000002</v>
      </c>
      <c r="J2677">
        <v>0.01</v>
      </c>
      <c r="K2677" s="133">
        <v>0.10379571876294</v>
      </c>
      <c r="L2677" s="181">
        <v>5.5999999999999099</v>
      </c>
      <c r="M2677" s="133">
        <v>0</v>
      </c>
    </row>
    <row r="2678" spans="1:64" x14ac:dyDescent="0.25">
      <c r="A2678" s="136">
        <v>43192</v>
      </c>
      <c r="B2678" s="201" t="s">
        <v>61</v>
      </c>
      <c r="C2678" t="s">
        <v>136</v>
      </c>
      <c r="D2678">
        <v>2900</v>
      </c>
      <c r="E2678">
        <v>2900</v>
      </c>
      <c r="F2678">
        <v>5.18</v>
      </c>
      <c r="G2678">
        <v>-1131</v>
      </c>
      <c r="H2678">
        <v>-7.53</v>
      </c>
      <c r="I2678" s="309">
        <v>13891</v>
      </c>
      <c r="J2678">
        <v>4.79</v>
      </c>
      <c r="K2678" s="133">
        <v>2.8768954067406299E-2</v>
      </c>
      <c r="L2678" s="181">
        <v>-87</v>
      </c>
      <c r="M2678" s="133">
        <v>3.1111311496694102E-2</v>
      </c>
      <c r="N2678" s="73">
        <v>-846.54100000000096</v>
      </c>
      <c r="O2678" s="73">
        <v>-173.030210531698</v>
      </c>
      <c r="P2678" s="182">
        <v>4</v>
      </c>
      <c r="Q2678" s="182">
        <v>2000</v>
      </c>
      <c r="R2678" s="46">
        <v>5.218</v>
      </c>
      <c r="S2678" s="46">
        <v>0</v>
      </c>
      <c r="T2678" s="46">
        <v>0</v>
      </c>
      <c r="U2678" s="46">
        <v>0</v>
      </c>
      <c r="V2678" s="46" t="s">
        <v>62</v>
      </c>
      <c r="W2678" s="46">
        <v>2000</v>
      </c>
      <c r="X2678" s="46">
        <v>5.218</v>
      </c>
      <c r="AF2678" s="46">
        <v>10</v>
      </c>
      <c r="AG2678" s="46">
        <v>5000</v>
      </c>
      <c r="AH2678" s="46">
        <v>26378</v>
      </c>
      <c r="AI2678" s="46">
        <v>5.2759999999999998</v>
      </c>
      <c r="AJ2678" s="46">
        <v>10</v>
      </c>
      <c r="AK2678" s="46">
        <v>4100</v>
      </c>
      <c r="AL2678" s="46">
        <v>21806.659</v>
      </c>
      <c r="AM2678" s="46">
        <v>5.319</v>
      </c>
      <c r="AN2678" s="46" t="s">
        <v>63</v>
      </c>
      <c r="AO2678" s="46">
        <v>900</v>
      </c>
      <c r="AP2678" s="46">
        <v>4571.3410000000003</v>
      </c>
      <c r="AQ2678" s="46">
        <v>5.0789999999999997</v>
      </c>
      <c r="AR2678" s="46">
        <v>176.3</v>
      </c>
      <c r="AS2678" s="46">
        <v>14</v>
      </c>
      <c r="AT2678" s="46">
        <v>7000</v>
      </c>
      <c r="AU2678" s="46">
        <v>36834.199999999997</v>
      </c>
      <c r="AV2678" s="46">
        <v>5.2619999999999996</v>
      </c>
      <c r="AW2678" s="46">
        <v>10</v>
      </c>
      <c r="AX2678" s="46">
        <v>4100</v>
      </c>
      <c r="AY2678" s="46">
        <v>21806.659</v>
      </c>
      <c r="AZ2678" s="46">
        <v>5.319</v>
      </c>
      <c r="BA2678" s="46" t="s">
        <v>63</v>
      </c>
      <c r="BB2678" s="46">
        <v>2900</v>
      </c>
      <c r="BC2678" s="46">
        <v>15027.540999999999</v>
      </c>
      <c r="BD2678" s="46">
        <v>5.1820000000000004</v>
      </c>
      <c r="BE2678" s="46">
        <v>233.7</v>
      </c>
      <c r="BF2678" s="46">
        <v>10456.200000000001</v>
      </c>
      <c r="BG2678" s="46">
        <v>5.23</v>
      </c>
      <c r="BH2678" s="46">
        <v>0</v>
      </c>
      <c r="BJ2678">
        <v>10456.200000000001</v>
      </c>
      <c r="BK2678">
        <v>5.23</v>
      </c>
      <c r="BL2678">
        <v>36.81</v>
      </c>
    </row>
    <row r="2679" spans="1:64" x14ac:dyDescent="0.25">
      <c r="A2679" s="136">
        <v>43192</v>
      </c>
      <c r="B2679" s="201" t="s">
        <v>124</v>
      </c>
      <c r="C2679" t="s">
        <v>125</v>
      </c>
      <c r="D2679">
        <v>100</v>
      </c>
      <c r="E2679">
        <v>100</v>
      </c>
      <c r="F2679">
        <v>-53.579000000000001</v>
      </c>
      <c r="G2679">
        <v>5953.9</v>
      </c>
      <c r="H2679">
        <v>0</v>
      </c>
      <c r="I2679" s="309">
        <v>596</v>
      </c>
      <c r="J2679">
        <v>5.96</v>
      </c>
      <c r="K2679" s="133">
        <v>1.23434573638861E-3</v>
      </c>
      <c r="L2679" s="181">
        <v>-13</v>
      </c>
      <c r="M2679" s="133">
        <v>0</v>
      </c>
    </row>
    <row r="2680" spans="1:64" x14ac:dyDescent="0.25">
      <c r="A2680" s="136">
        <v>43192</v>
      </c>
      <c r="B2680" s="201" t="s">
        <v>71</v>
      </c>
      <c r="C2680" t="s">
        <v>126</v>
      </c>
      <c r="D2680">
        <v>1600</v>
      </c>
      <c r="E2680">
        <v>1200</v>
      </c>
      <c r="F2680">
        <v>5.16</v>
      </c>
      <c r="G2680">
        <v>1983.44</v>
      </c>
      <c r="H2680">
        <v>24.03</v>
      </c>
      <c r="I2680" s="309">
        <v>10240</v>
      </c>
      <c r="J2680">
        <v>6.4</v>
      </c>
      <c r="K2680" s="133">
        <v>2.12075509070795E-2</v>
      </c>
      <c r="L2680" s="181">
        <v>-64</v>
      </c>
      <c r="M2680" s="133">
        <v>1.70997477067731E-2</v>
      </c>
      <c r="N2680" s="73">
        <v>1918.402</v>
      </c>
      <c r="O2680" s="73">
        <v>301.48471682389902</v>
      </c>
      <c r="P2680" s="182">
        <v>0</v>
      </c>
      <c r="Q2680" s="182">
        <v>0</v>
      </c>
      <c r="R2680" s="46">
        <v>0</v>
      </c>
      <c r="S2680" s="46">
        <v>4</v>
      </c>
      <c r="T2680" s="46">
        <v>1500</v>
      </c>
      <c r="U2680" s="46">
        <v>6.7229999999999999</v>
      </c>
      <c r="V2680" s="46" t="s">
        <v>68</v>
      </c>
      <c r="W2680" s="46">
        <v>1500</v>
      </c>
      <c r="X2680" s="46">
        <v>6.7229999999999999</v>
      </c>
      <c r="AF2680" s="46">
        <v>44</v>
      </c>
      <c r="AG2680" s="46">
        <v>22100</v>
      </c>
      <c r="AH2680" s="46">
        <v>141289.26</v>
      </c>
      <c r="AI2680" s="46">
        <v>6.3929999999999998</v>
      </c>
      <c r="AJ2680" s="46">
        <v>42</v>
      </c>
      <c r="AK2680" s="46">
        <v>19000</v>
      </c>
      <c r="AL2680" s="46">
        <v>122809.446</v>
      </c>
      <c r="AM2680" s="46">
        <v>6.4640000000000004</v>
      </c>
      <c r="AN2680" s="46" t="s">
        <v>63</v>
      </c>
      <c r="AO2680" s="46">
        <v>3100</v>
      </c>
      <c r="AP2680" s="46">
        <v>18479.813999999998</v>
      </c>
      <c r="AQ2680" s="46">
        <v>5.9610000000000003</v>
      </c>
      <c r="AR2680" s="46">
        <v>1349</v>
      </c>
      <c r="AS2680" s="46">
        <v>44</v>
      </c>
      <c r="AT2680" s="46">
        <v>22100</v>
      </c>
      <c r="AU2680" s="46">
        <v>141289.26</v>
      </c>
      <c r="AV2680" s="46">
        <v>6.3929999999999998</v>
      </c>
      <c r="AW2680" s="46">
        <v>46</v>
      </c>
      <c r="AX2680" s="46">
        <v>20500</v>
      </c>
      <c r="AY2680" s="46">
        <v>132870.462</v>
      </c>
      <c r="AZ2680" s="46">
        <v>6.4809999999999999</v>
      </c>
      <c r="BA2680" s="46" t="s">
        <v>63</v>
      </c>
      <c r="BB2680" s="46">
        <v>1600</v>
      </c>
      <c r="BC2680" s="46">
        <v>8418.7980000000007</v>
      </c>
      <c r="BD2680" s="46">
        <v>5.2619999999999996</v>
      </c>
      <c r="BE2680" s="46">
        <v>1804</v>
      </c>
      <c r="BF2680" s="46">
        <v>0</v>
      </c>
      <c r="BH2680" s="46">
        <v>10061.016</v>
      </c>
      <c r="BI2680">
        <v>6.71</v>
      </c>
      <c r="BJ2680">
        <v>-10061.016</v>
      </c>
      <c r="BK2680">
        <v>-6.71</v>
      </c>
      <c r="BL2680">
        <v>210.78</v>
      </c>
    </row>
    <row r="2681" spans="1:64" x14ac:dyDescent="0.25">
      <c r="A2681" s="136">
        <v>43192</v>
      </c>
      <c r="B2681" s="201" t="s">
        <v>79</v>
      </c>
      <c r="C2681" t="s">
        <v>143</v>
      </c>
      <c r="D2681">
        <v>5700</v>
      </c>
      <c r="E2681">
        <v>5700</v>
      </c>
      <c r="F2681">
        <v>16.323</v>
      </c>
      <c r="G2681">
        <v>-10446.6</v>
      </c>
      <c r="H2681">
        <v>-11.23</v>
      </c>
      <c r="I2681" s="309">
        <v>82593</v>
      </c>
      <c r="J2681">
        <v>14.49</v>
      </c>
      <c r="K2681" s="133">
        <v>0.17105422383480601</v>
      </c>
      <c r="L2681" s="181">
        <v>171</v>
      </c>
      <c r="M2681" s="133">
        <v>0.19268965364983501</v>
      </c>
      <c r="N2681" s="73">
        <v>-11648.0280000001</v>
      </c>
      <c r="O2681" s="73">
        <v>-815.28039117647802</v>
      </c>
      <c r="P2681" s="182">
        <v>8</v>
      </c>
      <c r="Q2681" s="182">
        <v>4500</v>
      </c>
      <c r="R2681" s="46">
        <v>15.429</v>
      </c>
      <c r="S2681" s="46">
        <v>0</v>
      </c>
      <c r="T2681" s="46">
        <v>0</v>
      </c>
      <c r="U2681" s="46">
        <v>0</v>
      </c>
      <c r="V2681" s="46" t="s">
        <v>62</v>
      </c>
      <c r="W2681" s="46">
        <v>4500</v>
      </c>
      <c r="X2681" s="46">
        <v>15.429</v>
      </c>
      <c r="AF2681" s="46">
        <v>12</v>
      </c>
      <c r="AG2681" s="46">
        <v>6000</v>
      </c>
      <c r="AH2681" s="46">
        <v>96283.6</v>
      </c>
      <c r="AI2681" s="46">
        <v>16.047000000000001</v>
      </c>
      <c r="AJ2681" s="46">
        <v>12</v>
      </c>
      <c r="AK2681" s="46">
        <v>4800</v>
      </c>
      <c r="AL2681" s="46">
        <v>72712.271999999895</v>
      </c>
      <c r="AM2681" s="46">
        <v>15.148</v>
      </c>
      <c r="AN2681" s="46" t="s">
        <v>63</v>
      </c>
      <c r="AO2681" s="46">
        <v>1200</v>
      </c>
      <c r="AP2681" s="46">
        <v>23571.328000000001</v>
      </c>
      <c r="AQ2681" s="46">
        <v>19.643000000000001</v>
      </c>
      <c r="AR2681" s="46">
        <v>-4315.2</v>
      </c>
      <c r="AS2681" s="46">
        <v>20</v>
      </c>
      <c r="AT2681" s="46">
        <v>10500</v>
      </c>
      <c r="AU2681" s="46">
        <v>165756.29999999999</v>
      </c>
      <c r="AV2681" s="46">
        <v>15.786</v>
      </c>
      <c r="AW2681" s="46">
        <v>12</v>
      </c>
      <c r="AX2681" s="46">
        <v>4800</v>
      </c>
      <c r="AY2681" s="46">
        <v>72712.271999999895</v>
      </c>
      <c r="AZ2681" s="46">
        <v>15.148</v>
      </c>
      <c r="BA2681" s="46" t="s">
        <v>63</v>
      </c>
      <c r="BB2681" s="46">
        <v>5700</v>
      </c>
      <c r="BC2681" s="46">
        <v>93044.028000000006</v>
      </c>
      <c r="BD2681" s="46">
        <v>16.324000000000002</v>
      </c>
      <c r="BE2681" s="46">
        <v>-3062.4</v>
      </c>
      <c r="BF2681" s="46">
        <v>69472.7</v>
      </c>
      <c r="BG2681" s="46">
        <v>15.44</v>
      </c>
      <c r="BH2681" s="46">
        <v>0</v>
      </c>
      <c r="BJ2681">
        <v>69472.7</v>
      </c>
      <c r="BK2681">
        <v>15.44</v>
      </c>
      <c r="BL2681">
        <v>-297.81</v>
      </c>
    </row>
    <row r="2682" spans="1:64" x14ac:dyDescent="0.25">
      <c r="A2682" s="136">
        <v>43192</v>
      </c>
      <c r="B2682" s="201" t="s">
        <v>65</v>
      </c>
      <c r="C2682" t="s">
        <v>127</v>
      </c>
      <c r="D2682">
        <v>13300</v>
      </c>
      <c r="E2682">
        <v>12900</v>
      </c>
      <c r="F2682">
        <v>9.3810000000000002</v>
      </c>
      <c r="G2682">
        <v>4778.63</v>
      </c>
      <c r="H2682">
        <v>3.83</v>
      </c>
      <c r="I2682" s="309">
        <v>129542</v>
      </c>
      <c r="J2682">
        <v>9.74</v>
      </c>
      <c r="K2682" s="133">
        <v>0.26828794527391497</v>
      </c>
      <c r="L2682" s="181">
        <v>-665</v>
      </c>
      <c r="M2682" s="133">
        <v>0.25839116412244101</v>
      </c>
      <c r="N2682" s="73">
        <v>-434.787000000018</v>
      </c>
      <c r="O2682" s="73">
        <v>397.605286116841</v>
      </c>
      <c r="P2682" s="182">
        <v>0</v>
      </c>
      <c r="Q2682" s="182">
        <v>0</v>
      </c>
      <c r="R2682" s="46">
        <v>0</v>
      </c>
      <c r="S2682" s="46">
        <v>12</v>
      </c>
      <c r="T2682" s="46">
        <v>5200</v>
      </c>
      <c r="U2682" s="46">
        <v>12.451000000000001</v>
      </c>
      <c r="V2682" s="46" t="s">
        <v>68</v>
      </c>
      <c r="W2682" s="46">
        <v>5200</v>
      </c>
      <c r="X2682" s="46">
        <v>12.451000000000001</v>
      </c>
      <c r="AF2682" s="46">
        <v>176</v>
      </c>
      <c r="AG2682" s="46">
        <v>93700</v>
      </c>
      <c r="AH2682" s="46">
        <v>1080215.2309999999</v>
      </c>
      <c r="AI2682" s="46">
        <v>11.528</v>
      </c>
      <c r="AJ2682" s="46">
        <v>195</v>
      </c>
      <c r="AK2682" s="46">
        <v>84400</v>
      </c>
      <c r="AL2682" s="46">
        <v>889994.18900000001</v>
      </c>
      <c r="AM2682" s="46">
        <v>10.545</v>
      </c>
      <c r="AN2682" s="46" t="s">
        <v>63</v>
      </c>
      <c r="AO2682" s="46">
        <v>9300</v>
      </c>
      <c r="AP2682" s="46">
        <v>190221.04199999999</v>
      </c>
      <c r="AQ2682" s="46">
        <v>20.454000000000001</v>
      </c>
      <c r="AR2682" s="46">
        <v>-82965.2</v>
      </c>
      <c r="AS2682" s="46">
        <v>177</v>
      </c>
      <c r="AT2682" s="46">
        <v>93800</v>
      </c>
      <c r="AU2682" s="46">
        <v>1081503.2309999999</v>
      </c>
      <c r="AV2682" s="46">
        <v>11.53</v>
      </c>
      <c r="AW2682" s="46">
        <v>207</v>
      </c>
      <c r="AX2682" s="46">
        <v>89600</v>
      </c>
      <c r="AY2682" s="46">
        <v>954616.44200000004</v>
      </c>
      <c r="AZ2682" s="46">
        <v>10.654</v>
      </c>
      <c r="BA2682" s="46" t="s">
        <v>63</v>
      </c>
      <c r="BB2682" s="46">
        <v>4200</v>
      </c>
      <c r="BC2682" s="46">
        <v>126886.789</v>
      </c>
      <c r="BD2682" s="46">
        <v>30.210999999999999</v>
      </c>
      <c r="BE2682" s="46">
        <v>-78489.600000000006</v>
      </c>
      <c r="BF2682" s="46">
        <v>1288</v>
      </c>
      <c r="BH2682" s="46">
        <v>64622.252999999997</v>
      </c>
      <c r="BI2682">
        <v>12.43</v>
      </c>
      <c r="BJ2682">
        <v>-63334.252999999997</v>
      </c>
      <c r="BK2682">
        <v>-12.18</v>
      </c>
      <c r="BL2682">
        <v>-8517.99</v>
      </c>
    </row>
    <row r="2683" spans="1:64" x14ac:dyDescent="0.25">
      <c r="A2683" s="136">
        <v>43192</v>
      </c>
      <c r="B2683" s="201" t="s">
        <v>77</v>
      </c>
      <c r="C2683" t="s">
        <v>128</v>
      </c>
      <c r="D2683">
        <v>4300</v>
      </c>
      <c r="E2683">
        <v>4300</v>
      </c>
      <c r="F2683">
        <v>5.9779999999999998</v>
      </c>
      <c r="G2683">
        <v>-595.27</v>
      </c>
      <c r="H2683">
        <v>-2.31</v>
      </c>
      <c r="I2683" s="309">
        <v>25112</v>
      </c>
      <c r="J2683">
        <v>5.84</v>
      </c>
      <c r="K2683" s="133">
        <v>5.2008204919783203E-2</v>
      </c>
      <c r="L2683" s="181">
        <v>0</v>
      </c>
      <c r="M2683" s="133">
        <v>5.3241038789749701E-2</v>
      </c>
      <c r="N2683" s="73">
        <v>-1272.2139999999999</v>
      </c>
      <c r="O2683" s="73">
        <v>-133.073774655173</v>
      </c>
      <c r="P2683" s="182">
        <v>6</v>
      </c>
      <c r="Q2683" s="182">
        <v>3000</v>
      </c>
      <c r="R2683" s="46">
        <v>6.798</v>
      </c>
      <c r="S2683" s="46">
        <v>0</v>
      </c>
      <c r="T2683" s="46">
        <v>0</v>
      </c>
      <c r="U2683" s="46">
        <v>0</v>
      </c>
      <c r="V2683" s="46" t="s">
        <v>62</v>
      </c>
      <c r="W2683" s="46">
        <v>3000</v>
      </c>
      <c r="X2683" s="46">
        <v>6.798</v>
      </c>
      <c r="AF2683" s="46">
        <v>39</v>
      </c>
      <c r="AG2683" s="46">
        <v>19500</v>
      </c>
      <c r="AH2683" s="46">
        <v>142169</v>
      </c>
      <c r="AI2683" s="46">
        <v>7.2910000000000004</v>
      </c>
      <c r="AJ2683" s="46">
        <v>39</v>
      </c>
      <c r="AK2683" s="46">
        <v>18200</v>
      </c>
      <c r="AL2683" s="46">
        <v>136881.78599999999</v>
      </c>
      <c r="AM2683" s="46">
        <v>7.5209999999999999</v>
      </c>
      <c r="AN2683" s="46" t="s">
        <v>63</v>
      </c>
      <c r="AO2683" s="46">
        <v>1300</v>
      </c>
      <c r="AP2683" s="46">
        <v>5287.2139999999999</v>
      </c>
      <c r="AQ2683" s="46">
        <v>4.0670000000000002</v>
      </c>
      <c r="AR2683" s="46">
        <v>4186</v>
      </c>
      <c r="AS2683" s="46">
        <v>45</v>
      </c>
      <c r="AT2683" s="46">
        <v>22500</v>
      </c>
      <c r="AU2683" s="46">
        <v>162594</v>
      </c>
      <c r="AV2683" s="46">
        <v>7.226</v>
      </c>
      <c r="AW2683" s="46">
        <v>39</v>
      </c>
      <c r="AX2683" s="46">
        <v>18200</v>
      </c>
      <c r="AY2683" s="46">
        <v>136881.78599999999</v>
      </c>
      <c r="AZ2683" s="46">
        <v>7.5209999999999999</v>
      </c>
      <c r="BA2683" s="46" t="s">
        <v>63</v>
      </c>
      <c r="BB2683" s="46">
        <v>4300</v>
      </c>
      <c r="BC2683" s="46">
        <v>25712.214</v>
      </c>
      <c r="BD2683" s="46">
        <v>5.98</v>
      </c>
      <c r="BE2683" s="46">
        <v>5369</v>
      </c>
      <c r="BF2683" s="46">
        <v>20425</v>
      </c>
      <c r="BG2683" s="46">
        <v>6.81</v>
      </c>
      <c r="BH2683" s="46">
        <v>0</v>
      </c>
      <c r="BJ2683">
        <v>20425</v>
      </c>
      <c r="BK2683">
        <v>6.81</v>
      </c>
      <c r="BL2683">
        <v>716.78</v>
      </c>
    </row>
    <row r="2684" spans="1:64" x14ac:dyDescent="0.25">
      <c r="A2684" s="136">
        <v>43192</v>
      </c>
      <c r="B2684" s="201" t="s">
        <v>67</v>
      </c>
      <c r="C2684" t="s">
        <v>129</v>
      </c>
      <c r="D2684">
        <v>1600</v>
      </c>
      <c r="E2684">
        <v>600</v>
      </c>
      <c r="F2684">
        <v>6.8120000000000003</v>
      </c>
      <c r="G2684">
        <v>3469.35</v>
      </c>
      <c r="H2684">
        <v>31.83</v>
      </c>
      <c r="I2684" s="309">
        <v>14368</v>
      </c>
      <c r="J2684">
        <v>8.98</v>
      </c>
      <c r="K2684" s="133">
        <v>2.97568448664959E-2</v>
      </c>
      <c r="L2684" s="181">
        <v>238.65</v>
      </c>
      <c r="M2684" s="133">
        <v>2.2571647919281401E-2</v>
      </c>
      <c r="N2684" s="73">
        <v>3419.0624999997699</v>
      </c>
      <c r="O2684" s="73">
        <v>381.82714734634402</v>
      </c>
      <c r="P2684" s="182">
        <v>0</v>
      </c>
      <c r="Q2684" s="182">
        <v>0</v>
      </c>
      <c r="R2684" s="46">
        <v>0</v>
      </c>
      <c r="S2684" s="46">
        <v>19</v>
      </c>
      <c r="T2684" s="46">
        <v>7600</v>
      </c>
      <c r="U2684" s="46">
        <v>8.9250000000000007</v>
      </c>
      <c r="V2684" s="46" t="s">
        <v>68</v>
      </c>
      <c r="W2684" s="46">
        <v>7600</v>
      </c>
      <c r="X2684" s="46">
        <v>8.9250000000000007</v>
      </c>
      <c r="AF2684" s="46">
        <v>185</v>
      </c>
      <c r="AG2684" s="46">
        <v>91900</v>
      </c>
      <c r="AH2684" s="46">
        <v>764235</v>
      </c>
      <c r="AI2684" s="46">
        <v>8.3160000000000007</v>
      </c>
      <c r="AJ2684" s="46">
        <v>188</v>
      </c>
      <c r="AK2684" s="46">
        <v>85300</v>
      </c>
      <c r="AL2684" s="46">
        <v>754793.01049999997</v>
      </c>
      <c r="AM2684" s="46">
        <v>8.8490000000000002</v>
      </c>
      <c r="AN2684" s="46" t="s">
        <v>63</v>
      </c>
      <c r="AO2684" s="46">
        <v>6600</v>
      </c>
      <c r="AP2684" s="46">
        <v>9441.9889999999996</v>
      </c>
      <c r="AQ2684" s="46">
        <v>1.431</v>
      </c>
      <c r="AR2684" s="46">
        <v>45464.9</v>
      </c>
      <c r="AS2684" s="46">
        <v>185</v>
      </c>
      <c r="AT2684" s="46">
        <v>91900</v>
      </c>
      <c r="AU2684" s="46">
        <v>764235</v>
      </c>
      <c r="AV2684" s="46">
        <v>8.3160000000000007</v>
      </c>
      <c r="AW2684" s="46">
        <v>207</v>
      </c>
      <c r="AX2684" s="46">
        <v>92900</v>
      </c>
      <c r="AY2684" s="46">
        <v>822462.17850000004</v>
      </c>
      <c r="AZ2684" s="46">
        <v>8.8529999999999998</v>
      </c>
      <c r="BA2684" s="46" t="s">
        <v>69</v>
      </c>
      <c r="BB2684" s="46">
        <v>1000</v>
      </c>
      <c r="BC2684" s="46">
        <v>58227.178999999996</v>
      </c>
      <c r="BD2684" s="46">
        <v>58.226999999999997</v>
      </c>
      <c r="BE2684" s="46">
        <v>49350.3</v>
      </c>
      <c r="BF2684" s="46">
        <v>0</v>
      </c>
      <c r="BH2684" s="46">
        <v>67669.168000000194</v>
      </c>
      <c r="BI2684">
        <v>8.9</v>
      </c>
      <c r="BJ2684">
        <v>48785.19</v>
      </c>
      <c r="BK2684">
        <v>6.42</v>
      </c>
      <c r="BL2684">
        <v>5062.91</v>
      </c>
    </row>
    <row r="2685" spans="1:64" x14ac:dyDescent="0.25">
      <c r="A2685" s="136">
        <v>43192</v>
      </c>
      <c r="B2685" s="201" t="s">
        <v>78</v>
      </c>
      <c r="C2685" t="s">
        <v>142</v>
      </c>
      <c r="D2685">
        <v>100</v>
      </c>
      <c r="E2685">
        <v>100</v>
      </c>
      <c r="F2685">
        <v>-4.9039999999999999</v>
      </c>
      <c r="G2685">
        <v>1573.4</v>
      </c>
      <c r="H2685">
        <v>0</v>
      </c>
      <c r="I2685" s="309">
        <v>1083</v>
      </c>
      <c r="J2685">
        <v>10.83</v>
      </c>
      <c r="K2685" s="133">
        <v>2.2429470344108499E-3</v>
      </c>
      <c r="L2685" s="181">
        <v>62</v>
      </c>
      <c r="M2685" s="133">
        <v>0</v>
      </c>
      <c r="N2685" s="73">
        <v>1506.3910000000001</v>
      </c>
      <c r="O2685" s="73">
        <v>148.19269729330699</v>
      </c>
      <c r="P2685" s="182">
        <v>0</v>
      </c>
      <c r="Q2685" s="182">
        <v>0</v>
      </c>
      <c r="R2685" s="46">
        <v>0</v>
      </c>
      <c r="S2685" s="46">
        <v>3</v>
      </c>
      <c r="T2685" s="46">
        <v>1200</v>
      </c>
      <c r="U2685" s="46">
        <v>9.99</v>
      </c>
      <c r="V2685" s="46" t="s">
        <v>68</v>
      </c>
      <c r="W2685" s="46">
        <v>1200</v>
      </c>
      <c r="X2685" s="46">
        <v>9.99</v>
      </c>
      <c r="AF2685" s="46">
        <v>13</v>
      </c>
      <c r="AG2685" s="46">
        <v>6500</v>
      </c>
      <c r="AH2685" s="46">
        <v>62970</v>
      </c>
      <c r="AI2685" s="46">
        <v>9.6880000000000006</v>
      </c>
      <c r="AJ2685" s="46">
        <v>14</v>
      </c>
      <c r="AK2685" s="46">
        <v>5200</v>
      </c>
      <c r="AL2685" s="46">
        <v>51499.379000000001</v>
      </c>
      <c r="AM2685" s="46">
        <v>9.9039999999999999</v>
      </c>
      <c r="AN2685" s="46" t="s">
        <v>63</v>
      </c>
      <c r="AO2685" s="46">
        <v>1300</v>
      </c>
      <c r="AP2685" s="46">
        <v>11470.620999999999</v>
      </c>
      <c r="AQ2685" s="46">
        <v>8.8239999999999998</v>
      </c>
      <c r="AR2685" s="46">
        <v>1123.2</v>
      </c>
      <c r="AS2685" s="46">
        <v>13</v>
      </c>
      <c r="AT2685" s="46">
        <v>6500</v>
      </c>
      <c r="AU2685" s="46">
        <v>62970</v>
      </c>
      <c r="AV2685" s="46">
        <v>9.6880000000000006</v>
      </c>
      <c r="AW2685" s="46">
        <v>17</v>
      </c>
      <c r="AX2685" s="46">
        <v>6400</v>
      </c>
      <c r="AY2685" s="46">
        <v>63460.391000000003</v>
      </c>
      <c r="AZ2685" s="46">
        <v>9.9160000000000004</v>
      </c>
      <c r="BA2685" s="46" t="s">
        <v>63</v>
      </c>
      <c r="BB2685" s="46">
        <v>100</v>
      </c>
      <c r="BC2685" s="46">
        <v>490.39100000000002</v>
      </c>
      <c r="BD2685" s="46">
        <v>4.9039999999999999</v>
      </c>
      <c r="BE2685" s="46">
        <v>1459.2</v>
      </c>
      <c r="BF2685" s="46">
        <v>0</v>
      </c>
      <c r="BH2685" s="46">
        <v>11961.012000000001</v>
      </c>
      <c r="BI2685">
        <v>9.9700000000000006</v>
      </c>
      <c r="BJ2685">
        <v>-10980.23</v>
      </c>
      <c r="BK2685">
        <v>-9.15</v>
      </c>
      <c r="BL2685">
        <v>103.71</v>
      </c>
    </row>
    <row r="2686" spans="1:64" x14ac:dyDescent="0.25">
      <c r="A2686" s="136">
        <v>43192</v>
      </c>
      <c r="B2686" s="201" t="s">
        <v>72</v>
      </c>
      <c r="C2686" t="s">
        <v>130</v>
      </c>
      <c r="D2686">
        <v>3200</v>
      </c>
      <c r="E2686">
        <v>3200</v>
      </c>
      <c r="F2686">
        <v>6.782</v>
      </c>
      <c r="G2686">
        <v>-645.41</v>
      </c>
      <c r="H2686">
        <v>-2.98</v>
      </c>
      <c r="I2686" s="309">
        <v>21056</v>
      </c>
      <c r="J2686">
        <v>6.58</v>
      </c>
      <c r="K2686" s="133">
        <v>4.36080265526822E-2</v>
      </c>
      <c r="L2686" s="181">
        <v>160</v>
      </c>
      <c r="M2686" s="133">
        <v>4.4944702864297199E-2</v>
      </c>
      <c r="N2686" s="73">
        <v>-1027.1079999999999</v>
      </c>
      <c r="O2686" s="73">
        <v>-123.276462633994</v>
      </c>
      <c r="P2686" s="182">
        <v>0</v>
      </c>
      <c r="Q2686" s="182">
        <v>0</v>
      </c>
      <c r="R2686" s="46">
        <v>0</v>
      </c>
      <c r="S2686" s="46">
        <v>12</v>
      </c>
      <c r="T2686" s="46">
        <v>4800</v>
      </c>
      <c r="U2686" s="46">
        <v>7.4859999999999998</v>
      </c>
      <c r="V2686" s="46" t="s">
        <v>68</v>
      </c>
      <c r="W2686" s="46">
        <v>4800</v>
      </c>
      <c r="X2686" s="46">
        <v>7.4859999999999998</v>
      </c>
      <c r="AF2686" s="46">
        <v>35</v>
      </c>
      <c r="AG2686" s="46">
        <v>17400</v>
      </c>
      <c r="AH2686" s="46">
        <v>130612</v>
      </c>
      <c r="AI2686" s="46">
        <v>7.5060000000000002</v>
      </c>
      <c r="AJ2686" s="46">
        <v>35</v>
      </c>
      <c r="AK2686" s="46">
        <v>16000</v>
      </c>
      <c r="AL2686" s="46">
        <v>73807.009000000005</v>
      </c>
      <c r="AM2686" s="46">
        <v>4.6130000000000004</v>
      </c>
      <c r="AN2686" s="46" t="s">
        <v>63</v>
      </c>
      <c r="AO2686" s="46">
        <v>1400</v>
      </c>
      <c r="AP2686" s="46">
        <v>56804.991000000002</v>
      </c>
      <c r="AQ2686" s="46">
        <v>40.575000000000003</v>
      </c>
      <c r="AR2686" s="46">
        <v>-46288</v>
      </c>
      <c r="AS2686" s="46">
        <v>35</v>
      </c>
      <c r="AT2686" s="46">
        <v>17400</v>
      </c>
      <c r="AU2686" s="46">
        <v>130612</v>
      </c>
      <c r="AV2686" s="46">
        <v>7.5060000000000002</v>
      </c>
      <c r="AW2686" s="46">
        <v>48</v>
      </c>
      <c r="AX2686" s="46">
        <v>21300</v>
      </c>
      <c r="AY2686" s="46">
        <v>109643.077</v>
      </c>
      <c r="AZ2686" s="46">
        <v>5.1479999999999997</v>
      </c>
      <c r="BA2686" s="46" t="s">
        <v>69</v>
      </c>
      <c r="BB2686" s="46">
        <v>3900</v>
      </c>
      <c r="BC2686" s="46">
        <v>20968.922999999999</v>
      </c>
      <c r="BD2686" s="46">
        <v>5.3769999999999998</v>
      </c>
      <c r="BE2686" s="46">
        <v>-41029.199999999997</v>
      </c>
      <c r="BF2686" s="46">
        <v>0</v>
      </c>
      <c r="BH2686" s="46">
        <v>35836.067999999999</v>
      </c>
      <c r="BI2686">
        <v>7.47</v>
      </c>
      <c r="BJ2686">
        <v>-35836.067999999999</v>
      </c>
      <c r="BK2686">
        <v>-7.47</v>
      </c>
      <c r="BL2686">
        <v>-7034.65</v>
      </c>
    </row>
    <row r="2687" spans="1:64" x14ac:dyDescent="0.25">
      <c r="A2687" s="136">
        <v>43192</v>
      </c>
      <c r="B2687" s="201" t="s">
        <v>70</v>
      </c>
      <c r="C2687" t="s">
        <v>131</v>
      </c>
      <c r="D2687">
        <v>11700</v>
      </c>
      <c r="E2687">
        <v>11700</v>
      </c>
      <c r="F2687">
        <v>11.618</v>
      </c>
      <c r="G2687">
        <v>-31569.16</v>
      </c>
      <c r="H2687">
        <v>-23.22</v>
      </c>
      <c r="I2687" s="309">
        <v>104364</v>
      </c>
      <c r="J2687">
        <v>8.92</v>
      </c>
      <c r="K2687" s="133">
        <v>0.21614305106117601</v>
      </c>
      <c r="L2687" s="181">
        <v>-702</v>
      </c>
      <c r="M2687" s="133">
        <v>0.28152435650978302</v>
      </c>
      <c r="N2687" s="73">
        <v>-31451.159000000102</v>
      </c>
      <c r="O2687" s="73">
        <v>-3520.2053102463701</v>
      </c>
      <c r="P2687" s="182">
        <v>2</v>
      </c>
      <c r="Q2687" s="182">
        <v>1000</v>
      </c>
      <c r="R2687" s="46">
        <v>8.08</v>
      </c>
      <c r="S2687" s="46">
        <v>4</v>
      </c>
      <c r="T2687" s="46">
        <v>1700</v>
      </c>
      <c r="U2687" s="46">
        <v>8.8309999999999995</v>
      </c>
      <c r="V2687" s="46" t="s">
        <v>68</v>
      </c>
      <c r="W2687" s="46">
        <v>700</v>
      </c>
      <c r="X2687" s="46">
        <v>9.9039999999999999</v>
      </c>
      <c r="AF2687" s="46">
        <v>134</v>
      </c>
      <c r="AG2687" s="46">
        <v>68600</v>
      </c>
      <c r="AH2687" s="46">
        <v>894918</v>
      </c>
      <c r="AI2687" s="46">
        <v>13.045</v>
      </c>
      <c r="AJ2687" s="46">
        <v>140</v>
      </c>
      <c r="AK2687" s="46">
        <v>56200</v>
      </c>
      <c r="AL2687" s="46">
        <v>751692.85400000005</v>
      </c>
      <c r="AM2687" s="46">
        <v>13.375</v>
      </c>
      <c r="AN2687" s="46" t="s">
        <v>63</v>
      </c>
      <c r="AO2687" s="46">
        <v>12400</v>
      </c>
      <c r="AP2687" s="46">
        <v>143225.14600000001</v>
      </c>
      <c r="AQ2687" s="46">
        <v>11.55</v>
      </c>
      <c r="AR2687" s="46">
        <v>18546</v>
      </c>
      <c r="AS2687" s="46">
        <v>136</v>
      </c>
      <c r="AT2687" s="46">
        <v>69600</v>
      </c>
      <c r="AU2687" s="46">
        <v>903008</v>
      </c>
      <c r="AV2687" s="46">
        <v>12.974</v>
      </c>
      <c r="AW2687" s="46">
        <v>145</v>
      </c>
      <c r="AX2687" s="46">
        <v>57900</v>
      </c>
      <c r="AY2687" s="46">
        <v>767075.84100000001</v>
      </c>
      <c r="AZ2687" s="46">
        <v>13.247999999999999</v>
      </c>
      <c r="BA2687" s="46" t="s">
        <v>63</v>
      </c>
      <c r="BB2687" s="46">
        <v>11700</v>
      </c>
      <c r="BC2687" s="46">
        <v>135932.15900000001</v>
      </c>
      <c r="BD2687" s="46">
        <v>11.618</v>
      </c>
      <c r="BE2687" s="46">
        <v>15864.6</v>
      </c>
      <c r="BF2687" s="46">
        <v>8090</v>
      </c>
      <c r="BG2687" s="46">
        <v>8.09</v>
      </c>
      <c r="BH2687" s="46">
        <v>15382.987000000099</v>
      </c>
      <c r="BI2687">
        <v>9.0500000000000007</v>
      </c>
      <c r="BJ2687">
        <v>-7292.9869999999901</v>
      </c>
      <c r="BK2687">
        <v>-10.42</v>
      </c>
      <c r="BL2687">
        <v>2079.15</v>
      </c>
    </row>
    <row r="2688" spans="1:64" x14ac:dyDescent="0.25">
      <c r="A2688" s="136">
        <v>43192</v>
      </c>
      <c r="B2688" s="201" t="s">
        <v>137</v>
      </c>
      <c r="C2688" t="s">
        <v>138</v>
      </c>
      <c r="D2688">
        <v>100</v>
      </c>
      <c r="E2688">
        <v>100</v>
      </c>
      <c r="F2688">
        <v>-130.48500000000001</v>
      </c>
      <c r="G2688">
        <v>17864.5</v>
      </c>
      <c r="H2688">
        <v>0</v>
      </c>
      <c r="I2688" s="309">
        <v>4816</v>
      </c>
      <c r="J2688">
        <v>48.16</v>
      </c>
      <c r="K2688" s="133">
        <v>9.9741762859858092E-3</v>
      </c>
      <c r="L2688" s="181">
        <v>438</v>
      </c>
      <c r="M2688" s="133">
        <v>0</v>
      </c>
    </row>
    <row r="2689" spans="1:64" x14ac:dyDescent="0.25">
      <c r="A2689" s="136">
        <v>43192</v>
      </c>
      <c r="B2689" s="201" t="s">
        <v>835</v>
      </c>
      <c r="C2689" t="s">
        <v>839</v>
      </c>
      <c r="I2689" s="309">
        <v>25068.45</v>
      </c>
      <c r="K2689" s="133">
        <v>5.1918010696931298E-2</v>
      </c>
      <c r="L2689" s="181">
        <v>0</v>
      </c>
      <c r="M2689" s="133">
        <v>0.155713729459871</v>
      </c>
    </row>
    <row r="2690" spans="1:64" x14ac:dyDescent="0.25">
      <c r="A2690" s="136">
        <v>43193</v>
      </c>
      <c r="B2690" s="201" t="s">
        <v>132</v>
      </c>
      <c r="C2690" t="s">
        <v>123</v>
      </c>
      <c r="D2690">
        <v>5013041</v>
      </c>
      <c r="E2690">
        <v>5013041</v>
      </c>
      <c r="F2690">
        <v>8.9999999999999993E-3</v>
      </c>
      <c r="G2690">
        <v>3375.97</v>
      </c>
      <c r="H2690">
        <v>11.11</v>
      </c>
      <c r="I2690" s="309">
        <v>50130.41</v>
      </c>
      <c r="J2690">
        <v>0.01</v>
      </c>
      <c r="K2690" s="133">
        <v>0.105073336417947</v>
      </c>
      <c r="L2690" s="181">
        <v>12.9699999999998</v>
      </c>
      <c r="M2690" s="133">
        <v>0</v>
      </c>
    </row>
    <row r="2691" spans="1:64" x14ac:dyDescent="0.25">
      <c r="A2691" s="136">
        <v>43193</v>
      </c>
      <c r="B2691" s="201" t="s">
        <v>61</v>
      </c>
      <c r="C2691" t="s">
        <v>136</v>
      </c>
      <c r="D2691">
        <v>3400</v>
      </c>
      <c r="E2691">
        <v>2900</v>
      </c>
      <c r="F2691">
        <v>5.1180000000000003</v>
      </c>
      <c r="G2691">
        <v>-1286.05</v>
      </c>
      <c r="H2691">
        <v>-7.38</v>
      </c>
      <c r="I2691" s="309">
        <v>16116</v>
      </c>
      <c r="J2691">
        <v>4.74</v>
      </c>
      <c r="K2691" s="133">
        <v>3.3779135054184201E-2</v>
      </c>
      <c r="L2691" s="181">
        <v>-155.05000000000001</v>
      </c>
      <c r="M2691" s="133">
        <v>3.6474695778708502E-2</v>
      </c>
      <c r="N2691" s="73">
        <v>-1257.8409999999999</v>
      </c>
      <c r="O2691" s="73">
        <v>-264.67622726315699</v>
      </c>
      <c r="P2691" s="182">
        <v>5</v>
      </c>
      <c r="Q2691" s="182">
        <v>2500</v>
      </c>
      <c r="R2691" s="46">
        <v>5.1239999999999997</v>
      </c>
      <c r="S2691" s="46">
        <v>0</v>
      </c>
      <c r="T2691" s="46">
        <v>0</v>
      </c>
      <c r="U2691" s="46">
        <v>0</v>
      </c>
      <c r="V2691" s="46" t="s">
        <v>62</v>
      </c>
      <c r="W2691" s="46">
        <v>2500</v>
      </c>
      <c r="X2691" s="46">
        <v>5.1239999999999997</v>
      </c>
      <c r="AF2691" s="46">
        <v>10</v>
      </c>
      <c r="AG2691" s="46">
        <v>5000</v>
      </c>
      <c r="AH2691" s="46">
        <v>26378</v>
      </c>
      <c r="AI2691" s="46">
        <v>5.2759999999999998</v>
      </c>
      <c r="AJ2691" s="46">
        <v>10</v>
      </c>
      <c r="AK2691" s="46">
        <v>4100</v>
      </c>
      <c r="AL2691" s="46">
        <v>21806.659</v>
      </c>
      <c r="AM2691" s="46">
        <v>5.319</v>
      </c>
      <c r="AN2691" s="46" t="s">
        <v>63</v>
      </c>
      <c r="AO2691" s="46">
        <v>900</v>
      </c>
      <c r="AP2691" s="46">
        <v>4571.3410000000003</v>
      </c>
      <c r="AQ2691" s="46">
        <v>5.0789999999999997</v>
      </c>
      <c r="AR2691" s="46">
        <v>176.3</v>
      </c>
      <c r="AS2691" s="46">
        <v>15</v>
      </c>
      <c r="AT2691" s="46">
        <v>7500</v>
      </c>
      <c r="AU2691" s="46">
        <v>39214.5</v>
      </c>
      <c r="AV2691" s="46">
        <v>5.2290000000000001</v>
      </c>
      <c r="AW2691" s="46">
        <v>10</v>
      </c>
      <c r="AX2691" s="46">
        <v>4100</v>
      </c>
      <c r="AY2691" s="46">
        <v>21806.659</v>
      </c>
      <c r="AZ2691" s="46">
        <v>5.319</v>
      </c>
      <c r="BA2691" s="46" t="s">
        <v>63</v>
      </c>
      <c r="BB2691" s="46">
        <v>3400</v>
      </c>
      <c r="BC2691" s="46">
        <v>17407.841</v>
      </c>
      <c r="BD2691" s="46">
        <v>5.12</v>
      </c>
      <c r="BE2691" s="46">
        <v>369</v>
      </c>
      <c r="BF2691" s="46">
        <v>12836.5</v>
      </c>
      <c r="BG2691" s="46">
        <v>5.13</v>
      </c>
      <c r="BH2691" s="46">
        <v>0</v>
      </c>
      <c r="BJ2691">
        <v>12836.5</v>
      </c>
      <c r="BK2691">
        <v>5.13</v>
      </c>
      <c r="BL2691">
        <v>37.19</v>
      </c>
    </row>
    <row r="2692" spans="1:64" x14ac:dyDescent="0.25">
      <c r="A2692" s="136">
        <v>43193</v>
      </c>
      <c r="B2692" s="201" t="s">
        <v>124</v>
      </c>
      <c r="C2692" t="s">
        <v>125</v>
      </c>
      <c r="D2692">
        <v>100</v>
      </c>
      <c r="E2692">
        <v>100</v>
      </c>
      <c r="F2692">
        <v>-53.579000000000001</v>
      </c>
      <c r="G2692">
        <v>5945.9</v>
      </c>
      <c r="H2692">
        <v>0</v>
      </c>
      <c r="I2692" s="309">
        <v>588</v>
      </c>
      <c r="J2692">
        <v>5.88</v>
      </c>
      <c r="K2692" s="133">
        <v>1.23244796549146E-3</v>
      </c>
      <c r="L2692" s="181">
        <v>-8</v>
      </c>
      <c r="M2692" s="133">
        <v>0</v>
      </c>
    </row>
    <row r="2693" spans="1:64" x14ac:dyDescent="0.25">
      <c r="A2693" s="136">
        <v>43193</v>
      </c>
      <c r="B2693" s="201" t="s">
        <v>71</v>
      </c>
      <c r="C2693" t="s">
        <v>126</v>
      </c>
      <c r="D2693">
        <v>1600</v>
      </c>
      <c r="E2693">
        <v>1600</v>
      </c>
      <c r="F2693">
        <v>5.16</v>
      </c>
      <c r="G2693">
        <v>1871.44</v>
      </c>
      <c r="H2693">
        <v>22.68</v>
      </c>
      <c r="I2693" s="309">
        <v>10128</v>
      </c>
      <c r="J2693">
        <v>6.33</v>
      </c>
      <c r="K2693" s="133">
        <v>2.12282874056079E-2</v>
      </c>
      <c r="L2693" s="181">
        <v>-112</v>
      </c>
      <c r="M2693" s="133">
        <v>1.7305749275439E-2</v>
      </c>
      <c r="N2693" s="73">
        <v>1918.402</v>
      </c>
      <c r="O2693" s="73">
        <v>301.48471682389902</v>
      </c>
      <c r="P2693" s="182">
        <v>0</v>
      </c>
      <c r="Q2693" s="182">
        <v>0</v>
      </c>
      <c r="R2693" s="46">
        <v>0</v>
      </c>
      <c r="S2693" s="46">
        <v>4</v>
      </c>
      <c r="T2693" s="46">
        <v>1500</v>
      </c>
      <c r="U2693" s="46">
        <v>6.7229999999999999</v>
      </c>
      <c r="V2693" s="46" t="s">
        <v>68</v>
      </c>
      <c r="W2693" s="46">
        <v>1500</v>
      </c>
      <c r="X2693" s="46">
        <v>6.7229999999999999</v>
      </c>
      <c r="AF2693" s="46">
        <v>44</v>
      </c>
      <c r="AG2693" s="46">
        <v>22100</v>
      </c>
      <c r="AH2693" s="46">
        <v>141289.26</v>
      </c>
      <c r="AI2693" s="46">
        <v>6.3929999999999998</v>
      </c>
      <c r="AJ2693" s="46">
        <v>42</v>
      </c>
      <c r="AK2693" s="46">
        <v>19000</v>
      </c>
      <c r="AL2693" s="46">
        <v>122809.446</v>
      </c>
      <c r="AM2693" s="46">
        <v>6.4640000000000004</v>
      </c>
      <c r="AN2693" s="46" t="s">
        <v>63</v>
      </c>
      <c r="AO2693" s="46">
        <v>3100</v>
      </c>
      <c r="AP2693" s="46">
        <v>18479.813999999998</v>
      </c>
      <c r="AQ2693" s="46">
        <v>5.9610000000000003</v>
      </c>
      <c r="AR2693" s="46">
        <v>1349</v>
      </c>
      <c r="AS2693" s="46">
        <v>44</v>
      </c>
      <c r="AT2693" s="46">
        <v>22100</v>
      </c>
      <c r="AU2693" s="46">
        <v>141289.26</v>
      </c>
      <c r="AV2693" s="46">
        <v>6.3929999999999998</v>
      </c>
      <c r="AW2693" s="46">
        <v>46</v>
      </c>
      <c r="AX2693" s="46">
        <v>20500</v>
      </c>
      <c r="AY2693" s="46">
        <v>132870.462</v>
      </c>
      <c r="AZ2693" s="46">
        <v>6.4809999999999999</v>
      </c>
      <c r="BA2693" s="46" t="s">
        <v>63</v>
      </c>
      <c r="BB2693" s="46">
        <v>1600</v>
      </c>
      <c r="BC2693" s="46">
        <v>8418.7980000000007</v>
      </c>
      <c r="BD2693" s="46">
        <v>5.2619999999999996</v>
      </c>
      <c r="BE2693" s="46">
        <v>1804</v>
      </c>
      <c r="BF2693" s="46">
        <v>0</v>
      </c>
      <c r="BH2693" s="46">
        <v>10061.016</v>
      </c>
      <c r="BI2693">
        <v>6.71</v>
      </c>
      <c r="BJ2693">
        <v>-10061.016</v>
      </c>
      <c r="BK2693">
        <v>-6.71</v>
      </c>
      <c r="BL2693">
        <v>213.11</v>
      </c>
    </row>
    <row r="2694" spans="1:64" x14ac:dyDescent="0.25">
      <c r="A2694" s="136">
        <v>43193</v>
      </c>
      <c r="B2694" s="201" t="s">
        <v>79</v>
      </c>
      <c r="C2694" t="s">
        <v>143</v>
      </c>
      <c r="D2694">
        <v>5700</v>
      </c>
      <c r="E2694">
        <v>5700</v>
      </c>
      <c r="F2694">
        <v>16.323</v>
      </c>
      <c r="G2694">
        <v>-11016.6</v>
      </c>
      <c r="H2694">
        <v>-11.84</v>
      </c>
      <c r="I2694" s="309">
        <v>82023</v>
      </c>
      <c r="J2694">
        <v>14.39</v>
      </c>
      <c r="K2694" s="133">
        <v>0.17192020318623399</v>
      </c>
      <c r="L2694" s="181">
        <v>-570</v>
      </c>
      <c r="M2694" s="133">
        <v>0.195010996139692</v>
      </c>
      <c r="N2694" s="73">
        <v>-11648.0280000001</v>
      </c>
      <c r="O2694" s="73">
        <v>-815.28039117647802</v>
      </c>
      <c r="P2694" s="182">
        <v>8</v>
      </c>
      <c r="Q2694" s="182">
        <v>4500</v>
      </c>
      <c r="R2694" s="46">
        <v>15.429</v>
      </c>
      <c r="S2694" s="46">
        <v>0</v>
      </c>
      <c r="T2694" s="46">
        <v>0</v>
      </c>
      <c r="U2694" s="46">
        <v>0</v>
      </c>
      <c r="V2694" s="46" t="s">
        <v>62</v>
      </c>
      <c r="W2694" s="46">
        <v>4500</v>
      </c>
      <c r="X2694" s="46">
        <v>15.429</v>
      </c>
      <c r="AF2694" s="46">
        <v>12</v>
      </c>
      <c r="AG2694" s="46">
        <v>6000</v>
      </c>
      <c r="AH2694" s="46">
        <v>96283.6</v>
      </c>
      <c r="AI2694" s="46">
        <v>16.047000000000001</v>
      </c>
      <c r="AJ2694" s="46">
        <v>12</v>
      </c>
      <c r="AK2694" s="46">
        <v>4800</v>
      </c>
      <c r="AL2694" s="46">
        <v>72712.271999999895</v>
      </c>
      <c r="AM2694" s="46">
        <v>15.148</v>
      </c>
      <c r="AN2694" s="46" t="s">
        <v>63</v>
      </c>
      <c r="AO2694" s="46">
        <v>1200</v>
      </c>
      <c r="AP2694" s="46">
        <v>23571.328000000001</v>
      </c>
      <c r="AQ2694" s="46">
        <v>19.643000000000001</v>
      </c>
      <c r="AR2694" s="46">
        <v>-4315.2</v>
      </c>
      <c r="AS2694" s="46">
        <v>20</v>
      </c>
      <c r="AT2694" s="46">
        <v>10500</v>
      </c>
      <c r="AU2694" s="46">
        <v>165756.29999999999</v>
      </c>
      <c r="AV2694" s="46">
        <v>15.786</v>
      </c>
      <c r="AW2694" s="46">
        <v>12</v>
      </c>
      <c r="AX2694" s="46">
        <v>4800</v>
      </c>
      <c r="AY2694" s="46">
        <v>72712.271999999895</v>
      </c>
      <c r="AZ2694" s="46">
        <v>15.148</v>
      </c>
      <c r="BA2694" s="46" t="s">
        <v>63</v>
      </c>
      <c r="BB2694" s="46">
        <v>5700</v>
      </c>
      <c r="BC2694" s="46">
        <v>93044.028000000006</v>
      </c>
      <c r="BD2694" s="46">
        <v>16.324000000000002</v>
      </c>
      <c r="BE2694" s="46">
        <v>-3062.4</v>
      </c>
      <c r="BF2694" s="46">
        <v>69472.7</v>
      </c>
      <c r="BG2694" s="46">
        <v>15.44</v>
      </c>
      <c r="BH2694" s="46">
        <v>0</v>
      </c>
      <c r="BJ2694">
        <v>69472.7</v>
      </c>
      <c r="BK2694">
        <v>15.44</v>
      </c>
      <c r="BL2694">
        <v>-299.87</v>
      </c>
    </row>
    <row r="2695" spans="1:64" x14ac:dyDescent="0.25">
      <c r="A2695" s="136">
        <v>43193</v>
      </c>
      <c r="B2695" s="201" t="s">
        <v>65</v>
      </c>
      <c r="C2695" t="s">
        <v>127</v>
      </c>
      <c r="D2695">
        <v>13800</v>
      </c>
      <c r="E2695">
        <v>13300</v>
      </c>
      <c r="F2695">
        <v>9.3870000000000005</v>
      </c>
      <c r="G2695">
        <v>2251.63</v>
      </c>
      <c r="H2695">
        <v>1.74</v>
      </c>
      <c r="I2695" s="309">
        <v>131790</v>
      </c>
      <c r="J2695">
        <v>9.5500000000000007</v>
      </c>
      <c r="K2695" s="133">
        <v>0.27623183226550901</v>
      </c>
      <c r="L2695" s="181">
        <v>-2527</v>
      </c>
      <c r="M2695" s="133">
        <v>0.27151241591765202</v>
      </c>
      <c r="N2695" s="73">
        <v>-2168.7870000000198</v>
      </c>
      <c r="O2695" s="73">
        <v>221.35326171382101</v>
      </c>
      <c r="P2695" s="182">
        <v>1</v>
      </c>
      <c r="Q2695" s="182">
        <v>500</v>
      </c>
      <c r="R2695" s="46">
        <v>9.5399999999999991</v>
      </c>
      <c r="S2695" s="46">
        <v>12</v>
      </c>
      <c r="T2695" s="46">
        <v>5200</v>
      </c>
      <c r="U2695" s="46">
        <v>12.451000000000001</v>
      </c>
      <c r="V2695" s="46" t="s">
        <v>68</v>
      </c>
      <c r="W2695" s="46">
        <v>4700</v>
      </c>
      <c r="X2695" s="46">
        <v>12.760999999999999</v>
      </c>
      <c r="AF2695" s="46">
        <v>176</v>
      </c>
      <c r="AG2695" s="46">
        <v>93700</v>
      </c>
      <c r="AH2695" s="46">
        <v>1080215.2309999999</v>
      </c>
      <c r="AI2695" s="46">
        <v>11.528</v>
      </c>
      <c r="AJ2695" s="46">
        <v>195</v>
      </c>
      <c r="AK2695" s="46">
        <v>84400</v>
      </c>
      <c r="AL2695" s="46">
        <v>889994.18900000001</v>
      </c>
      <c r="AM2695" s="46">
        <v>10.545</v>
      </c>
      <c r="AN2695" s="46" t="s">
        <v>63</v>
      </c>
      <c r="AO2695" s="46">
        <v>9300</v>
      </c>
      <c r="AP2695" s="46">
        <v>190221.04199999999</v>
      </c>
      <c r="AQ2695" s="46">
        <v>20.454000000000001</v>
      </c>
      <c r="AR2695" s="46">
        <v>-82965.2</v>
      </c>
      <c r="AS2695" s="46">
        <v>178</v>
      </c>
      <c r="AT2695" s="46">
        <v>94300</v>
      </c>
      <c r="AU2695" s="46">
        <v>1086278.2309999999</v>
      </c>
      <c r="AV2695" s="46">
        <v>11.519</v>
      </c>
      <c r="AW2695" s="46">
        <v>207</v>
      </c>
      <c r="AX2695" s="46">
        <v>89600</v>
      </c>
      <c r="AY2695" s="46">
        <v>954616.44200000004</v>
      </c>
      <c r="AZ2695" s="46">
        <v>10.654</v>
      </c>
      <c r="BA2695" s="46" t="s">
        <v>63</v>
      </c>
      <c r="BB2695" s="46">
        <v>4700</v>
      </c>
      <c r="BC2695" s="46">
        <v>131661.78899999999</v>
      </c>
      <c r="BD2695" s="46">
        <v>28.013000000000002</v>
      </c>
      <c r="BE2695" s="46">
        <v>-77504</v>
      </c>
      <c r="BF2695" s="46">
        <v>6063</v>
      </c>
      <c r="BG2695" s="46">
        <v>12.13</v>
      </c>
      <c r="BH2695" s="46">
        <v>64622.252999999997</v>
      </c>
      <c r="BI2695">
        <v>12.43</v>
      </c>
      <c r="BJ2695">
        <v>-58559.252999999997</v>
      </c>
      <c r="BK2695">
        <v>-12.46</v>
      </c>
      <c r="BL2695">
        <v>-8687.4599999999991</v>
      </c>
    </row>
    <row r="2696" spans="1:64" x14ac:dyDescent="0.25">
      <c r="A2696" s="136">
        <v>43193</v>
      </c>
      <c r="B2696" s="201" t="s">
        <v>77</v>
      </c>
      <c r="C2696" t="s">
        <v>128</v>
      </c>
      <c r="D2696">
        <v>4300</v>
      </c>
      <c r="E2696">
        <v>4300</v>
      </c>
      <c r="F2696">
        <v>5.9779999999999998</v>
      </c>
      <c r="G2696">
        <v>-595.27</v>
      </c>
      <c r="H2696">
        <v>-2.31</v>
      </c>
      <c r="I2696" s="309">
        <v>25112</v>
      </c>
      <c r="J2696">
        <v>5.84</v>
      </c>
      <c r="K2696" s="133">
        <v>5.2634750526227E-2</v>
      </c>
      <c r="L2696" s="181">
        <v>0</v>
      </c>
      <c r="M2696" s="133">
        <v>5.3882436411291798E-2</v>
      </c>
      <c r="N2696" s="73">
        <v>-1272.2139999999999</v>
      </c>
      <c r="O2696" s="73">
        <v>-133.073774655173</v>
      </c>
      <c r="P2696" s="182">
        <v>6</v>
      </c>
      <c r="Q2696" s="182">
        <v>3000</v>
      </c>
      <c r="R2696" s="46">
        <v>6.798</v>
      </c>
      <c r="S2696" s="46">
        <v>0</v>
      </c>
      <c r="T2696" s="46">
        <v>0</v>
      </c>
      <c r="U2696" s="46">
        <v>0</v>
      </c>
      <c r="V2696" s="46" t="s">
        <v>62</v>
      </c>
      <c r="W2696" s="46">
        <v>3000</v>
      </c>
      <c r="X2696" s="46">
        <v>6.798</v>
      </c>
      <c r="AF2696" s="46">
        <v>39</v>
      </c>
      <c r="AG2696" s="46">
        <v>19500</v>
      </c>
      <c r="AH2696" s="46">
        <v>142169</v>
      </c>
      <c r="AI2696" s="46">
        <v>7.2910000000000004</v>
      </c>
      <c r="AJ2696" s="46">
        <v>39</v>
      </c>
      <c r="AK2696" s="46">
        <v>18200</v>
      </c>
      <c r="AL2696" s="46">
        <v>136881.78599999999</v>
      </c>
      <c r="AM2696" s="46">
        <v>7.5209999999999999</v>
      </c>
      <c r="AN2696" s="46" t="s">
        <v>63</v>
      </c>
      <c r="AO2696" s="46">
        <v>1300</v>
      </c>
      <c r="AP2696" s="46">
        <v>5287.2139999999999</v>
      </c>
      <c r="AQ2696" s="46">
        <v>4.0670000000000002</v>
      </c>
      <c r="AR2696" s="46">
        <v>4186</v>
      </c>
      <c r="AS2696" s="46">
        <v>45</v>
      </c>
      <c r="AT2696" s="46">
        <v>22500</v>
      </c>
      <c r="AU2696" s="46">
        <v>162594</v>
      </c>
      <c r="AV2696" s="46">
        <v>7.226</v>
      </c>
      <c r="AW2696" s="46">
        <v>39</v>
      </c>
      <c r="AX2696" s="46">
        <v>18200</v>
      </c>
      <c r="AY2696" s="46">
        <v>136881.78599999999</v>
      </c>
      <c r="AZ2696" s="46">
        <v>7.5209999999999999</v>
      </c>
      <c r="BA2696" s="46" t="s">
        <v>63</v>
      </c>
      <c r="BB2696" s="46">
        <v>4300</v>
      </c>
      <c r="BC2696" s="46">
        <v>25712.214</v>
      </c>
      <c r="BD2696" s="46">
        <v>5.98</v>
      </c>
      <c r="BE2696" s="46">
        <v>5369</v>
      </c>
      <c r="BF2696" s="46">
        <v>20425</v>
      </c>
      <c r="BG2696" s="46">
        <v>6.81</v>
      </c>
      <c r="BH2696" s="46">
        <v>0</v>
      </c>
      <c r="BJ2696">
        <v>20425</v>
      </c>
      <c r="BK2696">
        <v>6.81</v>
      </c>
      <c r="BL2696">
        <v>716.78</v>
      </c>
    </row>
    <row r="2697" spans="1:64" x14ac:dyDescent="0.25">
      <c r="A2697" s="136">
        <v>43193</v>
      </c>
      <c r="B2697" s="201" t="s">
        <v>67</v>
      </c>
      <c r="C2697" t="s">
        <v>129</v>
      </c>
      <c r="D2697">
        <v>1700</v>
      </c>
      <c r="E2697">
        <v>1200</v>
      </c>
      <c r="F2697">
        <v>6.899</v>
      </c>
      <c r="G2697">
        <v>3333.79</v>
      </c>
      <c r="H2697">
        <v>28.43</v>
      </c>
      <c r="I2697" s="309">
        <v>15062</v>
      </c>
      <c r="J2697">
        <v>8.86</v>
      </c>
      <c r="K2697" s="133">
        <v>3.1569951116041398E-2</v>
      </c>
      <c r="L2697" s="181">
        <v>-135.56</v>
      </c>
      <c r="M2697" s="133">
        <v>2.4582327471694799E-2</v>
      </c>
      <c r="N2697" s="73">
        <v>3416.49849999977</v>
      </c>
      <c r="O2697" s="73">
        <v>383.25367572949199</v>
      </c>
      <c r="P2697" s="182">
        <v>0</v>
      </c>
      <c r="Q2697" s="182">
        <v>0</v>
      </c>
      <c r="R2697" s="46">
        <v>0</v>
      </c>
      <c r="S2697" s="46">
        <v>19</v>
      </c>
      <c r="T2697" s="46">
        <v>7600</v>
      </c>
      <c r="U2697" s="46">
        <v>8.9339999999999993</v>
      </c>
      <c r="V2697" s="46" t="s">
        <v>68</v>
      </c>
      <c r="W2697" s="46">
        <v>7600</v>
      </c>
      <c r="X2697" s="46">
        <v>8.9339999999999993</v>
      </c>
      <c r="AF2697" s="46">
        <v>186</v>
      </c>
      <c r="AG2697" s="46">
        <v>92400</v>
      </c>
      <c r="AH2697" s="46">
        <v>768620</v>
      </c>
      <c r="AI2697" s="46">
        <v>8.3179999999999996</v>
      </c>
      <c r="AJ2697" s="46">
        <v>189</v>
      </c>
      <c r="AK2697" s="46">
        <v>85700</v>
      </c>
      <c r="AL2697" s="46">
        <v>758284.51049999997</v>
      </c>
      <c r="AM2697" s="46">
        <v>8.8480000000000008</v>
      </c>
      <c r="AN2697" s="46" t="s">
        <v>63</v>
      </c>
      <c r="AO2697" s="46">
        <v>6700</v>
      </c>
      <c r="AP2697" s="46">
        <v>10335.489</v>
      </c>
      <c r="AQ2697" s="46">
        <v>1.5429999999999999</v>
      </c>
      <c r="AR2697" s="46">
        <v>45421</v>
      </c>
      <c r="AS2697" s="46">
        <v>186</v>
      </c>
      <c r="AT2697" s="46">
        <v>92400</v>
      </c>
      <c r="AU2697" s="46">
        <v>768620</v>
      </c>
      <c r="AV2697" s="46">
        <v>8.3179999999999996</v>
      </c>
      <c r="AW2697" s="46">
        <v>208</v>
      </c>
      <c r="AX2697" s="46">
        <v>93300</v>
      </c>
      <c r="AY2697" s="46">
        <v>826017.61450000003</v>
      </c>
      <c r="AZ2697" s="46">
        <v>8.8529999999999998</v>
      </c>
      <c r="BA2697" s="46" t="s">
        <v>69</v>
      </c>
      <c r="BB2697" s="46">
        <v>900</v>
      </c>
      <c r="BC2697" s="46">
        <v>57397.614999999998</v>
      </c>
      <c r="BD2697" s="46">
        <v>63.774999999999999</v>
      </c>
      <c r="BE2697" s="46">
        <v>49434</v>
      </c>
      <c r="BF2697" s="46">
        <v>0</v>
      </c>
      <c r="BH2697" s="46">
        <v>67733.104000000196</v>
      </c>
      <c r="BI2697">
        <v>8.91</v>
      </c>
      <c r="BJ2697">
        <v>47062.125999999997</v>
      </c>
      <c r="BK2697">
        <v>6.19</v>
      </c>
      <c r="BL2697">
        <v>5126.5200000000004</v>
      </c>
    </row>
    <row r="2698" spans="1:64" x14ac:dyDescent="0.25">
      <c r="A2698" s="136">
        <v>43193</v>
      </c>
      <c r="B2698" s="201" t="s">
        <v>78</v>
      </c>
      <c r="C2698" t="s">
        <v>142</v>
      </c>
      <c r="D2698">
        <v>100</v>
      </c>
      <c r="E2698">
        <v>100</v>
      </c>
      <c r="F2698">
        <v>-4.9039999999999999</v>
      </c>
      <c r="G2698">
        <v>1592.4</v>
      </c>
      <c r="H2698">
        <v>0</v>
      </c>
      <c r="I2698" s="309">
        <v>1102</v>
      </c>
      <c r="J2698">
        <v>11.02</v>
      </c>
      <c r="K2698" s="133">
        <v>2.3097919353258301E-3</v>
      </c>
      <c r="L2698" s="181">
        <v>19</v>
      </c>
      <c r="M2698" s="133">
        <v>0</v>
      </c>
      <c r="N2698" s="73">
        <v>1506.3910000000001</v>
      </c>
      <c r="O2698" s="73">
        <v>148.19269729330699</v>
      </c>
      <c r="P2698" s="182">
        <v>0</v>
      </c>
      <c r="Q2698" s="182">
        <v>0</v>
      </c>
      <c r="R2698" s="46">
        <v>0</v>
      </c>
      <c r="S2698" s="46">
        <v>3</v>
      </c>
      <c r="T2698" s="46">
        <v>1200</v>
      </c>
      <c r="U2698" s="46">
        <v>9.99</v>
      </c>
      <c r="V2698" s="46" t="s">
        <v>68</v>
      </c>
      <c r="W2698" s="46">
        <v>1200</v>
      </c>
      <c r="X2698" s="46">
        <v>9.99</v>
      </c>
      <c r="AF2698" s="46">
        <v>13</v>
      </c>
      <c r="AG2698" s="46">
        <v>6500</v>
      </c>
      <c r="AH2698" s="46">
        <v>62970</v>
      </c>
      <c r="AI2698" s="46">
        <v>9.6880000000000006</v>
      </c>
      <c r="AJ2698" s="46">
        <v>14</v>
      </c>
      <c r="AK2698" s="46">
        <v>5200</v>
      </c>
      <c r="AL2698" s="46">
        <v>51499.379000000001</v>
      </c>
      <c r="AM2698" s="46">
        <v>9.9039999999999999</v>
      </c>
      <c r="AN2698" s="46" t="s">
        <v>63</v>
      </c>
      <c r="AO2698" s="46">
        <v>1300</v>
      </c>
      <c r="AP2698" s="46">
        <v>11470.620999999999</v>
      </c>
      <c r="AQ2698" s="46">
        <v>8.8239999999999998</v>
      </c>
      <c r="AR2698" s="46">
        <v>1123.2</v>
      </c>
      <c r="AS2698" s="46">
        <v>13</v>
      </c>
      <c r="AT2698" s="46">
        <v>6500</v>
      </c>
      <c r="AU2698" s="46">
        <v>62970</v>
      </c>
      <c r="AV2698" s="46">
        <v>9.6880000000000006</v>
      </c>
      <c r="AW2698" s="46">
        <v>17</v>
      </c>
      <c r="AX2698" s="46">
        <v>6400</v>
      </c>
      <c r="AY2698" s="46">
        <v>63460.391000000003</v>
      </c>
      <c r="AZ2698" s="46">
        <v>9.9160000000000004</v>
      </c>
      <c r="BA2698" s="46" t="s">
        <v>63</v>
      </c>
      <c r="BB2698" s="46">
        <v>100</v>
      </c>
      <c r="BC2698" s="46">
        <v>490.39100000000002</v>
      </c>
      <c r="BD2698" s="46">
        <v>4.9039999999999999</v>
      </c>
      <c r="BE2698" s="46">
        <v>1459.2</v>
      </c>
      <c r="BF2698" s="46">
        <v>0</v>
      </c>
      <c r="BH2698" s="46">
        <v>11961.012000000001</v>
      </c>
      <c r="BI2698">
        <v>9.9700000000000006</v>
      </c>
      <c r="BJ2698">
        <v>-10980.23</v>
      </c>
      <c r="BK2698">
        <v>-9.15</v>
      </c>
      <c r="BL2698">
        <v>101.92</v>
      </c>
    </row>
    <row r="2699" spans="1:64" x14ac:dyDescent="0.25">
      <c r="A2699" s="136">
        <v>43193</v>
      </c>
      <c r="B2699" s="201" t="s">
        <v>72</v>
      </c>
      <c r="C2699" t="s">
        <v>130</v>
      </c>
      <c r="D2699">
        <v>3200</v>
      </c>
      <c r="E2699">
        <v>3200</v>
      </c>
      <c r="F2699">
        <v>6.782</v>
      </c>
      <c r="G2699">
        <v>-1029.4100000000001</v>
      </c>
      <c r="H2699">
        <v>-4.75</v>
      </c>
      <c r="I2699" s="309">
        <v>20672</v>
      </c>
      <c r="J2699">
        <v>6.46</v>
      </c>
      <c r="K2699" s="133">
        <v>4.3328510786801701E-2</v>
      </c>
      <c r="L2699" s="181">
        <v>-384</v>
      </c>
      <c r="M2699" s="133">
        <v>4.5486154086387703E-2</v>
      </c>
      <c r="N2699" s="73">
        <v>-1027.1079999999999</v>
      </c>
      <c r="O2699" s="73">
        <v>-123.276462633994</v>
      </c>
      <c r="P2699" s="182">
        <v>0</v>
      </c>
      <c r="Q2699" s="182">
        <v>0</v>
      </c>
      <c r="R2699" s="46">
        <v>0</v>
      </c>
      <c r="S2699" s="46">
        <v>12</v>
      </c>
      <c r="T2699" s="46">
        <v>4800</v>
      </c>
      <c r="U2699" s="46">
        <v>7.4859999999999998</v>
      </c>
      <c r="V2699" s="46" t="s">
        <v>68</v>
      </c>
      <c r="W2699" s="46">
        <v>4800</v>
      </c>
      <c r="X2699" s="46">
        <v>7.4859999999999998</v>
      </c>
      <c r="AF2699" s="46">
        <v>35</v>
      </c>
      <c r="AG2699" s="46">
        <v>17400</v>
      </c>
      <c r="AH2699" s="46">
        <v>130612</v>
      </c>
      <c r="AI2699" s="46">
        <v>7.5060000000000002</v>
      </c>
      <c r="AJ2699" s="46">
        <v>35</v>
      </c>
      <c r="AK2699" s="46">
        <v>16000</v>
      </c>
      <c r="AL2699" s="46">
        <v>73807.009000000005</v>
      </c>
      <c r="AM2699" s="46">
        <v>4.6130000000000004</v>
      </c>
      <c r="AN2699" s="46" t="s">
        <v>63</v>
      </c>
      <c r="AO2699" s="46">
        <v>1400</v>
      </c>
      <c r="AP2699" s="46">
        <v>56804.991000000002</v>
      </c>
      <c r="AQ2699" s="46">
        <v>40.575000000000003</v>
      </c>
      <c r="AR2699" s="46">
        <v>-46288</v>
      </c>
      <c r="AS2699" s="46">
        <v>35</v>
      </c>
      <c r="AT2699" s="46">
        <v>17400</v>
      </c>
      <c r="AU2699" s="46">
        <v>130612</v>
      </c>
      <c r="AV2699" s="46">
        <v>7.5060000000000002</v>
      </c>
      <c r="AW2699" s="46">
        <v>48</v>
      </c>
      <c r="AX2699" s="46">
        <v>21300</v>
      </c>
      <c r="AY2699" s="46">
        <v>109643.077</v>
      </c>
      <c r="AZ2699" s="46">
        <v>5.1479999999999997</v>
      </c>
      <c r="BA2699" s="46" t="s">
        <v>69</v>
      </c>
      <c r="BB2699" s="46">
        <v>3900</v>
      </c>
      <c r="BC2699" s="46">
        <v>20968.922999999999</v>
      </c>
      <c r="BD2699" s="46">
        <v>5.3769999999999998</v>
      </c>
      <c r="BE2699" s="46">
        <v>-41029.199999999997</v>
      </c>
      <c r="BF2699" s="46">
        <v>0</v>
      </c>
      <c r="BH2699" s="46">
        <v>35836.067999999999</v>
      </c>
      <c r="BI2699">
        <v>7.47</v>
      </c>
      <c r="BJ2699">
        <v>-35836.067999999999</v>
      </c>
      <c r="BK2699">
        <v>-7.47</v>
      </c>
      <c r="BL2699">
        <v>-7165.33</v>
      </c>
    </row>
    <row r="2700" spans="1:64" x14ac:dyDescent="0.25">
      <c r="A2700" s="136">
        <v>43193</v>
      </c>
      <c r="B2700" s="201" t="s">
        <v>70</v>
      </c>
      <c r="C2700" t="s">
        <v>131</v>
      </c>
      <c r="D2700">
        <v>12200</v>
      </c>
      <c r="E2700">
        <v>11700</v>
      </c>
      <c r="F2700">
        <v>11.499000000000001</v>
      </c>
      <c r="G2700">
        <v>-33787.160000000003</v>
      </c>
      <c r="H2700">
        <v>-24.08</v>
      </c>
      <c r="I2700" s="309">
        <v>106506</v>
      </c>
      <c r="J2700">
        <v>8.73</v>
      </c>
      <c r="K2700" s="133">
        <v>0.223236569749376</v>
      </c>
      <c r="L2700" s="181">
        <v>-2218</v>
      </c>
      <c r="M2700" s="133">
        <v>0.29405445512647499</v>
      </c>
      <c r="N2700" s="73">
        <v>-33913.159000000102</v>
      </c>
      <c r="O2700" s="73">
        <v>-3887.1791766628498</v>
      </c>
      <c r="P2700" s="182">
        <v>2</v>
      </c>
      <c r="Q2700" s="182">
        <v>1000</v>
      </c>
      <c r="R2700" s="46">
        <v>8.08</v>
      </c>
      <c r="S2700" s="46">
        <v>3</v>
      </c>
      <c r="T2700" s="46">
        <v>1300</v>
      </c>
      <c r="U2700" s="46">
        <v>8.8650000000000002</v>
      </c>
      <c r="V2700" s="46" t="s">
        <v>68</v>
      </c>
      <c r="W2700" s="46">
        <v>300</v>
      </c>
      <c r="X2700" s="46">
        <v>11.481999999999999</v>
      </c>
      <c r="AF2700" s="46">
        <v>135</v>
      </c>
      <c r="AG2700" s="46">
        <v>69100</v>
      </c>
      <c r="AH2700" s="46">
        <v>899283</v>
      </c>
      <c r="AI2700" s="46">
        <v>13.013999999999999</v>
      </c>
      <c r="AJ2700" s="46">
        <v>141</v>
      </c>
      <c r="AK2700" s="46">
        <v>56600</v>
      </c>
      <c r="AL2700" s="46">
        <v>755172.36600000004</v>
      </c>
      <c r="AM2700" s="46">
        <v>13.342000000000001</v>
      </c>
      <c r="AN2700" s="46" t="s">
        <v>63</v>
      </c>
      <c r="AO2700" s="46">
        <v>12500</v>
      </c>
      <c r="AP2700" s="46">
        <v>144110.63399999999</v>
      </c>
      <c r="AQ2700" s="46">
        <v>11.529</v>
      </c>
      <c r="AR2700" s="46">
        <v>18564.8</v>
      </c>
      <c r="AS2700" s="46">
        <v>137</v>
      </c>
      <c r="AT2700" s="46">
        <v>70100</v>
      </c>
      <c r="AU2700" s="46">
        <v>907373</v>
      </c>
      <c r="AV2700" s="46">
        <v>12.944000000000001</v>
      </c>
      <c r="AW2700" s="46">
        <v>145</v>
      </c>
      <c r="AX2700" s="46">
        <v>57900</v>
      </c>
      <c r="AY2700" s="46">
        <v>767075.84100000001</v>
      </c>
      <c r="AZ2700" s="46">
        <v>13.247999999999999</v>
      </c>
      <c r="BA2700" s="46" t="s">
        <v>63</v>
      </c>
      <c r="BB2700" s="46">
        <v>12200</v>
      </c>
      <c r="BC2700" s="46">
        <v>140297.15900000001</v>
      </c>
      <c r="BD2700" s="46">
        <v>11.5</v>
      </c>
      <c r="BE2700" s="46">
        <v>17601.599999999999</v>
      </c>
      <c r="BF2700" s="46">
        <v>8090</v>
      </c>
      <c r="BG2700" s="46">
        <v>8.09</v>
      </c>
      <c r="BH2700" s="46">
        <v>11903.4750000001</v>
      </c>
      <c r="BI2700">
        <v>9.16</v>
      </c>
      <c r="BJ2700">
        <v>-3813.4749999999799</v>
      </c>
      <c r="BK2700">
        <v>-12.71</v>
      </c>
      <c r="BL2700">
        <v>2126.5500000000002</v>
      </c>
    </row>
    <row r="2701" spans="1:64" x14ac:dyDescent="0.25">
      <c r="A2701" s="136">
        <v>43193</v>
      </c>
      <c r="B2701" s="201" t="s">
        <v>137</v>
      </c>
      <c r="C2701" t="s">
        <v>138</v>
      </c>
      <c r="D2701">
        <v>100</v>
      </c>
      <c r="E2701">
        <v>100</v>
      </c>
      <c r="F2701">
        <v>-130.48500000000001</v>
      </c>
      <c r="G2701">
        <v>18194.5</v>
      </c>
      <c r="H2701">
        <v>0</v>
      </c>
      <c r="I2701" s="309">
        <v>5146</v>
      </c>
      <c r="J2701">
        <v>51.46</v>
      </c>
      <c r="K2701" s="133">
        <v>1.07860156979916E-2</v>
      </c>
      <c r="L2701" s="181">
        <v>330</v>
      </c>
      <c r="M2701" s="133">
        <v>0</v>
      </c>
    </row>
    <row r="2702" spans="1:64" x14ac:dyDescent="0.25">
      <c r="A2702" s="136">
        <v>43193</v>
      </c>
      <c r="B2702" s="201" t="s">
        <v>835</v>
      </c>
      <c r="C2702" t="s">
        <v>839</v>
      </c>
      <c r="I2702" s="309">
        <v>12723.84</v>
      </c>
      <c r="K2702" s="133">
        <v>2.6669167893263301E-2</v>
      </c>
      <c r="L2702" s="181">
        <v>0</v>
      </c>
      <c r="M2702" s="133">
        <v>0.13174250431121001</v>
      </c>
    </row>
    <row r="2703" spans="1:64" x14ac:dyDescent="0.25">
      <c r="A2703" s="136">
        <v>43194</v>
      </c>
      <c r="B2703" s="201" t="s">
        <v>132</v>
      </c>
      <c r="C2703" t="s">
        <v>123</v>
      </c>
      <c r="D2703">
        <v>5013601</v>
      </c>
      <c r="E2703">
        <v>5013601</v>
      </c>
      <c r="F2703">
        <v>8.9999999999999993E-3</v>
      </c>
      <c r="G2703">
        <v>3381.57</v>
      </c>
      <c r="H2703">
        <v>11.11</v>
      </c>
      <c r="I2703" s="309">
        <v>50136.01</v>
      </c>
      <c r="J2703">
        <v>0.01</v>
      </c>
      <c r="K2703" s="133">
        <v>0.10476555285236799</v>
      </c>
      <c r="L2703" s="181">
        <v>5.6000000000003602</v>
      </c>
      <c r="M2703" s="133">
        <v>0</v>
      </c>
    </row>
    <row r="2704" spans="1:64" x14ac:dyDescent="0.25">
      <c r="A2704" s="136">
        <v>43194</v>
      </c>
      <c r="B2704" s="201" t="s">
        <v>61</v>
      </c>
      <c r="C2704" t="s">
        <v>136</v>
      </c>
      <c r="D2704">
        <v>3400</v>
      </c>
      <c r="E2704">
        <v>3400</v>
      </c>
      <c r="F2704">
        <v>5.1180000000000003</v>
      </c>
      <c r="G2704">
        <v>-1354.05</v>
      </c>
      <c r="H2704">
        <v>-7.78</v>
      </c>
      <c r="I2704" s="309">
        <v>16048</v>
      </c>
      <c r="J2704">
        <v>4.72</v>
      </c>
      <c r="K2704" s="133">
        <v>3.3534331754257997E-2</v>
      </c>
      <c r="L2704" s="181">
        <v>-68</v>
      </c>
      <c r="M2704" s="133">
        <v>3.6363790996023597E-2</v>
      </c>
      <c r="N2704" s="73">
        <v>-1257.8409999999999</v>
      </c>
      <c r="O2704" s="73">
        <v>-264.67622726315699</v>
      </c>
      <c r="P2704" s="182">
        <v>5</v>
      </c>
      <c r="Q2704" s="182">
        <v>2500</v>
      </c>
      <c r="R2704" s="46">
        <v>5.1239999999999997</v>
      </c>
      <c r="S2704" s="46">
        <v>0</v>
      </c>
      <c r="T2704" s="46">
        <v>0</v>
      </c>
      <c r="U2704" s="46">
        <v>0</v>
      </c>
      <c r="V2704" s="46" t="s">
        <v>62</v>
      </c>
      <c r="W2704" s="46">
        <v>2500</v>
      </c>
      <c r="X2704" s="46">
        <v>5.1239999999999997</v>
      </c>
      <c r="AF2704" s="46">
        <v>10</v>
      </c>
      <c r="AG2704" s="46">
        <v>5000</v>
      </c>
      <c r="AH2704" s="46">
        <v>26378</v>
      </c>
      <c r="AI2704" s="46">
        <v>5.2759999999999998</v>
      </c>
      <c r="AJ2704" s="46">
        <v>10</v>
      </c>
      <c r="AK2704" s="46">
        <v>4100</v>
      </c>
      <c r="AL2704" s="46">
        <v>21806.659</v>
      </c>
      <c r="AM2704" s="46">
        <v>5.319</v>
      </c>
      <c r="AN2704" s="46" t="s">
        <v>63</v>
      </c>
      <c r="AO2704" s="46">
        <v>900</v>
      </c>
      <c r="AP2704" s="46">
        <v>4571.3410000000003</v>
      </c>
      <c r="AQ2704" s="46">
        <v>5.0789999999999997</v>
      </c>
      <c r="AR2704" s="46">
        <v>176.3</v>
      </c>
      <c r="AS2704" s="46">
        <v>15</v>
      </c>
      <c r="AT2704" s="46">
        <v>7500</v>
      </c>
      <c r="AU2704" s="46">
        <v>39214.5</v>
      </c>
      <c r="AV2704" s="46">
        <v>5.2290000000000001</v>
      </c>
      <c r="AW2704" s="46">
        <v>10</v>
      </c>
      <c r="AX2704" s="46">
        <v>4100</v>
      </c>
      <c r="AY2704" s="46">
        <v>21806.659</v>
      </c>
      <c r="AZ2704" s="46">
        <v>5.319</v>
      </c>
      <c r="BA2704" s="46" t="s">
        <v>63</v>
      </c>
      <c r="BB2704" s="46">
        <v>3400</v>
      </c>
      <c r="BC2704" s="46">
        <v>17407.841</v>
      </c>
      <c r="BD2704" s="46">
        <v>5.12</v>
      </c>
      <c r="BE2704" s="46">
        <v>369</v>
      </c>
      <c r="BF2704" s="46">
        <v>12836.5</v>
      </c>
      <c r="BG2704" s="46">
        <v>5.13</v>
      </c>
      <c r="BH2704" s="46">
        <v>0</v>
      </c>
      <c r="BJ2704">
        <v>12836.5</v>
      </c>
      <c r="BK2704">
        <v>5.13</v>
      </c>
      <c r="BL2704">
        <v>37.35</v>
      </c>
    </row>
    <row r="2705" spans="1:64" x14ac:dyDescent="0.25">
      <c r="A2705" s="136">
        <v>43194</v>
      </c>
      <c r="B2705" s="201" t="s">
        <v>124</v>
      </c>
      <c r="C2705" t="s">
        <v>125</v>
      </c>
      <c r="D2705">
        <v>100</v>
      </c>
      <c r="E2705">
        <v>100</v>
      </c>
      <c r="F2705">
        <v>-53.579000000000001</v>
      </c>
      <c r="G2705">
        <v>5944.9</v>
      </c>
      <c r="H2705">
        <v>0</v>
      </c>
      <c r="I2705" s="309">
        <v>587</v>
      </c>
      <c r="J2705">
        <v>5.87</v>
      </c>
      <c r="K2705" s="133">
        <v>1.2266109633443101E-3</v>
      </c>
      <c r="L2705" s="181">
        <v>-1</v>
      </c>
      <c r="M2705" s="133">
        <v>0</v>
      </c>
    </row>
    <row r="2706" spans="1:64" x14ac:dyDescent="0.25">
      <c r="A2706" s="136">
        <v>43194</v>
      </c>
      <c r="B2706" s="201" t="s">
        <v>71</v>
      </c>
      <c r="C2706" t="s">
        <v>126</v>
      </c>
      <c r="D2706">
        <v>1600</v>
      </c>
      <c r="E2706">
        <v>1600</v>
      </c>
      <c r="F2706">
        <v>5.16</v>
      </c>
      <c r="G2706">
        <v>1855.44</v>
      </c>
      <c r="H2706">
        <v>22.48</v>
      </c>
      <c r="I2706" s="309">
        <v>10112</v>
      </c>
      <c r="J2706">
        <v>6.32</v>
      </c>
      <c r="K2706" s="133">
        <v>2.1130306748445699E-2</v>
      </c>
      <c r="L2706" s="181">
        <v>-16</v>
      </c>
      <c r="M2706" s="133">
        <v>1.7253129498313601E-2</v>
      </c>
      <c r="N2706" s="73">
        <v>1918.402</v>
      </c>
      <c r="O2706" s="73">
        <v>301.48471682389902</v>
      </c>
      <c r="P2706" s="182">
        <v>0</v>
      </c>
      <c r="Q2706" s="182">
        <v>0</v>
      </c>
      <c r="R2706" s="46">
        <v>0</v>
      </c>
      <c r="S2706" s="46">
        <v>4</v>
      </c>
      <c r="T2706" s="46">
        <v>1500</v>
      </c>
      <c r="U2706" s="46">
        <v>6.7229999999999999</v>
      </c>
      <c r="V2706" s="46" t="s">
        <v>68</v>
      </c>
      <c r="W2706" s="46">
        <v>1500</v>
      </c>
      <c r="X2706" s="46">
        <v>6.7229999999999999</v>
      </c>
      <c r="AF2706" s="46">
        <v>44</v>
      </c>
      <c r="AG2706" s="46">
        <v>22100</v>
      </c>
      <c r="AH2706" s="46">
        <v>141289.26</v>
      </c>
      <c r="AI2706" s="46">
        <v>6.3929999999999998</v>
      </c>
      <c r="AJ2706" s="46">
        <v>42</v>
      </c>
      <c r="AK2706" s="46">
        <v>19000</v>
      </c>
      <c r="AL2706" s="46">
        <v>122809.446</v>
      </c>
      <c r="AM2706" s="46">
        <v>6.4640000000000004</v>
      </c>
      <c r="AN2706" s="46" t="s">
        <v>63</v>
      </c>
      <c r="AO2706" s="46">
        <v>3100</v>
      </c>
      <c r="AP2706" s="46">
        <v>18479.813999999998</v>
      </c>
      <c r="AQ2706" s="46">
        <v>5.9610000000000003</v>
      </c>
      <c r="AR2706" s="46">
        <v>1349</v>
      </c>
      <c r="AS2706" s="46">
        <v>44</v>
      </c>
      <c r="AT2706" s="46">
        <v>22100</v>
      </c>
      <c r="AU2706" s="46">
        <v>141289.26</v>
      </c>
      <c r="AV2706" s="46">
        <v>6.3929999999999998</v>
      </c>
      <c r="AW2706" s="46">
        <v>46</v>
      </c>
      <c r="AX2706" s="46">
        <v>20500</v>
      </c>
      <c r="AY2706" s="46">
        <v>132870.462</v>
      </c>
      <c r="AZ2706" s="46">
        <v>6.4809999999999999</v>
      </c>
      <c r="BA2706" s="46" t="s">
        <v>63</v>
      </c>
      <c r="BB2706" s="46">
        <v>1600</v>
      </c>
      <c r="BC2706" s="46">
        <v>8418.7980000000007</v>
      </c>
      <c r="BD2706" s="46">
        <v>5.2619999999999996</v>
      </c>
      <c r="BE2706" s="46">
        <v>1804</v>
      </c>
      <c r="BF2706" s="46">
        <v>0</v>
      </c>
      <c r="BH2706" s="46">
        <v>10061.016</v>
      </c>
      <c r="BI2706">
        <v>6.71</v>
      </c>
      <c r="BJ2706">
        <v>-10061.016</v>
      </c>
      <c r="BK2706">
        <v>-6.71</v>
      </c>
      <c r="BL2706">
        <v>213.45</v>
      </c>
    </row>
    <row r="2707" spans="1:64" x14ac:dyDescent="0.25">
      <c r="A2707" s="136">
        <v>43194</v>
      </c>
      <c r="B2707" s="201" t="s">
        <v>79</v>
      </c>
      <c r="C2707" t="s">
        <v>143</v>
      </c>
      <c r="D2707">
        <v>5700</v>
      </c>
      <c r="E2707">
        <v>5700</v>
      </c>
      <c r="F2707">
        <v>16.323</v>
      </c>
      <c r="G2707">
        <v>-11016.6</v>
      </c>
      <c r="H2707">
        <v>-11.84</v>
      </c>
      <c r="I2707" s="309">
        <v>82023</v>
      </c>
      <c r="J2707">
        <v>14.39</v>
      </c>
      <c r="K2707" s="133">
        <v>0.17139746345211301</v>
      </c>
      <c r="L2707" s="181">
        <v>0</v>
      </c>
      <c r="M2707" s="133">
        <v>0.194418046652758</v>
      </c>
      <c r="N2707" s="73">
        <v>-11648.0280000001</v>
      </c>
      <c r="O2707" s="73">
        <v>-815.28039117647802</v>
      </c>
      <c r="P2707" s="182">
        <v>8</v>
      </c>
      <c r="Q2707" s="182">
        <v>4500</v>
      </c>
      <c r="R2707" s="46">
        <v>15.429</v>
      </c>
      <c r="S2707" s="46">
        <v>0</v>
      </c>
      <c r="T2707" s="46">
        <v>0</v>
      </c>
      <c r="U2707" s="46">
        <v>0</v>
      </c>
      <c r="V2707" s="46" t="s">
        <v>62</v>
      </c>
      <c r="W2707" s="46">
        <v>4500</v>
      </c>
      <c r="X2707" s="46">
        <v>15.429</v>
      </c>
      <c r="AF2707" s="46">
        <v>12</v>
      </c>
      <c r="AG2707" s="46">
        <v>6000</v>
      </c>
      <c r="AH2707" s="46">
        <v>96283.6</v>
      </c>
      <c r="AI2707" s="46">
        <v>16.047000000000001</v>
      </c>
      <c r="AJ2707" s="46">
        <v>12</v>
      </c>
      <c r="AK2707" s="46">
        <v>4800</v>
      </c>
      <c r="AL2707" s="46">
        <v>72712.271999999895</v>
      </c>
      <c r="AM2707" s="46">
        <v>15.148</v>
      </c>
      <c r="AN2707" s="46" t="s">
        <v>63</v>
      </c>
      <c r="AO2707" s="46">
        <v>1200</v>
      </c>
      <c r="AP2707" s="46">
        <v>23571.328000000001</v>
      </c>
      <c r="AQ2707" s="46">
        <v>19.643000000000001</v>
      </c>
      <c r="AR2707" s="46">
        <v>-4315.2</v>
      </c>
      <c r="AS2707" s="46">
        <v>20</v>
      </c>
      <c r="AT2707" s="46">
        <v>10500</v>
      </c>
      <c r="AU2707" s="46">
        <v>165756.29999999999</v>
      </c>
      <c r="AV2707" s="46">
        <v>15.786</v>
      </c>
      <c r="AW2707" s="46">
        <v>12</v>
      </c>
      <c r="AX2707" s="46">
        <v>4800</v>
      </c>
      <c r="AY2707" s="46">
        <v>72712.271999999895</v>
      </c>
      <c r="AZ2707" s="46">
        <v>15.148</v>
      </c>
      <c r="BA2707" s="46" t="s">
        <v>63</v>
      </c>
      <c r="BB2707" s="46">
        <v>5700</v>
      </c>
      <c r="BC2707" s="46">
        <v>93044.028000000006</v>
      </c>
      <c r="BD2707" s="46">
        <v>16.324000000000002</v>
      </c>
      <c r="BE2707" s="46">
        <v>-3062.4</v>
      </c>
      <c r="BF2707" s="46">
        <v>69472.7</v>
      </c>
      <c r="BG2707" s="46">
        <v>15.44</v>
      </c>
      <c r="BH2707" s="46">
        <v>0</v>
      </c>
      <c r="BJ2707">
        <v>69472.7</v>
      </c>
      <c r="BK2707">
        <v>15.44</v>
      </c>
      <c r="BL2707">
        <v>-299.87</v>
      </c>
    </row>
    <row r="2708" spans="1:64" x14ac:dyDescent="0.25">
      <c r="A2708" s="136">
        <v>43194</v>
      </c>
      <c r="B2708" s="201" t="s">
        <v>65</v>
      </c>
      <c r="C2708" t="s">
        <v>127</v>
      </c>
      <c r="D2708">
        <v>14300</v>
      </c>
      <c r="E2708">
        <v>13800</v>
      </c>
      <c r="F2708">
        <v>9.39</v>
      </c>
      <c r="G2708">
        <v>1280.6300000000001</v>
      </c>
      <c r="H2708">
        <v>0.96</v>
      </c>
      <c r="I2708" s="309">
        <v>135564</v>
      </c>
      <c r="J2708">
        <v>9.48</v>
      </c>
      <c r="K2708" s="133">
        <v>0.28327817484635098</v>
      </c>
      <c r="L2708" s="181">
        <v>-971</v>
      </c>
      <c r="M2708" s="133">
        <v>0.28060213600821199</v>
      </c>
      <c r="N2708" s="73">
        <v>-3001.7870000000198</v>
      </c>
      <c r="O2708" s="73">
        <v>134.92896801158801</v>
      </c>
      <c r="P2708" s="182">
        <v>2</v>
      </c>
      <c r="Q2708" s="182">
        <v>1000</v>
      </c>
      <c r="R2708" s="46">
        <v>9.51</v>
      </c>
      <c r="S2708" s="46">
        <v>12</v>
      </c>
      <c r="T2708" s="46">
        <v>5200</v>
      </c>
      <c r="U2708" s="46">
        <v>12.451000000000001</v>
      </c>
      <c r="V2708" s="46" t="s">
        <v>68</v>
      </c>
      <c r="W2708" s="46">
        <v>4200</v>
      </c>
      <c r="X2708" s="46">
        <v>13.151</v>
      </c>
      <c r="AF2708" s="46">
        <v>176</v>
      </c>
      <c r="AG2708" s="46">
        <v>93700</v>
      </c>
      <c r="AH2708" s="46">
        <v>1080215.2309999999</v>
      </c>
      <c r="AI2708" s="46">
        <v>11.528</v>
      </c>
      <c r="AJ2708" s="46">
        <v>195</v>
      </c>
      <c r="AK2708" s="46">
        <v>84400</v>
      </c>
      <c r="AL2708" s="46">
        <v>889994.18900000001</v>
      </c>
      <c r="AM2708" s="46">
        <v>10.545</v>
      </c>
      <c r="AN2708" s="46" t="s">
        <v>63</v>
      </c>
      <c r="AO2708" s="46">
        <v>9300</v>
      </c>
      <c r="AP2708" s="46">
        <v>190221.04199999999</v>
      </c>
      <c r="AQ2708" s="46">
        <v>20.454000000000001</v>
      </c>
      <c r="AR2708" s="46">
        <v>-82965.2</v>
      </c>
      <c r="AS2708" s="46">
        <v>179</v>
      </c>
      <c r="AT2708" s="46">
        <v>94800</v>
      </c>
      <c r="AU2708" s="46">
        <v>1091023.2309999999</v>
      </c>
      <c r="AV2708" s="46">
        <v>11.509</v>
      </c>
      <c r="AW2708" s="46">
        <v>207</v>
      </c>
      <c r="AX2708" s="46">
        <v>89600</v>
      </c>
      <c r="AY2708" s="46">
        <v>954616.44200000004</v>
      </c>
      <c r="AZ2708" s="46">
        <v>10.654</v>
      </c>
      <c r="BA2708" s="46" t="s">
        <v>63</v>
      </c>
      <c r="BB2708" s="46">
        <v>5200</v>
      </c>
      <c r="BC2708" s="46">
        <v>136406.78899999999</v>
      </c>
      <c r="BD2708" s="46">
        <v>26.231999999999999</v>
      </c>
      <c r="BE2708" s="46">
        <v>-76608</v>
      </c>
      <c r="BF2708" s="46">
        <v>10808</v>
      </c>
      <c r="BG2708" s="46">
        <v>10.81</v>
      </c>
      <c r="BH2708" s="46">
        <v>64622.252999999997</v>
      </c>
      <c r="BI2708">
        <v>12.43</v>
      </c>
      <c r="BJ2708">
        <v>-53814.252999999997</v>
      </c>
      <c r="BK2708">
        <v>-12.81</v>
      </c>
      <c r="BL2708">
        <v>-8751.6</v>
      </c>
    </row>
    <row r="2709" spans="1:64" x14ac:dyDescent="0.25">
      <c r="A2709" s="136">
        <v>43194</v>
      </c>
      <c r="B2709" s="201" t="s">
        <v>77</v>
      </c>
      <c r="C2709" t="s">
        <v>128</v>
      </c>
      <c r="D2709">
        <v>4300</v>
      </c>
      <c r="E2709">
        <v>4300</v>
      </c>
      <c r="F2709">
        <v>5.9779999999999998</v>
      </c>
      <c r="G2709">
        <v>-595.27</v>
      </c>
      <c r="H2709">
        <v>-2.31</v>
      </c>
      <c r="I2709" s="309">
        <v>25112</v>
      </c>
      <c r="J2709">
        <v>5.84</v>
      </c>
      <c r="K2709" s="133">
        <v>5.2474709559629101E-2</v>
      </c>
      <c r="L2709" s="181">
        <v>0</v>
      </c>
      <c r="M2709" s="133">
        <v>5.3718601737056601E-2</v>
      </c>
      <c r="N2709" s="73">
        <v>-1272.2139999999999</v>
      </c>
      <c r="O2709" s="73">
        <v>-133.073774655173</v>
      </c>
      <c r="P2709" s="182">
        <v>6</v>
      </c>
      <c r="Q2709" s="182">
        <v>3000</v>
      </c>
      <c r="R2709" s="46">
        <v>6.798</v>
      </c>
      <c r="S2709" s="46">
        <v>0</v>
      </c>
      <c r="T2709" s="46">
        <v>0</v>
      </c>
      <c r="U2709" s="46">
        <v>0</v>
      </c>
      <c r="V2709" s="46" t="s">
        <v>62</v>
      </c>
      <c r="W2709" s="46">
        <v>3000</v>
      </c>
      <c r="X2709" s="46">
        <v>6.798</v>
      </c>
      <c r="AF2709" s="46">
        <v>39</v>
      </c>
      <c r="AG2709" s="46">
        <v>19500</v>
      </c>
      <c r="AH2709" s="46">
        <v>142169</v>
      </c>
      <c r="AI2709" s="46">
        <v>7.2910000000000004</v>
      </c>
      <c r="AJ2709" s="46">
        <v>39</v>
      </c>
      <c r="AK2709" s="46">
        <v>18200</v>
      </c>
      <c r="AL2709" s="46">
        <v>136881.78599999999</v>
      </c>
      <c r="AM2709" s="46">
        <v>7.5209999999999999</v>
      </c>
      <c r="AN2709" s="46" t="s">
        <v>63</v>
      </c>
      <c r="AO2709" s="46">
        <v>1300</v>
      </c>
      <c r="AP2709" s="46">
        <v>5287.2139999999999</v>
      </c>
      <c r="AQ2709" s="46">
        <v>4.0670000000000002</v>
      </c>
      <c r="AR2709" s="46">
        <v>4186</v>
      </c>
      <c r="AS2709" s="46">
        <v>45</v>
      </c>
      <c r="AT2709" s="46">
        <v>22500</v>
      </c>
      <c r="AU2709" s="46">
        <v>162594</v>
      </c>
      <c r="AV2709" s="46">
        <v>7.226</v>
      </c>
      <c r="AW2709" s="46">
        <v>39</v>
      </c>
      <c r="AX2709" s="46">
        <v>18200</v>
      </c>
      <c r="AY2709" s="46">
        <v>136881.78599999999</v>
      </c>
      <c r="AZ2709" s="46">
        <v>7.5209999999999999</v>
      </c>
      <c r="BA2709" s="46" t="s">
        <v>63</v>
      </c>
      <c r="BB2709" s="46">
        <v>4300</v>
      </c>
      <c r="BC2709" s="46">
        <v>25712.214</v>
      </c>
      <c r="BD2709" s="46">
        <v>5.98</v>
      </c>
      <c r="BE2709" s="46">
        <v>5369</v>
      </c>
      <c r="BF2709" s="46">
        <v>20425</v>
      </c>
      <c r="BG2709" s="46">
        <v>6.81</v>
      </c>
      <c r="BH2709" s="46">
        <v>0</v>
      </c>
      <c r="BJ2709">
        <v>20425</v>
      </c>
      <c r="BK2709">
        <v>6.81</v>
      </c>
      <c r="BL2709">
        <v>716.78</v>
      </c>
    </row>
    <row r="2710" spans="1:64" x14ac:dyDescent="0.25">
      <c r="A2710" s="136">
        <v>43194</v>
      </c>
      <c r="B2710" s="201" t="s">
        <v>67</v>
      </c>
      <c r="C2710" t="s">
        <v>129</v>
      </c>
      <c r="D2710">
        <v>900</v>
      </c>
      <c r="E2710">
        <v>900</v>
      </c>
      <c r="F2710">
        <v>4.8860000000000001</v>
      </c>
      <c r="G2710">
        <v>3765.44</v>
      </c>
      <c r="H2710">
        <v>85.63</v>
      </c>
      <c r="I2710" s="309">
        <v>8163</v>
      </c>
      <c r="J2710">
        <v>9.07</v>
      </c>
      <c r="K2710" s="133">
        <v>1.7057624009845999E-2</v>
      </c>
      <c r="L2710" s="181">
        <v>431.65</v>
      </c>
      <c r="M2710" s="133">
        <v>9.18925946842317E-3</v>
      </c>
      <c r="N2710" s="73">
        <v>3907.1504999997601</v>
      </c>
      <c r="O2710" s="73">
        <v>423.09825836942298</v>
      </c>
      <c r="P2710" s="182">
        <v>0</v>
      </c>
      <c r="Q2710" s="182">
        <v>0</v>
      </c>
      <c r="R2710" s="46">
        <v>0</v>
      </c>
      <c r="S2710" s="46">
        <v>21</v>
      </c>
      <c r="T2710" s="46">
        <v>8400</v>
      </c>
      <c r="U2710" s="46">
        <v>8.9580000000000002</v>
      </c>
      <c r="V2710" s="46" t="s">
        <v>68</v>
      </c>
      <c r="W2710" s="46">
        <v>8400</v>
      </c>
      <c r="X2710" s="46">
        <v>8.9580000000000002</v>
      </c>
      <c r="AF2710" s="46">
        <v>186</v>
      </c>
      <c r="AG2710" s="46">
        <v>92400</v>
      </c>
      <c r="AH2710" s="46">
        <v>768620</v>
      </c>
      <c r="AI2710" s="46">
        <v>8.3179999999999996</v>
      </c>
      <c r="AJ2710" s="46">
        <v>189</v>
      </c>
      <c r="AK2710" s="46">
        <v>85700</v>
      </c>
      <c r="AL2710" s="46">
        <v>758284.51049999997</v>
      </c>
      <c r="AM2710" s="46">
        <v>8.8480000000000008</v>
      </c>
      <c r="AN2710" s="46" t="s">
        <v>63</v>
      </c>
      <c r="AO2710" s="46">
        <v>6700</v>
      </c>
      <c r="AP2710" s="46">
        <v>10335.489</v>
      </c>
      <c r="AQ2710" s="46">
        <v>1.5429999999999999</v>
      </c>
      <c r="AR2710" s="46">
        <v>45421</v>
      </c>
      <c r="AS2710" s="46">
        <v>186</v>
      </c>
      <c r="AT2710" s="46">
        <v>92400</v>
      </c>
      <c r="AU2710" s="46">
        <v>768620</v>
      </c>
      <c r="AV2710" s="46">
        <v>8.3179999999999996</v>
      </c>
      <c r="AW2710" s="46">
        <v>210</v>
      </c>
      <c r="AX2710" s="46">
        <v>94100</v>
      </c>
      <c r="AY2710" s="46">
        <v>833348.26650000003</v>
      </c>
      <c r="AZ2710" s="46">
        <v>8.8559999999999999</v>
      </c>
      <c r="BA2710" s="46" t="s">
        <v>69</v>
      </c>
      <c r="BB2710" s="46">
        <v>1700</v>
      </c>
      <c r="BC2710" s="46">
        <v>64728.267</v>
      </c>
      <c r="BD2710" s="46">
        <v>38.075000000000003</v>
      </c>
      <c r="BE2710" s="46">
        <v>49711.199999999997</v>
      </c>
      <c r="BF2710" s="46">
        <v>0</v>
      </c>
      <c r="BH2710" s="46">
        <v>75063.756000000198</v>
      </c>
      <c r="BI2710">
        <v>8.94</v>
      </c>
      <c r="BJ2710">
        <v>54392.777999999998</v>
      </c>
      <c r="BK2710">
        <v>6.48</v>
      </c>
      <c r="BL2710">
        <v>5007.83</v>
      </c>
    </row>
    <row r="2711" spans="1:64" x14ac:dyDescent="0.25">
      <c r="A2711" s="136">
        <v>43194</v>
      </c>
      <c r="B2711" s="201" t="s">
        <v>78</v>
      </c>
      <c r="C2711" t="s">
        <v>142</v>
      </c>
      <c r="D2711">
        <v>100</v>
      </c>
      <c r="E2711">
        <v>100</v>
      </c>
      <c r="F2711">
        <v>-4.9039999999999999</v>
      </c>
      <c r="G2711">
        <v>1553.4</v>
      </c>
      <c r="H2711">
        <v>0</v>
      </c>
      <c r="I2711" s="309">
        <v>1063</v>
      </c>
      <c r="J2711">
        <v>10.63</v>
      </c>
      <c r="K2711" s="133">
        <v>2.2212733458858601E-3</v>
      </c>
      <c r="L2711" s="181">
        <v>-39</v>
      </c>
      <c r="M2711" s="133">
        <v>0</v>
      </c>
      <c r="N2711" s="73">
        <v>1506.3910000000001</v>
      </c>
      <c r="O2711" s="73">
        <v>148.19269729330699</v>
      </c>
      <c r="P2711" s="182">
        <v>0</v>
      </c>
      <c r="Q2711" s="182">
        <v>0</v>
      </c>
      <c r="R2711" s="46">
        <v>0</v>
      </c>
      <c r="S2711" s="46">
        <v>3</v>
      </c>
      <c r="T2711" s="46">
        <v>1200</v>
      </c>
      <c r="U2711" s="46">
        <v>9.99</v>
      </c>
      <c r="V2711" s="46" t="s">
        <v>68</v>
      </c>
      <c r="W2711" s="46">
        <v>1200</v>
      </c>
      <c r="X2711" s="46">
        <v>9.99</v>
      </c>
      <c r="AF2711" s="46">
        <v>13</v>
      </c>
      <c r="AG2711" s="46">
        <v>6500</v>
      </c>
      <c r="AH2711" s="46">
        <v>62970</v>
      </c>
      <c r="AI2711" s="46">
        <v>9.6880000000000006</v>
      </c>
      <c r="AJ2711" s="46">
        <v>14</v>
      </c>
      <c r="AK2711" s="46">
        <v>5200</v>
      </c>
      <c r="AL2711" s="46">
        <v>51499.379000000001</v>
      </c>
      <c r="AM2711" s="46">
        <v>9.9039999999999999</v>
      </c>
      <c r="AN2711" s="46" t="s">
        <v>63</v>
      </c>
      <c r="AO2711" s="46">
        <v>1300</v>
      </c>
      <c r="AP2711" s="46">
        <v>11470.620999999999</v>
      </c>
      <c r="AQ2711" s="46">
        <v>8.8239999999999998</v>
      </c>
      <c r="AR2711" s="46">
        <v>1123.2</v>
      </c>
      <c r="AS2711" s="46">
        <v>13</v>
      </c>
      <c r="AT2711" s="46">
        <v>6500</v>
      </c>
      <c r="AU2711" s="46">
        <v>62970</v>
      </c>
      <c r="AV2711" s="46">
        <v>9.6880000000000006</v>
      </c>
      <c r="AW2711" s="46">
        <v>17</v>
      </c>
      <c r="AX2711" s="46">
        <v>6400</v>
      </c>
      <c r="AY2711" s="46">
        <v>63460.391000000003</v>
      </c>
      <c r="AZ2711" s="46">
        <v>9.9160000000000004</v>
      </c>
      <c r="BA2711" s="46" t="s">
        <v>63</v>
      </c>
      <c r="BB2711" s="46">
        <v>100</v>
      </c>
      <c r="BC2711" s="46">
        <v>490.39100000000002</v>
      </c>
      <c r="BD2711" s="46">
        <v>4.9039999999999999</v>
      </c>
      <c r="BE2711" s="46">
        <v>1459.2</v>
      </c>
      <c r="BF2711" s="46">
        <v>0</v>
      </c>
      <c r="BH2711" s="46">
        <v>11961.012000000001</v>
      </c>
      <c r="BI2711">
        <v>9.9700000000000006</v>
      </c>
      <c r="BJ2711">
        <v>-10980.23</v>
      </c>
      <c r="BK2711">
        <v>-9.15</v>
      </c>
      <c r="BL2711">
        <v>105.66</v>
      </c>
    </row>
    <row r="2712" spans="1:64" x14ac:dyDescent="0.25">
      <c r="A2712" s="136">
        <v>43194</v>
      </c>
      <c r="B2712" s="201" t="s">
        <v>72</v>
      </c>
      <c r="C2712" t="s">
        <v>130</v>
      </c>
      <c r="D2712">
        <v>3200</v>
      </c>
      <c r="E2712">
        <v>3200</v>
      </c>
      <c r="F2712">
        <v>6.782</v>
      </c>
      <c r="G2712">
        <v>-965.41</v>
      </c>
      <c r="H2712">
        <v>-4.45</v>
      </c>
      <c r="I2712" s="309">
        <v>20736</v>
      </c>
      <c r="J2712">
        <v>6.48</v>
      </c>
      <c r="K2712" s="133">
        <v>4.3330502446179898E-2</v>
      </c>
      <c r="L2712" s="181">
        <v>64.000000000000099</v>
      </c>
      <c r="M2712" s="133">
        <v>4.5347849107376201E-2</v>
      </c>
      <c r="N2712" s="73">
        <v>-1027.1079999999999</v>
      </c>
      <c r="O2712" s="73">
        <v>-123.276462633994</v>
      </c>
      <c r="P2712" s="182">
        <v>0</v>
      </c>
      <c r="Q2712" s="182">
        <v>0</v>
      </c>
      <c r="R2712" s="46">
        <v>0</v>
      </c>
      <c r="S2712" s="46">
        <v>12</v>
      </c>
      <c r="T2712" s="46">
        <v>4800</v>
      </c>
      <c r="U2712" s="46">
        <v>7.4859999999999998</v>
      </c>
      <c r="V2712" s="46" t="s">
        <v>68</v>
      </c>
      <c r="W2712" s="46">
        <v>4800</v>
      </c>
      <c r="X2712" s="46">
        <v>7.4859999999999998</v>
      </c>
      <c r="AF2712" s="46">
        <v>35</v>
      </c>
      <c r="AG2712" s="46">
        <v>17400</v>
      </c>
      <c r="AH2712" s="46">
        <v>130612</v>
      </c>
      <c r="AI2712" s="46">
        <v>7.5060000000000002</v>
      </c>
      <c r="AJ2712" s="46">
        <v>35</v>
      </c>
      <c r="AK2712" s="46">
        <v>16000</v>
      </c>
      <c r="AL2712" s="46">
        <v>73807.009000000005</v>
      </c>
      <c r="AM2712" s="46">
        <v>4.6130000000000004</v>
      </c>
      <c r="AN2712" s="46" t="s">
        <v>63</v>
      </c>
      <c r="AO2712" s="46">
        <v>1400</v>
      </c>
      <c r="AP2712" s="46">
        <v>56804.991000000002</v>
      </c>
      <c r="AQ2712" s="46">
        <v>40.575000000000003</v>
      </c>
      <c r="AR2712" s="46">
        <v>-46288</v>
      </c>
      <c r="AS2712" s="46">
        <v>35</v>
      </c>
      <c r="AT2712" s="46">
        <v>17400</v>
      </c>
      <c r="AU2712" s="46">
        <v>130612</v>
      </c>
      <c r="AV2712" s="46">
        <v>7.5060000000000002</v>
      </c>
      <c r="AW2712" s="46">
        <v>48</v>
      </c>
      <c r="AX2712" s="46">
        <v>21300</v>
      </c>
      <c r="AY2712" s="46">
        <v>109643.077</v>
      </c>
      <c r="AZ2712" s="46">
        <v>5.1479999999999997</v>
      </c>
      <c r="BA2712" s="46" t="s">
        <v>69</v>
      </c>
      <c r="BB2712" s="46">
        <v>3900</v>
      </c>
      <c r="BC2712" s="46">
        <v>20968.922999999999</v>
      </c>
      <c r="BD2712" s="46">
        <v>5.3769999999999998</v>
      </c>
      <c r="BE2712" s="46">
        <v>-41029.199999999997</v>
      </c>
      <c r="BF2712" s="46">
        <v>0</v>
      </c>
      <c r="BH2712" s="46">
        <v>35836.067999999999</v>
      </c>
      <c r="BI2712">
        <v>7.47</v>
      </c>
      <c r="BJ2712">
        <v>-35836.067999999999</v>
      </c>
      <c r="BK2712">
        <v>-7.47</v>
      </c>
      <c r="BL2712">
        <v>-7143.21</v>
      </c>
    </row>
    <row r="2713" spans="1:64" x14ac:dyDescent="0.25">
      <c r="A2713" s="136">
        <v>43194</v>
      </c>
      <c r="B2713" s="201" t="s">
        <v>70</v>
      </c>
      <c r="C2713" t="s">
        <v>131</v>
      </c>
      <c r="D2713">
        <v>11400</v>
      </c>
      <c r="E2713">
        <v>11400</v>
      </c>
      <c r="F2713">
        <v>11.68</v>
      </c>
      <c r="G2713">
        <v>-32142.32</v>
      </c>
      <c r="H2713">
        <v>-24.14</v>
      </c>
      <c r="I2713" s="309">
        <v>101004</v>
      </c>
      <c r="J2713">
        <v>8.86</v>
      </c>
      <c r="K2713" s="133">
        <v>0.21106067076938401</v>
      </c>
      <c r="L2713" s="181">
        <v>1644.84</v>
      </c>
      <c r="M2713" s="133">
        <v>0.27822612579378098</v>
      </c>
      <c r="N2713" s="73">
        <v>-30436.323000000099</v>
      </c>
      <c r="O2713" s="73">
        <v>-3376.37123623752</v>
      </c>
      <c r="P2713" s="182">
        <v>2</v>
      </c>
      <c r="Q2713" s="182">
        <v>1000</v>
      </c>
      <c r="R2713" s="46">
        <v>8.08</v>
      </c>
      <c r="S2713" s="46">
        <v>5</v>
      </c>
      <c r="T2713" s="46">
        <v>2100</v>
      </c>
      <c r="U2713" s="46">
        <v>8.9</v>
      </c>
      <c r="V2713" s="46" t="s">
        <v>68</v>
      </c>
      <c r="W2713" s="46">
        <v>1100</v>
      </c>
      <c r="X2713" s="46">
        <v>9.6449999999999996</v>
      </c>
      <c r="AF2713" s="46">
        <v>135</v>
      </c>
      <c r="AG2713" s="46">
        <v>69100</v>
      </c>
      <c r="AH2713" s="46">
        <v>899283</v>
      </c>
      <c r="AI2713" s="46">
        <v>13.013999999999999</v>
      </c>
      <c r="AJ2713" s="46">
        <v>141</v>
      </c>
      <c r="AK2713" s="46">
        <v>56600</v>
      </c>
      <c r="AL2713" s="46">
        <v>755172.36600000004</v>
      </c>
      <c r="AM2713" s="46">
        <v>13.342000000000001</v>
      </c>
      <c r="AN2713" s="46" t="s">
        <v>63</v>
      </c>
      <c r="AO2713" s="46">
        <v>12500</v>
      </c>
      <c r="AP2713" s="46">
        <v>144110.63399999999</v>
      </c>
      <c r="AQ2713" s="46">
        <v>11.529</v>
      </c>
      <c r="AR2713" s="46">
        <v>18564.8</v>
      </c>
      <c r="AS2713" s="46">
        <v>137</v>
      </c>
      <c r="AT2713" s="46">
        <v>70100</v>
      </c>
      <c r="AU2713" s="46">
        <v>907373</v>
      </c>
      <c r="AV2713" s="46">
        <v>12.944000000000001</v>
      </c>
      <c r="AW2713" s="46">
        <v>147</v>
      </c>
      <c r="AX2713" s="46">
        <v>58700</v>
      </c>
      <c r="AY2713" s="46">
        <v>774222.67700000003</v>
      </c>
      <c r="AZ2713" s="46">
        <v>13.189</v>
      </c>
      <c r="BA2713" s="46" t="s">
        <v>63</v>
      </c>
      <c r="BB2713" s="46">
        <v>11400</v>
      </c>
      <c r="BC2713" s="46">
        <v>133150.323</v>
      </c>
      <c r="BD2713" s="46">
        <v>11.68</v>
      </c>
      <c r="BE2713" s="46">
        <v>14381.5</v>
      </c>
      <c r="BF2713" s="46">
        <v>8090</v>
      </c>
      <c r="BG2713" s="46">
        <v>8.09</v>
      </c>
      <c r="BH2713" s="46">
        <v>19050.3110000001</v>
      </c>
      <c r="BI2713">
        <v>9.07</v>
      </c>
      <c r="BJ2713">
        <v>-10960.311</v>
      </c>
      <c r="BK2713">
        <v>-9.9600000000000009</v>
      </c>
      <c r="BL2713">
        <v>2095.35</v>
      </c>
    </row>
    <row r="2714" spans="1:64" x14ac:dyDescent="0.25">
      <c r="A2714" s="136">
        <v>43194</v>
      </c>
      <c r="B2714" s="201" t="s">
        <v>137</v>
      </c>
      <c r="C2714" t="s">
        <v>138</v>
      </c>
      <c r="D2714">
        <v>100</v>
      </c>
      <c r="E2714">
        <v>100</v>
      </c>
      <c r="F2714">
        <v>-130.48500000000001</v>
      </c>
      <c r="G2714">
        <v>18598.5</v>
      </c>
      <c r="H2714">
        <v>0</v>
      </c>
      <c r="I2714" s="309">
        <v>5550</v>
      </c>
      <c r="J2714">
        <v>55.5</v>
      </c>
      <c r="K2714" s="133">
        <v>1.15974290401378E-2</v>
      </c>
      <c r="L2714" s="181">
        <v>404</v>
      </c>
      <c r="M2714" s="133">
        <v>0</v>
      </c>
    </row>
    <row r="2715" spans="1:64" x14ac:dyDescent="0.25">
      <c r="A2715" s="136">
        <v>43194</v>
      </c>
      <c r="B2715" s="201" t="s">
        <v>835</v>
      </c>
      <c r="C2715" t="s">
        <v>839</v>
      </c>
      <c r="I2715" s="309">
        <v>22456.33</v>
      </c>
      <c r="K2715" s="133">
        <v>4.6925350212057397E-2</v>
      </c>
      <c r="L2715" s="181">
        <v>0</v>
      </c>
      <c r="M2715" s="133">
        <v>0.15169090306442501</v>
      </c>
    </row>
    <row r="2716" spans="1:64" x14ac:dyDescent="0.25">
      <c r="A2716" s="136">
        <v>43199</v>
      </c>
      <c r="B2716" s="201" t="s">
        <v>132</v>
      </c>
      <c r="C2716" t="s">
        <v>123</v>
      </c>
      <c r="D2716">
        <v>5014060</v>
      </c>
      <c r="E2716">
        <v>5014060</v>
      </c>
      <c r="F2716">
        <v>8.9999999999999993E-3</v>
      </c>
      <c r="G2716">
        <v>3386.16</v>
      </c>
      <c r="H2716">
        <v>11.11</v>
      </c>
      <c r="I2716" s="309">
        <v>50140.6</v>
      </c>
      <c r="J2716">
        <v>0.01</v>
      </c>
      <c r="K2716" s="133">
        <v>0.10584320093704901</v>
      </c>
      <c r="L2716" s="181">
        <v>4.5899999999996899</v>
      </c>
      <c r="M2716" s="133">
        <v>0</v>
      </c>
    </row>
    <row r="2717" spans="1:64" x14ac:dyDescent="0.25">
      <c r="A2717" s="136">
        <v>43199</v>
      </c>
      <c r="B2717" s="201" t="s">
        <v>61</v>
      </c>
      <c r="C2717" t="s">
        <v>136</v>
      </c>
      <c r="D2717">
        <v>3400</v>
      </c>
      <c r="E2717">
        <v>3400</v>
      </c>
      <c r="F2717">
        <v>5.1180000000000003</v>
      </c>
      <c r="G2717">
        <v>-1354.05</v>
      </c>
      <c r="H2717">
        <v>-7.78</v>
      </c>
      <c r="I2717" s="309">
        <v>16048</v>
      </c>
      <c r="J2717">
        <v>4.72</v>
      </c>
      <c r="K2717" s="133">
        <v>3.3876173971547401E-2</v>
      </c>
      <c r="L2717" s="181">
        <v>0</v>
      </c>
      <c r="M2717" s="133">
        <v>3.6734476150396697E-2</v>
      </c>
      <c r="N2717" s="73">
        <v>-1257.8409999999999</v>
      </c>
      <c r="O2717" s="73">
        <v>-264.67622726315699</v>
      </c>
      <c r="P2717" s="182">
        <v>5</v>
      </c>
      <c r="Q2717" s="182">
        <v>2500</v>
      </c>
      <c r="R2717" s="46">
        <v>5.1239999999999997</v>
      </c>
      <c r="S2717" s="46">
        <v>0</v>
      </c>
      <c r="T2717" s="46">
        <v>0</v>
      </c>
      <c r="U2717" s="46">
        <v>0</v>
      </c>
      <c r="V2717" s="46" t="s">
        <v>62</v>
      </c>
      <c r="W2717" s="46">
        <v>2500</v>
      </c>
      <c r="X2717" s="46">
        <v>5.1239999999999997</v>
      </c>
      <c r="AF2717" s="46">
        <v>10</v>
      </c>
      <c r="AG2717" s="46">
        <v>5000</v>
      </c>
      <c r="AH2717" s="46">
        <v>26378</v>
      </c>
      <c r="AI2717" s="46">
        <v>5.2759999999999998</v>
      </c>
      <c r="AJ2717" s="46">
        <v>10</v>
      </c>
      <c r="AK2717" s="46">
        <v>4100</v>
      </c>
      <c r="AL2717" s="46">
        <v>21806.659</v>
      </c>
      <c r="AM2717" s="46">
        <v>5.319</v>
      </c>
      <c r="AN2717" s="46" t="s">
        <v>63</v>
      </c>
      <c r="AO2717" s="46">
        <v>900</v>
      </c>
      <c r="AP2717" s="46">
        <v>4571.3410000000003</v>
      </c>
      <c r="AQ2717" s="46">
        <v>5.0789999999999997</v>
      </c>
      <c r="AR2717" s="46">
        <v>176.3</v>
      </c>
      <c r="AS2717" s="46">
        <v>15</v>
      </c>
      <c r="AT2717" s="46">
        <v>7500</v>
      </c>
      <c r="AU2717" s="46">
        <v>39214.5</v>
      </c>
      <c r="AV2717" s="46">
        <v>5.2290000000000001</v>
      </c>
      <c r="AW2717" s="46">
        <v>10</v>
      </c>
      <c r="AX2717" s="46">
        <v>4100</v>
      </c>
      <c r="AY2717" s="46">
        <v>21806.659</v>
      </c>
      <c r="AZ2717" s="46">
        <v>5.319</v>
      </c>
      <c r="BA2717" s="46" t="s">
        <v>63</v>
      </c>
      <c r="BB2717" s="46">
        <v>3400</v>
      </c>
      <c r="BC2717" s="46">
        <v>17407.841</v>
      </c>
      <c r="BD2717" s="46">
        <v>5.12</v>
      </c>
      <c r="BE2717" s="46">
        <v>369</v>
      </c>
      <c r="BF2717" s="46">
        <v>12836.5</v>
      </c>
      <c r="BG2717" s="46">
        <v>5.13</v>
      </c>
      <c r="BH2717" s="46">
        <v>0</v>
      </c>
      <c r="BJ2717">
        <v>12836.5</v>
      </c>
      <c r="BK2717">
        <v>5.13</v>
      </c>
      <c r="BL2717">
        <v>37.35</v>
      </c>
    </row>
    <row r="2718" spans="1:64" x14ac:dyDescent="0.25">
      <c r="A2718" s="136">
        <v>43199</v>
      </c>
      <c r="B2718" s="201" t="s">
        <v>124</v>
      </c>
      <c r="C2718" t="s">
        <v>125</v>
      </c>
      <c r="D2718">
        <v>100</v>
      </c>
      <c r="E2718">
        <v>100</v>
      </c>
      <c r="F2718">
        <v>-53.579000000000001</v>
      </c>
      <c r="G2718">
        <v>5943.9</v>
      </c>
      <c r="H2718">
        <v>0</v>
      </c>
      <c r="I2718" s="309">
        <v>586</v>
      </c>
      <c r="J2718">
        <v>5.86</v>
      </c>
      <c r="K2718" s="133">
        <v>1.2370038601275399E-3</v>
      </c>
      <c r="L2718" s="181">
        <v>-1</v>
      </c>
      <c r="M2718" s="133">
        <v>0</v>
      </c>
    </row>
    <row r="2719" spans="1:64" x14ac:dyDescent="0.25">
      <c r="A2719" s="136">
        <v>43199</v>
      </c>
      <c r="B2719" s="201" t="s">
        <v>71</v>
      </c>
      <c r="C2719" t="s">
        <v>126</v>
      </c>
      <c r="D2719">
        <v>1600</v>
      </c>
      <c r="E2719">
        <v>1600</v>
      </c>
      <c r="F2719">
        <v>5.16</v>
      </c>
      <c r="G2719">
        <v>1727.44</v>
      </c>
      <c r="H2719">
        <v>20.93</v>
      </c>
      <c r="I2719" s="309">
        <v>9984</v>
      </c>
      <c r="J2719">
        <v>6.24</v>
      </c>
      <c r="K2719" s="133">
        <v>2.1075506040125199E-2</v>
      </c>
      <c r="L2719" s="181">
        <v>-128</v>
      </c>
      <c r="M2719" s="133">
        <v>1.7429004422141001E-2</v>
      </c>
      <c r="N2719" s="73">
        <v>1918.402</v>
      </c>
      <c r="O2719" s="73">
        <v>301.48471682389902</v>
      </c>
      <c r="P2719" s="182">
        <v>0</v>
      </c>
      <c r="Q2719" s="182">
        <v>0</v>
      </c>
      <c r="R2719" s="46">
        <v>0</v>
      </c>
      <c r="S2719" s="46">
        <v>4</v>
      </c>
      <c r="T2719" s="46">
        <v>1500</v>
      </c>
      <c r="U2719" s="46">
        <v>6.7229999999999999</v>
      </c>
      <c r="V2719" s="46" t="s">
        <v>68</v>
      </c>
      <c r="W2719" s="46">
        <v>1500</v>
      </c>
      <c r="X2719" s="46">
        <v>6.7229999999999999</v>
      </c>
      <c r="AF2719" s="46">
        <v>44</v>
      </c>
      <c r="AG2719" s="46">
        <v>22100</v>
      </c>
      <c r="AH2719" s="46">
        <v>141289.26</v>
      </c>
      <c r="AI2719" s="46">
        <v>6.3929999999999998</v>
      </c>
      <c r="AJ2719" s="46">
        <v>42</v>
      </c>
      <c r="AK2719" s="46">
        <v>19000</v>
      </c>
      <c r="AL2719" s="46">
        <v>122809.446</v>
      </c>
      <c r="AM2719" s="46">
        <v>6.4640000000000004</v>
      </c>
      <c r="AN2719" s="46" t="s">
        <v>63</v>
      </c>
      <c r="AO2719" s="46">
        <v>3100</v>
      </c>
      <c r="AP2719" s="46">
        <v>18479.813999999998</v>
      </c>
      <c r="AQ2719" s="46">
        <v>5.9610000000000003</v>
      </c>
      <c r="AR2719" s="46">
        <v>1349</v>
      </c>
      <c r="AS2719" s="46">
        <v>44</v>
      </c>
      <c r="AT2719" s="46">
        <v>22100</v>
      </c>
      <c r="AU2719" s="46">
        <v>141289.26</v>
      </c>
      <c r="AV2719" s="46">
        <v>6.3929999999999998</v>
      </c>
      <c r="AW2719" s="46">
        <v>46</v>
      </c>
      <c r="AX2719" s="46">
        <v>20500</v>
      </c>
      <c r="AY2719" s="46">
        <v>132870.462</v>
      </c>
      <c r="AZ2719" s="46">
        <v>6.4809999999999999</v>
      </c>
      <c r="BA2719" s="46" t="s">
        <v>63</v>
      </c>
      <c r="BB2719" s="46">
        <v>1600</v>
      </c>
      <c r="BC2719" s="46">
        <v>8418.7980000000007</v>
      </c>
      <c r="BD2719" s="46">
        <v>5.2619999999999996</v>
      </c>
      <c r="BE2719" s="46">
        <v>1804</v>
      </c>
      <c r="BF2719" s="46">
        <v>0</v>
      </c>
      <c r="BH2719" s="46">
        <v>10061.016</v>
      </c>
      <c r="BI2719">
        <v>6.71</v>
      </c>
      <c r="BJ2719">
        <v>-10061.016</v>
      </c>
      <c r="BK2719">
        <v>-6.71</v>
      </c>
      <c r="BL2719">
        <v>216.19</v>
      </c>
    </row>
    <row r="2720" spans="1:64" x14ac:dyDescent="0.25">
      <c r="A2720" s="136">
        <v>43199</v>
      </c>
      <c r="B2720" s="201" t="s">
        <v>79</v>
      </c>
      <c r="C2720" t="s">
        <v>143</v>
      </c>
      <c r="D2720">
        <v>5700</v>
      </c>
      <c r="E2720">
        <v>5700</v>
      </c>
      <c r="F2720">
        <v>16.323</v>
      </c>
      <c r="G2720">
        <v>-11529.6</v>
      </c>
      <c r="H2720">
        <v>-12.39</v>
      </c>
      <c r="I2720" s="309">
        <v>81510</v>
      </c>
      <c r="J2720">
        <v>14.3</v>
      </c>
      <c r="K2720" s="133">
        <v>0.17206174853070999</v>
      </c>
      <c r="L2720" s="181">
        <v>-513</v>
      </c>
      <c r="M2720" s="133">
        <v>0.196399905025123</v>
      </c>
      <c r="N2720" s="73">
        <v>-11648.0280000001</v>
      </c>
      <c r="O2720" s="73">
        <v>-815.28039117647802</v>
      </c>
      <c r="P2720" s="182">
        <v>8</v>
      </c>
      <c r="Q2720" s="182">
        <v>4500</v>
      </c>
      <c r="R2720" s="46">
        <v>15.429</v>
      </c>
      <c r="S2720" s="46">
        <v>0</v>
      </c>
      <c r="T2720" s="46">
        <v>0</v>
      </c>
      <c r="U2720" s="46">
        <v>0</v>
      </c>
      <c r="V2720" s="46" t="s">
        <v>62</v>
      </c>
      <c r="W2720" s="46">
        <v>4500</v>
      </c>
      <c r="X2720" s="46">
        <v>15.429</v>
      </c>
      <c r="AF2720" s="46">
        <v>12</v>
      </c>
      <c r="AG2720" s="46">
        <v>6000</v>
      </c>
      <c r="AH2720" s="46">
        <v>96283.6</v>
      </c>
      <c r="AI2720" s="46">
        <v>16.047000000000001</v>
      </c>
      <c r="AJ2720" s="46">
        <v>12</v>
      </c>
      <c r="AK2720" s="46">
        <v>4800</v>
      </c>
      <c r="AL2720" s="46">
        <v>72712.271999999895</v>
      </c>
      <c r="AM2720" s="46">
        <v>15.148</v>
      </c>
      <c r="AN2720" s="46" t="s">
        <v>63</v>
      </c>
      <c r="AO2720" s="46">
        <v>1200</v>
      </c>
      <c r="AP2720" s="46">
        <v>23571.328000000001</v>
      </c>
      <c r="AQ2720" s="46">
        <v>19.643000000000001</v>
      </c>
      <c r="AR2720" s="46">
        <v>-4315.2</v>
      </c>
      <c r="AS2720" s="46">
        <v>20</v>
      </c>
      <c r="AT2720" s="46">
        <v>10500</v>
      </c>
      <c r="AU2720" s="46">
        <v>165756.29999999999</v>
      </c>
      <c r="AV2720" s="46">
        <v>15.786</v>
      </c>
      <c r="AW2720" s="46">
        <v>12</v>
      </c>
      <c r="AX2720" s="46">
        <v>4800</v>
      </c>
      <c r="AY2720" s="46">
        <v>72712.271999999895</v>
      </c>
      <c r="AZ2720" s="46">
        <v>15.148</v>
      </c>
      <c r="BA2720" s="46" t="s">
        <v>63</v>
      </c>
      <c r="BB2720" s="46">
        <v>5700</v>
      </c>
      <c r="BC2720" s="46">
        <v>93044.028000000006</v>
      </c>
      <c r="BD2720" s="46">
        <v>16.324000000000002</v>
      </c>
      <c r="BE2720" s="46">
        <v>-3062.4</v>
      </c>
      <c r="BF2720" s="46">
        <v>69472.7</v>
      </c>
      <c r="BG2720" s="46">
        <v>15.44</v>
      </c>
      <c r="BH2720" s="46">
        <v>0</v>
      </c>
      <c r="BJ2720">
        <v>69472.7</v>
      </c>
      <c r="BK2720">
        <v>15.44</v>
      </c>
      <c r="BL2720">
        <v>-301.76</v>
      </c>
    </row>
    <row r="2721" spans="1:64" x14ac:dyDescent="0.25">
      <c r="A2721" s="136">
        <v>43199</v>
      </c>
      <c r="B2721" s="201" t="s">
        <v>65</v>
      </c>
      <c r="C2721" t="s">
        <v>127</v>
      </c>
      <c r="D2721">
        <v>14800</v>
      </c>
      <c r="E2721">
        <v>14300</v>
      </c>
      <c r="F2721">
        <v>9.39</v>
      </c>
      <c r="G2721">
        <v>-6.37</v>
      </c>
      <c r="H2721">
        <v>0</v>
      </c>
      <c r="I2721" s="309">
        <v>138972</v>
      </c>
      <c r="J2721">
        <v>9.39</v>
      </c>
      <c r="K2721" s="133">
        <v>0.29335989837823301</v>
      </c>
      <c r="L2721" s="181">
        <v>-1287</v>
      </c>
      <c r="M2721" s="133">
        <v>0.29337334499015999</v>
      </c>
      <c r="N2721" s="73">
        <v>-4436.7870000000203</v>
      </c>
      <c r="O2721" s="73">
        <v>-16.5411389392481</v>
      </c>
      <c r="P2721" s="182">
        <v>1</v>
      </c>
      <c r="Q2721" s="182">
        <v>500</v>
      </c>
      <c r="R2721" s="46">
        <v>9.3800000000000008</v>
      </c>
      <c r="S2721" s="46">
        <v>10</v>
      </c>
      <c r="T2721" s="46">
        <v>4200</v>
      </c>
      <c r="U2721" s="46">
        <v>12.484</v>
      </c>
      <c r="V2721" s="46" t="s">
        <v>68</v>
      </c>
      <c r="W2721" s="46">
        <v>3700</v>
      </c>
      <c r="X2721" s="46">
        <v>12.903</v>
      </c>
      <c r="AF2721" s="46">
        <v>178</v>
      </c>
      <c r="AG2721" s="46">
        <v>94700</v>
      </c>
      <c r="AH2721" s="46">
        <v>1089735.2309999999</v>
      </c>
      <c r="AI2721" s="46">
        <v>11.507</v>
      </c>
      <c r="AJ2721" s="46">
        <v>197</v>
      </c>
      <c r="AK2721" s="46">
        <v>85400</v>
      </c>
      <c r="AL2721" s="46">
        <v>902286.87399999995</v>
      </c>
      <c r="AM2721" s="46">
        <v>10.565</v>
      </c>
      <c r="AN2721" s="46" t="s">
        <v>63</v>
      </c>
      <c r="AO2721" s="46">
        <v>9300</v>
      </c>
      <c r="AP2721" s="46">
        <v>187448.35699999999</v>
      </c>
      <c r="AQ2721" s="46">
        <v>20.155999999999999</v>
      </c>
      <c r="AR2721" s="46">
        <v>-80446.8</v>
      </c>
      <c r="AS2721" s="46">
        <v>180</v>
      </c>
      <c r="AT2721" s="46">
        <v>95300</v>
      </c>
      <c r="AU2721" s="46">
        <v>1095718.2309999999</v>
      </c>
      <c r="AV2721" s="46">
        <v>11.497999999999999</v>
      </c>
      <c r="AW2721" s="46">
        <v>207</v>
      </c>
      <c r="AX2721" s="46">
        <v>89600</v>
      </c>
      <c r="AY2721" s="46">
        <v>954616.44200000004</v>
      </c>
      <c r="AZ2721" s="46">
        <v>10.654</v>
      </c>
      <c r="BA2721" s="46" t="s">
        <v>63</v>
      </c>
      <c r="BB2721" s="46">
        <v>5700</v>
      </c>
      <c r="BC2721" s="46">
        <v>141101.78899999999</v>
      </c>
      <c r="BD2721" s="46">
        <v>24.754999999999999</v>
      </c>
      <c r="BE2721" s="46">
        <v>-75622.399999999994</v>
      </c>
      <c r="BF2721" s="46">
        <v>5983</v>
      </c>
      <c r="BG2721" s="46">
        <v>11.97</v>
      </c>
      <c r="BH2721" s="46">
        <v>52329.568000000203</v>
      </c>
      <c r="BI2721">
        <v>12.46</v>
      </c>
      <c r="BJ2721">
        <v>-46346.567999999999</v>
      </c>
      <c r="BK2721">
        <v>-12.53</v>
      </c>
      <c r="BL2721">
        <v>-8567.2800000000007</v>
      </c>
    </row>
    <row r="2722" spans="1:64" x14ac:dyDescent="0.25">
      <c r="A2722" s="136">
        <v>43199</v>
      </c>
      <c r="B2722" s="201" t="s">
        <v>77</v>
      </c>
      <c r="C2722" t="s">
        <v>128</v>
      </c>
      <c r="D2722">
        <v>4300</v>
      </c>
      <c r="E2722">
        <v>4300</v>
      </c>
      <c r="F2722">
        <v>5.9779999999999998</v>
      </c>
      <c r="G2722">
        <v>-595.27</v>
      </c>
      <c r="H2722">
        <v>-2.31</v>
      </c>
      <c r="I2722" s="309">
        <v>25112</v>
      </c>
      <c r="J2722">
        <v>5.84</v>
      </c>
      <c r="K2722" s="133">
        <v>5.3009626169834102E-2</v>
      </c>
      <c r="L2722" s="181">
        <v>0</v>
      </c>
      <c r="M2722" s="133">
        <v>5.4266198333346297E-2</v>
      </c>
      <c r="N2722" s="73">
        <v>-1272.2139999999999</v>
      </c>
      <c r="O2722" s="73">
        <v>-133.073774655173</v>
      </c>
      <c r="P2722" s="182">
        <v>6</v>
      </c>
      <c r="Q2722" s="182">
        <v>3000</v>
      </c>
      <c r="R2722" s="46">
        <v>6.798</v>
      </c>
      <c r="S2722" s="46">
        <v>0</v>
      </c>
      <c r="T2722" s="46">
        <v>0</v>
      </c>
      <c r="U2722" s="46">
        <v>0</v>
      </c>
      <c r="V2722" s="46" t="s">
        <v>62</v>
      </c>
      <c r="W2722" s="46">
        <v>3000</v>
      </c>
      <c r="X2722" s="46">
        <v>6.798</v>
      </c>
      <c r="AF2722" s="46">
        <v>39</v>
      </c>
      <c r="AG2722" s="46">
        <v>19500</v>
      </c>
      <c r="AH2722" s="46">
        <v>142169</v>
      </c>
      <c r="AI2722" s="46">
        <v>7.2910000000000004</v>
      </c>
      <c r="AJ2722" s="46">
        <v>39</v>
      </c>
      <c r="AK2722" s="46">
        <v>18200</v>
      </c>
      <c r="AL2722" s="46">
        <v>136881.78599999999</v>
      </c>
      <c r="AM2722" s="46">
        <v>7.5209999999999999</v>
      </c>
      <c r="AN2722" s="46" t="s">
        <v>63</v>
      </c>
      <c r="AO2722" s="46">
        <v>1300</v>
      </c>
      <c r="AP2722" s="46">
        <v>5287.2139999999999</v>
      </c>
      <c r="AQ2722" s="46">
        <v>4.0670000000000002</v>
      </c>
      <c r="AR2722" s="46">
        <v>4186</v>
      </c>
      <c r="AS2722" s="46">
        <v>45</v>
      </c>
      <c r="AT2722" s="46">
        <v>22500</v>
      </c>
      <c r="AU2722" s="46">
        <v>162594</v>
      </c>
      <c r="AV2722" s="46">
        <v>7.226</v>
      </c>
      <c r="AW2722" s="46">
        <v>39</v>
      </c>
      <c r="AX2722" s="46">
        <v>18200</v>
      </c>
      <c r="AY2722" s="46">
        <v>136881.78599999999</v>
      </c>
      <c r="AZ2722" s="46">
        <v>7.5209999999999999</v>
      </c>
      <c r="BA2722" s="46" t="s">
        <v>63</v>
      </c>
      <c r="BB2722" s="46">
        <v>4300</v>
      </c>
      <c r="BC2722" s="46">
        <v>25712.214</v>
      </c>
      <c r="BD2722" s="46">
        <v>5.98</v>
      </c>
      <c r="BE2722" s="46">
        <v>5369</v>
      </c>
      <c r="BF2722" s="46">
        <v>20425</v>
      </c>
      <c r="BG2722" s="46">
        <v>6.81</v>
      </c>
      <c r="BH2722" s="46">
        <v>0</v>
      </c>
      <c r="BJ2722">
        <v>20425</v>
      </c>
      <c r="BK2722">
        <v>6.81</v>
      </c>
      <c r="BL2722">
        <v>716.78</v>
      </c>
    </row>
    <row r="2723" spans="1:64" x14ac:dyDescent="0.25">
      <c r="A2723" s="136">
        <v>43199</v>
      </c>
      <c r="B2723" s="201" t="s">
        <v>67</v>
      </c>
      <c r="C2723" t="s">
        <v>129</v>
      </c>
      <c r="D2723">
        <v>1000</v>
      </c>
      <c r="E2723">
        <v>500</v>
      </c>
      <c r="F2723">
        <v>5.2389999999999999</v>
      </c>
      <c r="G2723">
        <v>3740.79</v>
      </c>
      <c r="H2723">
        <v>71.41</v>
      </c>
      <c r="I2723" s="309">
        <v>8980</v>
      </c>
      <c r="J2723">
        <v>8.98</v>
      </c>
      <c r="K2723" s="133">
        <v>1.8956134238814499E-2</v>
      </c>
      <c r="L2723" s="181">
        <v>-24.650000000000102</v>
      </c>
      <c r="M2723" s="133">
        <v>1.1059595552933101E-2</v>
      </c>
      <c r="N2723" s="73">
        <v>3718.49849999976</v>
      </c>
      <c r="O2723" s="73">
        <v>414.80348780689502</v>
      </c>
      <c r="P2723" s="182">
        <v>0</v>
      </c>
      <c r="Q2723" s="182">
        <v>0</v>
      </c>
      <c r="R2723" s="46">
        <v>0</v>
      </c>
      <c r="S2723" s="46">
        <v>21</v>
      </c>
      <c r="T2723" s="46">
        <v>8400</v>
      </c>
      <c r="U2723" s="46">
        <v>8.9670000000000005</v>
      </c>
      <c r="V2723" s="46" t="s">
        <v>68</v>
      </c>
      <c r="W2723" s="46">
        <v>8400</v>
      </c>
      <c r="X2723" s="46">
        <v>8.9670000000000005</v>
      </c>
      <c r="AF2723" s="46">
        <v>187</v>
      </c>
      <c r="AG2723" s="46">
        <v>92900</v>
      </c>
      <c r="AH2723" s="46">
        <v>773105</v>
      </c>
      <c r="AI2723" s="46">
        <v>8.3219999999999992</v>
      </c>
      <c r="AJ2723" s="46">
        <v>190</v>
      </c>
      <c r="AK2723" s="46">
        <v>86100</v>
      </c>
      <c r="AL2723" s="46">
        <v>761851.93449999997</v>
      </c>
      <c r="AM2723" s="46">
        <v>8.8480000000000008</v>
      </c>
      <c r="AN2723" s="46" t="s">
        <v>63</v>
      </c>
      <c r="AO2723" s="46">
        <v>6800</v>
      </c>
      <c r="AP2723" s="46">
        <v>11253.065000000001</v>
      </c>
      <c r="AQ2723" s="46">
        <v>1.655</v>
      </c>
      <c r="AR2723" s="46">
        <v>45288.6</v>
      </c>
      <c r="AS2723" s="46">
        <v>187</v>
      </c>
      <c r="AT2723" s="46">
        <v>92900</v>
      </c>
      <c r="AU2723" s="46">
        <v>773105</v>
      </c>
      <c r="AV2723" s="46">
        <v>8.3219999999999992</v>
      </c>
      <c r="AW2723" s="46">
        <v>211</v>
      </c>
      <c r="AX2723" s="46">
        <v>94500</v>
      </c>
      <c r="AY2723" s="46">
        <v>836991.61450000003</v>
      </c>
      <c r="AZ2723" s="46">
        <v>8.8569999999999993</v>
      </c>
      <c r="BA2723" s="46" t="s">
        <v>69</v>
      </c>
      <c r="BB2723" s="46">
        <v>1600</v>
      </c>
      <c r="BC2723" s="46">
        <v>63886.614999999998</v>
      </c>
      <c r="BD2723" s="46">
        <v>39.929000000000002</v>
      </c>
      <c r="BE2723" s="46">
        <v>49701.5</v>
      </c>
      <c r="BF2723" s="46">
        <v>0</v>
      </c>
      <c r="BH2723" s="46">
        <v>75139.680000000197</v>
      </c>
      <c r="BI2723">
        <v>8.9499999999999993</v>
      </c>
      <c r="BJ2723">
        <v>52633.55</v>
      </c>
      <c r="BK2723">
        <v>6.27</v>
      </c>
      <c r="BL2723">
        <v>5043.2700000000004</v>
      </c>
    </row>
    <row r="2724" spans="1:64" x14ac:dyDescent="0.25">
      <c r="A2724" s="136">
        <v>43199</v>
      </c>
      <c r="B2724" s="201" t="s">
        <v>78</v>
      </c>
      <c r="C2724" t="s">
        <v>142</v>
      </c>
      <c r="D2724">
        <v>100</v>
      </c>
      <c r="E2724">
        <v>100</v>
      </c>
      <c r="F2724">
        <v>-4.9039999999999999</v>
      </c>
      <c r="G2724">
        <v>1546.4</v>
      </c>
      <c r="H2724">
        <v>0</v>
      </c>
      <c r="I2724" s="309">
        <v>1056</v>
      </c>
      <c r="J2724">
        <v>10.56</v>
      </c>
      <c r="K2724" s="133">
        <v>2.2291400619363199E-3</v>
      </c>
      <c r="L2724" s="181">
        <v>-7</v>
      </c>
      <c r="M2724" s="133">
        <v>0</v>
      </c>
      <c r="N2724" s="73">
        <v>1506.3910000000001</v>
      </c>
      <c r="O2724" s="73">
        <v>148.19269729330699</v>
      </c>
      <c r="P2724" s="182">
        <v>0</v>
      </c>
      <c r="Q2724" s="182">
        <v>0</v>
      </c>
      <c r="R2724" s="46">
        <v>0</v>
      </c>
      <c r="S2724" s="46">
        <v>3</v>
      </c>
      <c r="T2724" s="46">
        <v>1200</v>
      </c>
      <c r="U2724" s="46">
        <v>9.99</v>
      </c>
      <c r="V2724" s="46" t="s">
        <v>68</v>
      </c>
      <c r="W2724" s="46">
        <v>1200</v>
      </c>
      <c r="X2724" s="46">
        <v>9.99</v>
      </c>
      <c r="AF2724" s="46">
        <v>13</v>
      </c>
      <c r="AG2724" s="46">
        <v>6500</v>
      </c>
      <c r="AH2724" s="46">
        <v>62970</v>
      </c>
      <c r="AI2724" s="46">
        <v>9.6880000000000006</v>
      </c>
      <c r="AJ2724" s="46">
        <v>14</v>
      </c>
      <c r="AK2724" s="46">
        <v>5200</v>
      </c>
      <c r="AL2724" s="46">
        <v>51499.379000000001</v>
      </c>
      <c r="AM2724" s="46">
        <v>9.9039999999999999</v>
      </c>
      <c r="AN2724" s="46" t="s">
        <v>63</v>
      </c>
      <c r="AO2724" s="46">
        <v>1300</v>
      </c>
      <c r="AP2724" s="46">
        <v>11470.620999999999</v>
      </c>
      <c r="AQ2724" s="46">
        <v>8.8239999999999998</v>
      </c>
      <c r="AR2724" s="46">
        <v>1123.2</v>
      </c>
      <c r="AS2724" s="46">
        <v>13</v>
      </c>
      <c r="AT2724" s="46">
        <v>6500</v>
      </c>
      <c r="AU2724" s="46">
        <v>62970</v>
      </c>
      <c r="AV2724" s="46">
        <v>9.6880000000000006</v>
      </c>
      <c r="AW2724" s="46">
        <v>17</v>
      </c>
      <c r="AX2724" s="46">
        <v>6400</v>
      </c>
      <c r="AY2724" s="46">
        <v>63460.391000000003</v>
      </c>
      <c r="AZ2724" s="46">
        <v>9.9160000000000004</v>
      </c>
      <c r="BA2724" s="46" t="s">
        <v>63</v>
      </c>
      <c r="BB2724" s="46">
        <v>100</v>
      </c>
      <c r="BC2724" s="46">
        <v>490.39100000000002</v>
      </c>
      <c r="BD2724" s="46">
        <v>4.9039999999999999</v>
      </c>
      <c r="BE2724" s="46">
        <v>1459.2</v>
      </c>
      <c r="BF2724" s="46">
        <v>0</v>
      </c>
      <c r="BH2724" s="46">
        <v>11961.012000000001</v>
      </c>
      <c r="BI2724">
        <v>9.9700000000000006</v>
      </c>
      <c r="BJ2724">
        <v>-10980.23</v>
      </c>
      <c r="BK2724">
        <v>-9.15</v>
      </c>
      <c r="BL2724">
        <v>106.36</v>
      </c>
    </row>
    <row r="2725" spans="1:64" x14ac:dyDescent="0.25">
      <c r="A2725" s="136">
        <v>43199</v>
      </c>
      <c r="B2725" s="201" t="s">
        <v>72</v>
      </c>
      <c r="C2725" t="s">
        <v>130</v>
      </c>
      <c r="D2725">
        <v>3200</v>
      </c>
      <c r="E2725">
        <v>3200</v>
      </c>
      <c r="F2725">
        <v>6.782</v>
      </c>
      <c r="G2725">
        <v>-1029.4100000000001</v>
      </c>
      <c r="H2725">
        <v>-4.75</v>
      </c>
      <c r="I2725" s="309">
        <v>20672</v>
      </c>
      <c r="J2725">
        <v>6.46</v>
      </c>
      <c r="K2725" s="133">
        <v>4.3637105454874599E-2</v>
      </c>
      <c r="L2725" s="181">
        <v>-64.000000000000099</v>
      </c>
      <c r="M2725" s="133">
        <v>4.5810115938925602E-2</v>
      </c>
      <c r="N2725" s="73">
        <v>-1027.1079999999999</v>
      </c>
      <c r="O2725" s="73">
        <v>-123.276462633994</v>
      </c>
      <c r="P2725" s="182">
        <v>0</v>
      </c>
      <c r="Q2725" s="182">
        <v>0</v>
      </c>
      <c r="R2725" s="46">
        <v>0</v>
      </c>
      <c r="S2725" s="46">
        <v>12</v>
      </c>
      <c r="T2725" s="46">
        <v>4800</v>
      </c>
      <c r="U2725" s="46">
        <v>7.4859999999999998</v>
      </c>
      <c r="V2725" s="46" t="s">
        <v>68</v>
      </c>
      <c r="W2725" s="46">
        <v>4800</v>
      </c>
      <c r="X2725" s="46">
        <v>7.4859999999999998</v>
      </c>
      <c r="AF2725" s="46">
        <v>35</v>
      </c>
      <c r="AG2725" s="46">
        <v>17400</v>
      </c>
      <c r="AH2725" s="46">
        <v>130612</v>
      </c>
      <c r="AI2725" s="46">
        <v>7.5060000000000002</v>
      </c>
      <c r="AJ2725" s="46">
        <v>35</v>
      </c>
      <c r="AK2725" s="46">
        <v>16000</v>
      </c>
      <c r="AL2725" s="46">
        <v>73807.009000000005</v>
      </c>
      <c r="AM2725" s="46">
        <v>4.6130000000000004</v>
      </c>
      <c r="AN2725" s="46" t="s">
        <v>63</v>
      </c>
      <c r="AO2725" s="46">
        <v>1400</v>
      </c>
      <c r="AP2725" s="46">
        <v>56804.991000000002</v>
      </c>
      <c r="AQ2725" s="46">
        <v>40.575000000000003</v>
      </c>
      <c r="AR2725" s="46">
        <v>-46288</v>
      </c>
      <c r="AS2725" s="46">
        <v>35</v>
      </c>
      <c r="AT2725" s="46">
        <v>17400</v>
      </c>
      <c r="AU2725" s="46">
        <v>130612</v>
      </c>
      <c r="AV2725" s="46">
        <v>7.5060000000000002</v>
      </c>
      <c r="AW2725" s="46">
        <v>48</v>
      </c>
      <c r="AX2725" s="46">
        <v>21300</v>
      </c>
      <c r="AY2725" s="46">
        <v>109643.077</v>
      </c>
      <c r="AZ2725" s="46">
        <v>5.1479999999999997</v>
      </c>
      <c r="BA2725" s="46" t="s">
        <v>69</v>
      </c>
      <c r="BB2725" s="46">
        <v>3900</v>
      </c>
      <c r="BC2725" s="46">
        <v>20968.922999999999</v>
      </c>
      <c r="BD2725" s="46">
        <v>5.3769999999999998</v>
      </c>
      <c r="BE2725" s="46">
        <v>-41029.199999999997</v>
      </c>
      <c r="BF2725" s="46">
        <v>0</v>
      </c>
      <c r="BH2725" s="46">
        <v>35836.067999999999</v>
      </c>
      <c r="BI2725">
        <v>7.47</v>
      </c>
      <c r="BJ2725">
        <v>-35836.067999999999</v>
      </c>
      <c r="BK2725">
        <v>-7.47</v>
      </c>
      <c r="BL2725">
        <v>-7165.33</v>
      </c>
    </row>
    <row r="2726" spans="1:64" x14ac:dyDescent="0.25">
      <c r="A2726" s="136">
        <v>43199</v>
      </c>
      <c r="B2726" s="201" t="s">
        <v>70</v>
      </c>
      <c r="C2726" t="s">
        <v>131</v>
      </c>
      <c r="D2726">
        <v>11900</v>
      </c>
      <c r="E2726">
        <v>11400</v>
      </c>
      <c r="F2726">
        <v>11.551</v>
      </c>
      <c r="G2726">
        <v>-34397.32</v>
      </c>
      <c r="H2726">
        <v>-25.03</v>
      </c>
      <c r="I2726" s="309">
        <v>103054</v>
      </c>
      <c r="J2726">
        <v>8.66</v>
      </c>
      <c r="K2726" s="133">
        <v>0.21753958327915299</v>
      </c>
      <c r="L2726" s="181">
        <v>-2255</v>
      </c>
      <c r="M2726" s="133">
        <v>0.29014985225192103</v>
      </c>
      <c r="N2726" s="73">
        <v>-35115.323000000099</v>
      </c>
      <c r="O2726" s="73">
        <v>-4081.1355044767502</v>
      </c>
      <c r="P2726" s="182">
        <v>2</v>
      </c>
      <c r="Q2726" s="182">
        <v>1000</v>
      </c>
      <c r="R2726" s="46">
        <v>8.08</v>
      </c>
      <c r="S2726" s="46">
        <v>4</v>
      </c>
      <c r="T2726" s="46">
        <v>1700</v>
      </c>
      <c r="U2726" s="46">
        <v>8.9250000000000007</v>
      </c>
      <c r="V2726" s="46" t="s">
        <v>68</v>
      </c>
      <c r="W2726" s="46">
        <v>700</v>
      </c>
      <c r="X2726" s="46">
        <v>10.132</v>
      </c>
      <c r="AF2726" s="46">
        <v>136</v>
      </c>
      <c r="AG2726" s="46">
        <v>69600</v>
      </c>
      <c r="AH2726" s="46">
        <v>903588</v>
      </c>
      <c r="AI2726" s="46">
        <v>12.983000000000001</v>
      </c>
      <c r="AJ2726" s="46">
        <v>142</v>
      </c>
      <c r="AK2726" s="46">
        <v>57000</v>
      </c>
      <c r="AL2726" s="46">
        <v>758679.85</v>
      </c>
      <c r="AM2726" s="46">
        <v>13.31</v>
      </c>
      <c r="AN2726" s="46" t="s">
        <v>63</v>
      </c>
      <c r="AO2726" s="46">
        <v>12600</v>
      </c>
      <c r="AP2726" s="46">
        <v>144908.15</v>
      </c>
      <c r="AQ2726" s="46">
        <v>11.500999999999999</v>
      </c>
      <c r="AR2726" s="46">
        <v>18639</v>
      </c>
      <c r="AS2726" s="46">
        <v>138</v>
      </c>
      <c r="AT2726" s="46">
        <v>70600</v>
      </c>
      <c r="AU2726" s="46">
        <v>911678</v>
      </c>
      <c r="AV2726" s="46">
        <v>12.913</v>
      </c>
      <c r="AW2726" s="46">
        <v>147</v>
      </c>
      <c r="AX2726" s="46">
        <v>58700</v>
      </c>
      <c r="AY2726" s="46">
        <v>774222.67700000003</v>
      </c>
      <c r="AZ2726" s="46">
        <v>13.189</v>
      </c>
      <c r="BA2726" s="46" t="s">
        <v>63</v>
      </c>
      <c r="BB2726" s="46">
        <v>11900</v>
      </c>
      <c r="BC2726" s="46">
        <v>137455.323</v>
      </c>
      <c r="BD2726" s="46">
        <v>11.551</v>
      </c>
      <c r="BE2726" s="46">
        <v>16201.2</v>
      </c>
      <c r="BF2726" s="46">
        <v>8090</v>
      </c>
      <c r="BG2726" s="46">
        <v>8.09</v>
      </c>
      <c r="BH2726" s="46">
        <v>15542.826999999999</v>
      </c>
      <c r="BI2726">
        <v>9.14</v>
      </c>
      <c r="BJ2726">
        <v>-7452.8269999999902</v>
      </c>
      <c r="BK2726">
        <v>-10.65</v>
      </c>
      <c r="BL2726">
        <v>2152.31</v>
      </c>
    </row>
    <row r="2727" spans="1:64" x14ac:dyDescent="0.25">
      <c r="A2727" s="136">
        <v>43199</v>
      </c>
      <c r="B2727" s="201" t="s">
        <v>137</v>
      </c>
      <c r="C2727" t="s">
        <v>138</v>
      </c>
      <c r="D2727">
        <v>100</v>
      </c>
      <c r="E2727">
        <v>100</v>
      </c>
      <c r="F2727">
        <v>-130.48500000000001</v>
      </c>
      <c r="G2727">
        <v>18044.5</v>
      </c>
      <c r="H2727">
        <v>0</v>
      </c>
      <c r="I2727" s="309">
        <v>4996</v>
      </c>
      <c r="J2727">
        <v>49.96</v>
      </c>
      <c r="K2727" s="133">
        <v>1.0546196732418399E-2</v>
      </c>
      <c r="L2727" s="181">
        <v>-554</v>
      </c>
      <c r="M2727" s="133">
        <v>0</v>
      </c>
    </row>
    <row r="2728" spans="1:64" x14ac:dyDescent="0.25">
      <c r="A2728" s="136">
        <v>43199</v>
      </c>
      <c r="B2728" s="201" t="s">
        <v>835</v>
      </c>
      <c r="C2728" t="s">
        <v>839</v>
      </c>
      <c r="I2728" s="309">
        <v>12614.68</v>
      </c>
      <c r="K2728" s="133">
        <v>2.6628682345176902E-2</v>
      </c>
      <c r="L2728" s="181">
        <v>0</v>
      </c>
      <c r="M2728" s="133">
        <v>0.13247188328222601</v>
      </c>
    </row>
    <row r="2729" spans="1:64" x14ac:dyDescent="0.25">
      <c r="A2729" s="136">
        <v>43200</v>
      </c>
      <c r="B2729" s="201" t="s">
        <v>132</v>
      </c>
      <c r="C2729" t="s">
        <v>123</v>
      </c>
      <c r="D2729">
        <v>5016224</v>
      </c>
      <c r="E2729">
        <v>5016224</v>
      </c>
      <c r="F2729">
        <v>8.9999999999999993E-3</v>
      </c>
      <c r="G2729">
        <v>3407.8</v>
      </c>
      <c r="H2729">
        <v>11.11</v>
      </c>
      <c r="I2729" s="309">
        <v>50162.239999999998</v>
      </c>
      <c r="J2729">
        <v>0.01</v>
      </c>
      <c r="K2729" s="133">
        <v>0.104911533263575</v>
      </c>
      <c r="L2729" s="181">
        <v>21.640000000000299</v>
      </c>
      <c r="M2729" s="133">
        <v>0</v>
      </c>
    </row>
    <row r="2730" spans="1:64" x14ac:dyDescent="0.25">
      <c r="A2730" s="136">
        <v>43200</v>
      </c>
      <c r="B2730" s="201" t="s">
        <v>61</v>
      </c>
      <c r="C2730" t="s">
        <v>136</v>
      </c>
      <c r="D2730">
        <v>3400</v>
      </c>
      <c r="E2730">
        <v>3400</v>
      </c>
      <c r="F2730">
        <v>5.1180000000000003</v>
      </c>
      <c r="G2730">
        <v>-1184.05</v>
      </c>
      <c r="H2730">
        <v>-6.8</v>
      </c>
      <c r="I2730" s="309">
        <v>16218</v>
      </c>
      <c r="J2730">
        <v>4.7699999999999996</v>
      </c>
      <c r="K2730" s="133">
        <v>3.3919044414058498E-2</v>
      </c>
      <c r="L2730" s="181">
        <v>170</v>
      </c>
      <c r="M2730" s="133">
        <v>3.6395419092716E-2</v>
      </c>
      <c r="N2730" s="73">
        <v>-1257.8409999999999</v>
      </c>
      <c r="O2730" s="73">
        <v>-264.67622726315699</v>
      </c>
      <c r="P2730" s="182">
        <v>5</v>
      </c>
      <c r="Q2730" s="182">
        <v>2500</v>
      </c>
      <c r="R2730" s="46">
        <v>5.1239999999999997</v>
      </c>
      <c r="S2730" s="46">
        <v>0</v>
      </c>
      <c r="T2730" s="46">
        <v>0</v>
      </c>
      <c r="U2730" s="46">
        <v>0</v>
      </c>
      <c r="V2730" s="46" t="s">
        <v>62</v>
      </c>
      <c r="W2730" s="46">
        <v>2500</v>
      </c>
      <c r="X2730" s="46">
        <v>5.1239999999999997</v>
      </c>
      <c r="AF2730" s="46">
        <v>10</v>
      </c>
      <c r="AG2730" s="46">
        <v>5000</v>
      </c>
      <c r="AH2730" s="46">
        <v>26378</v>
      </c>
      <c r="AI2730" s="46">
        <v>5.2759999999999998</v>
      </c>
      <c r="AJ2730" s="46">
        <v>10</v>
      </c>
      <c r="AK2730" s="46">
        <v>4100</v>
      </c>
      <c r="AL2730" s="46">
        <v>21806.659</v>
      </c>
      <c r="AM2730" s="46">
        <v>5.319</v>
      </c>
      <c r="AN2730" s="46" t="s">
        <v>63</v>
      </c>
      <c r="AO2730" s="46">
        <v>900</v>
      </c>
      <c r="AP2730" s="46">
        <v>4571.3410000000003</v>
      </c>
      <c r="AQ2730" s="46">
        <v>5.0789999999999997</v>
      </c>
      <c r="AR2730" s="46">
        <v>176.3</v>
      </c>
      <c r="AS2730" s="46">
        <v>15</v>
      </c>
      <c r="AT2730" s="46">
        <v>7500</v>
      </c>
      <c r="AU2730" s="46">
        <v>39214.5</v>
      </c>
      <c r="AV2730" s="46">
        <v>5.2290000000000001</v>
      </c>
      <c r="AW2730" s="46">
        <v>10</v>
      </c>
      <c r="AX2730" s="46">
        <v>4100</v>
      </c>
      <c r="AY2730" s="46">
        <v>21806.659</v>
      </c>
      <c r="AZ2730" s="46">
        <v>5.319</v>
      </c>
      <c r="BA2730" s="46" t="s">
        <v>63</v>
      </c>
      <c r="BB2730" s="46">
        <v>3400</v>
      </c>
      <c r="BC2730" s="46">
        <v>17407.841</v>
      </c>
      <c r="BD2730" s="46">
        <v>5.12</v>
      </c>
      <c r="BE2730" s="46">
        <v>369</v>
      </c>
      <c r="BF2730" s="46">
        <v>12836.5</v>
      </c>
      <c r="BG2730" s="46">
        <v>5.13</v>
      </c>
      <c r="BH2730" s="46">
        <v>0</v>
      </c>
      <c r="BJ2730">
        <v>12836.5</v>
      </c>
      <c r="BK2730">
        <v>5.13</v>
      </c>
      <c r="BL2730">
        <v>36.96</v>
      </c>
    </row>
    <row r="2731" spans="1:64" x14ac:dyDescent="0.25">
      <c r="A2731" s="136">
        <v>43200</v>
      </c>
      <c r="B2731" s="201" t="s">
        <v>124</v>
      </c>
      <c r="C2731" t="s">
        <v>125</v>
      </c>
      <c r="D2731">
        <v>100</v>
      </c>
      <c r="E2731">
        <v>100</v>
      </c>
      <c r="F2731">
        <v>-53.579000000000001</v>
      </c>
      <c r="G2731">
        <v>5969.9</v>
      </c>
      <c r="H2731">
        <v>0</v>
      </c>
      <c r="I2731" s="309">
        <v>612</v>
      </c>
      <c r="J2731">
        <v>6.12</v>
      </c>
      <c r="K2731" s="133">
        <v>1.2799639401531501E-3</v>
      </c>
      <c r="L2731" s="181">
        <v>26</v>
      </c>
      <c r="M2731" s="133">
        <v>0</v>
      </c>
    </row>
    <row r="2732" spans="1:64" x14ac:dyDescent="0.25">
      <c r="A2732" s="136">
        <v>43200</v>
      </c>
      <c r="B2732" s="201" t="s">
        <v>71</v>
      </c>
      <c r="C2732" t="s">
        <v>126</v>
      </c>
      <c r="D2732">
        <v>1600</v>
      </c>
      <c r="E2732">
        <v>1600</v>
      </c>
      <c r="F2732">
        <v>5.16</v>
      </c>
      <c r="G2732">
        <v>2031.44</v>
      </c>
      <c r="H2732">
        <v>24.61</v>
      </c>
      <c r="I2732" s="309">
        <v>10288</v>
      </c>
      <c r="J2732">
        <v>6.43</v>
      </c>
      <c r="K2732" s="133">
        <v>2.1516779438391601E-2</v>
      </c>
      <c r="L2732" s="181">
        <v>304</v>
      </c>
      <c r="M2732" s="133">
        <v>1.7268135734821801E-2</v>
      </c>
      <c r="N2732" s="73">
        <v>1918.402</v>
      </c>
      <c r="O2732" s="73">
        <v>301.48471682389902</v>
      </c>
      <c r="P2732" s="182">
        <v>0</v>
      </c>
      <c r="Q2732" s="182">
        <v>0</v>
      </c>
      <c r="R2732" s="46">
        <v>0</v>
      </c>
      <c r="S2732" s="46">
        <v>4</v>
      </c>
      <c r="T2732" s="46">
        <v>1500</v>
      </c>
      <c r="U2732" s="46">
        <v>6.7229999999999999</v>
      </c>
      <c r="V2732" s="46" t="s">
        <v>68</v>
      </c>
      <c r="W2732" s="46">
        <v>1500</v>
      </c>
      <c r="X2732" s="46">
        <v>6.7229999999999999</v>
      </c>
      <c r="AF2732" s="46">
        <v>44</v>
      </c>
      <c r="AG2732" s="46">
        <v>22100</v>
      </c>
      <c r="AH2732" s="46">
        <v>141289.26</v>
      </c>
      <c r="AI2732" s="46">
        <v>6.3929999999999998</v>
      </c>
      <c r="AJ2732" s="46">
        <v>42</v>
      </c>
      <c r="AK2732" s="46">
        <v>19000</v>
      </c>
      <c r="AL2732" s="46">
        <v>122809.446</v>
      </c>
      <c r="AM2732" s="46">
        <v>6.4640000000000004</v>
      </c>
      <c r="AN2732" s="46" t="s">
        <v>63</v>
      </c>
      <c r="AO2732" s="46">
        <v>3100</v>
      </c>
      <c r="AP2732" s="46">
        <v>18479.813999999998</v>
      </c>
      <c r="AQ2732" s="46">
        <v>5.9610000000000003</v>
      </c>
      <c r="AR2732" s="46">
        <v>1349</v>
      </c>
      <c r="AS2732" s="46">
        <v>44</v>
      </c>
      <c r="AT2732" s="46">
        <v>22100</v>
      </c>
      <c r="AU2732" s="46">
        <v>141289.26</v>
      </c>
      <c r="AV2732" s="46">
        <v>6.3929999999999998</v>
      </c>
      <c r="AW2732" s="46">
        <v>46</v>
      </c>
      <c r="AX2732" s="46">
        <v>20500</v>
      </c>
      <c r="AY2732" s="46">
        <v>132870.462</v>
      </c>
      <c r="AZ2732" s="46">
        <v>6.4809999999999999</v>
      </c>
      <c r="BA2732" s="46" t="s">
        <v>63</v>
      </c>
      <c r="BB2732" s="46">
        <v>1600</v>
      </c>
      <c r="BC2732" s="46">
        <v>8418.7980000000007</v>
      </c>
      <c r="BD2732" s="46">
        <v>5.2619999999999996</v>
      </c>
      <c r="BE2732" s="46">
        <v>1804</v>
      </c>
      <c r="BF2732" s="46">
        <v>0</v>
      </c>
      <c r="BH2732" s="46">
        <v>10061.016</v>
      </c>
      <c r="BI2732">
        <v>6.71</v>
      </c>
      <c r="BJ2732">
        <v>-10061.016</v>
      </c>
      <c r="BK2732">
        <v>-6.71</v>
      </c>
      <c r="BL2732">
        <v>209.8</v>
      </c>
    </row>
    <row r="2733" spans="1:64" x14ac:dyDescent="0.25">
      <c r="A2733" s="136">
        <v>43200</v>
      </c>
      <c r="B2733" s="201" t="s">
        <v>79</v>
      </c>
      <c r="C2733" t="s">
        <v>143</v>
      </c>
      <c r="D2733">
        <v>5700</v>
      </c>
      <c r="E2733">
        <v>5700</v>
      </c>
      <c r="F2733">
        <v>16.323</v>
      </c>
      <c r="G2733">
        <v>-10674.6</v>
      </c>
      <c r="H2733">
        <v>-11.47</v>
      </c>
      <c r="I2733" s="309">
        <v>82365</v>
      </c>
      <c r="J2733">
        <v>14.45</v>
      </c>
      <c r="K2733" s="133">
        <v>0.17226181361227799</v>
      </c>
      <c r="L2733" s="181">
        <v>855</v>
      </c>
      <c r="M2733" s="133">
        <v>0.19458714543508701</v>
      </c>
      <c r="N2733" s="73">
        <v>-11648.0280000001</v>
      </c>
      <c r="O2733" s="73">
        <v>-815.28039117647802</v>
      </c>
      <c r="P2733" s="182">
        <v>8</v>
      </c>
      <c r="Q2733" s="182">
        <v>4500</v>
      </c>
      <c r="R2733" s="46">
        <v>15.429</v>
      </c>
      <c r="S2733" s="46">
        <v>0</v>
      </c>
      <c r="T2733" s="46">
        <v>0</v>
      </c>
      <c r="U2733" s="46">
        <v>0</v>
      </c>
      <c r="V2733" s="46" t="s">
        <v>62</v>
      </c>
      <c r="W2733" s="46">
        <v>4500</v>
      </c>
      <c r="X2733" s="46">
        <v>15.429</v>
      </c>
      <c r="AF2733" s="46">
        <v>12</v>
      </c>
      <c r="AG2733" s="46">
        <v>6000</v>
      </c>
      <c r="AH2733" s="46">
        <v>96283.6</v>
      </c>
      <c r="AI2733" s="46">
        <v>16.047000000000001</v>
      </c>
      <c r="AJ2733" s="46">
        <v>12</v>
      </c>
      <c r="AK2733" s="46">
        <v>4800</v>
      </c>
      <c r="AL2733" s="46">
        <v>72712.271999999895</v>
      </c>
      <c r="AM2733" s="46">
        <v>15.148</v>
      </c>
      <c r="AN2733" s="46" t="s">
        <v>63</v>
      </c>
      <c r="AO2733" s="46">
        <v>1200</v>
      </c>
      <c r="AP2733" s="46">
        <v>23571.328000000001</v>
      </c>
      <c r="AQ2733" s="46">
        <v>19.643000000000001</v>
      </c>
      <c r="AR2733" s="46">
        <v>-4315.2</v>
      </c>
      <c r="AS2733" s="46">
        <v>20</v>
      </c>
      <c r="AT2733" s="46">
        <v>10500</v>
      </c>
      <c r="AU2733" s="46">
        <v>165756.29999999999</v>
      </c>
      <c r="AV2733" s="46">
        <v>15.786</v>
      </c>
      <c r="AW2733" s="46">
        <v>12</v>
      </c>
      <c r="AX2733" s="46">
        <v>4800</v>
      </c>
      <c r="AY2733" s="46">
        <v>72712.271999999895</v>
      </c>
      <c r="AZ2733" s="46">
        <v>15.148</v>
      </c>
      <c r="BA2733" s="46" t="s">
        <v>63</v>
      </c>
      <c r="BB2733" s="46">
        <v>5700</v>
      </c>
      <c r="BC2733" s="46">
        <v>93044.028000000006</v>
      </c>
      <c r="BD2733" s="46">
        <v>16.324000000000002</v>
      </c>
      <c r="BE2733" s="46">
        <v>-3062.4</v>
      </c>
      <c r="BF2733" s="46">
        <v>69472.7</v>
      </c>
      <c r="BG2733" s="46">
        <v>15.44</v>
      </c>
      <c r="BH2733" s="46">
        <v>0</v>
      </c>
      <c r="BJ2733">
        <v>69472.7</v>
      </c>
      <c r="BK2733">
        <v>15.44</v>
      </c>
      <c r="BL2733">
        <v>-298.63</v>
      </c>
    </row>
    <row r="2734" spans="1:64" x14ac:dyDescent="0.25">
      <c r="A2734" s="136">
        <v>43200</v>
      </c>
      <c r="B2734" s="201" t="s">
        <v>65</v>
      </c>
      <c r="C2734" t="s">
        <v>127</v>
      </c>
      <c r="D2734">
        <v>14400</v>
      </c>
      <c r="E2734">
        <v>14400</v>
      </c>
      <c r="F2734">
        <v>9.3879999999999999</v>
      </c>
      <c r="G2734">
        <v>2768.83</v>
      </c>
      <c r="H2734">
        <v>2.0499999999999998</v>
      </c>
      <c r="I2734" s="309">
        <v>137952</v>
      </c>
      <c r="J2734">
        <v>9.58</v>
      </c>
      <c r="K2734" s="133">
        <v>0.28851893050981697</v>
      </c>
      <c r="L2734" s="181">
        <v>2775.2</v>
      </c>
      <c r="M2734" s="133">
        <v>0.28272807665946598</v>
      </c>
      <c r="N2734" s="73">
        <v>-2521.5910000000199</v>
      </c>
      <c r="O2734" s="73">
        <v>184.971873685578</v>
      </c>
      <c r="P2734" s="182">
        <v>0</v>
      </c>
      <c r="Q2734" s="182">
        <v>0</v>
      </c>
      <c r="R2734" s="46">
        <v>0</v>
      </c>
      <c r="S2734" s="46">
        <v>10</v>
      </c>
      <c r="T2734" s="46">
        <v>4200</v>
      </c>
      <c r="U2734" s="46">
        <v>12.484</v>
      </c>
      <c r="V2734" s="46" t="s">
        <v>68</v>
      </c>
      <c r="W2734" s="46">
        <v>4200</v>
      </c>
      <c r="X2734" s="46">
        <v>12.484</v>
      </c>
      <c r="AF2734" s="46">
        <v>179</v>
      </c>
      <c r="AG2734" s="46">
        <v>95200</v>
      </c>
      <c r="AH2734" s="46">
        <v>1094430.2309999999</v>
      </c>
      <c r="AI2734" s="46">
        <v>11.496</v>
      </c>
      <c r="AJ2734" s="46">
        <v>198</v>
      </c>
      <c r="AK2734" s="46">
        <v>85800</v>
      </c>
      <c r="AL2734" s="46">
        <v>906082.07</v>
      </c>
      <c r="AM2734" s="46">
        <v>10.56</v>
      </c>
      <c r="AN2734" s="46" t="s">
        <v>63</v>
      </c>
      <c r="AO2734" s="46">
        <v>9400</v>
      </c>
      <c r="AP2734" s="46">
        <v>188348.16099999999</v>
      </c>
      <c r="AQ2734" s="46">
        <v>20.036999999999999</v>
      </c>
      <c r="AR2734" s="46">
        <v>-80308.800000000003</v>
      </c>
      <c r="AS2734" s="46">
        <v>180</v>
      </c>
      <c r="AT2734" s="46">
        <v>95300</v>
      </c>
      <c r="AU2734" s="46">
        <v>1095718.2309999999</v>
      </c>
      <c r="AV2734" s="46">
        <v>11.497999999999999</v>
      </c>
      <c r="AW2734" s="46">
        <v>208</v>
      </c>
      <c r="AX2734" s="46">
        <v>90000</v>
      </c>
      <c r="AY2734" s="46">
        <v>958411.63800000004</v>
      </c>
      <c r="AZ2734" s="46">
        <v>10.648999999999999</v>
      </c>
      <c r="BA2734" s="46" t="s">
        <v>63</v>
      </c>
      <c r="BB2734" s="46">
        <v>5300</v>
      </c>
      <c r="BC2734" s="46">
        <v>137306.59299999999</v>
      </c>
      <c r="BD2734" s="46">
        <v>25.907</v>
      </c>
      <c r="BE2734" s="46">
        <v>-76410</v>
      </c>
      <c r="BF2734" s="46">
        <v>1288</v>
      </c>
      <c r="BH2734" s="46">
        <v>52329.568000000203</v>
      </c>
      <c r="BI2734">
        <v>12.46</v>
      </c>
      <c r="BJ2734">
        <v>-51041.567999999999</v>
      </c>
      <c r="BK2734">
        <v>-12.15</v>
      </c>
      <c r="BL2734">
        <v>-8382.9599999999991</v>
      </c>
    </row>
    <row r="2735" spans="1:64" x14ac:dyDescent="0.25">
      <c r="A2735" s="136">
        <v>43200</v>
      </c>
      <c r="B2735" s="201" t="s">
        <v>77</v>
      </c>
      <c r="C2735" t="s">
        <v>128</v>
      </c>
      <c r="D2735">
        <v>4300</v>
      </c>
      <c r="E2735">
        <v>4300</v>
      </c>
      <c r="F2735">
        <v>5.9779999999999998</v>
      </c>
      <c r="G2735">
        <v>-595.27</v>
      </c>
      <c r="H2735">
        <v>-2.31</v>
      </c>
      <c r="I2735" s="309">
        <v>25112</v>
      </c>
      <c r="J2735">
        <v>5.84</v>
      </c>
      <c r="K2735" s="133">
        <v>5.2520350433212397E-2</v>
      </c>
      <c r="L2735" s="181">
        <v>0</v>
      </c>
      <c r="M2735" s="133">
        <v>5.3765324509446002E-2</v>
      </c>
      <c r="N2735" s="73">
        <v>-1272.2139999999999</v>
      </c>
      <c r="O2735" s="73">
        <v>-133.073774655173</v>
      </c>
      <c r="P2735" s="182">
        <v>6</v>
      </c>
      <c r="Q2735" s="182">
        <v>3000</v>
      </c>
      <c r="R2735" s="46">
        <v>6.798</v>
      </c>
      <c r="S2735" s="46">
        <v>0</v>
      </c>
      <c r="T2735" s="46">
        <v>0</v>
      </c>
      <c r="U2735" s="46">
        <v>0</v>
      </c>
      <c r="V2735" s="46" t="s">
        <v>62</v>
      </c>
      <c r="W2735" s="46">
        <v>3000</v>
      </c>
      <c r="X2735" s="46">
        <v>6.798</v>
      </c>
      <c r="AF2735" s="46">
        <v>39</v>
      </c>
      <c r="AG2735" s="46">
        <v>19500</v>
      </c>
      <c r="AH2735" s="46">
        <v>142169</v>
      </c>
      <c r="AI2735" s="46">
        <v>7.2910000000000004</v>
      </c>
      <c r="AJ2735" s="46">
        <v>39</v>
      </c>
      <c r="AK2735" s="46">
        <v>18200</v>
      </c>
      <c r="AL2735" s="46">
        <v>136881.78599999999</v>
      </c>
      <c r="AM2735" s="46">
        <v>7.5209999999999999</v>
      </c>
      <c r="AN2735" s="46" t="s">
        <v>63</v>
      </c>
      <c r="AO2735" s="46">
        <v>1300</v>
      </c>
      <c r="AP2735" s="46">
        <v>5287.2139999999999</v>
      </c>
      <c r="AQ2735" s="46">
        <v>4.0670000000000002</v>
      </c>
      <c r="AR2735" s="46">
        <v>4186</v>
      </c>
      <c r="AS2735" s="46">
        <v>45</v>
      </c>
      <c r="AT2735" s="46">
        <v>22500</v>
      </c>
      <c r="AU2735" s="46">
        <v>162594</v>
      </c>
      <c r="AV2735" s="46">
        <v>7.226</v>
      </c>
      <c r="AW2735" s="46">
        <v>39</v>
      </c>
      <c r="AX2735" s="46">
        <v>18200</v>
      </c>
      <c r="AY2735" s="46">
        <v>136881.78599999999</v>
      </c>
      <c r="AZ2735" s="46">
        <v>7.5209999999999999</v>
      </c>
      <c r="BA2735" s="46" t="s">
        <v>63</v>
      </c>
      <c r="BB2735" s="46">
        <v>4300</v>
      </c>
      <c r="BC2735" s="46">
        <v>25712.214</v>
      </c>
      <c r="BD2735" s="46">
        <v>5.98</v>
      </c>
      <c r="BE2735" s="46">
        <v>5369</v>
      </c>
      <c r="BF2735" s="46">
        <v>20425</v>
      </c>
      <c r="BG2735" s="46">
        <v>6.81</v>
      </c>
      <c r="BH2735" s="46">
        <v>0</v>
      </c>
      <c r="BJ2735">
        <v>20425</v>
      </c>
      <c r="BK2735">
        <v>6.81</v>
      </c>
      <c r="BL2735">
        <v>716.78</v>
      </c>
    </row>
    <row r="2736" spans="1:64" x14ac:dyDescent="0.25">
      <c r="A2736" s="136">
        <v>43200</v>
      </c>
      <c r="B2736" s="201" t="s">
        <v>67</v>
      </c>
      <c r="C2736" t="s">
        <v>129</v>
      </c>
      <c r="D2736">
        <v>600</v>
      </c>
      <c r="E2736">
        <v>600</v>
      </c>
      <c r="F2736">
        <v>2.6659999999999999</v>
      </c>
      <c r="G2736">
        <v>3866.14</v>
      </c>
      <c r="H2736">
        <v>241.71</v>
      </c>
      <c r="I2736" s="309">
        <v>5466</v>
      </c>
      <c r="J2736">
        <v>9.11</v>
      </c>
      <c r="K2736" s="133">
        <v>1.1431834798818799E-2</v>
      </c>
      <c r="L2736" s="181">
        <v>125.35</v>
      </c>
      <c r="M2736" s="133">
        <v>3.3460181524402298E-3</v>
      </c>
      <c r="N2736" s="73">
        <v>3869.8504999997599</v>
      </c>
      <c r="O2736" s="73">
        <v>424.113549862914</v>
      </c>
      <c r="P2736" s="182">
        <v>0</v>
      </c>
      <c r="Q2736" s="182">
        <v>0</v>
      </c>
      <c r="R2736" s="46">
        <v>0</v>
      </c>
      <c r="S2736" s="46">
        <v>22</v>
      </c>
      <c r="T2736" s="46">
        <v>8800</v>
      </c>
      <c r="U2736" s="46">
        <v>8.9740000000000002</v>
      </c>
      <c r="V2736" s="46" t="s">
        <v>68</v>
      </c>
      <c r="W2736" s="46">
        <v>8800</v>
      </c>
      <c r="X2736" s="46">
        <v>8.9740000000000002</v>
      </c>
      <c r="AF2736" s="46">
        <v>187</v>
      </c>
      <c r="AG2736" s="46">
        <v>92900</v>
      </c>
      <c r="AH2736" s="46">
        <v>773105</v>
      </c>
      <c r="AI2736" s="46">
        <v>8.3219999999999992</v>
      </c>
      <c r="AJ2736" s="46">
        <v>190</v>
      </c>
      <c r="AK2736" s="46">
        <v>86100</v>
      </c>
      <c r="AL2736" s="46">
        <v>761851.93449999997</v>
      </c>
      <c r="AM2736" s="46">
        <v>8.8480000000000008</v>
      </c>
      <c r="AN2736" s="46" t="s">
        <v>63</v>
      </c>
      <c r="AO2736" s="46">
        <v>6800</v>
      </c>
      <c r="AP2736" s="46">
        <v>11253.065000000001</v>
      </c>
      <c r="AQ2736" s="46">
        <v>1.655</v>
      </c>
      <c r="AR2736" s="46">
        <v>45288.6</v>
      </c>
      <c r="AS2736" s="46">
        <v>187</v>
      </c>
      <c r="AT2736" s="46">
        <v>92900</v>
      </c>
      <c r="AU2736" s="46">
        <v>773105</v>
      </c>
      <c r="AV2736" s="46">
        <v>8.3219999999999992</v>
      </c>
      <c r="AW2736" s="46">
        <v>212</v>
      </c>
      <c r="AX2736" s="46">
        <v>94900</v>
      </c>
      <c r="AY2736" s="46">
        <v>840630.96649999998</v>
      </c>
      <c r="AZ2736" s="46">
        <v>8.8580000000000005</v>
      </c>
      <c r="BA2736" s="46" t="s">
        <v>69</v>
      </c>
      <c r="BB2736" s="46">
        <v>2000</v>
      </c>
      <c r="BC2736" s="46">
        <v>67525.967000000004</v>
      </c>
      <c r="BD2736" s="46">
        <v>33.762999999999998</v>
      </c>
      <c r="BE2736" s="46">
        <v>49794.400000000001</v>
      </c>
      <c r="BF2736" s="46">
        <v>0</v>
      </c>
      <c r="BH2736" s="46">
        <v>78779.032000000094</v>
      </c>
      <c r="BI2736">
        <v>8.9499999999999993</v>
      </c>
      <c r="BJ2736">
        <v>56272.902000000002</v>
      </c>
      <c r="BK2736">
        <v>6.39</v>
      </c>
      <c r="BL2736">
        <v>4971.3100000000004</v>
      </c>
    </row>
    <row r="2737" spans="1:64" x14ac:dyDescent="0.25">
      <c r="A2737" s="136">
        <v>43200</v>
      </c>
      <c r="B2737" s="201" t="s">
        <v>78</v>
      </c>
      <c r="C2737" t="s">
        <v>142</v>
      </c>
      <c r="D2737">
        <v>100</v>
      </c>
      <c r="E2737">
        <v>100</v>
      </c>
      <c r="F2737">
        <v>-4.9039999999999999</v>
      </c>
      <c r="G2737">
        <v>1547.4</v>
      </c>
      <c r="H2737">
        <v>0</v>
      </c>
      <c r="I2737" s="309">
        <v>1057</v>
      </c>
      <c r="J2737">
        <v>10.57</v>
      </c>
      <c r="K2737" s="133">
        <v>2.21065667441484E-3</v>
      </c>
      <c r="L2737" s="181">
        <v>1</v>
      </c>
      <c r="M2737" s="133">
        <v>0</v>
      </c>
      <c r="N2737" s="73">
        <v>1506.3910000000001</v>
      </c>
      <c r="O2737" s="73">
        <v>148.19269729330699</v>
      </c>
      <c r="P2737" s="182">
        <v>0</v>
      </c>
      <c r="Q2737" s="182">
        <v>0</v>
      </c>
      <c r="R2737" s="46">
        <v>0</v>
      </c>
      <c r="S2737" s="46">
        <v>3</v>
      </c>
      <c r="T2737" s="46">
        <v>1200</v>
      </c>
      <c r="U2737" s="46">
        <v>9.99</v>
      </c>
      <c r="V2737" s="46" t="s">
        <v>68</v>
      </c>
      <c r="W2737" s="46">
        <v>1200</v>
      </c>
      <c r="X2737" s="46">
        <v>9.99</v>
      </c>
      <c r="AF2737" s="46">
        <v>13</v>
      </c>
      <c r="AG2737" s="46">
        <v>6500</v>
      </c>
      <c r="AH2737" s="46">
        <v>62970</v>
      </c>
      <c r="AI2737" s="46">
        <v>9.6880000000000006</v>
      </c>
      <c r="AJ2737" s="46">
        <v>14</v>
      </c>
      <c r="AK2737" s="46">
        <v>5200</v>
      </c>
      <c r="AL2737" s="46">
        <v>51499.379000000001</v>
      </c>
      <c r="AM2737" s="46">
        <v>9.9039999999999999</v>
      </c>
      <c r="AN2737" s="46" t="s">
        <v>63</v>
      </c>
      <c r="AO2737" s="46">
        <v>1300</v>
      </c>
      <c r="AP2737" s="46">
        <v>11470.620999999999</v>
      </c>
      <c r="AQ2737" s="46">
        <v>8.8239999999999998</v>
      </c>
      <c r="AR2737" s="46">
        <v>1123.2</v>
      </c>
      <c r="AS2737" s="46">
        <v>13</v>
      </c>
      <c r="AT2737" s="46">
        <v>6500</v>
      </c>
      <c r="AU2737" s="46">
        <v>62970</v>
      </c>
      <c r="AV2737" s="46">
        <v>9.6880000000000006</v>
      </c>
      <c r="AW2737" s="46">
        <v>17</v>
      </c>
      <c r="AX2737" s="46">
        <v>6400</v>
      </c>
      <c r="AY2737" s="46">
        <v>63460.391000000003</v>
      </c>
      <c r="AZ2737" s="46">
        <v>9.9160000000000004</v>
      </c>
      <c r="BA2737" s="46" t="s">
        <v>63</v>
      </c>
      <c r="BB2737" s="46">
        <v>100</v>
      </c>
      <c r="BC2737" s="46">
        <v>490.39100000000002</v>
      </c>
      <c r="BD2737" s="46">
        <v>4.9039999999999999</v>
      </c>
      <c r="BE2737" s="46">
        <v>1459.2</v>
      </c>
      <c r="BF2737" s="46">
        <v>0</v>
      </c>
      <c r="BH2737" s="46">
        <v>11961.012000000001</v>
      </c>
      <c r="BI2737">
        <v>9.9700000000000006</v>
      </c>
      <c r="BJ2737">
        <v>-10980.23</v>
      </c>
      <c r="BK2737">
        <v>-9.15</v>
      </c>
      <c r="BL2737">
        <v>106.26</v>
      </c>
    </row>
    <row r="2738" spans="1:64" x14ac:dyDescent="0.25">
      <c r="A2738" s="136">
        <v>43200</v>
      </c>
      <c r="B2738" s="201" t="s">
        <v>72</v>
      </c>
      <c r="C2738" t="s">
        <v>130</v>
      </c>
      <c r="D2738">
        <v>3200</v>
      </c>
      <c r="E2738">
        <v>3200</v>
      </c>
      <c r="F2738">
        <v>6.782</v>
      </c>
      <c r="G2738">
        <v>-869.41</v>
      </c>
      <c r="H2738">
        <v>-4.01</v>
      </c>
      <c r="I2738" s="309">
        <v>20832</v>
      </c>
      <c r="J2738">
        <v>6.51</v>
      </c>
      <c r="K2738" s="133">
        <v>4.3568968629526902E-2</v>
      </c>
      <c r="L2738" s="181">
        <v>160</v>
      </c>
      <c r="M2738" s="133">
        <v>4.5387291258952703E-2</v>
      </c>
      <c r="N2738" s="73">
        <v>-1027.1079999999999</v>
      </c>
      <c r="O2738" s="73">
        <v>-123.276462633994</v>
      </c>
      <c r="P2738" s="182">
        <v>0</v>
      </c>
      <c r="Q2738" s="182">
        <v>0</v>
      </c>
      <c r="R2738" s="46">
        <v>0</v>
      </c>
      <c r="S2738" s="46">
        <v>12</v>
      </c>
      <c r="T2738" s="46">
        <v>4800</v>
      </c>
      <c r="U2738" s="46">
        <v>7.4859999999999998</v>
      </c>
      <c r="V2738" s="46" t="s">
        <v>68</v>
      </c>
      <c r="W2738" s="46">
        <v>4800</v>
      </c>
      <c r="X2738" s="46">
        <v>7.4859999999999998</v>
      </c>
      <c r="AF2738" s="46">
        <v>35</v>
      </c>
      <c r="AG2738" s="46">
        <v>17400</v>
      </c>
      <c r="AH2738" s="46">
        <v>130612</v>
      </c>
      <c r="AI2738" s="46">
        <v>7.5060000000000002</v>
      </c>
      <c r="AJ2738" s="46">
        <v>35</v>
      </c>
      <c r="AK2738" s="46">
        <v>16000</v>
      </c>
      <c r="AL2738" s="46">
        <v>73807.009000000005</v>
      </c>
      <c r="AM2738" s="46">
        <v>4.6130000000000004</v>
      </c>
      <c r="AN2738" s="46" t="s">
        <v>63</v>
      </c>
      <c r="AO2738" s="46">
        <v>1400</v>
      </c>
      <c r="AP2738" s="46">
        <v>56804.991000000002</v>
      </c>
      <c r="AQ2738" s="46">
        <v>40.575000000000003</v>
      </c>
      <c r="AR2738" s="46">
        <v>-46288</v>
      </c>
      <c r="AS2738" s="46">
        <v>35</v>
      </c>
      <c r="AT2738" s="46">
        <v>17400</v>
      </c>
      <c r="AU2738" s="46">
        <v>130612</v>
      </c>
      <c r="AV2738" s="46">
        <v>7.5060000000000002</v>
      </c>
      <c r="AW2738" s="46">
        <v>48</v>
      </c>
      <c r="AX2738" s="46">
        <v>21300</v>
      </c>
      <c r="AY2738" s="46">
        <v>109643.077</v>
      </c>
      <c r="AZ2738" s="46">
        <v>5.1479999999999997</v>
      </c>
      <c r="BA2738" s="46" t="s">
        <v>69</v>
      </c>
      <c r="BB2738" s="46">
        <v>3900</v>
      </c>
      <c r="BC2738" s="46">
        <v>20968.922999999999</v>
      </c>
      <c r="BD2738" s="46">
        <v>5.3769999999999998</v>
      </c>
      <c r="BE2738" s="46">
        <v>-41029.199999999997</v>
      </c>
      <c r="BF2738" s="46">
        <v>0</v>
      </c>
      <c r="BH2738" s="46">
        <v>35836.067999999999</v>
      </c>
      <c r="BI2738">
        <v>7.47</v>
      </c>
      <c r="BJ2738">
        <v>-35836.067999999999</v>
      </c>
      <c r="BK2738">
        <v>-7.47</v>
      </c>
      <c r="BL2738">
        <v>-7110.29</v>
      </c>
    </row>
    <row r="2739" spans="1:64" x14ac:dyDescent="0.25">
      <c r="A2739" s="136">
        <v>43200</v>
      </c>
      <c r="B2739" s="201" t="s">
        <v>70</v>
      </c>
      <c r="C2739" t="s">
        <v>131</v>
      </c>
      <c r="D2739">
        <v>11900</v>
      </c>
      <c r="E2739">
        <v>11900</v>
      </c>
      <c r="F2739">
        <v>11.551</v>
      </c>
      <c r="G2739">
        <v>-34159.32</v>
      </c>
      <c r="H2739">
        <v>-24.85</v>
      </c>
      <c r="I2739" s="309">
        <v>103292</v>
      </c>
      <c r="J2739">
        <v>8.68</v>
      </c>
      <c r="K2739" s="133">
        <v>0.216029469454738</v>
      </c>
      <c r="L2739" s="181">
        <v>238</v>
      </c>
      <c r="M2739" s="133">
        <v>0.287471786154333</v>
      </c>
      <c r="N2739" s="73">
        <v>-35115.323000000099</v>
      </c>
      <c r="O2739" s="73">
        <v>-4081.1355044767502</v>
      </c>
      <c r="P2739" s="182">
        <v>2</v>
      </c>
      <c r="Q2739" s="182">
        <v>1000</v>
      </c>
      <c r="R2739" s="46">
        <v>8.08</v>
      </c>
      <c r="S2739" s="46">
        <v>4</v>
      </c>
      <c r="T2739" s="46">
        <v>1700</v>
      </c>
      <c r="U2739" s="46">
        <v>8.9250000000000007</v>
      </c>
      <c r="V2739" s="46" t="s">
        <v>68</v>
      </c>
      <c r="W2739" s="46">
        <v>700</v>
      </c>
      <c r="X2739" s="46">
        <v>10.132</v>
      </c>
      <c r="AF2739" s="46">
        <v>136</v>
      </c>
      <c r="AG2739" s="46">
        <v>69600</v>
      </c>
      <c r="AH2739" s="46">
        <v>903588</v>
      </c>
      <c r="AI2739" s="46">
        <v>12.983000000000001</v>
      </c>
      <c r="AJ2739" s="46">
        <v>142</v>
      </c>
      <c r="AK2739" s="46">
        <v>57000</v>
      </c>
      <c r="AL2739" s="46">
        <v>758679.85</v>
      </c>
      <c r="AM2739" s="46">
        <v>13.31</v>
      </c>
      <c r="AN2739" s="46" t="s">
        <v>63</v>
      </c>
      <c r="AO2739" s="46">
        <v>12600</v>
      </c>
      <c r="AP2739" s="46">
        <v>144908.15</v>
      </c>
      <c r="AQ2739" s="46">
        <v>11.500999999999999</v>
      </c>
      <c r="AR2739" s="46">
        <v>18639</v>
      </c>
      <c r="AS2739" s="46">
        <v>138</v>
      </c>
      <c r="AT2739" s="46">
        <v>70600</v>
      </c>
      <c r="AU2739" s="46">
        <v>911678</v>
      </c>
      <c r="AV2739" s="46">
        <v>12.913</v>
      </c>
      <c r="AW2739" s="46">
        <v>147</v>
      </c>
      <c r="AX2739" s="46">
        <v>58700</v>
      </c>
      <c r="AY2739" s="46">
        <v>774222.67700000003</v>
      </c>
      <c r="AZ2739" s="46">
        <v>13.189</v>
      </c>
      <c r="BA2739" s="46" t="s">
        <v>63</v>
      </c>
      <c r="BB2739" s="46">
        <v>11900</v>
      </c>
      <c r="BC2739" s="46">
        <v>137455.323</v>
      </c>
      <c r="BD2739" s="46">
        <v>11.551</v>
      </c>
      <c r="BE2739" s="46">
        <v>16201.2</v>
      </c>
      <c r="BF2739" s="46">
        <v>8090</v>
      </c>
      <c r="BG2739" s="46">
        <v>8.09</v>
      </c>
      <c r="BH2739" s="46">
        <v>15542.826999999999</v>
      </c>
      <c r="BI2739">
        <v>9.14</v>
      </c>
      <c r="BJ2739">
        <v>-7452.8269999999902</v>
      </c>
      <c r="BK2739">
        <v>-10.65</v>
      </c>
      <c r="BL2739">
        <v>2147.35</v>
      </c>
    </row>
    <row r="2740" spans="1:64" x14ac:dyDescent="0.25">
      <c r="A2740" s="136">
        <v>43200</v>
      </c>
      <c r="B2740" s="201" t="s">
        <v>137</v>
      </c>
      <c r="C2740" t="s">
        <v>138</v>
      </c>
      <c r="D2740">
        <v>100</v>
      </c>
      <c r="E2740">
        <v>100</v>
      </c>
      <c r="F2740">
        <v>-130.48500000000001</v>
      </c>
      <c r="G2740">
        <v>17781.5</v>
      </c>
      <c r="H2740">
        <v>0</v>
      </c>
      <c r="I2740" s="309">
        <v>4733</v>
      </c>
      <c r="J2740">
        <v>47.33</v>
      </c>
      <c r="K2740" s="133">
        <v>9.8988060927203796E-3</v>
      </c>
      <c r="L2740" s="181">
        <v>-263</v>
      </c>
      <c r="M2740" s="133">
        <v>0</v>
      </c>
    </row>
    <row r="2741" spans="1:64" x14ac:dyDescent="0.25">
      <c r="A2741" s="136">
        <v>43200</v>
      </c>
      <c r="B2741" s="201" t="s">
        <v>835</v>
      </c>
      <c r="C2741" t="s">
        <v>839</v>
      </c>
      <c r="I2741" s="309">
        <v>20049.23</v>
      </c>
      <c r="K2741" s="133">
        <v>4.1931848738295398E-2</v>
      </c>
      <c r="L2741" s="181">
        <v>0</v>
      </c>
      <c r="M2741" s="133">
        <v>0.146843382001871</v>
      </c>
    </row>
    <row r="2742" spans="1:64" x14ac:dyDescent="0.25">
      <c r="A2742" s="136">
        <v>43201</v>
      </c>
      <c r="B2742" s="201" t="s">
        <v>132</v>
      </c>
      <c r="C2742" t="s">
        <v>123</v>
      </c>
      <c r="D2742">
        <v>7016642</v>
      </c>
      <c r="E2742">
        <v>5016642</v>
      </c>
      <c r="F2742">
        <v>0.01</v>
      </c>
      <c r="G2742">
        <v>3411.98</v>
      </c>
      <c r="H2742">
        <v>0</v>
      </c>
      <c r="I2742" s="309">
        <v>70166.42</v>
      </c>
      <c r="J2742">
        <v>0.01</v>
      </c>
      <c r="K2742" s="133">
        <v>0.14588133140544801</v>
      </c>
      <c r="L2742" s="181">
        <v>4.1799999999998398</v>
      </c>
      <c r="M2742" s="133">
        <v>0</v>
      </c>
    </row>
    <row r="2743" spans="1:64" x14ac:dyDescent="0.25">
      <c r="A2743" s="136">
        <v>43201</v>
      </c>
      <c r="B2743" s="201" t="s">
        <v>61</v>
      </c>
      <c r="C2743" t="s">
        <v>136</v>
      </c>
      <c r="D2743">
        <v>3400</v>
      </c>
      <c r="E2743">
        <v>3400</v>
      </c>
      <c r="F2743">
        <v>5.1180000000000003</v>
      </c>
      <c r="G2743">
        <v>-1184.05</v>
      </c>
      <c r="H2743">
        <v>-6.8</v>
      </c>
      <c r="I2743" s="309">
        <v>16218</v>
      </c>
      <c r="J2743">
        <v>4.7699999999999996</v>
      </c>
      <c r="K2743" s="133">
        <v>3.3718457243985797E-2</v>
      </c>
      <c r="L2743" s="181">
        <v>0</v>
      </c>
      <c r="M2743" s="133">
        <v>3.6180187377155199E-2</v>
      </c>
      <c r="N2743" s="73">
        <v>-1257.8409999999999</v>
      </c>
      <c r="O2743" s="73">
        <v>-264.67622726315699</v>
      </c>
      <c r="P2743" s="182">
        <v>5</v>
      </c>
      <c r="Q2743" s="182">
        <v>2500</v>
      </c>
      <c r="R2743" s="46">
        <v>5.1239999999999997</v>
      </c>
      <c r="S2743" s="46">
        <v>0</v>
      </c>
      <c r="T2743" s="46">
        <v>0</v>
      </c>
      <c r="U2743" s="46">
        <v>0</v>
      </c>
      <c r="V2743" s="46" t="s">
        <v>62</v>
      </c>
      <c r="W2743" s="46">
        <v>2500</v>
      </c>
      <c r="X2743" s="46">
        <v>5.1239999999999997</v>
      </c>
      <c r="AF2743" s="46">
        <v>10</v>
      </c>
      <c r="AG2743" s="46">
        <v>5000</v>
      </c>
      <c r="AH2743" s="46">
        <v>26378</v>
      </c>
      <c r="AI2743" s="46">
        <v>5.2759999999999998</v>
      </c>
      <c r="AJ2743" s="46">
        <v>10</v>
      </c>
      <c r="AK2743" s="46">
        <v>4100</v>
      </c>
      <c r="AL2743" s="46">
        <v>21806.659</v>
      </c>
      <c r="AM2743" s="46">
        <v>5.319</v>
      </c>
      <c r="AN2743" s="46" t="s">
        <v>63</v>
      </c>
      <c r="AO2743" s="46">
        <v>900</v>
      </c>
      <c r="AP2743" s="46">
        <v>4571.3410000000003</v>
      </c>
      <c r="AQ2743" s="46">
        <v>5.0789999999999997</v>
      </c>
      <c r="AR2743" s="46">
        <v>176.3</v>
      </c>
      <c r="AS2743" s="46">
        <v>15</v>
      </c>
      <c r="AT2743" s="46">
        <v>7500</v>
      </c>
      <c r="AU2743" s="46">
        <v>39214.5</v>
      </c>
      <c r="AV2743" s="46">
        <v>5.2290000000000001</v>
      </c>
      <c r="AW2743" s="46">
        <v>10</v>
      </c>
      <c r="AX2743" s="46">
        <v>4100</v>
      </c>
      <c r="AY2743" s="46">
        <v>21806.659</v>
      </c>
      <c r="AZ2743" s="46">
        <v>5.319</v>
      </c>
      <c r="BA2743" s="46" t="s">
        <v>63</v>
      </c>
      <c r="BB2743" s="46">
        <v>3400</v>
      </c>
      <c r="BC2743" s="46">
        <v>17407.841</v>
      </c>
      <c r="BD2743" s="46">
        <v>5.12</v>
      </c>
      <c r="BE2743" s="46">
        <v>369</v>
      </c>
      <c r="BF2743" s="46">
        <v>12836.5</v>
      </c>
      <c r="BG2743" s="46">
        <v>5.13</v>
      </c>
      <c r="BH2743" s="46">
        <v>0</v>
      </c>
      <c r="BJ2743">
        <v>12836.5</v>
      </c>
      <c r="BK2743">
        <v>5.13</v>
      </c>
      <c r="BL2743">
        <v>36.96</v>
      </c>
    </row>
    <row r="2744" spans="1:64" x14ac:dyDescent="0.25">
      <c r="A2744" s="136">
        <v>43201</v>
      </c>
      <c r="B2744" s="201" t="s">
        <v>124</v>
      </c>
      <c r="C2744" t="s">
        <v>125</v>
      </c>
      <c r="D2744">
        <v>100</v>
      </c>
      <c r="E2744">
        <v>100</v>
      </c>
      <c r="F2744">
        <v>-53.579000000000001</v>
      </c>
      <c r="G2744">
        <v>5981.9</v>
      </c>
      <c r="H2744">
        <v>0</v>
      </c>
      <c r="I2744" s="309">
        <v>624</v>
      </c>
      <c r="J2744">
        <v>6.24</v>
      </c>
      <c r="K2744" s="133">
        <v>1.29734352696061E-3</v>
      </c>
      <c r="L2744" s="181">
        <v>12</v>
      </c>
      <c r="M2744" s="133">
        <v>0</v>
      </c>
    </row>
    <row r="2745" spans="1:64" x14ac:dyDescent="0.25">
      <c r="A2745" s="136">
        <v>43201</v>
      </c>
      <c r="B2745" s="201" t="s">
        <v>71</v>
      </c>
      <c r="C2745" t="s">
        <v>126</v>
      </c>
      <c r="D2745">
        <v>1200</v>
      </c>
      <c r="E2745">
        <v>1200</v>
      </c>
      <c r="F2745">
        <v>4.6740000000000004</v>
      </c>
      <c r="G2745">
        <v>2347.73</v>
      </c>
      <c r="H2745">
        <v>41.85</v>
      </c>
      <c r="I2745" s="309">
        <v>7956</v>
      </c>
      <c r="J2745">
        <v>6.63</v>
      </c>
      <c r="K2745" s="133">
        <v>1.6541129968747698E-2</v>
      </c>
      <c r="L2745" s="181">
        <v>316.29000000000002</v>
      </c>
      <c r="M2745" s="133">
        <v>1.1660020483889999E-2</v>
      </c>
      <c r="N2745" s="73">
        <v>2358.5059999999999</v>
      </c>
      <c r="O2745" s="73">
        <v>355.01908840361398</v>
      </c>
      <c r="P2745" s="182">
        <v>0</v>
      </c>
      <c r="Q2745" s="182">
        <v>0</v>
      </c>
      <c r="R2745" s="46">
        <v>0</v>
      </c>
      <c r="S2745" s="46">
        <v>5</v>
      </c>
      <c r="T2745" s="46">
        <v>1900</v>
      </c>
      <c r="U2745" s="46">
        <v>6.7050000000000001</v>
      </c>
      <c r="V2745" s="46" t="s">
        <v>68</v>
      </c>
      <c r="W2745" s="46">
        <v>1900</v>
      </c>
      <c r="X2745" s="46">
        <v>6.7050000000000001</v>
      </c>
      <c r="AF2745" s="46">
        <v>44</v>
      </c>
      <c r="AG2745" s="46">
        <v>22100</v>
      </c>
      <c r="AH2745" s="46">
        <v>141289.26</v>
      </c>
      <c r="AI2745" s="46">
        <v>6.3929999999999998</v>
      </c>
      <c r="AJ2745" s="46">
        <v>42</v>
      </c>
      <c r="AK2745" s="46">
        <v>19000</v>
      </c>
      <c r="AL2745" s="46">
        <v>122809.446</v>
      </c>
      <c r="AM2745" s="46">
        <v>6.4640000000000004</v>
      </c>
      <c r="AN2745" s="46" t="s">
        <v>63</v>
      </c>
      <c r="AO2745" s="46">
        <v>3100</v>
      </c>
      <c r="AP2745" s="46">
        <v>18479.813999999998</v>
      </c>
      <c r="AQ2745" s="46">
        <v>5.9610000000000003</v>
      </c>
      <c r="AR2745" s="46">
        <v>1349</v>
      </c>
      <c r="AS2745" s="46">
        <v>44</v>
      </c>
      <c r="AT2745" s="46">
        <v>22100</v>
      </c>
      <c r="AU2745" s="46">
        <v>141289.26</v>
      </c>
      <c r="AV2745" s="46">
        <v>6.3929999999999998</v>
      </c>
      <c r="AW2745" s="46">
        <v>47</v>
      </c>
      <c r="AX2745" s="46">
        <v>20900</v>
      </c>
      <c r="AY2745" s="46">
        <v>135518.56599999999</v>
      </c>
      <c r="AZ2745" s="46">
        <v>6.484</v>
      </c>
      <c r="BA2745" s="46" t="s">
        <v>63</v>
      </c>
      <c r="BB2745" s="46">
        <v>1200</v>
      </c>
      <c r="BC2745" s="46">
        <v>5770.6940000000004</v>
      </c>
      <c r="BD2745" s="46">
        <v>4.8090000000000002</v>
      </c>
      <c r="BE2745" s="46">
        <v>1901.9</v>
      </c>
      <c r="BF2745" s="46">
        <v>0</v>
      </c>
      <c r="BH2745" s="46">
        <v>12709.12</v>
      </c>
      <c r="BI2745">
        <v>6.69</v>
      </c>
      <c r="BJ2745">
        <v>-12709.12</v>
      </c>
      <c r="BK2745">
        <v>-6.69</v>
      </c>
      <c r="BL2745">
        <v>203.47</v>
      </c>
    </row>
    <row r="2746" spans="1:64" x14ac:dyDescent="0.25">
      <c r="A2746" s="136">
        <v>43201</v>
      </c>
      <c r="B2746" s="201" t="s">
        <v>79</v>
      </c>
      <c r="C2746" t="s">
        <v>143</v>
      </c>
      <c r="D2746">
        <v>5700</v>
      </c>
      <c r="E2746">
        <v>5700</v>
      </c>
      <c r="F2746">
        <v>16.323</v>
      </c>
      <c r="G2746">
        <v>-9990.6</v>
      </c>
      <c r="H2746">
        <v>-10.74</v>
      </c>
      <c r="I2746" s="309">
        <v>83049</v>
      </c>
      <c r="J2746">
        <v>14.57</v>
      </c>
      <c r="K2746" s="133">
        <v>0.17266519642716599</v>
      </c>
      <c r="L2746" s="181">
        <v>684</v>
      </c>
      <c r="M2746" s="133">
        <v>0.193436414761225</v>
      </c>
      <c r="N2746" s="73">
        <v>-11648.0280000001</v>
      </c>
      <c r="O2746" s="73">
        <v>-815.28039117647802</v>
      </c>
      <c r="P2746" s="182">
        <v>8</v>
      </c>
      <c r="Q2746" s="182">
        <v>4500</v>
      </c>
      <c r="R2746" s="46">
        <v>15.429</v>
      </c>
      <c r="S2746" s="46">
        <v>0</v>
      </c>
      <c r="T2746" s="46">
        <v>0</v>
      </c>
      <c r="U2746" s="46">
        <v>0</v>
      </c>
      <c r="V2746" s="46" t="s">
        <v>62</v>
      </c>
      <c r="W2746" s="46">
        <v>4500</v>
      </c>
      <c r="X2746" s="46">
        <v>15.429</v>
      </c>
      <c r="AF2746" s="46">
        <v>12</v>
      </c>
      <c r="AG2746" s="46">
        <v>6000</v>
      </c>
      <c r="AH2746" s="46">
        <v>96283.6</v>
      </c>
      <c r="AI2746" s="46">
        <v>16.047000000000001</v>
      </c>
      <c r="AJ2746" s="46">
        <v>12</v>
      </c>
      <c r="AK2746" s="46">
        <v>4800</v>
      </c>
      <c r="AL2746" s="46">
        <v>72712.271999999895</v>
      </c>
      <c r="AM2746" s="46">
        <v>15.148</v>
      </c>
      <c r="AN2746" s="46" t="s">
        <v>63</v>
      </c>
      <c r="AO2746" s="46">
        <v>1200</v>
      </c>
      <c r="AP2746" s="46">
        <v>23571.328000000001</v>
      </c>
      <c r="AQ2746" s="46">
        <v>19.643000000000001</v>
      </c>
      <c r="AR2746" s="46">
        <v>-4315.2</v>
      </c>
      <c r="AS2746" s="46">
        <v>20</v>
      </c>
      <c r="AT2746" s="46">
        <v>10500</v>
      </c>
      <c r="AU2746" s="46">
        <v>165756.29999999999</v>
      </c>
      <c r="AV2746" s="46">
        <v>15.786</v>
      </c>
      <c r="AW2746" s="46">
        <v>12</v>
      </c>
      <c r="AX2746" s="46">
        <v>4800</v>
      </c>
      <c r="AY2746" s="46">
        <v>72712.271999999895</v>
      </c>
      <c r="AZ2746" s="46">
        <v>15.148</v>
      </c>
      <c r="BA2746" s="46" t="s">
        <v>63</v>
      </c>
      <c r="BB2746" s="46">
        <v>5700</v>
      </c>
      <c r="BC2746" s="46">
        <v>93044.028000000006</v>
      </c>
      <c r="BD2746" s="46">
        <v>16.324000000000002</v>
      </c>
      <c r="BE2746" s="46">
        <v>-3062.4</v>
      </c>
      <c r="BF2746" s="46">
        <v>69472.7</v>
      </c>
      <c r="BG2746" s="46">
        <v>15.44</v>
      </c>
      <c r="BH2746" s="46">
        <v>0</v>
      </c>
      <c r="BJ2746">
        <v>69472.7</v>
      </c>
      <c r="BK2746">
        <v>15.44</v>
      </c>
      <c r="BL2746">
        <v>-296.17</v>
      </c>
    </row>
    <row r="2747" spans="1:64" x14ac:dyDescent="0.25">
      <c r="A2747" s="136">
        <v>43201</v>
      </c>
      <c r="B2747" s="201" t="s">
        <v>65</v>
      </c>
      <c r="C2747" t="s">
        <v>127</v>
      </c>
      <c r="D2747">
        <v>13600</v>
      </c>
      <c r="E2747">
        <v>13600</v>
      </c>
      <c r="F2747">
        <v>9.3719999999999999</v>
      </c>
      <c r="G2747">
        <v>3515.08</v>
      </c>
      <c r="H2747">
        <v>2.75</v>
      </c>
      <c r="I2747" s="309">
        <v>130968</v>
      </c>
      <c r="J2747">
        <v>9.6300000000000008</v>
      </c>
      <c r="K2747" s="133">
        <v>0.27229244717784701</v>
      </c>
      <c r="L2747" s="181">
        <v>746.25</v>
      </c>
      <c r="M2747" s="133">
        <v>0.26498432813177603</v>
      </c>
      <c r="N2747" s="73">
        <v>456.66099999998602</v>
      </c>
      <c r="O2747" s="73">
        <v>487.22689225821603</v>
      </c>
      <c r="P2747" s="182">
        <v>0</v>
      </c>
      <c r="Q2747" s="182">
        <v>0</v>
      </c>
      <c r="R2747" s="46">
        <v>0</v>
      </c>
      <c r="S2747" s="46">
        <v>12</v>
      </c>
      <c r="T2747" s="46">
        <v>5000</v>
      </c>
      <c r="U2747" s="46">
        <v>12.036</v>
      </c>
      <c r="V2747" s="46" t="s">
        <v>68</v>
      </c>
      <c r="W2747" s="46">
        <v>5000</v>
      </c>
      <c r="X2747" s="46">
        <v>12.036</v>
      </c>
      <c r="AF2747" s="46">
        <v>179</v>
      </c>
      <c r="AG2747" s="46">
        <v>95200</v>
      </c>
      <c r="AH2747" s="46">
        <v>1094430.2309999999</v>
      </c>
      <c r="AI2747" s="46">
        <v>11.496</v>
      </c>
      <c r="AJ2747" s="46">
        <v>198</v>
      </c>
      <c r="AK2747" s="46">
        <v>85800</v>
      </c>
      <c r="AL2747" s="46">
        <v>906082.07</v>
      </c>
      <c r="AM2747" s="46">
        <v>10.56</v>
      </c>
      <c r="AN2747" s="46" t="s">
        <v>63</v>
      </c>
      <c r="AO2747" s="46">
        <v>9400</v>
      </c>
      <c r="AP2747" s="46">
        <v>188348.16099999999</v>
      </c>
      <c r="AQ2747" s="46">
        <v>20.036999999999999</v>
      </c>
      <c r="AR2747" s="46">
        <v>-80308.800000000003</v>
      </c>
      <c r="AS2747" s="46">
        <v>180</v>
      </c>
      <c r="AT2747" s="46">
        <v>95300</v>
      </c>
      <c r="AU2747" s="46">
        <v>1095718.2309999999</v>
      </c>
      <c r="AV2747" s="46">
        <v>11.497999999999999</v>
      </c>
      <c r="AW2747" s="46">
        <v>210</v>
      </c>
      <c r="AX2747" s="46">
        <v>90800</v>
      </c>
      <c r="AY2747" s="46">
        <v>966141.89</v>
      </c>
      <c r="AZ2747" s="46">
        <v>10.64</v>
      </c>
      <c r="BA2747" s="46" t="s">
        <v>63</v>
      </c>
      <c r="BB2747" s="46">
        <v>4500</v>
      </c>
      <c r="BC2747" s="46">
        <v>129576.341</v>
      </c>
      <c r="BD2747" s="46">
        <v>28.795000000000002</v>
      </c>
      <c r="BE2747" s="46">
        <v>-77906.399999999994</v>
      </c>
      <c r="BF2747" s="46">
        <v>1288</v>
      </c>
      <c r="BH2747" s="46">
        <v>60059.820000000203</v>
      </c>
      <c r="BI2747">
        <v>12.01</v>
      </c>
      <c r="BJ2747">
        <v>-58771.82</v>
      </c>
      <c r="BK2747">
        <v>-11.75</v>
      </c>
      <c r="BL2747">
        <v>-8339.44</v>
      </c>
    </row>
    <row r="2748" spans="1:64" x14ac:dyDescent="0.25">
      <c r="A2748" s="136">
        <v>43201</v>
      </c>
      <c r="B2748" s="201" t="s">
        <v>77</v>
      </c>
      <c r="C2748" t="s">
        <v>128</v>
      </c>
      <c r="D2748">
        <v>4300</v>
      </c>
      <c r="E2748">
        <v>4300</v>
      </c>
      <c r="F2748">
        <v>5.9779999999999998</v>
      </c>
      <c r="G2748">
        <v>-595.27</v>
      </c>
      <c r="H2748">
        <v>-2.31</v>
      </c>
      <c r="I2748" s="309">
        <v>25112</v>
      </c>
      <c r="J2748">
        <v>5.84</v>
      </c>
      <c r="K2748" s="133">
        <v>5.2209760655504402E-2</v>
      </c>
      <c r="L2748" s="181">
        <v>0</v>
      </c>
      <c r="M2748" s="133">
        <v>5.3447372324244603E-2</v>
      </c>
      <c r="N2748" s="73">
        <v>-1272.2139999999999</v>
      </c>
      <c r="O2748" s="73">
        <v>-133.073774655173</v>
      </c>
      <c r="P2748" s="182">
        <v>6</v>
      </c>
      <c r="Q2748" s="182">
        <v>3000</v>
      </c>
      <c r="R2748" s="46">
        <v>6.798</v>
      </c>
      <c r="S2748" s="46">
        <v>0</v>
      </c>
      <c r="T2748" s="46">
        <v>0</v>
      </c>
      <c r="U2748" s="46">
        <v>0</v>
      </c>
      <c r="V2748" s="46" t="s">
        <v>62</v>
      </c>
      <c r="W2748" s="46">
        <v>3000</v>
      </c>
      <c r="X2748" s="46">
        <v>6.798</v>
      </c>
      <c r="AF2748" s="46">
        <v>39</v>
      </c>
      <c r="AG2748" s="46">
        <v>19500</v>
      </c>
      <c r="AH2748" s="46">
        <v>142169</v>
      </c>
      <c r="AI2748" s="46">
        <v>7.2910000000000004</v>
      </c>
      <c r="AJ2748" s="46">
        <v>39</v>
      </c>
      <c r="AK2748" s="46">
        <v>18200</v>
      </c>
      <c r="AL2748" s="46">
        <v>136881.78599999999</v>
      </c>
      <c r="AM2748" s="46">
        <v>7.5209999999999999</v>
      </c>
      <c r="AN2748" s="46" t="s">
        <v>63</v>
      </c>
      <c r="AO2748" s="46">
        <v>1300</v>
      </c>
      <c r="AP2748" s="46">
        <v>5287.2139999999999</v>
      </c>
      <c r="AQ2748" s="46">
        <v>4.0670000000000002</v>
      </c>
      <c r="AR2748" s="46">
        <v>4186</v>
      </c>
      <c r="AS2748" s="46">
        <v>45</v>
      </c>
      <c r="AT2748" s="46">
        <v>22500</v>
      </c>
      <c r="AU2748" s="46">
        <v>162594</v>
      </c>
      <c r="AV2748" s="46">
        <v>7.226</v>
      </c>
      <c r="AW2748" s="46">
        <v>39</v>
      </c>
      <c r="AX2748" s="46">
        <v>18200</v>
      </c>
      <c r="AY2748" s="46">
        <v>136881.78599999999</v>
      </c>
      <c r="AZ2748" s="46">
        <v>7.5209999999999999</v>
      </c>
      <c r="BA2748" s="46" t="s">
        <v>63</v>
      </c>
      <c r="BB2748" s="46">
        <v>4300</v>
      </c>
      <c r="BC2748" s="46">
        <v>25712.214</v>
      </c>
      <c r="BD2748" s="46">
        <v>5.98</v>
      </c>
      <c r="BE2748" s="46">
        <v>5369</v>
      </c>
      <c r="BF2748" s="46">
        <v>20425</v>
      </c>
      <c r="BG2748" s="46">
        <v>6.81</v>
      </c>
      <c r="BH2748" s="46">
        <v>0</v>
      </c>
      <c r="BJ2748">
        <v>20425</v>
      </c>
      <c r="BK2748">
        <v>6.81</v>
      </c>
      <c r="BL2748">
        <v>716.78</v>
      </c>
    </row>
    <row r="2749" spans="1:64" x14ac:dyDescent="0.25">
      <c r="A2749" s="136">
        <v>43201</v>
      </c>
      <c r="B2749" s="201" t="s">
        <v>67</v>
      </c>
      <c r="C2749" t="s">
        <v>129</v>
      </c>
      <c r="D2749">
        <v>200</v>
      </c>
      <c r="E2749">
        <v>200</v>
      </c>
      <c r="F2749">
        <v>-10.397</v>
      </c>
      <c r="G2749">
        <v>3929.4</v>
      </c>
      <c r="H2749">
        <v>0</v>
      </c>
      <c r="I2749" s="309">
        <v>1850</v>
      </c>
      <c r="J2749">
        <v>9.25</v>
      </c>
      <c r="K2749" s="133">
        <v>3.8462909052518002E-3</v>
      </c>
      <c r="L2749" s="181">
        <v>63.260000000000197</v>
      </c>
      <c r="M2749" s="133">
        <v>0</v>
      </c>
      <c r="N2749" s="73">
        <v>3921.1624999997598</v>
      </c>
      <c r="O2749" s="73">
        <v>425.07613001624497</v>
      </c>
      <c r="P2749" s="182">
        <v>0</v>
      </c>
      <c r="Q2749" s="182">
        <v>0</v>
      </c>
      <c r="R2749" s="46">
        <v>0</v>
      </c>
      <c r="S2749" s="46">
        <v>23</v>
      </c>
      <c r="T2749" s="46">
        <v>9200</v>
      </c>
      <c r="U2749" s="46">
        <v>8.984</v>
      </c>
      <c r="V2749" s="46" t="s">
        <v>68</v>
      </c>
      <c r="W2749" s="46">
        <v>9200</v>
      </c>
      <c r="X2749" s="46">
        <v>8.984</v>
      </c>
      <c r="AF2749" s="46">
        <v>187</v>
      </c>
      <c r="AG2749" s="46">
        <v>92900</v>
      </c>
      <c r="AH2749" s="46">
        <v>773105</v>
      </c>
      <c r="AI2749" s="46">
        <v>8.3219999999999992</v>
      </c>
      <c r="AJ2749" s="46">
        <v>190</v>
      </c>
      <c r="AK2749" s="46">
        <v>86100</v>
      </c>
      <c r="AL2749" s="46">
        <v>761851.93449999997</v>
      </c>
      <c r="AM2749" s="46">
        <v>8.8480000000000008</v>
      </c>
      <c r="AN2749" s="46" t="s">
        <v>63</v>
      </c>
      <c r="AO2749" s="46">
        <v>6800</v>
      </c>
      <c r="AP2749" s="46">
        <v>11253.065000000001</v>
      </c>
      <c r="AQ2749" s="46">
        <v>1.655</v>
      </c>
      <c r="AR2749" s="46">
        <v>45288.6</v>
      </c>
      <c r="AS2749" s="46">
        <v>187</v>
      </c>
      <c r="AT2749" s="46">
        <v>92900</v>
      </c>
      <c r="AU2749" s="46">
        <v>773105</v>
      </c>
      <c r="AV2749" s="46">
        <v>8.3219999999999992</v>
      </c>
      <c r="AW2749" s="46">
        <v>213</v>
      </c>
      <c r="AX2749" s="46">
        <v>95300</v>
      </c>
      <c r="AY2749" s="46">
        <v>844310.27850000001</v>
      </c>
      <c r="AZ2749" s="46">
        <v>8.859</v>
      </c>
      <c r="BA2749" s="46" t="s">
        <v>69</v>
      </c>
      <c r="BB2749" s="46">
        <v>2400</v>
      </c>
      <c r="BC2749" s="46">
        <v>71205.278999999995</v>
      </c>
      <c r="BD2749" s="46">
        <v>29.669</v>
      </c>
      <c r="BE2749" s="46">
        <v>49887.3</v>
      </c>
      <c r="BF2749" s="46">
        <v>0</v>
      </c>
      <c r="BH2749" s="46">
        <v>82458.344000000201</v>
      </c>
      <c r="BI2749">
        <v>8.9600000000000009</v>
      </c>
      <c r="BJ2749">
        <v>59952.214</v>
      </c>
      <c r="BK2749">
        <v>6.52</v>
      </c>
      <c r="BL2749">
        <v>4896.0600000000004</v>
      </c>
    </row>
    <row r="2750" spans="1:64" x14ac:dyDescent="0.25">
      <c r="A2750" s="136">
        <v>43201</v>
      </c>
      <c r="B2750" s="201" t="s">
        <v>78</v>
      </c>
      <c r="C2750" t="s">
        <v>142</v>
      </c>
      <c r="D2750">
        <v>100</v>
      </c>
      <c r="E2750">
        <v>100</v>
      </c>
      <c r="F2750">
        <v>-4.9039999999999999</v>
      </c>
      <c r="G2750">
        <v>1523.4</v>
      </c>
      <c r="H2750">
        <v>0</v>
      </c>
      <c r="I2750" s="309">
        <v>1033</v>
      </c>
      <c r="J2750">
        <v>10.33</v>
      </c>
      <c r="K2750" s="133">
        <v>2.1476856784460102E-3</v>
      </c>
      <c r="L2750" s="181">
        <v>-24</v>
      </c>
      <c r="M2750" s="133">
        <v>0</v>
      </c>
      <c r="N2750" s="73">
        <v>1506.3910000000001</v>
      </c>
      <c r="O2750" s="73">
        <v>148.19269729330699</v>
      </c>
      <c r="P2750" s="182">
        <v>0</v>
      </c>
      <c r="Q2750" s="182">
        <v>0</v>
      </c>
      <c r="R2750" s="46">
        <v>0</v>
      </c>
      <c r="S2750" s="46">
        <v>3</v>
      </c>
      <c r="T2750" s="46">
        <v>1200</v>
      </c>
      <c r="U2750" s="46">
        <v>9.99</v>
      </c>
      <c r="V2750" s="46" t="s">
        <v>68</v>
      </c>
      <c r="W2750" s="46">
        <v>1200</v>
      </c>
      <c r="X2750" s="46">
        <v>9.99</v>
      </c>
      <c r="AF2750" s="46">
        <v>13</v>
      </c>
      <c r="AG2750" s="46">
        <v>6500</v>
      </c>
      <c r="AH2750" s="46">
        <v>62970</v>
      </c>
      <c r="AI2750" s="46">
        <v>9.6880000000000006</v>
      </c>
      <c r="AJ2750" s="46">
        <v>14</v>
      </c>
      <c r="AK2750" s="46">
        <v>5200</v>
      </c>
      <c r="AL2750" s="46">
        <v>51499.379000000001</v>
      </c>
      <c r="AM2750" s="46">
        <v>9.9039999999999999</v>
      </c>
      <c r="AN2750" s="46" t="s">
        <v>63</v>
      </c>
      <c r="AO2750" s="46">
        <v>1300</v>
      </c>
      <c r="AP2750" s="46">
        <v>11470.620999999999</v>
      </c>
      <c r="AQ2750" s="46">
        <v>8.8239999999999998</v>
      </c>
      <c r="AR2750" s="46">
        <v>1123.2</v>
      </c>
      <c r="AS2750" s="46">
        <v>13</v>
      </c>
      <c r="AT2750" s="46">
        <v>6500</v>
      </c>
      <c r="AU2750" s="46">
        <v>62970</v>
      </c>
      <c r="AV2750" s="46">
        <v>9.6880000000000006</v>
      </c>
      <c r="AW2750" s="46">
        <v>17</v>
      </c>
      <c r="AX2750" s="46">
        <v>6400</v>
      </c>
      <c r="AY2750" s="46">
        <v>63460.391000000003</v>
      </c>
      <c r="AZ2750" s="46">
        <v>9.9160000000000004</v>
      </c>
      <c r="BA2750" s="46" t="s">
        <v>63</v>
      </c>
      <c r="BB2750" s="46">
        <v>100</v>
      </c>
      <c r="BC2750" s="46">
        <v>490.39100000000002</v>
      </c>
      <c r="BD2750" s="46">
        <v>4.9039999999999999</v>
      </c>
      <c r="BE2750" s="46">
        <v>1459.2</v>
      </c>
      <c r="BF2750" s="46">
        <v>0</v>
      </c>
      <c r="BH2750" s="46">
        <v>11961.012000000001</v>
      </c>
      <c r="BI2750">
        <v>9.9700000000000006</v>
      </c>
      <c r="BJ2750">
        <v>-10980.23</v>
      </c>
      <c r="BK2750">
        <v>-9.15</v>
      </c>
      <c r="BL2750">
        <v>108.73</v>
      </c>
    </row>
    <row r="2751" spans="1:64" x14ac:dyDescent="0.25">
      <c r="A2751" s="136">
        <v>43201</v>
      </c>
      <c r="B2751" s="201" t="s">
        <v>72</v>
      </c>
      <c r="C2751" t="s">
        <v>130</v>
      </c>
      <c r="D2751">
        <v>2800</v>
      </c>
      <c r="E2751">
        <v>2800</v>
      </c>
      <c r="F2751">
        <v>6.806</v>
      </c>
      <c r="G2751">
        <v>-185.06</v>
      </c>
      <c r="H2751">
        <v>-0.97</v>
      </c>
      <c r="I2751" s="309">
        <v>18872</v>
      </c>
      <c r="J2751">
        <v>6.74</v>
      </c>
      <c r="K2751" s="133">
        <v>3.9236325385898399E-2</v>
      </c>
      <c r="L2751" s="181">
        <v>684.35</v>
      </c>
      <c r="M2751" s="133">
        <v>3.9621079220993401E-2</v>
      </c>
      <c r="N2751" s="73">
        <v>-714.75999999999397</v>
      </c>
      <c r="O2751" s="73">
        <v>-74.329332579182704</v>
      </c>
      <c r="P2751" s="182">
        <v>0</v>
      </c>
      <c r="Q2751" s="182">
        <v>0</v>
      </c>
      <c r="R2751" s="46">
        <v>0</v>
      </c>
      <c r="S2751" s="46">
        <v>13</v>
      </c>
      <c r="T2751" s="46">
        <v>5200</v>
      </c>
      <c r="U2751" s="46">
        <v>7.42</v>
      </c>
      <c r="V2751" s="46" t="s">
        <v>68</v>
      </c>
      <c r="W2751" s="46">
        <v>5200</v>
      </c>
      <c r="X2751" s="46">
        <v>7.42</v>
      </c>
      <c r="AF2751" s="46">
        <v>35</v>
      </c>
      <c r="AG2751" s="46">
        <v>17400</v>
      </c>
      <c r="AH2751" s="46">
        <v>130612</v>
      </c>
      <c r="AI2751" s="46">
        <v>7.5060000000000002</v>
      </c>
      <c r="AJ2751" s="46">
        <v>35</v>
      </c>
      <c r="AK2751" s="46">
        <v>16000</v>
      </c>
      <c r="AL2751" s="46">
        <v>73807.009000000005</v>
      </c>
      <c r="AM2751" s="46">
        <v>4.6130000000000004</v>
      </c>
      <c r="AN2751" s="46" t="s">
        <v>63</v>
      </c>
      <c r="AO2751" s="46">
        <v>1400</v>
      </c>
      <c r="AP2751" s="46">
        <v>56804.991000000002</v>
      </c>
      <c r="AQ2751" s="46">
        <v>40.575000000000003</v>
      </c>
      <c r="AR2751" s="46">
        <v>-46288</v>
      </c>
      <c r="AS2751" s="46">
        <v>35</v>
      </c>
      <c r="AT2751" s="46">
        <v>17400</v>
      </c>
      <c r="AU2751" s="46">
        <v>130612</v>
      </c>
      <c r="AV2751" s="46">
        <v>7.5060000000000002</v>
      </c>
      <c r="AW2751" s="46">
        <v>49</v>
      </c>
      <c r="AX2751" s="46">
        <v>21700</v>
      </c>
      <c r="AY2751" s="46">
        <v>112287.425</v>
      </c>
      <c r="AZ2751" s="46">
        <v>5.1749999999999998</v>
      </c>
      <c r="BA2751" s="46" t="s">
        <v>69</v>
      </c>
      <c r="BB2751" s="46">
        <v>4300</v>
      </c>
      <c r="BC2751" s="46">
        <v>18324.575000000001</v>
      </c>
      <c r="BD2751" s="46">
        <v>4.2619999999999996</v>
      </c>
      <c r="BE2751" s="46">
        <v>-40559.4</v>
      </c>
      <c r="BF2751" s="46">
        <v>0</v>
      </c>
      <c r="BH2751" s="46">
        <v>38480.415999999997</v>
      </c>
      <c r="BI2751">
        <v>7.4</v>
      </c>
      <c r="BJ2751">
        <v>-38480.415999999997</v>
      </c>
      <c r="BK2751">
        <v>-7.4</v>
      </c>
      <c r="BL2751">
        <v>-6867.66</v>
      </c>
    </row>
    <row r="2752" spans="1:64" x14ac:dyDescent="0.25">
      <c r="A2752" s="136">
        <v>43201</v>
      </c>
      <c r="B2752" s="201" t="s">
        <v>70</v>
      </c>
      <c r="C2752" t="s">
        <v>131</v>
      </c>
      <c r="D2752">
        <v>11900</v>
      </c>
      <c r="E2752">
        <v>11900</v>
      </c>
      <c r="F2752">
        <v>11.551</v>
      </c>
      <c r="G2752">
        <v>-33802.32</v>
      </c>
      <c r="H2752">
        <v>-24.59</v>
      </c>
      <c r="I2752" s="309">
        <v>103649</v>
      </c>
      <c r="J2752">
        <v>8.7100000000000009</v>
      </c>
      <c r="K2752" s="133">
        <v>0.21549416542618599</v>
      </c>
      <c r="L2752" s="181">
        <v>357</v>
      </c>
      <c r="M2752" s="133">
        <v>0.28577176325992198</v>
      </c>
      <c r="N2752" s="73">
        <v>-35115.323000000099</v>
      </c>
      <c r="O2752" s="73">
        <v>-4081.1355044767502</v>
      </c>
      <c r="P2752" s="182">
        <v>2</v>
      </c>
      <c r="Q2752" s="182">
        <v>1000</v>
      </c>
      <c r="R2752" s="46">
        <v>8.08</v>
      </c>
      <c r="S2752" s="46">
        <v>4</v>
      </c>
      <c r="T2752" s="46">
        <v>1700</v>
      </c>
      <c r="U2752" s="46">
        <v>8.9250000000000007</v>
      </c>
      <c r="V2752" s="46" t="s">
        <v>68</v>
      </c>
      <c r="W2752" s="46">
        <v>700</v>
      </c>
      <c r="X2752" s="46">
        <v>10.132</v>
      </c>
      <c r="AF2752" s="46">
        <v>136</v>
      </c>
      <c r="AG2752" s="46">
        <v>69600</v>
      </c>
      <c r="AH2752" s="46">
        <v>903588</v>
      </c>
      <c r="AI2752" s="46">
        <v>12.983000000000001</v>
      </c>
      <c r="AJ2752" s="46">
        <v>142</v>
      </c>
      <c r="AK2752" s="46">
        <v>57000</v>
      </c>
      <c r="AL2752" s="46">
        <v>758679.85</v>
      </c>
      <c r="AM2752" s="46">
        <v>13.31</v>
      </c>
      <c r="AN2752" s="46" t="s">
        <v>63</v>
      </c>
      <c r="AO2752" s="46">
        <v>12600</v>
      </c>
      <c r="AP2752" s="46">
        <v>144908.15</v>
      </c>
      <c r="AQ2752" s="46">
        <v>11.500999999999999</v>
      </c>
      <c r="AR2752" s="46">
        <v>18639</v>
      </c>
      <c r="AS2752" s="46">
        <v>138</v>
      </c>
      <c r="AT2752" s="46">
        <v>70600</v>
      </c>
      <c r="AU2752" s="46">
        <v>911678</v>
      </c>
      <c r="AV2752" s="46">
        <v>12.913</v>
      </c>
      <c r="AW2752" s="46">
        <v>147</v>
      </c>
      <c r="AX2752" s="46">
        <v>58700</v>
      </c>
      <c r="AY2752" s="46">
        <v>774222.67700000003</v>
      </c>
      <c r="AZ2752" s="46">
        <v>13.189</v>
      </c>
      <c r="BA2752" s="46" t="s">
        <v>63</v>
      </c>
      <c r="BB2752" s="46">
        <v>11900</v>
      </c>
      <c r="BC2752" s="46">
        <v>137455.323</v>
      </c>
      <c r="BD2752" s="46">
        <v>11.551</v>
      </c>
      <c r="BE2752" s="46">
        <v>16201.2</v>
      </c>
      <c r="BF2752" s="46">
        <v>8090</v>
      </c>
      <c r="BG2752" s="46">
        <v>8.09</v>
      </c>
      <c r="BH2752" s="46">
        <v>15542.826999999999</v>
      </c>
      <c r="BI2752">
        <v>9.14</v>
      </c>
      <c r="BJ2752">
        <v>-7452.8269999999902</v>
      </c>
      <c r="BK2752">
        <v>-10.65</v>
      </c>
      <c r="BL2752">
        <v>2139.9499999999998</v>
      </c>
    </row>
    <row r="2753" spans="1:64" x14ac:dyDescent="0.25">
      <c r="A2753" s="136">
        <v>43201</v>
      </c>
      <c r="B2753" s="201" t="s">
        <v>137</v>
      </c>
      <c r="C2753" t="s">
        <v>138</v>
      </c>
      <c r="D2753">
        <v>100</v>
      </c>
      <c r="E2753">
        <v>100</v>
      </c>
      <c r="F2753">
        <v>-130.48500000000001</v>
      </c>
      <c r="G2753">
        <v>17782.5</v>
      </c>
      <c r="H2753">
        <v>0</v>
      </c>
      <c r="I2753" s="309">
        <v>4734</v>
      </c>
      <c r="J2753">
        <v>47.34</v>
      </c>
      <c r="K2753" s="133">
        <v>9.8423465651146097E-3</v>
      </c>
      <c r="L2753" s="181">
        <v>1</v>
      </c>
      <c r="M2753" s="133">
        <v>0</v>
      </c>
    </row>
    <row r="2754" spans="1:64" x14ac:dyDescent="0.25">
      <c r="A2754" s="136">
        <v>43201</v>
      </c>
      <c r="B2754" s="201" t="s">
        <v>835</v>
      </c>
      <c r="C2754" t="s">
        <v>839</v>
      </c>
      <c r="I2754" s="309">
        <v>16751.439999999999</v>
      </c>
      <c r="K2754" s="133">
        <v>3.4827519633443903E-2</v>
      </c>
      <c r="L2754" s="181">
        <v>0</v>
      </c>
      <c r="M2754" s="133">
        <v>0.180708851038892</v>
      </c>
    </row>
    <row r="2755" spans="1:64" x14ac:dyDescent="0.25">
      <c r="A2755" s="136">
        <v>43202</v>
      </c>
      <c r="B2755" s="201" t="s">
        <v>132</v>
      </c>
      <c r="C2755" t="s">
        <v>123</v>
      </c>
      <c r="D2755">
        <v>7017054</v>
      </c>
      <c r="E2755">
        <v>7017054</v>
      </c>
      <c r="F2755">
        <v>0.01</v>
      </c>
      <c r="G2755">
        <v>3416.1</v>
      </c>
      <c r="H2755">
        <v>0</v>
      </c>
      <c r="I2755" s="309">
        <v>70170.539999999994</v>
      </c>
      <c r="J2755">
        <v>0.01</v>
      </c>
      <c r="K2755" s="133">
        <v>0.146335585560457</v>
      </c>
      <c r="L2755" s="181">
        <v>4.11999999999989</v>
      </c>
      <c r="M2755" s="133">
        <v>0</v>
      </c>
    </row>
    <row r="2756" spans="1:64" x14ac:dyDescent="0.25">
      <c r="A2756" s="136">
        <v>43202</v>
      </c>
      <c r="B2756" s="201" t="s">
        <v>61</v>
      </c>
      <c r="C2756" t="s">
        <v>136</v>
      </c>
      <c r="D2756">
        <v>3400</v>
      </c>
      <c r="E2756">
        <v>3400</v>
      </c>
      <c r="F2756">
        <v>5.1180000000000003</v>
      </c>
      <c r="G2756">
        <v>-1320.05</v>
      </c>
      <c r="H2756">
        <v>-7.58</v>
      </c>
      <c r="I2756" s="309">
        <v>16082</v>
      </c>
      <c r="J2756">
        <v>4.7300000000000004</v>
      </c>
      <c r="K2756" s="133">
        <v>3.3537847748973698E-2</v>
      </c>
      <c r="L2756" s="181">
        <v>-136</v>
      </c>
      <c r="M2756" s="133">
        <v>3.6290716541476697E-2</v>
      </c>
      <c r="N2756" s="73">
        <v>-1257.8409999999999</v>
      </c>
      <c r="O2756" s="73">
        <v>-264.67622726315699</v>
      </c>
      <c r="P2756" s="182">
        <v>5</v>
      </c>
      <c r="Q2756" s="182">
        <v>2500</v>
      </c>
      <c r="R2756" s="46">
        <v>5.1239999999999997</v>
      </c>
      <c r="S2756" s="46">
        <v>0</v>
      </c>
      <c r="T2756" s="46">
        <v>0</v>
      </c>
      <c r="U2756" s="46">
        <v>0</v>
      </c>
      <c r="V2756" s="46" t="s">
        <v>62</v>
      </c>
      <c r="W2756" s="46">
        <v>2500</v>
      </c>
      <c r="X2756" s="46">
        <v>5.1239999999999997</v>
      </c>
      <c r="AF2756" s="46">
        <v>10</v>
      </c>
      <c r="AG2756" s="46">
        <v>5000</v>
      </c>
      <c r="AH2756" s="46">
        <v>26378</v>
      </c>
      <c r="AI2756" s="46">
        <v>5.2759999999999998</v>
      </c>
      <c r="AJ2756" s="46">
        <v>10</v>
      </c>
      <c r="AK2756" s="46">
        <v>4100</v>
      </c>
      <c r="AL2756" s="46">
        <v>21806.659</v>
      </c>
      <c r="AM2756" s="46">
        <v>5.319</v>
      </c>
      <c r="AN2756" s="46" t="s">
        <v>63</v>
      </c>
      <c r="AO2756" s="46">
        <v>900</v>
      </c>
      <c r="AP2756" s="46">
        <v>4571.3410000000003</v>
      </c>
      <c r="AQ2756" s="46">
        <v>5.0789999999999997</v>
      </c>
      <c r="AR2756" s="46">
        <v>176.3</v>
      </c>
      <c r="AS2756" s="46">
        <v>15</v>
      </c>
      <c r="AT2756" s="46">
        <v>7500</v>
      </c>
      <c r="AU2756" s="46">
        <v>39214.5</v>
      </c>
      <c r="AV2756" s="46">
        <v>5.2290000000000001</v>
      </c>
      <c r="AW2756" s="46">
        <v>10</v>
      </c>
      <c r="AX2756" s="46">
        <v>4100</v>
      </c>
      <c r="AY2756" s="46">
        <v>21806.659</v>
      </c>
      <c r="AZ2756" s="46">
        <v>5.319</v>
      </c>
      <c r="BA2756" s="46" t="s">
        <v>63</v>
      </c>
      <c r="BB2756" s="46">
        <v>3400</v>
      </c>
      <c r="BC2756" s="46">
        <v>17407.841</v>
      </c>
      <c r="BD2756" s="46">
        <v>5.12</v>
      </c>
      <c r="BE2756" s="46">
        <v>369</v>
      </c>
      <c r="BF2756" s="46">
        <v>12836.5</v>
      </c>
      <c r="BG2756" s="46">
        <v>5.13</v>
      </c>
      <c r="BH2756" s="46">
        <v>0</v>
      </c>
      <c r="BJ2756">
        <v>12836.5</v>
      </c>
      <c r="BK2756">
        <v>5.13</v>
      </c>
      <c r="BL2756">
        <v>37.270000000000003</v>
      </c>
    </row>
    <row r="2757" spans="1:64" x14ac:dyDescent="0.25">
      <c r="A2757" s="136">
        <v>43202</v>
      </c>
      <c r="B2757" s="201" t="s">
        <v>124</v>
      </c>
      <c r="C2757" t="s">
        <v>125</v>
      </c>
      <c r="D2757">
        <v>100</v>
      </c>
      <c r="E2757">
        <v>100</v>
      </c>
      <c r="F2757">
        <v>-53.579000000000001</v>
      </c>
      <c r="G2757">
        <v>5965.9</v>
      </c>
      <c r="H2757">
        <v>0</v>
      </c>
      <c r="I2757" s="309">
        <v>608</v>
      </c>
      <c r="J2757">
        <v>6.08</v>
      </c>
      <c r="K2757" s="133">
        <v>1.2679400218490299E-3</v>
      </c>
      <c r="L2757" s="181">
        <v>-16</v>
      </c>
      <c r="M2757" s="133">
        <v>0</v>
      </c>
    </row>
    <row r="2758" spans="1:64" x14ac:dyDescent="0.25">
      <c r="A2758" s="136">
        <v>43202</v>
      </c>
      <c r="B2758" s="201" t="s">
        <v>71</v>
      </c>
      <c r="C2758" t="s">
        <v>126</v>
      </c>
      <c r="D2758">
        <v>1700</v>
      </c>
      <c r="E2758">
        <v>1200</v>
      </c>
      <c r="F2758">
        <v>5.2080000000000002</v>
      </c>
      <c r="G2758">
        <v>2179.67</v>
      </c>
      <c r="H2758">
        <v>24.62</v>
      </c>
      <c r="I2758" s="309">
        <v>11033</v>
      </c>
      <c r="J2758">
        <v>6.49</v>
      </c>
      <c r="K2758" s="133">
        <v>2.30085234556913E-2</v>
      </c>
      <c r="L2758" s="181">
        <v>-168.06</v>
      </c>
      <c r="M2758" s="133">
        <v>1.84629793316392E-2</v>
      </c>
      <c r="N2758" s="73">
        <v>2161.2060000000001</v>
      </c>
      <c r="O2758" s="73">
        <v>333.35268472222202</v>
      </c>
      <c r="P2758" s="182">
        <v>0</v>
      </c>
      <c r="Q2758" s="182">
        <v>0</v>
      </c>
      <c r="R2758" s="46">
        <v>0</v>
      </c>
      <c r="S2758" s="46">
        <v>4</v>
      </c>
      <c r="T2758" s="46">
        <v>1500</v>
      </c>
      <c r="U2758" s="46">
        <v>6.7679999999999998</v>
      </c>
      <c r="V2758" s="46" t="s">
        <v>68</v>
      </c>
      <c r="W2758" s="46">
        <v>1500</v>
      </c>
      <c r="X2758" s="46">
        <v>6.7679999999999998</v>
      </c>
      <c r="AF2758" s="46">
        <v>45</v>
      </c>
      <c r="AG2758" s="46">
        <v>22600</v>
      </c>
      <c r="AH2758" s="46">
        <v>144534.56</v>
      </c>
      <c r="AI2758" s="46">
        <v>6.3949999999999996</v>
      </c>
      <c r="AJ2758" s="46">
        <v>43</v>
      </c>
      <c r="AK2758" s="46">
        <v>19400</v>
      </c>
      <c r="AL2758" s="46">
        <v>125389.618</v>
      </c>
      <c r="AM2758" s="46">
        <v>6.4630000000000001</v>
      </c>
      <c r="AN2758" s="46" t="s">
        <v>63</v>
      </c>
      <c r="AO2758" s="46">
        <v>3200</v>
      </c>
      <c r="AP2758" s="46">
        <v>19144.941999999999</v>
      </c>
      <c r="AQ2758" s="46">
        <v>5.9829999999999997</v>
      </c>
      <c r="AR2758" s="46">
        <v>1319.2</v>
      </c>
      <c r="AS2758" s="46">
        <v>45</v>
      </c>
      <c r="AT2758" s="46">
        <v>22600</v>
      </c>
      <c r="AU2758" s="46">
        <v>144534.56</v>
      </c>
      <c r="AV2758" s="46">
        <v>6.3949999999999996</v>
      </c>
      <c r="AW2758" s="46">
        <v>47</v>
      </c>
      <c r="AX2758" s="46">
        <v>20900</v>
      </c>
      <c r="AY2758" s="46">
        <v>135518.56599999999</v>
      </c>
      <c r="AZ2758" s="46">
        <v>6.484</v>
      </c>
      <c r="BA2758" s="46" t="s">
        <v>63</v>
      </c>
      <c r="BB2758" s="46">
        <v>1700</v>
      </c>
      <c r="BC2758" s="46">
        <v>9015.9940000000006</v>
      </c>
      <c r="BD2758" s="46">
        <v>5.3040000000000003</v>
      </c>
      <c r="BE2758" s="46">
        <v>1860.1</v>
      </c>
      <c r="BF2758" s="46">
        <v>0</v>
      </c>
      <c r="BH2758" s="46">
        <v>10128.948</v>
      </c>
      <c r="BI2758">
        <v>6.75</v>
      </c>
      <c r="BJ2758">
        <v>-10128.948</v>
      </c>
      <c r="BK2758">
        <v>-6.75</v>
      </c>
      <c r="BL2758">
        <v>203.27</v>
      </c>
    </row>
    <row r="2759" spans="1:64" x14ac:dyDescent="0.25">
      <c r="A2759" s="136">
        <v>43202</v>
      </c>
      <c r="B2759" s="201" t="s">
        <v>79</v>
      </c>
      <c r="C2759" t="s">
        <v>143</v>
      </c>
      <c r="D2759">
        <v>5300</v>
      </c>
      <c r="E2759">
        <v>5300</v>
      </c>
      <c r="F2759">
        <v>16.452999999999999</v>
      </c>
      <c r="G2759">
        <v>-9818.57</v>
      </c>
      <c r="H2759">
        <v>-11.26</v>
      </c>
      <c r="I2759" s="309">
        <v>77380</v>
      </c>
      <c r="J2759">
        <v>14.6</v>
      </c>
      <c r="K2759" s="133">
        <v>0.16137039291229899</v>
      </c>
      <c r="L2759" s="181">
        <v>172.030000000001</v>
      </c>
      <c r="M2759" s="133">
        <v>0.18184631044572999</v>
      </c>
      <c r="N2759" s="73">
        <v>-9664.1200000001099</v>
      </c>
      <c r="O2759" s="73">
        <v>-660.23841011620698</v>
      </c>
      <c r="P2759" s="182">
        <v>7</v>
      </c>
      <c r="Q2759" s="182">
        <v>4000</v>
      </c>
      <c r="R2759" s="46">
        <v>15.523999999999999</v>
      </c>
      <c r="S2759" s="46">
        <v>0</v>
      </c>
      <c r="T2759" s="46">
        <v>0</v>
      </c>
      <c r="U2759" s="46">
        <v>0</v>
      </c>
      <c r="V2759" s="46" t="s">
        <v>62</v>
      </c>
      <c r="W2759" s="46">
        <v>4000</v>
      </c>
      <c r="X2759" s="46">
        <v>15.523999999999999</v>
      </c>
      <c r="AF2759" s="46">
        <v>13</v>
      </c>
      <c r="AG2759" s="46">
        <v>6500</v>
      </c>
      <c r="AH2759" s="46">
        <v>103623.9</v>
      </c>
      <c r="AI2759" s="46">
        <v>15.942</v>
      </c>
      <c r="AJ2759" s="46">
        <v>13</v>
      </c>
      <c r="AK2759" s="46">
        <v>5200</v>
      </c>
      <c r="AL2759" s="46">
        <v>78553.179999999906</v>
      </c>
      <c r="AM2759" s="46">
        <v>15.106</v>
      </c>
      <c r="AN2759" s="46" t="s">
        <v>63</v>
      </c>
      <c r="AO2759" s="46">
        <v>1300</v>
      </c>
      <c r="AP2759" s="46">
        <v>25070.720000000001</v>
      </c>
      <c r="AQ2759" s="46">
        <v>19.285</v>
      </c>
      <c r="AR2759" s="46">
        <v>-4347.2</v>
      </c>
      <c r="AS2759" s="46">
        <v>20</v>
      </c>
      <c r="AT2759" s="46">
        <v>10500</v>
      </c>
      <c r="AU2759" s="46">
        <v>165756.29999999999</v>
      </c>
      <c r="AV2759" s="46">
        <v>15.786</v>
      </c>
      <c r="AW2759" s="46">
        <v>13</v>
      </c>
      <c r="AX2759" s="46">
        <v>5200</v>
      </c>
      <c r="AY2759" s="46">
        <v>78553.179999999906</v>
      </c>
      <c r="AZ2759" s="46">
        <v>15.106</v>
      </c>
      <c r="BA2759" s="46" t="s">
        <v>63</v>
      </c>
      <c r="BB2759" s="46">
        <v>5300</v>
      </c>
      <c r="BC2759" s="46">
        <v>87203.12</v>
      </c>
      <c r="BD2759" s="46">
        <v>16.452999999999999</v>
      </c>
      <c r="BE2759" s="46">
        <v>-3536</v>
      </c>
      <c r="BF2759" s="46">
        <v>62132.4</v>
      </c>
      <c r="BG2759" s="46">
        <v>15.53</v>
      </c>
      <c r="BH2759" s="46">
        <v>0</v>
      </c>
      <c r="BJ2759">
        <v>62132.4</v>
      </c>
      <c r="BK2759">
        <v>15.53</v>
      </c>
      <c r="BL2759">
        <v>-297.75</v>
      </c>
    </row>
    <row r="2760" spans="1:64" x14ac:dyDescent="0.25">
      <c r="A2760" s="136">
        <v>43202</v>
      </c>
      <c r="B2760" s="201" t="s">
        <v>65</v>
      </c>
      <c r="C2760" t="s">
        <v>127</v>
      </c>
      <c r="D2760">
        <v>13600</v>
      </c>
      <c r="E2760">
        <v>13600</v>
      </c>
      <c r="F2760">
        <v>9.3719999999999999</v>
      </c>
      <c r="G2760">
        <v>2427.08</v>
      </c>
      <c r="H2760">
        <v>1.9</v>
      </c>
      <c r="I2760" s="309">
        <v>129880</v>
      </c>
      <c r="J2760">
        <v>9.5500000000000007</v>
      </c>
      <c r="K2760" s="133">
        <v>0.27085534545682799</v>
      </c>
      <c r="L2760" s="181">
        <v>-1088</v>
      </c>
      <c r="M2760" s="133">
        <v>0.26579384567355602</v>
      </c>
      <c r="N2760" s="73">
        <v>456.66099999998602</v>
      </c>
      <c r="O2760" s="73">
        <v>487.22689225821603</v>
      </c>
      <c r="P2760" s="182">
        <v>0</v>
      </c>
      <c r="Q2760" s="182">
        <v>0</v>
      </c>
      <c r="R2760" s="46">
        <v>0</v>
      </c>
      <c r="S2760" s="46">
        <v>12</v>
      </c>
      <c r="T2760" s="46">
        <v>5000</v>
      </c>
      <c r="U2760" s="46">
        <v>12.036</v>
      </c>
      <c r="V2760" s="46" t="s">
        <v>68</v>
      </c>
      <c r="W2760" s="46">
        <v>5000</v>
      </c>
      <c r="X2760" s="46">
        <v>12.036</v>
      </c>
      <c r="AF2760" s="46">
        <v>179</v>
      </c>
      <c r="AG2760" s="46">
        <v>95200</v>
      </c>
      <c r="AH2760" s="46">
        <v>1094430.2309999999</v>
      </c>
      <c r="AI2760" s="46">
        <v>11.496</v>
      </c>
      <c r="AJ2760" s="46">
        <v>198</v>
      </c>
      <c r="AK2760" s="46">
        <v>85800</v>
      </c>
      <c r="AL2760" s="46">
        <v>906082.07</v>
      </c>
      <c r="AM2760" s="46">
        <v>10.56</v>
      </c>
      <c r="AN2760" s="46" t="s">
        <v>63</v>
      </c>
      <c r="AO2760" s="46">
        <v>9400</v>
      </c>
      <c r="AP2760" s="46">
        <v>188348.16099999999</v>
      </c>
      <c r="AQ2760" s="46">
        <v>20.036999999999999</v>
      </c>
      <c r="AR2760" s="46">
        <v>-80308.800000000003</v>
      </c>
      <c r="AS2760" s="46">
        <v>180</v>
      </c>
      <c r="AT2760" s="46">
        <v>95300</v>
      </c>
      <c r="AU2760" s="46">
        <v>1095718.2309999999</v>
      </c>
      <c r="AV2760" s="46">
        <v>11.497999999999999</v>
      </c>
      <c r="AW2760" s="46">
        <v>210</v>
      </c>
      <c r="AX2760" s="46">
        <v>90800</v>
      </c>
      <c r="AY2760" s="46">
        <v>966141.89</v>
      </c>
      <c r="AZ2760" s="46">
        <v>10.64</v>
      </c>
      <c r="BA2760" s="46" t="s">
        <v>63</v>
      </c>
      <c r="BB2760" s="46">
        <v>4500</v>
      </c>
      <c r="BC2760" s="46">
        <v>129576.341</v>
      </c>
      <c r="BD2760" s="46">
        <v>28.795000000000002</v>
      </c>
      <c r="BE2760" s="46">
        <v>-77906.399999999994</v>
      </c>
      <c r="BF2760" s="46">
        <v>1288</v>
      </c>
      <c r="BH2760" s="46">
        <v>60059.820000000203</v>
      </c>
      <c r="BI2760">
        <v>12.01</v>
      </c>
      <c r="BJ2760">
        <v>-58771.82</v>
      </c>
      <c r="BK2760">
        <v>-11.75</v>
      </c>
      <c r="BL2760">
        <v>-8409.2999999999993</v>
      </c>
    </row>
    <row r="2761" spans="1:64" x14ac:dyDescent="0.25">
      <c r="A2761" s="136">
        <v>43202</v>
      </c>
      <c r="B2761" s="201" t="s">
        <v>77</v>
      </c>
      <c r="C2761" t="s">
        <v>128</v>
      </c>
      <c r="D2761">
        <v>4300</v>
      </c>
      <c r="E2761">
        <v>4300</v>
      </c>
      <c r="F2761">
        <v>5.9779999999999998</v>
      </c>
      <c r="G2761">
        <v>-595.27</v>
      </c>
      <c r="H2761">
        <v>-2.31</v>
      </c>
      <c r="I2761" s="309">
        <v>25112</v>
      </c>
      <c r="J2761">
        <v>5.84</v>
      </c>
      <c r="K2761" s="133">
        <v>5.2369259586632799E-2</v>
      </c>
      <c r="L2761" s="181">
        <v>0</v>
      </c>
      <c r="M2761" s="133">
        <v>5.36106521142743E-2</v>
      </c>
      <c r="N2761" s="73">
        <v>-1272.2139999999999</v>
      </c>
      <c r="O2761" s="73">
        <v>-133.073774655173</v>
      </c>
      <c r="P2761" s="182">
        <v>6</v>
      </c>
      <c r="Q2761" s="182">
        <v>3000</v>
      </c>
      <c r="R2761" s="46">
        <v>6.798</v>
      </c>
      <c r="S2761" s="46">
        <v>0</v>
      </c>
      <c r="T2761" s="46">
        <v>0</v>
      </c>
      <c r="U2761" s="46">
        <v>0</v>
      </c>
      <c r="V2761" s="46" t="s">
        <v>62</v>
      </c>
      <c r="W2761" s="46">
        <v>3000</v>
      </c>
      <c r="X2761" s="46">
        <v>6.798</v>
      </c>
      <c r="AF2761" s="46">
        <v>39</v>
      </c>
      <c r="AG2761" s="46">
        <v>19500</v>
      </c>
      <c r="AH2761" s="46">
        <v>142169</v>
      </c>
      <c r="AI2761" s="46">
        <v>7.2910000000000004</v>
      </c>
      <c r="AJ2761" s="46">
        <v>39</v>
      </c>
      <c r="AK2761" s="46">
        <v>18200</v>
      </c>
      <c r="AL2761" s="46">
        <v>136881.78599999999</v>
      </c>
      <c r="AM2761" s="46">
        <v>7.5209999999999999</v>
      </c>
      <c r="AN2761" s="46" t="s">
        <v>63</v>
      </c>
      <c r="AO2761" s="46">
        <v>1300</v>
      </c>
      <c r="AP2761" s="46">
        <v>5287.2139999999999</v>
      </c>
      <c r="AQ2761" s="46">
        <v>4.0670000000000002</v>
      </c>
      <c r="AR2761" s="46">
        <v>4186</v>
      </c>
      <c r="AS2761" s="46">
        <v>45</v>
      </c>
      <c r="AT2761" s="46">
        <v>22500</v>
      </c>
      <c r="AU2761" s="46">
        <v>162594</v>
      </c>
      <c r="AV2761" s="46">
        <v>7.226</v>
      </c>
      <c r="AW2761" s="46">
        <v>39</v>
      </c>
      <c r="AX2761" s="46">
        <v>18200</v>
      </c>
      <c r="AY2761" s="46">
        <v>136881.78599999999</v>
      </c>
      <c r="AZ2761" s="46">
        <v>7.5209999999999999</v>
      </c>
      <c r="BA2761" s="46" t="s">
        <v>63</v>
      </c>
      <c r="BB2761" s="46">
        <v>4300</v>
      </c>
      <c r="BC2761" s="46">
        <v>25712.214</v>
      </c>
      <c r="BD2761" s="46">
        <v>5.98</v>
      </c>
      <c r="BE2761" s="46">
        <v>5369</v>
      </c>
      <c r="BF2761" s="46">
        <v>20425</v>
      </c>
      <c r="BG2761" s="46">
        <v>6.81</v>
      </c>
      <c r="BH2761" s="46">
        <v>0</v>
      </c>
      <c r="BJ2761">
        <v>20425</v>
      </c>
      <c r="BK2761">
        <v>6.81</v>
      </c>
      <c r="BL2761">
        <v>716.78</v>
      </c>
    </row>
    <row r="2762" spans="1:64" x14ac:dyDescent="0.25">
      <c r="A2762" s="136">
        <v>43202</v>
      </c>
      <c r="B2762" s="201" t="s">
        <v>67</v>
      </c>
      <c r="C2762" t="s">
        <v>129</v>
      </c>
      <c r="D2762">
        <v>200</v>
      </c>
      <c r="E2762">
        <v>200</v>
      </c>
      <c r="F2762">
        <v>-10.397</v>
      </c>
      <c r="G2762">
        <v>3931.4</v>
      </c>
      <c r="H2762">
        <v>0</v>
      </c>
      <c r="I2762" s="309">
        <v>1852</v>
      </c>
      <c r="J2762">
        <v>9.26</v>
      </c>
      <c r="K2762" s="133">
        <v>3.8622120402374898E-3</v>
      </c>
      <c r="L2762" s="181">
        <v>2</v>
      </c>
      <c r="M2762" s="133">
        <v>0</v>
      </c>
      <c r="N2762" s="73">
        <v>3921.1624999997598</v>
      </c>
      <c r="O2762" s="73">
        <v>425.07613001624497</v>
      </c>
      <c r="P2762" s="182">
        <v>0</v>
      </c>
      <c r="Q2762" s="182">
        <v>0</v>
      </c>
      <c r="R2762" s="46">
        <v>0</v>
      </c>
      <c r="S2762" s="46">
        <v>23</v>
      </c>
      <c r="T2762" s="46">
        <v>9200</v>
      </c>
      <c r="U2762" s="46">
        <v>8.984</v>
      </c>
      <c r="V2762" s="46" t="s">
        <v>68</v>
      </c>
      <c r="W2762" s="46">
        <v>9200</v>
      </c>
      <c r="X2762" s="46">
        <v>8.984</v>
      </c>
      <c r="AF2762" s="46">
        <v>187</v>
      </c>
      <c r="AG2762" s="46">
        <v>92900</v>
      </c>
      <c r="AH2762" s="46">
        <v>773105</v>
      </c>
      <c r="AI2762" s="46">
        <v>8.3219999999999992</v>
      </c>
      <c r="AJ2762" s="46">
        <v>190</v>
      </c>
      <c r="AK2762" s="46">
        <v>86100</v>
      </c>
      <c r="AL2762" s="46">
        <v>761851.93449999997</v>
      </c>
      <c r="AM2762" s="46">
        <v>8.8480000000000008</v>
      </c>
      <c r="AN2762" s="46" t="s">
        <v>63</v>
      </c>
      <c r="AO2762" s="46">
        <v>6800</v>
      </c>
      <c r="AP2762" s="46">
        <v>11253.065000000001</v>
      </c>
      <c r="AQ2762" s="46">
        <v>1.655</v>
      </c>
      <c r="AR2762" s="46">
        <v>45288.6</v>
      </c>
      <c r="AS2762" s="46">
        <v>187</v>
      </c>
      <c r="AT2762" s="46">
        <v>92900</v>
      </c>
      <c r="AU2762" s="46">
        <v>773105</v>
      </c>
      <c r="AV2762" s="46">
        <v>8.3219999999999992</v>
      </c>
      <c r="AW2762" s="46">
        <v>213</v>
      </c>
      <c r="AX2762" s="46">
        <v>95300</v>
      </c>
      <c r="AY2762" s="46">
        <v>844310.27850000001</v>
      </c>
      <c r="AZ2762" s="46">
        <v>8.859</v>
      </c>
      <c r="BA2762" s="46" t="s">
        <v>69</v>
      </c>
      <c r="BB2762" s="46">
        <v>2400</v>
      </c>
      <c r="BC2762" s="46">
        <v>71205.278999999995</v>
      </c>
      <c r="BD2762" s="46">
        <v>29.669</v>
      </c>
      <c r="BE2762" s="46">
        <v>49887.3</v>
      </c>
      <c r="BF2762" s="46">
        <v>0</v>
      </c>
      <c r="BH2762" s="46">
        <v>82458.344000000201</v>
      </c>
      <c r="BI2762">
        <v>8.9600000000000009</v>
      </c>
      <c r="BJ2762">
        <v>59952.214</v>
      </c>
      <c r="BK2762">
        <v>6.52</v>
      </c>
      <c r="BL2762">
        <v>4890.78</v>
      </c>
    </row>
    <row r="2763" spans="1:64" x14ac:dyDescent="0.25">
      <c r="A2763" s="136">
        <v>43202</v>
      </c>
      <c r="B2763" s="201" t="s">
        <v>78</v>
      </c>
      <c r="C2763" t="s">
        <v>142</v>
      </c>
      <c r="D2763">
        <v>100</v>
      </c>
      <c r="E2763">
        <v>100</v>
      </c>
      <c r="F2763">
        <v>-4.9039999999999999</v>
      </c>
      <c r="G2763">
        <v>1560.4</v>
      </c>
      <c r="H2763">
        <v>0</v>
      </c>
      <c r="I2763" s="309">
        <v>1070</v>
      </c>
      <c r="J2763">
        <v>10.7</v>
      </c>
      <c r="K2763" s="133">
        <v>2.2314076042408799E-3</v>
      </c>
      <c r="L2763" s="181">
        <v>37</v>
      </c>
      <c r="M2763" s="133">
        <v>0</v>
      </c>
      <c r="N2763" s="73">
        <v>1506.3910000000001</v>
      </c>
      <c r="O2763" s="73">
        <v>148.19269729330699</v>
      </c>
      <c r="P2763" s="182">
        <v>0</v>
      </c>
      <c r="Q2763" s="182">
        <v>0</v>
      </c>
      <c r="R2763" s="46">
        <v>0</v>
      </c>
      <c r="S2763" s="46">
        <v>3</v>
      </c>
      <c r="T2763" s="46">
        <v>1200</v>
      </c>
      <c r="U2763" s="46">
        <v>9.99</v>
      </c>
      <c r="V2763" s="46" t="s">
        <v>68</v>
      </c>
      <c r="W2763" s="46">
        <v>1200</v>
      </c>
      <c r="X2763" s="46">
        <v>9.99</v>
      </c>
      <c r="AF2763" s="46">
        <v>13</v>
      </c>
      <c r="AG2763" s="46">
        <v>6500</v>
      </c>
      <c r="AH2763" s="46">
        <v>62970</v>
      </c>
      <c r="AI2763" s="46">
        <v>9.6880000000000006</v>
      </c>
      <c r="AJ2763" s="46">
        <v>14</v>
      </c>
      <c r="AK2763" s="46">
        <v>5200</v>
      </c>
      <c r="AL2763" s="46">
        <v>51499.379000000001</v>
      </c>
      <c r="AM2763" s="46">
        <v>9.9039999999999999</v>
      </c>
      <c r="AN2763" s="46" t="s">
        <v>63</v>
      </c>
      <c r="AO2763" s="46">
        <v>1300</v>
      </c>
      <c r="AP2763" s="46">
        <v>11470.620999999999</v>
      </c>
      <c r="AQ2763" s="46">
        <v>8.8239999999999998</v>
      </c>
      <c r="AR2763" s="46">
        <v>1123.2</v>
      </c>
      <c r="AS2763" s="46">
        <v>13</v>
      </c>
      <c r="AT2763" s="46">
        <v>6500</v>
      </c>
      <c r="AU2763" s="46">
        <v>62970</v>
      </c>
      <c r="AV2763" s="46">
        <v>9.6880000000000006</v>
      </c>
      <c r="AW2763" s="46">
        <v>17</v>
      </c>
      <c r="AX2763" s="46">
        <v>6400</v>
      </c>
      <c r="AY2763" s="46">
        <v>63460.391000000003</v>
      </c>
      <c r="AZ2763" s="46">
        <v>9.9160000000000004</v>
      </c>
      <c r="BA2763" s="46" t="s">
        <v>63</v>
      </c>
      <c r="BB2763" s="46">
        <v>100</v>
      </c>
      <c r="BC2763" s="46">
        <v>490.39100000000002</v>
      </c>
      <c r="BD2763" s="46">
        <v>4.9039999999999999</v>
      </c>
      <c r="BE2763" s="46">
        <v>1459.2</v>
      </c>
      <c r="BF2763" s="46">
        <v>0</v>
      </c>
      <c r="BH2763" s="46">
        <v>11961.012000000001</v>
      </c>
      <c r="BI2763">
        <v>9.9700000000000006</v>
      </c>
      <c r="BJ2763">
        <v>-10980.23</v>
      </c>
      <c r="BK2763">
        <v>-9.15</v>
      </c>
      <c r="BL2763">
        <v>104.97</v>
      </c>
    </row>
    <row r="2764" spans="1:64" x14ac:dyDescent="0.25">
      <c r="A2764" s="136">
        <v>43202</v>
      </c>
      <c r="B2764" s="201" t="s">
        <v>72</v>
      </c>
      <c r="C2764" t="s">
        <v>130</v>
      </c>
      <c r="D2764">
        <v>2800</v>
      </c>
      <c r="E2764">
        <v>2800</v>
      </c>
      <c r="F2764">
        <v>6.806</v>
      </c>
      <c r="G2764">
        <v>-605.05999999999995</v>
      </c>
      <c r="H2764">
        <v>-3.17</v>
      </c>
      <c r="I2764" s="309">
        <v>18452</v>
      </c>
      <c r="J2764">
        <v>6.59</v>
      </c>
      <c r="K2764" s="133">
        <v>3.8480311320983902E-2</v>
      </c>
      <c r="L2764" s="181">
        <v>-420</v>
      </c>
      <c r="M2764" s="133">
        <v>3.9742120185490497E-2</v>
      </c>
      <c r="N2764" s="73">
        <v>-714.75999999999397</v>
      </c>
      <c r="O2764" s="73">
        <v>-74.329332579182704</v>
      </c>
      <c r="P2764" s="182">
        <v>0</v>
      </c>
      <c r="Q2764" s="182">
        <v>0</v>
      </c>
      <c r="R2764" s="46">
        <v>0</v>
      </c>
      <c r="S2764" s="46">
        <v>13</v>
      </c>
      <c r="T2764" s="46">
        <v>5200</v>
      </c>
      <c r="U2764" s="46">
        <v>7.42</v>
      </c>
      <c r="V2764" s="46" t="s">
        <v>68</v>
      </c>
      <c r="W2764" s="46">
        <v>5200</v>
      </c>
      <c r="X2764" s="46">
        <v>7.42</v>
      </c>
      <c r="AF2764" s="46">
        <v>35</v>
      </c>
      <c r="AG2764" s="46">
        <v>17400</v>
      </c>
      <c r="AH2764" s="46">
        <v>130612</v>
      </c>
      <c r="AI2764" s="46">
        <v>7.5060000000000002</v>
      </c>
      <c r="AJ2764" s="46">
        <v>35</v>
      </c>
      <c r="AK2764" s="46">
        <v>16000</v>
      </c>
      <c r="AL2764" s="46">
        <v>73807.009000000005</v>
      </c>
      <c r="AM2764" s="46">
        <v>4.6130000000000004</v>
      </c>
      <c r="AN2764" s="46" t="s">
        <v>63</v>
      </c>
      <c r="AO2764" s="46">
        <v>1400</v>
      </c>
      <c r="AP2764" s="46">
        <v>56804.991000000002</v>
      </c>
      <c r="AQ2764" s="46">
        <v>40.575000000000003</v>
      </c>
      <c r="AR2764" s="46">
        <v>-46288</v>
      </c>
      <c r="AS2764" s="46">
        <v>35</v>
      </c>
      <c r="AT2764" s="46">
        <v>17400</v>
      </c>
      <c r="AU2764" s="46">
        <v>130612</v>
      </c>
      <c r="AV2764" s="46">
        <v>7.5060000000000002</v>
      </c>
      <c r="AW2764" s="46">
        <v>49</v>
      </c>
      <c r="AX2764" s="46">
        <v>21700</v>
      </c>
      <c r="AY2764" s="46">
        <v>112287.425</v>
      </c>
      <c r="AZ2764" s="46">
        <v>5.1749999999999998</v>
      </c>
      <c r="BA2764" s="46" t="s">
        <v>69</v>
      </c>
      <c r="BB2764" s="46">
        <v>4300</v>
      </c>
      <c r="BC2764" s="46">
        <v>18324.575000000001</v>
      </c>
      <c r="BD2764" s="46">
        <v>4.2619999999999996</v>
      </c>
      <c r="BE2764" s="46">
        <v>-40559.4</v>
      </c>
      <c r="BF2764" s="46">
        <v>0</v>
      </c>
      <c r="BH2764" s="46">
        <v>38480.415999999997</v>
      </c>
      <c r="BI2764">
        <v>7.4</v>
      </c>
      <c r="BJ2764">
        <v>-38480.415999999997</v>
      </c>
      <c r="BK2764">
        <v>-7.4</v>
      </c>
      <c r="BL2764">
        <v>-7023.98</v>
      </c>
    </row>
    <row r="2765" spans="1:64" x14ac:dyDescent="0.25">
      <c r="A2765" s="136">
        <v>43202</v>
      </c>
      <c r="B2765" s="201" t="s">
        <v>70</v>
      </c>
      <c r="C2765" t="s">
        <v>131</v>
      </c>
      <c r="D2765">
        <v>11900</v>
      </c>
      <c r="E2765">
        <v>11900</v>
      </c>
      <c r="F2765">
        <v>11.551</v>
      </c>
      <c r="G2765">
        <v>-33445.32</v>
      </c>
      <c r="H2765">
        <v>-24.33</v>
      </c>
      <c r="I2765" s="309">
        <v>104006</v>
      </c>
      <c r="J2765">
        <v>8.74</v>
      </c>
      <c r="K2765" s="133">
        <v>0.216896989987549</v>
      </c>
      <c r="L2765" s="181">
        <v>357</v>
      </c>
      <c r="M2765" s="133">
        <v>0.28664478566443702</v>
      </c>
      <c r="N2765" s="73">
        <v>-35115.323000000099</v>
      </c>
      <c r="O2765" s="73">
        <v>-4081.1355044767502</v>
      </c>
      <c r="P2765" s="182">
        <v>2</v>
      </c>
      <c r="Q2765" s="182">
        <v>1000</v>
      </c>
      <c r="R2765" s="46">
        <v>8.08</v>
      </c>
      <c r="S2765" s="46">
        <v>4</v>
      </c>
      <c r="T2765" s="46">
        <v>1700</v>
      </c>
      <c r="U2765" s="46">
        <v>8.9250000000000007</v>
      </c>
      <c r="V2765" s="46" t="s">
        <v>68</v>
      </c>
      <c r="W2765" s="46">
        <v>700</v>
      </c>
      <c r="X2765" s="46">
        <v>10.132</v>
      </c>
      <c r="AF2765" s="46">
        <v>136</v>
      </c>
      <c r="AG2765" s="46">
        <v>69600</v>
      </c>
      <c r="AH2765" s="46">
        <v>903588</v>
      </c>
      <c r="AI2765" s="46">
        <v>12.983000000000001</v>
      </c>
      <c r="AJ2765" s="46">
        <v>142</v>
      </c>
      <c r="AK2765" s="46">
        <v>57000</v>
      </c>
      <c r="AL2765" s="46">
        <v>758679.85</v>
      </c>
      <c r="AM2765" s="46">
        <v>13.31</v>
      </c>
      <c r="AN2765" s="46" t="s">
        <v>63</v>
      </c>
      <c r="AO2765" s="46">
        <v>12600</v>
      </c>
      <c r="AP2765" s="46">
        <v>144908.15</v>
      </c>
      <c r="AQ2765" s="46">
        <v>11.500999999999999</v>
      </c>
      <c r="AR2765" s="46">
        <v>18639</v>
      </c>
      <c r="AS2765" s="46">
        <v>138</v>
      </c>
      <c r="AT2765" s="46">
        <v>70600</v>
      </c>
      <c r="AU2765" s="46">
        <v>911678</v>
      </c>
      <c r="AV2765" s="46">
        <v>12.913</v>
      </c>
      <c r="AW2765" s="46">
        <v>147</v>
      </c>
      <c r="AX2765" s="46">
        <v>58700</v>
      </c>
      <c r="AY2765" s="46">
        <v>774222.67700000003</v>
      </c>
      <c r="AZ2765" s="46">
        <v>13.189</v>
      </c>
      <c r="BA2765" s="46" t="s">
        <v>63</v>
      </c>
      <c r="BB2765" s="46">
        <v>11900</v>
      </c>
      <c r="BC2765" s="46">
        <v>137455.323</v>
      </c>
      <c r="BD2765" s="46">
        <v>11.551</v>
      </c>
      <c r="BE2765" s="46">
        <v>16201.2</v>
      </c>
      <c r="BF2765" s="46">
        <v>8090</v>
      </c>
      <c r="BG2765" s="46">
        <v>8.09</v>
      </c>
      <c r="BH2765" s="46">
        <v>15542.826999999999</v>
      </c>
      <c r="BI2765">
        <v>9.14</v>
      </c>
      <c r="BJ2765">
        <v>-7452.8269999999902</v>
      </c>
      <c r="BK2765">
        <v>-10.65</v>
      </c>
      <c r="BL2765">
        <v>2132.61</v>
      </c>
    </row>
    <row r="2766" spans="1:64" x14ac:dyDescent="0.25">
      <c r="A2766" s="136">
        <v>43202</v>
      </c>
      <c r="B2766" s="201" t="s">
        <v>137</v>
      </c>
      <c r="C2766" t="s">
        <v>138</v>
      </c>
      <c r="D2766">
        <v>100</v>
      </c>
      <c r="E2766">
        <v>100</v>
      </c>
      <c r="F2766">
        <v>-130.48500000000001</v>
      </c>
      <c r="G2766">
        <v>17573.5</v>
      </c>
      <c r="H2766">
        <v>0</v>
      </c>
      <c r="I2766" s="309">
        <v>4525</v>
      </c>
      <c r="J2766">
        <v>45.25</v>
      </c>
      <c r="K2766" s="133">
        <v>9.4365601955046698E-3</v>
      </c>
      <c r="L2766" s="181">
        <v>-209</v>
      </c>
      <c r="M2766" s="133">
        <v>0</v>
      </c>
    </row>
    <row r="2767" spans="1:64" x14ac:dyDescent="0.25">
      <c r="A2767" s="136">
        <v>43202</v>
      </c>
      <c r="B2767" s="201" t="s">
        <v>835</v>
      </c>
      <c r="C2767" t="s">
        <v>839</v>
      </c>
      <c r="I2767" s="309">
        <v>19347.41</v>
      </c>
      <c r="K2767" s="133">
        <v>4.0347624108753401E-2</v>
      </c>
      <c r="L2767" s="181">
        <v>0</v>
      </c>
      <c r="M2767" s="133">
        <v>0.18668320966921101</v>
      </c>
    </row>
    <row r="2768" spans="1:64" x14ac:dyDescent="0.25">
      <c r="A2768" s="136">
        <v>43203</v>
      </c>
      <c r="B2768" s="201" t="s">
        <v>132</v>
      </c>
      <c r="C2768" t="s">
        <v>123</v>
      </c>
      <c r="D2768">
        <v>7017616</v>
      </c>
      <c r="E2768">
        <v>7017616</v>
      </c>
      <c r="F2768">
        <v>0.01</v>
      </c>
      <c r="G2768">
        <v>3421.72</v>
      </c>
      <c r="H2768">
        <v>0</v>
      </c>
      <c r="I2768" s="309">
        <v>70176.160000000003</v>
      </c>
      <c r="J2768">
        <v>0.01</v>
      </c>
      <c r="K2768" s="133">
        <v>0.14645798649486599</v>
      </c>
      <c r="L2768" s="181">
        <v>5.61999999999989</v>
      </c>
      <c r="M2768" s="133">
        <v>0</v>
      </c>
    </row>
    <row r="2769" spans="1:64" x14ac:dyDescent="0.25">
      <c r="A2769" s="136">
        <v>43203</v>
      </c>
      <c r="B2769" s="201" t="s">
        <v>61</v>
      </c>
      <c r="C2769" t="s">
        <v>136</v>
      </c>
      <c r="D2769">
        <v>3400</v>
      </c>
      <c r="E2769">
        <v>3400</v>
      </c>
      <c r="F2769">
        <v>5.1180000000000003</v>
      </c>
      <c r="G2769">
        <v>-1320.05</v>
      </c>
      <c r="H2769">
        <v>-7.58</v>
      </c>
      <c r="I2769" s="309">
        <v>16082</v>
      </c>
      <c r="J2769">
        <v>4.7300000000000004</v>
      </c>
      <c r="K2769" s="133">
        <v>3.3563212048228902E-2</v>
      </c>
      <c r="L2769" s="181">
        <v>0</v>
      </c>
      <c r="M2769" s="133">
        <v>3.6318162804618997E-2</v>
      </c>
      <c r="N2769" s="73">
        <v>-1257.8409999999999</v>
      </c>
      <c r="O2769" s="73">
        <v>-264.67622726315699</v>
      </c>
      <c r="P2769" s="182">
        <v>5</v>
      </c>
      <c r="Q2769" s="182">
        <v>2500</v>
      </c>
      <c r="R2769" s="46">
        <v>5.1239999999999997</v>
      </c>
      <c r="S2769" s="46">
        <v>0</v>
      </c>
      <c r="T2769" s="46">
        <v>0</v>
      </c>
      <c r="U2769" s="46">
        <v>0</v>
      </c>
      <c r="V2769" s="46" t="s">
        <v>62</v>
      </c>
      <c r="W2769" s="46">
        <v>2500</v>
      </c>
      <c r="X2769" s="46">
        <v>5.1239999999999997</v>
      </c>
      <c r="AF2769" s="46">
        <v>10</v>
      </c>
      <c r="AG2769" s="46">
        <v>5000</v>
      </c>
      <c r="AH2769" s="46">
        <v>26378</v>
      </c>
      <c r="AI2769" s="46">
        <v>5.2759999999999998</v>
      </c>
      <c r="AJ2769" s="46">
        <v>10</v>
      </c>
      <c r="AK2769" s="46">
        <v>4100</v>
      </c>
      <c r="AL2769" s="46">
        <v>21806.659</v>
      </c>
      <c r="AM2769" s="46">
        <v>5.319</v>
      </c>
      <c r="AN2769" s="46" t="s">
        <v>63</v>
      </c>
      <c r="AO2769" s="46">
        <v>900</v>
      </c>
      <c r="AP2769" s="46">
        <v>4571.3410000000003</v>
      </c>
      <c r="AQ2769" s="46">
        <v>5.0789999999999997</v>
      </c>
      <c r="AR2769" s="46">
        <v>176.3</v>
      </c>
      <c r="AS2769" s="46">
        <v>15</v>
      </c>
      <c r="AT2769" s="46">
        <v>7500</v>
      </c>
      <c r="AU2769" s="46">
        <v>39214.5</v>
      </c>
      <c r="AV2769" s="46">
        <v>5.2290000000000001</v>
      </c>
      <c r="AW2769" s="46">
        <v>10</v>
      </c>
      <c r="AX2769" s="46">
        <v>4100</v>
      </c>
      <c r="AY2769" s="46">
        <v>21806.659</v>
      </c>
      <c r="AZ2769" s="46">
        <v>5.319</v>
      </c>
      <c r="BA2769" s="46" t="s">
        <v>63</v>
      </c>
      <c r="BB2769" s="46">
        <v>3400</v>
      </c>
      <c r="BC2769" s="46">
        <v>17407.841</v>
      </c>
      <c r="BD2769" s="46">
        <v>5.12</v>
      </c>
      <c r="BE2769" s="46">
        <v>369</v>
      </c>
      <c r="BF2769" s="46">
        <v>12836.5</v>
      </c>
      <c r="BG2769" s="46">
        <v>5.13</v>
      </c>
      <c r="BH2769" s="46">
        <v>0</v>
      </c>
      <c r="BJ2769">
        <v>12836.5</v>
      </c>
      <c r="BK2769">
        <v>5.13</v>
      </c>
      <c r="BL2769">
        <v>37.270000000000003</v>
      </c>
    </row>
    <row r="2770" spans="1:64" x14ac:dyDescent="0.25">
      <c r="A2770" s="136">
        <v>43203</v>
      </c>
      <c r="B2770" s="201" t="s">
        <v>124</v>
      </c>
      <c r="C2770" t="s">
        <v>125</v>
      </c>
      <c r="D2770">
        <v>100</v>
      </c>
      <c r="E2770">
        <v>100</v>
      </c>
      <c r="F2770">
        <v>-53.579000000000001</v>
      </c>
      <c r="G2770">
        <v>5960.9</v>
      </c>
      <c r="H2770">
        <v>0</v>
      </c>
      <c r="I2770" s="309">
        <v>603</v>
      </c>
      <c r="J2770">
        <v>6.03</v>
      </c>
      <c r="K2770" s="133">
        <v>1.2584639264446001E-3</v>
      </c>
      <c r="L2770" s="181">
        <v>-5</v>
      </c>
      <c r="M2770" s="133">
        <v>0</v>
      </c>
    </row>
    <row r="2771" spans="1:64" x14ac:dyDescent="0.25">
      <c r="A2771" s="136">
        <v>43203</v>
      </c>
      <c r="B2771" s="201" t="s">
        <v>71</v>
      </c>
      <c r="C2771" t="s">
        <v>126</v>
      </c>
      <c r="D2771">
        <v>1700</v>
      </c>
      <c r="E2771">
        <v>1700</v>
      </c>
      <c r="F2771">
        <v>5.2080000000000002</v>
      </c>
      <c r="G2771">
        <v>2162.67</v>
      </c>
      <c r="H2771">
        <v>24.42</v>
      </c>
      <c r="I2771" s="309">
        <v>11016</v>
      </c>
      <c r="J2771">
        <v>6.48</v>
      </c>
      <c r="K2771" s="133">
        <v>2.2990445462211798E-2</v>
      </c>
      <c r="L2771" s="181">
        <v>-17</v>
      </c>
      <c r="M2771" s="133">
        <v>1.8476942676467299E-2</v>
      </c>
      <c r="N2771" s="73">
        <v>2161.2060000000001</v>
      </c>
      <c r="O2771" s="73">
        <v>333.35268472222202</v>
      </c>
      <c r="P2771" s="182">
        <v>0</v>
      </c>
      <c r="Q2771" s="182">
        <v>0</v>
      </c>
      <c r="R2771" s="46">
        <v>0</v>
      </c>
      <c r="S2771" s="46">
        <v>4</v>
      </c>
      <c r="T2771" s="46">
        <v>1500</v>
      </c>
      <c r="U2771" s="46">
        <v>6.7679999999999998</v>
      </c>
      <c r="V2771" s="46" t="s">
        <v>68</v>
      </c>
      <c r="W2771" s="46">
        <v>1500</v>
      </c>
      <c r="X2771" s="46">
        <v>6.7679999999999998</v>
      </c>
      <c r="AF2771" s="46">
        <v>45</v>
      </c>
      <c r="AG2771" s="46">
        <v>22600</v>
      </c>
      <c r="AH2771" s="46">
        <v>144534.56</v>
      </c>
      <c r="AI2771" s="46">
        <v>6.3949999999999996</v>
      </c>
      <c r="AJ2771" s="46">
        <v>43</v>
      </c>
      <c r="AK2771" s="46">
        <v>19400</v>
      </c>
      <c r="AL2771" s="46">
        <v>125389.618</v>
      </c>
      <c r="AM2771" s="46">
        <v>6.4630000000000001</v>
      </c>
      <c r="AN2771" s="46" t="s">
        <v>63</v>
      </c>
      <c r="AO2771" s="46">
        <v>3200</v>
      </c>
      <c r="AP2771" s="46">
        <v>19144.941999999999</v>
      </c>
      <c r="AQ2771" s="46">
        <v>5.9829999999999997</v>
      </c>
      <c r="AR2771" s="46">
        <v>1319.2</v>
      </c>
      <c r="AS2771" s="46">
        <v>45</v>
      </c>
      <c r="AT2771" s="46">
        <v>22600</v>
      </c>
      <c r="AU2771" s="46">
        <v>144534.56</v>
      </c>
      <c r="AV2771" s="46">
        <v>6.3949999999999996</v>
      </c>
      <c r="AW2771" s="46">
        <v>47</v>
      </c>
      <c r="AX2771" s="46">
        <v>20900</v>
      </c>
      <c r="AY2771" s="46">
        <v>135518.56599999999</v>
      </c>
      <c r="AZ2771" s="46">
        <v>6.484</v>
      </c>
      <c r="BA2771" s="46" t="s">
        <v>63</v>
      </c>
      <c r="BB2771" s="46">
        <v>1700</v>
      </c>
      <c r="BC2771" s="46">
        <v>9015.9940000000006</v>
      </c>
      <c r="BD2771" s="46">
        <v>5.3040000000000003</v>
      </c>
      <c r="BE2771" s="46">
        <v>1860.1</v>
      </c>
      <c r="BF2771" s="46">
        <v>0</v>
      </c>
      <c r="BH2771" s="46">
        <v>10128.948</v>
      </c>
      <c r="BI2771">
        <v>6.75</v>
      </c>
      <c r="BJ2771">
        <v>-10128.948</v>
      </c>
      <c r="BK2771">
        <v>-6.75</v>
      </c>
      <c r="BL2771">
        <v>203.58</v>
      </c>
    </row>
    <row r="2772" spans="1:64" x14ac:dyDescent="0.25">
      <c r="A2772" s="136">
        <v>43203</v>
      </c>
      <c r="B2772" s="201" t="s">
        <v>79</v>
      </c>
      <c r="C2772" t="s">
        <v>143</v>
      </c>
      <c r="D2772">
        <v>5300</v>
      </c>
      <c r="E2772">
        <v>5300</v>
      </c>
      <c r="F2772">
        <v>16.452999999999999</v>
      </c>
      <c r="G2772">
        <v>-11090.57</v>
      </c>
      <c r="H2772">
        <v>-12.72</v>
      </c>
      <c r="I2772" s="309">
        <v>76108</v>
      </c>
      <c r="J2772">
        <v>14.36</v>
      </c>
      <c r="K2772" s="133">
        <v>0.15883776536292801</v>
      </c>
      <c r="L2772" s="181">
        <v>-1272</v>
      </c>
      <c r="M2772" s="133">
        <v>0.181983838777039</v>
      </c>
      <c r="N2772" s="73">
        <v>-9664.1200000001099</v>
      </c>
      <c r="O2772" s="73">
        <v>-660.23841011620698</v>
      </c>
      <c r="P2772" s="182">
        <v>7</v>
      </c>
      <c r="Q2772" s="182">
        <v>4000</v>
      </c>
      <c r="R2772" s="46">
        <v>15.523999999999999</v>
      </c>
      <c r="S2772" s="46">
        <v>0</v>
      </c>
      <c r="T2772" s="46">
        <v>0</v>
      </c>
      <c r="U2772" s="46">
        <v>0</v>
      </c>
      <c r="V2772" s="46" t="s">
        <v>62</v>
      </c>
      <c r="W2772" s="46">
        <v>4000</v>
      </c>
      <c r="X2772" s="46">
        <v>15.523999999999999</v>
      </c>
      <c r="AF2772" s="46">
        <v>13</v>
      </c>
      <c r="AG2772" s="46">
        <v>6500</v>
      </c>
      <c r="AH2772" s="46">
        <v>103623.9</v>
      </c>
      <c r="AI2772" s="46">
        <v>15.942</v>
      </c>
      <c r="AJ2772" s="46">
        <v>13</v>
      </c>
      <c r="AK2772" s="46">
        <v>5200</v>
      </c>
      <c r="AL2772" s="46">
        <v>78553.179999999906</v>
      </c>
      <c r="AM2772" s="46">
        <v>15.106</v>
      </c>
      <c r="AN2772" s="46" t="s">
        <v>63</v>
      </c>
      <c r="AO2772" s="46">
        <v>1300</v>
      </c>
      <c r="AP2772" s="46">
        <v>25070.720000000001</v>
      </c>
      <c r="AQ2772" s="46">
        <v>19.285</v>
      </c>
      <c r="AR2772" s="46">
        <v>-4347.2</v>
      </c>
      <c r="AS2772" s="46">
        <v>20</v>
      </c>
      <c r="AT2772" s="46">
        <v>10500</v>
      </c>
      <c r="AU2772" s="46">
        <v>165756.29999999999</v>
      </c>
      <c r="AV2772" s="46">
        <v>15.786</v>
      </c>
      <c r="AW2772" s="46">
        <v>13</v>
      </c>
      <c r="AX2772" s="46">
        <v>5200</v>
      </c>
      <c r="AY2772" s="46">
        <v>78553.179999999906</v>
      </c>
      <c r="AZ2772" s="46">
        <v>15.106</v>
      </c>
      <c r="BA2772" s="46" t="s">
        <v>63</v>
      </c>
      <c r="BB2772" s="46">
        <v>5300</v>
      </c>
      <c r="BC2772" s="46">
        <v>87203.12</v>
      </c>
      <c r="BD2772" s="46">
        <v>16.452999999999999</v>
      </c>
      <c r="BE2772" s="46">
        <v>-3536</v>
      </c>
      <c r="BF2772" s="46">
        <v>62132.4</v>
      </c>
      <c r="BG2772" s="46">
        <v>15.53</v>
      </c>
      <c r="BH2772" s="46">
        <v>0</v>
      </c>
      <c r="BJ2772">
        <v>62132.4</v>
      </c>
      <c r="BK2772">
        <v>15.53</v>
      </c>
      <c r="BL2772">
        <v>-302.73</v>
      </c>
    </row>
    <row r="2773" spans="1:64" x14ac:dyDescent="0.25">
      <c r="A2773" s="136">
        <v>43203</v>
      </c>
      <c r="B2773" s="201" t="s">
        <v>65</v>
      </c>
      <c r="C2773" t="s">
        <v>127</v>
      </c>
      <c r="D2773">
        <v>13600</v>
      </c>
      <c r="E2773">
        <v>13600</v>
      </c>
      <c r="F2773">
        <v>9.3719999999999999</v>
      </c>
      <c r="G2773">
        <v>2563.08</v>
      </c>
      <c r="H2773">
        <v>2.0099999999999998</v>
      </c>
      <c r="I2773" s="309">
        <v>130016</v>
      </c>
      <c r="J2773">
        <v>9.56</v>
      </c>
      <c r="K2773" s="133">
        <v>0.27134402298610399</v>
      </c>
      <c r="L2773" s="181">
        <v>136</v>
      </c>
      <c r="M2773" s="133">
        <v>0.26599486258711302</v>
      </c>
      <c r="N2773" s="73">
        <v>456.66099999998602</v>
      </c>
      <c r="O2773" s="73">
        <v>487.22689225821603</v>
      </c>
      <c r="P2773" s="182">
        <v>0</v>
      </c>
      <c r="Q2773" s="182">
        <v>0</v>
      </c>
      <c r="R2773" s="46">
        <v>0</v>
      </c>
      <c r="S2773" s="46">
        <v>12</v>
      </c>
      <c r="T2773" s="46">
        <v>5000</v>
      </c>
      <c r="U2773" s="46">
        <v>12.036</v>
      </c>
      <c r="V2773" s="46" t="s">
        <v>68</v>
      </c>
      <c r="W2773" s="46">
        <v>5000</v>
      </c>
      <c r="X2773" s="46">
        <v>12.036</v>
      </c>
      <c r="AF2773" s="46">
        <v>179</v>
      </c>
      <c r="AG2773" s="46">
        <v>95200</v>
      </c>
      <c r="AH2773" s="46">
        <v>1094430.2309999999</v>
      </c>
      <c r="AI2773" s="46">
        <v>11.496</v>
      </c>
      <c r="AJ2773" s="46">
        <v>198</v>
      </c>
      <c r="AK2773" s="46">
        <v>85800</v>
      </c>
      <c r="AL2773" s="46">
        <v>906082.07</v>
      </c>
      <c r="AM2773" s="46">
        <v>10.56</v>
      </c>
      <c r="AN2773" s="46" t="s">
        <v>63</v>
      </c>
      <c r="AO2773" s="46">
        <v>9400</v>
      </c>
      <c r="AP2773" s="46">
        <v>188348.16099999999</v>
      </c>
      <c r="AQ2773" s="46">
        <v>20.036999999999999</v>
      </c>
      <c r="AR2773" s="46">
        <v>-80308.800000000003</v>
      </c>
      <c r="AS2773" s="46">
        <v>180</v>
      </c>
      <c r="AT2773" s="46">
        <v>95300</v>
      </c>
      <c r="AU2773" s="46">
        <v>1095718.2309999999</v>
      </c>
      <c r="AV2773" s="46">
        <v>11.497999999999999</v>
      </c>
      <c r="AW2773" s="46">
        <v>210</v>
      </c>
      <c r="AX2773" s="46">
        <v>90800</v>
      </c>
      <c r="AY2773" s="46">
        <v>966141.89</v>
      </c>
      <c r="AZ2773" s="46">
        <v>10.64</v>
      </c>
      <c r="BA2773" s="46" t="s">
        <v>63</v>
      </c>
      <c r="BB2773" s="46">
        <v>4500</v>
      </c>
      <c r="BC2773" s="46">
        <v>129576.341</v>
      </c>
      <c r="BD2773" s="46">
        <v>28.795000000000002</v>
      </c>
      <c r="BE2773" s="46">
        <v>-77906.399999999994</v>
      </c>
      <c r="BF2773" s="46">
        <v>1288</v>
      </c>
      <c r="BH2773" s="46">
        <v>60059.820000000203</v>
      </c>
      <c r="BI2773">
        <v>12.01</v>
      </c>
      <c r="BJ2773">
        <v>-58771.82</v>
      </c>
      <c r="BK2773">
        <v>-11.75</v>
      </c>
      <c r="BL2773">
        <v>-8400.5</v>
      </c>
    </row>
    <row r="2774" spans="1:64" x14ac:dyDescent="0.25">
      <c r="A2774" s="136">
        <v>43203</v>
      </c>
      <c r="B2774" s="201" t="s">
        <v>77</v>
      </c>
      <c r="C2774" t="s">
        <v>128</v>
      </c>
      <c r="D2774">
        <v>4300</v>
      </c>
      <c r="E2774">
        <v>4300</v>
      </c>
      <c r="F2774">
        <v>5.9779999999999998</v>
      </c>
      <c r="G2774">
        <v>-595.27</v>
      </c>
      <c r="H2774">
        <v>-2.31</v>
      </c>
      <c r="I2774" s="309">
        <v>25112</v>
      </c>
      <c r="J2774">
        <v>5.84</v>
      </c>
      <c r="K2774" s="133">
        <v>5.24088658721008E-2</v>
      </c>
      <c r="L2774" s="181">
        <v>0</v>
      </c>
      <c r="M2774" s="133">
        <v>5.3651197251030597E-2</v>
      </c>
      <c r="N2774" s="73">
        <v>-1272.2139999999999</v>
      </c>
      <c r="O2774" s="73">
        <v>-133.073774655173</v>
      </c>
      <c r="P2774" s="182">
        <v>6</v>
      </c>
      <c r="Q2774" s="182">
        <v>3000</v>
      </c>
      <c r="R2774" s="46">
        <v>6.798</v>
      </c>
      <c r="S2774" s="46">
        <v>0</v>
      </c>
      <c r="T2774" s="46">
        <v>0</v>
      </c>
      <c r="U2774" s="46">
        <v>0</v>
      </c>
      <c r="V2774" s="46" t="s">
        <v>62</v>
      </c>
      <c r="W2774" s="46">
        <v>3000</v>
      </c>
      <c r="X2774" s="46">
        <v>6.798</v>
      </c>
      <c r="AF2774" s="46">
        <v>39</v>
      </c>
      <c r="AG2774" s="46">
        <v>19500</v>
      </c>
      <c r="AH2774" s="46">
        <v>142169</v>
      </c>
      <c r="AI2774" s="46">
        <v>7.2910000000000004</v>
      </c>
      <c r="AJ2774" s="46">
        <v>39</v>
      </c>
      <c r="AK2774" s="46">
        <v>18200</v>
      </c>
      <c r="AL2774" s="46">
        <v>136881.78599999999</v>
      </c>
      <c r="AM2774" s="46">
        <v>7.5209999999999999</v>
      </c>
      <c r="AN2774" s="46" t="s">
        <v>63</v>
      </c>
      <c r="AO2774" s="46">
        <v>1300</v>
      </c>
      <c r="AP2774" s="46">
        <v>5287.2139999999999</v>
      </c>
      <c r="AQ2774" s="46">
        <v>4.0670000000000002</v>
      </c>
      <c r="AR2774" s="46">
        <v>4186</v>
      </c>
      <c r="AS2774" s="46">
        <v>45</v>
      </c>
      <c r="AT2774" s="46">
        <v>22500</v>
      </c>
      <c r="AU2774" s="46">
        <v>162594</v>
      </c>
      <c r="AV2774" s="46">
        <v>7.226</v>
      </c>
      <c r="AW2774" s="46">
        <v>39</v>
      </c>
      <c r="AX2774" s="46">
        <v>18200</v>
      </c>
      <c r="AY2774" s="46">
        <v>136881.78599999999</v>
      </c>
      <c r="AZ2774" s="46">
        <v>7.5209999999999999</v>
      </c>
      <c r="BA2774" s="46" t="s">
        <v>63</v>
      </c>
      <c r="BB2774" s="46">
        <v>4300</v>
      </c>
      <c r="BC2774" s="46">
        <v>25712.214</v>
      </c>
      <c r="BD2774" s="46">
        <v>5.98</v>
      </c>
      <c r="BE2774" s="46">
        <v>5369</v>
      </c>
      <c r="BF2774" s="46">
        <v>20425</v>
      </c>
      <c r="BG2774" s="46">
        <v>6.81</v>
      </c>
      <c r="BH2774" s="46">
        <v>0</v>
      </c>
      <c r="BJ2774">
        <v>20425</v>
      </c>
      <c r="BK2774">
        <v>6.81</v>
      </c>
      <c r="BL2774">
        <v>716.78</v>
      </c>
    </row>
    <row r="2775" spans="1:64" x14ac:dyDescent="0.25">
      <c r="A2775" s="136">
        <v>43203</v>
      </c>
      <c r="B2775" s="201" t="s">
        <v>67</v>
      </c>
      <c r="C2775" t="s">
        <v>129</v>
      </c>
      <c r="D2775">
        <v>200</v>
      </c>
      <c r="E2775">
        <v>200</v>
      </c>
      <c r="F2775">
        <v>-10.397</v>
      </c>
      <c r="G2775">
        <v>3909.4</v>
      </c>
      <c r="H2775">
        <v>0</v>
      </c>
      <c r="I2775" s="309">
        <v>1830</v>
      </c>
      <c r="J2775">
        <v>9.15</v>
      </c>
      <c r="K2775" s="133">
        <v>3.8192188812497798E-3</v>
      </c>
      <c r="L2775" s="181">
        <v>-22</v>
      </c>
      <c r="M2775" s="133">
        <v>0</v>
      </c>
      <c r="N2775" s="73">
        <v>3921.1624999997598</v>
      </c>
      <c r="O2775" s="73">
        <v>425.07613001624497</v>
      </c>
      <c r="P2775" s="182">
        <v>0</v>
      </c>
      <c r="Q2775" s="182">
        <v>0</v>
      </c>
      <c r="R2775" s="46">
        <v>0</v>
      </c>
      <c r="S2775" s="46">
        <v>23</v>
      </c>
      <c r="T2775" s="46">
        <v>9200</v>
      </c>
      <c r="U2775" s="46">
        <v>8.984</v>
      </c>
      <c r="V2775" s="46" t="s">
        <v>68</v>
      </c>
      <c r="W2775" s="46">
        <v>9200</v>
      </c>
      <c r="X2775" s="46">
        <v>8.984</v>
      </c>
      <c r="AF2775" s="46">
        <v>187</v>
      </c>
      <c r="AG2775" s="46">
        <v>92900</v>
      </c>
      <c r="AH2775" s="46">
        <v>773105</v>
      </c>
      <c r="AI2775" s="46">
        <v>8.3219999999999992</v>
      </c>
      <c r="AJ2775" s="46">
        <v>190</v>
      </c>
      <c r="AK2775" s="46">
        <v>86100</v>
      </c>
      <c r="AL2775" s="46">
        <v>761851.93449999997</v>
      </c>
      <c r="AM2775" s="46">
        <v>8.8480000000000008</v>
      </c>
      <c r="AN2775" s="46" t="s">
        <v>63</v>
      </c>
      <c r="AO2775" s="46">
        <v>6800</v>
      </c>
      <c r="AP2775" s="46">
        <v>11253.065000000001</v>
      </c>
      <c r="AQ2775" s="46">
        <v>1.655</v>
      </c>
      <c r="AR2775" s="46">
        <v>45288.6</v>
      </c>
      <c r="AS2775" s="46">
        <v>187</v>
      </c>
      <c r="AT2775" s="46">
        <v>92900</v>
      </c>
      <c r="AU2775" s="46">
        <v>773105</v>
      </c>
      <c r="AV2775" s="46">
        <v>8.3219999999999992</v>
      </c>
      <c r="AW2775" s="46">
        <v>213</v>
      </c>
      <c r="AX2775" s="46">
        <v>95300</v>
      </c>
      <c r="AY2775" s="46">
        <v>844310.27850000001</v>
      </c>
      <c r="AZ2775" s="46">
        <v>8.859</v>
      </c>
      <c r="BA2775" s="46" t="s">
        <v>69</v>
      </c>
      <c r="BB2775" s="46">
        <v>2400</v>
      </c>
      <c r="BC2775" s="46">
        <v>71205.278999999995</v>
      </c>
      <c r="BD2775" s="46">
        <v>29.669</v>
      </c>
      <c r="BE2775" s="46">
        <v>49887.3</v>
      </c>
      <c r="BF2775" s="46">
        <v>0</v>
      </c>
      <c r="BH2775" s="46">
        <v>82458.344000000201</v>
      </c>
      <c r="BI2775">
        <v>8.9600000000000009</v>
      </c>
      <c r="BJ2775">
        <v>59952.214</v>
      </c>
      <c r="BK2775">
        <v>6.52</v>
      </c>
      <c r="BL2775">
        <v>4949.57</v>
      </c>
    </row>
    <row r="2776" spans="1:64" x14ac:dyDescent="0.25">
      <c r="A2776" s="136">
        <v>43203</v>
      </c>
      <c r="B2776" s="201" t="s">
        <v>78</v>
      </c>
      <c r="C2776" t="s">
        <v>142</v>
      </c>
      <c r="D2776">
        <v>100</v>
      </c>
      <c r="E2776">
        <v>100</v>
      </c>
      <c r="F2776">
        <v>-4.9039999999999999</v>
      </c>
      <c r="G2776">
        <v>1531.4</v>
      </c>
      <c r="H2776">
        <v>0</v>
      </c>
      <c r="I2776" s="309">
        <v>1041</v>
      </c>
      <c r="J2776">
        <v>10.41</v>
      </c>
      <c r="K2776" s="133">
        <v>2.1725720521207801E-3</v>
      </c>
      <c r="L2776" s="181">
        <v>-29</v>
      </c>
      <c r="M2776" s="133">
        <v>0</v>
      </c>
      <c r="N2776" s="73">
        <v>1506.3910000000001</v>
      </c>
      <c r="O2776" s="73">
        <v>148.19269729330699</v>
      </c>
      <c r="P2776" s="182">
        <v>0</v>
      </c>
      <c r="Q2776" s="182">
        <v>0</v>
      </c>
      <c r="R2776" s="46">
        <v>0</v>
      </c>
      <c r="S2776" s="46">
        <v>3</v>
      </c>
      <c r="T2776" s="46">
        <v>1200</v>
      </c>
      <c r="U2776" s="46">
        <v>9.99</v>
      </c>
      <c r="V2776" s="46" t="s">
        <v>68</v>
      </c>
      <c r="W2776" s="46">
        <v>1200</v>
      </c>
      <c r="X2776" s="46">
        <v>9.99</v>
      </c>
      <c r="AF2776" s="46">
        <v>13</v>
      </c>
      <c r="AG2776" s="46">
        <v>6500</v>
      </c>
      <c r="AH2776" s="46">
        <v>62970</v>
      </c>
      <c r="AI2776" s="46">
        <v>9.6880000000000006</v>
      </c>
      <c r="AJ2776" s="46">
        <v>14</v>
      </c>
      <c r="AK2776" s="46">
        <v>5200</v>
      </c>
      <c r="AL2776" s="46">
        <v>51499.379000000001</v>
      </c>
      <c r="AM2776" s="46">
        <v>9.9039999999999999</v>
      </c>
      <c r="AN2776" s="46" t="s">
        <v>63</v>
      </c>
      <c r="AO2776" s="46">
        <v>1300</v>
      </c>
      <c r="AP2776" s="46">
        <v>11470.620999999999</v>
      </c>
      <c r="AQ2776" s="46">
        <v>8.8239999999999998</v>
      </c>
      <c r="AR2776" s="46">
        <v>1123.2</v>
      </c>
      <c r="AS2776" s="46">
        <v>13</v>
      </c>
      <c r="AT2776" s="46">
        <v>6500</v>
      </c>
      <c r="AU2776" s="46">
        <v>62970</v>
      </c>
      <c r="AV2776" s="46">
        <v>9.6880000000000006</v>
      </c>
      <c r="AW2776" s="46">
        <v>17</v>
      </c>
      <c r="AX2776" s="46">
        <v>6400</v>
      </c>
      <c r="AY2776" s="46">
        <v>63460.391000000003</v>
      </c>
      <c r="AZ2776" s="46">
        <v>9.9160000000000004</v>
      </c>
      <c r="BA2776" s="46" t="s">
        <v>63</v>
      </c>
      <c r="BB2776" s="46">
        <v>100</v>
      </c>
      <c r="BC2776" s="46">
        <v>490.39100000000002</v>
      </c>
      <c r="BD2776" s="46">
        <v>4.9039999999999999</v>
      </c>
      <c r="BE2776" s="46">
        <v>1459.2</v>
      </c>
      <c r="BF2776" s="46">
        <v>0</v>
      </c>
      <c r="BH2776" s="46">
        <v>11961.012000000001</v>
      </c>
      <c r="BI2776">
        <v>9.9700000000000006</v>
      </c>
      <c r="BJ2776">
        <v>-10980.23</v>
      </c>
      <c r="BK2776">
        <v>-9.15</v>
      </c>
      <c r="BL2776">
        <v>107.9</v>
      </c>
    </row>
    <row r="2777" spans="1:64" x14ac:dyDescent="0.25">
      <c r="A2777" s="136">
        <v>43203</v>
      </c>
      <c r="B2777" s="201" t="s">
        <v>72</v>
      </c>
      <c r="C2777" t="s">
        <v>130</v>
      </c>
      <c r="D2777">
        <v>2800</v>
      </c>
      <c r="E2777">
        <v>2800</v>
      </c>
      <c r="F2777">
        <v>6.806</v>
      </c>
      <c r="G2777">
        <v>-549.05999999999995</v>
      </c>
      <c r="H2777">
        <v>-2.88</v>
      </c>
      <c r="I2777" s="309">
        <v>18508</v>
      </c>
      <c r="J2777">
        <v>6.61</v>
      </c>
      <c r="K2777" s="133">
        <v>3.8626285821951302E-2</v>
      </c>
      <c r="L2777" s="181">
        <v>56</v>
      </c>
      <c r="M2777" s="133">
        <v>3.9772176706617403E-2</v>
      </c>
      <c r="N2777" s="73">
        <v>-714.75999999999397</v>
      </c>
      <c r="O2777" s="73">
        <v>-74.329332579182704</v>
      </c>
      <c r="P2777" s="182">
        <v>0</v>
      </c>
      <c r="Q2777" s="182">
        <v>0</v>
      </c>
      <c r="R2777" s="46">
        <v>0</v>
      </c>
      <c r="S2777" s="46">
        <v>13</v>
      </c>
      <c r="T2777" s="46">
        <v>5200</v>
      </c>
      <c r="U2777" s="46">
        <v>7.42</v>
      </c>
      <c r="V2777" s="46" t="s">
        <v>68</v>
      </c>
      <c r="W2777" s="46">
        <v>5200</v>
      </c>
      <c r="X2777" s="46">
        <v>7.42</v>
      </c>
      <c r="AF2777" s="46">
        <v>35</v>
      </c>
      <c r="AG2777" s="46">
        <v>17400</v>
      </c>
      <c r="AH2777" s="46">
        <v>130612</v>
      </c>
      <c r="AI2777" s="46">
        <v>7.5060000000000002</v>
      </c>
      <c r="AJ2777" s="46">
        <v>35</v>
      </c>
      <c r="AK2777" s="46">
        <v>16000</v>
      </c>
      <c r="AL2777" s="46">
        <v>73807.009000000005</v>
      </c>
      <c r="AM2777" s="46">
        <v>4.6130000000000004</v>
      </c>
      <c r="AN2777" s="46" t="s">
        <v>63</v>
      </c>
      <c r="AO2777" s="46">
        <v>1400</v>
      </c>
      <c r="AP2777" s="46">
        <v>56804.991000000002</v>
      </c>
      <c r="AQ2777" s="46">
        <v>40.575000000000003</v>
      </c>
      <c r="AR2777" s="46">
        <v>-46288</v>
      </c>
      <c r="AS2777" s="46">
        <v>35</v>
      </c>
      <c r="AT2777" s="46">
        <v>17400</v>
      </c>
      <c r="AU2777" s="46">
        <v>130612</v>
      </c>
      <c r="AV2777" s="46">
        <v>7.5060000000000002</v>
      </c>
      <c r="AW2777" s="46">
        <v>49</v>
      </c>
      <c r="AX2777" s="46">
        <v>21700</v>
      </c>
      <c r="AY2777" s="46">
        <v>112287.425</v>
      </c>
      <c r="AZ2777" s="46">
        <v>5.1749999999999998</v>
      </c>
      <c r="BA2777" s="46" t="s">
        <v>69</v>
      </c>
      <c r="BB2777" s="46">
        <v>4300</v>
      </c>
      <c r="BC2777" s="46">
        <v>18324.575000000001</v>
      </c>
      <c r="BD2777" s="46">
        <v>4.2619999999999996</v>
      </c>
      <c r="BE2777" s="46">
        <v>-40559.4</v>
      </c>
      <c r="BF2777" s="46">
        <v>0</v>
      </c>
      <c r="BH2777" s="46">
        <v>38480.415999999997</v>
      </c>
      <c r="BI2777">
        <v>7.4</v>
      </c>
      <c r="BJ2777">
        <v>-38480.415999999997</v>
      </c>
      <c r="BK2777">
        <v>-7.4</v>
      </c>
      <c r="BL2777">
        <v>-7002.72</v>
      </c>
    </row>
    <row r="2778" spans="1:64" x14ac:dyDescent="0.25">
      <c r="A2778" s="136">
        <v>43203</v>
      </c>
      <c r="B2778" s="201" t="s">
        <v>70</v>
      </c>
      <c r="C2778" t="s">
        <v>131</v>
      </c>
      <c r="D2778">
        <v>11900</v>
      </c>
      <c r="E2778">
        <v>11900</v>
      </c>
      <c r="F2778">
        <v>11.551</v>
      </c>
      <c r="G2778">
        <v>-32612.32</v>
      </c>
      <c r="H2778">
        <v>-23.73</v>
      </c>
      <c r="I2778" s="309">
        <v>104839</v>
      </c>
      <c r="J2778">
        <v>8.81</v>
      </c>
      <c r="K2778" s="133">
        <v>0.21879950179854901</v>
      </c>
      <c r="L2778" s="181">
        <v>833</v>
      </c>
      <c r="M2778" s="133">
        <v>0.286861571910768</v>
      </c>
      <c r="N2778" s="73">
        <v>-35115.323000000099</v>
      </c>
      <c r="O2778" s="73">
        <v>-4081.1355044767502</v>
      </c>
      <c r="P2778" s="182">
        <v>2</v>
      </c>
      <c r="Q2778" s="182">
        <v>1000</v>
      </c>
      <c r="R2778" s="46">
        <v>8.08</v>
      </c>
      <c r="S2778" s="46">
        <v>4</v>
      </c>
      <c r="T2778" s="46">
        <v>1700</v>
      </c>
      <c r="U2778" s="46">
        <v>8.9250000000000007</v>
      </c>
      <c r="V2778" s="46" t="s">
        <v>68</v>
      </c>
      <c r="W2778" s="46">
        <v>700</v>
      </c>
      <c r="X2778" s="46">
        <v>10.132</v>
      </c>
      <c r="AF2778" s="46">
        <v>136</v>
      </c>
      <c r="AG2778" s="46">
        <v>69600</v>
      </c>
      <c r="AH2778" s="46">
        <v>903588</v>
      </c>
      <c r="AI2778" s="46">
        <v>12.983000000000001</v>
      </c>
      <c r="AJ2778" s="46">
        <v>142</v>
      </c>
      <c r="AK2778" s="46">
        <v>57000</v>
      </c>
      <c r="AL2778" s="46">
        <v>758679.85</v>
      </c>
      <c r="AM2778" s="46">
        <v>13.31</v>
      </c>
      <c r="AN2778" s="46" t="s">
        <v>63</v>
      </c>
      <c r="AO2778" s="46">
        <v>12600</v>
      </c>
      <c r="AP2778" s="46">
        <v>144908.15</v>
      </c>
      <c r="AQ2778" s="46">
        <v>11.500999999999999</v>
      </c>
      <c r="AR2778" s="46">
        <v>18639</v>
      </c>
      <c r="AS2778" s="46">
        <v>138</v>
      </c>
      <c r="AT2778" s="46">
        <v>70600</v>
      </c>
      <c r="AU2778" s="46">
        <v>911678</v>
      </c>
      <c r="AV2778" s="46">
        <v>12.913</v>
      </c>
      <c r="AW2778" s="46">
        <v>147</v>
      </c>
      <c r="AX2778" s="46">
        <v>58700</v>
      </c>
      <c r="AY2778" s="46">
        <v>774222.67700000003</v>
      </c>
      <c r="AZ2778" s="46">
        <v>13.189</v>
      </c>
      <c r="BA2778" s="46" t="s">
        <v>63</v>
      </c>
      <c r="BB2778" s="46">
        <v>11900</v>
      </c>
      <c r="BC2778" s="46">
        <v>137455.323</v>
      </c>
      <c r="BD2778" s="46">
        <v>11.551</v>
      </c>
      <c r="BE2778" s="46">
        <v>16201.2</v>
      </c>
      <c r="BF2778" s="46">
        <v>8090</v>
      </c>
      <c r="BG2778" s="46">
        <v>8.09</v>
      </c>
      <c r="BH2778" s="46">
        <v>15542.826999999999</v>
      </c>
      <c r="BI2778">
        <v>9.14</v>
      </c>
      <c r="BJ2778">
        <v>-7452.8269999999902</v>
      </c>
      <c r="BK2778">
        <v>-10.65</v>
      </c>
      <c r="BL2778">
        <v>2115.66</v>
      </c>
    </row>
    <row r="2779" spans="1:64" x14ac:dyDescent="0.25">
      <c r="A2779" s="136">
        <v>43203</v>
      </c>
      <c r="B2779" s="201" t="s">
        <v>137</v>
      </c>
      <c r="C2779" t="s">
        <v>138</v>
      </c>
      <c r="D2779">
        <v>100</v>
      </c>
      <c r="E2779">
        <v>100</v>
      </c>
      <c r="F2779">
        <v>-130.48500000000001</v>
      </c>
      <c r="G2779">
        <v>17525.5</v>
      </c>
      <c r="H2779">
        <v>0</v>
      </c>
      <c r="I2779" s="309">
        <v>4477</v>
      </c>
      <c r="J2779">
        <v>44.77</v>
      </c>
      <c r="K2779" s="133">
        <v>9.3435207275165306E-3</v>
      </c>
      <c r="L2779" s="181">
        <v>-48</v>
      </c>
      <c r="M2779" s="133">
        <v>0</v>
      </c>
    </row>
    <row r="2780" spans="1:64" x14ac:dyDescent="0.25">
      <c r="A2780" s="136">
        <v>43203</v>
      </c>
      <c r="B2780" s="201" t="s">
        <v>835</v>
      </c>
      <c r="C2780" t="s">
        <v>839</v>
      </c>
      <c r="I2780" s="309">
        <v>19347.41</v>
      </c>
      <c r="K2780" s="133">
        <v>4.0378138565727202E-2</v>
      </c>
      <c r="L2780" s="181">
        <v>0</v>
      </c>
      <c r="M2780" s="133">
        <v>0.18683612506059399</v>
      </c>
    </row>
    <row r="2781" spans="1:64" x14ac:dyDescent="0.25">
      <c r="A2781" s="136">
        <v>43206</v>
      </c>
      <c r="B2781" s="201" t="s">
        <v>132</v>
      </c>
      <c r="C2781" t="s">
        <v>123</v>
      </c>
      <c r="D2781">
        <v>5018212</v>
      </c>
      <c r="E2781">
        <v>5018212</v>
      </c>
      <c r="F2781">
        <v>8.9999999999999993E-3</v>
      </c>
      <c r="G2781">
        <v>3427.68</v>
      </c>
      <c r="H2781">
        <v>11.11</v>
      </c>
      <c r="I2781" s="309">
        <v>50182.12</v>
      </c>
      <c r="J2781">
        <v>0.01</v>
      </c>
      <c r="K2781" s="133">
        <v>0.106504571491187</v>
      </c>
      <c r="L2781" s="181">
        <v>5.9600000000000399</v>
      </c>
      <c r="M2781" s="133">
        <v>0</v>
      </c>
    </row>
    <row r="2782" spans="1:64" x14ac:dyDescent="0.25">
      <c r="A2782" s="136">
        <v>43206</v>
      </c>
      <c r="B2782" s="201" t="s">
        <v>61</v>
      </c>
      <c r="C2782" t="s">
        <v>136</v>
      </c>
      <c r="D2782">
        <v>3400</v>
      </c>
      <c r="E2782">
        <v>3400</v>
      </c>
      <c r="F2782">
        <v>5.1180000000000003</v>
      </c>
      <c r="G2782">
        <v>-1524.05</v>
      </c>
      <c r="H2782">
        <v>-8.75</v>
      </c>
      <c r="I2782" s="309">
        <v>15878</v>
      </c>
      <c r="J2782">
        <v>4.67</v>
      </c>
      <c r="K2782" s="133">
        <v>3.3698847042274598E-2</v>
      </c>
      <c r="L2782" s="181">
        <v>-204</v>
      </c>
      <c r="M2782" s="133">
        <v>3.6933431236428699E-2</v>
      </c>
      <c r="N2782" s="73">
        <v>-1257.8409999999999</v>
      </c>
      <c r="O2782" s="73">
        <v>-264.67622726315699</v>
      </c>
      <c r="P2782" s="182">
        <v>5</v>
      </c>
      <c r="Q2782" s="182">
        <v>2500</v>
      </c>
      <c r="R2782" s="46">
        <v>5.1239999999999997</v>
      </c>
      <c r="S2782" s="46">
        <v>0</v>
      </c>
      <c r="T2782" s="46">
        <v>0</v>
      </c>
      <c r="U2782" s="46">
        <v>0</v>
      </c>
      <c r="V2782" s="46" t="s">
        <v>62</v>
      </c>
      <c r="W2782" s="46">
        <v>2500</v>
      </c>
      <c r="X2782" s="46">
        <v>5.1239999999999997</v>
      </c>
      <c r="AF2782" s="46">
        <v>10</v>
      </c>
      <c r="AG2782" s="46">
        <v>5000</v>
      </c>
      <c r="AH2782" s="46">
        <v>26378</v>
      </c>
      <c r="AI2782" s="46">
        <v>5.2759999999999998</v>
      </c>
      <c r="AJ2782" s="46">
        <v>10</v>
      </c>
      <c r="AK2782" s="46">
        <v>4100</v>
      </c>
      <c r="AL2782" s="46">
        <v>21806.659</v>
      </c>
      <c r="AM2782" s="46">
        <v>5.319</v>
      </c>
      <c r="AN2782" s="46" t="s">
        <v>63</v>
      </c>
      <c r="AO2782" s="46">
        <v>900</v>
      </c>
      <c r="AP2782" s="46">
        <v>4571.3410000000003</v>
      </c>
      <c r="AQ2782" s="46">
        <v>5.0789999999999997</v>
      </c>
      <c r="AR2782" s="46">
        <v>176.3</v>
      </c>
      <c r="AS2782" s="46">
        <v>15</v>
      </c>
      <c r="AT2782" s="46">
        <v>7500</v>
      </c>
      <c r="AU2782" s="46">
        <v>39214.5</v>
      </c>
      <c r="AV2782" s="46">
        <v>5.2290000000000001</v>
      </c>
      <c r="AW2782" s="46">
        <v>10</v>
      </c>
      <c r="AX2782" s="46">
        <v>4100</v>
      </c>
      <c r="AY2782" s="46">
        <v>21806.659</v>
      </c>
      <c r="AZ2782" s="46">
        <v>5.319</v>
      </c>
      <c r="BA2782" s="46" t="s">
        <v>63</v>
      </c>
      <c r="BB2782" s="46">
        <v>3400</v>
      </c>
      <c r="BC2782" s="46">
        <v>17407.841</v>
      </c>
      <c r="BD2782" s="46">
        <v>5.12</v>
      </c>
      <c r="BE2782" s="46">
        <v>369</v>
      </c>
      <c r="BF2782" s="46">
        <v>12836.5</v>
      </c>
      <c r="BG2782" s="46">
        <v>5.13</v>
      </c>
      <c r="BH2782" s="46">
        <v>0</v>
      </c>
      <c r="BJ2782">
        <v>12836.5</v>
      </c>
      <c r="BK2782">
        <v>5.13</v>
      </c>
      <c r="BL2782">
        <v>37.75</v>
      </c>
    </row>
    <row r="2783" spans="1:64" x14ac:dyDescent="0.25">
      <c r="A2783" s="136">
        <v>43206</v>
      </c>
      <c r="B2783" s="201" t="s">
        <v>124</v>
      </c>
      <c r="C2783" t="s">
        <v>125</v>
      </c>
      <c r="D2783">
        <v>100</v>
      </c>
      <c r="E2783">
        <v>100</v>
      </c>
      <c r="F2783">
        <v>-53.579000000000001</v>
      </c>
      <c r="G2783">
        <v>5939.9</v>
      </c>
      <c r="H2783">
        <v>0</v>
      </c>
      <c r="I2783" s="309">
        <v>582</v>
      </c>
      <c r="J2783">
        <v>5.82</v>
      </c>
      <c r="K2783" s="133">
        <v>1.23521406843455E-3</v>
      </c>
      <c r="L2783" s="181">
        <v>-21</v>
      </c>
      <c r="M2783" s="133">
        <v>0</v>
      </c>
    </row>
    <row r="2784" spans="1:64" x14ac:dyDescent="0.25">
      <c r="A2784" s="136">
        <v>43206</v>
      </c>
      <c r="B2784" s="201" t="s">
        <v>71</v>
      </c>
      <c r="C2784" t="s">
        <v>126</v>
      </c>
      <c r="D2784">
        <v>1700</v>
      </c>
      <c r="E2784">
        <v>1700</v>
      </c>
      <c r="F2784">
        <v>5.2080000000000002</v>
      </c>
      <c r="G2784">
        <v>1805.67</v>
      </c>
      <c r="H2784">
        <v>20.39</v>
      </c>
      <c r="I2784" s="309">
        <v>10659</v>
      </c>
      <c r="J2784">
        <v>6.27</v>
      </c>
      <c r="K2784" s="133">
        <v>2.26222452842679E-2</v>
      </c>
      <c r="L2784" s="181">
        <v>-357</v>
      </c>
      <c r="M2784" s="133">
        <v>1.8789961801535499E-2</v>
      </c>
      <c r="N2784" s="73">
        <v>2161.2060000000001</v>
      </c>
      <c r="O2784" s="73">
        <v>333.35268472222202</v>
      </c>
      <c r="P2784" s="182">
        <v>0</v>
      </c>
      <c r="Q2784" s="182">
        <v>0</v>
      </c>
      <c r="R2784" s="46">
        <v>0</v>
      </c>
      <c r="S2784" s="46">
        <v>4</v>
      </c>
      <c r="T2784" s="46">
        <v>1500</v>
      </c>
      <c r="U2784" s="46">
        <v>6.7679999999999998</v>
      </c>
      <c r="V2784" s="46" t="s">
        <v>68</v>
      </c>
      <c r="W2784" s="46">
        <v>1500</v>
      </c>
      <c r="X2784" s="46">
        <v>6.7679999999999998</v>
      </c>
      <c r="AF2784" s="46">
        <v>45</v>
      </c>
      <c r="AG2784" s="46">
        <v>22600</v>
      </c>
      <c r="AH2784" s="46">
        <v>144534.56</v>
      </c>
      <c r="AI2784" s="46">
        <v>6.3949999999999996</v>
      </c>
      <c r="AJ2784" s="46">
        <v>43</v>
      </c>
      <c r="AK2784" s="46">
        <v>19400</v>
      </c>
      <c r="AL2784" s="46">
        <v>125389.618</v>
      </c>
      <c r="AM2784" s="46">
        <v>6.4630000000000001</v>
      </c>
      <c r="AN2784" s="46" t="s">
        <v>63</v>
      </c>
      <c r="AO2784" s="46">
        <v>3200</v>
      </c>
      <c r="AP2784" s="46">
        <v>19144.941999999999</v>
      </c>
      <c r="AQ2784" s="46">
        <v>5.9829999999999997</v>
      </c>
      <c r="AR2784" s="46">
        <v>1319.2</v>
      </c>
      <c r="AS2784" s="46">
        <v>45</v>
      </c>
      <c r="AT2784" s="46">
        <v>22600</v>
      </c>
      <c r="AU2784" s="46">
        <v>144534.56</v>
      </c>
      <c r="AV2784" s="46">
        <v>6.3949999999999996</v>
      </c>
      <c r="AW2784" s="46">
        <v>47</v>
      </c>
      <c r="AX2784" s="46">
        <v>20900</v>
      </c>
      <c r="AY2784" s="46">
        <v>135518.56599999999</v>
      </c>
      <c r="AZ2784" s="46">
        <v>6.484</v>
      </c>
      <c r="BA2784" s="46" t="s">
        <v>63</v>
      </c>
      <c r="BB2784" s="46">
        <v>1700</v>
      </c>
      <c r="BC2784" s="46">
        <v>9015.9940000000006</v>
      </c>
      <c r="BD2784" s="46">
        <v>5.3040000000000003</v>
      </c>
      <c r="BE2784" s="46">
        <v>1860.1</v>
      </c>
      <c r="BF2784" s="46">
        <v>0</v>
      </c>
      <c r="BH2784" s="46">
        <v>10128.948</v>
      </c>
      <c r="BI2784">
        <v>6.75</v>
      </c>
      <c r="BJ2784">
        <v>-10128.948</v>
      </c>
      <c r="BK2784">
        <v>-6.75</v>
      </c>
      <c r="BL2784">
        <v>210.4</v>
      </c>
    </row>
    <row r="2785" spans="1:64" x14ac:dyDescent="0.25">
      <c r="A2785" s="136">
        <v>43206</v>
      </c>
      <c r="B2785" s="201" t="s">
        <v>79</v>
      </c>
      <c r="C2785" t="s">
        <v>143</v>
      </c>
      <c r="D2785">
        <v>5800</v>
      </c>
      <c r="E2785">
        <v>5300</v>
      </c>
      <c r="F2785">
        <v>16.260999999999999</v>
      </c>
      <c r="G2785">
        <v>-12475.71</v>
      </c>
      <c r="H2785">
        <v>-13.23</v>
      </c>
      <c r="I2785" s="309">
        <v>81838</v>
      </c>
      <c r="J2785">
        <v>14.11</v>
      </c>
      <c r="K2785" s="133">
        <v>0.173689774798191</v>
      </c>
      <c r="L2785" s="181">
        <v>-1385.14</v>
      </c>
      <c r="M2785" s="133">
        <v>0.200167734429994</v>
      </c>
      <c r="N2785" s="73">
        <v>-11842.4200000001</v>
      </c>
      <c r="O2785" s="73">
        <v>-832.38388115331304</v>
      </c>
      <c r="P2785" s="182">
        <v>8</v>
      </c>
      <c r="Q2785" s="182">
        <v>4500</v>
      </c>
      <c r="R2785" s="46">
        <v>15.379</v>
      </c>
      <c r="S2785" s="46">
        <v>0</v>
      </c>
      <c r="T2785" s="46">
        <v>0</v>
      </c>
      <c r="U2785" s="46">
        <v>0</v>
      </c>
      <c r="V2785" s="46" t="s">
        <v>62</v>
      </c>
      <c r="W2785" s="46">
        <v>4500</v>
      </c>
      <c r="X2785" s="46">
        <v>15.379</v>
      </c>
      <c r="AF2785" s="46">
        <v>13</v>
      </c>
      <c r="AG2785" s="46">
        <v>6500</v>
      </c>
      <c r="AH2785" s="46">
        <v>103623.9</v>
      </c>
      <c r="AI2785" s="46">
        <v>15.942</v>
      </c>
      <c r="AJ2785" s="46">
        <v>13</v>
      </c>
      <c r="AK2785" s="46">
        <v>5200</v>
      </c>
      <c r="AL2785" s="46">
        <v>78553.179999999906</v>
      </c>
      <c r="AM2785" s="46">
        <v>15.106</v>
      </c>
      <c r="AN2785" s="46" t="s">
        <v>63</v>
      </c>
      <c r="AO2785" s="46">
        <v>1300</v>
      </c>
      <c r="AP2785" s="46">
        <v>25070.720000000001</v>
      </c>
      <c r="AQ2785" s="46">
        <v>19.285</v>
      </c>
      <c r="AR2785" s="46">
        <v>-4347.2</v>
      </c>
      <c r="AS2785" s="46">
        <v>21</v>
      </c>
      <c r="AT2785" s="46">
        <v>11000</v>
      </c>
      <c r="AU2785" s="46">
        <v>172871.6</v>
      </c>
      <c r="AV2785" s="46">
        <v>15.715999999999999</v>
      </c>
      <c r="AW2785" s="46">
        <v>13</v>
      </c>
      <c r="AX2785" s="46">
        <v>5200</v>
      </c>
      <c r="AY2785" s="46">
        <v>78553.179999999906</v>
      </c>
      <c r="AZ2785" s="46">
        <v>15.106</v>
      </c>
      <c r="BA2785" s="46" t="s">
        <v>63</v>
      </c>
      <c r="BB2785" s="46">
        <v>5800</v>
      </c>
      <c r="BC2785" s="46">
        <v>94318.42</v>
      </c>
      <c r="BD2785" s="46">
        <v>16.262</v>
      </c>
      <c r="BE2785" s="46">
        <v>-3172</v>
      </c>
      <c r="BF2785" s="46">
        <v>69247.699999999895</v>
      </c>
      <c r="BG2785" s="46">
        <v>15.39</v>
      </c>
      <c r="BH2785" s="46">
        <v>0</v>
      </c>
      <c r="BJ2785">
        <v>69247.7</v>
      </c>
      <c r="BK2785">
        <v>15.39</v>
      </c>
      <c r="BL2785">
        <v>-308.08999999999997</v>
      </c>
    </row>
    <row r="2786" spans="1:64" x14ac:dyDescent="0.25">
      <c r="A2786" s="136">
        <v>43206</v>
      </c>
      <c r="B2786" s="201" t="s">
        <v>65</v>
      </c>
      <c r="C2786" t="s">
        <v>127</v>
      </c>
      <c r="D2786">
        <v>15100</v>
      </c>
      <c r="E2786">
        <v>13600</v>
      </c>
      <c r="F2786">
        <v>9.3719999999999999</v>
      </c>
      <c r="G2786">
        <v>-1092.92</v>
      </c>
      <c r="H2786">
        <v>-0.77</v>
      </c>
      <c r="I2786" s="309">
        <v>140430</v>
      </c>
      <c r="J2786">
        <v>9.3000000000000007</v>
      </c>
      <c r="K2786" s="133">
        <v>0.29804314713103802</v>
      </c>
      <c r="L2786" s="181">
        <v>-3656</v>
      </c>
      <c r="M2786" s="133">
        <v>0.30036271785212698</v>
      </c>
      <c r="N2786" s="73">
        <v>-5224.3390000000099</v>
      </c>
      <c r="O2786" s="73">
        <v>-101.215263936643</v>
      </c>
      <c r="P2786" s="182">
        <v>1</v>
      </c>
      <c r="Q2786" s="182">
        <v>500</v>
      </c>
      <c r="R2786" s="46">
        <v>9.31</v>
      </c>
      <c r="S2786" s="46">
        <v>10</v>
      </c>
      <c r="T2786" s="46">
        <v>4100</v>
      </c>
      <c r="U2786" s="46">
        <v>12.254</v>
      </c>
      <c r="V2786" s="46" t="s">
        <v>68</v>
      </c>
      <c r="W2786" s="46">
        <v>3600</v>
      </c>
      <c r="X2786" s="46">
        <v>12.663</v>
      </c>
      <c r="AF2786" s="46">
        <v>181</v>
      </c>
      <c r="AG2786" s="46">
        <v>96200</v>
      </c>
      <c r="AH2786" s="46">
        <v>1103840.2309999999</v>
      </c>
      <c r="AI2786" s="46">
        <v>11.474</v>
      </c>
      <c r="AJ2786" s="46">
        <v>200</v>
      </c>
      <c r="AK2786" s="46">
        <v>86700</v>
      </c>
      <c r="AL2786" s="46">
        <v>916002.13</v>
      </c>
      <c r="AM2786" s="46">
        <v>10.565</v>
      </c>
      <c r="AN2786" s="46" t="s">
        <v>63</v>
      </c>
      <c r="AO2786" s="46">
        <v>9500</v>
      </c>
      <c r="AP2786" s="46">
        <v>187838.101</v>
      </c>
      <c r="AQ2786" s="46">
        <v>19.771999999999998</v>
      </c>
      <c r="AR2786" s="46">
        <v>-78810.3</v>
      </c>
      <c r="AS2786" s="46">
        <v>183</v>
      </c>
      <c r="AT2786" s="46">
        <v>96800</v>
      </c>
      <c r="AU2786" s="46">
        <v>1109788.2309999999</v>
      </c>
      <c r="AV2786" s="46">
        <v>11.465</v>
      </c>
      <c r="AW2786" s="46">
        <v>210</v>
      </c>
      <c r="AX2786" s="46">
        <v>90800</v>
      </c>
      <c r="AY2786" s="46">
        <v>966141.89</v>
      </c>
      <c r="AZ2786" s="46">
        <v>10.64</v>
      </c>
      <c r="BA2786" s="46" t="s">
        <v>63</v>
      </c>
      <c r="BB2786" s="46">
        <v>6000</v>
      </c>
      <c r="BC2786" s="46">
        <v>143646.34099999999</v>
      </c>
      <c r="BD2786" s="46">
        <v>23.940999999999999</v>
      </c>
      <c r="BE2786" s="46">
        <v>-74910</v>
      </c>
      <c r="BF2786" s="46">
        <v>5948</v>
      </c>
      <c r="BG2786" s="46">
        <v>11.9</v>
      </c>
      <c r="BH2786" s="46">
        <v>50139.76</v>
      </c>
      <c r="BI2786">
        <v>12.23</v>
      </c>
      <c r="BJ2786">
        <v>-44191.76</v>
      </c>
      <c r="BK2786">
        <v>-12.28</v>
      </c>
      <c r="BL2786">
        <v>-8474.23</v>
      </c>
    </row>
    <row r="2787" spans="1:64" x14ac:dyDescent="0.25">
      <c r="A2787" s="136">
        <v>43206</v>
      </c>
      <c r="B2787" s="201" t="s">
        <v>77</v>
      </c>
      <c r="C2787" t="s">
        <v>128</v>
      </c>
      <c r="D2787">
        <v>4300</v>
      </c>
      <c r="E2787">
        <v>4300</v>
      </c>
      <c r="F2787">
        <v>5.9779999999999998</v>
      </c>
      <c r="G2787">
        <v>-595.27</v>
      </c>
      <c r="H2787">
        <v>-2.31</v>
      </c>
      <c r="I2787" s="309">
        <v>25112</v>
      </c>
      <c r="J2787">
        <v>5.84</v>
      </c>
      <c r="K2787" s="133">
        <v>5.3296727983725901E-2</v>
      </c>
      <c r="L2787" s="181">
        <v>0</v>
      </c>
      <c r="M2787" s="133">
        <v>5.4560105781865098E-2</v>
      </c>
      <c r="N2787" s="73">
        <v>-1272.2139999999999</v>
      </c>
      <c r="O2787" s="73">
        <v>-133.073774655173</v>
      </c>
      <c r="P2787" s="182">
        <v>6</v>
      </c>
      <c r="Q2787" s="182">
        <v>3000</v>
      </c>
      <c r="R2787" s="46">
        <v>6.798</v>
      </c>
      <c r="S2787" s="46">
        <v>0</v>
      </c>
      <c r="T2787" s="46">
        <v>0</v>
      </c>
      <c r="U2787" s="46">
        <v>0</v>
      </c>
      <c r="V2787" s="46" t="s">
        <v>62</v>
      </c>
      <c r="W2787" s="46">
        <v>3000</v>
      </c>
      <c r="X2787" s="46">
        <v>6.798</v>
      </c>
      <c r="AF2787" s="46">
        <v>39</v>
      </c>
      <c r="AG2787" s="46">
        <v>19500</v>
      </c>
      <c r="AH2787" s="46">
        <v>142169</v>
      </c>
      <c r="AI2787" s="46">
        <v>7.2910000000000004</v>
      </c>
      <c r="AJ2787" s="46">
        <v>39</v>
      </c>
      <c r="AK2787" s="46">
        <v>18200</v>
      </c>
      <c r="AL2787" s="46">
        <v>136881.78599999999</v>
      </c>
      <c r="AM2787" s="46">
        <v>7.5209999999999999</v>
      </c>
      <c r="AN2787" s="46" t="s">
        <v>63</v>
      </c>
      <c r="AO2787" s="46">
        <v>1300</v>
      </c>
      <c r="AP2787" s="46">
        <v>5287.2139999999999</v>
      </c>
      <c r="AQ2787" s="46">
        <v>4.0670000000000002</v>
      </c>
      <c r="AR2787" s="46">
        <v>4186</v>
      </c>
      <c r="AS2787" s="46">
        <v>45</v>
      </c>
      <c r="AT2787" s="46">
        <v>22500</v>
      </c>
      <c r="AU2787" s="46">
        <v>162594</v>
      </c>
      <c r="AV2787" s="46">
        <v>7.226</v>
      </c>
      <c r="AW2787" s="46">
        <v>39</v>
      </c>
      <c r="AX2787" s="46">
        <v>18200</v>
      </c>
      <c r="AY2787" s="46">
        <v>136881.78599999999</v>
      </c>
      <c r="AZ2787" s="46">
        <v>7.5209999999999999</v>
      </c>
      <c r="BA2787" s="46" t="s">
        <v>63</v>
      </c>
      <c r="BB2787" s="46">
        <v>4300</v>
      </c>
      <c r="BC2787" s="46">
        <v>25712.214</v>
      </c>
      <c r="BD2787" s="46">
        <v>5.98</v>
      </c>
      <c r="BE2787" s="46">
        <v>5369</v>
      </c>
      <c r="BF2787" s="46">
        <v>20425</v>
      </c>
      <c r="BG2787" s="46">
        <v>6.81</v>
      </c>
      <c r="BH2787" s="46">
        <v>0</v>
      </c>
      <c r="BJ2787">
        <v>20425</v>
      </c>
      <c r="BK2787">
        <v>6.81</v>
      </c>
      <c r="BL2787">
        <v>716.78</v>
      </c>
    </row>
    <row r="2788" spans="1:64" x14ac:dyDescent="0.25">
      <c r="A2788" s="136">
        <v>43206</v>
      </c>
      <c r="B2788" s="201" t="s">
        <v>67</v>
      </c>
      <c r="C2788" t="s">
        <v>129</v>
      </c>
      <c r="D2788">
        <v>1200</v>
      </c>
      <c r="E2788">
        <v>200</v>
      </c>
      <c r="F2788">
        <v>5.6420000000000003</v>
      </c>
      <c r="G2788">
        <v>3801.46</v>
      </c>
      <c r="H2788">
        <v>56.15</v>
      </c>
      <c r="I2788" s="309">
        <v>10572</v>
      </c>
      <c r="J2788">
        <v>8.81</v>
      </c>
      <c r="K2788" s="133">
        <v>2.24375998822854E-2</v>
      </c>
      <c r="L2788" s="181">
        <v>-107.94</v>
      </c>
      <c r="M2788" s="133">
        <v>1.4369529654465399E-2</v>
      </c>
      <c r="N2788" s="73">
        <v>3775.1624999997598</v>
      </c>
      <c r="O2788" s="73">
        <v>429.26904650168098</v>
      </c>
      <c r="P2788" s="182">
        <v>0</v>
      </c>
      <c r="Q2788" s="182">
        <v>0</v>
      </c>
      <c r="R2788" s="46">
        <v>0</v>
      </c>
      <c r="S2788" s="46">
        <v>21</v>
      </c>
      <c r="T2788" s="46">
        <v>8400</v>
      </c>
      <c r="U2788" s="46">
        <v>8.9960000000000004</v>
      </c>
      <c r="V2788" s="46" t="s">
        <v>68</v>
      </c>
      <c r="W2788" s="46">
        <v>8400</v>
      </c>
      <c r="X2788" s="46">
        <v>8.9960000000000004</v>
      </c>
      <c r="AF2788" s="46">
        <v>189</v>
      </c>
      <c r="AG2788" s="46">
        <v>93900</v>
      </c>
      <c r="AH2788" s="46">
        <v>781955</v>
      </c>
      <c r="AI2788" s="46">
        <v>8.3279999999999994</v>
      </c>
      <c r="AJ2788" s="46">
        <v>192</v>
      </c>
      <c r="AK2788" s="46">
        <v>86900</v>
      </c>
      <c r="AL2788" s="46">
        <v>768926.84250000003</v>
      </c>
      <c r="AM2788" s="46">
        <v>8.8480000000000008</v>
      </c>
      <c r="AN2788" s="46" t="s">
        <v>63</v>
      </c>
      <c r="AO2788" s="46">
        <v>7000</v>
      </c>
      <c r="AP2788" s="46">
        <v>13028.156999999999</v>
      </c>
      <c r="AQ2788" s="46">
        <v>1.861</v>
      </c>
      <c r="AR2788" s="46">
        <v>45188</v>
      </c>
      <c r="AS2788" s="46">
        <v>189</v>
      </c>
      <c r="AT2788" s="46">
        <v>93900</v>
      </c>
      <c r="AU2788" s="46">
        <v>781955</v>
      </c>
      <c r="AV2788" s="46">
        <v>8.3279999999999994</v>
      </c>
      <c r="AW2788" s="46">
        <v>213</v>
      </c>
      <c r="AX2788" s="46">
        <v>95300</v>
      </c>
      <c r="AY2788" s="46">
        <v>844310.27850000001</v>
      </c>
      <c r="AZ2788" s="46">
        <v>8.859</v>
      </c>
      <c r="BA2788" s="46" t="s">
        <v>69</v>
      </c>
      <c r="BB2788" s="46">
        <v>1400</v>
      </c>
      <c r="BC2788" s="46">
        <v>62355.279000000002</v>
      </c>
      <c r="BD2788" s="46">
        <v>44.539000000000001</v>
      </c>
      <c r="BE2788" s="46">
        <v>49860.9</v>
      </c>
      <c r="BF2788" s="46">
        <v>0</v>
      </c>
      <c r="BH2788" s="46">
        <v>75383.436000000103</v>
      </c>
      <c r="BI2788">
        <v>8.9700000000000006</v>
      </c>
      <c r="BJ2788">
        <v>49327.122000000003</v>
      </c>
      <c r="BK2788">
        <v>5.87</v>
      </c>
      <c r="BL2788">
        <v>5129.17</v>
      </c>
    </row>
    <row r="2789" spans="1:64" x14ac:dyDescent="0.25">
      <c r="A2789" s="136">
        <v>43206</v>
      </c>
      <c r="B2789" s="201" t="s">
        <v>78</v>
      </c>
      <c r="C2789" t="s">
        <v>142</v>
      </c>
      <c r="D2789">
        <v>100</v>
      </c>
      <c r="E2789">
        <v>100</v>
      </c>
      <c r="F2789">
        <v>-4.9039999999999999</v>
      </c>
      <c r="G2789">
        <v>1500.4</v>
      </c>
      <c r="H2789">
        <v>0</v>
      </c>
      <c r="I2789" s="309">
        <v>1010</v>
      </c>
      <c r="J2789">
        <v>10.1</v>
      </c>
      <c r="K2789" s="133">
        <v>2.1435845517506799E-3</v>
      </c>
      <c r="L2789" s="181">
        <v>-31</v>
      </c>
      <c r="M2789" s="133">
        <v>0</v>
      </c>
      <c r="N2789" s="73">
        <v>1506.3910000000001</v>
      </c>
      <c r="O2789" s="73">
        <v>148.19269729330699</v>
      </c>
      <c r="P2789" s="182">
        <v>0</v>
      </c>
      <c r="Q2789" s="182">
        <v>0</v>
      </c>
      <c r="R2789" s="46">
        <v>0</v>
      </c>
      <c r="S2789" s="46">
        <v>3</v>
      </c>
      <c r="T2789" s="46">
        <v>1200</v>
      </c>
      <c r="U2789" s="46">
        <v>9.99</v>
      </c>
      <c r="V2789" s="46" t="s">
        <v>68</v>
      </c>
      <c r="W2789" s="46">
        <v>1200</v>
      </c>
      <c r="X2789" s="46">
        <v>9.99</v>
      </c>
      <c r="AF2789" s="46">
        <v>13</v>
      </c>
      <c r="AG2789" s="46">
        <v>6500</v>
      </c>
      <c r="AH2789" s="46">
        <v>62970</v>
      </c>
      <c r="AI2789" s="46">
        <v>9.6880000000000006</v>
      </c>
      <c r="AJ2789" s="46">
        <v>14</v>
      </c>
      <c r="AK2789" s="46">
        <v>5200</v>
      </c>
      <c r="AL2789" s="46">
        <v>51499.379000000001</v>
      </c>
      <c r="AM2789" s="46">
        <v>9.9039999999999999</v>
      </c>
      <c r="AN2789" s="46" t="s">
        <v>63</v>
      </c>
      <c r="AO2789" s="46">
        <v>1300</v>
      </c>
      <c r="AP2789" s="46">
        <v>11470.620999999999</v>
      </c>
      <c r="AQ2789" s="46">
        <v>8.8239999999999998</v>
      </c>
      <c r="AR2789" s="46">
        <v>1123.2</v>
      </c>
      <c r="AS2789" s="46">
        <v>13</v>
      </c>
      <c r="AT2789" s="46">
        <v>6500</v>
      </c>
      <c r="AU2789" s="46">
        <v>62970</v>
      </c>
      <c r="AV2789" s="46">
        <v>9.6880000000000006</v>
      </c>
      <c r="AW2789" s="46">
        <v>17</v>
      </c>
      <c r="AX2789" s="46">
        <v>6400</v>
      </c>
      <c r="AY2789" s="46">
        <v>63460.391000000003</v>
      </c>
      <c r="AZ2789" s="46">
        <v>9.9160000000000004</v>
      </c>
      <c r="BA2789" s="46" t="s">
        <v>63</v>
      </c>
      <c r="BB2789" s="46">
        <v>100</v>
      </c>
      <c r="BC2789" s="46">
        <v>490.39100000000002</v>
      </c>
      <c r="BD2789" s="46">
        <v>4.9039999999999999</v>
      </c>
      <c r="BE2789" s="46">
        <v>1459.2</v>
      </c>
      <c r="BF2789" s="46">
        <v>0</v>
      </c>
      <c r="BH2789" s="46">
        <v>11961.012000000001</v>
      </c>
      <c r="BI2789">
        <v>9.9700000000000006</v>
      </c>
      <c r="BJ2789">
        <v>-10980.23</v>
      </c>
      <c r="BK2789">
        <v>-9.15</v>
      </c>
      <c r="BL2789">
        <v>111.21</v>
      </c>
    </row>
    <row r="2790" spans="1:64" x14ac:dyDescent="0.25">
      <c r="A2790" s="136">
        <v>43206</v>
      </c>
      <c r="B2790" s="201" t="s">
        <v>72</v>
      </c>
      <c r="C2790" t="s">
        <v>130</v>
      </c>
      <c r="D2790">
        <v>2800</v>
      </c>
      <c r="E2790">
        <v>2800</v>
      </c>
      <c r="F2790">
        <v>6.806</v>
      </c>
      <c r="G2790">
        <v>-1081.06</v>
      </c>
      <c r="H2790">
        <v>-5.67</v>
      </c>
      <c r="I2790" s="309">
        <v>17976</v>
      </c>
      <c r="J2790">
        <v>6.42</v>
      </c>
      <c r="K2790" s="133">
        <v>3.81515602992775E-2</v>
      </c>
      <c r="L2790" s="181">
        <v>-532</v>
      </c>
      <c r="M2790" s="133">
        <v>4.0445959819589997E-2</v>
      </c>
      <c r="N2790" s="73">
        <v>-714.75999999999397</v>
      </c>
      <c r="O2790" s="73">
        <v>-74.329332579182704</v>
      </c>
      <c r="P2790" s="182">
        <v>0</v>
      </c>
      <c r="Q2790" s="182">
        <v>0</v>
      </c>
      <c r="R2790" s="46">
        <v>0</v>
      </c>
      <c r="S2790" s="46">
        <v>13</v>
      </c>
      <c r="T2790" s="46">
        <v>5200</v>
      </c>
      <c r="U2790" s="46">
        <v>7.42</v>
      </c>
      <c r="V2790" s="46" t="s">
        <v>68</v>
      </c>
      <c r="W2790" s="46">
        <v>5200</v>
      </c>
      <c r="X2790" s="46">
        <v>7.42</v>
      </c>
      <c r="AF2790" s="46">
        <v>35</v>
      </c>
      <c r="AG2790" s="46">
        <v>17400</v>
      </c>
      <c r="AH2790" s="46">
        <v>130612</v>
      </c>
      <c r="AI2790" s="46">
        <v>7.5060000000000002</v>
      </c>
      <c r="AJ2790" s="46">
        <v>35</v>
      </c>
      <c r="AK2790" s="46">
        <v>16000</v>
      </c>
      <c r="AL2790" s="46">
        <v>73807.009000000005</v>
      </c>
      <c r="AM2790" s="46">
        <v>4.6130000000000004</v>
      </c>
      <c r="AN2790" s="46" t="s">
        <v>63</v>
      </c>
      <c r="AO2790" s="46">
        <v>1400</v>
      </c>
      <c r="AP2790" s="46">
        <v>56804.991000000002</v>
      </c>
      <c r="AQ2790" s="46">
        <v>40.575000000000003</v>
      </c>
      <c r="AR2790" s="46">
        <v>-46288</v>
      </c>
      <c r="AS2790" s="46">
        <v>35</v>
      </c>
      <c r="AT2790" s="46">
        <v>17400</v>
      </c>
      <c r="AU2790" s="46">
        <v>130612</v>
      </c>
      <c r="AV2790" s="46">
        <v>7.5060000000000002</v>
      </c>
      <c r="AW2790" s="46">
        <v>49</v>
      </c>
      <c r="AX2790" s="46">
        <v>21700</v>
      </c>
      <c r="AY2790" s="46">
        <v>112287.425</v>
      </c>
      <c r="AZ2790" s="46">
        <v>5.1749999999999998</v>
      </c>
      <c r="BA2790" s="46" t="s">
        <v>69</v>
      </c>
      <c r="BB2790" s="46">
        <v>4300</v>
      </c>
      <c r="BC2790" s="46">
        <v>18324.575000000001</v>
      </c>
      <c r="BD2790" s="46">
        <v>4.2619999999999996</v>
      </c>
      <c r="BE2790" s="46">
        <v>-40559.4</v>
      </c>
      <c r="BF2790" s="46">
        <v>0</v>
      </c>
      <c r="BH2790" s="46">
        <v>38480.415999999997</v>
      </c>
      <c r="BI2790">
        <v>7.4</v>
      </c>
      <c r="BJ2790">
        <v>-38480.415999999997</v>
      </c>
      <c r="BK2790">
        <v>-7.4</v>
      </c>
      <c r="BL2790">
        <v>-7209.97</v>
      </c>
    </row>
    <row r="2791" spans="1:64" x14ac:dyDescent="0.25">
      <c r="A2791" s="136">
        <v>43206</v>
      </c>
      <c r="B2791" s="201" t="s">
        <v>70</v>
      </c>
      <c r="C2791" t="s">
        <v>131</v>
      </c>
      <c r="D2791">
        <v>11900</v>
      </c>
      <c r="E2791">
        <v>11900</v>
      </c>
      <c r="F2791">
        <v>11.551</v>
      </c>
      <c r="G2791">
        <v>-34397.32</v>
      </c>
      <c r="H2791">
        <v>-25.03</v>
      </c>
      <c r="I2791" s="309">
        <v>103054</v>
      </c>
      <c r="J2791">
        <v>8.66</v>
      </c>
      <c r="K2791" s="133">
        <v>0.218717784550609</v>
      </c>
      <c r="L2791" s="181">
        <v>-1785</v>
      </c>
      <c r="M2791" s="133">
        <v>0.29172131303934601</v>
      </c>
      <c r="N2791" s="73">
        <v>-35115.323000000099</v>
      </c>
      <c r="O2791" s="73">
        <v>-4081.1355044767502</v>
      </c>
      <c r="P2791" s="182">
        <v>2</v>
      </c>
      <c r="Q2791" s="182">
        <v>1000</v>
      </c>
      <c r="R2791" s="46">
        <v>8.08</v>
      </c>
      <c r="S2791" s="46">
        <v>4</v>
      </c>
      <c r="T2791" s="46">
        <v>1700</v>
      </c>
      <c r="U2791" s="46">
        <v>8.9250000000000007</v>
      </c>
      <c r="V2791" s="46" t="s">
        <v>68</v>
      </c>
      <c r="W2791" s="46">
        <v>700</v>
      </c>
      <c r="X2791" s="46">
        <v>10.132</v>
      </c>
      <c r="AF2791" s="46">
        <v>136</v>
      </c>
      <c r="AG2791" s="46">
        <v>69600</v>
      </c>
      <c r="AH2791" s="46">
        <v>903588</v>
      </c>
      <c r="AI2791" s="46">
        <v>12.983000000000001</v>
      </c>
      <c r="AJ2791" s="46">
        <v>142</v>
      </c>
      <c r="AK2791" s="46">
        <v>57000</v>
      </c>
      <c r="AL2791" s="46">
        <v>758679.85</v>
      </c>
      <c r="AM2791" s="46">
        <v>13.31</v>
      </c>
      <c r="AN2791" s="46" t="s">
        <v>63</v>
      </c>
      <c r="AO2791" s="46">
        <v>12600</v>
      </c>
      <c r="AP2791" s="46">
        <v>144908.15</v>
      </c>
      <c r="AQ2791" s="46">
        <v>11.500999999999999</v>
      </c>
      <c r="AR2791" s="46">
        <v>18639</v>
      </c>
      <c r="AS2791" s="46">
        <v>138</v>
      </c>
      <c r="AT2791" s="46">
        <v>70600</v>
      </c>
      <c r="AU2791" s="46">
        <v>911678</v>
      </c>
      <c r="AV2791" s="46">
        <v>12.913</v>
      </c>
      <c r="AW2791" s="46">
        <v>147</v>
      </c>
      <c r="AX2791" s="46">
        <v>58700</v>
      </c>
      <c r="AY2791" s="46">
        <v>774222.67700000003</v>
      </c>
      <c r="AZ2791" s="46">
        <v>13.189</v>
      </c>
      <c r="BA2791" s="46" t="s">
        <v>63</v>
      </c>
      <c r="BB2791" s="46">
        <v>11900</v>
      </c>
      <c r="BC2791" s="46">
        <v>137455.323</v>
      </c>
      <c r="BD2791" s="46">
        <v>11.551</v>
      </c>
      <c r="BE2791" s="46">
        <v>16201.2</v>
      </c>
      <c r="BF2791" s="46">
        <v>8090</v>
      </c>
      <c r="BG2791" s="46">
        <v>8.09</v>
      </c>
      <c r="BH2791" s="46">
        <v>15542.826999999999</v>
      </c>
      <c r="BI2791">
        <v>9.14</v>
      </c>
      <c r="BJ2791">
        <v>-7452.8269999999902</v>
      </c>
      <c r="BK2791">
        <v>-10.65</v>
      </c>
      <c r="BL2791">
        <v>2152.31</v>
      </c>
    </row>
    <row r="2792" spans="1:64" x14ac:dyDescent="0.25">
      <c r="A2792" s="136">
        <v>43206</v>
      </c>
      <c r="B2792" s="201" t="s">
        <v>137</v>
      </c>
      <c r="C2792" t="s">
        <v>138</v>
      </c>
      <c r="D2792">
        <v>100</v>
      </c>
      <c r="E2792">
        <v>100</v>
      </c>
      <c r="F2792">
        <v>-130.48500000000001</v>
      </c>
      <c r="G2792">
        <v>17616.5</v>
      </c>
      <c r="H2792">
        <v>0</v>
      </c>
      <c r="I2792" s="309">
        <v>4568</v>
      </c>
      <c r="J2792">
        <v>45.68</v>
      </c>
      <c r="K2792" s="133">
        <v>9.6949447845516099E-3</v>
      </c>
      <c r="L2792" s="181">
        <v>91</v>
      </c>
      <c r="M2792" s="133">
        <v>0</v>
      </c>
    </row>
    <row r="2793" spans="1:64" x14ac:dyDescent="0.25">
      <c r="A2793" s="136">
        <v>43206</v>
      </c>
      <c r="B2793" s="201" t="s">
        <v>835</v>
      </c>
      <c r="C2793" t="s">
        <v>839</v>
      </c>
      <c r="I2793" s="309">
        <v>9312.27</v>
      </c>
      <c r="K2793" s="133">
        <v>1.9763998132407298E-2</v>
      </c>
      <c r="L2793" s="181">
        <v>0</v>
      </c>
      <c r="M2793" s="133">
        <v>0.12626856962359401</v>
      </c>
    </row>
    <row r="2794" spans="1:64" x14ac:dyDescent="0.25">
      <c r="A2794" s="136">
        <v>43207</v>
      </c>
      <c r="B2794" s="201" t="s">
        <v>132</v>
      </c>
      <c r="C2794" t="s">
        <v>123</v>
      </c>
      <c r="D2794">
        <v>4019802</v>
      </c>
      <c r="E2794">
        <v>4019802</v>
      </c>
      <c r="F2794">
        <v>8.9999999999999993E-3</v>
      </c>
      <c r="G2794">
        <v>3443.58</v>
      </c>
      <c r="H2794">
        <v>11.11</v>
      </c>
      <c r="I2794" s="309">
        <v>40198.019999999997</v>
      </c>
      <c r="J2794">
        <v>0.01</v>
      </c>
      <c r="K2794" s="133">
        <v>8.5747593621626206E-2</v>
      </c>
      <c r="L2794" s="181">
        <v>15.9000000000001</v>
      </c>
      <c r="M2794" s="133">
        <v>0</v>
      </c>
    </row>
    <row r="2795" spans="1:64" x14ac:dyDescent="0.25">
      <c r="A2795" s="136">
        <v>43207</v>
      </c>
      <c r="B2795" s="201" t="s">
        <v>61</v>
      </c>
      <c r="C2795" t="s">
        <v>136</v>
      </c>
      <c r="D2795">
        <v>3400</v>
      </c>
      <c r="E2795">
        <v>3400</v>
      </c>
      <c r="F2795">
        <v>5.1180000000000003</v>
      </c>
      <c r="G2795">
        <v>-1626.05</v>
      </c>
      <c r="H2795">
        <v>-9.34</v>
      </c>
      <c r="I2795" s="309">
        <v>15776</v>
      </c>
      <c r="J2795">
        <v>4.6399999999999997</v>
      </c>
      <c r="K2795" s="133">
        <v>3.3652255433844099E-2</v>
      </c>
      <c r="L2795" s="181">
        <v>-102</v>
      </c>
      <c r="M2795" s="133">
        <v>3.7120831115144998E-2</v>
      </c>
      <c r="N2795" s="73">
        <v>-1257.8409999999999</v>
      </c>
      <c r="O2795" s="73">
        <v>-264.67622726315699</v>
      </c>
      <c r="P2795" s="182">
        <v>5</v>
      </c>
      <c r="Q2795" s="182">
        <v>2500</v>
      </c>
      <c r="R2795" s="46">
        <v>5.1239999999999997</v>
      </c>
      <c r="S2795" s="46">
        <v>0</v>
      </c>
      <c r="T2795" s="46">
        <v>0</v>
      </c>
      <c r="U2795" s="46">
        <v>0</v>
      </c>
      <c r="V2795" s="46" t="s">
        <v>62</v>
      </c>
      <c r="W2795" s="46">
        <v>2500</v>
      </c>
      <c r="X2795" s="46">
        <v>5.1239999999999997</v>
      </c>
      <c r="AF2795" s="46">
        <v>10</v>
      </c>
      <c r="AG2795" s="46">
        <v>5000</v>
      </c>
      <c r="AH2795" s="46">
        <v>26378</v>
      </c>
      <c r="AI2795" s="46">
        <v>5.2759999999999998</v>
      </c>
      <c r="AJ2795" s="46">
        <v>10</v>
      </c>
      <c r="AK2795" s="46">
        <v>4100</v>
      </c>
      <c r="AL2795" s="46">
        <v>21806.659</v>
      </c>
      <c r="AM2795" s="46">
        <v>5.319</v>
      </c>
      <c r="AN2795" s="46" t="s">
        <v>63</v>
      </c>
      <c r="AO2795" s="46">
        <v>900</v>
      </c>
      <c r="AP2795" s="46">
        <v>4571.3410000000003</v>
      </c>
      <c r="AQ2795" s="46">
        <v>5.0789999999999997</v>
      </c>
      <c r="AR2795" s="46">
        <v>176.3</v>
      </c>
      <c r="AS2795" s="46">
        <v>15</v>
      </c>
      <c r="AT2795" s="46">
        <v>7500</v>
      </c>
      <c r="AU2795" s="46">
        <v>39214.5</v>
      </c>
      <c r="AV2795" s="46">
        <v>5.2290000000000001</v>
      </c>
      <c r="AW2795" s="46">
        <v>10</v>
      </c>
      <c r="AX2795" s="46">
        <v>4100</v>
      </c>
      <c r="AY2795" s="46">
        <v>21806.659</v>
      </c>
      <c r="AZ2795" s="46">
        <v>5.319</v>
      </c>
      <c r="BA2795" s="46" t="s">
        <v>63</v>
      </c>
      <c r="BB2795" s="46">
        <v>3400</v>
      </c>
      <c r="BC2795" s="46">
        <v>17407.841</v>
      </c>
      <c r="BD2795" s="46">
        <v>5.12</v>
      </c>
      <c r="BE2795" s="46">
        <v>369</v>
      </c>
      <c r="BF2795" s="46">
        <v>12836.5</v>
      </c>
      <c r="BG2795" s="46">
        <v>5.13</v>
      </c>
      <c r="BH2795" s="46">
        <v>0</v>
      </c>
      <c r="BJ2795">
        <v>12836.5</v>
      </c>
      <c r="BK2795">
        <v>5.13</v>
      </c>
      <c r="BL2795">
        <v>38</v>
      </c>
    </row>
    <row r="2796" spans="1:64" x14ac:dyDescent="0.25">
      <c r="A2796" s="136">
        <v>43207</v>
      </c>
      <c r="B2796" s="201" t="s">
        <v>124</v>
      </c>
      <c r="C2796" t="s">
        <v>125</v>
      </c>
      <c r="D2796">
        <v>100</v>
      </c>
      <c r="E2796">
        <v>100</v>
      </c>
      <c r="F2796">
        <v>-53.579000000000001</v>
      </c>
      <c r="G2796">
        <v>5936.9</v>
      </c>
      <c r="H2796">
        <v>0</v>
      </c>
      <c r="I2796" s="309">
        <v>579</v>
      </c>
      <c r="J2796">
        <v>5.79</v>
      </c>
      <c r="K2796" s="133">
        <v>1.2350821435215399E-3</v>
      </c>
      <c r="L2796" s="181">
        <v>-3</v>
      </c>
      <c r="M2796" s="133">
        <v>0</v>
      </c>
    </row>
    <row r="2797" spans="1:64" x14ac:dyDescent="0.25">
      <c r="A2797" s="136">
        <v>43207</v>
      </c>
      <c r="B2797" s="201" t="s">
        <v>71</v>
      </c>
      <c r="C2797" t="s">
        <v>126</v>
      </c>
      <c r="D2797">
        <v>1700</v>
      </c>
      <c r="E2797">
        <v>1700</v>
      </c>
      <c r="F2797">
        <v>5.2080000000000002</v>
      </c>
      <c r="G2797">
        <v>1907.67</v>
      </c>
      <c r="H2797">
        <v>21.54</v>
      </c>
      <c r="I2797" s="309">
        <v>10761</v>
      </c>
      <c r="J2797">
        <v>6.33</v>
      </c>
      <c r="K2797" s="133">
        <v>2.2954609579335501E-2</v>
      </c>
      <c r="L2797" s="181">
        <v>102</v>
      </c>
      <c r="M2797" s="133">
        <v>1.8885301888952499E-2</v>
      </c>
      <c r="N2797" s="73">
        <v>2161.2060000000001</v>
      </c>
      <c r="O2797" s="73">
        <v>333.35268472222202</v>
      </c>
      <c r="P2797" s="182">
        <v>0</v>
      </c>
      <c r="Q2797" s="182">
        <v>0</v>
      </c>
      <c r="R2797" s="46">
        <v>0</v>
      </c>
      <c r="S2797" s="46">
        <v>4</v>
      </c>
      <c r="T2797" s="46">
        <v>1500</v>
      </c>
      <c r="U2797" s="46">
        <v>6.7679999999999998</v>
      </c>
      <c r="V2797" s="46" t="s">
        <v>68</v>
      </c>
      <c r="W2797" s="46">
        <v>1500</v>
      </c>
      <c r="X2797" s="46">
        <v>6.7679999999999998</v>
      </c>
      <c r="AF2797" s="46">
        <v>45</v>
      </c>
      <c r="AG2797" s="46">
        <v>22600</v>
      </c>
      <c r="AH2797" s="46">
        <v>144534.56</v>
      </c>
      <c r="AI2797" s="46">
        <v>6.3949999999999996</v>
      </c>
      <c r="AJ2797" s="46">
        <v>43</v>
      </c>
      <c r="AK2797" s="46">
        <v>19400</v>
      </c>
      <c r="AL2797" s="46">
        <v>125389.618</v>
      </c>
      <c r="AM2797" s="46">
        <v>6.4630000000000001</v>
      </c>
      <c r="AN2797" s="46" t="s">
        <v>63</v>
      </c>
      <c r="AO2797" s="46">
        <v>3200</v>
      </c>
      <c r="AP2797" s="46">
        <v>19144.941999999999</v>
      </c>
      <c r="AQ2797" s="46">
        <v>5.9829999999999997</v>
      </c>
      <c r="AR2797" s="46">
        <v>1319.2</v>
      </c>
      <c r="AS2797" s="46">
        <v>45</v>
      </c>
      <c r="AT2797" s="46">
        <v>22600</v>
      </c>
      <c r="AU2797" s="46">
        <v>144534.56</v>
      </c>
      <c r="AV2797" s="46">
        <v>6.3949999999999996</v>
      </c>
      <c r="AW2797" s="46">
        <v>47</v>
      </c>
      <c r="AX2797" s="46">
        <v>20900</v>
      </c>
      <c r="AY2797" s="46">
        <v>135518.56599999999</v>
      </c>
      <c r="AZ2797" s="46">
        <v>6.484</v>
      </c>
      <c r="BA2797" s="46" t="s">
        <v>63</v>
      </c>
      <c r="BB2797" s="46">
        <v>1700</v>
      </c>
      <c r="BC2797" s="46">
        <v>9015.9940000000006</v>
      </c>
      <c r="BD2797" s="46">
        <v>5.3040000000000003</v>
      </c>
      <c r="BE2797" s="46">
        <v>1860.1</v>
      </c>
      <c r="BF2797" s="46">
        <v>0</v>
      </c>
      <c r="BH2797" s="46">
        <v>10128.948</v>
      </c>
      <c r="BI2797">
        <v>6.75</v>
      </c>
      <c r="BJ2797">
        <v>-10128.948</v>
      </c>
      <c r="BK2797">
        <v>-6.75</v>
      </c>
      <c r="BL2797">
        <v>208.4</v>
      </c>
    </row>
    <row r="2798" spans="1:64" x14ac:dyDescent="0.25">
      <c r="A2798" s="136">
        <v>43207</v>
      </c>
      <c r="B2798" s="201" t="s">
        <v>79</v>
      </c>
      <c r="C2798" t="s">
        <v>143</v>
      </c>
      <c r="D2798">
        <v>5800</v>
      </c>
      <c r="E2798">
        <v>5800</v>
      </c>
      <c r="F2798">
        <v>16.260999999999999</v>
      </c>
      <c r="G2798">
        <v>-11721.71</v>
      </c>
      <c r="H2798">
        <v>-12.43</v>
      </c>
      <c r="I2798" s="309">
        <v>82592</v>
      </c>
      <c r="J2798">
        <v>14.24</v>
      </c>
      <c r="K2798" s="133">
        <v>0.17617945491836101</v>
      </c>
      <c r="L2798" s="181">
        <v>754</v>
      </c>
      <c r="M2798" s="133">
        <v>0.20118338361013599</v>
      </c>
      <c r="N2798" s="73">
        <v>-11842.4200000001</v>
      </c>
      <c r="O2798" s="73">
        <v>-832.38388115331304</v>
      </c>
      <c r="P2798" s="182">
        <v>8</v>
      </c>
      <c r="Q2798" s="182">
        <v>4500</v>
      </c>
      <c r="R2798" s="46">
        <v>15.379</v>
      </c>
      <c r="S2798" s="46">
        <v>0</v>
      </c>
      <c r="T2798" s="46">
        <v>0</v>
      </c>
      <c r="U2798" s="46">
        <v>0</v>
      </c>
      <c r="V2798" s="46" t="s">
        <v>62</v>
      </c>
      <c r="W2798" s="46">
        <v>4500</v>
      </c>
      <c r="X2798" s="46">
        <v>15.379</v>
      </c>
      <c r="AF2798" s="46">
        <v>13</v>
      </c>
      <c r="AG2798" s="46">
        <v>6500</v>
      </c>
      <c r="AH2798" s="46">
        <v>103623.9</v>
      </c>
      <c r="AI2798" s="46">
        <v>15.942</v>
      </c>
      <c r="AJ2798" s="46">
        <v>13</v>
      </c>
      <c r="AK2798" s="46">
        <v>5200</v>
      </c>
      <c r="AL2798" s="46">
        <v>78553.179999999906</v>
      </c>
      <c r="AM2798" s="46">
        <v>15.106</v>
      </c>
      <c r="AN2798" s="46" t="s">
        <v>63</v>
      </c>
      <c r="AO2798" s="46">
        <v>1300</v>
      </c>
      <c r="AP2798" s="46">
        <v>25070.720000000001</v>
      </c>
      <c r="AQ2798" s="46">
        <v>19.285</v>
      </c>
      <c r="AR2798" s="46">
        <v>-4347.2</v>
      </c>
      <c r="AS2798" s="46">
        <v>21</v>
      </c>
      <c r="AT2798" s="46">
        <v>11000</v>
      </c>
      <c r="AU2798" s="46">
        <v>172871.6</v>
      </c>
      <c r="AV2798" s="46">
        <v>15.715999999999999</v>
      </c>
      <c r="AW2798" s="46">
        <v>13</v>
      </c>
      <c r="AX2798" s="46">
        <v>5200</v>
      </c>
      <c r="AY2798" s="46">
        <v>78553.179999999906</v>
      </c>
      <c r="AZ2798" s="46">
        <v>15.106</v>
      </c>
      <c r="BA2798" s="46" t="s">
        <v>63</v>
      </c>
      <c r="BB2798" s="46">
        <v>5800</v>
      </c>
      <c r="BC2798" s="46">
        <v>94318.42</v>
      </c>
      <c r="BD2798" s="46">
        <v>16.262</v>
      </c>
      <c r="BE2798" s="46">
        <v>-3172</v>
      </c>
      <c r="BF2798" s="46">
        <v>69247.699999999895</v>
      </c>
      <c r="BG2798" s="46">
        <v>15.39</v>
      </c>
      <c r="BH2798" s="46">
        <v>0</v>
      </c>
      <c r="BJ2798">
        <v>69247.7</v>
      </c>
      <c r="BK2798">
        <v>15.39</v>
      </c>
      <c r="BL2798">
        <v>-305.27999999999997</v>
      </c>
    </row>
    <row r="2799" spans="1:64" x14ac:dyDescent="0.25">
      <c r="A2799" s="136">
        <v>43207</v>
      </c>
      <c r="B2799" s="201" t="s">
        <v>65</v>
      </c>
      <c r="C2799" t="s">
        <v>127</v>
      </c>
      <c r="D2799">
        <v>15600</v>
      </c>
      <c r="E2799">
        <v>15100</v>
      </c>
      <c r="F2799">
        <v>9.3680000000000003</v>
      </c>
      <c r="G2799">
        <v>-3251.92</v>
      </c>
      <c r="H2799">
        <v>-2.2200000000000002</v>
      </c>
      <c r="I2799" s="309">
        <v>142896</v>
      </c>
      <c r="J2799">
        <v>9.16</v>
      </c>
      <c r="K2799" s="133">
        <v>0.30481571326537699</v>
      </c>
      <c r="L2799" s="181">
        <v>-2159</v>
      </c>
      <c r="M2799" s="133">
        <v>0.31175248066461803</v>
      </c>
      <c r="N2799" s="73">
        <v>-6286.3390000000099</v>
      </c>
      <c r="O2799" s="73">
        <v>-216.85964364179</v>
      </c>
      <c r="P2799" s="182">
        <v>1</v>
      </c>
      <c r="Q2799" s="182">
        <v>500</v>
      </c>
      <c r="R2799" s="46">
        <v>9.24</v>
      </c>
      <c r="S2799" s="46">
        <v>9</v>
      </c>
      <c r="T2799" s="46">
        <v>3700</v>
      </c>
      <c r="U2799" s="46">
        <v>12.241</v>
      </c>
      <c r="V2799" s="46" t="s">
        <v>68</v>
      </c>
      <c r="W2799" s="46">
        <v>3200</v>
      </c>
      <c r="X2799" s="46">
        <v>12.71</v>
      </c>
      <c r="AF2799" s="46">
        <v>182</v>
      </c>
      <c r="AG2799" s="46">
        <v>96700</v>
      </c>
      <c r="AH2799" s="46">
        <v>1108500.2309999999</v>
      </c>
      <c r="AI2799" s="46">
        <v>11.462999999999999</v>
      </c>
      <c r="AJ2799" s="46">
        <v>201</v>
      </c>
      <c r="AK2799" s="46">
        <v>87100</v>
      </c>
      <c r="AL2799" s="46">
        <v>920940.18200000003</v>
      </c>
      <c r="AM2799" s="46">
        <v>10.573</v>
      </c>
      <c r="AN2799" s="46" t="s">
        <v>63</v>
      </c>
      <c r="AO2799" s="46">
        <v>9600</v>
      </c>
      <c r="AP2799" s="46">
        <v>187560.049</v>
      </c>
      <c r="AQ2799" s="46">
        <v>19.538</v>
      </c>
      <c r="AR2799" s="46">
        <v>-77519</v>
      </c>
      <c r="AS2799" s="46">
        <v>184</v>
      </c>
      <c r="AT2799" s="46">
        <v>97300</v>
      </c>
      <c r="AU2799" s="46">
        <v>1114413.2309999999</v>
      </c>
      <c r="AV2799" s="46">
        <v>11.452999999999999</v>
      </c>
      <c r="AW2799" s="46">
        <v>210</v>
      </c>
      <c r="AX2799" s="46">
        <v>90800</v>
      </c>
      <c r="AY2799" s="46">
        <v>966141.89</v>
      </c>
      <c r="AZ2799" s="46">
        <v>10.64</v>
      </c>
      <c r="BA2799" s="46" t="s">
        <v>63</v>
      </c>
      <c r="BB2799" s="46">
        <v>6500</v>
      </c>
      <c r="BC2799" s="46">
        <v>148271.34099999999</v>
      </c>
      <c r="BD2799" s="46">
        <v>22.811</v>
      </c>
      <c r="BE2799" s="46">
        <v>-73820.399999999994</v>
      </c>
      <c r="BF2799" s="46">
        <v>5913</v>
      </c>
      <c r="BG2799" s="46">
        <v>11.83</v>
      </c>
      <c r="BH2799" s="46">
        <v>45201.708000000101</v>
      </c>
      <c r="BI2799">
        <v>12.22</v>
      </c>
      <c r="BJ2799">
        <v>-39288.707999999999</v>
      </c>
      <c r="BK2799">
        <v>-12.28</v>
      </c>
      <c r="BL2799">
        <v>-8462.77</v>
      </c>
    </row>
    <row r="2800" spans="1:64" x14ac:dyDescent="0.25">
      <c r="A2800" s="136">
        <v>43207</v>
      </c>
      <c r="B2800" s="201" t="s">
        <v>77</v>
      </c>
      <c r="C2800" t="s">
        <v>128</v>
      </c>
      <c r="D2800">
        <v>4300</v>
      </c>
      <c r="E2800">
        <v>4300</v>
      </c>
      <c r="F2800">
        <v>5.9779999999999998</v>
      </c>
      <c r="G2800">
        <v>-595.27</v>
      </c>
      <c r="H2800">
        <v>-2.31</v>
      </c>
      <c r="I2800" s="309">
        <v>25112</v>
      </c>
      <c r="J2800">
        <v>5.84</v>
      </c>
      <c r="K2800" s="133">
        <v>5.3567155074460797E-2</v>
      </c>
      <c r="L2800" s="181">
        <v>0</v>
      </c>
      <c r="M2800" s="133">
        <v>5.4836943239528299E-2</v>
      </c>
      <c r="N2800" s="73">
        <v>-1272.2139999999999</v>
      </c>
      <c r="O2800" s="73">
        <v>-133.073774655173</v>
      </c>
      <c r="P2800" s="182">
        <v>6</v>
      </c>
      <c r="Q2800" s="182">
        <v>3000</v>
      </c>
      <c r="R2800" s="46">
        <v>6.798</v>
      </c>
      <c r="S2800" s="46">
        <v>0</v>
      </c>
      <c r="T2800" s="46">
        <v>0</v>
      </c>
      <c r="U2800" s="46">
        <v>0</v>
      </c>
      <c r="V2800" s="46" t="s">
        <v>62</v>
      </c>
      <c r="W2800" s="46">
        <v>3000</v>
      </c>
      <c r="X2800" s="46">
        <v>6.798</v>
      </c>
      <c r="AF2800" s="46">
        <v>39</v>
      </c>
      <c r="AG2800" s="46">
        <v>19500</v>
      </c>
      <c r="AH2800" s="46">
        <v>142169</v>
      </c>
      <c r="AI2800" s="46">
        <v>7.2910000000000004</v>
      </c>
      <c r="AJ2800" s="46">
        <v>39</v>
      </c>
      <c r="AK2800" s="46">
        <v>18200</v>
      </c>
      <c r="AL2800" s="46">
        <v>136881.78599999999</v>
      </c>
      <c r="AM2800" s="46">
        <v>7.5209999999999999</v>
      </c>
      <c r="AN2800" s="46" t="s">
        <v>63</v>
      </c>
      <c r="AO2800" s="46">
        <v>1300</v>
      </c>
      <c r="AP2800" s="46">
        <v>5287.2139999999999</v>
      </c>
      <c r="AQ2800" s="46">
        <v>4.0670000000000002</v>
      </c>
      <c r="AR2800" s="46">
        <v>4186</v>
      </c>
      <c r="AS2800" s="46">
        <v>45</v>
      </c>
      <c r="AT2800" s="46">
        <v>22500</v>
      </c>
      <c r="AU2800" s="46">
        <v>162594</v>
      </c>
      <c r="AV2800" s="46">
        <v>7.226</v>
      </c>
      <c r="AW2800" s="46">
        <v>39</v>
      </c>
      <c r="AX2800" s="46">
        <v>18200</v>
      </c>
      <c r="AY2800" s="46">
        <v>136881.78599999999</v>
      </c>
      <c r="AZ2800" s="46">
        <v>7.5209999999999999</v>
      </c>
      <c r="BA2800" s="46" t="s">
        <v>63</v>
      </c>
      <c r="BB2800" s="46">
        <v>4300</v>
      </c>
      <c r="BC2800" s="46">
        <v>25712.214</v>
      </c>
      <c r="BD2800" s="46">
        <v>5.98</v>
      </c>
      <c r="BE2800" s="46">
        <v>5369</v>
      </c>
      <c r="BF2800" s="46">
        <v>20425</v>
      </c>
      <c r="BG2800" s="46">
        <v>6.81</v>
      </c>
      <c r="BH2800" s="46">
        <v>0</v>
      </c>
      <c r="BJ2800">
        <v>20425</v>
      </c>
      <c r="BK2800">
        <v>6.81</v>
      </c>
      <c r="BL2800">
        <v>716.78</v>
      </c>
    </row>
    <row r="2801" spans="1:64" x14ac:dyDescent="0.25">
      <c r="A2801" s="136">
        <v>43207</v>
      </c>
      <c r="B2801" s="201" t="s">
        <v>67</v>
      </c>
      <c r="C2801" t="s">
        <v>129</v>
      </c>
      <c r="D2801">
        <v>1300</v>
      </c>
      <c r="E2801">
        <v>800</v>
      </c>
      <c r="F2801">
        <v>5.819</v>
      </c>
      <c r="G2801">
        <v>3575.9</v>
      </c>
      <c r="H2801">
        <v>47.28</v>
      </c>
      <c r="I2801" s="309">
        <v>11141</v>
      </c>
      <c r="J2801">
        <v>8.57</v>
      </c>
      <c r="K2801" s="133">
        <v>2.3765198896327201E-2</v>
      </c>
      <c r="L2801" s="181">
        <v>-225.56</v>
      </c>
      <c r="M2801" s="133">
        <v>1.61373401104573E-2</v>
      </c>
      <c r="N2801" s="73">
        <v>3729.59849999976</v>
      </c>
      <c r="O2801" s="73">
        <v>428.96820491942202</v>
      </c>
      <c r="P2801" s="182">
        <v>0</v>
      </c>
      <c r="Q2801" s="182">
        <v>0</v>
      </c>
      <c r="R2801" s="46">
        <v>0</v>
      </c>
      <c r="S2801" s="46">
        <v>21</v>
      </c>
      <c r="T2801" s="46">
        <v>8400</v>
      </c>
      <c r="U2801" s="46">
        <v>9.0060000000000002</v>
      </c>
      <c r="V2801" s="46" t="s">
        <v>68</v>
      </c>
      <c r="W2801" s="46">
        <v>8400</v>
      </c>
      <c r="X2801" s="46">
        <v>9.0060000000000002</v>
      </c>
      <c r="AF2801" s="46">
        <v>190</v>
      </c>
      <c r="AG2801" s="46">
        <v>94400</v>
      </c>
      <c r="AH2801" s="46">
        <v>786305</v>
      </c>
      <c r="AI2801" s="46">
        <v>8.33</v>
      </c>
      <c r="AJ2801" s="46">
        <v>193</v>
      </c>
      <c r="AK2801" s="46">
        <v>87300</v>
      </c>
      <c r="AL2801" s="46">
        <v>772394.3665</v>
      </c>
      <c r="AM2801" s="46">
        <v>8.8480000000000008</v>
      </c>
      <c r="AN2801" s="46" t="s">
        <v>63</v>
      </c>
      <c r="AO2801" s="46">
        <v>7100</v>
      </c>
      <c r="AP2801" s="46">
        <v>13910.633</v>
      </c>
      <c r="AQ2801" s="46">
        <v>1.9590000000000001</v>
      </c>
      <c r="AR2801" s="46">
        <v>45221.4</v>
      </c>
      <c r="AS2801" s="46">
        <v>190</v>
      </c>
      <c r="AT2801" s="46">
        <v>94400</v>
      </c>
      <c r="AU2801" s="46">
        <v>786305</v>
      </c>
      <c r="AV2801" s="46">
        <v>8.33</v>
      </c>
      <c r="AW2801" s="46">
        <v>214</v>
      </c>
      <c r="AX2801" s="46">
        <v>95700</v>
      </c>
      <c r="AY2801" s="46">
        <v>847865.7145</v>
      </c>
      <c r="AZ2801" s="46">
        <v>8.86</v>
      </c>
      <c r="BA2801" s="46" t="s">
        <v>69</v>
      </c>
      <c r="BB2801" s="46">
        <v>1300</v>
      </c>
      <c r="BC2801" s="46">
        <v>61560.714999999997</v>
      </c>
      <c r="BD2801" s="46">
        <v>47.353999999999999</v>
      </c>
      <c r="BE2801" s="46">
        <v>50032</v>
      </c>
      <c r="BF2801" s="46">
        <v>0</v>
      </c>
      <c r="BH2801" s="46">
        <v>75471.3480000001</v>
      </c>
      <c r="BI2801">
        <v>8.98</v>
      </c>
      <c r="BJ2801">
        <v>47650.082000000002</v>
      </c>
      <c r="BK2801">
        <v>5.67</v>
      </c>
      <c r="BL2801">
        <v>5276.71</v>
      </c>
    </row>
    <row r="2802" spans="1:64" x14ac:dyDescent="0.25">
      <c r="A2802" s="136">
        <v>43207</v>
      </c>
      <c r="B2802" s="201" t="s">
        <v>78</v>
      </c>
      <c r="C2802" t="s">
        <v>142</v>
      </c>
      <c r="D2802">
        <v>100</v>
      </c>
      <c r="E2802">
        <v>100</v>
      </c>
      <c r="F2802">
        <v>-4.9039999999999999</v>
      </c>
      <c r="G2802">
        <v>1478.4</v>
      </c>
      <c r="H2802">
        <v>0</v>
      </c>
      <c r="I2802" s="309">
        <v>988</v>
      </c>
      <c r="J2802">
        <v>9.8800000000000008</v>
      </c>
      <c r="K2802" s="133">
        <v>2.1075322241783699E-3</v>
      </c>
      <c r="L2802" s="181">
        <v>-22</v>
      </c>
      <c r="M2802" s="133">
        <v>0</v>
      </c>
      <c r="N2802" s="73">
        <v>1506.3910000000001</v>
      </c>
      <c r="O2802" s="73">
        <v>148.19269729330699</v>
      </c>
      <c r="P2802" s="182">
        <v>0</v>
      </c>
      <c r="Q2802" s="182">
        <v>0</v>
      </c>
      <c r="R2802" s="46">
        <v>0</v>
      </c>
      <c r="S2802" s="46">
        <v>3</v>
      </c>
      <c r="T2802" s="46">
        <v>1200</v>
      </c>
      <c r="U2802" s="46">
        <v>9.99</v>
      </c>
      <c r="V2802" s="46" t="s">
        <v>68</v>
      </c>
      <c r="W2802" s="46">
        <v>1200</v>
      </c>
      <c r="X2802" s="46">
        <v>9.99</v>
      </c>
      <c r="AF2802" s="46">
        <v>13</v>
      </c>
      <c r="AG2802" s="46">
        <v>6500</v>
      </c>
      <c r="AH2802" s="46">
        <v>62970</v>
      </c>
      <c r="AI2802" s="46">
        <v>9.6880000000000006</v>
      </c>
      <c r="AJ2802" s="46">
        <v>14</v>
      </c>
      <c r="AK2802" s="46">
        <v>5200</v>
      </c>
      <c r="AL2802" s="46">
        <v>51499.379000000001</v>
      </c>
      <c r="AM2802" s="46">
        <v>9.9039999999999999</v>
      </c>
      <c r="AN2802" s="46" t="s">
        <v>63</v>
      </c>
      <c r="AO2802" s="46">
        <v>1300</v>
      </c>
      <c r="AP2802" s="46">
        <v>11470.620999999999</v>
      </c>
      <c r="AQ2802" s="46">
        <v>8.8239999999999998</v>
      </c>
      <c r="AR2802" s="46">
        <v>1123.2</v>
      </c>
      <c r="AS2802" s="46">
        <v>13</v>
      </c>
      <c r="AT2802" s="46">
        <v>6500</v>
      </c>
      <c r="AU2802" s="46">
        <v>62970</v>
      </c>
      <c r="AV2802" s="46">
        <v>9.6880000000000006</v>
      </c>
      <c r="AW2802" s="46">
        <v>17</v>
      </c>
      <c r="AX2802" s="46">
        <v>6400</v>
      </c>
      <c r="AY2802" s="46">
        <v>63460.391000000003</v>
      </c>
      <c r="AZ2802" s="46">
        <v>9.9160000000000004</v>
      </c>
      <c r="BA2802" s="46" t="s">
        <v>63</v>
      </c>
      <c r="BB2802" s="46">
        <v>100</v>
      </c>
      <c r="BC2802" s="46">
        <v>490.39100000000002</v>
      </c>
      <c r="BD2802" s="46">
        <v>4.9039999999999999</v>
      </c>
      <c r="BE2802" s="46">
        <v>1459.2</v>
      </c>
      <c r="BF2802" s="46">
        <v>0</v>
      </c>
      <c r="BH2802" s="46">
        <v>11961.012000000001</v>
      </c>
      <c r="BI2802">
        <v>9.9700000000000006</v>
      </c>
      <c r="BJ2802">
        <v>-10980.23</v>
      </c>
      <c r="BK2802">
        <v>-9.15</v>
      </c>
      <c r="BL2802">
        <v>113.68</v>
      </c>
    </row>
    <row r="2803" spans="1:64" x14ac:dyDescent="0.25">
      <c r="A2803" s="136">
        <v>43207</v>
      </c>
      <c r="B2803" s="201" t="s">
        <v>72</v>
      </c>
      <c r="C2803" t="s">
        <v>130</v>
      </c>
      <c r="D2803">
        <v>3300</v>
      </c>
      <c r="E2803">
        <v>2800</v>
      </c>
      <c r="F2803">
        <v>6.7370000000000001</v>
      </c>
      <c r="G2803">
        <v>-1574.06</v>
      </c>
      <c r="H2803">
        <v>-7.08</v>
      </c>
      <c r="I2803" s="309">
        <v>20658</v>
      </c>
      <c r="J2803">
        <v>6.26</v>
      </c>
      <c r="K2803" s="133">
        <v>4.4066195027405698E-2</v>
      </c>
      <c r="L2803" s="181">
        <v>-493</v>
      </c>
      <c r="M2803" s="133">
        <v>4.7423869291363399E-2</v>
      </c>
      <c r="N2803" s="73">
        <v>-1531.75999999999</v>
      </c>
      <c r="O2803" s="73">
        <v>-206.52917586750499</v>
      </c>
      <c r="P2803" s="182">
        <v>0</v>
      </c>
      <c r="Q2803" s="182">
        <v>0</v>
      </c>
      <c r="R2803" s="46">
        <v>0</v>
      </c>
      <c r="S2803" s="46">
        <v>12</v>
      </c>
      <c r="T2803" s="46">
        <v>4800</v>
      </c>
      <c r="U2803" s="46">
        <v>7.5119999999999996</v>
      </c>
      <c r="V2803" s="46" t="s">
        <v>68</v>
      </c>
      <c r="W2803" s="46">
        <v>4800</v>
      </c>
      <c r="X2803" s="46">
        <v>7.5119999999999996</v>
      </c>
      <c r="AF2803" s="46">
        <v>36</v>
      </c>
      <c r="AG2803" s="46">
        <v>17900</v>
      </c>
      <c r="AH2803" s="46">
        <v>133787</v>
      </c>
      <c r="AI2803" s="46">
        <v>7.4740000000000002</v>
      </c>
      <c r="AJ2803" s="46">
        <v>36</v>
      </c>
      <c r="AK2803" s="46">
        <v>16400</v>
      </c>
      <c r="AL2803" s="46">
        <v>76327.481</v>
      </c>
      <c r="AM2803" s="46">
        <v>4.6539999999999999</v>
      </c>
      <c r="AN2803" s="46" t="s">
        <v>63</v>
      </c>
      <c r="AO2803" s="46">
        <v>1500</v>
      </c>
      <c r="AP2803" s="46">
        <v>57459.519</v>
      </c>
      <c r="AQ2803" s="46">
        <v>38.305999999999997</v>
      </c>
      <c r="AR2803" s="46">
        <v>-46248</v>
      </c>
      <c r="AS2803" s="46">
        <v>36</v>
      </c>
      <c r="AT2803" s="46">
        <v>17900</v>
      </c>
      <c r="AU2803" s="46">
        <v>133787</v>
      </c>
      <c r="AV2803" s="46">
        <v>7.4740000000000002</v>
      </c>
      <c r="AW2803" s="46">
        <v>49</v>
      </c>
      <c r="AX2803" s="46">
        <v>21700</v>
      </c>
      <c r="AY2803" s="46">
        <v>112287.425</v>
      </c>
      <c r="AZ2803" s="46">
        <v>5.1749999999999998</v>
      </c>
      <c r="BA2803" s="46" t="s">
        <v>69</v>
      </c>
      <c r="BB2803" s="46">
        <v>3800</v>
      </c>
      <c r="BC2803" s="46">
        <v>21499.575000000001</v>
      </c>
      <c r="BD2803" s="46">
        <v>5.6580000000000004</v>
      </c>
      <c r="BE2803" s="46">
        <v>-41152.1</v>
      </c>
      <c r="BF2803" s="46">
        <v>0</v>
      </c>
      <c r="BH2803" s="46">
        <v>35959.944000000003</v>
      </c>
      <c r="BI2803">
        <v>7.49</v>
      </c>
      <c r="BJ2803">
        <v>-35959.944000000003</v>
      </c>
      <c r="BK2803">
        <v>-7.49</v>
      </c>
      <c r="BL2803">
        <v>-7387.86</v>
      </c>
    </row>
    <row r="2804" spans="1:64" x14ac:dyDescent="0.25">
      <c r="A2804" s="136">
        <v>43207</v>
      </c>
      <c r="B2804" s="201" t="s">
        <v>70</v>
      </c>
      <c r="C2804" t="s">
        <v>131</v>
      </c>
      <c r="D2804">
        <v>11900</v>
      </c>
      <c r="E2804">
        <v>11900</v>
      </c>
      <c r="F2804">
        <v>11.551</v>
      </c>
      <c r="G2804">
        <v>-34278.32</v>
      </c>
      <c r="H2804">
        <v>-24.94</v>
      </c>
      <c r="I2804" s="309">
        <v>103173</v>
      </c>
      <c r="J2804">
        <v>8.67</v>
      </c>
      <c r="K2804" s="133">
        <v>0.22008139895258599</v>
      </c>
      <c r="L2804" s="181">
        <v>119</v>
      </c>
      <c r="M2804" s="133">
        <v>0.29320150420632901</v>
      </c>
      <c r="N2804" s="73">
        <v>-35115.323000000099</v>
      </c>
      <c r="O2804" s="73">
        <v>-4081.1355044767502</v>
      </c>
      <c r="P2804" s="182">
        <v>2</v>
      </c>
      <c r="Q2804" s="182">
        <v>1000</v>
      </c>
      <c r="R2804" s="46">
        <v>8.08</v>
      </c>
      <c r="S2804" s="46">
        <v>4</v>
      </c>
      <c r="T2804" s="46">
        <v>1700</v>
      </c>
      <c r="U2804" s="46">
        <v>8.9250000000000007</v>
      </c>
      <c r="V2804" s="46" t="s">
        <v>68</v>
      </c>
      <c r="W2804" s="46">
        <v>700</v>
      </c>
      <c r="X2804" s="46">
        <v>10.132</v>
      </c>
      <c r="AF2804" s="46">
        <v>136</v>
      </c>
      <c r="AG2804" s="46">
        <v>69600</v>
      </c>
      <c r="AH2804" s="46">
        <v>903588</v>
      </c>
      <c r="AI2804" s="46">
        <v>12.983000000000001</v>
      </c>
      <c r="AJ2804" s="46">
        <v>142</v>
      </c>
      <c r="AK2804" s="46">
        <v>57000</v>
      </c>
      <c r="AL2804" s="46">
        <v>758679.85</v>
      </c>
      <c r="AM2804" s="46">
        <v>13.31</v>
      </c>
      <c r="AN2804" s="46" t="s">
        <v>63</v>
      </c>
      <c r="AO2804" s="46">
        <v>12600</v>
      </c>
      <c r="AP2804" s="46">
        <v>144908.15</v>
      </c>
      <c r="AQ2804" s="46">
        <v>11.500999999999999</v>
      </c>
      <c r="AR2804" s="46">
        <v>18639</v>
      </c>
      <c r="AS2804" s="46">
        <v>138</v>
      </c>
      <c r="AT2804" s="46">
        <v>70600</v>
      </c>
      <c r="AU2804" s="46">
        <v>911678</v>
      </c>
      <c r="AV2804" s="46">
        <v>12.913</v>
      </c>
      <c r="AW2804" s="46">
        <v>147</v>
      </c>
      <c r="AX2804" s="46">
        <v>58700</v>
      </c>
      <c r="AY2804" s="46">
        <v>774222.67700000003</v>
      </c>
      <c r="AZ2804" s="46">
        <v>13.189</v>
      </c>
      <c r="BA2804" s="46" t="s">
        <v>63</v>
      </c>
      <c r="BB2804" s="46">
        <v>11900</v>
      </c>
      <c r="BC2804" s="46">
        <v>137455.323</v>
      </c>
      <c r="BD2804" s="46">
        <v>11.551</v>
      </c>
      <c r="BE2804" s="46">
        <v>16201.2</v>
      </c>
      <c r="BF2804" s="46">
        <v>8090</v>
      </c>
      <c r="BG2804" s="46">
        <v>8.09</v>
      </c>
      <c r="BH2804" s="46">
        <v>15542.826999999999</v>
      </c>
      <c r="BI2804">
        <v>9.14</v>
      </c>
      <c r="BJ2804">
        <v>-7452.8269999999902</v>
      </c>
      <c r="BK2804">
        <v>-10.65</v>
      </c>
      <c r="BL2804">
        <v>2149.83</v>
      </c>
    </row>
    <row r="2805" spans="1:64" x14ac:dyDescent="0.25">
      <c r="A2805" s="136">
        <v>43207</v>
      </c>
      <c r="B2805" s="201" t="s">
        <v>137</v>
      </c>
      <c r="C2805" t="s">
        <v>138</v>
      </c>
      <c r="D2805">
        <v>100</v>
      </c>
      <c r="E2805">
        <v>100</v>
      </c>
      <c r="F2805">
        <v>-130.48500000000001</v>
      </c>
      <c r="G2805">
        <v>17251.5</v>
      </c>
      <c r="H2805">
        <v>0</v>
      </c>
      <c r="I2805" s="309">
        <v>4203</v>
      </c>
      <c r="J2805">
        <v>42.03</v>
      </c>
      <c r="K2805" s="133">
        <v>8.96554447188431E-3</v>
      </c>
      <c r="L2805" s="181">
        <v>-365</v>
      </c>
      <c r="M2805" s="133">
        <v>0</v>
      </c>
    </row>
    <row r="2806" spans="1:64" x14ac:dyDescent="0.25">
      <c r="A2806" s="136">
        <v>43207</v>
      </c>
      <c r="B2806" s="201" t="s">
        <v>835</v>
      </c>
      <c r="C2806" t="s">
        <v>839</v>
      </c>
      <c r="I2806" s="309">
        <v>10717.71</v>
      </c>
      <c r="K2806" s="133">
        <v>2.2862266391091901E-2</v>
      </c>
      <c r="L2806" s="181">
        <v>0</v>
      </c>
      <c r="M2806" s="133">
        <v>0.108609860012718</v>
      </c>
    </row>
    <row r="2807" spans="1:64" x14ac:dyDescent="0.25">
      <c r="A2807" s="136">
        <v>43208</v>
      </c>
      <c r="B2807" s="201" t="s">
        <v>132</v>
      </c>
      <c r="C2807" t="s">
        <v>123</v>
      </c>
      <c r="D2807">
        <v>4020202</v>
      </c>
      <c r="E2807">
        <v>4020202</v>
      </c>
      <c r="F2807">
        <v>8.9999999999999993E-3</v>
      </c>
      <c r="G2807">
        <v>3447.58</v>
      </c>
      <c r="H2807">
        <v>11.11</v>
      </c>
      <c r="I2807" s="309">
        <v>40202.019999999997</v>
      </c>
      <c r="J2807">
        <v>0.01</v>
      </c>
      <c r="K2807" s="133">
        <v>8.4750083612718699E-2</v>
      </c>
      <c r="L2807" s="181">
        <v>4</v>
      </c>
      <c r="M2807" s="133">
        <v>0</v>
      </c>
    </row>
    <row r="2808" spans="1:64" x14ac:dyDescent="0.25">
      <c r="A2808" s="136">
        <v>43208</v>
      </c>
      <c r="B2808" s="201" t="s">
        <v>61</v>
      </c>
      <c r="C2808" t="s">
        <v>136</v>
      </c>
      <c r="D2808">
        <v>3400</v>
      </c>
      <c r="E2808">
        <v>3400</v>
      </c>
      <c r="F2808">
        <v>5.1180000000000003</v>
      </c>
      <c r="G2808">
        <v>-1626.05</v>
      </c>
      <c r="H2808">
        <v>-9.34</v>
      </c>
      <c r="I2808" s="309">
        <v>15776</v>
      </c>
      <c r="J2808">
        <v>4.6399999999999997</v>
      </c>
      <c r="K2808" s="133">
        <v>3.3257466144095499E-2</v>
      </c>
      <c r="L2808" s="181">
        <v>0</v>
      </c>
      <c r="M2808" s="133">
        <v>3.6685350450865697E-2</v>
      </c>
      <c r="N2808" s="73">
        <v>-1257.8409999999999</v>
      </c>
      <c r="O2808" s="73">
        <v>-264.67622726315699</v>
      </c>
      <c r="P2808" s="182">
        <v>5</v>
      </c>
      <c r="Q2808" s="182">
        <v>2500</v>
      </c>
      <c r="R2808" s="46">
        <v>5.1239999999999997</v>
      </c>
      <c r="S2808" s="46">
        <v>0</v>
      </c>
      <c r="T2808" s="46">
        <v>0</v>
      </c>
      <c r="U2808" s="46">
        <v>0</v>
      </c>
      <c r="V2808" s="46" t="s">
        <v>62</v>
      </c>
      <c r="W2808" s="46">
        <v>2500</v>
      </c>
      <c r="X2808" s="46">
        <v>5.1239999999999997</v>
      </c>
      <c r="AF2808" s="46">
        <v>10</v>
      </c>
      <c r="AG2808" s="46">
        <v>5000</v>
      </c>
      <c r="AH2808" s="46">
        <v>26378</v>
      </c>
      <c r="AI2808" s="46">
        <v>5.2759999999999998</v>
      </c>
      <c r="AJ2808" s="46">
        <v>10</v>
      </c>
      <c r="AK2808" s="46">
        <v>4100</v>
      </c>
      <c r="AL2808" s="46">
        <v>21806.659</v>
      </c>
      <c r="AM2808" s="46">
        <v>5.319</v>
      </c>
      <c r="AN2808" s="46" t="s">
        <v>63</v>
      </c>
      <c r="AO2808" s="46">
        <v>900</v>
      </c>
      <c r="AP2808" s="46">
        <v>4571.3410000000003</v>
      </c>
      <c r="AQ2808" s="46">
        <v>5.0789999999999997</v>
      </c>
      <c r="AR2808" s="46">
        <v>176.3</v>
      </c>
      <c r="AS2808" s="46">
        <v>15</v>
      </c>
      <c r="AT2808" s="46">
        <v>7500</v>
      </c>
      <c r="AU2808" s="46">
        <v>39214.5</v>
      </c>
      <c r="AV2808" s="46">
        <v>5.2290000000000001</v>
      </c>
      <c r="AW2808" s="46">
        <v>10</v>
      </c>
      <c r="AX2808" s="46">
        <v>4100</v>
      </c>
      <c r="AY2808" s="46">
        <v>21806.659</v>
      </c>
      <c r="AZ2808" s="46">
        <v>5.319</v>
      </c>
      <c r="BA2808" s="46" t="s">
        <v>63</v>
      </c>
      <c r="BB2808" s="46">
        <v>3400</v>
      </c>
      <c r="BC2808" s="46">
        <v>17407.841</v>
      </c>
      <c r="BD2808" s="46">
        <v>5.12</v>
      </c>
      <c r="BE2808" s="46">
        <v>369</v>
      </c>
      <c r="BF2808" s="46">
        <v>12836.5</v>
      </c>
      <c r="BG2808" s="46">
        <v>5.13</v>
      </c>
      <c r="BH2808" s="46">
        <v>0</v>
      </c>
      <c r="BJ2808">
        <v>12836.5</v>
      </c>
      <c r="BK2808">
        <v>5.13</v>
      </c>
      <c r="BL2808">
        <v>38</v>
      </c>
    </row>
    <row r="2809" spans="1:64" x14ac:dyDescent="0.25">
      <c r="A2809" s="136">
        <v>43208</v>
      </c>
      <c r="B2809" s="201" t="s">
        <v>124</v>
      </c>
      <c r="C2809" t="s">
        <v>125</v>
      </c>
      <c r="D2809">
        <v>100</v>
      </c>
      <c r="E2809">
        <v>100</v>
      </c>
      <c r="F2809">
        <v>-53.579000000000001</v>
      </c>
      <c r="G2809">
        <v>5945.9</v>
      </c>
      <c r="H2809">
        <v>0</v>
      </c>
      <c r="I2809" s="309">
        <v>588</v>
      </c>
      <c r="J2809">
        <v>5.88</v>
      </c>
      <c r="K2809" s="133">
        <v>1.2395658020238399E-3</v>
      </c>
      <c r="L2809" s="181">
        <v>9</v>
      </c>
      <c r="M2809" s="133">
        <v>0</v>
      </c>
    </row>
    <row r="2810" spans="1:64" x14ac:dyDescent="0.25">
      <c r="A2810" s="136">
        <v>43208</v>
      </c>
      <c r="B2810" s="201" t="s">
        <v>71</v>
      </c>
      <c r="C2810" t="s">
        <v>126</v>
      </c>
      <c r="D2810">
        <v>1700</v>
      </c>
      <c r="E2810">
        <v>1700</v>
      </c>
      <c r="F2810">
        <v>5.2080000000000002</v>
      </c>
      <c r="G2810">
        <v>2043.67</v>
      </c>
      <c r="H2810">
        <v>23.08</v>
      </c>
      <c r="I2810" s="309">
        <v>10897</v>
      </c>
      <c r="J2810">
        <v>6.41</v>
      </c>
      <c r="K2810" s="133">
        <v>2.29720213344453E-2</v>
      </c>
      <c r="L2810" s="181">
        <v>136</v>
      </c>
      <c r="M2810" s="133">
        <v>1.86637501735234E-2</v>
      </c>
      <c r="N2810" s="73">
        <v>2161.2060000000001</v>
      </c>
      <c r="O2810" s="73">
        <v>333.35268472222202</v>
      </c>
      <c r="P2810" s="182">
        <v>0</v>
      </c>
      <c r="Q2810" s="182">
        <v>0</v>
      </c>
      <c r="R2810" s="46">
        <v>0</v>
      </c>
      <c r="S2810" s="46">
        <v>4</v>
      </c>
      <c r="T2810" s="46">
        <v>1500</v>
      </c>
      <c r="U2810" s="46">
        <v>6.7679999999999998</v>
      </c>
      <c r="V2810" s="46" t="s">
        <v>68</v>
      </c>
      <c r="W2810" s="46">
        <v>1500</v>
      </c>
      <c r="X2810" s="46">
        <v>6.7679999999999998</v>
      </c>
      <c r="AF2810" s="46">
        <v>45</v>
      </c>
      <c r="AG2810" s="46">
        <v>22600</v>
      </c>
      <c r="AH2810" s="46">
        <v>144534.56</v>
      </c>
      <c r="AI2810" s="46">
        <v>6.3949999999999996</v>
      </c>
      <c r="AJ2810" s="46">
        <v>43</v>
      </c>
      <c r="AK2810" s="46">
        <v>19400</v>
      </c>
      <c r="AL2810" s="46">
        <v>125389.618</v>
      </c>
      <c r="AM2810" s="46">
        <v>6.4630000000000001</v>
      </c>
      <c r="AN2810" s="46" t="s">
        <v>63</v>
      </c>
      <c r="AO2810" s="46">
        <v>3200</v>
      </c>
      <c r="AP2810" s="46">
        <v>19144.941999999999</v>
      </c>
      <c r="AQ2810" s="46">
        <v>5.9829999999999997</v>
      </c>
      <c r="AR2810" s="46">
        <v>1319.2</v>
      </c>
      <c r="AS2810" s="46">
        <v>45</v>
      </c>
      <c r="AT2810" s="46">
        <v>22600</v>
      </c>
      <c r="AU2810" s="46">
        <v>144534.56</v>
      </c>
      <c r="AV2810" s="46">
        <v>6.3949999999999996</v>
      </c>
      <c r="AW2810" s="46">
        <v>47</v>
      </c>
      <c r="AX2810" s="46">
        <v>20900</v>
      </c>
      <c r="AY2810" s="46">
        <v>135518.56599999999</v>
      </c>
      <c r="AZ2810" s="46">
        <v>6.484</v>
      </c>
      <c r="BA2810" s="46" t="s">
        <v>63</v>
      </c>
      <c r="BB2810" s="46">
        <v>1700</v>
      </c>
      <c r="BC2810" s="46">
        <v>9015.9940000000006</v>
      </c>
      <c r="BD2810" s="46">
        <v>5.3040000000000003</v>
      </c>
      <c r="BE2810" s="46">
        <v>1860.1</v>
      </c>
      <c r="BF2810" s="46">
        <v>0</v>
      </c>
      <c r="BH2810" s="46">
        <v>10128.948</v>
      </c>
      <c r="BI2810">
        <v>6.75</v>
      </c>
      <c r="BJ2810">
        <v>-10128.948</v>
      </c>
      <c r="BK2810">
        <v>-6.75</v>
      </c>
      <c r="BL2810">
        <v>205.8</v>
      </c>
    </row>
    <row r="2811" spans="1:64" x14ac:dyDescent="0.25">
      <c r="A2811" s="136">
        <v>43208</v>
      </c>
      <c r="B2811" s="201" t="s">
        <v>79</v>
      </c>
      <c r="C2811" t="s">
        <v>143</v>
      </c>
      <c r="D2811">
        <v>5800</v>
      </c>
      <c r="E2811">
        <v>5800</v>
      </c>
      <c r="F2811">
        <v>16.260999999999999</v>
      </c>
      <c r="G2811">
        <v>-11605.71</v>
      </c>
      <c r="H2811">
        <v>-12.3</v>
      </c>
      <c r="I2811" s="309">
        <v>82708</v>
      </c>
      <c r="J2811">
        <v>14.26</v>
      </c>
      <c r="K2811" s="133">
        <v>0.17435715706426499</v>
      </c>
      <c r="L2811" s="181">
        <v>116</v>
      </c>
      <c r="M2811" s="133">
        <v>0.19882321356801699</v>
      </c>
      <c r="N2811" s="73">
        <v>-11842.4200000001</v>
      </c>
      <c r="O2811" s="73">
        <v>-832.38388115331304</v>
      </c>
      <c r="P2811" s="182">
        <v>8</v>
      </c>
      <c r="Q2811" s="182">
        <v>4500</v>
      </c>
      <c r="R2811" s="46">
        <v>15.379</v>
      </c>
      <c r="S2811" s="46">
        <v>0</v>
      </c>
      <c r="T2811" s="46">
        <v>0</v>
      </c>
      <c r="U2811" s="46">
        <v>0</v>
      </c>
      <c r="V2811" s="46" t="s">
        <v>62</v>
      </c>
      <c r="W2811" s="46">
        <v>4500</v>
      </c>
      <c r="X2811" s="46">
        <v>15.379</v>
      </c>
      <c r="AF2811" s="46">
        <v>13</v>
      </c>
      <c r="AG2811" s="46">
        <v>6500</v>
      </c>
      <c r="AH2811" s="46">
        <v>103623.9</v>
      </c>
      <c r="AI2811" s="46">
        <v>15.942</v>
      </c>
      <c r="AJ2811" s="46">
        <v>13</v>
      </c>
      <c r="AK2811" s="46">
        <v>5200</v>
      </c>
      <c r="AL2811" s="46">
        <v>78553.179999999906</v>
      </c>
      <c r="AM2811" s="46">
        <v>15.106</v>
      </c>
      <c r="AN2811" s="46" t="s">
        <v>63</v>
      </c>
      <c r="AO2811" s="46">
        <v>1300</v>
      </c>
      <c r="AP2811" s="46">
        <v>25070.720000000001</v>
      </c>
      <c r="AQ2811" s="46">
        <v>19.285</v>
      </c>
      <c r="AR2811" s="46">
        <v>-4347.2</v>
      </c>
      <c r="AS2811" s="46">
        <v>21</v>
      </c>
      <c r="AT2811" s="46">
        <v>11000</v>
      </c>
      <c r="AU2811" s="46">
        <v>172871.6</v>
      </c>
      <c r="AV2811" s="46">
        <v>15.715999999999999</v>
      </c>
      <c r="AW2811" s="46">
        <v>13</v>
      </c>
      <c r="AX2811" s="46">
        <v>5200</v>
      </c>
      <c r="AY2811" s="46">
        <v>78553.179999999906</v>
      </c>
      <c r="AZ2811" s="46">
        <v>15.106</v>
      </c>
      <c r="BA2811" s="46" t="s">
        <v>63</v>
      </c>
      <c r="BB2811" s="46">
        <v>5800</v>
      </c>
      <c r="BC2811" s="46">
        <v>94318.42</v>
      </c>
      <c r="BD2811" s="46">
        <v>16.262</v>
      </c>
      <c r="BE2811" s="46">
        <v>-3172</v>
      </c>
      <c r="BF2811" s="46">
        <v>69247.699999999895</v>
      </c>
      <c r="BG2811" s="46">
        <v>15.39</v>
      </c>
      <c r="BH2811" s="46">
        <v>0</v>
      </c>
      <c r="BJ2811">
        <v>69247.7</v>
      </c>
      <c r="BK2811">
        <v>15.39</v>
      </c>
      <c r="BL2811">
        <v>-304.85000000000002</v>
      </c>
    </row>
    <row r="2812" spans="1:64" x14ac:dyDescent="0.25">
      <c r="A2812" s="136">
        <v>43208</v>
      </c>
      <c r="B2812" s="201" t="s">
        <v>65</v>
      </c>
      <c r="C2812" t="s">
        <v>127</v>
      </c>
      <c r="D2812">
        <v>16100</v>
      </c>
      <c r="E2812">
        <v>15600</v>
      </c>
      <c r="F2812">
        <v>9.3620000000000001</v>
      </c>
      <c r="G2812">
        <v>-2285.92</v>
      </c>
      <c r="H2812">
        <v>-1.52</v>
      </c>
      <c r="I2812" s="309">
        <v>148442</v>
      </c>
      <c r="J2812">
        <v>9.2200000000000006</v>
      </c>
      <c r="K2812" s="133">
        <v>0.312931338068067</v>
      </c>
      <c r="L2812" s="181">
        <v>966</v>
      </c>
      <c r="M2812" s="133">
        <v>0.31775029769079199</v>
      </c>
      <c r="N2812" s="73">
        <v>-7695.3390000000099</v>
      </c>
      <c r="O2812" s="73">
        <v>-372.90476581968801</v>
      </c>
      <c r="P2812" s="182">
        <v>2</v>
      </c>
      <c r="Q2812" s="182">
        <v>1000</v>
      </c>
      <c r="R2812" s="46">
        <v>9.1950000000000003</v>
      </c>
      <c r="S2812" s="46">
        <v>9</v>
      </c>
      <c r="T2812" s="46">
        <v>3700</v>
      </c>
      <c r="U2812" s="46">
        <v>12.241</v>
      </c>
      <c r="V2812" s="46" t="s">
        <v>68</v>
      </c>
      <c r="W2812" s="46">
        <v>2700</v>
      </c>
      <c r="X2812" s="46">
        <v>13.369</v>
      </c>
      <c r="AF2812" s="46">
        <v>182</v>
      </c>
      <c r="AG2812" s="46">
        <v>96700</v>
      </c>
      <c r="AH2812" s="46">
        <v>1108500.2309999999</v>
      </c>
      <c r="AI2812" s="46">
        <v>11.462999999999999</v>
      </c>
      <c r="AJ2812" s="46">
        <v>201</v>
      </c>
      <c r="AK2812" s="46">
        <v>87100</v>
      </c>
      <c r="AL2812" s="46">
        <v>920940.18200000003</v>
      </c>
      <c r="AM2812" s="46">
        <v>10.573</v>
      </c>
      <c r="AN2812" s="46" t="s">
        <v>63</v>
      </c>
      <c r="AO2812" s="46">
        <v>9600</v>
      </c>
      <c r="AP2812" s="46">
        <v>187560.049</v>
      </c>
      <c r="AQ2812" s="46">
        <v>19.538</v>
      </c>
      <c r="AR2812" s="46">
        <v>-77519</v>
      </c>
      <c r="AS2812" s="46">
        <v>185</v>
      </c>
      <c r="AT2812" s="46">
        <v>97800</v>
      </c>
      <c r="AU2812" s="46">
        <v>1118993.2309999999</v>
      </c>
      <c r="AV2812" s="46">
        <v>11.442</v>
      </c>
      <c r="AW2812" s="46">
        <v>210</v>
      </c>
      <c r="AX2812" s="46">
        <v>90800</v>
      </c>
      <c r="AY2812" s="46">
        <v>966141.89</v>
      </c>
      <c r="AZ2812" s="46">
        <v>10.64</v>
      </c>
      <c r="BA2812" s="46" t="s">
        <v>63</v>
      </c>
      <c r="BB2812" s="46">
        <v>7000</v>
      </c>
      <c r="BC2812" s="46">
        <v>152851.34099999999</v>
      </c>
      <c r="BD2812" s="46">
        <v>21.835999999999999</v>
      </c>
      <c r="BE2812" s="46">
        <v>-72821.600000000006</v>
      </c>
      <c r="BF2812" s="46">
        <v>10493</v>
      </c>
      <c r="BG2812" s="46">
        <v>10.49</v>
      </c>
      <c r="BH2812" s="46">
        <v>45201.708000000101</v>
      </c>
      <c r="BI2812">
        <v>12.22</v>
      </c>
      <c r="BJ2812">
        <v>-34708.707999999999</v>
      </c>
      <c r="BK2812">
        <v>-12.86</v>
      </c>
      <c r="BL2812">
        <v>-8407.7000000000007</v>
      </c>
    </row>
    <row r="2813" spans="1:64" x14ac:dyDescent="0.25">
      <c r="A2813" s="136">
        <v>43208</v>
      </c>
      <c r="B2813" s="201" t="s">
        <v>77</v>
      </c>
      <c r="C2813" t="s">
        <v>128</v>
      </c>
      <c r="D2813">
        <v>4300</v>
      </c>
      <c r="E2813">
        <v>4300</v>
      </c>
      <c r="F2813">
        <v>5.9779999999999998</v>
      </c>
      <c r="G2813">
        <v>-595.27</v>
      </c>
      <c r="H2813">
        <v>-2.31</v>
      </c>
      <c r="I2813" s="309">
        <v>25112</v>
      </c>
      <c r="J2813">
        <v>5.84</v>
      </c>
      <c r="K2813" s="133">
        <v>5.2938735408882297E-2</v>
      </c>
      <c r="L2813" s="181">
        <v>0</v>
      </c>
      <c r="M2813" s="133">
        <v>5.4193627135023001E-2</v>
      </c>
      <c r="N2813" s="73">
        <v>-1272.2139999999999</v>
      </c>
      <c r="O2813" s="73">
        <v>-133.073774655173</v>
      </c>
      <c r="P2813" s="182">
        <v>6</v>
      </c>
      <c r="Q2813" s="182">
        <v>3000</v>
      </c>
      <c r="R2813" s="46">
        <v>6.798</v>
      </c>
      <c r="S2813" s="46">
        <v>0</v>
      </c>
      <c r="T2813" s="46">
        <v>0</v>
      </c>
      <c r="U2813" s="46">
        <v>0</v>
      </c>
      <c r="V2813" s="46" t="s">
        <v>62</v>
      </c>
      <c r="W2813" s="46">
        <v>3000</v>
      </c>
      <c r="X2813" s="46">
        <v>6.798</v>
      </c>
      <c r="AF2813" s="46">
        <v>39</v>
      </c>
      <c r="AG2813" s="46">
        <v>19500</v>
      </c>
      <c r="AH2813" s="46">
        <v>142169</v>
      </c>
      <c r="AI2813" s="46">
        <v>7.2910000000000004</v>
      </c>
      <c r="AJ2813" s="46">
        <v>39</v>
      </c>
      <c r="AK2813" s="46">
        <v>18200</v>
      </c>
      <c r="AL2813" s="46">
        <v>136881.78599999999</v>
      </c>
      <c r="AM2813" s="46">
        <v>7.5209999999999999</v>
      </c>
      <c r="AN2813" s="46" t="s">
        <v>63</v>
      </c>
      <c r="AO2813" s="46">
        <v>1300</v>
      </c>
      <c r="AP2813" s="46">
        <v>5287.2139999999999</v>
      </c>
      <c r="AQ2813" s="46">
        <v>4.0670000000000002</v>
      </c>
      <c r="AR2813" s="46">
        <v>4186</v>
      </c>
      <c r="AS2813" s="46">
        <v>45</v>
      </c>
      <c r="AT2813" s="46">
        <v>22500</v>
      </c>
      <c r="AU2813" s="46">
        <v>162594</v>
      </c>
      <c r="AV2813" s="46">
        <v>7.226</v>
      </c>
      <c r="AW2813" s="46">
        <v>39</v>
      </c>
      <c r="AX2813" s="46">
        <v>18200</v>
      </c>
      <c r="AY2813" s="46">
        <v>136881.78599999999</v>
      </c>
      <c r="AZ2813" s="46">
        <v>7.5209999999999999</v>
      </c>
      <c r="BA2813" s="46" t="s">
        <v>63</v>
      </c>
      <c r="BB2813" s="46">
        <v>4300</v>
      </c>
      <c r="BC2813" s="46">
        <v>25712.214</v>
      </c>
      <c r="BD2813" s="46">
        <v>5.98</v>
      </c>
      <c r="BE2813" s="46">
        <v>5369</v>
      </c>
      <c r="BF2813" s="46">
        <v>20425</v>
      </c>
      <c r="BG2813" s="46">
        <v>6.81</v>
      </c>
      <c r="BH2813" s="46">
        <v>0</v>
      </c>
      <c r="BJ2813">
        <v>20425</v>
      </c>
      <c r="BK2813">
        <v>6.81</v>
      </c>
      <c r="BL2813">
        <v>716.78</v>
      </c>
    </row>
    <row r="2814" spans="1:64" x14ac:dyDescent="0.25">
      <c r="A2814" s="136">
        <v>43208</v>
      </c>
      <c r="B2814" s="201" t="s">
        <v>67</v>
      </c>
      <c r="C2814" t="s">
        <v>129</v>
      </c>
      <c r="D2814">
        <v>500</v>
      </c>
      <c r="E2814">
        <v>500</v>
      </c>
      <c r="F2814">
        <v>0.996</v>
      </c>
      <c r="G2814">
        <v>3996.82</v>
      </c>
      <c r="H2814">
        <v>802.61</v>
      </c>
      <c r="I2814" s="309">
        <v>4495</v>
      </c>
      <c r="J2814">
        <v>8.99</v>
      </c>
      <c r="K2814" s="133">
        <v>9.4759324491448596E-3</v>
      </c>
      <c r="L2814" s="181">
        <v>420.92</v>
      </c>
      <c r="M2814" s="133">
        <v>1.0502158014493901E-3</v>
      </c>
      <c r="N2814" s="73">
        <v>3967.0144999997601</v>
      </c>
      <c r="O2814" s="73">
        <v>444.01242919930303</v>
      </c>
      <c r="P2814" s="182">
        <v>0</v>
      </c>
      <c r="Q2814" s="182">
        <v>0</v>
      </c>
      <c r="R2814" s="46">
        <v>0</v>
      </c>
      <c r="S2814" s="46">
        <v>23</v>
      </c>
      <c r="T2814" s="46">
        <v>9200</v>
      </c>
      <c r="U2814" s="46">
        <v>8.9930000000000003</v>
      </c>
      <c r="V2814" s="46" t="s">
        <v>68</v>
      </c>
      <c r="W2814" s="46">
        <v>9200</v>
      </c>
      <c r="X2814" s="46">
        <v>8.9930000000000003</v>
      </c>
      <c r="AF2814" s="46">
        <v>190</v>
      </c>
      <c r="AG2814" s="46">
        <v>94400</v>
      </c>
      <c r="AH2814" s="46">
        <v>786305</v>
      </c>
      <c r="AI2814" s="46">
        <v>8.33</v>
      </c>
      <c r="AJ2814" s="46">
        <v>193</v>
      </c>
      <c r="AK2814" s="46">
        <v>87300</v>
      </c>
      <c r="AL2814" s="46">
        <v>772394.3665</v>
      </c>
      <c r="AM2814" s="46">
        <v>8.8480000000000008</v>
      </c>
      <c r="AN2814" s="46" t="s">
        <v>63</v>
      </c>
      <c r="AO2814" s="46">
        <v>7100</v>
      </c>
      <c r="AP2814" s="46">
        <v>13910.633</v>
      </c>
      <c r="AQ2814" s="46">
        <v>1.9590000000000001</v>
      </c>
      <c r="AR2814" s="46">
        <v>45221.4</v>
      </c>
      <c r="AS2814" s="46">
        <v>190</v>
      </c>
      <c r="AT2814" s="46">
        <v>94400</v>
      </c>
      <c r="AU2814" s="46">
        <v>786305</v>
      </c>
      <c r="AV2814" s="46">
        <v>8.33</v>
      </c>
      <c r="AW2814" s="46">
        <v>216</v>
      </c>
      <c r="AX2814" s="46">
        <v>96500</v>
      </c>
      <c r="AY2814" s="46">
        <v>854935.13049999997</v>
      </c>
      <c r="AZ2814" s="46">
        <v>8.859</v>
      </c>
      <c r="BA2814" s="46" t="s">
        <v>69</v>
      </c>
      <c r="BB2814" s="46">
        <v>2100</v>
      </c>
      <c r="BC2814" s="46">
        <v>68630.130999999994</v>
      </c>
      <c r="BD2814" s="46">
        <v>32.680999999999997</v>
      </c>
      <c r="BE2814" s="46">
        <v>49937.599999999999</v>
      </c>
      <c r="BF2814" s="46">
        <v>0</v>
      </c>
      <c r="BH2814" s="46">
        <v>82540.764000000097</v>
      </c>
      <c r="BI2814">
        <v>8.9700000000000006</v>
      </c>
      <c r="BJ2814">
        <v>54719.498</v>
      </c>
      <c r="BK2814">
        <v>5.95</v>
      </c>
      <c r="BL2814">
        <v>5030.1899999999996</v>
      </c>
    </row>
    <row r="2815" spans="1:64" x14ac:dyDescent="0.25">
      <c r="A2815" s="136">
        <v>43208</v>
      </c>
      <c r="B2815" s="201" t="s">
        <v>78</v>
      </c>
      <c r="C2815" t="s">
        <v>142</v>
      </c>
      <c r="D2815">
        <v>100</v>
      </c>
      <c r="E2815">
        <v>100</v>
      </c>
      <c r="F2815">
        <v>-4.9039999999999999</v>
      </c>
      <c r="G2815">
        <v>1493.4</v>
      </c>
      <c r="H2815">
        <v>0</v>
      </c>
      <c r="I2815" s="309">
        <v>1003</v>
      </c>
      <c r="J2815">
        <v>10.029999999999999</v>
      </c>
      <c r="K2815" s="133">
        <v>2.1144294207991799E-3</v>
      </c>
      <c r="L2815" s="181">
        <v>15</v>
      </c>
      <c r="M2815" s="133">
        <v>0</v>
      </c>
      <c r="N2815" s="73">
        <v>1506.3910000000001</v>
      </c>
      <c r="O2815" s="73">
        <v>148.19269729330699</v>
      </c>
      <c r="P2815" s="182">
        <v>0</v>
      </c>
      <c r="Q2815" s="182">
        <v>0</v>
      </c>
      <c r="R2815" s="46">
        <v>0</v>
      </c>
      <c r="S2815" s="46">
        <v>3</v>
      </c>
      <c r="T2815" s="46">
        <v>1200</v>
      </c>
      <c r="U2815" s="46">
        <v>9.99</v>
      </c>
      <c r="V2815" s="46" t="s">
        <v>68</v>
      </c>
      <c r="W2815" s="46">
        <v>1200</v>
      </c>
      <c r="X2815" s="46">
        <v>9.99</v>
      </c>
      <c r="AF2815" s="46">
        <v>13</v>
      </c>
      <c r="AG2815" s="46">
        <v>6500</v>
      </c>
      <c r="AH2815" s="46">
        <v>62970</v>
      </c>
      <c r="AI2815" s="46">
        <v>9.6880000000000006</v>
      </c>
      <c r="AJ2815" s="46">
        <v>14</v>
      </c>
      <c r="AK2815" s="46">
        <v>5200</v>
      </c>
      <c r="AL2815" s="46">
        <v>51499.379000000001</v>
      </c>
      <c r="AM2815" s="46">
        <v>9.9039999999999999</v>
      </c>
      <c r="AN2815" s="46" t="s">
        <v>63</v>
      </c>
      <c r="AO2815" s="46">
        <v>1300</v>
      </c>
      <c r="AP2815" s="46">
        <v>11470.620999999999</v>
      </c>
      <c r="AQ2815" s="46">
        <v>8.8239999999999998</v>
      </c>
      <c r="AR2815" s="46">
        <v>1123.2</v>
      </c>
      <c r="AS2815" s="46">
        <v>13</v>
      </c>
      <c r="AT2815" s="46">
        <v>6500</v>
      </c>
      <c r="AU2815" s="46">
        <v>62970</v>
      </c>
      <c r="AV2815" s="46">
        <v>9.6880000000000006</v>
      </c>
      <c r="AW2815" s="46">
        <v>17</v>
      </c>
      <c r="AX2815" s="46">
        <v>6400</v>
      </c>
      <c r="AY2815" s="46">
        <v>63460.391000000003</v>
      </c>
      <c r="AZ2815" s="46">
        <v>9.9160000000000004</v>
      </c>
      <c r="BA2815" s="46" t="s">
        <v>63</v>
      </c>
      <c r="BB2815" s="46">
        <v>100</v>
      </c>
      <c r="BC2815" s="46">
        <v>490.39100000000002</v>
      </c>
      <c r="BD2815" s="46">
        <v>4.9039999999999999</v>
      </c>
      <c r="BE2815" s="46">
        <v>1459.2</v>
      </c>
      <c r="BF2815" s="46">
        <v>0</v>
      </c>
      <c r="BH2815" s="46">
        <v>11961.012000000001</v>
      </c>
      <c r="BI2815">
        <v>9.9700000000000006</v>
      </c>
      <c r="BJ2815">
        <v>-10980.23</v>
      </c>
      <c r="BK2815">
        <v>-9.15</v>
      </c>
      <c r="BL2815">
        <v>111.98</v>
      </c>
    </row>
    <row r="2816" spans="1:64" x14ac:dyDescent="0.25">
      <c r="A2816" s="136">
        <v>43208</v>
      </c>
      <c r="B2816" s="201" t="s">
        <v>72</v>
      </c>
      <c r="C2816" t="s">
        <v>130</v>
      </c>
      <c r="D2816">
        <v>3300</v>
      </c>
      <c r="E2816">
        <v>3300</v>
      </c>
      <c r="F2816">
        <v>6.7370000000000001</v>
      </c>
      <c r="G2816">
        <v>-1244.06</v>
      </c>
      <c r="H2816">
        <v>-5.59</v>
      </c>
      <c r="I2816" s="309">
        <v>20988</v>
      </c>
      <c r="J2816">
        <v>6.36</v>
      </c>
      <c r="K2816" s="133">
        <v>4.4244909953871502E-2</v>
      </c>
      <c r="L2816" s="181">
        <v>330</v>
      </c>
      <c r="M2816" s="133">
        <v>4.6867519191398303E-2</v>
      </c>
      <c r="N2816" s="73">
        <v>-1531.75999999999</v>
      </c>
      <c r="O2816" s="73">
        <v>-206.52917586750499</v>
      </c>
      <c r="P2816" s="182">
        <v>0</v>
      </c>
      <c r="Q2816" s="182">
        <v>0</v>
      </c>
      <c r="R2816" s="46">
        <v>0</v>
      </c>
      <c r="S2816" s="46">
        <v>12</v>
      </c>
      <c r="T2816" s="46">
        <v>4800</v>
      </c>
      <c r="U2816" s="46">
        <v>7.5119999999999996</v>
      </c>
      <c r="V2816" s="46" t="s">
        <v>68</v>
      </c>
      <c r="W2816" s="46">
        <v>4800</v>
      </c>
      <c r="X2816" s="46">
        <v>7.5119999999999996</v>
      </c>
      <c r="AF2816" s="46">
        <v>36</v>
      </c>
      <c r="AG2816" s="46">
        <v>17900</v>
      </c>
      <c r="AH2816" s="46">
        <v>133787</v>
      </c>
      <c r="AI2816" s="46">
        <v>7.4740000000000002</v>
      </c>
      <c r="AJ2816" s="46">
        <v>36</v>
      </c>
      <c r="AK2816" s="46">
        <v>16400</v>
      </c>
      <c r="AL2816" s="46">
        <v>76327.481</v>
      </c>
      <c r="AM2816" s="46">
        <v>4.6539999999999999</v>
      </c>
      <c r="AN2816" s="46" t="s">
        <v>63</v>
      </c>
      <c r="AO2816" s="46">
        <v>1500</v>
      </c>
      <c r="AP2816" s="46">
        <v>57459.519</v>
      </c>
      <c r="AQ2816" s="46">
        <v>38.305999999999997</v>
      </c>
      <c r="AR2816" s="46">
        <v>-46248</v>
      </c>
      <c r="AS2816" s="46">
        <v>36</v>
      </c>
      <c r="AT2816" s="46">
        <v>17900</v>
      </c>
      <c r="AU2816" s="46">
        <v>133787</v>
      </c>
      <c r="AV2816" s="46">
        <v>7.4740000000000002</v>
      </c>
      <c r="AW2816" s="46">
        <v>49</v>
      </c>
      <c r="AX2816" s="46">
        <v>21700</v>
      </c>
      <c r="AY2816" s="46">
        <v>112287.425</v>
      </c>
      <c r="AZ2816" s="46">
        <v>5.1749999999999998</v>
      </c>
      <c r="BA2816" s="46" t="s">
        <v>69</v>
      </c>
      <c r="BB2816" s="46">
        <v>3800</v>
      </c>
      <c r="BC2816" s="46">
        <v>21499.575000000001</v>
      </c>
      <c r="BD2816" s="46">
        <v>5.6580000000000004</v>
      </c>
      <c r="BE2816" s="46">
        <v>-41152.1</v>
      </c>
      <c r="BF2816" s="46">
        <v>0</v>
      </c>
      <c r="BH2816" s="46">
        <v>35959.944000000003</v>
      </c>
      <c r="BI2816">
        <v>7.49</v>
      </c>
      <c r="BJ2816">
        <v>-35959.944000000003</v>
      </c>
      <c r="BK2816">
        <v>-7.49</v>
      </c>
      <c r="BL2816">
        <v>-7271.7</v>
      </c>
    </row>
    <row r="2817" spans="1:64" x14ac:dyDescent="0.25">
      <c r="A2817" s="136">
        <v>43208</v>
      </c>
      <c r="B2817" s="201" t="s">
        <v>70</v>
      </c>
      <c r="C2817" t="s">
        <v>131</v>
      </c>
      <c r="D2817">
        <v>11900</v>
      </c>
      <c r="E2817">
        <v>11900</v>
      </c>
      <c r="F2817">
        <v>11.551</v>
      </c>
      <c r="G2817">
        <v>-30827.32</v>
      </c>
      <c r="H2817">
        <v>-22.43</v>
      </c>
      <c r="I2817" s="309">
        <v>106624</v>
      </c>
      <c r="J2817">
        <v>8.9600000000000009</v>
      </c>
      <c r="K2817" s="133">
        <v>0.22477459876698999</v>
      </c>
      <c r="L2817" s="181">
        <v>3451</v>
      </c>
      <c r="M2817" s="133">
        <v>0.28976182944734002</v>
      </c>
      <c r="N2817" s="73">
        <v>-35115.323000000099</v>
      </c>
      <c r="O2817" s="73">
        <v>-4081.1355044767502</v>
      </c>
      <c r="P2817" s="182">
        <v>2</v>
      </c>
      <c r="Q2817" s="182">
        <v>1000</v>
      </c>
      <c r="R2817" s="46">
        <v>8.08</v>
      </c>
      <c r="S2817" s="46">
        <v>4</v>
      </c>
      <c r="T2817" s="46">
        <v>1700</v>
      </c>
      <c r="U2817" s="46">
        <v>8.9250000000000007</v>
      </c>
      <c r="V2817" s="46" t="s">
        <v>68</v>
      </c>
      <c r="W2817" s="46">
        <v>700</v>
      </c>
      <c r="X2817" s="46">
        <v>10.132</v>
      </c>
      <c r="AF2817" s="46">
        <v>136</v>
      </c>
      <c r="AG2817" s="46">
        <v>69600</v>
      </c>
      <c r="AH2817" s="46">
        <v>903588</v>
      </c>
      <c r="AI2817" s="46">
        <v>12.983000000000001</v>
      </c>
      <c r="AJ2817" s="46">
        <v>142</v>
      </c>
      <c r="AK2817" s="46">
        <v>57000</v>
      </c>
      <c r="AL2817" s="46">
        <v>758679.85</v>
      </c>
      <c r="AM2817" s="46">
        <v>13.31</v>
      </c>
      <c r="AN2817" s="46" t="s">
        <v>63</v>
      </c>
      <c r="AO2817" s="46">
        <v>12600</v>
      </c>
      <c r="AP2817" s="46">
        <v>144908.15</v>
      </c>
      <c r="AQ2817" s="46">
        <v>11.500999999999999</v>
      </c>
      <c r="AR2817" s="46">
        <v>18639</v>
      </c>
      <c r="AS2817" s="46">
        <v>138</v>
      </c>
      <c r="AT2817" s="46">
        <v>70600</v>
      </c>
      <c r="AU2817" s="46">
        <v>911678</v>
      </c>
      <c r="AV2817" s="46">
        <v>12.913</v>
      </c>
      <c r="AW2817" s="46">
        <v>147</v>
      </c>
      <c r="AX2817" s="46">
        <v>58700</v>
      </c>
      <c r="AY2817" s="46">
        <v>774222.67700000003</v>
      </c>
      <c r="AZ2817" s="46">
        <v>13.189</v>
      </c>
      <c r="BA2817" s="46" t="s">
        <v>63</v>
      </c>
      <c r="BB2817" s="46">
        <v>11900</v>
      </c>
      <c r="BC2817" s="46">
        <v>137455.323</v>
      </c>
      <c r="BD2817" s="46">
        <v>11.551</v>
      </c>
      <c r="BE2817" s="46">
        <v>16201.2</v>
      </c>
      <c r="BF2817" s="46">
        <v>8090</v>
      </c>
      <c r="BG2817" s="46">
        <v>8.09</v>
      </c>
      <c r="BH2817" s="46">
        <v>15542.826999999999</v>
      </c>
      <c r="BI2817">
        <v>9.14</v>
      </c>
      <c r="BJ2817">
        <v>-7452.8269999999902</v>
      </c>
      <c r="BK2817">
        <v>-10.65</v>
      </c>
      <c r="BL2817">
        <v>2080.25</v>
      </c>
    </row>
    <row r="2818" spans="1:64" x14ac:dyDescent="0.25">
      <c r="A2818" s="136">
        <v>43208</v>
      </c>
      <c r="B2818" s="201" t="s">
        <v>137</v>
      </c>
      <c r="C2818" t="s">
        <v>138</v>
      </c>
      <c r="D2818">
        <v>100</v>
      </c>
      <c r="E2818">
        <v>100</v>
      </c>
      <c r="F2818">
        <v>-130.48500000000001</v>
      </c>
      <c r="G2818">
        <v>17368.5</v>
      </c>
      <c r="H2818">
        <v>0</v>
      </c>
      <c r="I2818" s="309">
        <v>4320</v>
      </c>
      <c r="J2818">
        <v>43.2</v>
      </c>
      <c r="K2818" s="133">
        <v>9.1070140556853904E-3</v>
      </c>
      <c r="L2818" s="181">
        <v>117</v>
      </c>
      <c r="M2818" s="133">
        <v>0</v>
      </c>
    </row>
    <row r="2819" spans="1:64" x14ac:dyDescent="0.25">
      <c r="A2819" s="136">
        <v>43208</v>
      </c>
      <c r="B2819" s="201" t="s">
        <v>835</v>
      </c>
      <c r="C2819" t="s">
        <v>839</v>
      </c>
      <c r="I2819" s="309">
        <v>13204.63</v>
      </c>
      <c r="K2819" s="133">
        <v>2.7836747919010401E-2</v>
      </c>
      <c r="L2819" s="181">
        <v>0</v>
      </c>
      <c r="M2819" s="133">
        <v>0.11258683153172901</v>
      </c>
    </row>
    <row r="2820" spans="1:64" x14ac:dyDescent="0.25">
      <c r="A2820" s="136">
        <v>43209</v>
      </c>
      <c r="B2820" s="201" t="s">
        <v>132</v>
      </c>
      <c r="C2820" t="s">
        <v>123</v>
      </c>
      <c r="D2820">
        <v>4020537</v>
      </c>
      <c r="E2820">
        <v>4020537</v>
      </c>
      <c r="F2820">
        <v>8.9999999999999993E-3</v>
      </c>
      <c r="G2820">
        <v>3450.93</v>
      </c>
      <c r="H2820">
        <v>11.11</v>
      </c>
      <c r="I2820" s="309">
        <v>40205.370000000003</v>
      </c>
      <c r="J2820">
        <v>0.01</v>
      </c>
      <c r="K2820" s="133">
        <v>8.4181028101255106E-2</v>
      </c>
      <c r="L2820" s="181">
        <v>3.3499999999999099</v>
      </c>
      <c r="M2820" s="133">
        <v>0</v>
      </c>
    </row>
    <row r="2821" spans="1:64" x14ac:dyDescent="0.25">
      <c r="A2821" s="136">
        <v>43209</v>
      </c>
      <c r="B2821" s="201" t="s">
        <v>61</v>
      </c>
      <c r="C2821" t="s">
        <v>136</v>
      </c>
      <c r="D2821">
        <v>3400</v>
      </c>
      <c r="E2821">
        <v>3400</v>
      </c>
      <c r="F2821">
        <v>5.1180000000000003</v>
      </c>
      <c r="G2821">
        <v>-1558.05</v>
      </c>
      <c r="H2821">
        <v>-8.9499999999999993</v>
      </c>
      <c r="I2821" s="309">
        <v>15844</v>
      </c>
      <c r="J2821">
        <v>4.66</v>
      </c>
      <c r="K2821" s="133">
        <v>3.3173782736890298E-2</v>
      </c>
      <c r="L2821" s="181">
        <v>68</v>
      </c>
      <c r="M2821" s="133">
        <v>3.6435990019976099E-2</v>
      </c>
      <c r="N2821" s="73">
        <v>-1257.8409999999999</v>
      </c>
      <c r="O2821" s="73">
        <v>-264.67622726315699</v>
      </c>
      <c r="P2821" s="182">
        <v>5</v>
      </c>
      <c r="Q2821" s="182">
        <v>2500</v>
      </c>
      <c r="R2821" s="46">
        <v>5.1239999999999997</v>
      </c>
      <c r="S2821" s="46">
        <v>0</v>
      </c>
      <c r="T2821" s="46">
        <v>0</v>
      </c>
      <c r="U2821" s="46">
        <v>0</v>
      </c>
      <c r="V2821" s="46" t="s">
        <v>62</v>
      </c>
      <c r="W2821" s="46">
        <v>2500</v>
      </c>
      <c r="X2821" s="46">
        <v>5.1239999999999997</v>
      </c>
      <c r="AF2821" s="46">
        <v>10</v>
      </c>
      <c r="AG2821" s="46">
        <v>5000</v>
      </c>
      <c r="AH2821" s="46">
        <v>26378</v>
      </c>
      <c r="AI2821" s="46">
        <v>5.2759999999999998</v>
      </c>
      <c r="AJ2821" s="46">
        <v>10</v>
      </c>
      <c r="AK2821" s="46">
        <v>4100</v>
      </c>
      <c r="AL2821" s="46">
        <v>21806.659</v>
      </c>
      <c r="AM2821" s="46">
        <v>5.319</v>
      </c>
      <c r="AN2821" s="46" t="s">
        <v>63</v>
      </c>
      <c r="AO2821" s="46">
        <v>900</v>
      </c>
      <c r="AP2821" s="46">
        <v>4571.3410000000003</v>
      </c>
      <c r="AQ2821" s="46">
        <v>5.0789999999999997</v>
      </c>
      <c r="AR2821" s="46">
        <v>176.3</v>
      </c>
      <c r="AS2821" s="46">
        <v>15</v>
      </c>
      <c r="AT2821" s="46">
        <v>7500</v>
      </c>
      <c r="AU2821" s="46">
        <v>39214.5</v>
      </c>
      <c r="AV2821" s="46">
        <v>5.2290000000000001</v>
      </c>
      <c r="AW2821" s="46">
        <v>10</v>
      </c>
      <c r="AX2821" s="46">
        <v>4100</v>
      </c>
      <c r="AY2821" s="46">
        <v>21806.659</v>
      </c>
      <c r="AZ2821" s="46">
        <v>5.319</v>
      </c>
      <c r="BA2821" s="46" t="s">
        <v>63</v>
      </c>
      <c r="BB2821" s="46">
        <v>3400</v>
      </c>
      <c r="BC2821" s="46">
        <v>17407.841</v>
      </c>
      <c r="BD2821" s="46">
        <v>5.12</v>
      </c>
      <c r="BE2821" s="46">
        <v>369</v>
      </c>
      <c r="BF2821" s="46">
        <v>12836.5</v>
      </c>
      <c r="BG2821" s="46">
        <v>5.13</v>
      </c>
      <c r="BH2821" s="46">
        <v>0</v>
      </c>
      <c r="BJ2821">
        <v>12836.5</v>
      </c>
      <c r="BK2821">
        <v>5.13</v>
      </c>
      <c r="BL2821">
        <v>37.83</v>
      </c>
    </row>
    <row r="2822" spans="1:64" x14ac:dyDescent="0.25">
      <c r="A2822" s="136">
        <v>43209</v>
      </c>
      <c r="B2822" s="201" t="s">
        <v>124</v>
      </c>
      <c r="C2822" t="s">
        <v>125</v>
      </c>
      <c r="D2822">
        <v>100</v>
      </c>
      <c r="E2822">
        <v>100</v>
      </c>
      <c r="F2822">
        <v>-53.579000000000001</v>
      </c>
      <c r="G2822">
        <v>5949.9</v>
      </c>
      <c r="H2822">
        <v>0</v>
      </c>
      <c r="I2822" s="309">
        <v>592</v>
      </c>
      <c r="J2822">
        <v>5.92</v>
      </c>
      <c r="K2822" s="133">
        <v>1.23951523480428E-3</v>
      </c>
      <c r="L2822" s="181">
        <v>4</v>
      </c>
      <c r="M2822" s="133">
        <v>0</v>
      </c>
    </row>
    <row r="2823" spans="1:64" x14ac:dyDescent="0.25">
      <c r="A2823" s="136">
        <v>43209</v>
      </c>
      <c r="B2823" s="201" t="s">
        <v>71</v>
      </c>
      <c r="C2823" t="s">
        <v>126</v>
      </c>
      <c r="D2823">
        <v>1700</v>
      </c>
      <c r="E2823">
        <v>1700</v>
      </c>
      <c r="F2823">
        <v>5.2080000000000002</v>
      </c>
      <c r="G2823">
        <v>2026.67</v>
      </c>
      <c r="H2823">
        <v>22.89</v>
      </c>
      <c r="I2823" s="309">
        <v>10880</v>
      </c>
      <c r="J2823">
        <v>6.4</v>
      </c>
      <c r="K2823" s="133">
        <v>2.27802799909976E-2</v>
      </c>
      <c r="L2823" s="181">
        <v>-17</v>
      </c>
      <c r="M2823" s="133">
        <v>1.8536887523225999E-2</v>
      </c>
      <c r="N2823" s="73">
        <v>2161.2060000000001</v>
      </c>
      <c r="O2823" s="73">
        <v>333.35268472222202</v>
      </c>
      <c r="P2823" s="182">
        <v>0</v>
      </c>
      <c r="Q2823" s="182">
        <v>0</v>
      </c>
      <c r="R2823" s="46">
        <v>0</v>
      </c>
      <c r="S2823" s="46">
        <v>4</v>
      </c>
      <c r="T2823" s="46">
        <v>1500</v>
      </c>
      <c r="U2823" s="46">
        <v>6.7679999999999998</v>
      </c>
      <c r="V2823" s="46" t="s">
        <v>68</v>
      </c>
      <c r="W2823" s="46">
        <v>1500</v>
      </c>
      <c r="X2823" s="46">
        <v>6.7679999999999998</v>
      </c>
      <c r="AF2823" s="46">
        <v>45</v>
      </c>
      <c r="AG2823" s="46">
        <v>22600</v>
      </c>
      <c r="AH2823" s="46">
        <v>144534.56</v>
      </c>
      <c r="AI2823" s="46">
        <v>6.3949999999999996</v>
      </c>
      <c r="AJ2823" s="46">
        <v>43</v>
      </c>
      <c r="AK2823" s="46">
        <v>19400</v>
      </c>
      <c r="AL2823" s="46">
        <v>125389.618</v>
      </c>
      <c r="AM2823" s="46">
        <v>6.4630000000000001</v>
      </c>
      <c r="AN2823" s="46" t="s">
        <v>63</v>
      </c>
      <c r="AO2823" s="46">
        <v>3200</v>
      </c>
      <c r="AP2823" s="46">
        <v>19144.941999999999</v>
      </c>
      <c r="AQ2823" s="46">
        <v>5.9829999999999997</v>
      </c>
      <c r="AR2823" s="46">
        <v>1319.2</v>
      </c>
      <c r="AS2823" s="46">
        <v>45</v>
      </c>
      <c r="AT2823" s="46">
        <v>22600</v>
      </c>
      <c r="AU2823" s="46">
        <v>144534.56</v>
      </c>
      <c r="AV2823" s="46">
        <v>6.3949999999999996</v>
      </c>
      <c r="AW2823" s="46">
        <v>47</v>
      </c>
      <c r="AX2823" s="46">
        <v>20900</v>
      </c>
      <c r="AY2823" s="46">
        <v>135518.56599999999</v>
      </c>
      <c r="AZ2823" s="46">
        <v>6.484</v>
      </c>
      <c r="BA2823" s="46" t="s">
        <v>63</v>
      </c>
      <c r="BB2823" s="46">
        <v>1700</v>
      </c>
      <c r="BC2823" s="46">
        <v>9015.9940000000006</v>
      </c>
      <c r="BD2823" s="46">
        <v>5.3040000000000003</v>
      </c>
      <c r="BE2823" s="46">
        <v>1860.1</v>
      </c>
      <c r="BF2823" s="46">
        <v>0</v>
      </c>
      <c r="BH2823" s="46">
        <v>10128.948</v>
      </c>
      <c r="BI2823">
        <v>6.75</v>
      </c>
      <c r="BJ2823">
        <v>-10128.948</v>
      </c>
      <c r="BK2823">
        <v>-6.75</v>
      </c>
      <c r="BL2823">
        <v>206.13</v>
      </c>
    </row>
    <row r="2824" spans="1:64" x14ac:dyDescent="0.25">
      <c r="A2824" s="136">
        <v>43209</v>
      </c>
      <c r="B2824" s="201" t="s">
        <v>79</v>
      </c>
      <c r="C2824" t="s">
        <v>143</v>
      </c>
      <c r="D2824">
        <v>5800</v>
      </c>
      <c r="E2824">
        <v>5800</v>
      </c>
      <c r="F2824">
        <v>16.260999999999999</v>
      </c>
      <c r="G2824">
        <v>-11489.71</v>
      </c>
      <c r="H2824">
        <v>-12.18</v>
      </c>
      <c r="I2824" s="309">
        <v>82824</v>
      </c>
      <c r="J2824">
        <v>14.28</v>
      </c>
      <c r="K2824" s="133">
        <v>0.17341488143146899</v>
      </c>
      <c r="L2824" s="181">
        <v>116</v>
      </c>
      <c r="M2824" s="133">
        <v>0.197471757425528</v>
      </c>
      <c r="N2824" s="73">
        <v>-11842.4200000001</v>
      </c>
      <c r="O2824" s="73">
        <v>-832.38388115331304</v>
      </c>
      <c r="P2824" s="182">
        <v>8</v>
      </c>
      <c r="Q2824" s="182">
        <v>4500</v>
      </c>
      <c r="R2824" s="46">
        <v>15.379</v>
      </c>
      <c r="S2824" s="46">
        <v>0</v>
      </c>
      <c r="T2824" s="46">
        <v>0</v>
      </c>
      <c r="U2824" s="46">
        <v>0</v>
      </c>
      <c r="V2824" s="46" t="s">
        <v>62</v>
      </c>
      <c r="W2824" s="46">
        <v>4500</v>
      </c>
      <c r="X2824" s="46">
        <v>15.379</v>
      </c>
      <c r="AF2824" s="46">
        <v>13</v>
      </c>
      <c r="AG2824" s="46">
        <v>6500</v>
      </c>
      <c r="AH2824" s="46">
        <v>103623.9</v>
      </c>
      <c r="AI2824" s="46">
        <v>15.942</v>
      </c>
      <c r="AJ2824" s="46">
        <v>13</v>
      </c>
      <c r="AK2824" s="46">
        <v>5200</v>
      </c>
      <c r="AL2824" s="46">
        <v>78553.179999999906</v>
      </c>
      <c r="AM2824" s="46">
        <v>15.106</v>
      </c>
      <c r="AN2824" s="46" t="s">
        <v>63</v>
      </c>
      <c r="AO2824" s="46">
        <v>1300</v>
      </c>
      <c r="AP2824" s="46">
        <v>25070.720000000001</v>
      </c>
      <c r="AQ2824" s="46">
        <v>19.285</v>
      </c>
      <c r="AR2824" s="46">
        <v>-4347.2</v>
      </c>
      <c r="AS2824" s="46">
        <v>21</v>
      </c>
      <c r="AT2824" s="46">
        <v>11000</v>
      </c>
      <c r="AU2824" s="46">
        <v>172871.6</v>
      </c>
      <c r="AV2824" s="46">
        <v>15.715999999999999</v>
      </c>
      <c r="AW2824" s="46">
        <v>13</v>
      </c>
      <c r="AX2824" s="46">
        <v>5200</v>
      </c>
      <c r="AY2824" s="46">
        <v>78553.179999999906</v>
      </c>
      <c r="AZ2824" s="46">
        <v>15.106</v>
      </c>
      <c r="BA2824" s="46" t="s">
        <v>63</v>
      </c>
      <c r="BB2824" s="46">
        <v>5800</v>
      </c>
      <c r="BC2824" s="46">
        <v>94318.42</v>
      </c>
      <c r="BD2824" s="46">
        <v>16.262</v>
      </c>
      <c r="BE2824" s="46">
        <v>-3172</v>
      </c>
      <c r="BF2824" s="46">
        <v>69247.699999999895</v>
      </c>
      <c r="BG2824" s="46">
        <v>15.39</v>
      </c>
      <c r="BH2824" s="46">
        <v>0</v>
      </c>
      <c r="BJ2824">
        <v>69247.7</v>
      </c>
      <c r="BK2824">
        <v>15.39</v>
      </c>
      <c r="BL2824">
        <v>-304.43</v>
      </c>
    </row>
    <row r="2825" spans="1:64" x14ac:dyDescent="0.25">
      <c r="A2825" s="136">
        <v>43209</v>
      </c>
      <c r="B2825" s="201" t="s">
        <v>65</v>
      </c>
      <c r="C2825" t="s">
        <v>127</v>
      </c>
      <c r="D2825">
        <v>16100</v>
      </c>
      <c r="E2825">
        <v>16100</v>
      </c>
      <c r="F2825">
        <v>9.3620000000000001</v>
      </c>
      <c r="G2825">
        <v>-2124.92</v>
      </c>
      <c r="H2825">
        <v>-1.41</v>
      </c>
      <c r="I2825" s="309">
        <v>148603</v>
      </c>
      <c r="J2825">
        <v>9.23</v>
      </c>
      <c r="K2825" s="133">
        <v>0.311141355468954</v>
      </c>
      <c r="L2825" s="181">
        <v>161</v>
      </c>
      <c r="M2825" s="133">
        <v>0.31559046140263702</v>
      </c>
      <c r="N2825" s="73">
        <v>-7695.3390000000099</v>
      </c>
      <c r="O2825" s="73">
        <v>-372.90476581968801</v>
      </c>
      <c r="P2825" s="182">
        <v>2</v>
      </c>
      <c r="Q2825" s="182">
        <v>1000</v>
      </c>
      <c r="R2825" s="46">
        <v>9.1950000000000003</v>
      </c>
      <c r="S2825" s="46">
        <v>9</v>
      </c>
      <c r="T2825" s="46">
        <v>3700</v>
      </c>
      <c r="U2825" s="46">
        <v>12.241</v>
      </c>
      <c r="V2825" s="46" t="s">
        <v>68</v>
      </c>
      <c r="W2825" s="46">
        <v>2700</v>
      </c>
      <c r="X2825" s="46">
        <v>13.369</v>
      </c>
      <c r="AF2825" s="46">
        <v>182</v>
      </c>
      <c r="AG2825" s="46">
        <v>96700</v>
      </c>
      <c r="AH2825" s="46">
        <v>1108500.2309999999</v>
      </c>
      <c r="AI2825" s="46">
        <v>11.462999999999999</v>
      </c>
      <c r="AJ2825" s="46">
        <v>201</v>
      </c>
      <c r="AK2825" s="46">
        <v>87100</v>
      </c>
      <c r="AL2825" s="46">
        <v>920940.18200000003</v>
      </c>
      <c r="AM2825" s="46">
        <v>10.573</v>
      </c>
      <c r="AN2825" s="46" t="s">
        <v>63</v>
      </c>
      <c r="AO2825" s="46">
        <v>9600</v>
      </c>
      <c r="AP2825" s="46">
        <v>187560.049</v>
      </c>
      <c r="AQ2825" s="46">
        <v>19.538</v>
      </c>
      <c r="AR2825" s="46">
        <v>-77519</v>
      </c>
      <c r="AS2825" s="46">
        <v>185</v>
      </c>
      <c r="AT2825" s="46">
        <v>97800</v>
      </c>
      <c r="AU2825" s="46">
        <v>1118993.2309999999</v>
      </c>
      <c r="AV2825" s="46">
        <v>11.442</v>
      </c>
      <c r="AW2825" s="46">
        <v>210</v>
      </c>
      <c r="AX2825" s="46">
        <v>90800</v>
      </c>
      <c r="AY2825" s="46">
        <v>966141.89</v>
      </c>
      <c r="AZ2825" s="46">
        <v>10.64</v>
      </c>
      <c r="BA2825" s="46" t="s">
        <v>63</v>
      </c>
      <c r="BB2825" s="46">
        <v>7000</v>
      </c>
      <c r="BC2825" s="46">
        <v>152851.34099999999</v>
      </c>
      <c r="BD2825" s="46">
        <v>21.835999999999999</v>
      </c>
      <c r="BE2825" s="46">
        <v>-72821.600000000006</v>
      </c>
      <c r="BF2825" s="46">
        <v>10493</v>
      </c>
      <c r="BG2825" s="46">
        <v>10.49</v>
      </c>
      <c r="BH2825" s="46">
        <v>45201.708000000101</v>
      </c>
      <c r="BI2825">
        <v>12.22</v>
      </c>
      <c r="BJ2825">
        <v>-34708.707999999999</v>
      </c>
      <c r="BK2825">
        <v>-12.86</v>
      </c>
      <c r="BL2825">
        <v>-8398.59</v>
      </c>
    </row>
    <row r="2826" spans="1:64" x14ac:dyDescent="0.25">
      <c r="A2826" s="136">
        <v>43209</v>
      </c>
      <c r="B2826" s="201" t="s">
        <v>77</v>
      </c>
      <c r="C2826" t="s">
        <v>128</v>
      </c>
      <c r="D2826">
        <v>4300</v>
      </c>
      <c r="E2826">
        <v>4300</v>
      </c>
      <c r="F2826">
        <v>5.9779999999999998</v>
      </c>
      <c r="G2826">
        <v>-595.27</v>
      </c>
      <c r="H2826">
        <v>-2.31</v>
      </c>
      <c r="I2826" s="309">
        <v>25112</v>
      </c>
      <c r="J2826">
        <v>5.84</v>
      </c>
      <c r="K2826" s="133">
        <v>5.25788962439276E-2</v>
      </c>
      <c r="L2826" s="181">
        <v>0</v>
      </c>
      <c r="M2826" s="133">
        <v>5.3825258125383503E-2</v>
      </c>
      <c r="N2826" s="73">
        <v>-1272.2139999999999</v>
      </c>
      <c r="O2826" s="73">
        <v>-133.073774655173</v>
      </c>
      <c r="P2826" s="182">
        <v>6</v>
      </c>
      <c r="Q2826" s="182">
        <v>3000</v>
      </c>
      <c r="R2826" s="46">
        <v>6.798</v>
      </c>
      <c r="S2826" s="46">
        <v>0</v>
      </c>
      <c r="T2826" s="46">
        <v>0</v>
      </c>
      <c r="U2826" s="46">
        <v>0</v>
      </c>
      <c r="V2826" s="46" t="s">
        <v>62</v>
      </c>
      <c r="W2826" s="46">
        <v>3000</v>
      </c>
      <c r="X2826" s="46">
        <v>6.798</v>
      </c>
      <c r="AF2826" s="46">
        <v>39</v>
      </c>
      <c r="AG2826" s="46">
        <v>19500</v>
      </c>
      <c r="AH2826" s="46">
        <v>142169</v>
      </c>
      <c r="AI2826" s="46">
        <v>7.2910000000000004</v>
      </c>
      <c r="AJ2826" s="46">
        <v>39</v>
      </c>
      <c r="AK2826" s="46">
        <v>18200</v>
      </c>
      <c r="AL2826" s="46">
        <v>136881.78599999999</v>
      </c>
      <c r="AM2826" s="46">
        <v>7.5209999999999999</v>
      </c>
      <c r="AN2826" s="46" t="s">
        <v>63</v>
      </c>
      <c r="AO2826" s="46">
        <v>1300</v>
      </c>
      <c r="AP2826" s="46">
        <v>5287.2139999999999</v>
      </c>
      <c r="AQ2826" s="46">
        <v>4.0670000000000002</v>
      </c>
      <c r="AR2826" s="46">
        <v>4186</v>
      </c>
      <c r="AS2826" s="46">
        <v>45</v>
      </c>
      <c r="AT2826" s="46">
        <v>22500</v>
      </c>
      <c r="AU2826" s="46">
        <v>162594</v>
      </c>
      <c r="AV2826" s="46">
        <v>7.226</v>
      </c>
      <c r="AW2826" s="46">
        <v>39</v>
      </c>
      <c r="AX2826" s="46">
        <v>18200</v>
      </c>
      <c r="AY2826" s="46">
        <v>136881.78599999999</v>
      </c>
      <c r="AZ2826" s="46">
        <v>7.5209999999999999</v>
      </c>
      <c r="BA2826" s="46" t="s">
        <v>63</v>
      </c>
      <c r="BB2826" s="46">
        <v>4300</v>
      </c>
      <c r="BC2826" s="46">
        <v>25712.214</v>
      </c>
      <c r="BD2826" s="46">
        <v>5.98</v>
      </c>
      <c r="BE2826" s="46">
        <v>5369</v>
      </c>
      <c r="BF2826" s="46">
        <v>20425</v>
      </c>
      <c r="BG2826" s="46">
        <v>6.81</v>
      </c>
      <c r="BH2826" s="46">
        <v>0</v>
      </c>
      <c r="BJ2826">
        <v>20425</v>
      </c>
      <c r="BK2826">
        <v>6.81</v>
      </c>
      <c r="BL2826">
        <v>716.78</v>
      </c>
    </row>
    <row r="2827" spans="1:64" x14ac:dyDescent="0.25">
      <c r="A2827" s="136">
        <v>43209</v>
      </c>
      <c r="B2827" s="201" t="s">
        <v>67</v>
      </c>
      <c r="C2827" t="s">
        <v>129</v>
      </c>
      <c r="D2827">
        <v>100</v>
      </c>
      <c r="E2827">
        <v>100</v>
      </c>
      <c r="F2827">
        <v>-31.292000000000002</v>
      </c>
      <c r="G2827">
        <v>4041.2</v>
      </c>
      <c r="H2827">
        <v>0</v>
      </c>
      <c r="I2827" s="309">
        <v>912</v>
      </c>
      <c r="J2827">
        <v>9.1199999999999992</v>
      </c>
      <c r="K2827" s="133">
        <v>1.9095234698336199E-3</v>
      </c>
      <c r="L2827" s="181">
        <v>44.379999999999697</v>
      </c>
      <c r="M2827" s="133">
        <v>0</v>
      </c>
      <c r="N2827" s="73">
        <v>4038.3784999997602</v>
      </c>
      <c r="O2827" s="73">
        <v>444.04392857533298</v>
      </c>
      <c r="P2827" s="182">
        <v>0</v>
      </c>
      <c r="Q2827" s="182">
        <v>0</v>
      </c>
      <c r="R2827" s="46">
        <v>0</v>
      </c>
      <c r="S2827" s="46">
        <v>24</v>
      </c>
      <c r="T2827" s="46">
        <v>9600</v>
      </c>
      <c r="U2827" s="46">
        <v>8.9969999999999999</v>
      </c>
      <c r="V2827" s="46" t="s">
        <v>68</v>
      </c>
      <c r="W2827" s="46">
        <v>9600</v>
      </c>
      <c r="X2827" s="46">
        <v>8.9969999999999999</v>
      </c>
      <c r="AF2827" s="46">
        <v>190</v>
      </c>
      <c r="AG2827" s="46">
        <v>94400</v>
      </c>
      <c r="AH2827" s="46">
        <v>786305</v>
      </c>
      <c r="AI2827" s="46">
        <v>8.33</v>
      </c>
      <c r="AJ2827" s="46">
        <v>193</v>
      </c>
      <c r="AK2827" s="46">
        <v>87300</v>
      </c>
      <c r="AL2827" s="46">
        <v>772394.3665</v>
      </c>
      <c r="AM2827" s="46">
        <v>8.8480000000000008</v>
      </c>
      <c r="AN2827" s="46" t="s">
        <v>63</v>
      </c>
      <c r="AO2827" s="46">
        <v>7100</v>
      </c>
      <c r="AP2827" s="46">
        <v>13910.633</v>
      </c>
      <c r="AQ2827" s="46">
        <v>1.9590000000000001</v>
      </c>
      <c r="AR2827" s="46">
        <v>45221.4</v>
      </c>
      <c r="AS2827" s="46">
        <v>190</v>
      </c>
      <c r="AT2827" s="46">
        <v>94400</v>
      </c>
      <c r="AU2827" s="46">
        <v>786305</v>
      </c>
      <c r="AV2827" s="46">
        <v>8.33</v>
      </c>
      <c r="AW2827" s="46">
        <v>217</v>
      </c>
      <c r="AX2827" s="46">
        <v>96900</v>
      </c>
      <c r="AY2827" s="46">
        <v>858562.49450000003</v>
      </c>
      <c r="AZ2827" s="46">
        <v>8.86</v>
      </c>
      <c r="BA2827" s="46" t="s">
        <v>69</v>
      </c>
      <c r="BB2827" s="46">
        <v>2500</v>
      </c>
      <c r="BC2827" s="46">
        <v>72257.494999999995</v>
      </c>
      <c r="BD2827" s="46">
        <v>28.902999999999999</v>
      </c>
      <c r="BE2827" s="46">
        <v>50032</v>
      </c>
      <c r="BF2827" s="46">
        <v>0</v>
      </c>
      <c r="BH2827" s="46">
        <v>86168.127999999997</v>
      </c>
      <c r="BI2827">
        <v>8.98</v>
      </c>
      <c r="BJ2827">
        <v>58346.862000000001</v>
      </c>
      <c r="BK2827">
        <v>6.08</v>
      </c>
      <c r="BL2827">
        <v>4958.49</v>
      </c>
    </row>
    <row r="2828" spans="1:64" x14ac:dyDescent="0.25">
      <c r="A2828" s="136">
        <v>43209</v>
      </c>
      <c r="B2828" s="201" t="s">
        <v>78</v>
      </c>
      <c r="C2828" t="s">
        <v>142</v>
      </c>
      <c r="D2828">
        <v>100</v>
      </c>
      <c r="E2828">
        <v>100</v>
      </c>
      <c r="F2828">
        <v>-4.9039999999999999</v>
      </c>
      <c r="G2828">
        <v>1490.4</v>
      </c>
      <c r="H2828">
        <v>0</v>
      </c>
      <c r="I2828" s="309">
        <v>1000</v>
      </c>
      <c r="J2828">
        <v>10</v>
      </c>
      <c r="K2828" s="133">
        <v>2.0937757344666901E-3</v>
      </c>
      <c r="L2828" s="181">
        <v>-3</v>
      </c>
      <c r="M2828" s="133">
        <v>0</v>
      </c>
      <c r="N2828" s="73">
        <v>1506.3910000000001</v>
      </c>
      <c r="O2828" s="73">
        <v>148.19269729330699</v>
      </c>
      <c r="P2828" s="182">
        <v>0</v>
      </c>
      <c r="Q2828" s="182">
        <v>0</v>
      </c>
      <c r="R2828" s="46">
        <v>0</v>
      </c>
      <c r="S2828" s="46">
        <v>3</v>
      </c>
      <c r="T2828" s="46">
        <v>1200</v>
      </c>
      <c r="U2828" s="46">
        <v>9.99</v>
      </c>
      <c r="V2828" s="46" t="s">
        <v>68</v>
      </c>
      <c r="W2828" s="46">
        <v>1200</v>
      </c>
      <c r="X2828" s="46">
        <v>9.99</v>
      </c>
      <c r="AF2828" s="46">
        <v>13</v>
      </c>
      <c r="AG2828" s="46">
        <v>6500</v>
      </c>
      <c r="AH2828" s="46">
        <v>62970</v>
      </c>
      <c r="AI2828" s="46">
        <v>9.6880000000000006</v>
      </c>
      <c r="AJ2828" s="46">
        <v>14</v>
      </c>
      <c r="AK2828" s="46">
        <v>5200</v>
      </c>
      <c r="AL2828" s="46">
        <v>51499.379000000001</v>
      </c>
      <c r="AM2828" s="46">
        <v>9.9039999999999999</v>
      </c>
      <c r="AN2828" s="46" t="s">
        <v>63</v>
      </c>
      <c r="AO2828" s="46">
        <v>1300</v>
      </c>
      <c r="AP2828" s="46">
        <v>11470.620999999999</v>
      </c>
      <c r="AQ2828" s="46">
        <v>8.8239999999999998</v>
      </c>
      <c r="AR2828" s="46">
        <v>1123.2</v>
      </c>
      <c r="AS2828" s="46">
        <v>13</v>
      </c>
      <c r="AT2828" s="46">
        <v>6500</v>
      </c>
      <c r="AU2828" s="46">
        <v>62970</v>
      </c>
      <c r="AV2828" s="46">
        <v>9.6880000000000006</v>
      </c>
      <c r="AW2828" s="46">
        <v>17</v>
      </c>
      <c r="AX2828" s="46">
        <v>6400</v>
      </c>
      <c r="AY2828" s="46">
        <v>63460.391000000003</v>
      </c>
      <c r="AZ2828" s="46">
        <v>9.9160000000000004</v>
      </c>
      <c r="BA2828" s="46" t="s">
        <v>63</v>
      </c>
      <c r="BB2828" s="46">
        <v>100</v>
      </c>
      <c r="BC2828" s="46">
        <v>490.39100000000002</v>
      </c>
      <c r="BD2828" s="46">
        <v>4.9039999999999999</v>
      </c>
      <c r="BE2828" s="46">
        <v>1459.2</v>
      </c>
      <c r="BF2828" s="46">
        <v>0</v>
      </c>
      <c r="BH2828" s="46">
        <v>11961.012000000001</v>
      </c>
      <c r="BI2828">
        <v>9.9700000000000006</v>
      </c>
      <c r="BJ2828">
        <v>-10980.23</v>
      </c>
      <c r="BK2828">
        <v>-9.15</v>
      </c>
      <c r="BL2828">
        <v>112.32</v>
      </c>
    </row>
    <row r="2829" spans="1:64" x14ac:dyDescent="0.25">
      <c r="A2829" s="136">
        <v>43209</v>
      </c>
      <c r="B2829" s="201" t="s">
        <v>72</v>
      </c>
      <c r="C2829" t="s">
        <v>130</v>
      </c>
      <c r="D2829">
        <v>3300</v>
      </c>
      <c r="E2829">
        <v>3300</v>
      </c>
      <c r="F2829">
        <v>6.7370000000000001</v>
      </c>
      <c r="G2829">
        <v>-1013.06</v>
      </c>
      <c r="H2829">
        <v>-4.5599999999999996</v>
      </c>
      <c r="I2829" s="309">
        <v>21219</v>
      </c>
      <c r="J2829">
        <v>6.43</v>
      </c>
      <c r="K2829" s="133">
        <v>4.4427827309648699E-2</v>
      </c>
      <c r="L2829" s="181">
        <v>231</v>
      </c>
      <c r="M2829" s="133">
        <v>4.6548947755207501E-2</v>
      </c>
      <c r="N2829" s="73">
        <v>-1531.75999999999</v>
      </c>
      <c r="O2829" s="73">
        <v>-206.52917586750499</v>
      </c>
      <c r="P2829" s="182">
        <v>0</v>
      </c>
      <c r="Q2829" s="182">
        <v>0</v>
      </c>
      <c r="R2829" s="46">
        <v>0</v>
      </c>
      <c r="S2829" s="46">
        <v>12</v>
      </c>
      <c r="T2829" s="46">
        <v>4800</v>
      </c>
      <c r="U2829" s="46">
        <v>7.5119999999999996</v>
      </c>
      <c r="V2829" s="46" t="s">
        <v>68</v>
      </c>
      <c r="W2829" s="46">
        <v>4800</v>
      </c>
      <c r="X2829" s="46">
        <v>7.5119999999999996</v>
      </c>
      <c r="AF2829" s="46">
        <v>36</v>
      </c>
      <c r="AG2829" s="46">
        <v>17900</v>
      </c>
      <c r="AH2829" s="46">
        <v>133787</v>
      </c>
      <c r="AI2829" s="46">
        <v>7.4740000000000002</v>
      </c>
      <c r="AJ2829" s="46">
        <v>36</v>
      </c>
      <c r="AK2829" s="46">
        <v>16400</v>
      </c>
      <c r="AL2829" s="46">
        <v>76327.481</v>
      </c>
      <c r="AM2829" s="46">
        <v>4.6539999999999999</v>
      </c>
      <c r="AN2829" s="46" t="s">
        <v>63</v>
      </c>
      <c r="AO2829" s="46">
        <v>1500</v>
      </c>
      <c r="AP2829" s="46">
        <v>57459.519</v>
      </c>
      <c r="AQ2829" s="46">
        <v>38.305999999999997</v>
      </c>
      <c r="AR2829" s="46">
        <v>-46248</v>
      </c>
      <c r="AS2829" s="46">
        <v>36</v>
      </c>
      <c r="AT2829" s="46">
        <v>17900</v>
      </c>
      <c r="AU2829" s="46">
        <v>133787</v>
      </c>
      <c r="AV2829" s="46">
        <v>7.4740000000000002</v>
      </c>
      <c r="AW2829" s="46">
        <v>49</v>
      </c>
      <c r="AX2829" s="46">
        <v>21700</v>
      </c>
      <c r="AY2829" s="46">
        <v>112287.425</v>
      </c>
      <c r="AZ2829" s="46">
        <v>5.1749999999999998</v>
      </c>
      <c r="BA2829" s="46" t="s">
        <v>69</v>
      </c>
      <c r="BB2829" s="46">
        <v>3800</v>
      </c>
      <c r="BC2829" s="46">
        <v>21499.575000000001</v>
      </c>
      <c r="BD2829" s="46">
        <v>5.6580000000000004</v>
      </c>
      <c r="BE2829" s="46">
        <v>-41152.1</v>
      </c>
      <c r="BF2829" s="46">
        <v>0</v>
      </c>
      <c r="BH2829" s="46">
        <v>35959.944000000003</v>
      </c>
      <c r="BI2829">
        <v>7.49</v>
      </c>
      <c r="BJ2829">
        <v>-35959.944000000003</v>
      </c>
      <c r="BK2829">
        <v>-7.49</v>
      </c>
      <c r="BL2829">
        <v>-7192.53</v>
      </c>
    </row>
    <row r="2830" spans="1:64" x14ac:dyDescent="0.25">
      <c r="A2830" s="136">
        <v>43209</v>
      </c>
      <c r="B2830" s="201" t="s">
        <v>70</v>
      </c>
      <c r="C2830" t="s">
        <v>131</v>
      </c>
      <c r="D2830">
        <v>11100</v>
      </c>
      <c r="E2830">
        <v>11100</v>
      </c>
      <c r="F2830">
        <v>11.728</v>
      </c>
      <c r="G2830">
        <v>-28389.61</v>
      </c>
      <c r="H2830">
        <v>-21.81</v>
      </c>
      <c r="I2830" s="309">
        <v>101787</v>
      </c>
      <c r="J2830">
        <v>9.17</v>
      </c>
      <c r="K2830" s="133">
        <v>0.21311915068416101</v>
      </c>
      <c r="L2830" s="181">
        <v>2437.71</v>
      </c>
      <c r="M2830" s="133">
        <v>0.27256062721313401</v>
      </c>
      <c r="N2830" s="73">
        <v>-27949.615000000002</v>
      </c>
      <c r="O2830" s="73">
        <v>-3033.1856886536402</v>
      </c>
      <c r="P2830" s="182">
        <v>2</v>
      </c>
      <c r="Q2830" s="182">
        <v>1000</v>
      </c>
      <c r="R2830" s="46">
        <v>8.08</v>
      </c>
      <c r="S2830" s="46">
        <v>6</v>
      </c>
      <c r="T2830" s="46">
        <v>2500</v>
      </c>
      <c r="U2830" s="46">
        <v>8.9860000000000007</v>
      </c>
      <c r="V2830" s="46" t="s">
        <v>68</v>
      </c>
      <c r="W2830" s="46">
        <v>1500</v>
      </c>
      <c r="X2830" s="46">
        <v>9.59</v>
      </c>
      <c r="AF2830" s="46">
        <v>136</v>
      </c>
      <c r="AG2830" s="46">
        <v>69600</v>
      </c>
      <c r="AH2830" s="46">
        <v>903588</v>
      </c>
      <c r="AI2830" s="46">
        <v>12.983000000000001</v>
      </c>
      <c r="AJ2830" s="46">
        <v>142</v>
      </c>
      <c r="AK2830" s="46">
        <v>57000</v>
      </c>
      <c r="AL2830" s="46">
        <v>758679.85</v>
      </c>
      <c r="AM2830" s="46">
        <v>13.31</v>
      </c>
      <c r="AN2830" s="46" t="s">
        <v>63</v>
      </c>
      <c r="AO2830" s="46">
        <v>12600</v>
      </c>
      <c r="AP2830" s="46">
        <v>144908.15</v>
      </c>
      <c r="AQ2830" s="46">
        <v>11.500999999999999</v>
      </c>
      <c r="AR2830" s="46">
        <v>18639</v>
      </c>
      <c r="AS2830" s="46">
        <v>138</v>
      </c>
      <c r="AT2830" s="46">
        <v>70600</v>
      </c>
      <c r="AU2830" s="46">
        <v>911678</v>
      </c>
      <c r="AV2830" s="46">
        <v>12.913</v>
      </c>
      <c r="AW2830" s="46">
        <v>149</v>
      </c>
      <c r="AX2830" s="46">
        <v>59500</v>
      </c>
      <c r="AY2830" s="46">
        <v>781497.38500000001</v>
      </c>
      <c r="AZ2830" s="46">
        <v>13.134</v>
      </c>
      <c r="BA2830" s="46" t="s">
        <v>63</v>
      </c>
      <c r="BB2830" s="46">
        <v>11100</v>
      </c>
      <c r="BC2830" s="46">
        <v>130180.61500000001</v>
      </c>
      <c r="BD2830" s="46">
        <v>11.728</v>
      </c>
      <c r="BE2830" s="46">
        <v>13149.5</v>
      </c>
      <c r="BF2830" s="46">
        <v>8090</v>
      </c>
      <c r="BG2830" s="46">
        <v>8.09</v>
      </c>
      <c r="BH2830" s="46">
        <v>22817.535</v>
      </c>
      <c r="BI2830">
        <v>9.1300000000000008</v>
      </c>
      <c r="BJ2830">
        <v>-14727.535</v>
      </c>
      <c r="BK2830">
        <v>-9.82</v>
      </c>
      <c r="BL2830">
        <v>2032.61</v>
      </c>
    </row>
    <row r="2831" spans="1:64" x14ac:dyDescent="0.25">
      <c r="A2831" s="136">
        <v>43209</v>
      </c>
      <c r="B2831" s="201" t="s">
        <v>137</v>
      </c>
      <c r="C2831" t="s">
        <v>149</v>
      </c>
      <c r="D2831">
        <v>100</v>
      </c>
      <c r="E2831">
        <v>100</v>
      </c>
      <c r="F2831">
        <v>-130.48500000000001</v>
      </c>
      <c r="G2831">
        <v>17569.5</v>
      </c>
      <c r="H2831">
        <v>0</v>
      </c>
      <c r="I2831" s="309">
        <v>4521</v>
      </c>
      <c r="J2831">
        <v>45.21</v>
      </c>
      <c r="K2831" s="133">
        <v>9.4659600955239107E-3</v>
      </c>
      <c r="L2831" s="181">
        <v>201</v>
      </c>
      <c r="M2831" s="133">
        <v>0</v>
      </c>
    </row>
    <row r="2832" spans="1:64" x14ac:dyDescent="0.25">
      <c r="A2832" s="136">
        <v>43209</v>
      </c>
      <c r="B2832" s="201" t="s">
        <v>835</v>
      </c>
      <c r="C2832" t="s">
        <v>839</v>
      </c>
      <c r="I2832" s="309">
        <v>24106.7</v>
      </c>
      <c r="K2832" s="133">
        <v>5.0474023498068198E-2</v>
      </c>
      <c r="L2832" s="181">
        <v>0</v>
      </c>
      <c r="M2832" s="133">
        <v>0.13465505159932301</v>
      </c>
    </row>
    <row r="2833" spans="1:64" x14ac:dyDescent="0.25">
      <c r="A2833" s="136">
        <v>43213</v>
      </c>
      <c r="B2833" s="201" t="s">
        <v>132</v>
      </c>
      <c r="C2833" t="s">
        <v>123</v>
      </c>
      <c r="D2833">
        <v>4021571</v>
      </c>
      <c r="E2833">
        <v>4021571</v>
      </c>
      <c r="F2833">
        <v>8.9999999999999993E-3</v>
      </c>
      <c r="G2833">
        <v>3461.27</v>
      </c>
      <c r="H2833">
        <v>11.11</v>
      </c>
      <c r="I2833" s="309">
        <v>40215.71</v>
      </c>
      <c r="J2833">
        <v>0.01</v>
      </c>
      <c r="K2833" s="133">
        <v>8.50976725864174E-2</v>
      </c>
      <c r="L2833" s="181">
        <v>10.340000000000099</v>
      </c>
      <c r="M2833" s="133">
        <v>0</v>
      </c>
    </row>
    <row r="2834" spans="1:64" x14ac:dyDescent="0.25">
      <c r="A2834" s="136">
        <v>43213</v>
      </c>
      <c r="B2834" s="201" t="s">
        <v>61</v>
      </c>
      <c r="C2834" t="s">
        <v>136</v>
      </c>
      <c r="D2834">
        <v>3400</v>
      </c>
      <c r="E2834">
        <v>3400</v>
      </c>
      <c r="F2834">
        <v>5.1180000000000003</v>
      </c>
      <c r="G2834">
        <v>-1762.05</v>
      </c>
      <c r="H2834">
        <v>-10.119999999999999</v>
      </c>
      <c r="I2834" s="309">
        <v>15640</v>
      </c>
      <c r="J2834">
        <v>4.5999999999999996</v>
      </c>
      <c r="K2834" s="133">
        <v>3.3094718438430398E-2</v>
      </c>
      <c r="L2834" s="181">
        <v>-204</v>
      </c>
      <c r="M2834" s="133">
        <v>3.6823270140759999E-2</v>
      </c>
      <c r="N2834" s="73">
        <v>-1257.8409999999999</v>
      </c>
      <c r="O2834" s="73">
        <v>-264.67622726315699</v>
      </c>
      <c r="P2834" s="182">
        <v>5</v>
      </c>
      <c r="Q2834" s="182">
        <v>2500</v>
      </c>
      <c r="R2834" s="46">
        <v>5.1239999999999997</v>
      </c>
      <c r="S2834" s="46">
        <v>0</v>
      </c>
      <c r="T2834" s="46">
        <v>0</v>
      </c>
      <c r="U2834" s="46">
        <v>0</v>
      </c>
      <c r="V2834" s="46" t="s">
        <v>62</v>
      </c>
      <c r="W2834" s="46">
        <v>2500</v>
      </c>
      <c r="X2834" s="46">
        <v>5.1239999999999997</v>
      </c>
      <c r="AF2834" s="46">
        <v>10</v>
      </c>
      <c r="AG2834" s="46">
        <v>5000</v>
      </c>
      <c r="AH2834" s="46">
        <v>26378</v>
      </c>
      <c r="AI2834" s="46">
        <v>5.2759999999999998</v>
      </c>
      <c r="AJ2834" s="46">
        <v>10</v>
      </c>
      <c r="AK2834" s="46">
        <v>4100</v>
      </c>
      <c r="AL2834" s="46">
        <v>21806.659</v>
      </c>
      <c r="AM2834" s="46">
        <v>5.319</v>
      </c>
      <c r="AN2834" s="46" t="s">
        <v>63</v>
      </c>
      <c r="AO2834" s="46">
        <v>900</v>
      </c>
      <c r="AP2834" s="46">
        <v>4571.3410000000003</v>
      </c>
      <c r="AQ2834" s="46">
        <v>5.0789999999999997</v>
      </c>
      <c r="AR2834" s="46">
        <v>176.3</v>
      </c>
      <c r="AS2834" s="46">
        <v>15</v>
      </c>
      <c r="AT2834" s="46">
        <v>7500</v>
      </c>
      <c r="AU2834" s="46">
        <v>39214.5</v>
      </c>
      <c r="AV2834" s="46">
        <v>5.2290000000000001</v>
      </c>
      <c r="AW2834" s="46">
        <v>10</v>
      </c>
      <c r="AX2834" s="46">
        <v>4100</v>
      </c>
      <c r="AY2834" s="46">
        <v>21806.659</v>
      </c>
      <c r="AZ2834" s="46">
        <v>5.319</v>
      </c>
      <c r="BA2834" s="46" t="s">
        <v>63</v>
      </c>
      <c r="BB2834" s="46">
        <v>3400</v>
      </c>
      <c r="BC2834" s="46">
        <v>17407.841</v>
      </c>
      <c r="BD2834" s="46">
        <v>5.12</v>
      </c>
      <c r="BE2834" s="46">
        <v>369</v>
      </c>
      <c r="BF2834" s="46">
        <v>12836.5</v>
      </c>
      <c r="BG2834" s="46">
        <v>5.13</v>
      </c>
      <c r="BH2834" s="46">
        <v>0</v>
      </c>
      <c r="BJ2834">
        <v>12836.5</v>
      </c>
      <c r="BK2834">
        <v>5.13</v>
      </c>
      <c r="BL2834">
        <v>38.33</v>
      </c>
    </row>
    <row r="2835" spans="1:64" x14ac:dyDescent="0.25">
      <c r="A2835" s="136">
        <v>43213</v>
      </c>
      <c r="B2835" s="201" t="s">
        <v>124</v>
      </c>
      <c r="C2835" t="s">
        <v>125</v>
      </c>
      <c r="D2835">
        <v>100</v>
      </c>
      <c r="E2835">
        <v>100</v>
      </c>
      <c r="F2835">
        <v>-53.579000000000001</v>
      </c>
      <c r="G2835">
        <v>5959.9</v>
      </c>
      <c r="H2835">
        <v>0</v>
      </c>
      <c r="I2835" s="309">
        <v>602</v>
      </c>
      <c r="J2835">
        <v>6.02</v>
      </c>
      <c r="K2835" s="133">
        <v>1.2738504155968701E-3</v>
      </c>
      <c r="L2835" s="181">
        <v>10</v>
      </c>
      <c r="M2835" s="133">
        <v>0</v>
      </c>
    </row>
    <row r="2836" spans="1:64" x14ac:dyDescent="0.25">
      <c r="A2836" s="136">
        <v>43213</v>
      </c>
      <c r="B2836" s="201" t="s">
        <v>71</v>
      </c>
      <c r="C2836" t="s">
        <v>126</v>
      </c>
      <c r="D2836">
        <v>1700</v>
      </c>
      <c r="E2836">
        <v>1700</v>
      </c>
      <c r="F2836">
        <v>5.2080000000000002</v>
      </c>
      <c r="G2836">
        <v>1992.67</v>
      </c>
      <c r="H2836">
        <v>22.5</v>
      </c>
      <c r="I2836" s="309">
        <v>10846</v>
      </c>
      <c r="J2836">
        <v>6.38</v>
      </c>
      <c r="K2836" s="133">
        <v>2.2950467786650601E-2</v>
      </c>
      <c r="L2836" s="181">
        <v>-34</v>
      </c>
      <c r="M2836" s="133">
        <v>1.8733917109495402E-2</v>
      </c>
      <c r="N2836" s="73">
        <v>2161.2060000000001</v>
      </c>
      <c r="O2836" s="73">
        <v>333.35268472222202</v>
      </c>
      <c r="P2836" s="182">
        <v>0</v>
      </c>
      <c r="Q2836" s="182">
        <v>0</v>
      </c>
      <c r="R2836" s="46">
        <v>0</v>
      </c>
      <c r="S2836" s="46">
        <v>4</v>
      </c>
      <c r="T2836" s="46">
        <v>1500</v>
      </c>
      <c r="U2836" s="46">
        <v>6.7679999999999998</v>
      </c>
      <c r="V2836" s="46" t="s">
        <v>68</v>
      </c>
      <c r="W2836" s="46">
        <v>1500</v>
      </c>
      <c r="X2836" s="46">
        <v>6.7679999999999998</v>
      </c>
      <c r="AF2836" s="46">
        <v>45</v>
      </c>
      <c r="AG2836" s="46">
        <v>22600</v>
      </c>
      <c r="AH2836" s="46">
        <v>144534.56</v>
      </c>
      <c r="AI2836" s="46">
        <v>6.3949999999999996</v>
      </c>
      <c r="AJ2836" s="46">
        <v>43</v>
      </c>
      <c r="AK2836" s="46">
        <v>19400</v>
      </c>
      <c r="AL2836" s="46">
        <v>125389.618</v>
      </c>
      <c r="AM2836" s="46">
        <v>6.4630000000000001</v>
      </c>
      <c r="AN2836" s="46" t="s">
        <v>63</v>
      </c>
      <c r="AO2836" s="46">
        <v>3200</v>
      </c>
      <c r="AP2836" s="46">
        <v>19144.941999999999</v>
      </c>
      <c r="AQ2836" s="46">
        <v>5.9829999999999997</v>
      </c>
      <c r="AR2836" s="46">
        <v>1319.2</v>
      </c>
      <c r="AS2836" s="46">
        <v>45</v>
      </c>
      <c r="AT2836" s="46">
        <v>22600</v>
      </c>
      <c r="AU2836" s="46">
        <v>144534.56</v>
      </c>
      <c r="AV2836" s="46">
        <v>6.3949999999999996</v>
      </c>
      <c r="AW2836" s="46">
        <v>47</v>
      </c>
      <c r="AX2836" s="46">
        <v>20900</v>
      </c>
      <c r="AY2836" s="46">
        <v>135518.56599999999</v>
      </c>
      <c r="AZ2836" s="46">
        <v>6.484</v>
      </c>
      <c r="BA2836" s="46" t="s">
        <v>63</v>
      </c>
      <c r="BB2836" s="46">
        <v>1700</v>
      </c>
      <c r="BC2836" s="46">
        <v>9015.9940000000006</v>
      </c>
      <c r="BD2836" s="46">
        <v>5.3040000000000003</v>
      </c>
      <c r="BE2836" s="46">
        <v>1860.1</v>
      </c>
      <c r="BF2836" s="46">
        <v>0</v>
      </c>
      <c r="BH2836" s="46">
        <v>10128.948</v>
      </c>
      <c r="BI2836">
        <v>6.75</v>
      </c>
      <c r="BJ2836">
        <v>-10128.948</v>
      </c>
      <c r="BK2836">
        <v>-6.75</v>
      </c>
      <c r="BL2836">
        <v>206.77</v>
      </c>
    </row>
    <row r="2837" spans="1:64" x14ac:dyDescent="0.25">
      <c r="A2837" s="136">
        <v>43213</v>
      </c>
      <c r="B2837" s="201" t="s">
        <v>79</v>
      </c>
      <c r="C2837" t="s">
        <v>143</v>
      </c>
      <c r="D2837">
        <v>6300</v>
      </c>
      <c r="E2837">
        <v>5800</v>
      </c>
      <c r="F2837">
        <v>16.077000000000002</v>
      </c>
      <c r="G2837">
        <v>-13524.85</v>
      </c>
      <c r="H2837">
        <v>-13.35</v>
      </c>
      <c r="I2837" s="309">
        <v>87759</v>
      </c>
      <c r="J2837">
        <v>13.93</v>
      </c>
      <c r="K2837" s="133">
        <v>0.185700728608581</v>
      </c>
      <c r="L2837" s="181">
        <v>-2035.14</v>
      </c>
      <c r="M2837" s="133">
        <v>0.214319724943108</v>
      </c>
      <c r="N2837" s="73">
        <v>-13529.720000000099</v>
      </c>
      <c r="O2837" s="73">
        <v>-970.77926346016602</v>
      </c>
      <c r="P2837" s="182">
        <v>9</v>
      </c>
      <c r="Q2837" s="182">
        <v>5000</v>
      </c>
      <c r="R2837" s="46">
        <v>15.234</v>
      </c>
      <c r="S2837" s="46">
        <v>0</v>
      </c>
      <c r="T2837" s="46">
        <v>0</v>
      </c>
      <c r="U2837" s="46">
        <v>0</v>
      </c>
      <c r="V2837" s="46" t="s">
        <v>62</v>
      </c>
      <c r="W2837" s="46">
        <v>5000</v>
      </c>
      <c r="X2837" s="46">
        <v>15.234</v>
      </c>
      <c r="AF2837" s="46">
        <v>13</v>
      </c>
      <c r="AG2837" s="46">
        <v>6500</v>
      </c>
      <c r="AH2837" s="46">
        <v>103623.9</v>
      </c>
      <c r="AI2837" s="46">
        <v>15.942</v>
      </c>
      <c r="AJ2837" s="46">
        <v>13</v>
      </c>
      <c r="AK2837" s="46">
        <v>5200</v>
      </c>
      <c r="AL2837" s="46">
        <v>78553.179999999906</v>
      </c>
      <c r="AM2837" s="46">
        <v>15.106</v>
      </c>
      <c r="AN2837" s="46" t="s">
        <v>63</v>
      </c>
      <c r="AO2837" s="46">
        <v>1300</v>
      </c>
      <c r="AP2837" s="46">
        <v>25070.720000000001</v>
      </c>
      <c r="AQ2837" s="46">
        <v>19.285</v>
      </c>
      <c r="AR2837" s="46">
        <v>-4347.2</v>
      </c>
      <c r="AS2837" s="46">
        <v>22</v>
      </c>
      <c r="AT2837" s="46">
        <v>11500</v>
      </c>
      <c r="AU2837" s="46">
        <v>179841.9</v>
      </c>
      <c r="AV2837" s="46">
        <v>15.638</v>
      </c>
      <c r="AW2837" s="46">
        <v>13</v>
      </c>
      <c r="AX2837" s="46">
        <v>5200</v>
      </c>
      <c r="AY2837" s="46">
        <v>78553.179999999906</v>
      </c>
      <c r="AZ2837" s="46">
        <v>15.106</v>
      </c>
      <c r="BA2837" s="46" t="s">
        <v>63</v>
      </c>
      <c r="BB2837" s="46">
        <v>6300</v>
      </c>
      <c r="BC2837" s="46">
        <v>101288.72</v>
      </c>
      <c r="BD2837" s="46">
        <v>16.077999999999999</v>
      </c>
      <c r="BE2837" s="46">
        <v>-2766.4</v>
      </c>
      <c r="BF2837" s="46">
        <v>76217.999999999898</v>
      </c>
      <c r="BG2837" s="46">
        <v>15.24</v>
      </c>
      <c r="BH2837" s="46">
        <v>0</v>
      </c>
      <c r="BJ2837">
        <v>76218</v>
      </c>
      <c r="BK2837">
        <v>15.24</v>
      </c>
      <c r="BL2837">
        <v>-312.07</v>
      </c>
    </row>
    <row r="2838" spans="1:64" x14ac:dyDescent="0.25">
      <c r="A2838" s="136">
        <v>43213</v>
      </c>
      <c r="B2838" s="201" t="s">
        <v>65</v>
      </c>
      <c r="C2838" t="s">
        <v>127</v>
      </c>
      <c r="D2838">
        <v>17100</v>
      </c>
      <c r="E2838">
        <v>16600</v>
      </c>
      <c r="F2838">
        <v>9.343</v>
      </c>
      <c r="G2838">
        <v>-3986.92</v>
      </c>
      <c r="H2838">
        <v>-2.4900000000000002</v>
      </c>
      <c r="I2838" s="309">
        <v>155781</v>
      </c>
      <c r="J2838">
        <v>9.11</v>
      </c>
      <c r="K2838" s="133">
        <v>0.32963736144866501</v>
      </c>
      <c r="L2838" s="181">
        <v>-1862</v>
      </c>
      <c r="M2838" s="133">
        <v>0.338073806131309</v>
      </c>
      <c r="N2838" s="73">
        <v>-9466.33900000004</v>
      </c>
      <c r="O2838" s="73">
        <v>-573.25144991705497</v>
      </c>
      <c r="P2838" s="182">
        <v>3</v>
      </c>
      <c r="Q2838" s="182">
        <v>1500</v>
      </c>
      <c r="R2838" s="46">
        <v>9.1</v>
      </c>
      <c r="S2838" s="46">
        <v>8</v>
      </c>
      <c r="T2838" s="46">
        <v>3300</v>
      </c>
      <c r="U2838" s="46">
        <v>12.547000000000001</v>
      </c>
      <c r="V2838" s="46" t="s">
        <v>68</v>
      </c>
      <c r="W2838" s="46">
        <v>1800</v>
      </c>
      <c r="X2838" s="46">
        <v>15.42</v>
      </c>
      <c r="AF2838" s="46">
        <v>183</v>
      </c>
      <c r="AG2838" s="46">
        <v>97200</v>
      </c>
      <c r="AH2838" s="46">
        <v>1113080.2309999999</v>
      </c>
      <c r="AI2838" s="46">
        <v>11.451000000000001</v>
      </c>
      <c r="AJ2838" s="46">
        <v>202</v>
      </c>
      <c r="AK2838" s="46">
        <v>87500</v>
      </c>
      <c r="AL2838" s="46">
        <v>924819.29399999999</v>
      </c>
      <c r="AM2838" s="46">
        <v>10.569000000000001</v>
      </c>
      <c r="AN2838" s="46" t="s">
        <v>63</v>
      </c>
      <c r="AO2838" s="46">
        <v>9700</v>
      </c>
      <c r="AP2838" s="46">
        <v>188260.93700000001</v>
      </c>
      <c r="AQ2838" s="46">
        <v>19.408000000000001</v>
      </c>
      <c r="AR2838" s="46">
        <v>-77175</v>
      </c>
      <c r="AS2838" s="46">
        <v>187</v>
      </c>
      <c r="AT2838" s="46">
        <v>98800</v>
      </c>
      <c r="AU2838" s="46">
        <v>1128033.2309999999</v>
      </c>
      <c r="AV2838" s="46">
        <v>11.417</v>
      </c>
      <c r="AW2838" s="46">
        <v>210</v>
      </c>
      <c r="AX2838" s="46">
        <v>90800</v>
      </c>
      <c r="AY2838" s="46">
        <v>966141.89</v>
      </c>
      <c r="AZ2838" s="46">
        <v>10.64</v>
      </c>
      <c r="BA2838" s="46" t="s">
        <v>63</v>
      </c>
      <c r="BB2838" s="46">
        <v>8000</v>
      </c>
      <c r="BC2838" s="46">
        <v>161891.34099999999</v>
      </c>
      <c r="BD2838" s="46">
        <v>20.236000000000001</v>
      </c>
      <c r="BE2838" s="46">
        <v>-70551.600000000006</v>
      </c>
      <c r="BF2838" s="46">
        <v>14953</v>
      </c>
      <c r="BG2838" s="46">
        <v>9.9700000000000006</v>
      </c>
      <c r="BH2838" s="46">
        <v>41322.5960000001</v>
      </c>
      <c r="BI2838">
        <v>12.52</v>
      </c>
      <c r="BJ2838">
        <v>-26369.596000000001</v>
      </c>
      <c r="BK2838">
        <v>-14.65</v>
      </c>
      <c r="BL2838">
        <v>-8471.4599999999991</v>
      </c>
    </row>
    <row r="2839" spans="1:64" x14ac:dyDescent="0.25">
      <c r="A2839" s="136">
        <v>43213</v>
      </c>
      <c r="B2839" s="201" t="s">
        <v>77</v>
      </c>
      <c r="C2839" t="s">
        <v>128</v>
      </c>
      <c r="D2839">
        <v>4300</v>
      </c>
      <c r="E2839">
        <v>4300</v>
      </c>
      <c r="F2839">
        <v>5.9779999999999998</v>
      </c>
      <c r="G2839">
        <v>-595.27</v>
      </c>
      <c r="H2839">
        <v>-2.31</v>
      </c>
      <c r="I2839" s="309">
        <v>25112</v>
      </c>
      <c r="J2839">
        <v>5.84</v>
      </c>
      <c r="K2839" s="133">
        <v>5.3137760193469503E-2</v>
      </c>
      <c r="L2839" s="181">
        <v>0</v>
      </c>
      <c r="M2839" s="133">
        <v>5.4397369723191001E-2</v>
      </c>
      <c r="N2839" s="73">
        <v>-1272.2139999999999</v>
      </c>
      <c r="O2839" s="73">
        <v>-133.073774655173</v>
      </c>
      <c r="P2839" s="182">
        <v>6</v>
      </c>
      <c r="Q2839" s="182">
        <v>3000</v>
      </c>
      <c r="R2839" s="46">
        <v>6.798</v>
      </c>
      <c r="S2839" s="46">
        <v>0</v>
      </c>
      <c r="T2839" s="46">
        <v>0</v>
      </c>
      <c r="U2839" s="46">
        <v>0</v>
      </c>
      <c r="V2839" s="46" t="s">
        <v>62</v>
      </c>
      <c r="W2839" s="46">
        <v>3000</v>
      </c>
      <c r="X2839" s="46">
        <v>6.798</v>
      </c>
      <c r="AF2839" s="46">
        <v>39</v>
      </c>
      <c r="AG2839" s="46">
        <v>19500</v>
      </c>
      <c r="AH2839" s="46">
        <v>142169</v>
      </c>
      <c r="AI2839" s="46">
        <v>7.2910000000000004</v>
      </c>
      <c r="AJ2839" s="46">
        <v>39</v>
      </c>
      <c r="AK2839" s="46">
        <v>18200</v>
      </c>
      <c r="AL2839" s="46">
        <v>136881.78599999999</v>
      </c>
      <c r="AM2839" s="46">
        <v>7.5209999999999999</v>
      </c>
      <c r="AN2839" s="46" t="s">
        <v>63</v>
      </c>
      <c r="AO2839" s="46">
        <v>1300</v>
      </c>
      <c r="AP2839" s="46">
        <v>5287.2139999999999</v>
      </c>
      <c r="AQ2839" s="46">
        <v>4.0670000000000002</v>
      </c>
      <c r="AR2839" s="46">
        <v>4186</v>
      </c>
      <c r="AS2839" s="46">
        <v>45</v>
      </c>
      <c r="AT2839" s="46">
        <v>22500</v>
      </c>
      <c r="AU2839" s="46">
        <v>162594</v>
      </c>
      <c r="AV2839" s="46">
        <v>7.226</v>
      </c>
      <c r="AW2839" s="46">
        <v>39</v>
      </c>
      <c r="AX2839" s="46">
        <v>18200</v>
      </c>
      <c r="AY2839" s="46">
        <v>136881.78599999999</v>
      </c>
      <c r="AZ2839" s="46">
        <v>7.5209999999999999</v>
      </c>
      <c r="BA2839" s="46" t="s">
        <v>63</v>
      </c>
      <c r="BB2839" s="46">
        <v>4300</v>
      </c>
      <c r="BC2839" s="46">
        <v>25712.214</v>
      </c>
      <c r="BD2839" s="46">
        <v>5.98</v>
      </c>
      <c r="BE2839" s="46">
        <v>5369</v>
      </c>
      <c r="BF2839" s="46">
        <v>20425</v>
      </c>
      <c r="BG2839" s="46">
        <v>6.81</v>
      </c>
      <c r="BH2839" s="46">
        <v>0</v>
      </c>
      <c r="BJ2839">
        <v>20425</v>
      </c>
      <c r="BK2839">
        <v>6.81</v>
      </c>
      <c r="BL2839">
        <v>716.78</v>
      </c>
    </row>
    <row r="2840" spans="1:64" x14ac:dyDescent="0.25">
      <c r="A2840" s="136">
        <v>43213</v>
      </c>
      <c r="B2840" s="201" t="s">
        <v>67</v>
      </c>
      <c r="C2840" t="s">
        <v>129</v>
      </c>
      <c r="D2840">
        <v>600</v>
      </c>
      <c r="E2840">
        <v>600</v>
      </c>
      <c r="F2840">
        <v>2.3010000000000002</v>
      </c>
      <c r="G2840">
        <v>4067.18</v>
      </c>
      <c r="H2840">
        <v>294.61</v>
      </c>
      <c r="I2840" s="309">
        <v>5448</v>
      </c>
      <c r="J2840">
        <v>9.08</v>
      </c>
      <c r="K2840" s="133">
        <v>1.15281346580926E-2</v>
      </c>
      <c r="L2840" s="181">
        <v>25.98</v>
      </c>
      <c r="M2840" s="133">
        <v>2.9218573602399901E-3</v>
      </c>
      <c r="N2840" s="73">
        <v>4025.3784999997602</v>
      </c>
      <c r="O2840" s="73">
        <v>446.544485099864</v>
      </c>
      <c r="P2840" s="182">
        <v>1</v>
      </c>
      <c r="Q2840" s="182">
        <v>500</v>
      </c>
      <c r="R2840" s="46">
        <v>9.01</v>
      </c>
      <c r="S2840" s="46">
        <v>24</v>
      </c>
      <c r="T2840" s="46">
        <v>9600</v>
      </c>
      <c r="U2840" s="46">
        <v>8.9969999999999999</v>
      </c>
      <c r="V2840" s="46" t="s">
        <v>68</v>
      </c>
      <c r="W2840" s="46">
        <v>9100</v>
      </c>
      <c r="X2840" s="46">
        <v>8.9960000000000004</v>
      </c>
      <c r="AF2840" s="46">
        <v>190</v>
      </c>
      <c r="AG2840" s="46">
        <v>94400</v>
      </c>
      <c r="AH2840" s="46">
        <v>786305</v>
      </c>
      <c r="AI2840" s="46">
        <v>8.33</v>
      </c>
      <c r="AJ2840" s="46">
        <v>193</v>
      </c>
      <c r="AK2840" s="46">
        <v>87300</v>
      </c>
      <c r="AL2840" s="46">
        <v>772394.3665</v>
      </c>
      <c r="AM2840" s="46">
        <v>8.8480000000000008</v>
      </c>
      <c r="AN2840" s="46" t="s">
        <v>63</v>
      </c>
      <c r="AO2840" s="46">
        <v>7100</v>
      </c>
      <c r="AP2840" s="46">
        <v>13910.633</v>
      </c>
      <c r="AQ2840" s="46">
        <v>1.9590000000000001</v>
      </c>
      <c r="AR2840" s="46">
        <v>45221.4</v>
      </c>
      <c r="AS2840" s="46">
        <v>191</v>
      </c>
      <c r="AT2840" s="46">
        <v>94900</v>
      </c>
      <c r="AU2840" s="46">
        <v>790815</v>
      </c>
      <c r="AV2840" s="46">
        <v>8.3330000000000002</v>
      </c>
      <c r="AW2840" s="46">
        <v>217</v>
      </c>
      <c r="AX2840" s="46">
        <v>96900</v>
      </c>
      <c r="AY2840" s="46">
        <v>858562.49450000003</v>
      </c>
      <c r="AZ2840" s="46">
        <v>8.86</v>
      </c>
      <c r="BA2840" s="46" t="s">
        <v>69</v>
      </c>
      <c r="BB2840" s="46">
        <v>2000</v>
      </c>
      <c r="BC2840" s="46">
        <v>67747.494999999995</v>
      </c>
      <c r="BD2840" s="46">
        <v>33.874000000000002</v>
      </c>
      <c r="BE2840" s="46">
        <v>50012.3</v>
      </c>
      <c r="BF2840" s="46">
        <v>4510</v>
      </c>
      <c r="BG2840" s="46">
        <v>9.02</v>
      </c>
      <c r="BH2840" s="46">
        <v>86168.127999999997</v>
      </c>
      <c r="BI2840">
        <v>8.98</v>
      </c>
      <c r="BJ2840">
        <v>53836.862000000001</v>
      </c>
      <c r="BK2840">
        <v>5.92</v>
      </c>
      <c r="BL2840">
        <v>4980.33</v>
      </c>
    </row>
    <row r="2841" spans="1:64" x14ac:dyDescent="0.25">
      <c r="A2841" s="136">
        <v>43213</v>
      </c>
      <c r="B2841" s="201" t="s">
        <v>78</v>
      </c>
      <c r="C2841" t="s">
        <v>142</v>
      </c>
      <c r="D2841">
        <v>600</v>
      </c>
      <c r="E2841">
        <v>100</v>
      </c>
      <c r="F2841">
        <v>6.9409999999999998</v>
      </c>
      <c r="G2841">
        <v>1445.39</v>
      </c>
      <c r="H2841">
        <v>34.71</v>
      </c>
      <c r="I2841" s="309">
        <v>5610</v>
      </c>
      <c r="J2841">
        <v>9.35</v>
      </c>
      <c r="K2841" s="133">
        <v>1.18709316137848E-2</v>
      </c>
      <c r="L2841" s="181">
        <v>-45.01</v>
      </c>
      <c r="M2841" s="133">
        <v>8.8124421583038008E-3</v>
      </c>
      <c r="N2841" s="73">
        <v>1415.3910000000001</v>
      </c>
      <c r="O2841" s="73">
        <v>152.11648435483801</v>
      </c>
      <c r="P2841" s="182">
        <v>0</v>
      </c>
      <c r="Q2841" s="182">
        <v>0</v>
      </c>
      <c r="R2841" s="46">
        <v>0</v>
      </c>
      <c r="S2841" s="46">
        <v>2</v>
      </c>
      <c r="T2841" s="46">
        <v>800</v>
      </c>
      <c r="U2841" s="46">
        <v>10.210000000000001</v>
      </c>
      <c r="V2841" s="46" t="s">
        <v>68</v>
      </c>
      <c r="W2841" s="46">
        <v>800</v>
      </c>
      <c r="X2841" s="46">
        <v>10.210000000000001</v>
      </c>
      <c r="AF2841" s="46">
        <v>14</v>
      </c>
      <c r="AG2841" s="46">
        <v>7000</v>
      </c>
      <c r="AH2841" s="46">
        <v>67625</v>
      </c>
      <c r="AI2841" s="46">
        <v>9.6609999999999996</v>
      </c>
      <c r="AJ2841" s="46">
        <v>15</v>
      </c>
      <c r="AK2841" s="46">
        <v>5600</v>
      </c>
      <c r="AL2841" s="46">
        <v>55310.559000000001</v>
      </c>
      <c r="AM2841" s="46">
        <v>9.8770000000000007</v>
      </c>
      <c r="AN2841" s="46" t="s">
        <v>63</v>
      </c>
      <c r="AO2841" s="46">
        <v>1400</v>
      </c>
      <c r="AP2841" s="46">
        <v>12314.441000000001</v>
      </c>
      <c r="AQ2841" s="46">
        <v>8.7959999999999994</v>
      </c>
      <c r="AR2841" s="46">
        <v>1209.5999999999999</v>
      </c>
      <c r="AS2841" s="46">
        <v>14</v>
      </c>
      <c r="AT2841" s="46">
        <v>7000</v>
      </c>
      <c r="AU2841" s="46">
        <v>67625</v>
      </c>
      <c r="AV2841" s="46">
        <v>9.6609999999999996</v>
      </c>
      <c r="AW2841" s="46">
        <v>17</v>
      </c>
      <c r="AX2841" s="46">
        <v>6400</v>
      </c>
      <c r="AY2841" s="46">
        <v>63460.391000000003</v>
      </c>
      <c r="AZ2841" s="46">
        <v>9.9160000000000004</v>
      </c>
      <c r="BA2841" s="46" t="s">
        <v>63</v>
      </c>
      <c r="BB2841" s="46">
        <v>600</v>
      </c>
      <c r="BC2841" s="46">
        <v>4164.6090000000004</v>
      </c>
      <c r="BD2841" s="46">
        <v>6.9409999999999998</v>
      </c>
      <c r="BE2841" s="46">
        <v>1632</v>
      </c>
      <c r="BF2841" s="46">
        <v>0</v>
      </c>
      <c r="BH2841" s="46">
        <v>8149.8320000000003</v>
      </c>
      <c r="BI2841">
        <v>10.19</v>
      </c>
      <c r="BJ2841">
        <v>-8149.8320000000003</v>
      </c>
      <c r="BK2841">
        <v>-10.19</v>
      </c>
      <c r="BL2841">
        <v>129.37</v>
      </c>
    </row>
    <row r="2842" spans="1:64" x14ac:dyDescent="0.25">
      <c r="A2842" s="136">
        <v>43213</v>
      </c>
      <c r="B2842" s="201" t="s">
        <v>72</v>
      </c>
      <c r="C2842" t="s">
        <v>130</v>
      </c>
      <c r="D2842">
        <v>2500</v>
      </c>
      <c r="E2842">
        <v>2100</v>
      </c>
      <c r="F2842">
        <v>6.774</v>
      </c>
      <c r="G2842">
        <v>-60.37</v>
      </c>
      <c r="H2842">
        <v>-0.35</v>
      </c>
      <c r="I2842" s="309">
        <v>16875</v>
      </c>
      <c r="J2842">
        <v>6.75</v>
      </c>
      <c r="K2842" s="133">
        <v>3.5708016217935602E-2</v>
      </c>
      <c r="L2842" s="181">
        <v>952.69</v>
      </c>
      <c r="M2842" s="133">
        <v>3.5835760984695701E-2</v>
      </c>
      <c r="N2842" s="73">
        <v>-582.07199999999204</v>
      </c>
      <c r="O2842" s="73">
        <v>-54.326066214174801</v>
      </c>
      <c r="P2842" s="182">
        <v>0</v>
      </c>
      <c r="Q2842" s="182">
        <v>0</v>
      </c>
      <c r="R2842" s="46">
        <v>0</v>
      </c>
      <c r="S2842" s="46">
        <v>14</v>
      </c>
      <c r="T2842" s="46">
        <v>5600</v>
      </c>
      <c r="U2842" s="46">
        <v>7.3869999999999996</v>
      </c>
      <c r="V2842" s="46" t="s">
        <v>68</v>
      </c>
      <c r="W2842" s="46">
        <v>5600</v>
      </c>
      <c r="X2842" s="46">
        <v>7.3869999999999996</v>
      </c>
      <c r="AF2842" s="46">
        <v>36</v>
      </c>
      <c r="AG2842" s="46">
        <v>17900</v>
      </c>
      <c r="AH2842" s="46">
        <v>133787</v>
      </c>
      <c r="AI2842" s="46">
        <v>7.4740000000000002</v>
      </c>
      <c r="AJ2842" s="46">
        <v>36</v>
      </c>
      <c r="AK2842" s="46">
        <v>16400</v>
      </c>
      <c r="AL2842" s="46">
        <v>76327.481</v>
      </c>
      <c r="AM2842" s="46">
        <v>4.6539999999999999</v>
      </c>
      <c r="AN2842" s="46" t="s">
        <v>63</v>
      </c>
      <c r="AO2842" s="46">
        <v>1500</v>
      </c>
      <c r="AP2842" s="46">
        <v>57459.519</v>
      </c>
      <c r="AQ2842" s="46">
        <v>38.305999999999997</v>
      </c>
      <c r="AR2842" s="46">
        <v>-46248</v>
      </c>
      <c r="AS2842" s="46">
        <v>36</v>
      </c>
      <c r="AT2842" s="46">
        <v>17900</v>
      </c>
      <c r="AU2842" s="46">
        <v>133787</v>
      </c>
      <c r="AV2842" s="46">
        <v>7.4740000000000002</v>
      </c>
      <c r="AW2842" s="46">
        <v>51</v>
      </c>
      <c r="AX2842" s="46">
        <v>22500</v>
      </c>
      <c r="AY2842" s="46">
        <v>117584.113</v>
      </c>
      <c r="AZ2842" s="46">
        <v>5.226</v>
      </c>
      <c r="BA2842" s="46" t="s">
        <v>69</v>
      </c>
      <c r="BB2842" s="46">
        <v>4600</v>
      </c>
      <c r="BC2842" s="46">
        <v>16202.887000000001</v>
      </c>
      <c r="BD2842" s="46">
        <v>3.5219999999999998</v>
      </c>
      <c r="BE2842" s="46">
        <v>-40239.199999999997</v>
      </c>
      <c r="BF2842" s="46">
        <v>0</v>
      </c>
      <c r="BH2842" s="46">
        <v>41256.631999999998</v>
      </c>
      <c r="BI2842">
        <v>7.37</v>
      </c>
      <c r="BJ2842">
        <v>-41256.631999999998</v>
      </c>
      <c r="BK2842">
        <v>-7.37</v>
      </c>
      <c r="BL2842">
        <v>-6851.56</v>
      </c>
    </row>
    <row r="2843" spans="1:64" x14ac:dyDescent="0.25">
      <c r="A2843" s="136">
        <v>43213</v>
      </c>
      <c r="B2843" s="201" t="s">
        <v>70</v>
      </c>
      <c r="C2843" t="s">
        <v>131</v>
      </c>
      <c r="D2843">
        <v>11100</v>
      </c>
      <c r="E2843">
        <v>11100</v>
      </c>
      <c r="F2843">
        <v>11.728</v>
      </c>
      <c r="G2843">
        <v>-29832.61</v>
      </c>
      <c r="H2843">
        <v>-22.92</v>
      </c>
      <c r="I2843" s="309">
        <v>100344</v>
      </c>
      <c r="J2843">
        <v>9.0399999999999991</v>
      </c>
      <c r="K2843" s="133">
        <v>0.21233097359244599</v>
      </c>
      <c r="L2843" s="181">
        <v>-1443</v>
      </c>
      <c r="M2843" s="133">
        <v>0.275457688952644</v>
      </c>
      <c r="N2843" s="73">
        <v>-27949.615000000002</v>
      </c>
      <c r="O2843" s="73">
        <v>-3033.1856886536402</v>
      </c>
      <c r="P2843" s="182">
        <v>2</v>
      </c>
      <c r="Q2843" s="182">
        <v>1000</v>
      </c>
      <c r="R2843" s="46">
        <v>8.08</v>
      </c>
      <c r="S2843" s="46">
        <v>6</v>
      </c>
      <c r="T2843" s="46">
        <v>2500</v>
      </c>
      <c r="U2843" s="46">
        <v>8.9860000000000007</v>
      </c>
      <c r="V2843" s="46" t="s">
        <v>68</v>
      </c>
      <c r="W2843" s="46">
        <v>1500</v>
      </c>
      <c r="X2843" s="46">
        <v>9.59</v>
      </c>
      <c r="AF2843" s="46">
        <v>136</v>
      </c>
      <c r="AG2843" s="46">
        <v>69600</v>
      </c>
      <c r="AH2843" s="46">
        <v>903588</v>
      </c>
      <c r="AI2843" s="46">
        <v>12.983000000000001</v>
      </c>
      <c r="AJ2843" s="46">
        <v>142</v>
      </c>
      <c r="AK2843" s="46">
        <v>57000</v>
      </c>
      <c r="AL2843" s="46">
        <v>758679.85</v>
      </c>
      <c r="AM2843" s="46">
        <v>13.31</v>
      </c>
      <c r="AN2843" s="46" t="s">
        <v>63</v>
      </c>
      <c r="AO2843" s="46">
        <v>12600</v>
      </c>
      <c r="AP2843" s="46">
        <v>144908.15</v>
      </c>
      <c r="AQ2843" s="46">
        <v>11.500999999999999</v>
      </c>
      <c r="AR2843" s="46">
        <v>18639</v>
      </c>
      <c r="AS2843" s="46">
        <v>138</v>
      </c>
      <c r="AT2843" s="46">
        <v>70600</v>
      </c>
      <c r="AU2843" s="46">
        <v>911678</v>
      </c>
      <c r="AV2843" s="46">
        <v>12.913</v>
      </c>
      <c r="AW2843" s="46">
        <v>149</v>
      </c>
      <c r="AX2843" s="46">
        <v>59500</v>
      </c>
      <c r="AY2843" s="46">
        <v>781497.38500000001</v>
      </c>
      <c r="AZ2843" s="46">
        <v>13.134</v>
      </c>
      <c r="BA2843" s="46" t="s">
        <v>63</v>
      </c>
      <c r="BB2843" s="46">
        <v>11100</v>
      </c>
      <c r="BC2843" s="46">
        <v>130180.61500000001</v>
      </c>
      <c r="BD2843" s="46">
        <v>11.728</v>
      </c>
      <c r="BE2843" s="46">
        <v>13149.5</v>
      </c>
      <c r="BF2843" s="46">
        <v>8090</v>
      </c>
      <c r="BG2843" s="46">
        <v>8.09</v>
      </c>
      <c r="BH2843" s="46">
        <v>22817.535</v>
      </c>
      <c r="BI2843">
        <v>9.1300000000000008</v>
      </c>
      <c r="BJ2843">
        <v>-14727.535</v>
      </c>
      <c r="BK2843">
        <v>-9.82</v>
      </c>
      <c r="BL2843">
        <v>2061.84</v>
      </c>
    </row>
    <row r="2844" spans="1:64" x14ac:dyDescent="0.25">
      <c r="A2844" s="136">
        <v>43213</v>
      </c>
      <c r="B2844" s="201" t="s">
        <v>137</v>
      </c>
      <c r="C2844" t="s">
        <v>149</v>
      </c>
      <c r="D2844">
        <v>100</v>
      </c>
      <c r="E2844">
        <v>100</v>
      </c>
      <c r="F2844">
        <v>-130.48500000000001</v>
      </c>
      <c r="G2844">
        <v>17170.5</v>
      </c>
      <c r="H2844">
        <v>0</v>
      </c>
      <c r="I2844" s="309">
        <v>4122</v>
      </c>
      <c r="J2844">
        <v>41.22</v>
      </c>
      <c r="K2844" s="133">
        <v>8.7222780948344007E-3</v>
      </c>
      <c r="L2844" s="181">
        <v>-399</v>
      </c>
      <c r="M2844" s="133">
        <v>0</v>
      </c>
    </row>
    <row r="2845" spans="1:64" x14ac:dyDescent="0.25">
      <c r="A2845" s="136">
        <v>43213</v>
      </c>
      <c r="B2845" s="201" t="s">
        <v>835</v>
      </c>
      <c r="C2845" t="s">
        <v>839</v>
      </c>
      <c r="I2845" s="309">
        <v>4228.25</v>
      </c>
      <c r="K2845" s="133">
        <v>8.9471063450954694E-3</v>
      </c>
      <c r="L2845" s="181">
        <v>0</v>
      </c>
      <c r="M2845" s="133">
        <v>9.4044778931512904E-2</v>
      </c>
    </row>
    <row r="2846" spans="1:64" x14ac:dyDescent="0.25">
      <c r="A2846" s="136">
        <v>43214</v>
      </c>
      <c r="B2846" s="201" t="s">
        <v>132</v>
      </c>
      <c r="C2846" t="s">
        <v>123</v>
      </c>
      <c r="D2846">
        <v>4022552</v>
      </c>
      <c r="E2846">
        <v>4022552</v>
      </c>
      <c r="F2846">
        <v>8.9999999999999993E-3</v>
      </c>
      <c r="G2846">
        <v>3471.08</v>
      </c>
      <c r="H2846">
        <v>11.11</v>
      </c>
      <c r="I2846" s="309">
        <v>40225.519999999997</v>
      </c>
      <c r="J2846">
        <v>0.01</v>
      </c>
      <c r="K2846" s="133">
        <v>8.3941094125724799E-2</v>
      </c>
      <c r="L2846" s="181">
        <v>9.8099999999999508</v>
      </c>
      <c r="M2846" s="133">
        <v>0</v>
      </c>
    </row>
    <row r="2847" spans="1:64" x14ac:dyDescent="0.25">
      <c r="A2847" s="136">
        <v>43214</v>
      </c>
      <c r="B2847" s="201" t="s">
        <v>61</v>
      </c>
      <c r="C2847" t="s">
        <v>136</v>
      </c>
      <c r="D2847">
        <v>3400</v>
      </c>
      <c r="E2847">
        <v>3400</v>
      </c>
      <c r="F2847">
        <v>5.1180000000000003</v>
      </c>
      <c r="G2847">
        <v>-1592.05</v>
      </c>
      <c r="H2847">
        <v>-9.14</v>
      </c>
      <c r="I2847" s="309">
        <v>15810</v>
      </c>
      <c r="J2847">
        <v>4.6500000000000004</v>
      </c>
      <c r="K2847" s="133">
        <v>3.2991710191135101E-2</v>
      </c>
      <c r="L2847" s="181">
        <v>170</v>
      </c>
      <c r="M2847" s="133">
        <v>3.6313939932425203E-2</v>
      </c>
      <c r="N2847" s="73">
        <v>-1257.8409999999999</v>
      </c>
      <c r="O2847" s="73">
        <v>-264.67622726315699</v>
      </c>
      <c r="P2847" s="182">
        <v>5</v>
      </c>
      <c r="Q2847" s="182">
        <v>2500</v>
      </c>
      <c r="R2847" s="46">
        <v>5.1239999999999997</v>
      </c>
      <c r="S2847" s="46">
        <v>0</v>
      </c>
      <c r="T2847" s="46">
        <v>0</v>
      </c>
      <c r="U2847" s="46">
        <v>0</v>
      </c>
      <c r="V2847" s="46" t="s">
        <v>62</v>
      </c>
      <c r="W2847" s="46">
        <v>2500</v>
      </c>
      <c r="X2847" s="46">
        <v>5.1239999999999997</v>
      </c>
      <c r="AF2847" s="46">
        <v>10</v>
      </c>
      <c r="AG2847" s="46">
        <v>5000</v>
      </c>
      <c r="AH2847" s="46">
        <v>26378</v>
      </c>
      <c r="AI2847" s="46">
        <v>5.2759999999999998</v>
      </c>
      <c r="AJ2847" s="46">
        <v>10</v>
      </c>
      <c r="AK2847" s="46">
        <v>4100</v>
      </c>
      <c r="AL2847" s="46">
        <v>21806.659</v>
      </c>
      <c r="AM2847" s="46">
        <v>5.319</v>
      </c>
      <c r="AN2847" s="46" t="s">
        <v>63</v>
      </c>
      <c r="AO2847" s="46">
        <v>900</v>
      </c>
      <c r="AP2847" s="46">
        <v>4571.3410000000003</v>
      </c>
      <c r="AQ2847" s="46">
        <v>5.0789999999999997</v>
      </c>
      <c r="AR2847" s="46">
        <v>176.3</v>
      </c>
      <c r="AS2847" s="46">
        <v>15</v>
      </c>
      <c r="AT2847" s="46">
        <v>7500</v>
      </c>
      <c r="AU2847" s="46">
        <v>39214.5</v>
      </c>
      <c r="AV2847" s="46">
        <v>5.2290000000000001</v>
      </c>
      <c r="AW2847" s="46">
        <v>10</v>
      </c>
      <c r="AX2847" s="46">
        <v>4100</v>
      </c>
      <c r="AY2847" s="46">
        <v>21806.659</v>
      </c>
      <c r="AZ2847" s="46">
        <v>5.319</v>
      </c>
      <c r="BA2847" s="46" t="s">
        <v>63</v>
      </c>
      <c r="BB2847" s="46">
        <v>3400</v>
      </c>
      <c r="BC2847" s="46">
        <v>17407.841</v>
      </c>
      <c r="BD2847" s="46">
        <v>5.12</v>
      </c>
      <c r="BE2847" s="46">
        <v>369</v>
      </c>
      <c r="BF2847" s="46">
        <v>12836.5</v>
      </c>
      <c r="BG2847" s="46">
        <v>5.13</v>
      </c>
      <c r="BH2847" s="46">
        <v>0</v>
      </c>
      <c r="BJ2847">
        <v>12836.5</v>
      </c>
      <c r="BK2847">
        <v>5.13</v>
      </c>
      <c r="BL2847">
        <v>37.909999999999997</v>
      </c>
    </row>
    <row r="2848" spans="1:64" x14ac:dyDescent="0.25">
      <c r="A2848" s="136">
        <v>43214</v>
      </c>
      <c r="B2848" s="201" t="s">
        <v>124</v>
      </c>
      <c r="C2848" t="s">
        <v>125</v>
      </c>
      <c r="D2848">
        <v>100</v>
      </c>
      <c r="E2848">
        <v>100</v>
      </c>
      <c r="F2848">
        <v>-53.579000000000001</v>
      </c>
      <c r="G2848">
        <v>5965.9</v>
      </c>
      <c r="H2848">
        <v>0</v>
      </c>
      <c r="I2848" s="309">
        <v>608</v>
      </c>
      <c r="J2848">
        <v>6.08</v>
      </c>
      <c r="K2848" s="133">
        <v>1.2687514102599699E-3</v>
      </c>
      <c r="L2848" s="181">
        <v>6</v>
      </c>
      <c r="M2848" s="133">
        <v>0</v>
      </c>
    </row>
    <row r="2849" spans="1:64" x14ac:dyDescent="0.25">
      <c r="A2849" s="136">
        <v>43214</v>
      </c>
      <c r="B2849" s="201" t="s">
        <v>71</v>
      </c>
      <c r="C2849" t="s">
        <v>126</v>
      </c>
      <c r="D2849">
        <v>1700</v>
      </c>
      <c r="E2849">
        <v>1700</v>
      </c>
      <c r="F2849">
        <v>5.2080000000000002</v>
      </c>
      <c r="G2849">
        <v>2162.67</v>
      </c>
      <c r="H2849">
        <v>24.42</v>
      </c>
      <c r="I2849" s="309">
        <v>11016</v>
      </c>
      <c r="J2849">
        <v>6.48</v>
      </c>
      <c r="K2849" s="133">
        <v>2.2987772262210299E-2</v>
      </c>
      <c r="L2849" s="181">
        <v>170</v>
      </c>
      <c r="M2849" s="133">
        <v>1.8474794281244902E-2</v>
      </c>
      <c r="N2849" s="73">
        <v>2161.2060000000001</v>
      </c>
      <c r="O2849" s="73">
        <v>333.35268472222202</v>
      </c>
      <c r="P2849" s="182">
        <v>0</v>
      </c>
      <c r="Q2849" s="182">
        <v>0</v>
      </c>
      <c r="R2849" s="46">
        <v>0</v>
      </c>
      <c r="S2849" s="46">
        <v>4</v>
      </c>
      <c r="T2849" s="46">
        <v>1500</v>
      </c>
      <c r="U2849" s="46">
        <v>6.7679999999999998</v>
      </c>
      <c r="V2849" s="46" t="s">
        <v>68</v>
      </c>
      <c r="W2849" s="46">
        <v>1500</v>
      </c>
      <c r="X2849" s="46">
        <v>6.7679999999999998</v>
      </c>
      <c r="AF2849" s="46">
        <v>45</v>
      </c>
      <c r="AG2849" s="46">
        <v>22600</v>
      </c>
      <c r="AH2849" s="46">
        <v>144534.56</v>
      </c>
      <c r="AI2849" s="46">
        <v>6.3949999999999996</v>
      </c>
      <c r="AJ2849" s="46">
        <v>43</v>
      </c>
      <c r="AK2849" s="46">
        <v>19400</v>
      </c>
      <c r="AL2849" s="46">
        <v>125389.618</v>
      </c>
      <c r="AM2849" s="46">
        <v>6.4630000000000001</v>
      </c>
      <c r="AN2849" s="46" t="s">
        <v>63</v>
      </c>
      <c r="AO2849" s="46">
        <v>3200</v>
      </c>
      <c r="AP2849" s="46">
        <v>19144.941999999999</v>
      </c>
      <c r="AQ2849" s="46">
        <v>5.9829999999999997</v>
      </c>
      <c r="AR2849" s="46">
        <v>1319.2</v>
      </c>
      <c r="AS2849" s="46">
        <v>45</v>
      </c>
      <c r="AT2849" s="46">
        <v>22600</v>
      </c>
      <c r="AU2849" s="46">
        <v>144534.56</v>
      </c>
      <c r="AV2849" s="46">
        <v>6.3949999999999996</v>
      </c>
      <c r="AW2849" s="46">
        <v>47</v>
      </c>
      <c r="AX2849" s="46">
        <v>20900</v>
      </c>
      <c r="AY2849" s="46">
        <v>135518.56599999999</v>
      </c>
      <c r="AZ2849" s="46">
        <v>6.484</v>
      </c>
      <c r="BA2849" s="46" t="s">
        <v>63</v>
      </c>
      <c r="BB2849" s="46">
        <v>1700</v>
      </c>
      <c r="BC2849" s="46">
        <v>9015.9940000000006</v>
      </c>
      <c r="BD2849" s="46">
        <v>5.3040000000000003</v>
      </c>
      <c r="BE2849" s="46">
        <v>1860.1</v>
      </c>
      <c r="BF2849" s="46">
        <v>0</v>
      </c>
      <c r="BH2849" s="46">
        <v>10128.948</v>
      </c>
      <c r="BI2849">
        <v>6.75</v>
      </c>
      <c r="BJ2849">
        <v>-10128.948</v>
      </c>
      <c r="BK2849">
        <v>-6.75</v>
      </c>
      <c r="BL2849">
        <v>203.58</v>
      </c>
    </row>
    <row r="2850" spans="1:64" x14ac:dyDescent="0.25">
      <c r="A2850" s="136">
        <v>43214</v>
      </c>
      <c r="B2850" s="201" t="s">
        <v>79</v>
      </c>
      <c r="C2850" t="s">
        <v>143</v>
      </c>
      <c r="D2850">
        <v>5900</v>
      </c>
      <c r="E2850">
        <v>5900</v>
      </c>
      <c r="F2850">
        <v>16.209</v>
      </c>
      <c r="G2850">
        <v>-11736.62</v>
      </c>
      <c r="H2850">
        <v>-12.27</v>
      </c>
      <c r="I2850" s="309">
        <v>83898</v>
      </c>
      <c r="J2850">
        <v>14.22</v>
      </c>
      <c r="K2850" s="133">
        <v>0.175075174042748</v>
      </c>
      <c r="L2850" s="181">
        <v>1788.23</v>
      </c>
      <c r="M2850" s="133">
        <v>0.19956670887282299</v>
      </c>
      <c r="N2850" s="73">
        <v>-12154.620000000101</v>
      </c>
      <c r="O2850" s="73">
        <v>-858.55425371025603</v>
      </c>
      <c r="P2850" s="182">
        <v>8</v>
      </c>
      <c r="Q2850" s="182">
        <v>4500</v>
      </c>
      <c r="R2850" s="46">
        <v>15.353999999999999</v>
      </c>
      <c r="S2850" s="46">
        <v>0</v>
      </c>
      <c r="T2850" s="46">
        <v>0</v>
      </c>
      <c r="U2850" s="46">
        <v>0</v>
      </c>
      <c r="V2850" s="46" t="s">
        <v>62</v>
      </c>
      <c r="W2850" s="46">
        <v>4500</v>
      </c>
      <c r="X2850" s="46">
        <v>15.353999999999999</v>
      </c>
      <c r="AF2850" s="46">
        <v>14</v>
      </c>
      <c r="AG2850" s="46">
        <v>7000</v>
      </c>
      <c r="AH2850" s="46">
        <v>110704.2</v>
      </c>
      <c r="AI2850" s="46">
        <v>15.815</v>
      </c>
      <c r="AJ2850" s="46">
        <v>14</v>
      </c>
      <c r="AK2850" s="46">
        <v>5600</v>
      </c>
      <c r="AL2850" s="46">
        <v>84202.279999999897</v>
      </c>
      <c r="AM2850" s="46">
        <v>15.036</v>
      </c>
      <c r="AN2850" s="46" t="s">
        <v>63</v>
      </c>
      <c r="AO2850" s="46">
        <v>1400</v>
      </c>
      <c r="AP2850" s="46">
        <v>26501.919999999998</v>
      </c>
      <c r="AQ2850" s="46">
        <v>18.93</v>
      </c>
      <c r="AR2850" s="46">
        <v>-4362.3999999999996</v>
      </c>
      <c r="AS2850" s="46">
        <v>22</v>
      </c>
      <c r="AT2850" s="46">
        <v>11500</v>
      </c>
      <c r="AU2850" s="46">
        <v>179841.9</v>
      </c>
      <c r="AV2850" s="46">
        <v>15.638</v>
      </c>
      <c r="AW2850" s="46">
        <v>14</v>
      </c>
      <c r="AX2850" s="46">
        <v>5600</v>
      </c>
      <c r="AY2850" s="46">
        <v>84202.279999999897</v>
      </c>
      <c r="AZ2850" s="46">
        <v>15.036</v>
      </c>
      <c r="BA2850" s="46" t="s">
        <v>63</v>
      </c>
      <c r="BB2850" s="46">
        <v>5900</v>
      </c>
      <c r="BC2850" s="46">
        <v>95639.62</v>
      </c>
      <c r="BD2850" s="46">
        <v>16.21</v>
      </c>
      <c r="BE2850" s="46">
        <v>-3371.2</v>
      </c>
      <c r="BF2850" s="46">
        <v>69137.699999999895</v>
      </c>
      <c r="BG2850" s="46">
        <v>15.36</v>
      </c>
      <c r="BH2850" s="46">
        <v>0</v>
      </c>
      <c r="BJ2850">
        <v>69137.7</v>
      </c>
      <c r="BK2850">
        <v>15.36</v>
      </c>
      <c r="BL2850">
        <v>-306.77999999999997</v>
      </c>
    </row>
    <row r="2851" spans="1:64" x14ac:dyDescent="0.25">
      <c r="A2851" s="136">
        <v>43214</v>
      </c>
      <c r="B2851" s="201" t="s">
        <v>65</v>
      </c>
      <c r="C2851" t="s">
        <v>127</v>
      </c>
      <c r="D2851">
        <v>16300</v>
      </c>
      <c r="E2851">
        <v>16300</v>
      </c>
      <c r="F2851">
        <v>9.3490000000000002</v>
      </c>
      <c r="G2851">
        <v>-1618.31</v>
      </c>
      <c r="H2851">
        <v>-1.06</v>
      </c>
      <c r="I2851" s="309">
        <v>150775</v>
      </c>
      <c r="J2851">
        <v>9.25</v>
      </c>
      <c r="K2851" s="133">
        <v>0.314631568884781</v>
      </c>
      <c r="L2851" s="181">
        <v>2368.61</v>
      </c>
      <c r="M2851" s="133">
        <v>0.31800859700112699</v>
      </c>
      <c r="N2851" s="73">
        <v>-5411.7310000000098</v>
      </c>
      <c r="O2851" s="73">
        <v>-121.72547535023</v>
      </c>
      <c r="P2851" s="182">
        <v>1</v>
      </c>
      <c r="Q2851" s="182">
        <v>500</v>
      </c>
      <c r="R2851" s="46">
        <v>9.0399999999999991</v>
      </c>
      <c r="S2851" s="46">
        <v>8</v>
      </c>
      <c r="T2851" s="46">
        <v>3300</v>
      </c>
      <c r="U2851" s="46">
        <v>12.547000000000001</v>
      </c>
      <c r="V2851" s="46" t="s">
        <v>68</v>
      </c>
      <c r="W2851" s="46">
        <v>2800</v>
      </c>
      <c r="X2851" s="46">
        <v>13.173</v>
      </c>
      <c r="AF2851" s="46">
        <v>185</v>
      </c>
      <c r="AG2851" s="46">
        <v>98200</v>
      </c>
      <c r="AH2851" s="46">
        <v>1122220.2309999999</v>
      </c>
      <c r="AI2851" s="46">
        <v>11.428000000000001</v>
      </c>
      <c r="AJ2851" s="46">
        <v>204</v>
      </c>
      <c r="AK2851" s="46">
        <v>88300</v>
      </c>
      <c r="AL2851" s="46">
        <v>932193.902</v>
      </c>
      <c r="AM2851" s="46">
        <v>10.557</v>
      </c>
      <c r="AN2851" s="46" t="s">
        <v>63</v>
      </c>
      <c r="AO2851" s="46">
        <v>9900</v>
      </c>
      <c r="AP2851" s="46">
        <v>190026.329</v>
      </c>
      <c r="AQ2851" s="46">
        <v>19.195</v>
      </c>
      <c r="AR2851" s="46">
        <v>-76909.3</v>
      </c>
      <c r="AS2851" s="46">
        <v>187</v>
      </c>
      <c r="AT2851" s="46">
        <v>98800</v>
      </c>
      <c r="AU2851" s="46">
        <v>1128033.2309999999</v>
      </c>
      <c r="AV2851" s="46">
        <v>11.417</v>
      </c>
      <c r="AW2851" s="46">
        <v>212</v>
      </c>
      <c r="AX2851" s="46">
        <v>91600</v>
      </c>
      <c r="AY2851" s="46">
        <v>973516.49800000002</v>
      </c>
      <c r="AZ2851" s="46">
        <v>10.628</v>
      </c>
      <c r="BA2851" s="46" t="s">
        <v>63</v>
      </c>
      <c r="BB2851" s="46">
        <v>7200</v>
      </c>
      <c r="BC2851" s="46">
        <v>154516.73300000001</v>
      </c>
      <c r="BD2851" s="46">
        <v>21.460999999999999</v>
      </c>
      <c r="BE2851" s="46">
        <v>-72272.399999999994</v>
      </c>
      <c r="BF2851" s="46">
        <v>5813</v>
      </c>
      <c r="BG2851" s="46">
        <v>11.63</v>
      </c>
      <c r="BH2851" s="46">
        <v>41322.5960000001</v>
      </c>
      <c r="BI2851">
        <v>12.52</v>
      </c>
      <c r="BJ2851">
        <v>-35509.595999999998</v>
      </c>
      <c r="BK2851">
        <v>-12.68</v>
      </c>
      <c r="BL2851">
        <v>-8314.52</v>
      </c>
    </row>
    <row r="2852" spans="1:64" x14ac:dyDescent="0.25">
      <c r="A2852" s="136">
        <v>43214</v>
      </c>
      <c r="B2852" s="201" t="s">
        <v>77</v>
      </c>
      <c r="C2852" t="s">
        <v>128</v>
      </c>
      <c r="D2852">
        <v>4300</v>
      </c>
      <c r="E2852">
        <v>4300</v>
      </c>
      <c r="F2852">
        <v>5.9779999999999998</v>
      </c>
      <c r="G2852">
        <v>-595.27</v>
      </c>
      <c r="H2852">
        <v>-2.31</v>
      </c>
      <c r="I2852" s="309">
        <v>25112</v>
      </c>
      <c r="J2852">
        <v>5.84</v>
      </c>
      <c r="K2852" s="133">
        <v>5.2402772063237499E-2</v>
      </c>
      <c r="L2852" s="181">
        <v>0</v>
      </c>
      <c r="M2852" s="133">
        <v>5.36449589908451E-2</v>
      </c>
      <c r="N2852" s="73">
        <v>-1272.2139999999999</v>
      </c>
      <c r="O2852" s="73">
        <v>-133.073774655173</v>
      </c>
      <c r="P2852" s="182">
        <v>6</v>
      </c>
      <c r="Q2852" s="182">
        <v>3000</v>
      </c>
      <c r="R2852" s="46">
        <v>6.798</v>
      </c>
      <c r="S2852" s="46">
        <v>0</v>
      </c>
      <c r="T2852" s="46">
        <v>0</v>
      </c>
      <c r="U2852" s="46">
        <v>0</v>
      </c>
      <c r="V2852" s="46" t="s">
        <v>62</v>
      </c>
      <c r="W2852" s="46">
        <v>3000</v>
      </c>
      <c r="X2852" s="46">
        <v>6.798</v>
      </c>
      <c r="AF2852" s="46">
        <v>39</v>
      </c>
      <c r="AG2852" s="46">
        <v>19500</v>
      </c>
      <c r="AH2852" s="46">
        <v>142169</v>
      </c>
      <c r="AI2852" s="46">
        <v>7.2910000000000004</v>
      </c>
      <c r="AJ2852" s="46">
        <v>39</v>
      </c>
      <c r="AK2852" s="46">
        <v>18200</v>
      </c>
      <c r="AL2852" s="46">
        <v>136881.78599999999</v>
      </c>
      <c r="AM2852" s="46">
        <v>7.5209999999999999</v>
      </c>
      <c r="AN2852" s="46" t="s">
        <v>63</v>
      </c>
      <c r="AO2852" s="46">
        <v>1300</v>
      </c>
      <c r="AP2852" s="46">
        <v>5287.2139999999999</v>
      </c>
      <c r="AQ2852" s="46">
        <v>4.0670000000000002</v>
      </c>
      <c r="AR2852" s="46">
        <v>4186</v>
      </c>
      <c r="AS2852" s="46">
        <v>45</v>
      </c>
      <c r="AT2852" s="46">
        <v>22500</v>
      </c>
      <c r="AU2852" s="46">
        <v>162594</v>
      </c>
      <c r="AV2852" s="46">
        <v>7.226</v>
      </c>
      <c r="AW2852" s="46">
        <v>39</v>
      </c>
      <c r="AX2852" s="46">
        <v>18200</v>
      </c>
      <c r="AY2852" s="46">
        <v>136881.78599999999</v>
      </c>
      <c r="AZ2852" s="46">
        <v>7.5209999999999999</v>
      </c>
      <c r="BA2852" s="46" t="s">
        <v>63</v>
      </c>
      <c r="BB2852" s="46">
        <v>4300</v>
      </c>
      <c r="BC2852" s="46">
        <v>25712.214</v>
      </c>
      <c r="BD2852" s="46">
        <v>5.98</v>
      </c>
      <c r="BE2852" s="46">
        <v>5369</v>
      </c>
      <c r="BF2852" s="46">
        <v>20425</v>
      </c>
      <c r="BG2852" s="46">
        <v>6.81</v>
      </c>
      <c r="BH2852" s="46">
        <v>0</v>
      </c>
      <c r="BJ2852">
        <v>20425</v>
      </c>
      <c r="BK2852">
        <v>6.81</v>
      </c>
      <c r="BL2852">
        <v>716.78</v>
      </c>
    </row>
    <row r="2853" spans="1:64" x14ac:dyDescent="0.25">
      <c r="A2853" s="136">
        <v>43214</v>
      </c>
      <c r="B2853" s="201" t="s">
        <v>67</v>
      </c>
      <c r="C2853" t="s">
        <v>129</v>
      </c>
      <c r="D2853">
        <v>200</v>
      </c>
      <c r="E2853">
        <v>200</v>
      </c>
      <c r="F2853">
        <v>-11.313000000000001</v>
      </c>
      <c r="G2853">
        <v>4136.6000000000004</v>
      </c>
      <c r="H2853">
        <v>0</v>
      </c>
      <c r="I2853" s="309">
        <v>1874</v>
      </c>
      <c r="J2853">
        <v>9.3699999999999992</v>
      </c>
      <c r="K2853" s="133">
        <v>3.91059234017629E-3</v>
      </c>
      <c r="L2853" s="181">
        <v>69.420000000000499</v>
      </c>
      <c r="M2853" s="133">
        <v>0</v>
      </c>
      <c r="N2853" s="73">
        <v>4088.7264999997601</v>
      </c>
      <c r="O2853" s="73">
        <v>447.61031070643799</v>
      </c>
      <c r="P2853" s="182">
        <v>1</v>
      </c>
      <c r="Q2853" s="182">
        <v>500</v>
      </c>
      <c r="R2853" s="46">
        <v>9.01</v>
      </c>
      <c r="S2853" s="46">
        <v>25</v>
      </c>
      <c r="T2853" s="46">
        <v>10000</v>
      </c>
      <c r="U2853" s="46">
        <v>9.0020000000000007</v>
      </c>
      <c r="V2853" s="46" t="s">
        <v>68</v>
      </c>
      <c r="W2853" s="46">
        <v>9500</v>
      </c>
      <c r="X2853" s="46">
        <v>9.0020000000000007</v>
      </c>
      <c r="AF2853" s="46">
        <v>190</v>
      </c>
      <c r="AG2853" s="46">
        <v>94400</v>
      </c>
      <c r="AH2853" s="46">
        <v>786305</v>
      </c>
      <c r="AI2853" s="46">
        <v>8.33</v>
      </c>
      <c r="AJ2853" s="46">
        <v>193</v>
      </c>
      <c r="AK2853" s="46">
        <v>87300</v>
      </c>
      <c r="AL2853" s="46">
        <v>772394.3665</v>
      </c>
      <c r="AM2853" s="46">
        <v>8.8480000000000008</v>
      </c>
      <c r="AN2853" s="46" t="s">
        <v>63</v>
      </c>
      <c r="AO2853" s="46">
        <v>7100</v>
      </c>
      <c r="AP2853" s="46">
        <v>13910.633</v>
      </c>
      <c r="AQ2853" s="46">
        <v>1.9590000000000001</v>
      </c>
      <c r="AR2853" s="46">
        <v>45221.4</v>
      </c>
      <c r="AS2853" s="46">
        <v>191</v>
      </c>
      <c r="AT2853" s="46">
        <v>94900</v>
      </c>
      <c r="AU2853" s="46">
        <v>790815</v>
      </c>
      <c r="AV2853" s="46">
        <v>8.3330000000000002</v>
      </c>
      <c r="AW2853" s="46">
        <v>218</v>
      </c>
      <c r="AX2853" s="46">
        <v>97300</v>
      </c>
      <c r="AY2853" s="46">
        <v>862205.84250000003</v>
      </c>
      <c r="AZ2853" s="46">
        <v>8.8610000000000007</v>
      </c>
      <c r="BA2853" s="46" t="s">
        <v>69</v>
      </c>
      <c r="BB2853" s="46">
        <v>2400</v>
      </c>
      <c r="BC2853" s="46">
        <v>71390.842999999993</v>
      </c>
      <c r="BD2853" s="46">
        <v>29.745999999999999</v>
      </c>
      <c r="BE2853" s="46">
        <v>50107.199999999997</v>
      </c>
      <c r="BF2853" s="46">
        <v>4510</v>
      </c>
      <c r="BG2853" s="46">
        <v>9.02</v>
      </c>
      <c r="BH2853" s="46">
        <v>89811.475999999995</v>
      </c>
      <c r="BI2853">
        <v>8.98</v>
      </c>
      <c r="BJ2853">
        <v>57480.21</v>
      </c>
      <c r="BK2853">
        <v>6.05</v>
      </c>
      <c r="BL2853">
        <v>4826.1899999999996</v>
      </c>
    </row>
    <row r="2854" spans="1:64" x14ac:dyDescent="0.25">
      <c r="A2854" s="136">
        <v>43214</v>
      </c>
      <c r="B2854" s="201" t="s">
        <v>78</v>
      </c>
      <c r="C2854" t="s">
        <v>142</v>
      </c>
      <c r="D2854">
        <v>600</v>
      </c>
      <c r="E2854">
        <v>600</v>
      </c>
      <c r="F2854">
        <v>6.9409999999999998</v>
      </c>
      <c r="G2854">
        <v>1523.39</v>
      </c>
      <c r="H2854">
        <v>36.58</v>
      </c>
      <c r="I2854" s="309">
        <v>5688</v>
      </c>
      <c r="J2854">
        <v>9.48</v>
      </c>
      <c r="K2854" s="133">
        <v>1.18695033249321E-2</v>
      </c>
      <c r="L2854" s="181">
        <v>78</v>
      </c>
      <c r="M2854" s="133">
        <v>8.6905506754651005E-3</v>
      </c>
      <c r="N2854" s="73">
        <v>1415.3910000000001</v>
      </c>
      <c r="O2854" s="73">
        <v>152.11648435483801</v>
      </c>
      <c r="P2854" s="182">
        <v>0</v>
      </c>
      <c r="Q2854" s="182">
        <v>0</v>
      </c>
      <c r="R2854" s="46">
        <v>0</v>
      </c>
      <c r="S2854" s="46">
        <v>2</v>
      </c>
      <c r="T2854" s="46">
        <v>800</v>
      </c>
      <c r="U2854" s="46">
        <v>10.210000000000001</v>
      </c>
      <c r="V2854" s="46" t="s">
        <v>68</v>
      </c>
      <c r="W2854" s="46">
        <v>800</v>
      </c>
      <c r="X2854" s="46">
        <v>10.210000000000001</v>
      </c>
      <c r="AF2854" s="46">
        <v>14</v>
      </c>
      <c r="AG2854" s="46">
        <v>7000</v>
      </c>
      <c r="AH2854" s="46">
        <v>67625</v>
      </c>
      <c r="AI2854" s="46">
        <v>9.6609999999999996</v>
      </c>
      <c r="AJ2854" s="46">
        <v>15</v>
      </c>
      <c r="AK2854" s="46">
        <v>5600</v>
      </c>
      <c r="AL2854" s="46">
        <v>55310.559000000001</v>
      </c>
      <c r="AM2854" s="46">
        <v>9.8770000000000007</v>
      </c>
      <c r="AN2854" s="46" t="s">
        <v>63</v>
      </c>
      <c r="AO2854" s="46">
        <v>1400</v>
      </c>
      <c r="AP2854" s="46">
        <v>12314.441000000001</v>
      </c>
      <c r="AQ2854" s="46">
        <v>8.7959999999999994</v>
      </c>
      <c r="AR2854" s="46">
        <v>1209.5999999999999</v>
      </c>
      <c r="AS2854" s="46">
        <v>14</v>
      </c>
      <c r="AT2854" s="46">
        <v>7000</v>
      </c>
      <c r="AU2854" s="46">
        <v>67625</v>
      </c>
      <c r="AV2854" s="46">
        <v>9.6609999999999996</v>
      </c>
      <c r="AW2854" s="46">
        <v>17</v>
      </c>
      <c r="AX2854" s="46">
        <v>6400</v>
      </c>
      <c r="AY2854" s="46">
        <v>63460.391000000003</v>
      </c>
      <c r="AZ2854" s="46">
        <v>9.9160000000000004</v>
      </c>
      <c r="BA2854" s="46" t="s">
        <v>63</v>
      </c>
      <c r="BB2854" s="46">
        <v>600</v>
      </c>
      <c r="BC2854" s="46">
        <v>4164.6090000000004</v>
      </c>
      <c r="BD2854" s="46">
        <v>6.9409999999999998</v>
      </c>
      <c r="BE2854" s="46">
        <v>1632</v>
      </c>
      <c r="BF2854" s="46">
        <v>0</v>
      </c>
      <c r="BH2854" s="46">
        <v>8149.8320000000003</v>
      </c>
      <c r="BI2854">
        <v>10.19</v>
      </c>
      <c r="BJ2854">
        <v>-8149.8320000000003</v>
      </c>
      <c r="BK2854">
        <v>-10.19</v>
      </c>
      <c r="BL2854">
        <v>127.59</v>
      </c>
    </row>
    <row r="2855" spans="1:64" x14ac:dyDescent="0.25">
      <c r="A2855" s="136">
        <v>43214</v>
      </c>
      <c r="B2855" s="201" t="s">
        <v>72</v>
      </c>
      <c r="C2855" t="s">
        <v>130</v>
      </c>
      <c r="D2855">
        <v>1700</v>
      </c>
      <c r="E2855">
        <v>1700</v>
      </c>
      <c r="F2855">
        <v>6.75</v>
      </c>
      <c r="G2855">
        <v>204.16</v>
      </c>
      <c r="H2855">
        <v>1.78</v>
      </c>
      <c r="I2855" s="309">
        <v>11679</v>
      </c>
      <c r="J2855">
        <v>6.87</v>
      </c>
      <c r="K2855" s="133">
        <v>2.4371295592806302E-2</v>
      </c>
      <c r="L2855" s="181">
        <v>264.52999999999997</v>
      </c>
      <c r="M2855" s="133">
        <v>2.3945262224518999E-2</v>
      </c>
      <c r="N2855" s="73">
        <v>-11821.548000000001</v>
      </c>
      <c r="O2855" s="73">
        <v>32.129566715119203</v>
      </c>
      <c r="P2855" s="182">
        <v>0</v>
      </c>
      <c r="Q2855" s="182">
        <v>0</v>
      </c>
      <c r="R2855" s="46">
        <v>0</v>
      </c>
      <c r="S2855" s="46">
        <v>16</v>
      </c>
      <c r="T2855" s="46">
        <v>6400</v>
      </c>
      <c r="U2855" s="46">
        <v>7.319</v>
      </c>
      <c r="V2855" s="46" t="s">
        <v>68</v>
      </c>
      <c r="W2855" s="46">
        <v>6400</v>
      </c>
      <c r="X2855" s="46">
        <v>7.319</v>
      </c>
      <c r="AF2855" s="46">
        <v>36</v>
      </c>
      <c r="AG2855" s="46">
        <v>17900</v>
      </c>
      <c r="AH2855" s="46">
        <v>133787</v>
      </c>
      <c r="AI2855" s="46">
        <v>7.4740000000000002</v>
      </c>
      <c r="AJ2855" s="46">
        <v>36</v>
      </c>
      <c r="AK2855" s="46">
        <v>16400</v>
      </c>
      <c r="AL2855" s="46">
        <v>76327.481</v>
      </c>
      <c r="AM2855" s="46">
        <v>4.6539999999999999</v>
      </c>
      <c r="AN2855" s="46" t="s">
        <v>63</v>
      </c>
      <c r="AO2855" s="46">
        <v>1500</v>
      </c>
      <c r="AP2855" s="46">
        <v>57459.519</v>
      </c>
      <c r="AQ2855" s="46">
        <v>38.305999999999997</v>
      </c>
      <c r="AR2855" s="46">
        <v>-46248</v>
      </c>
      <c r="AS2855" s="46">
        <v>36</v>
      </c>
      <c r="AT2855" s="46">
        <v>17900</v>
      </c>
      <c r="AU2855" s="46">
        <v>133787</v>
      </c>
      <c r="AV2855" s="46">
        <v>7.4740000000000002</v>
      </c>
      <c r="AW2855" s="46">
        <v>53</v>
      </c>
      <c r="AX2855" s="46">
        <v>23300</v>
      </c>
      <c r="AY2855" s="46">
        <v>123044.637</v>
      </c>
      <c r="AZ2855" s="46">
        <v>5.2809999999999997</v>
      </c>
      <c r="BA2855" s="46" t="s">
        <v>69</v>
      </c>
      <c r="BB2855" s="46">
        <v>5400</v>
      </c>
      <c r="BC2855" s="46">
        <v>10742.362999999999</v>
      </c>
      <c r="BD2855" s="46">
        <v>1.9890000000000001</v>
      </c>
      <c r="BE2855" s="46">
        <v>-39254.699999999997</v>
      </c>
      <c r="BF2855" s="46">
        <v>0</v>
      </c>
      <c r="BH2855" s="46">
        <v>46717.156000000003</v>
      </c>
      <c r="BI2855">
        <v>7.3</v>
      </c>
      <c r="BJ2855">
        <v>-46717.156000000003</v>
      </c>
      <c r="BK2855">
        <v>-7.3</v>
      </c>
      <c r="BL2855">
        <v>-6731.88</v>
      </c>
    </row>
    <row r="2856" spans="1:64" x14ac:dyDescent="0.25">
      <c r="A2856" s="136">
        <v>43214</v>
      </c>
      <c r="B2856" s="201" t="s">
        <v>70</v>
      </c>
      <c r="C2856" t="s">
        <v>131</v>
      </c>
      <c r="D2856">
        <v>11100</v>
      </c>
      <c r="E2856">
        <v>11100</v>
      </c>
      <c r="F2856">
        <v>11.728</v>
      </c>
      <c r="G2856">
        <v>-28389.61</v>
      </c>
      <c r="H2856">
        <v>-21.81</v>
      </c>
      <c r="I2856" s="309">
        <v>101787</v>
      </c>
      <c r="J2856">
        <v>9.17</v>
      </c>
      <c r="K2856" s="133">
        <v>0.21240526282258501</v>
      </c>
      <c r="L2856" s="181">
        <v>1443</v>
      </c>
      <c r="M2856" s="133">
        <v>0.27164762750059601</v>
      </c>
      <c r="N2856" s="73">
        <v>-27949.615000000002</v>
      </c>
      <c r="O2856" s="73">
        <v>-3033.1856886536402</v>
      </c>
      <c r="P2856" s="182">
        <v>2</v>
      </c>
      <c r="Q2856" s="182">
        <v>1000</v>
      </c>
      <c r="R2856" s="46">
        <v>8.08</v>
      </c>
      <c r="S2856" s="46">
        <v>6</v>
      </c>
      <c r="T2856" s="46">
        <v>2500</v>
      </c>
      <c r="U2856" s="46">
        <v>8.9860000000000007</v>
      </c>
      <c r="V2856" s="46" t="s">
        <v>68</v>
      </c>
      <c r="W2856" s="46">
        <v>1500</v>
      </c>
      <c r="X2856" s="46">
        <v>9.59</v>
      </c>
      <c r="AF2856" s="46">
        <v>136</v>
      </c>
      <c r="AG2856" s="46">
        <v>69600</v>
      </c>
      <c r="AH2856" s="46">
        <v>903588</v>
      </c>
      <c r="AI2856" s="46">
        <v>12.983000000000001</v>
      </c>
      <c r="AJ2856" s="46">
        <v>142</v>
      </c>
      <c r="AK2856" s="46">
        <v>57000</v>
      </c>
      <c r="AL2856" s="46">
        <v>758679.85</v>
      </c>
      <c r="AM2856" s="46">
        <v>13.31</v>
      </c>
      <c r="AN2856" s="46" t="s">
        <v>63</v>
      </c>
      <c r="AO2856" s="46">
        <v>12600</v>
      </c>
      <c r="AP2856" s="46">
        <v>144908.15</v>
      </c>
      <c r="AQ2856" s="46">
        <v>11.500999999999999</v>
      </c>
      <c r="AR2856" s="46">
        <v>18639</v>
      </c>
      <c r="AS2856" s="46">
        <v>138</v>
      </c>
      <c r="AT2856" s="46">
        <v>70600</v>
      </c>
      <c r="AU2856" s="46">
        <v>911678</v>
      </c>
      <c r="AV2856" s="46">
        <v>12.913</v>
      </c>
      <c r="AW2856" s="46">
        <v>149</v>
      </c>
      <c r="AX2856" s="46">
        <v>59500</v>
      </c>
      <c r="AY2856" s="46">
        <v>781497.38500000001</v>
      </c>
      <c r="AZ2856" s="46">
        <v>13.134</v>
      </c>
      <c r="BA2856" s="46" t="s">
        <v>63</v>
      </c>
      <c r="BB2856" s="46">
        <v>11100</v>
      </c>
      <c r="BC2856" s="46">
        <v>130180.61500000001</v>
      </c>
      <c r="BD2856" s="46">
        <v>11.728</v>
      </c>
      <c r="BE2856" s="46">
        <v>13149.5</v>
      </c>
      <c r="BF2856" s="46">
        <v>8090</v>
      </c>
      <c r="BG2856" s="46">
        <v>8.09</v>
      </c>
      <c r="BH2856" s="46">
        <v>22817.535</v>
      </c>
      <c r="BI2856">
        <v>9.1300000000000008</v>
      </c>
      <c r="BJ2856">
        <v>-14727.535</v>
      </c>
      <c r="BK2856">
        <v>-9.82</v>
      </c>
      <c r="BL2856">
        <v>2032.61</v>
      </c>
    </row>
    <row r="2857" spans="1:64" x14ac:dyDescent="0.25">
      <c r="A2857" s="136">
        <v>43214</v>
      </c>
      <c r="B2857" s="201" t="s">
        <v>137</v>
      </c>
      <c r="C2857" t="s">
        <v>149</v>
      </c>
      <c r="D2857">
        <v>100</v>
      </c>
      <c r="E2857">
        <v>100</v>
      </c>
      <c r="F2857">
        <v>-130.48500000000001</v>
      </c>
      <c r="G2857">
        <v>17431.5</v>
      </c>
      <c r="H2857">
        <v>0</v>
      </c>
      <c r="I2857" s="309">
        <v>4383</v>
      </c>
      <c r="J2857">
        <v>43.83</v>
      </c>
      <c r="K2857" s="133">
        <v>9.1462786696866003E-3</v>
      </c>
      <c r="L2857" s="181">
        <v>261</v>
      </c>
      <c r="M2857" s="133">
        <v>0</v>
      </c>
    </row>
    <row r="2858" spans="1:64" x14ac:dyDescent="0.25">
      <c r="A2858" s="136">
        <v>43214</v>
      </c>
      <c r="B2858" s="201" t="s">
        <v>133</v>
      </c>
      <c r="C2858" t="s">
        <v>134</v>
      </c>
      <c r="D2858">
        <v>20000</v>
      </c>
      <c r="E2858">
        <v>0</v>
      </c>
      <c r="F2858">
        <v>1</v>
      </c>
      <c r="G2858">
        <v>-0.2</v>
      </c>
      <c r="H2858">
        <v>0</v>
      </c>
      <c r="I2858" s="309">
        <v>20000</v>
      </c>
      <c r="J2858">
        <v>1</v>
      </c>
      <c r="K2858" s="133">
        <v>4.1735243758551699E-2</v>
      </c>
      <c r="L2858" s="181">
        <v>0.57999999999999996</v>
      </c>
      <c r="M2858" s="133">
        <v>0</v>
      </c>
    </row>
    <row r="2859" spans="1:64" x14ac:dyDescent="0.25">
      <c r="A2859" s="136">
        <v>43214</v>
      </c>
      <c r="B2859" s="201" t="s">
        <v>835</v>
      </c>
      <c r="C2859" t="s">
        <v>839</v>
      </c>
      <c r="I2859" s="309">
        <v>6355.77</v>
      </c>
      <c r="K2859" s="133">
        <v>1.32629805111645E-2</v>
      </c>
      <c r="L2859" s="181">
        <v>0</v>
      </c>
      <c r="M2859" s="133">
        <v>0.13893931839544099</v>
      </c>
    </row>
    <row r="2860" spans="1:64" x14ac:dyDescent="0.25">
      <c r="A2860" s="136">
        <v>43215</v>
      </c>
      <c r="B2860" s="201" t="s">
        <v>132</v>
      </c>
      <c r="C2860" t="s">
        <v>123</v>
      </c>
      <c r="D2860">
        <v>4023198</v>
      </c>
      <c r="E2860">
        <v>4023198</v>
      </c>
      <c r="F2860">
        <v>8.9999999999999993E-3</v>
      </c>
      <c r="G2860">
        <v>3477.54</v>
      </c>
      <c r="H2860">
        <v>11.11</v>
      </c>
      <c r="I2860" s="309">
        <v>40231.980000000003</v>
      </c>
      <c r="J2860">
        <v>0.01</v>
      </c>
      <c r="K2860" s="133">
        <v>8.3989001927831597E-2</v>
      </c>
      <c r="L2860" s="181">
        <v>6.4600000000000399</v>
      </c>
      <c r="M2860" s="133">
        <v>0</v>
      </c>
    </row>
    <row r="2861" spans="1:64" x14ac:dyDescent="0.25">
      <c r="A2861" s="136">
        <v>43215</v>
      </c>
      <c r="B2861" s="201" t="s">
        <v>61</v>
      </c>
      <c r="C2861" t="s">
        <v>136</v>
      </c>
      <c r="D2861">
        <v>3400</v>
      </c>
      <c r="E2861">
        <v>3400</v>
      </c>
      <c r="F2861">
        <v>5.1180000000000003</v>
      </c>
      <c r="G2861">
        <v>-1660.05</v>
      </c>
      <c r="H2861">
        <v>-9.5299999999999994</v>
      </c>
      <c r="I2861" s="309">
        <v>15742</v>
      </c>
      <c r="J2861">
        <v>4.63</v>
      </c>
      <c r="K2861" s="133">
        <v>3.2863281109901298E-2</v>
      </c>
      <c r="L2861" s="181">
        <v>-68</v>
      </c>
      <c r="M2861" s="133">
        <v>3.6328831218304998E-2</v>
      </c>
      <c r="N2861" s="73">
        <v>-1257.8409999999999</v>
      </c>
      <c r="O2861" s="73">
        <v>-264.67622726315699</v>
      </c>
      <c r="P2861" s="182">
        <v>5</v>
      </c>
      <c r="Q2861" s="182">
        <v>2500</v>
      </c>
      <c r="R2861" s="46">
        <v>5.1239999999999997</v>
      </c>
      <c r="S2861" s="46">
        <v>0</v>
      </c>
      <c r="T2861" s="46">
        <v>0</v>
      </c>
      <c r="U2861" s="46">
        <v>0</v>
      </c>
      <c r="V2861" s="46" t="s">
        <v>62</v>
      </c>
      <c r="W2861" s="46">
        <v>2500</v>
      </c>
      <c r="X2861" s="46">
        <v>5.1239999999999997</v>
      </c>
      <c r="AF2861" s="46">
        <v>10</v>
      </c>
      <c r="AG2861" s="46">
        <v>5000</v>
      </c>
      <c r="AH2861" s="46">
        <v>26378</v>
      </c>
      <c r="AI2861" s="46">
        <v>5.2759999999999998</v>
      </c>
      <c r="AJ2861" s="46">
        <v>10</v>
      </c>
      <c r="AK2861" s="46">
        <v>4100</v>
      </c>
      <c r="AL2861" s="46">
        <v>21806.659</v>
      </c>
      <c r="AM2861" s="46">
        <v>5.319</v>
      </c>
      <c r="AN2861" s="46" t="s">
        <v>63</v>
      </c>
      <c r="AO2861" s="46">
        <v>900</v>
      </c>
      <c r="AP2861" s="46">
        <v>4571.3410000000003</v>
      </c>
      <c r="AQ2861" s="46">
        <v>5.0789999999999997</v>
      </c>
      <c r="AR2861" s="46">
        <v>176.3</v>
      </c>
      <c r="AS2861" s="46">
        <v>15</v>
      </c>
      <c r="AT2861" s="46">
        <v>7500</v>
      </c>
      <c r="AU2861" s="46">
        <v>39214.5</v>
      </c>
      <c r="AV2861" s="46">
        <v>5.2290000000000001</v>
      </c>
      <c r="AW2861" s="46">
        <v>10</v>
      </c>
      <c r="AX2861" s="46">
        <v>4100</v>
      </c>
      <c r="AY2861" s="46">
        <v>21806.659</v>
      </c>
      <c r="AZ2861" s="46">
        <v>5.319</v>
      </c>
      <c r="BA2861" s="46" t="s">
        <v>63</v>
      </c>
      <c r="BB2861" s="46">
        <v>3400</v>
      </c>
      <c r="BC2861" s="46">
        <v>17407.841</v>
      </c>
      <c r="BD2861" s="46">
        <v>5.12</v>
      </c>
      <c r="BE2861" s="46">
        <v>369</v>
      </c>
      <c r="BF2861" s="46">
        <v>12836.5</v>
      </c>
      <c r="BG2861" s="46">
        <v>5.13</v>
      </c>
      <c r="BH2861" s="46">
        <v>0</v>
      </c>
      <c r="BJ2861">
        <v>12836.5</v>
      </c>
      <c r="BK2861">
        <v>5.13</v>
      </c>
      <c r="BL2861">
        <v>38.08</v>
      </c>
    </row>
    <row r="2862" spans="1:64" x14ac:dyDescent="0.25">
      <c r="A2862" s="136">
        <v>43215</v>
      </c>
      <c r="B2862" s="201" t="s">
        <v>124</v>
      </c>
      <c r="C2862" t="s">
        <v>125</v>
      </c>
      <c r="D2862">
        <v>100</v>
      </c>
      <c r="E2862">
        <v>100</v>
      </c>
      <c r="F2862">
        <v>-53.579000000000001</v>
      </c>
      <c r="G2862">
        <v>5956.9</v>
      </c>
      <c r="H2862">
        <v>0</v>
      </c>
      <c r="I2862" s="309">
        <v>599</v>
      </c>
      <c r="J2862">
        <v>5.99</v>
      </c>
      <c r="K2862" s="133">
        <v>1.2504831269743899E-3</v>
      </c>
      <c r="L2862" s="181">
        <v>-9</v>
      </c>
      <c r="M2862" s="133">
        <v>0</v>
      </c>
    </row>
    <row r="2863" spans="1:64" x14ac:dyDescent="0.25">
      <c r="A2863" s="136">
        <v>43215</v>
      </c>
      <c r="B2863" s="201" t="s">
        <v>71</v>
      </c>
      <c r="C2863" t="s">
        <v>126</v>
      </c>
      <c r="D2863">
        <v>1700</v>
      </c>
      <c r="E2863">
        <v>1700</v>
      </c>
      <c r="F2863">
        <v>5.2080000000000002</v>
      </c>
      <c r="G2863">
        <v>2026.67</v>
      </c>
      <c r="H2863">
        <v>22.89</v>
      </c>
      <c r="I2863" s="309">
        <v>10880</v>
      </c>
      <c r="J2863">
        <v>6.4</v>
      </c>
      <c r="K2863" s="133">
        <v>2.2713282840536499E-2</v>
      </c>
      <c r="L2863" s="181">
        <v>-136</v>
      </c>
      <c r="M2863" s="133">
        <v>1.8482370254651399E-2</v>
      </c>
      <c r="N2863" s="73">
        <v>2161.2060000000001</v>
      </c>
      <c r="O2863" s="73">
        <v>333.35268472222202</v>
      </c>
      <c r="P2863" s="182">
        <v>0</v>
      </c>
      <c r="Q2863" s="182">
        <v>0</v>
      </c>
      <c r="R2863" s="46">
        <v>0</v>
      </c>
      <c r="S2863" s="46">
        <v>4</v>
      </c>
      <c r="T2863" s="46">
        <v>1500</v>
      </c>
      <c r="U2863" s="46">
        <v>6.7679999999999998</v>
      </c>
      <c r="V2863" s="46" t="s">
        <v>68</v>
      </c>
      <c r="W2863" s="46">
        <v>1500</v>
      </c>
      <c r="X2863" s="46">
        <v>6.7679999999999998</v>
      </c>
      <c r="AF2863" s="46">
        <v>45</v>
      </c>
      <c r="AG2863" s="46">
        <v>22600</v>
      </c>
      <c r="AH2863" s="46">
        <v>144534.56</v>
      </c>
      <c r="AI2863" s="46">
        <v>6.3949999999999996</v>
      </c>
      <c r="AJ2863" s="46">
        <v>43</v>
      </c>
      <c r="AK2863" s="46">
        <v>19400</v>
      </c>
      <c r="AL2863" s="46">
        <v>125389.618</v>
      </c>
      <c r="AM2863" s="46">
        <v>6.4630000000000001</v>
      </c>
      <c r="AN2863" s="46" t="s">
        <v>63</v>
      </c>
      <c r="AO2863" s="46">
        <v>3200</v>
      </c>
      <c r="AP2863" s="46">
        <v>19144.941999999999</v>
      </c>
      <c r="AQ2863" s="46">
        <v>5.9829999999999997</v>
      </c>
      <c r="AR2863" s="46">
        <v>1319.2</v>
      </c>
      <c r="AS2863" s="46">
        <v>45</v>
      </c>
      <c r="AT2863" s="46">
        <v>22600</v>
      </c>
      <c r="AU2863" s="46">
        <v>144534.56</v>
      </c>
      <c r="AV2863" s="46">
        <v>6.3949999999999996</v>
      </c>
      <c r="AW2863" s="46">
        <v>47</v>
      </c>
      <c r="AX2863" s="46">
        <v>20900</v>
      </c>
      <c r="AY2863" s="46">
        <v>135518.56599999999</v>
      </c>
      <c r="AZ2863" s="46">
        <v>6.484</v>
      </c>
      <c r="BA2863" s="46" t="s">
        <v>63</v>
      </c>
      <c r="BB2863" s="46">
        <v>1700</v>
      </c>
      <c r="BC2863" s="46">
        <v>9015.9940000000006</v>
      </c>
      <c r="BD2863" s="46">
        <v>5.3040000000000003</v>
      </c>
      <c r="BE2863" s="46">
        <v>1860.1</v>
      </c>
      <c r="BF2863" s="46">
        <v>0</v>
      </c>
      <c r="BH2863" s="46">
        <v>10128.948</v>
      </c>
      <c r="BI2863">
        <v>6.75</v>
      </c>
      <c r="BJ2863">
        <v>-10128.948</v>
      </c>
      <c r="BK2863">
        <v>-6.75</v>
      </c>
      <c r="BL2863">
        <v>206.13</v>
      </c>
    </row>
    <row r="2864" spans="1:64" x14ac:dyDescent="0.25">
      <c r="A2864" s="136">
        <v>43215</v>
      </c>
      <c r="B2864" s="201" t="s">
        <v>79</v>
      </c>
      <c r="C2864" t="s">
        <v>143</v>
      </c>
      <c r="D2864">
        <v>5900</v>
      </c>
      <c r="E2864">
        <v>5900</v>
      </c>
      <c r="F2864">
        <v>16.209</v>
      </c>
      <c r="G2864">
        <v>-11028.62</v>
      </c>
      <c r="H2864">
        <v>-11.53</v>
      </c>
      <c r="I2864" s="309">
        <v>84606</v>
      </c>
      <c r="J2864">
        <v>14.34</v>
      </c>
      <c r="K2864" s="133">
        <v>0.176625000735885</v>
      </c>
      <c r="L2864" s="181">
        <v>708</v>
      </c>
      <c r="M2864" s="133">
        <v>0.19964854534992901</v>
      </c>
      <c r="N2864" s="73">
        <v>-12154.620000000101</v>
      </c>
      <c r="O2864" s="73">
        <v>-858.55425371025603</v>
      </c>
      <c r="P2864" s="182">
        <v>8</v>
      </c>
      <c r="Q2864" s="182">
        <v>4500</v>
      </c>
      <c r="R2864" s="46">
        <v>15.353999999999999</v>
      </c>
      <c r="S2864" s="46">
        <v>0</v>
      </c>
      <c r="T2864" s="46">
        <v>0</v>
      </c>
      <c r="U2864" s="46">
        <v>0</v>
      </c>
      <c r="V2864" s="46" t="s">
        <v>62</v>
      </c>
      <c r="W2864" s="46">
        <v>4500</v>
      </c>
      <c r="X2864" s="46">
        <v>15.353999999999999</v>
      </c>
      <c r="AF2864" s="46">
        <v>14</v>
      </c>
      <c r="AG2864" s="46">
        <v>7000</v>
      </c>
      <c r="AH2864" s="46">
        <v>110704.2</v>
      </c>
      <c r="AI2864" s="46">
        <v>15.815</v>
      </c>
      <c r="AJ2864" s="46">
        <v>14</v>
      </c>
      <c r="AK2864" s="46">
        <v>5600</v>
      </c>
      <c r="AL2864" s="46">
        <v>84202.279999999897</v>
      </c>
      <c r="AM2864" s="46">
        <v>15.036</v>
      </c>
      <c r="AN2864" s="46" t="s">
        <v>63</v>
      </c>
      <c r="AO2864" s="46">
        <v>1400</v>
      </c>
      <c r="AP2864" s="46">
        <v>26501.919999999998</v>
      </c>
      <c r="AQ2864" s="46">
        <v>18.93</v>
      </c>
      <c r="AR2864" s="46">
        <v>-4362.3999999999996</v>
      </c>
      <c r="AS2864" s="46">
        <v>22</v>
      </c>
      <c r="AT2864" s="46">
        <v>11500</v>
      </c>
      <c r="AU2864" s="46">
        <v>179841.9</v>
      </c>
      <c r="AV2864" s="46">
        <v>15.638</v>
      </c>
      <c r="AW2864" s="46">
        <v>14</v>
      </c>
      <c r="AX2864" s="46">
        <v>5600</v>
      </c>
      <c r="AY2864" s="46">
        <v>84202.279999999897</v>
      </c>
      <c r="AZ2864" s="46">
        <v>15.036</v>
      </c>
      <c r="BA2864" s="46" t="s">
        <v>63</v>
      </c>
      <c r="BB2864" s="46">
        <v>5900</v>
      </c>
      <c r="BC2864" s="46">
        <v>95639.62</v>
      </c>
      <c r="BD2864" s="46">
        <v>16.21</v>
      </c>
      <c r="BE2864" s="46">
        <v>-3371.2</v>
      </c>
      <c r="BF2864" s="46">
        <v>69137.699999999895</v>
      </c>
      <c r="BG2864" s="46">
        <v>15.36</v>
      </c>
      <c r="BH2864" s="46">
        <v>0</v>
      </c>
      <c r="BJ2864">
        <v>69137.7</v>
      </c>
      <c r="BK2864">
        <v>15.36</v>
      </c>
      <c r="BL2864">
        <v>-304.20999999999998</v>
      </c>
    </row>
    <row r="2865" spans="1:64" x14ac:dyDescent="0.25">
      <c r="A2865" s="136">
        <v>43215</v>
      </c>
      <c r="B2865" s="201" t="s">
        <v>65</v>
      </c>
      <c r="C2865" t="s">
        <v>127</v>
      </c>
      <c r="D2865">
        <v>16800</v>
      </c>
      <c r="E2865">
        <v>16300</v>
      </c>
      <c r="F2865">
        <v>9.3450000000000006</v>
      </c>
      <c r="G2865">
        <v>-2932.31</v>
      </c>
      <c r="H2865">
        <v>-1.87</v>
      </c>
      <c r="I2865" s="309">
        <v>154056</v>
      </c>
      <c r="J2865">
        <v>9.17</v>
      </c>
      <c r="K2865" s="133">
        <v>0.32161006445603801</v>
      </c>
      <c r="L2865" s="181">
        <v>-1314</v>
      </c>
      <c r="M2865" s="133">
        <v>0.327731607324249</v>
      </c>
      <c r="N2865" s="73">
        <v>-7046.7310000000098</v>
      </c>
      <c r="O2865" s="73">
        <v>-301.06698379631098</v>
      </c>
      <c r="P2865" s="182">
        <v>2</v>
      </c>
      <c r="Q2865" s="182">
        <v>1000</v>
      </c>
      <c r="R2865" s="46">
        <v>9.11</v>
      </c>
      <c r="S2865" s="46">
        <v>8</v>
      </c>
      <c r="T2865" s="46">
        <v>3300</v>
      </c>
      <c r="U2865" s="46">
        <v>12.547000000000001</v>
      </c>
      <c r="V2865" s="46" t="s">
        <v>68</v>
      </c>
      <c r="W2865" s="46">
        <v>2300</v>
      </c>
      <c r="X2865" s="46">
        <v>14.041</v>
      </c>
      <c r="AF2865" s="46">
        <v>185</v>
      </c>
      <c r="AG2865" s="46">
        <v>98200</v>
      </c>
      <c r="AH2865" s="46">
        <v>1122220.2309999999</v>
      </c>
      <c r="AI2865" s="46">
        <v>11.428000000000001</v>
      </c>
      <c r="AJ2865" s="46">
        <v>204</v>
      </c>
      <c r="AK2865" s="46">
        <v>88300</v>
      </c>
      <c r="AL2865" s="46">
        <v>932193.902</v>
      </c>
      <c r="AM2865" s="46">
        <v>10.557</v>
      </c>
      <c r="AN2865" s="46" t="s">
        <v>63</v>
      </c>
      <c r="AO2865" s="46">
        <v>9900</v>
      </c>
      <c r="AP2865" s="46">
        <v>190026.329</v>
      </c>
      <c r="AQ2865" s="46">
        <v>19.195</v>
      </c>
      <c r="AR2865" s="46">
        <v>-76909.3</v>
      </c>
      <c r="AS2865" s="46">
        <v>188</v>
      </c>
      <c r="AT2865" s="46">
        <v>99300</v>
      </c>
      <c r="AU2865" s="46">
        <v>1132628.2309999999</v>
      </c>
      <c r="AV2865" s="46">
        <v>11.406000000000001</v>
      </c>
      <c r="AW2865" s="46">
        <v>212</v>
      </c>
      <c r="AX2865" s="46">
        <v>91600</v>
      </c>
      <c r="AY2865" s="46">
        <v>973516.49800000002</v>
      </c>
      <c r="AZ2865" s="46">
        <v>10.628</v>
      </c>
      <c r="BA2865" s="46" t="s">
        <v>63</v>
      </c>
      <c r="BB2865" s="46">
        <v>7700</v>
      </c>
      <c r="BC2865" s="46">
        <v>159111.73300000001</v>
      </c>
      <c r="BD2865" s="46">
        <v>20.664000000000001</v>
      </c>
      <c r="BE2865" s="46">
        <v>-71264.800000000003</v>
      </c>
      <c r="BF2865" s="46">
        <v>10408</v>
      </c>
      <c r="BG2865" s="46">
        <v>10.41</v>
      </c>
      <c r="BH2865" s="46">
        <v>41322.5960000001</v>
      </c>
      <c r="BI2865">
        <v>12.52</v>
      </c>
      <c r="BJ2865">
        <v>-30914.596000000001</v>
      </c>
      <c r="BK2865">
        <v>-13.44</v>
      </c>
      <c r="BL2865">
        <v>-8387.06</v>
      </c>
    </row>
    <row r="2866" spans="1:64" x14ac:dyDescent="0.25">
      <c r="A2866" s="136">
        <v>43215</v>
      </c>
      <c r="B2866" s="201" t="s">
        <v>77</v>
      </c>
      <c r="C2866" t="s">
        <v>128</v>
      </c>
      <c r="D2866">
        <v>4300</v>
      </c>
      <c r="E2866">
        <v>4300</v>
      </c>
      <c r="F2866">
        <v>5.9779999999999998</v>
      </c>
      <c r="G2866">
        <v>-595.27</v>
      </c>
      <c r="H2866">
        <v>-2.31</v>
      </c>
      <c r="I2866" s="309">
        <v>25112</v>
      </c>
      <c r="J2866">
        <v>5.84</v>
      </c>
      <c r="K2866" s="133">
        <v>5.2424260909150103E-2</v>
      </c>
      <c r="L2866" s="181">
        <v>0</v>
      </c>
      <c r="M2866" s="133">
        <v>5.3666957221327097E-2</v>
      </c>
      <c r="N2866" s="73">
        <v>-1272.2139999999999</v>
      </c>
      <c r="O2866" s="73">
        <v>-133.073774655173</v>
      </c>
      <c r="P2866" s="182">
        <v>6</v>
      </c>
      <c r="Q2866" s="182">
        <v>3000</v>
      </c>
      <c r="R2866" s="46">
        <v>6.798</v>
      </c>
      <c r="S2866" s="46">
        <v>0</v>
      </c>
      <c r="T2866" s="46">
        <v>0</v>
      </c>
      <c r="U2866" s="46">
        <v>0</v>
      </c>
      <c r="V2866" s="46" t="s">
        <v>62</v>
      </c>
      <c r="W2866" s="46">
        <v>3000</v>
      </c>
      <c r="X2866" s="46">
        <v>6.798</v>
      </c>
      <c r="AF2866" s="46">
        <v>39</v>
      </c>
      <c r="AG2866" s="46">
        <v>19500</v>
      </c>
      <c r="AH2866" s="46">
        <v>142169</v>
      </c>
      <c r="AI2866" s="46">
        <v>7.2910000000000004</v>
      </c>
      <c r="AJ2866" s="46">
        <v>39</v>
      </c>
      <c r="AK2866" s="46">
        <v>18200</v>
      </c>
      <c r="AL2866" s="46">
        <v>136881.78599999999</v>
      </c>
      <c r="AM2866" s="46">
        <v>7.5209999999999999</v>
      </c>
      <c r="AN2866" s="46" t="s">
        <v>63</v>
      </c>
      <c r="AO2866" s="46">
        <v>1300</v>
      </c>
      <c r="AP2866" s="46">
        <v>5287.2139999999999</v>
      </c>
      <c r="AQ2866" s="46">
        <v>4.0670000000000002</v>
      </c>
      <c r="AR2866" s="46">
        <v>4186</v>
      </c>
      <c r="AS2866" s="46">
        <v>45</v>
      </c>
      <c r="AT2866" s="46">
        <v>22500</v>
      </c>
      <c r="AU2866" s="46">
        <v>162594</v>
      </c>
      <c r="AV2866" s="46">
        <v>7.226</v>
      </c>
      <c r="AW2866" s="46">
        <v>39</v>
      </c>
      <c r="AX2866" s="46">
        <v>18200</v>
      </c>
      <c r="AY2866" s="46">
        <v>136881.78599999999</v>
      </c>
      <c r="AZ2866" s="46">
        <v>7.5209999999999999</v>
      </c>
      <c r="BA2866" s="46" t="s">
        <v>63</v>
      </c>
      <c r="BB2866" s="46">
        <v>4300</v>
      </c>
      <c r="BC2866" s="46">
        <v>25712.214</v>
      </c>
      <c r="BD2866" s="46">
        <v>5.98</v>
      </c>
      <c r="BE2866" s="46">
        <v>5369</v>
      </c>
      <c r="BF2866" s="46">
        <v>20425</v>
      </c>
      <c r="BG2866" s="46">
        <v>6.81</v>
      </c>
      <c r="BH2866" s="46">
        <v>0</v>
      </c>
      <c r="BJ2866">
        <v>20425</v>
      </c>
      <c r="BK2866">
        <v>6.81</v>
      </c>
      <c r="BL2866">
        <v>716.78</v>
      </c>
    </row>
    <row r="2867" spans="1:64" x14ac:dyDescent="0.25">
      <c r="A2867" s="136">
        <v>43215</v>
      </c>
      <c r="B2867" s="201" t="s">
        <v>67</v>
      </c>
      <c r="C2867" t="s">
        <v>129</v>
      </c>
      <c r="D2867">
        <v>200</v>
      </c>
      <c r="E2867">
        <v>200</v>
      </c>
      <c r="F2867">
        <v>-11.313000000000001</v>
      </c>
      <c r="G2867">
        <v>4150.6000000000004</v>
      </c>
      <c r="H2867">
        <v>0</v>
      </c>
      <c r="I2867" s="309">
        <v>1888</v>
      </c>
      <c r="J2867">
        <v>9.44</v>
      </c>
      <c r="K2867" s="133">
        <v>3.9414226105636899E-3</v>
      </c>
      <c r="L2867" s="181">
        <v>14</v>
      </c>
      <c r="M2867" s="133">
        <v>0</v>
      </c>
      <c r="N2867" s="73">
        <v>4088.7264999997601</v>
      </c>
      <c r="O2867" s="73">
        <v>447.61031070643799</v>
      </c>
      <c r="P2867" s="182">
        <v>1</v>
      </c>
      <c r="Q2867" s="182">
        <v>500</v>
      </c>
      <c r="R2867" s="46">
        <v>9.01</v>
      </c>
      <c r="S2867" s="46">
        <v>25</v>
      </c>
      <c r="T2867" s="46">
        <v>10000</v>
      </c>
      <c r="U2867" s="46">
        <v>9.0020000000000007</v>
      </c>
      <c r="V2867" s="46" t="s">
        <v>68</v>
      </c>
      <c r="W2867" s="46">
        <v>9500</v>
      </c>
      <c r="X2867" s="46">
        <v>9.0020000000000007</v>
      </c>
      <c r="AF2867" s="46">
        <v>190</v>
      </c>
      <c r="AG2867" s="46">
        <v>94400</v>
      </c>
      <c r="AH2867" s="46">
        <v>786305</v>
      </c>
      <c r="AI2867" s="46">
        <v>8.33</v>
      </c>
      <c r="AJ2867" s="46">
        <v>193</v>
      </c>
      <c r="AK2867" s="46">
        <v>87300</v>
      </c>
      <c r="AL2867" s="46">
        <v>772394.3665</v>
      </c>
      <c r="AM2867" s="46">
        <v>8.8480000000000008</v>
      </c>
      <c r="AN2867" s="46" t="s">
        <v>63</v>
      </c>
      <c r="AO2867" s="46">
        <v>7100</v>
      </c>
      <c r="AP2867" s="46">
        <v>13910.633</v>
      </c>
      <c r="AQ2867" s="46">
        <v>1.9590000000000001</v>
      </c>
      <c r="AR2867" s="46">
        <v>45221.4</v>
      </c>
      <c r="AS2867" s="46">
        <v>191</v>
      </c>
      <c r="AT2867" s="46">
        <v>94900</v>
      </c>
      <c r="AU2867" s="46">
        <v>790815</v>
      </c>
      <c r="AV2867" s="46">
        <v>8.3330000000000002</v>
      </c>
      <c r="AW2867" s="46">
        <v>218</v>
      </c>
      <c r="AX2867" s="46">
        <v>97300</v>
      </c>
      <c r="AY2867" s="46">
        <v>862205.84250000003</v>
      </c>
      <c r="AZ2867" s="46">
        <v>8.8610000000000007</v>
      </c>
      <c r="BA2867" s="46" t="s">
        <v>69</v>
      </c>
      <c r="BB2867" s="46">
        <v>2400</v>
      </c>
      <c r="BC2867" s="46">
        <v>71390.842999999993</v>
      </c>
      <c r="BD2867" s="46">
        <v>29.745999999999999</v>
      </c>
      <c r="BE2867" s="46">
        <v>50107.199999999997</v>
      </c>
      <c r="BF2867" s="46">
        <v>4510</v>
      </c>
      <c r="BG2867" s="46">
        <v>9.02</v>
      </c>
      <c r="BH2867" s="46">
        <v>89811.475999999995</v>
      </c>
      <c r="BI2867">
        <v>8.98</v>
      </c>
      <c r="BJ2867">
        <v>57480.21</v>
      </c>
      <c r="BK2867">
        <v>6.05</v>
      </c>
      <c r="BL2867">
        <v>4790.3999999999996</v>
      </c>
    </row>
    <row r="2868" spans="1:64" x14ac:dyDescent="0.25">
      <c r="A2868" s="136">
        <v>43215</v>
      </c>
      <c r="B2868" s="201" t="s">
        <v>78</v>
      </c>
      <c r="C2868" t="s">
        <v>142</v>
      </c>
      <c r="D2868">
        <v>600</v>
      </c>
      <c r="E2868">
        <v>600</v>
      </c>
      <c r="F2868">
        <v>6.9409999999999998</v>
      </c>
      <c r="G2868">
        <v>1487.39</v>
      </c>
      <c r="H2868">
        <v>35.72</v>
      </c>
      <c r="I2868" s="309">
        <v>5652</v>
      </c>
      <c r="J2868">
        <v>9.42</v>
      </c>
      <c r="K2868" s="133">
        <v>1.17992164167934E-2</v>
      </c>
      <c r="L2868" s="181">
        <v>-36</v>
      </c>
      <c r="M2868" s="133">
        <v>8.6941144164087106E-3</v>
      </c>
      <c r="N2868" s="73">
        <v>1415.3910000000001</v>
      </c>
      <c r="O2868" s="73">
        <v>152.11648435483801</v>
      </c>
      <c r="P2868" s="182">
        <v>0</v>
      </c>
      <c r="Q2868" s="182">
        <v>0</v>
      </c>
      <c r="R2868" s="46">
        <v>0</v>
      </c>
      <c r="S2868" s="46">
        <v>2</v>
      </c>
      <c r="T2868" s="46">
        <v>800</v>
      </c>
      <c r="U2868" s="46">
        <v>10.210000000000001</v>
      </c>
      <c r="V2868" s="46" t="s">
        <v>68</v>
      </c>
      <c r="W2868" s="46">
        <v>800</v>
      </c>
      <c r="X2868" s="46">
        <v>10.210000000000001</v>
      </c>
      <c r="AF2868" s="46">
        <v>14</v>
      </c>
      <c r="AG2868" s="46">
        <v>7000</v>
      </c>
      <c r="AH2868" s="46">
        <v>67625</v>
      </c>
      <c r="AI2868" s="46">
        <v>9.6609999999999996</v>
      </c>
      <c r="AJ2868" s="46">
        <v>15</v>
      </c>
      <c r="AK2868" s="46">
        <v>5600</v>
      </c>
      <c r="AL2868" s="46">
        <v>55310.559000000001</v>
      </c>
      <c r="AM2868" s="46">
        <v>9.8770000000000007</v>
      </c>
      <c r="AN2868" s="46" t="s">
        <v>63</v>
      </c>
      <c r="AO2868" s="46">
        <v>1400</v>
      </c>
      <c r="AP2868" s="46">
        <v>12314.441000000001</v>
      </c>
      <c r="AQ2868" s="46">
        <v>8.7959999999999994</v>
      </c>
      <c r="AR2868" s="46">
        <v>1209.5999999999999</v>
      </c>
      <c r="AS2868" s="46">
        <v>14</v>
      </c>
      <c r="AT2868" s="46">
        <v>7000</v>
      </c>
      <c r="AU2868" s="46">
        <v>67625</v>
      </c>
      <c r="AV2868" s="46">
        <v>9.6609999999999996</v>
      </c>
      <c r="AW2868" s="46">
        <v>17</v>
      </c>
      <c r="AX2868" s="46">
        <v>6400</v>
      </c>
      <c r="AY2868" s="46">
        <v>63460.391000000003</v>
      </c>
      <c r="AZ2868" s="46">
        <v>9.9160000000000004</v>
      </c>
      <c r="BA2868" s="46" t="s">
        <v>63</v>
      </c>
      <c r="BB2868" s="46">
        <v>600</v>
      </c>
      <c r="BC2868" s="46">
        <v>4164.6090000000004</v>
      </c>
      <c r="BD2868" s="46">
        <v>6.9409999999999998</v>
      </c>
      <c r="BE2868" s="46">
        <v>1632</v>
      </c>
      <c r="BF2868" s="46">
        <v>0</v>
      </c>
      <c r="BH2868" s="46">
        <v>8149.8320000000003</v>
      </c>
      <c r="BI2868">
        <v>10.19</v>
      </c>
      <c r="BJ2868">
        <v>-8149.8320000000003</v>
      </c>
      <c r="BK2868">
        <v>-10.19</v>
      </c>
      <c r="BL2868">
        <v>128.41</v>
      </c>
    </row>
    <row r="2869" spans="1:64" x14ac:dyDescent="0.25">
      <c r="A2869" s="136">
        <v>43215</v>
      </c>
      <c r="B2869" s="201" t="s">
        <v>72</v>
      </c>
      <c r="C2869" t="s">
        <v>130</v>
      </c>
      <c r="D2869">
        <v>1700</v>
      </c>
      <c r="E2869">
        <v>1700</v>
      </c>
      <c r="F2869">
        <v>6.75</v>
      </c>
      <c r="G2869">
        <v>119.16</v>
      </c>
      <c r="H2869">
        <v>1.04</v>
      </c>
      <c r="I2869" s="309">
        <v>11594</v>
      </c>
      <c r="J2869">
        <v>6.82</v>
      </c>
      <c r="K2869" s="133">
        <v>2.4203842026946702E-2</v>
      </c>
      <c r="L2869" s="181">
        <v>-85</v>
      </c>
      <c r="M2869" s="133">
        <v>2.3955081477013099E-2</v>
      </c>
      <c r="N2869" s="73">
        <v>-11821.548000000001</v>
      </c>
      <c r="O2869" s="73">
        <v>32.129566715119203</v>
      </c>
      <c r="P2869" s="182">
        <v>0</v>
      </c>
      <c r="Q2869" s="182">
        <v>0</v>
      </c>
      <c r="R2869" s="46">
        <v>0</v>
      </c>
      <c r="S2869" s="46">
        <v>16</v>
      </c>
      <c r="T2869" s="46">
        <v>6400</v>
      </c>
      <c r="U2869" s="46">
        <v>7.319</v>
      </c>
      <c r="V2869" s="46" t="s">
        <v>68</v>
      </c>
      <c r="W2869" s="46">
        <v>6400</v>
      </c>
      <c r="X2869" s="46">
        <v>7.319</v>
      </c>
      <c r="AF2869" s="46">
        <v>36</v>
      </c>
      <c r="AG2869" s="46">
        <v>17900</v>
      </c>
      <c r="AH2869" s="46">
        <v>133787</v>
      </c>
      <c r="AI2869" s="46">
        <v>7.4740000000000002</v>
      </c>
      <c r="AJ2869" s="46">
        <v>36</v>
      </c>
      <c r="AK2869" s="46">
        <v>16400</v>
      </c>
      <c r="AL2869" s="46">
        <v>76327.481</v>
      </c>
      <c r="AM2869" s="46">
        <v>4.6539999999999999</v>
      </c>
      <c r="AN2869" s="46" t="s">
        <v>63</v>
      </c>
      <c r="AO2869" s="46">
        <v>1500</v>
      </c>
      <c r="AP2869" s="46">
        <v>57459.519</v>
      </c>
      <c r="AQ2869" s="46">
        <v>38.305999999999997</v>
      </c>
      <c r="AR2869" s="46">
        <v>-46248</v>
      </c>
      <c r="AS2869" s="46">
        <v>36</v>
      </c>
      <c r="AT2869" s="46">
        <v>17900</v>
      </c>
      <c r="AU2869" s="46">
        <v>133787</v>
      </c>
      <c r="AV2869" s="46">
        <v>7.4740000000000002</v>
      </c>
      <c r="AW2869" s="46">
        <v>53</v>
      </c>
      <c r="AX2869" s="46">
        <v>23300</v>
      </c>
      <c r="AY2869" s="46">
        <v>123044.637</v>
      </c>
      <c r="AZ2869" s="46">
        <v>5.2809999999999997</v>
      </c>
      <c r="BA2869" s="46" t="s">
        <v>69</v>
      </c>
      <c r="BB2869" s="46">
        <v>5400</v>
      </c>
      <c r="BC2869" s="46">
        <v>10742.362999999999</v>
      </c>
      <c r="BD2869" s="46">
        <v>1.9890000000000001</v>
      </c>
      <c r="BE2869" s="46">
        <v>-39254.699999999997</v>
      </c>
      <c r="BF2869" s="46">
        <v>0</v>
      </c>
      <c r="BH2869" s="46">
        <v>46717.156000000003</v>
      </c>
      <c r="BI2869">
        <v>7.3</v>
      </c>
      <c r="BJ2869">
        <v>-46717.156000000003</v>
      </c>
      <c r="BK2869">
        <v>-7.3</v>
      </c>
      <c r="BL2869">
        <v>-6781.23</v>
      </c>
    </row>
    <row r="2870" spans="1:64" x14ac:dyDescent="0.25">
      <c r="A2870" s="136">
        <v>43215</v>
      </c>
      <c r="B2870" s="201" t="s">
        <v>70</v>
      </c>
      <c r="C2870" t="s">
        <v>131</v>
      </c>
      <c r="D2870">
        <v>11100</v>
      </c>
      <c r="E2870">
        <v>11100</v>
      </c>
      <c r="F2870">
        <v>11.728</v>
      </c>
      <c r="G2870">
        <v>-27723.61</v>
      </c>
      <c r="H2870">
        <v>-21.3</v>
      </c>
      <c r="I2870" s="309">
        <v>102453</v>
      </c>
      <c r="J2870">
        <v>9.23</v>
      </c>
      <c r="K2870" s="133">
        <v>0.213882717542416</v>
      </c>
      <c r="L2870" s="181">
        <v>666</v>
      </c>
      <c r="M2870" s="133">
        <v>0.27175902225663701</v>
      </c>
      <c r="N2870" s="73">
        <v>-27949.615000000002</v>
      </c>
      <c r="O2870" s="73">
        <v>-3033.1856886536402</v>
      </c>
      <c r="P2870" s="182">
        <v>2</v>
      </c>
      <c r="Q2870" s="182">
        <v>1000</v>
      </c>
      <c r="R2870" s="46">
        <v>8.08</v>
      </c>
      <c r="S2870" s="46">
        <v>6</v>
      </c>
      <c r="T2870" s="46">
        <v>2500</v>
      </c>
      <c r="U2870" s="46">
        <v>8.9860000000000007</v>
      </c>
      <c r="V2870" s="46" t="s">
        <v>68</v>
      </c>
      <c r="W2870" s="46">
        <v>1500</v>
      </c>
      <c r="X2870" s="46">
        <v>9.59</v>
      </c>
      <c r="AF2870" s="46">
        <v>136</v>
      </c>
      <c r="AG2870" s="46">
        <v>69600</v>
      </c>
      <c r="AH2870" s="46">
        <v>903588</v>
      </c>
      <c r="AI2870" s="46">
        <v>12.983000000000001</v>
      </c>
      <c r="AJ2870" s="46">
        <v>142</v>
      </c>
      <c r="AK2870" s="46">
        <v>57000</v>
      </c>
      <c r="AL2870" s="46">
        <v>758679.85</v>
      </c>
      <c r="AM2870" s="46">
        <v>13.31</v>
      </c>
      <c r="AN2870" s="46" t="s">
        <v>63</v>
      </c>
      <c r="AO2870" s="46">
        <v>12600</v>
      </c>
      <c r="AP2870" s="46">
        <v>144908.15</v>
      </c>
      <c r="AQ2870" s="46">
        <v>11.500999999999999</v>
      </c>
      <c r="AR2870" s="46">
        <v>18639</v>
      </c>
      <c r="AS2870" s="46">
        <v>138</v>
      </c>
      <c r="AT2870" s="46">
        <v>70600</v>
      </c>
      <c r="AU2870" s="46">
        <v>911678</v>
      </c>
      <c r="AV2870" s="46">
        <v>12.913</v>
      </c>
      <c r="AW2870" s="46">
        <v>149</v>
      </c>
      <c r="AX2870" s="46">
        <v>59500</v>
      </c>
      <c r="AY2870" s="46">
        <v>781497.38500000001</v>
      </c>
      <c r="AZ2870" s="46">
        <v>13.134</v>
      </c>
      <c r="BA2870" s="46" t="s">
        <v>63</v>
      </c>
      <c r="BB2870" s="46">
        <v>11100</v>
      </c>
      <c r="BC2870" s="46">
        <v>130180.61500000001</v>
      </c>
      <c r="BD2870" s="46">
        <v>11.728</v>
      </c>
      <c r="BE2870" s="46">
        <v>13149.5</v>
      </c>
      <c r="BF2870" s="46">
        <v>8090</v>
      </c>
      <c r="BG2870" s="46">
        <v>8.09</v>
      </c>
      <c r="BH2870" s="46">
        <v>22817.535</v>
      </c>
      <c r="BI2870">
        <v>9.1300000000000008</v>
      </c>
      <c r="BJ2870">
        <v>-14727.535</v>
      </c>
      <c r="BK2870">
        <v>-9.82</v>
      </c>
      <c r="BL2870">
        <v>2019.39</v>
      </c>
    </row>
    <row r="2871" spans="1:64" x14ac:dyDescent="0.25">
      <c r="A2871" s="136">
        <v>43215</v>
      </c>
      <c r="B2871" s="201" t="s">
        <v>137</v>
      </c>
      <c r="C2871" t="s">
        <v>149</v>
      </c>
      <c r="D2871">
        <v>100</v>
      </c>
      <c r="E2871">
        <v>100</v>
      </c>
      <c r="F2871">
        <v>-130.48500000000001</v>
      </c>
      <c r="G2871">
        <v>17483.5</v>
      </c>
      <c r="H2871">
        <v>0</v>
      </c>
      <c r="I2871" s="309">
        <v>4435</v>
      </c>
      <c r="J2871">
        <v>44.35</v>
      </c>
      <c r="K2871" s="133">
        <v>9.25858542259002E-3</v>
      </c>
      <c r="L2871" s="181">
        <v>52</v>
      </c>
      <c r="M2871" s="133">
        <v>0</v>
      </c>
    </row>
    <row r="2872" spans="1:64" x14ac:dyDescent="0.25">
      <c r="A2872" s="136">
        <v>43215</v>
      </c>
      <c r="B2872" s="201" t="s">
        <v>133</v>
      </c>
      <c r="C2872" t="s">
        <v>134</v>
      </c>
      <c r="D2872">
        <v>20000</v>
      </c>
      <c r="E2872">
        <v>20000</v>
      </c>
      <c r="F2872">
        <v>1</v>
      </c>
      <c r="G2872">
        <v>-0.2</v>
      </c>
      <c r="H2872">
        <v>0</v>
      </c>
      <c r="I2872" s="309">
        <v>0</v>
      </c>
      <c r="J2872">
        <v>1</v>
      </c>
      <c r="K2872" s="133">
        <v>0</v>
      </c>
      <c r="L2872" s="181">
        <v>0</v>
      </c>
      <c r="M2872" s="133">
        <v>0</v>
      </c>
    </row>
    <row r="2873" spans="1:64" x14ac:dyDescent="0.25">
      <c r="A2873" s="136">
        <v>43215</v>
      </c>
      <c r="B2873" s="201" t="s">
        <v>835</v>
      </c>
      <c r="C2873" t="s">
        <v>839</v>
      </c>
      <c r="I2873" s="309">
        <v>21765.88</v>
      </c>
      <c r="K2873" s="133">
        <v>4.5438840874372902E-2</v>
      </c>
      <c r="L2873" s="181">
        <v>0</v>
      </c>
      <c r="M2873" s="133">
        <v>0.12942784280220501</v>
      </c>
    </row>
    <row r="2874" spans="1:64" x14ac:dyDescent="0.25">
      <c r="A2874" s="136">
        <v>43216</v>
      </c>
      <c r="B2874" s="201" t="s">
        <v>132</v>
      </c>
      <c r="C2874" t="s">
        <v>123</v>
      </c>
      <c r="D2874">
        <v>5523664</v>
      </c>
      <c r="E2874">
        <v>3523664</v>
      </c>
      <c r="F2874">
        <v>8.9999999999999993E-3</v>
      </c>
      <c r="G2874">
        <v>3482.2</v>
      </c>
      <c r="H2874">
        <v>11.11</v>
      </c>
      <c r="I2874" s="309">
        <v>55236.639999999999</v>
      </c>
      <c r="J2874">
        <v>0.01</v>
      </c>
      <c r="K2874" s="133">
        <v>0.116395023477128</v>
      </c>
      <c r="L2874" s="181">
        <v>4.65999999999985</v>
      </c>
      <c r="M2874" s="133">
        <v>0</v>
      </c>
    </row>
    <row r="2875" spans="1:64" x14ac:dyDescent="0.25">
      <c r="A2875" s="136">
        <v>43216</v>
      </c>
      <c r="B2875" s="201" t="s">
        <v>61</v>
      </c>
      <c r="C2875" t="s">
        <v>136</v>
      </c>
      <c r="D2875">
        <v>3900</v>
      </c>
      <c r="E2875">
        <v>3400</v>
      </c>
      <c r="F2875">
        <v>5.0519999999999996</v>
      </c>
      <c r="G2875">
        <v>-1840.1</v>
      </c>
      <c r="H2875">
        <v>-9.34</v>
      </c>
      <c r="I2875" s="309">
        <v>17862</v>
      </c>
      <c r="J2875">
        <v>4.58</v>
      </c>
      <c r="K2875" s="133">
        <v>3.7638927880994703E-2</v>
      </c>
      <c r="L2875" s="181">
        <v>-180.05</v>
      </c>
      <c r="M2875" s="133">
        <v>4.1516399115672703E-2</v>
      </c>
      <c r="N2875" s="73">
        <v>-1807.1410000000001</v>
      </c>
      <c r="O2875" s="73">
        <v>-393.515779847494</v>
      </c>
      <c r="P2875" s="182">
        <v>6</v>
      </c>
      <c r="Q2875" s="182">
        <v>3000</v>
      </c>
      <c r="R2875" s="46">
        <v>5.0350000000000001</v>
      </c>
      <c r="S2875" s="46">
        <v>0</v>
      </c>
      <c r="T2875" s="46">
        <v>0</v>
      </c>
      <c r="U2875" s="46">
        <v>0</v>
      </c>
      <c r="V2875" s="46" t="s">
        <v>62</v>
      </c>
      <c r="W2875" s="46">
        <v>3000</v>
      </c>
      <c r="X2875" s="46">
        <v>5.0350000000000001</v>
      </c>
      <c r="AF2875" s="46">
        <v>10</v>
      </c>
      <c r="AG2875" s="46">
        <v>5000</v>
      </c>
      <c r="AH2875" s="46">
        <v>26378</v>
      </c>
      <c r="AI2875" s="46">
        <v>5.2759999999999998</v>
      </c>
      <c r="AJ2875" s="46">
        <v>10</v>
      </c>
      <c r="AK2875" s="46">
        <v>4100</v>
      </c>
      <c r="AL2875" s="46">
        <v>21806.659</v>
      </c>
      <c r="AM2875" s="46">
        <v>5.319</v>
      </c>
      <c r="AN2875" s="46" t="s">
        <v>63</v>
      </c>
      <c r="AO2875" s="46">
        <v>900</v>
      </c>
      <c r="AP2875" s="46">
        <v>4571.3410000000003</v>
      </c>
      <c r="AQ2875" s="46">
        <v>5.0789999999999997</v>
      </c>
      <c r="AR2875" s="46">
        <v>176.3</v>
      </c>
      <c r="AS2875" s="46">
        <v>16</v>
      </c>
      <c r="AT2875" s="46">
        <v>8000</v>
      </c>
      <c r="AU2875" s="46">
        <v>41514.800000000003</v>
      </c>
      <c r="AV2875" s="46">
        <v>5.1890000000000001</v>
      </c>
      <c r="AW2875" s="46">
        <v>10</v>
      </c>
      <c r="AX2875" s="46">
        <v>4100</v>
      </c>
      <c r="AY2875" s="46">
        <v>21806.659</v>
      </c>
      <c r="AZ2875" s="46">
        <v>5.319</v>
      </c>
      <c r="BA2875" s="46" t="s">
        <v>63</v>
      </c>
      <c r="BB2875" s="46">
        <v>3900</v>
      </c>
      <c r="BC2875" s="46">
        <v>19708.141</v>
      </c>
      <c r="BD2875" s="46">
        <v>5.0529999999999999</v>
      </c>
      <c r="BE2875" s="46">
        <v>533</v>
      </c>
      <c r="BF2875" s="46">
        <v>15136.8</v>
      </c>
      <c r="BG2875" s="46">
        <v>5.05</v>
      </c>
      <c r="BH2875" s="46">
        <v>0</v>
      </c>
      <c r="BJ2875">
        <v>15136.8</v>
      </c>
      <c r="BK2875">
        <v>5.05</v>
      </c>
      <c r="BL2875">
        <v>38.49</v>
      </c>
    </row>
    <row r="2876" spans="1:64" x14ac:dyDescent="0.25">
      <c r="A2876" s="136">
        <v>43216</v>
      </c>
      <c r="B2876" s="201" t="s">
        <v>124</v>
      </c>
      <c r="C2876" t="s">
        <v>125</v>
      </c>
      <c r="D2876">
        <v>100</v>
      </c>
      <c r="E2876">
        <v>100</v>
      </c>
      <c r="F2876">
        <v>-53.579000000000001</v>
      </c>
      <c r="G2876">
        <v>5952.9</v>
      </c>
      <c r="H2876">
        <v>0</v>
      </c>
      <c r="I2876" s="309">
        <v>595</v>
      </c>
      <c r="J2876">
        <v>5.95</v>
      </c>
      <c r="K2876" s="133">
        <v>1.2537880466460601E-3</v>
      </c>
      <c r="L2876" s="181">
        <v>-4</v>
      </c>
      <c r="M2876" s="133">
        <v>0</v>
      </c>
    </row>
    <row r="2877" spans="1:64" x14ac:dyDescent="0.25">
      <c r="A2877" s="136">
        <v>43216</v>
      </c>
      <c r="B2877" s="201" t="s">
        <v>71</v>
      </c>
      <c r="C2877" t="s">
        <v>126</v>
      </c>
      <c r="D2877">
        <v>1700</v>
      </c>
      <c r="E2877">
        <v>1700</v>
      </c>
      <c r="F2877">
        <v>5.2080000000000002</v>
      </c>
      <c r="G2877">
        <v>1992.67</v>
      </c>
      <c r="H2877">
        <v>22.5</v>
      </c>
      <c r="I2877" s="309">
        <v>10846</v>
      </c>
      <c r="J2877">
        <v>6.38</v>
      </c>
      <c r="K2877" s="133">
        <v>2.2854764964576699E-2</v>
      </c>
      <c r="L2877" s="181">
        <v>-34</v>
      </c>
      <c r="M2877" s="133">
        <v>1.8655797188256999E-2</v>
      </c>
      <c r="N2877" s="73">
        <v>2161.2060000000001</v>
      </c>
      <c r="O2877" s="73">
        <v>333.35268472222202</v>
      </c>
      <c r="P2877" s="182">
        <v>0</v>
      </c>
      <c r="Q2877" s="182">
        <v>0</v>
      </c>
      <c r="R2877" s="46">
        <v>0</v>
      </c>
      <c r="S2877" s="46">
        <v>4</v>
      </c>
      <c r="T2877" s="46">
        <v>1500</v>
      </c>
      <c r="U2877" s="46">
        <v>6.7679999999999998</v>
      </c>
      <c r="V2877" s="46" t="s">
        <v>68</v>
      </c>
      <c r="W2877" s="46">
        <v>1500</v>
      </c>
      <c r="X2877" s="46">
        <v>6.7679999999999998</v>
      </c>
      <c r="AF2877" s="46">
        <v>45</v>
      </c>
      <c r="AG2877" s="46">
        <v>22600</v>
      </c>
      <c r="AH2877" s="46">
        <v>144534.56</v>
      </c>
      <c r="AI2877" s="46">
        <v>6.3949999999999996</v>
      </c>
      <c r="AJ2877" s="46">
        <v>43</v>
      </c>
      <c r="AK2877" s="46">
        <v>19400</v>
      </c>
      <c r="AL2877" s="46">
        <v>125389.618</v>
      </c>
      <c r="AM2877" s="46">
        <v>6.4630000000000001</v>
      </c>
      <c r="AN2877" s="46" t="s">
        <v>63</v>
      </c>
      <c r="AO2877" s="46">
        <v>3200</v>
      </c>
      <c r="AP2877" s="46">
        <v>19144.941999999999</v>
      </c>
      <c r="AQ2877" s="46">
        <v>5.9829999999999997</v>
      </c>
      <c r="AR2877" s="46">
        <v>1319.2</v>
      </c>
      <c r="AS2877" s="46">
        <v>45</v>
      </c>
      <c r="AT2877" s="46">
        <v>22600</v>
      </c>
      <c r="AU2877" s="46">
        <v>144534.56</v>
      </c>
      <c r="AV2877" s="46">
        <v>6.3949999999999996</v>
      </c>
      <c r="AW2877" s="46">
        <v>47</v>
      </c>
      <c r="AX2877" s="46">
        <v>20900</v>
      </c>
      <c r="AY2877" s="46">
        <v>135518.56599999999</v>
      </c>
      <c r="AZ2877" s="46">
        <v>6.484</v>
      </c>
      <c r="BA2877" s="46" t="s">
        <v>63</v>
      </c>
      <c r="BB2877" s="46">
        <v>1700</v>
      </c>
      <c r="BC2877" s="46">
        <v>9015.9940000000006</v>
      </c>
      <c r="BD2877" s="46">
        <v>5.3040000000000003</v>
      </c>
      <c r="BE2877" s="46">
        <v>1860.1</v>
      </c>
      <c r="BF2877" s="46">
        <v>0</v>
      </c>
      <c r="BH2877" s="46">
        <v>10128.948</v>
      </c>
      <c r="BI2877">
        <v>6.75</v>
      </c>
      <c r="BJ2877">
        <v>-10128.948</v>
      </c>
      <c r="BK2877">
        <v>-6.75</v>
      </c>
      <c r="BL2877">
        <v>206.77</v>
      </c>
    </row>
    <row r="2878" spans="1:64" x14ac:dyDescent="0.25">
      <c r="A2878" s="136">
        <v>43216</v>
      </c>
      <c r="B2878" s="201" t="s">
        <v>79</v>
      </c>
      <c r="C2878" t="s">
        <v>143</v>
      </c>
      <c r="D2878">
        <v>5500</v>
      </c>
      <c r="E2878">
        <v>5500</v>
      </c>
      <c r="F2878">
        <v>16.326000000000001</v>
      </c>
      <c r="G2878">
        <v>-10648.6</v>
      </c>
      <c r="H2878">
        <v>-11.86</v>
      </c>
      <c r="I2878" s="309">
        <v>79145</v>
      </c>
      <c r="J2878">
        <v>14.39</v>
      </c>
      <c r="K2878" s="133">
        <v>0.16677488227193599</v>
      </c>
      <c r="L2878" s="181">
        <v>380.02</v>
      </c>
      <c r="M2878" s="133">
        <v>0.189213684613979</v>
      </c>
      <c r="N2878" s="73">
        <v>-9333.7120000001305</v>
      </c>
      <c r="O2878" s="73">
        <v>-637.66542337663202</v>
      </c>
      <c r="P2878" s="182">
        <v>8</v>
      </c>
      <c r="Q2878" s="182">
        <v>4500</v>
      </c>
      <c r="R2878" s="46">
        <v>15.353999999999999</v>
      </c>
      <c r="S2878" s="46">
        <v>1</v>
      </c>
      <c r="T2878" s="46">
        <v>400</v>
      </c>
      <c r="U2878" s="46">
        <v>14.63</v>
      </c>
      <c r="V2878" s="46" t="s">
        <v>62</v>
      </c>
      <c r="W2878" s="46">
        <v>4100</v>
      </c>
      <c r="X2878" s="46">
        <v>15.425000000000001</v>
      </c>
      <c r="AF2878" s="46">
        <v>14</v>
      </c>
      <c r="AG2878" s="46">
        <v>7000</v>
      </c>
      <c r="AH2878" s="46">
        <v>110704.2</v>
      </c>
      <c r="AI2878" s="46">
        <v>15.815</v>
      </c>
      <c r="AJ2878" s="46">
        <v>14</v>
      </c>
      <c r="AK2878" s="46">
        <v>5600</v>
      </c>
      <c r="AL2878" s="46">
        <v>84202.279999999897</v>
      </c>
      <c r="AM2878" s="46">
        <v>15.036</v>
      </c>
      <c r="AN2878" s="46" t="s">
        <v>63</v>
      </c>
      <c r="AO2878" s="46">
        <v>1400</v>
      </c>
      <c r="AP2878" s="46">
        <v>26501.919999999998</v>
      </c>
      <c r="AQ2878" s="46">
        <v>18.93</v>
      </c>
      <c r="AR2878" s="46">
        <v>-4362.3999999999996</v>
      </c>
      <c r="AS2878" s="46">
        <v>22</v>
      </c>
      <c r="AT2878" s="46">
        <v>11500</v>
      </c>
      <c r="AU2878" s="46">
        <v>179841.9</v>
      </c>
      <c r="AV2878" s="46">
        <v>15.638</v>
      </c>
      <c r="AW2878" s="46">
        <v>15</v>
      </c>
      <c r="AX2878" s="46">
        <v>6000</v>
      </c>
      <c r="AY2878" s="46">
        <v>90043.187999999893</v>
      </c>
      <c r="AZ2878" s="46">
        <v>15.007</v>
      </c>
      <c r="BA2878" s="46" t="s">
        <v>63</v>
      </c>
      <c r="BB2878" s="46">
        <v>5500</v>
      </c>
      <c r="BC2878" s="46">
        <v>89798.712</v>
      </c>
      <c r="BD2878" s="46">
        <v>16.327000000000002</v>
      </c>
      <c r="BE2878" s="46">
        <v>-3786</v>
      </c>
      <c r="BF2878" s="46">
        <v>69137.699999999895</v>
      </c>
      <c r="BG2878" s="46">
        <v>15.36</v>
      </c>
      <c r="BH2878" s="46">
        <v>5840.9080000000004</v>
      </c>
      <c r="BI2878">
        <v>14.6</v>
      </c>
      <c r="BJ2878">
        <v>63296.792000000001</v>
      </c>
      <c r="BK2878">
        <v>15.44</v>
      </c>
      <c r="BL2878">
        <v>-303.14999999999998</v>
      </c>
    </row>
    <row r="2879" spans="1:64" x14ac:dyDescent="0.25">
      <c r="A2879" s="136">
        <v>43216</v>
      </c>
      <c r="B2879" s="201" t="s">
        <v>65</v>
      </c>
      <c r="C2879" t="s">
        <v>127</v>
      </c>
      <c r="D2879">
        <v>17300</v>
      </c>
      <c r="E2879">
        <v>16800</v>
      </c>
      <c r="F2879">
        <v>9.3369999999999997</v>
      </c>
      <c r="G2879">
        <v>-4439.3100000000004</v>
      </c>
      <c r="H2879">
        <v>-2.75</v>
      </c>
      <c r="I2879" s="309">
        <v>157084</v>
      </c>
      <c r="J2879">
        <v>9.08</v>
      </c>
      <c r="K2879" s="133">
        <v>0.33100847314176302</v>
      </c>
      <c r="L2879" s="181">
        <v>-1507</v>
      </c>
      <c r="M2879" s="133">
        <v>0.34036301736589197</v>
      </c>
      <c r="N2879" s="73">
        <v>-9067.7310000000107</v>
      </c>
      <c r="O2879" s="73">
        <v>-528.01152442054502</v>
      </c>
      <c r="P2879" s="182">
        <v>3</v>
      </c>
      <c r="Q2879" s="182">
        <v>1500</v>
      </c>
      <c r="R2879" s="46">
        <v>9.093</v>
      </c>
      <c r="S2879" s="46">
        <v>8</v>
      </c>
      <c r="T2879" s="46">
        <v>3300</v>
      </c>
      <c r="U2879" s="46">
        <v>12.547000000000001</v>
      </c>
      <c r="V2879" s="46" t="s">
        <v>68</v>
      </c>
      <c r="W2879" s="46">
        <v>1800</v>
      </c>
      <c r="X2879" s="46">
        <v>15.425000000000001</v>
      </c>
      <c r="AF2879" s="46">
        <v>185</v>
      </c>
      <c r="AG2879" s="46">
        <v>98200</v>
      </c>
      <c r="AH2879" s="46">
        <v>1122220.2309999999</v>
      </c>
      <c r="AI2879" s="46">
        <v>11.428000000000001</v>
      </c>
      <c r="AJ2879" s="46">
        <v>204</v>
      </c>
      <c r="AK2879" s="46">
        <v>88300</v>
      </c>
      <c r="AL2879" s="46">
        <v>932193.902</v>
      </c>
      <c r="AM2879" s="46">
        <v>10.557</v>
      </c>
      <c r="AN2879" s="46" t="s">
        <v>63</v>
      </c>
      <c r="AO2879" s="46">
        <v>9900</v>
      </c>
      <c r="AP2879" s="46">
        <v>190026.329</v>
      </c>
      <c r="AQ2879" s="46">
        <v>19.195</v>
      </c>
      <c r="AR2879" s="46">
        <v>-76909.3</v>
      </c>
      <c r="AS2879" s="46">
        <v>189</v>
      </c>
      <c r="AT2879" s="46">
        <v>99800</v>
      </c>
      <c r="AU2879" s="46">
        <v>1137163.2309999999</v>
      </c>
      <c r="AV2879" s="46">
        <v>11.394</v>
      </c>
      <c r="AW2879" s="46">
        <v>212</v>
      </c>
      <c r="AX2879" s="46">
        <v>91600</v>
      </c>
      <c r="AY2879" s="46">
        <v>973516.49800000002</v>
      </c>
      <c r="AZ2879" s="46">
        <v>10.628</v>
      </c>
      <c r="BA2879" s="46" t="s">
        <v>63</v>
      </c>
      <c r="BB2879" s="46">
        <v>8200</v>
      </c>
      <c r="BC2879" s="46">
        <v>163646.73300000001</v>
      </c>
      <c r="BD2879" s="46">
        <v>19.957000000000001</v>
      </c>
      <c r="BE2879" s="46">
        <v>-70165.600000000006</v>
      </c>
      <c r="BF2879" s="46">
        <v>14943</v>
      </c>
      <c r="BG2879" s="46">
        <v>9.9600000000000009</v>
      </c>
      <c r="BH2879" s="46">
        <v>41322.5960000001</v>
      </c>
      <c r="BI2879">
        <v>12.52</v>
      </c>
      <c r="BJ2879">
        <v>-26379.596000000001</v>
      </c>
      <c r="BK2879">
        <v>-14.66</v>
      </c>
      <c r="BL2879">
        <v>-8470.19</v>
      </c>
    </row>
    <row r="2880" spans="1:64" x14ac:dyDescent="0.25">
      <c r="A2880" s="136">
        <v>43216</v>
      </c>
      <c r="B2880" s="201" t="s">
        <v>77</v>
      </c>
      <c r="C2880" t="s">
        <v>128</v>
      </c>
      <c r="D2880">
        <v>4300</v>
      </c>
      <c r="E2880">
        <v>4300</v>
      </c>
      <c r="F2880">
        <v>5.9779999999999998</v>
      </c>
      <c r="G2880">
        <v>-595.27</v>
      </c>
      <c r="H2880">
        <v>-2.31</v>
      </c>
      <c r="I2880" s="309">
        <v>25112</v>
      </c>
      <c r="J2880">
        <v>5.84</v>
      </c>
      <c r="K2880" s="133">
        <v>5.2916177188866903E-2</v>
      </c>
      <c r="L2880" s="181">
        <v>0</v>
      </c>
      <c r="M2880" s="133">
        <v>5.4170534181349199E-2</v>
      </c>
      <c r="N2880" s="73">
        <v>-1272.2139999999999</v>
      </c>
      <c r="O2880" s="73">
        <v>-133.073774655173</v>
      </c>
      <c r="P2880" s="182">
        <v>6</v>
      </c>
      <c r="Q2880" s="182">
        <v>3000</v>
      </c>
      <c r="R2880" s="46">
        <v>6.798</v>
      </c>
      <c r="S2880" s="46">
        <v>0</v>
      </c>
      <c r="T2880" s="46">
        <v>0</v>
      </c>
      <c r="U2880" s="46">
        <v>0</v>
      </c>
      <c r="V2880" s="46" t="s">
        <v>62</v>
      </c>
      <c r="W2880" s="46">
        <v>3000</v>
      </c>
      <c r="X2880" s="46">
        <v>6.798</v>
      </c>
      <c r="AF2880" s="46">
        <v>39</v>
      </c>
      <c r="AG2880" s="46">
        <v>19500</v>
      </c>
      <c r="AH2880" s="46">
        <v>142169</v>
      </c>
      <c r="AI2880" s="46">
        <v>7.2910000000000004</v>
      </c>
      <c r="AJ2880" s="46">
        <v>39</v>
      </c>
      <c r="AK2880" s="46">
        <v>18200</v>
      </c>
      <c r="AL2880" s="46">
        <v>136881.78599999999</v>
      </c>
      <c r="AM2880" s="46">
        <v>7.5209999999999999</v>
      </c>
      <c r="AN2880" s="46" t="s">
        <v>63</v>
      </c>
      <c r="AO2880" s="46">
        <v>1300</v>
      </c>
      <c r="AP2880" s="46">
        <v>5287.2139999999999</v>
      </c>
      <c r="AQ2880" s="46">
        <v>4.0670000000000002</v>
      </c>
      <c r="AR2880" s="46">
        <v>4186</v>
      </c>
      <c r="AS2880" s="46">
        <v>45</v>
      </c>
      <c r="AT2880" s="46">
        <v>22500</v>
      </c>
      <c r="AU2880" s="46">
        <v>162594</v>
      </c>
      <c r="AV2880" s="46">
        <v>7.226</v>
      </c>
      <c r="AW2880" s="46">
        <v>39</v>
      </c>
      <c r="AX2880" s="46">
        <v>18200</v>
      </c>
      <c r="AY2880" s="46">
        <v>136881.78599999999</v>
      </c>
      <c r="AZ2880" s="46">
        <v>7.5209999999999999</v>
      </c>
      <c r="BA2880" s="46" t="s">
        <v>63</v>
      </c>
      <c r="BB2880" s="46">
        <v>4300</v>
      </c>
      <c r="BC2880" s="46">
        <v>25712.214</v>
      </c>
      <c r="BD2880" s="46">
        <v>5.98</v>
      </c>
      <c r="BE2880" s="46">
        <v>5369</v>
      </c>
      <c r="BF2880" s="46">
        <v>20425</v>
      </c>
      <c r="BG2880" s="46">
        <v>6.81</v>
      </c>
      <c r="BH2880" s="46">
        <v>0</v>
      </c>
      <c r="BJ2880">
        <v>20425</v>
      </c>
      <c r="BK2880">
        <v>6.81</v>
      </c>
      <c r="BL2880">
        <v>716.78</v>
      </c>
    </row>
    <row r="2881" spans="1:64" x14ac:dyDescent="0.25">
      <c r="A2881" s="136">
        <v>43216</v>
      </c>
      <c r="B2881" s="201" t="s">
        <v>67</v>
      </c>
      <c r="C2881" t="s">
        <v>129</v>
      </c>
      <c r="D2881">
        <v>200</v>
      </c>
      <c r="E2881">
        <v>200</v>
      </c>
      <c r="F2881">
        <v>-11.313000000000001</v>
      </c>
      <c r="G2881">
        <v>4120.6000000000004</v>
      </c>
      <c r="H2881">
        <v>0</v>
      </c>
      <c r="I2881" s="309">
        <v>1858</v>
      </c>
      <c r="J2881">
        <v>9.2899999999999991</v>
      </c>
      <c r="K2881" s="133">
        <v>3.9151902364174297E-3</v>
      </c>
      <c r="L2881" s="181">
        <v>-30</v>
      </c>
      <c r="M2881" s="133">
        <v>0</v>
      </c>
      <c r="N2881" s="73">
        <v>4088.7264999997601</v>
      </c>
      <c r="O2881" s="73">
        <v>447.61031070643799</v>
      </c>
      <c r="P2881" s="182">
        <v>1</v>
      </c>
      <c r="Q2881" s="182">
        <v>500</v>
      </c>
      <c r="R2881" s="46">
        <v>9.01</v>
      </c>
      <c r="S2881" s="46">
        <v>25</v>
      </c>
      <c r="T2881" s="46">
        <v>10000</v>
      </c>
      <c r="U2881" s="46">
        <v>9.0020000000000007</v>
      </c>
      <c r="V2881" s="46" t="s">
        <v>68</v>
      </c>
      <c r="W2881" s="46">
        <v>9500</v>
      </c>
      <c r="X2881" s="46">
        <v>9.0020000000000007</v>
      </c>
      <c r="AF2881" s="46">
        <v>190</v>
      </c>
      <c r="AG2881" s="46">
        <v>94400</v>
      </c>
      <c r="AH2881" s="46">
        <v>786305</v>
      </c>
      <c r="AI2881" s="46">
        <v>8.33</v>
      </c>
      <c r="AJ2881" s="46">
        <v>193</v>
      </c>
      <c r="AK2881" s="46">
        <v>87300</v>
      </c>
      <c r="AL2881" s="46">
        <v>772394.3665</v>
      </c>
      <c r="AM2881" s="46">
        <v>8.8480000000000008</v>
      </c>
      <c r="AN2881" s="46" t="s">
        <v>63</v>
      </c>
      <c r="AO2881" s="46">
        <v>7100</v>
      </c>
      <c r="AP2881" s="46">
        <v>13910.633</v>
      </c>
      <c r="AQ2881" s="46">
        <v>1.9590000000000001</v>
      </c>
      <c r="AR2881" s="46">
        <v>45221.4</v>
      </c>
      <c r="AS2881" s="46">
        <v>191</v>
      </c>
      <c r="AT2881" s="46">
        <v>94900</v>
      </c>
      <c r="AU2881" s="46">
        <v>790815</v>
      </c>
      <c r="AV2881" s="46">
        <v>8.3330000000000002</v>
      </c>
      <c r="AW2881" s="46">
        <v>218</v>
      </c>
      <c r="AX2881" s="46">
        <v>97300</v>
      </c>
      <c r="AY2881" s="46">
        <v>862205.84250000003</v>
      </c>
      <c r="AZ2881" s="46">
        <v>8.8610000000000007</v>
      </c>
      <c r="BA2881" s="46" t="s">
        <v>69</v>
      </c>
      <c r="BB2881" s="46">
        <v>2400</v>
      </c>
      <c r="BC2881" s="46">
        <v>71390.842999999993</v>
      </c>
      <c r="BD2881" s="46">
        <v>29.745999999999999</v>
      </c>
      <c r="BE2881" s="46">
        <v>50107.199999999997</v>
      </c>
      <c r="BF2881" s="46">
        <v>4510</v>
      </c>
      <c r="BG2881" s="46">
        <v>9.02</v>
      </c>
      <c r="BH2881" s="46">
        <v>89811.475999999995</v>
      </c>
      <c r="BI2881">
        <v>8.98</v>
      </c>
      <c r="BJ2881">
        <v>57480.21</v>
      </c>
      <c r="BK2881">
        <v>6.05</v>
      </c>
      <c r="BL2881">
        <v>4867.75</v>
      </c>
    </row>
    <row r="2882" spans="1:64" x14ac:dyDescent="0.25">
      <c r="A2882" s="136">
        <v>43216</v>
      </c>
      <c r="B2882" s="201" t="s">
        <v>78</v>
      </c>
      <c r="C2882" t="s">
        <v>142</v>
      </c>
      <c r="D2882">
        <v>600</v>
      </c>
      <c r="E2882">
        <v>600</v>
      </c>
      <c r="F2882">
        <v>6.9409999999999998</v>
      </c>
      <c r="G2882">
        <v>1325.39</v>
      </c>
      <c r="H2882">
        <v>31.83</v>
      </c>
      <c r="I2882" s="309">
        <v>5490</v>
      </c>
      <c r="J2882">
        <v>9.15</v>
      </c>
      <c r="K2882" s="133">
        <v>1.1568565337961099E-2</v>
      </c>
      <c r="L2882" s="181">
        <v>-162</v>
      </c>
      <c r="M2882" s="133">
        <v>8.7756945158699706E-3</v>
      </c>
      <c r="N2882" s="73">
        <v>1415.3910000000001</v>
      </c>
      <c r="O2882" s="73">
        <v>152.11648435483801</v>
      </c>
      <c r="P2882" s="182">
        <v>0</v>
      </c>
      <c r="Q2882" s="182">
        <v>0</v>
      </c>
      <c r="R2882" s="46">
        <v>0</v>
      </c>
      <c r="S2882" s="46">
        <v>2</v>
      </c>
      <c r="T2882" s="46">
        <v>800</v>
      </c>
      <c r="U2882" s="46">
        <v>10.210000000000001</v>
      </c>
      <c r="V2882" s="46" t="s">
        <v>68</v>
      </c>
      <c r="W2882" s="46">
        <v>800</v>
      </c>
      <c r="X2882" s="46">
        <v>10.210000000000001</v>
      </c>
      <c r="AF2882" s="46">
        <v>14</v>
      </c>
      <c r="AG2882" s="46">
        <v>7000</v>
      </c>
      <c r="AH2882" s="46">
        <v>67625</v>
      </c>
      <c r="AI2882" s="46">
        <v>9.6609999999999996</v>
      </c>
      <c r="AJ2882" s="46">
        <v>15</v>
      </c>
      <c r="AK2882" s="46">
        <v>5600</v>
      </c>
      <c r="AL2882" s="46">
        <v>55310.559000000001</v>
      </c>
      <c r="AM2882" s="46">
        <v>9.8770000000000007</v>
      </c>
      <c r="AN2882" s="46" t="s">
        <v>63</v>
      </c>
      <c r="AO2882" s="46">
        <v>1400</v>
      </c>
      <c r="AP2882" s="46">
        <v>12314.441000000001</v>
      </c>
      <c r="AQ2882" s="46">
        <v>8.7959999999999994</v>
      </c>
      <c r="AR2882" s="46">
        <v>1209.5999999999999</v>
      </c>
      <c r="AS2882" s="46">
        <v>14</v>
      </c>
      <c r="AT2882" s="46">
        <v>7000</v>
      </c>
      <c r="AU2882" s="46">
        <v>67625</v>
      </c>
      <c r="AV2882" s="46">
        <v>9.6609999999999996</v>
      </c>
      <c r="AW2882" s="46">
        <v>17</v>
      </c>
      <c r="AX2882" s="46">
        <v>6400</v>
      </c>
      <c r="AY2882" s="46">
        <v>63460.391000000003</v>
      </c>
      <c r="AZ2882" s="46">
        <v>9.9160000000000004</v>
      </c>
      <c r="BA2882" s="46" t="s">
        <v>63</v>
      </c>
      <c r="BB2882" s="46">
        <v>600</v>
      </c>
      <c r="BC2882" s="46">
        <v>4164.6090000000004</v>
      </c>
      <c r="BD2882" s="46">
        <v>6.9409999999999998</v>
      </c>
      <c r="BE2882" s="46">
        <v>1632</v>
      </c>
      <c r="BF2882" s="46">
        <v>0</v>
      </c>
      <c r="BH2882" s="46">
        <v>8149.8320000000003</v>
      </c>
      <c r="BI2882">
        <v>10.19</v>
      </c>
      <c r="BJ2882">
        <v>-8149.8320000000003</v>
      </c>
      <c r="BK2882">
        <v>-10.19</v>
      </c>
      <c r="BL2882">
        <v>132.19999999999999</v>
      </c>
    </row>
    <row r="2883" spans="1:64" x14ac:dyDescent="0.25">
      <c r="A2883" s="136">
        <v>43216</v>
      </c>
      <c r="B2883" s="201" t="s">
        <v>72</v>
      </c>
      <c r="C2883" t="s">
        <v>130</v>
      </c>
      <c r="D2883">
        <v>900</v>
      </c>
      <c r="E2883">
        <v>500</v>
      </c>
      <c r="F2883">
        <v>6.5229999999999997</v>
      </c>
      <c r="G2883">
        <v>510.54</v>
      </c>
      <c r="H2883">
        <v>8.69</v>
      </c>
      <c r="I2883" s="309">
        <v>6381</v>
      </c>
      <c r="J2883">
        <v>7.09</v>
      </c>
      <c r="K2883" s="133">
        <v>1.34460865977286E-2</v>
      </c>
      <c r="L2883" s="181">
        <v>391.38</v>
      </c>
      <c r="M2883" s="133">
        <v>1.23702732375022E-2</v>
      </c>
      <c r="N2883" s="73">
        <v>-6207.1679999999897</v>
      </c>
      <c r="O2883" s="73">
        <v>67.277266524825706</v>
      </c>
      <c r="P2883" s="182">
        <v>0</v>
      </c>
      <c r="Q2883" s="182">
        <v>0</v>
      </c>
      <c r="R2883" s="46">
        <v>0</v>
      </c>
      <c r="S2883" s="46">
        <v>18</v>
      </c>
      <c r="T2883" s="46">
        <v>7200</v>
      </c>
      <c r="U2883" s="46">
        <v>7.2869999999999999</v>
      </c>
      <c r="V2883" s="46" t="s">
        <v>68</v>
      </c>
      <c r="W2883" s="46">
        <v>7200</v>
      </c>
      <c r="X2883" s="46">
        <v>7.2869999999999999</v>
      </c>
      <c r="AF2883" s="46">
        <v>36</v>
      </c>
      <c r="AG2883" s="46">
        <v>17900</v>
      </c>
      <c r="AH2883" s="46">
        <v>133787</v>
      </c>
      <c r="AI2883" s="46">
        <v>7.4740000000000002</v>
      </c>
      <c r="AJ2883" s="46">
        <v>36</v>
      </c>
      <c r="AK2883" s="46">
        <v>16400</v>
      </c>
      <c r="AL2883" s="46">
        <v>76327.481</v>
      </c>
      <c r="AM2883" s="46">
        <v>4.6539999999999999</v>
      </c>
      <c r="AN2883" s="46" t="s">
        <v>63</v>
      </c>
      <c r="AO2883" s="46">
        <v>1500</v>
      </c>
      <c r="AP2883" s="46">
        <v>57459.519</v>
      </c>
      <c r="AQ2883" s="46">
        <v>38.305999999999997</v>
      </c>
      <c r="AR2883" s="46">
        <v>-46248</v>
      </c>
      <c r="AS2883" s="46">
        <v>36</v>
      </c>
      <c r="AT2883" s="46">
        <v>17900</v>
      </c>
      <c r="AU2883" s="46">
        <v>133787</v>
      </c>
      <c r="AV2883" s="46">
        <v>7.4740000000000002</v>
      </c>
      <c r="AW2883" s="46">
        <v>55</v>
      </c>
      <c r="AX2883" s="46">
        <v>24100</v>
      </c>
      <c r="AY2883" s="46">
        <v>128649.01700000001</v>
      </c>
      <c r="AZ2883" s="46">
        <v>5.3380000000000001</v>
      </c>
      <c r="BA2883" s="46" t="s">
        <v>69</v>
      </c>
      <c r="BB2883" s="46">
        <v>6200</v>
      </c>
      <c r="BC2883" s="46">
        <v>5137.9830000000002</v>
      </c>
      <c r="BD2883" s="46">
        <v>0.82899999999999996</v>
      </c>
      <c r="BE2883" s="46">
        <v>-38234.400000000001</v>
      </c>
      <c r="BF2883" s="46">
        <v>0</v>
      </c>
      <c r="BH2883" s="46">
        <v>52321.536</v>
      </c>
      <c r="BI2883">
        <v>7.27</v>
      </c>
      <c r="BJ2883">
        <v>-52321.536</v>
      </c>
      <c r="BK2883">
        <v>-7.27</v>
      </c>
      <c r="BL2883">
        <v>-6522.99</v>
      </c>
    </row>
    <row r="2884" spans="1:64" x14ac:dyDescent="0.25">
      <c r="A2884" s="136">
        <v>43216</v>
      </c>
      <c r="B2884" s="201" t="s">
        <v>70</v>
      </c>
      <c r="C2884" t="s">
        <v>131</v>
      </c>
      <c r="D2884">
        <v>12100</v>
      </c>
      <c r="E2884">
        <v>11100</v>
      </c>
      <c r="F2884">
        <v>11.500999999999999</v>
      </c>
      <c r="G2884">
        <v>-30750.61</v>
      </c>
      <c r="H2884">
        <v>-22.09</v>
      </c>
      <c r="I2884" s="309">
        <v>108416</v>
      </c>
      <c r="J2884">
        <v>8.9600000000000009</v>
      </c>
      <c r="K2884" s="133">
        <v>0.228454932546519</v>
      </c>
      <c r="L2884" s="181">
        <v>-3027</v>
      </c>
      <c r="M2884" s="133">
        <v>0.29325282707605599</v>
      </c>
      <c r="N2884" s="73">
        <v>-31843.6150000001</v>
      </c>
      <c r="O2884" s="73">
        <v>-3588.2404952085799</v>
      </c>
      <c r="P2884" s="182">
        <v>3</v>
      </c>
      <c r="Q2884" s="182">
        <v>1500</v>
      </c>
      <c r="R2884" s="46">
        <v>8.4169999999999998</v>
      </c>
      <c r="S2884" s="46">
        <v>5</v>
      </c>
      <c r="T2884" s="46">
        <v>2100</v>
      </c>
      <c r="U2884" s="46">
        <v>9.0020000000000007</v>
      </c>
      <c r="V2884" s="46" t="s">
        <v>68</v>
      </c>
      <c r="W2884" s="46">
        <v>600</v>
      </c>
      <c r="X2884" s="46">
        <v>10.465</v>
      </c>
      <c r="AF2884" s="46">
        <v>137</v>
      </c>
      <c r="AG2884" s="46">
        <v>70100</v>
      </c>
      <c r="AH2884" s="46">
        <v>908028</v>
      </c>
      <c r="AI2884" s="46">
        <v>12.952999999999999</v>
      </c>
      <c r="AJ2884" s="46">
        <v>143</v>
      </c>
      <c r="AK2884" s="46">
        <v>57400</v>
      </c>
      <c r="AL2884" s="46">
        <v>762231.29</v>
      </c>
      <c r="AM2884" s="46">
        <v>13.279</v>
      </c>
      <c r="AN2884" s="46" t="s">
        <v>63</v>
      </c>
      <c r="AO2884" s="46">
        <v>12700</v>
      </c>
      <c r="AP2884" s="46">
        <v>145796.71</v>
      </c>
      <c r="AQ2884" s="46">
        <v>11.48</v>
      </c>
      <c r="AR2884" s="46">
        <v>18712.400000000001</v>
      </c>
      <c r="AS2884" s="46">
        <v>140</v>
      </c>
      <c r="AT2884" s="46">
        <v>71600</v>
      </c>
      <c r="AU2884" s="46">
        <v>920668</v>
      </c>
      <c r="AV2884" s="46">
        <v>12.858000000000001</v>
      </c>
      <c r="AW2884" s="46">
        <v>149</v>
      </c>
      <c r="AX2884" s="46">
        <v>59500</v>
      </c>
      <c r="AY2884" s="46">
        <v>781497.38500000001</v>
      </c>
      <c r="AZ2884" s="46">
        <v>13.134</v>
      </c>
      <c r="BA2884" s="46" t="s">
        <v>63</v>
      </c>
      <c r="BB2884" s="46">
        <v>12100</v>
      </c>
      <c r="BC2884" s="46">
        <v>139170.61499999999</v>
      </c>
      <c r="BD2884" s="46">
        <v>11.502000000000001</v>
      </c>
      <c r="BE2884" s="46">
        <v>16422</v>
      </c>
      <c r="BF2884" s="46">
        <v>12640</v>
      </c>
      <c r="BG2884" s="46">
        <v>8.43</v>
      </c>
      <c r="BH2884" s="46">
        <v>19266.095000000099</v>
      </c>
      <c r="BI2884">
        <v>9.17</v>
      </c>
      <c r="BJ2884">
        <v>-6626.0950000000003</v>
      </c>
      <c r="BK2884">
        <v>-11.04</v>
      </c>
      <c r="BL2884">
        <v>2088.44</v>
      </c>
    </row>
    <row r="2885" spans="1:64" x14ac:dyDescent="0.25">
      <c r="A2885" s="136">
        <v>43216</v>
      </c>
      <c r="B2885" s="201" t="s">
        <v>137</v>
      </c>
      <c r="C2885" t="s">
        <v>149</v>
      </c>
      <c r="D2885">
        <v>100</v>
      </c>
      <c r="E2885">
        <v>100</v>
      </c>
      <c r="F2885">
        <v>-130.48500000000001</v>
      </c>
      <c r="G2885">
        <v>17198.5</v>
      </c>
      <c r="H2885">
        <v>0</v>
      </c>
      <c r="I2885" s="309">
        <v>4150</v>
      </c>
      <c r="J2885">
        <v>41.5</v>
      </c>
      <c r="K2885" s="133">
        <v>8.7449082245061108E-3</v>
      </c>
      <c r="L2885" s="181">
        <v>-285</v>
      </c>
      <c r="M2885" s="133">
        <v>0</v>
      </c>
    </row>
    <row r="2886" spans="1:64" x14ac:dyDescent="0.25">
      <c r="A2886" s="136">
        <v>43216</v>
      </c>
      <c r="B2886" s="201" t="s">
        <v>835</v>
      </c>
      <c r="C2886" t="s">
        <v>839</v>
      </c>
      <c r="I2886" s="309">
        <v>2386.23</v>
      </c>
      <c r="K2886" s="133">
        <v>5.0282800849549896E-3</v>
      </c>
      <c r="L2886" s="181">
        <v>0</v>
      </c>
      <c r="M2886" s="133">
        <v>0.121423303562083</v>
      </c>
    </row>
    <row r="2887" spans="1:64" x14ac:dyDescent="0.25">
      <c r="A2887" s="136">
        <v>43217</v>
      </c>
      <c r="B2887" s="201" t="s">
        <v>70</v>
      </c>
      <c r="C2887" t="s">
        <v>131</v>
      </c>
      <c r="D2887">
        <v>11700</v>
      </c>
      <c r="E2887">
        <v>11700</v>
      </c>
      <c r="F2887">
        <v>11.583</v>
      </c>
      <c r="G2887">
        <v>-27996.27</v>
      </c>
      <c r="H2887">
        <v>-20.66</v>
      </c>
      <c r="I2887" s="309">
        <v>107523</v>
      </c>
      <c r="J2887">
        <v>9.19</v>
      </c>
      <c r="K2887" s="133">
        <v>0.224878394001469</v>
      </c>
      <c r="L2887" s="181">
        <v>2754.34</v>
      </c>
      <c r="M2887" s="133">
        <v>0.28343104074338998</v>
      </c>
      <c r="N2887" s="73">
        <v>-28585.271000000001</v>
      </c>
      <c r="O2887" s="73">
        <v>-3125.9276109956299</v>
      </c>
      <c r="P2887" s="182">
        <v>3</v>
      </c>
      <c r="Q2887" s="182">
        <v>1500</v>
      </c>
      <c r="R2887" s="46">
        <v>8.4169999999999998</v>
      </c>
      <c r="S2887" s="46">
        <v>6</v>
      </c>
      <c r="T2887" s="46">
        <v>2500</v>
      </c>
      <c r="U2887" s="46">
        <v>9.0239999999999991</v>
      </c>
      <c r="V2887" s="46" t="s">
        <v>68</v>
      </c>
      <c r="W2887" s="46">
        <v>1000</v>
      </c>
      <c r="X2887" s="46">
        <v>9.9350000000000005</v>
      </c>
      <c r="AF2887" s="46">
        <v>137</v>
      </c>
      <c r="AG2887" s="46">
        <v>70100</v>
      </c>
      <c r="AH2887" s="46">
        <v>908028</v>
      </c>
      <c r="AI2887" s="46">
        <v>12.952999999999999</v>
      </c>
      <c r="AJ2887" s="46">
        <v>143</v>
      </c>
      <c r="AK2887" s="46">
        <v>57400</v>
      </c>
      <c r="AL2887" s="46">
        <v>762231.29</v>
      </c>
      <c r="AM2887" s="46">
        <v>13.279</v>
      </c>
      <c r="AN2887" s="46" t="s">
        <v>63</v>
      </c>
      <c r="AO2887" s="46">
        <v>12700</v>
      </c>
      <c r="AP2887" s="46">
        <v>145796.71</v>
      </c>
      <c r="AQ2887" s="46">
        <v>11.48</v>
      </c>
      <c r="AR2887" s="46">
        <v>18712.400000000001</v>
      </c>
      <c r="AS2887" s="46">
        <v>140</v>
      </c>
      <c r="AT2887" s="46">
        <v>71600</v>
      </c>
      <c r="AU2887" s="46">
        <v>920668</v>
      </c>
      <c r="AV2887" s="46">
        <v>12.858000000000001</v>
      </c>
      <c r="AW2887" s="46">
        <v>150</v>
      </c>
      <c r="AX2887" s="46">
        <v>59900</v>
      </c>
      <c r="AY2887" s="46">
        <v>785144.72900000005</v>
      </c>
      <c r="AZ2887" s="46">
        <v>13.108000000000001</v>
      </c>
      <c r="BA2887" s="46" t="s">
        <v>63</v>
      </c>
      <c r="BB2887" s="46">
        <v>11700</v>
      </c>
      <c r="BC2887" s="46">
        <v>135523.27100000001</v>
      </c>
      <c r="BD2887" s="46">
        <v>11.583</v>
      </c>
      <c r="BE2887" s="46">
        <v>14975</v>
      </c>
      <c r="BF2887" s="46">
        <v>12640</v>
      </c>
      <c r="BG2887" s="46">
        <v>8.43</v>
      </c>
      <c r="BH2887" s="46">
        <v>22913.4390000001</v>
      </c>
      <c r="BI2887">
        <v>9.17</v>
      </c>
      <c r="BJ2887">
        <v>-10273.439</v>
      </c>
      <c r="BK2887">
        <v>-10.27</v>
      </c>
      <c r="BL2887">
        <v>2036.17</v>
      </c>
    </row>
    <row r="2888" spans="1:64" x14ac:dyDescent="0.25">
      <c r="A2888" s="136">
        <v>43217</v>
      </c>
      <c r="B2888" s="201" t="s">
        <v>79</v>
      </c>
      <c r="C2888" t="s">
        <v>143</v>
      </c>
      <c r="D2888">
        <v>5500</v>
      </c>
      <c r="E2888">
        <v>5500</v>
      </c>
      <c r="F2888">
        <v>16.326000000000001</v>
      </c>
      <c r="G2888">
        <v>-9493.6</v>
      </c>
      <c r="H2888">
        <v>-10.57</v>
      </c>
      <c r="I2888" s="309">
        <v>80300</v>
      </c>
      <c r="J2888">
        <v>14.6</v>
      </c>
      <c r="K2888" s="133">
        <v>0.16794299859860701</v>
      </c>
      <c r="L2888" s="181">
        <v>1155</v>
      </c>
      <c r="M2888" s="133">
        <v>0.18779833672433199</v>
      </c>
      <c r="N2888" s="73">
        <v>-9333.7120000001305</v>
      </c>
      <c r="O2888" s="73">
        <v>-637.66542337663202</v>
      </c>
      <c r="P2888" s="182">
        <v>8</v>
      </c>
      <c r="Q2888" s="182">
        <v>4500</v>
      </c>
      <c r="R2888" s="46">
        <v>15.353999999999999</v>
      </c>
      <c r="S2888" s="46">
        <v>1</v>
      </c>
      <c r="T2888" s="46">
        <v>400</v>
      </c>
      <c r="U2888" s="46">
        <v>14.63</v>
      </c>
      <c r="V2888" s="46" t="s">
        <v>62</v>
      </c>
      <c r="W2888" s="46">
        <v>4100</v>
      </c>
      <c r="X2888" s="46">
        <v>15.425000000000001</v>
      </c>
      <c r="AF2888" s="46">
        <v>14</v>
      </c>
      <c r="AG2888" s="46">
        <v>7000</v>
      </c>
      <c r="AH2888" s="46">
        <v>110704.2</v>
      </c>
      <c r="AI2888" s="46">
        <v>15.815</v>
      </c>
      <c r="AJ2888" s="46">
        <v>14</v>
      </c>
      <c r="AK2888" s="46">
        <v>5600</v>
      </c>
      <c r="AL2888" s="46">
        <v>84202.279999999897</v>
      </c>
      <c r="AM2888" s="46">
        <v>15.036</v>
      </c>
      <c r="AN2888" s="46" t="s">
        <v>63</v>
      </c>
      <c r="AO2888" s="46">
        <v>1400</v>
      </c>
      <c r="AP2888" s="46">
        <v>26501.919999999998</v>
      </c>
      <c r="AQ2888" s="46">
        <v>18.93</v>
      </c>
      <c r="AR2888" s="46">
        <v>-4362.3999999999996</v>
      </c>
      <c r="AS2888" s="46">
        <v>22</v>
      </c>
      <c r="AT2888" s="46">
        <v>11500</v>
      </c>
      <c r="AU2888" s="46">
        <v>179841.9</v>
      </c>
      <c r="AV2888" s="46">
        <v>15.638</v>
      </c>
      <c r="AW2888" s="46">
        <v>15</v>
      </c>
      <c r="AX2888" s="46">
        <v>6000</v>
      </c>
      <c r="AY2888" s="46">
        <v>90043.187999999893</v>
      </c>
      <c r="AZ2888" s="46">
        <v>15.007</v>
      </c>
      <c r="BA2888" s="46" t="s">
        <v>63</v>
      </c>
      <c r="BB2888" s="46">
        <v>5500</v>
      </c>
      <c r="BC2888" s="46">
        <v>89798.712</v>
      </c>
      <c r="BD2888" s="46">
        <v>16.327000000000002</v>
      </c>
      <c r="BE2888" s="46">
        <v>-3786</v>
      </c>
      <c r="BF2888" s="46">
        <v>69137.699999999895</v>
      </c>
      <c r="BG2888" s="46">
        <v>15.36</v>
      </c>
      <c r="BH2888" s="46">
        <v>5840.9080000000004</v>
      </c>
      <c r="BI2888">
        <v>14.6</v>
      </c>
      <c r="BJ2888">
        <v>63296.792000000001</v>
      </c>
      <c r="BK2888">
        <v>15.44</v>
      </c>
      <c r="BL2888">
        <v>-298.79000000000002</v>
      </c>
    </row>
    <row r="2889" spans="1:64" x14ac:dyDescent="0.25">
      <c r="A2889" s="136">
        <v>43217</v>
      </c>
      <c r="B2889" s="201" t="s">
        <v>65</v>
      </c>
      <c r="C2889" t="s">
        <v>127</v>
      </c>
      <c r="D2889">
        <v>17300</v>
      </c>
      <c r="E2889">
        <v>17300</v>
      </c>
      <c r="F2889">
        <v>9.3369999999999997</v>
      </c>
      <c r="G2889">
        <v>-4785.3100000000004</v>
      </c>
      <c r="H2889">
        <v>-2.97</v>
      </c>
      <c r="I2889" s="309">
        <v>156738</v>
      </c>
      <c r="J2889">
        <v>9.06</v>
      </c>
      <c r="K2889" s="133">
        <v>0.327808838285783</v>
      </c>
      <c r="L2889" s="181">
        <v>-346</v>
      </c>
      <c r="M2889" s="133">
        <v>0.337817048878858</v>
      </c>
      <c r="N2889" s="73">
        <v>-9067.7310000000107</v>
      </c>
      <c r="O2889" s="73">
        <v>-528.01152442054502</v>
      </c>
      <c r="P2889" s="182">
        <v>3</v>
      </c>
      <c r="Q2889" s="182">
        <v>1500</v>
      </c>
      <c r="R2889" s="46">
        <v>9.093</v>
      </c>
      <c r="S2889" s="46">
        <v>8</v>
      </c>
      <c r="T2889" s="46">
        <v>3300</v>
      </c>
      <c r="U2889" s="46">
        <v>12.547000000000001</v>
      </c>
      <c r="V2889" s="46" t="s">
        <v>68</v>
      </c>
      <c r="W2889" s="46">
        <v>1800</v>
      </c>
      <c r="X2889" s="46">
        <v>15.425000000000001</v>
      </c>
      <c r="AF2889" s="46">
        <v>185</v>
      </c>
      <c r="AG2889" s="46">
        <v>98200</v>
      </c>
      <c r="AH2889" s="46">
        <v>1122220.2309999999</v>
      </c>
      <c r="AI2889" s="46">
        <v>11.428000000000001</v>
      </c>
      <c r="AJ2889" s="46">
        <v>204</v>
      </c>
      <c r="AK2889" s="46">
        <v>88300</v>
      </c>
      <c r="AL2889" s="46">
        <v>932193.902</v>
      </c>
      <c r="AM2889" s="46">
        <v>10.557</v>
      </c>
      <c r="AN2889" s="46" t="s">
        <v>63</v>
      </c>
      <c r="AO2889" s="46">
        <v>9900</v>
      </c>
      <c r="AP2889" s="46">
        <v>190026.329</v>
      </c>
      <c r="AQ2889" s="46">
        <v>19.195</v>
      </c>
      <c r="AR2889" s="46">
        <v>-76909.3</v>
      </c>
      <c r="AS2889" s="46">
        <v>189</v>
      </c>
      <c r="AT2889" s="46">
        <v>99800</v>
      </c>
      <c r="AU2889" s="46">
        <v>1137163.2309999999</v>
      </c>
      <c r="AV2889" s="46">
        <v>11.394</v>
      </c>
      <c r="AW2889" s="46">
        <v>212</v>
      </c>
      <c r="AX2889" s="46">
        <v>91600</v>
      </c>
      <c r="AY2889" s="46">
        <v>973516.49800000002</v>
      </c>
      <c r="AZ2889" s="46">
        <v>10.628</v>
      </c>
      <c r="BA2889" s="46" t="s">
        <v>63</v>
      </c>
      <c r="BB2889" s="46">
        <v>8200</v>
      </c>
      <c r="BC2889" s="46">
        <v>163646.73300000001</v>
      </c>
      <c r="BD2889" s="46">
        <v>19.957000000000001</v>
      </c>
      <c r="BE2889" s="46">
        <v>-70165.600000000006</v>
      </c>
      <c r="BF2889" s="46">
        <v>14943</v>
      </c>
      <c r="BG2889" s="46">
        <v>9.9600000000000009</v>
      </c>
      <c r="BH2889" s="46">
        <v>41322.5960000001</v>
      </c>
      <c r="BI2889">
        <v>12.52</v>
      </c>
      <c r="BJ2889">
        <v>-26379.596000000001</v>
      </c>
      <c r="BK2889">
        <v>-14.66</v>
      </c>
      <c r="BL2889">
        <v>-8488.89</v>
      </c>
    </row>
    <row r="2890" spans="1:64" x14ac:dyDescent="0.25">
      <c r="A2890" s="136">
        <v>43217</v>
      </c>
      <c r="B2890" s="201" t="s">
        <v>61</v>
      </c>
      <c r="C2890" t="s">
        <v>136</v>
      </c>
      <c r="D2890">
        <v>3900</v>
      </c>
      <c r="E2890">
        <v>3900</v>
      </c>
      <c r="F2890">
        <v>5.0519999999999996</v>
      </c>
      <c r="G2890">
        <v>-1879.1</v>
      </c>
      <c r="H2890">
        <v>-9.5399999999999991</v>
      </c>
      <c r="I2890" s="309">
        <v>17823</v>
      </c>
      <c r="J2890">
        <v>4.57</v>
      </c>
      <c r="K2890" s="133">
        <v>3.7275816488455397E-2</v>
      </c>
      <c r="L2890" s="181">
        <v>-39</v>
      </c>
      <c r="M2890" s="133">
        <v>4.1205849971227997E-2</v>
      </c>
      <c r="N2890" s="73">
        <v>-1807.1410000000001</v>
      </c>
      <c r="O2890" s="73">
        <v>-393.515779847494</v>
      </c>
      <c r="P2890" s="182">
        <v>6</v>
      </c>
      <c r="Q2890" s="182">
        <v>3000</v>
      </c>
      <c r="R2890" s="46">
        <v>5.0350000000000001</v>
      </c>
      <c r="S2890" s="46">
        <v>0</v>
      </c>
      <c r="T2890" s="46">
        <v>0</v>
      </c>
      <c r="U2890" s="46">
        <v>0</v>
      </c>
      <c r="V2890" s="46" t="s">
        <v>62</v>
      </c>
      <c r="W2890" s="46">
        <v>3000</v>
      </c>
      <c r="X2890" s="46">
        <v>5.0350000000000001</v>
      </c>
      <c r="AF2890" s="46">
        <v>10</v>
      </c>
      <c r="AG2890" s="46">
        <v>5000</v>
      </c>
      <c r="AH2890" s="46">
        <v>26378</v>
      </c>
      <c r="AI2890" s="46">
        <v>5.2759999999999998</v>
      </c>
      <c r="AJ2890" s="46">
        <v>10</v>
      </c>
      <c r="AK2890" s="46">
        <v>4100</v>
      </c>
      <c r="AL2890" s="46">
        <v>21806.659</v>
      </c>
      <c r="AM2890" s="46">
        <v>5.319</v>
      </c>
      <c r="AN2890" s="46" t="s">
        <v>63</v>
      </c>
      <c r="AO2890" s="46">
        <v>900</v>
      </c>
      <c r="AP2890" s="46">
        <v>4571.3410000000003</v>
      </c>
      <c r="AQ2890" s="46">
        <v>5.0789999999999997</v>
      </c>
      <c r="AR2890" s="46">
        <v>176.3</v>
      </c>
      <c r="AS2890" s="46">
        <v>16</v>
      </c>
      <c r="AT2890" s="46">
        <v>8000</v>
      </c>
      <c r="AU2890" s="46">
        <v>41514.800000000003</v>
      </c>
      <c r="AV2890" s="46">
        <v>5.1890000000000001</v>
      </c>
      <c r="AW2890" s="46">
        <v>10</v>
      </c>
      <c r="AX2890" s="46">
        <v>4100</v>
      </c>
      <c r="AY2890" s="46">
        <v>21806.659</v>
      </c>
      <c r="AZ2890" s="46">
        <v>5.319</v>
      </c>
      <c r="BA2890" s="46" t="s">
        <v>63</v>
      </c>
      <c r="BB2890" s="46">
        <v>3900</v>
      </c>
      <c r="BC2890" s="46">
        <v>19708.141</v>
      </c>
      <c r="BD2890" s="46">
        <v>5.0529999999999999</v>
      </c>
      <c r="BE2890" s="46">
        <v>533</v>
      </c>
      <c r="BF2890" s="46">
        <v>15136.8</v>
      </c>
      <c r="BG2890" s="46">
        <v>5.05</v>
      </c>
      <c r="BH2890" s="46">
        <v>0</v>
      </c>
      <c r="BJ2890">
        <v>15136.8</v>
      </c>
      <c r="BK2890">
        <v>5.05</v>
      </c>
      <c r="BL2890">
        <v>38.58</v>
      </c>
    </row>
    <row r="2891" spans="1:64" x14ac:dyDescent="0.25">
      <c r="A2891" s="136">
        <v>43217</v>
      </c>
      <c r="B2891" s="201" t="s">
        <v>77</v>
      </c>
      <c r="C2891" t="s">
        <v>128</v>
      </c>
      <c r="D2891">
        <v>4300</v>
      </c>
      <c r="E2891">
        <v>4300</v>
      </c>
      <c r="F2891">
        <v>5.9779999999999998</v>
      </c>
      <c r="G2891">
        <v>-595.27</v>
      </c>
      <c r="H2891">
        <v>-2.31</v>
      </c>
      <c r="I2891" s="309">
        <v>25112</v>
      </c>
      <c r="J2891">
        <v>5.84</v>
      </c>
      <c r="K2891" s="133">
        <v>5.25203559253824E-2</v>
      </c>
      <c r="L2891" s="181">
        <v>0</v>
      </c>
      <c r="M2891" s="133">
        <v>5.3765330131805802E-2</v>
      </c>
      <c r="N2891" s="73">
        <v>-1272.2139999999999</v>
      </c>
      <c r="O2891" s="73">
        <v>-133.073774655173</v>
      </c>
      <c r="P2891" s="182">
        <v>6</v>
      </c>
      <c r="Q2891" s="182">
        <v>3000</v>
      </c>
      <c r="R2891" s="46">
        <v>6.798</v>
      </c>
      <c r="S2891" s="46">
        <v>0</v>
      </c>
      <c r="T2891" s="46">
        <v>0</v>
      </c>
      <c r="U2891" s="46">
        <v>0</v>
      </c>
      <c r="V2891" s="46" t="s">
        <v>62</v>
      </c>
      <c r="W2891" s="46">
        <v>3000</v>
      </c>
      <c r="X2891" s="46">
        <v>6.798</v>
      </c>
      <c r="AF2891" s="46">
        <v>39</v>
      </c>
      <c r="AG2891" s="46">
        <v>19500</v>
      </c>
      <c r="AH2891" s="46">
        <v>142169</v>
      </c>
      <c r="AI2891" s="46">
        <v>7.2910000000000004</v>
      </c>
      <c r="AJ2891" s="46">
        <v>39</v>
      </c>
      <c r="AK2891" s="46">
        <v>18200</v>
      </c>
      <c r="AL2891" s="46">
        <v>136881.78599999999</v>
      </c>
      <c r="AM2891" s="46">
        <v>7.5209999999999999</v>
      </c>
      <c r="AN2891" s="46" t="s">
        <v>63</v>
      </c>
      <c r="AO2891" s="46">
        <v>1300</v>
      </c>
      <c r="AP2891" s="46">
        <v>5287.2139999999999</v>
      </c>
      <c r="AQ2891" s="46">
        <v>4.0670000000000002</v>
      </c>
      <c r="AR2891" s="46">
        <v>4186</v>
      </c>
      <c r="AS2891" s="46">
        <v>45</v>
      </c>
      <c r="AT2891" s="46">
        <v>22500</v>
      </c>
      <c r="AU2891" s="46">
        <v>162594</v>
      </c>
      <c r="AV2891" s="46">
        <v>7.226</v>
      </c>
      <c r="AW2891" s="46">
        <v>39</v>
      </c>
      <c r="AX2891" s="46">
        <v>18200</v>
      </c>
      <c r="AY2891" s="46">
        <v>136881.78599999999</v>
      </c>
      <c r="AZ2891" s="46">
        <v>7.5209999999999999</v>
      </c>
      <c r="BA2891" s="46" t="s">
        <v>63</v>
      </c>
      <c r="BB2891" s="46">
        <v>4300</v>
      </c>
      <c r="BC2891" s="46">
        <v>25712.214</v>
      </c>
      <c r="BD2891" s="46">
        <v>5.98</v>
      </c>
      <c r="BE2891" s="46">
        <v>5369</v>
      </c>
      <c r="BF2891" s="46">
        <v>20425</v>
      </c>
      <c r="BG2891" s="46">
        <v>6.81</v>
      </c>
      <c r="BH2891" s="46">
        <v>0</v>
      </c>
      <c r="BJ2891">
        <v>20425</v>
      </c>
      <c r="BK2891">
        <v>6.81</v>
      </c>
      <c r="BL2891">
        <v>716.78</v>
      </c>
    </row>
    <row r="2892" spans="1:64" x14ac:dyDescent="0.25">
      <c r="A2892" s="136">
        <v>43217</v>
      </c>
      <c r="B2892" s="201" t="s">
        <v>72</v>
      </c>
      <c r="C2892" t="s">
        <v>130</v>
      </c>
      <c r="D2892">
        <v>900</v>
      </c>
      <c r="E2892">
        <v>900</v>
      </c>
      <c r="F2892">
        <v>6.5229999999999997</v>
      </c>
      <c r="G2892">
        <v>492.54</v>
      </c>
      <c r="H2892">
        <v>8.39</v>
      </c>
      <c r="I2892" s="309">
        <v>6363</v>
      </c>
      <c r="J2892">
        <v>7.07</v>
      </c>
      <c r="K2892" s="133">
        <v>1.3307861769401399E-2</v>
      </c>
      <c r="L2892" s="181">
        <v>-18</v>
      </c>
      <c r="M2892" s="133">
        <v>1.2277741663177799E-2</v>
      </c>
      <c r="N2892" s="73">
        <v>-6207.1679999999897</v>
      </c>
      <c r="O2892" s="73">
        <v>67.277266524825706</v>
      </c>
      <c r="P2892" s="182">
        <v>0</v>
      </c>
      <c r="Q2892" s="182">
        <v>0</v>
      </c>
      <c r="R2892" s="46">
        <v>0</v>
      </c>
      <c r="S2892" s="46">
        <v>18</v>
      </c>
      <c r="T2892" s="46">
        <v>7200</v>
      </c>
      <c r="U2892" s="46">
        <v>7.2869999999999999</v>
      </c>
      <c r="V2892" s="46" t="s">
        <v>68</v>
      </c>
      <c r="W2892" s="46">
        <v>7200</v>
      </c>
      <c r="X2892" s="46">
        <v>7.2869999999999999</v>
      </c>
      <c r="AF2892" s="46">
        <v>36</v>
      </c>
      <c r="AG2892" s="46">
        <v>17900</v>
      </c>
      <c r="AH2892" s="46">
        <v>133787</v>
      </c>
      <c r="AI2892" s="46">
        <v>7.4740000000000002</v>
      </c>
      <c r="AJ2892" s="46">
        <v>36</v>
      </c>
      <c r="AK2892" s="46">
        <v>16400</v>
      </c>
      <c r="AL2892" s="46">
        <v>76327.481</v>
      </c>
      <c r="AM2892" s="46">
        <v>4.6539999999999999</v>
      </c>
      <c r="AN2892" s="46" t="s">
        <v>63</v>
      </c>
      <c r="AO2892" s="46">
        <v>1500</v>
      </c>
      <c r="AP2892" s="46">
        <v>57459.519</v>
      </c>
      <c r="AQ2892" s="46">
        <v>38.305999999999997</v>
      </c>
      <c r="AR2892" s="46">
        <v>-46248</v>
      </c>
      <c r="AS2892" s="46">
        <v>36</v>
      </c>
      <c r="AT2892" s="46">
        <v>17900</v>
      </c>
      <c r="AU2892" s="46">
        <v>133787</v>
      </c>
      <c r="AV2892" s="46">
        <v>7.4740000000000002</v>
      </c>
      <c r="AW2892" s="46">
        <v>55</v>
      </c>
      <c r="AX2892" s="46">
        <v>24100</v>
      </c>
      <c r="AY2892" s="46">
        <v>128649.01700000001</v>
      </c>
      <c r="AZ2892" s="46">
        <v>5.3380000000000001</v>
      </c>
      <c r="BA2892" s="46" t="s">
        <v>69</v>
      </c>
      <c r="BB2892" s="46">
        <v>6200</v>
      </c>
      <c r="BC2892" s="46">
        <v>5137.9830000000002</v>
      </c>
      <c r="BD2892" s="46">
        <v>0.82899999999999996</v>
      </c>
      <c r="BE2892" s="46">
        <v>-38234.400000000001</v>
      </c>
      <c r="BF2892" s="46">
        <v>0</v>
      </c>
      <c r="BH2892" s="46">
        <v>52321.536</v>
      </c>
      <c r="BI2892">
        <v>7.27</v>
      </c>
      <c r="BJ2892">
        <v>-52321.536</v>
      </c>
      <c r="BK2892">
        <v>-7.27</v>
      </c>
      <c r="BL2892">
        <v>-6541.44</v>
      </c>
    </row>
    <row r="2893" spans="1:64" x14ac:dyDescent="0.25">
      <c r="A2893" s="136">
        <v>43217</v>
      </c>
      <c r="B2893" s="201" t="s">
        <v>78</v>
      </c>
      <c r="C2893" t="s">
        <v>142</v>
      </c>
      <c r="D2893">
        <v>600</v>
      </c>
      <c r="E2893">
        <v>600</v>
      </c>
      <c r="F2893">
        <v>6.9409999999999998</v>
      </c>
      <c r="G2893">
        <v>1361.39</v>
      </c>
      <c r="H2893">
        <v>32.69</v>
      </c>
      <c r="I2893" s="309">
        <v>5526</v>
      </c>
      <c r="J2893">
        <v>9.2100000000000009</v>
      </c>
      <c r="K2893" s="133">
        <v>1.1557322668192999E-2</v>
      </c>
      <c r="L2893" s="181">
        <v>36</v>
      </c>
      <c r="M2893" s="133">
        <v>8.7100509513542094E-3</v>
      </c>
      <c r="N2893" s="73">
        <v>1415.3910000000001</v>
      </c>
      <c r="O2893" s="73">
        <v>152.11648435483801</v>
      </c>
      <c r="P2893" s="182">
        <v>0</v>
      </c>
      <c r="Q2893" s="182">
        <v>0</v>
      </c>
      <c r="R2893" s="46">
        <v>0</v>
      </c>
      <c r="S2893" s="46">
        <v>2</v>
      </c>
      <c r="T2893" s="46">
        <v>800</v>
      </c>
      <c r="U2893" s="46">
        <v>10.210000000000001</v>
      </c>
      <c r="V2893" s="46" t="s">
        <v>68</v>
      </c>
      <c r="W2893" s="46">
        <v>800</v>
      </c>
      <c r="X2893" s="46">
        <v>10.210000000000001</v>
      </c>
      <c r="AF2893" s="46">
        <v>14</v>
      </c>
      <c r="AG2893" s="46">
        <v>7000</v>
      </c>
      <c r="AH2893" s="46">
        <v>67625</v>
      </c>
      <c r="AI2893" s="46">
        <v>9.6609999999999996</v>
      </c>
      <c r="AJ2893" s="46">
        <v>15</v>
      </c>
      <c r="AK2893" s="46">
        <v>5600</v>
      </c>
      <c r="AL2893" s="46">
        <v>55310.559000000001</v>
      </c>
      <c r="AM2893" s="46">
        <v>9.8770000000000007</v>
      </c>
      <c r="AN2893" s="46" t="s">
        <v>63</v>
      </c>
      <c r="AO2893" s="46">
        <v>1400</v>
      </c>
      <c r="AP2893" s="46">
        <v>12314.441000000001</v>
      </c>
      <c r="AQ2893" s="46">
        <v>8.7959999999999994</v>
      </c>
      <c r="AR2893" s="46">
        <v>1209.5999999999999</v>
      </c>
      <c r="AS2893" s="46">
        <v>14</v>
      </c>
      <c r="AT2893" s="46">
        <v>7000</v>
      </c>
      <c r="AU2893" s="46">
        <v>67625</v>
      </c>
      <c r="AV2893" s="46">
        <v>9.6609999999999996</v>
      </c>
      <c r="AW2893" s="46">
        <v>17</v>
      </c>
      <c r="AX2893" s="46">
        <v>6400</v>
      </c>
      <c r="AY2893" s="46">
        <v>63460.391000000003</v>
      </c>
      <c r="AZ2893" s="46">
        <v>9.9160000000000004</v>
      </c>
      <c r="BA2893" s="46" t="s">
        <v>63</v>
      </c>
      <c r="BB2893" s="46">
        <v>600</v>
      </c>
      <c r="BC2893" s="46">
        <v>4164.6090000000004</v>
      </c>
      <c r="BD2893" s="46">
        <v>6.9409999999999998</v>
      </c>
      <c r="BE2893" s="46">
        <v>1632</v>
      </c>
      <c r="BF2893" s="46">
        <v>0</v>
      </c>
      <c r="BH2893" s="46">
        <v>8149.8320000000003</v>
      </c>
      <c r="BI2893">
        <v>10.19</v>
      </c>
      <c r="BJ2893">
        <v>-8149.8320000000003</v>
      </c>
      <c r="BK2893">
        <v>-10.19</v>
      </c>
      <c r="BL2893">
        <v>131.34</v>
      </c>
    </row>
    <row r="2894" spans="1:64" x14ac:dyDescent="0.25">
      <c r="A2894" s="136">
        <v>43217</v>
      </c>
      <c r="B2894" s="201" t="s">
        <v>71</v>
      </c>
      <c r="C2894" t="s">
        <v>126</v>
      </c>
      <c r="D2894">
        <v>1700</v>
      </c>
      <c r="E2894">
        <v>1700</v>
      </c>
      <c r="F2894">
        <v>5.2080000000000002</v>
      </c>
      <c r="G2894">
        <v>2009.67</v>
      </c>
      <c r="H2894">
        <v>22.7</v>
      </c>
      <c r="I2894" s="309">
        <v>10863</v>
      </c>
      <c r="J2894">
        <v>6.39</v>
      </c>
      <c r="K2894" s="133">
        <v>2.2719362313532599E-2</v>
      </c>
      <c r="L2894" s="181">
        <v>17</v>
      </c>
      <c r="M2894" s="133">
        <v>1.8516248913860601E-2</v>
      </c>
      <c r="N2894" s="73">
        <v>2161.2060000000001</v>
      </c>
      <c r="O2894" s="73">
        <v>333.35268472222202</v>
      </c>
      <c r="P2894" s="182">
        <v>0</v>
      </c>
      <c r="Q2894" s="182">
        <v>0</v>
      </c>
      <c r="R2894" s="46">
        <v>0</v>
      </c>
      <c r="S2894" s="46">
        <v>4</v>
      </c>
      <c r="T2894" s="46">
        <v>1500</v>
      </c>
      <c r="U2894" s="46">
        <v>6.7679999999999998</v>
      </c>
      <c r="V2894" s="46" t="s">
        <v>68</v>
      </c>
      <c r="W2894" s="46">
        <v>1500</v>
      </c>
      <c r="X2894" s="46">
        <v>6.7679999999999998</v>
      </c>
      <c r="AF2894" s="46">
        <v>45</v>
      </c>
      <c r="AG2894" s="46">
        <v>22600</v>
      </c>
      <c r="AH2894" s="46">
        <v>144534.56</v>
      </c>
      <c r="AI2894" s="46">
        <v>6.3949999999999996</v>
      </c>
      <c r="AJ2894" s="46">
        <v>43</v>
      </c>
      <c r="AK2894" s="46">
        <v>19400</v>
      </c>
      <c r="AL2894" s="46">
        <v>125389.618</v>
      </c>
      <c r="AM2894" s="46">
        <v>6.4630000000000001</v>
      </c>
      <c r="AN2894" s="46" t="s">
        <v>63</v>
      </c>
      <c r="AO2894" s="46">
        <v>3200</v>
      </c>
      <c r="AP2894" s="46">
        <v>19144.941999999999</v>
      </c>
      <c r="AQ2894" s="46">
        <v>5.9829999999999997</v>
      </c>
      <c r="AR2894" s="46">
        <v>1319.2</v>
      </c>
      <c r="AS2894" s="46">
        <v>45</v>
      </c>
      <c r="AT2894" s="46">
        <v>22600</v>
      </c>
      <c r="AU2894" s="46">
        <v>144534.56</v>
      </c>
      <c r="AV2894" s="46">
        <v>6.3949999999999996</v>
      </c>
      <c r="AW2894" s="46">
        <v>47</v>
      </c>
      <c r="AX2894" s="46">
        <v>20900</v>
      </c>
      <c r="AY2894" s="46">
        <v>135518.56599999999</v>
      </c>
      <c r="AZ2894" s="46">
        <v>6.484</v>
      </c>
      <c r="BA2894" s="46" t="s">
        <v>63</v>
      </c>
      <c r="BB2894" s="46">
        <v>1700</v>
      </c>
      <c r="BC2894" s="46">
        <v>9015.9940000000006</v>
      </c>
      <c r="BD2894" s="46">
        <v>5.3040000000000003</v>
      </c>
      <c r="BE2894" s="46">
        <v>1860.1</v>
      </c>
      <c r="BF2894" s="46">
        <v>0</v>
      </c>
      <c r="BH2894" s="46">
        <v>10128.948</v>
      </c>
      <c r="BI2894">
        <v>6.75</v>
      </c>
      <c r="BJ2894">
        <v>-10128.948</v>
      </c>
      <c r="BK2894">
        <v>-6.75</v>
      </c>
      <c r="BL2894">
        <v>206.45</v>
      </c>
    </row>
    <row r="2895" spans="1:64" x14ac:dyDescent="0.25">
      <c r="A2895" s="136">
        <v>43217</v>
      </c>
      <c r="B2895" s="201" t="s">
        <v>132</v>
      </c>
      <c r="C2895" t="s">
        <v>123</v>
      </c>
      <c r="D2895">
        <v>5524085</v>
      </c>
      <c r="E2895">
        <v>5524085</v>
      </c>
      <c r="F2895">
        <v>8.9999999999999993E-3</v>
      </c>
      <c r="G2895">
        <v>3486.41</v>
      </c>
      <c r="H2895">
        <v>11.11</v>
      </c>
      <c r="I2895" s="309">
        <v>55240.85</v>
      </c>
      <c r="J2895">
        <v>0.01</v>
      </c>
      <c r="K2895" s="133">
        <v>0.11553317551850401</v>
      </c>
      <c r="L2895" s="181">
        <v>4.2100000000000399</v>
      </c>
      <c r="M2895" s="133">
        <v>0</v>
      </c>
    </row>
    <row r="2896" spans="1:64" x14ac:dyDescent="0.25">
      <c r="A2896" s="136">
        <v>43217</v>
      </c>
      <c r="B2896" s="201" t="s">
        <v>67</v>
      </c>
      <c r="C2896" t="s">
        <v>129</v>
      </c>
      <c r="D2896">
        <v>200</v>
      </c>
      <c r="E2896">
        <v>200</v>
      </c>
      <c r="F2896">
        <v>-11.313000000000001</v>
      </c>
      <c r="G2896">
        <v>4140.6000000000004</v>
      </c>
      <c r="H2896">
        <v>0</v>
      </c>
      <c r="I2896" s="309">
        <v>1878</v>
      </c>
      <c r="J2896">
        <v>9.39</v>
      </c>
      <c r="K2896" s="133">
        <v>3.9277328937507303E-3</v>
      </c>
      <c r="L2896" s="181">
        <v>20</v>
      </c>
      <c r="M2896" s="133">
        <v>0</v>
      </c>
      <c r="N2896" s="73">
        <v>4088.7264999997601</v>
      </c>
      <c r="O2896" s="73">
        <v>447.61031070643799</v>
      </c>
      <c r="P2896" s="182">
        <v>1</v>
      </c>
      <c r="Q2896" s="182">
        <v>500</v>
      </c>
      <c r="R2896" s="46">
        <v>9.01</v>
      </c>
      <c r="S2896" s="46">
        <v>25</v>
      </c>
      <c r="T2896" s="46">
        <v>10000</v>
      </c>
      <c r="U2896" s="46">
        <v>9.0020000000000007</v>
      </c>
      <c r="V2896" s="46" t="s">
        <v>68</v>
      </c>
      <c r="W2896" s="46">
        <v>9500</v>
      </c>
      <c r="X2896" s="46">
        <v>9.0020000000000007</v>
      </c>
      <c r="AF2896" s="46">
        <v>190</v>
      </c>
      <c r="AG2896" s="46">
        <v>94400</v>
      </c>
      <c r="AH2896" s="46">
        <v>786305</v>
      </c>
      <c r="AI2896" s="46">
        <v>8.33</v>
      </c>
      <c r="AJ2896" s="46">
        <v>193</v>
      </c>
      <c r="AK2896" s="46">
        <v>87300</v>
      </c>
      <c r="AL2896" s="46">
        <v>772394.3665</v>
      </c>
      <c r="AM2896" s="46">
        <v>8.8480000000000008</v>
      </c>
      <c r="AN2896" s="46" t="s">
        <v>63</v>
      </c>
      <c r="AO2896" s="46">
        <v>7100</v>
      </c>
      <c r="AP2896" s="46">
        <v>13910.633</v>
      </c>
      <c r="AQ2896" s="46">
        <v>1.9590000000000001</v>
      </c>
      <c r="AR2896" s="46">
        <v>45221.4</v>
      </c>
      <c r="AS2896" s="46">
        <v>191</v>
      </c>
      <c r="AT2896" s="46">
        <v>94900</v>
      </c>
      <c r="AU2896" s="46">
        <v>790815</v>
      </c>
      <c r="AV2896" s="46">
        <v>8.3330000000000002</v>
      </c>
      <c r="AW2896" s="46">
        <v>218</v>
      </c>
      <c r="AX2896" s="46">
        <v>97300</v>
      </c>
      <c r="AY2896" s="46">
        <v>862205.84250000003</v>
      </c>
      <c r="AZ2896" s="46">
        <v>8.8610000000000007</v>
      </c>
      <c r="BA2896" s="46" t="s">
        <v>69</v>
      </c>
      <c r="BB2896" s="46">
        <v>2400</v>
      </c>
      <c r="BC2896" s="46">
        <v>71390.842999999993</v>
      </c>
      <c r="BD2896" s="46">
        <v>29.745999999999999</v>
      </c>
      <c r="BE2896" s="46">
        <v>50107.199999999997</v>
      </c>
      <c r="BF2896" s="46">
        <v>4510</v>
      </c>
      <c r="BG2896" s="46">
        <v>9.02</v>
      </c>
      <c r="BH2896" s="46">
        <v>89811.475999999995</v>
      </c>
      <c r="BI2896">
        <v>8.98</v>
      </c>
      <c r="BJ2896">
        <v>57480.21</v>
      </c>
      <c r="BK2896">
        <v>6.05</v>
      </c>
      <c r="BL2896">
        <v>4815.91</v>
      </c>
    </row>
    <row r="2897" spans="1:64" x14ac:dyDescent="0.25">
      <c r="A2897" s="136">
        <v>43217</v>
      </c>
      <c r="B2897" s="201" t="s">
        <v>124</v>
      </c>
      <c r="C2897" t="s">
        <v>125</v>
      </c>
      <c r="D2897">
        <v>100</v>
      </c>
      <c r="E2897">
        <v>100</v>
      </c>
      <c r="F2897">
        <v>-53.579000000000001</v>
      </c>
      <c r="G2897">
        <v>5957.9</v>
      </c>
      <c r="H2897">
        <v>0</v>
      </c>
      <c r="I2897" s="309">
        <v>600</v>
      </c>
      <c r="J2897">
        <v>6</v>
      </c>
      <c r="K2897" s="133">
        <v>1.2548667392174801E-3</v>
      </c>
      <c r="L2897" s="181">
        <v>5</v>
      </c>
      <c r="M2897" s="133">
        <v>0</v>
      </c>
    </row>
    <row r="2898" spans="1:64" x14ac:dyDescent="0.25">
      <c r="A2898" s="136">
        <v>43217</v>
      </c>
      <c r="B2898" s="201" t="s">
        <v>137</v>
      </c>
      <c r="C2898" t="s">
        <v>149</v>
      </c>
      <c r="D2898">
        <v>100</v>
      </c>
      <c r="E2898">
        <v>100</v>
      </c>
      <c r="F2898">
        <v>-130.48500000000001</v>
      </c>
      <c r="G2898">
        <v>17186.5</v>
      </c>
      <c r="H2898">
        <v>0</v>
      </c>
      <c r="I2898" s="309">
        <v>4138</v>
      </c>
      <c r="J2898">
        <v>41.38</v>
      </c>
      <c r="K2898" s="133">
        <v>8.6543976114699193E-3</v>
      </c>
      <c r="L2898" s="181">
        <v>-12</v>
      </c>
      <c r="M2898" s="133">
        <v>0</v>
      </c>
    </row>
    <row r="2899" spans="1:64" x14ac:dyDescent="0.25">
      <c r="A2899" s="136">
        <v>43217</v>
      </c>
      <c r="B2899" s="201" t="s">
        <v>835</v>
      </c>
      <c r="C2899" t="s">
        <v>839</v>
      </c>
      <c r="I2899" s="309">
        <v>6033.57</v>
      </c>
      <c r="K2899" s="133">
        <v>1.26188771862341E-2</v>
      </c>
      <c r="L2899" s="181">
        <v>0</v>
      </c>
      <c r="M2899" s="133">
        <v>0.12815205270473801</v>
      </c>
    </row>
    <row r="2900" spans="1:64" x14ac:dyDescent="0.25">
      <c r="A2900" s="136">
        <v>43222</v>
      </c>
      <c r="B2900" s="201" t="s">
        <v>132</v>
      </c>
      <c r="C2900" t="s">
        <v>123</v>
      </c>
      <c r="D2900">
        <v>5524648</v>
      </c>
      <c r="E2900">
        <v>5524648</v>
      </c>
      <c r="F2900">
        <v>8.9999999999999993E-3</v>
      </c>
      <c r="G2900">
        <v>3492.04</v>
      </c>
      <c r="H2900">
        <v>11.11</v>
      </c>
      <c r="I2900" s="309">
        <v>55246.48</v>
      </c>
      <c r="J2900">
        <v>0.01</v>
      </c>
      <c r="K2900" s="133">
        <v>0.116425282185976</v>
      </c>
      <c r="L2900" s="181">
        <v>5.63000000000011</v>
      </c>
      <c r="M2900" s="133">
        <v>0</v>
      </c>
    </row>
    <row r="2901" spans="1:64" x14ac:dyDescent="0.25">
      <c r="A2901" s="136">
        <v>43222</v>
      </c>
      <c r="B2901" s="201" t="s">
        <v>61</v>
      </c>
      <c r="C2901" t="s">
        <v>136</v>
      </c>
      <c r="D2901">
        <v>3900</v>
      </c>
      <c r="E2901">
        <v>3900</v>
      </c>
      <c r="F2901">
        <v>5.0519999999999996</v>
      </c>
      <c r="G2901">
        <v>-1840.1</v>
      </c>
      <c r="H2901">
        <v>-9.34</v>
      </c>
      <c r="I2901" s="309">
        <v>17862</v>
      </c>
      <c r="J2901">
        <v>4.58</v>
      </c>
      <c r="K2901" s="133">
        <v>3.7642007063724302E-2</v>
      </c>
      <c r="L2901" s="181">
        <v>39</v>
      </c>
      <c r="M2901" s="133">
        <v>4.1519795508353101E-2</v>
      </c>
      <c r="N2901" s="73">
        <v>-1807.1410000000001</v>
      </c>
      <c r="O2901" s="73">
        <v>-393.515779847494</v>
      </c>
      <c r="P2901" s="182">
        <v>6</v>
      </c>
      <c r="Q2901" s="182">
        <v>3000</v>
      </c>
      <c r="R2901" s="46">
        <v>5.0350000000000001</v>
      </c>
      <c r="S2901" s="46">
        <v>0</v>
      </c>
      <c r="T2901" s="46">
        <v>0</v>
      </c>
      <c r="U2901" s="46">
        <v>0</v>
      </c>
      <c r="V2901" s="46" t="s">
        <v>62</v>
      </c>
      <c r="W2901" s="46">
        <v>3000</v>
      </c>
      <c r="X2901" s="46">
        <v>5.0350000000000001</v>
      </c>
      <c r="AF2901" s="46">
        <v>10</v>
      </c>
      <c r="AG2901" s="46">
        <v>5000</v>
      </c>
      <c r="AH2901" s="46">
        <v>26378</v>
      </c>
      <c r="AI2901" s="46">
        <v>5.2759999999999998</v>
      </c>
      <c r="AJ2901" s="46">
        <v>10</v>
      </c>
      <c r="AK2901" s="46">
        <v>4100</v>
      </c>
      <c r="AL2901" s="46">
        <v>21806.659</v>
      </c>
      <c r="AM2901" s="46">
        <v>5.319</v>
      </c>
      <c r="AN2901" s="46" t="s">
        <v>63</v>
      </c>
      <c r="AO2901" s="46">
        <v>900</v>
      </c>
      <c r="AP2901" s="46">
        <v>4571.3410000000003</v>
      </c>
      <c r="AQ2901" s="46">
        <v>5.0789999999999997</v>
      </c>
      <c r="AR2901" s="46">
        <v>176.3</v>
      </c>
      <c r="AS2901" s="46">
        <v>16</v>
      </c>
      <c r="AT2901" s="46">
        <v>8000</v>
      </c>
      <c r="AU2901" s="46">
        <v>41514.800000000003</v>
      </c>
      <c r="AV2901" s="46">
        <v>5.1890000000000001</v>
      </c>
      <c r="AW2901" s="46">
        <v>10</v>
      </c>
      <c r="AX2901" s="46">
        <v>4100</v>
      </c>
      <c r="AY2901" s="46">
        <v>21806.659</v>
      </c>
      <c r="AZ2901" s="46">
        <v>5.319</v>
      </c>
      <c r="BA2901" s="46" t="s">
        <v>63</v>
      </c>
      <c r="BB2901" s="46">
        <v>3900</v>
      </c>
      <c r="BC2901" s="46">
        <v>19708.141</v>
      </c>
      <c r="BD2901" s="46">
        <v>5.0529999999999999</v>
      </c>
      <c r="BE2901" s="46">
        <v>533</v>
      </c>
      <c r="BF2901" s="46">
        <v>15136.8</v>
      </c>
      <c r="BG2901" s="46">
        <v>5.05</v>
      </c>
      <c r="BH2901" s="46">
        <v>0</v>
      </c>
      <c r="BJ2901">
        <v>15136.8</v>
      </c>
      <c r="BK2901">
        <v>5.05</v>
      </c>
      <c r="BL2901">
        <v>38.49</v>
      </c>
    </row>
    <row r="2902" spans="1:64" x14ac:dyDescent="0.25">
      <c r="A2902" s="136">
        <v>43222</v>
      </c>
      <c r="B2902" s="201" t="s">
        <v>124</v>
      </c>
      <c r="C2902" t="s">
        <v>125</v>
      </c>
      <c r="D2902">
        <v>100</v>
      </c>
      <c r="E2902">
        <v>100</v>
      </c>
      <c r="F2902">
        <v>-53.579000000000001</v>
      </c>
      <c r="G2902">
        <v>5955.9</v>
      </c>
      <c r="H2902">
        <v>0</v>
      </c>
      <c r="I2902" s="309">
        <v>598</v>
      </c>
      <c r="J2902">
        <v>5.98</v>
      </c>
      <c r="K2902" s="133">
        <v>1.2602127546807299E-3</v>
      </c>
      <c r="L2902" s="181">
        <v>-2</v>
      </c>
      <c r="M2902" s="133">
        <v>0</v>
      </c>
    </row>
    <row r="2903" spans="1:64" x14ac:dyDescent="0.25">
      <c r="A2903" s="136">
        <v>43222</v>
      </c>
      <c r="B2903" s="201" t="s">
        <v>71</v>
      </c>
      <c r="C2903" t="s">
        <v>126</v>
      </c>
      <c r="D2903">
        <v>1700</v>
      </c>
      <c r="E2903">
        <v>1700</v>
      </c>
      <c r="F2903">
        <v>5.2080000000000002</v>
      </c>
      <c r="G2903">
        <v>2281.67</v>
      </c>
      <c r="H2903">
        <v>25.77</v>
      </c>
      <c r="I2903" s="309">
        <v>11135</v>
      </c>
      <c r="J2903">
        <v>6.55</v>
      </c>
      <c r="K2903" s="133">
        <v>2.3465667263160302E-2</v>
      </c>
      <c r="L2903" s="181">
        <v>272</v>
      </c>
      <c r="M2903" s="133">
        <v>1.8657323390296798E-2</v>
      </c>
      <c r="N2903" s="73">
        <v>2161.2060000000001</v>
      </c>
      <c r="O2903" s="73">
        <v>333.35268472222202</v>
      </c>
      <c r="P2903" s="182">
        <v>0</v>
      </c>
      <c r="Q2903" s="182">
        <v>0</v>
      </c>
      <c r="R2903" s="46">
        <v>0</v>
      </c>
      <c r="S2903" s="46">
        <v>4</v>
      </c>
      <c r="T2903" s="46">
        <v>1500</v>
      </c>
      <c r="U2903" s="46">
        <v>6.7679999999999998</v>
      </c>
      <c r="V2903" s="46" t="s">
        <v>68</v>
      </c>
      <c r="W2903" s="46">
        <v>1500</v>
      </c>
      <c r="X2903" s="46">
        <v>6.7679999999999998</v>
      </c>
      <c r="AF2903" s="46">
        <v>45</v>
      </c>
      <c r="AG2903" s="46">
        <v>22600</v>
      </c>
      <c r="AH2903" s="46">
        <v>144534.56</v>
      </c>
      <c r="AI2903" s="46">
        <v>6.3949999999999996</v>
      </c>
      <c r="AJ2903" s="46">
        <v>43</v>
      </c>
      <c r="AK2903" s="46">
        <v>19400</v>
      </c>
      <c r="AL2903" s="46">
        <v>125389.618</v>
      </c>
      <c r="AM2903" s="46">
        <v>6.4630000000000001</v>
      </c>
      <c r="AN2903" s="46" t="s">
        <v>63</v>
      </c>
      <c r="AO2903" s="46">
        <v>3200</v>
      </c>
      <c r="AP2903" s="46">
        <v>19144.941999999999</v>
      </c>
      <c r="AQ2903" s="46">
        <v>5.9829999999999997</v>
      </c>
      <c r="AR2903" s="46">
        <v>1319.2</v>
      </c>
      <c r="AS2903" s="46">
        <v>45</v>
      </c>
      <c r="AT2903" s="46">
        <v>22600</v>
      </c>
      <c r="AU2903" s="46">
        <v>144534.56</v>
      </c>
      <c r="AV2903" s="46">
        <v>6.3949999999999996</v>
      </c>
      <c r="AW2903" s="46">
        <v>47</v>
      </c>
      <c r="AX2903" s="46">
        <v>20900</v>
      </c>
      <c r="AY2903" s="46">
        <v>135518.56599999999</v>
      </c>
      <c r="AZ2903" s="46">
        <v>6.484</v>
      </c>
      <c r="BA2903" s="46" t="s">
        <v>63</v>
      </c>
      <c r="BB2903" s="46">
        <v>1700</v>
      </c>
      <c r="BC2903" s="46">
        <v>9015.9940000000006</v>
      </c>
      <c r="BD2903" s="46">
        <v>5.3040000000000003</v>
      </c>
      <c r="BE2903" s="46">
        <v>1860.1</v>
      </c>
      <c r="BF2903" s="46">
        <v>0</v>
      </c>
      <c r="BH2903" s="46">
        <v>10128.948</v>
      </c>
      <c r="BI2903">
        <v>6.75</v>
      </c>
      <c r="BJ2903">
        <v>-10128.948</v>
      </c>
      <c r="BK2903">
        <v>-6.75</v>
      </c>
      <c r="BL2903">
        <v>201.4</v>
      </c>
    </row>
    <row r="2904" spans="1:64" x14ac:dyDescent="0.25">
      <c r="A2904" s="136">
        <v>43222</v>
      </c>
      <c r="B2904" s="201" t="s">
        <v>79</v>
      </c>
      <c r="C2904" t="s">
        <v>143</v>
      </c>
      <c r="D2904">
        <v>5500</v>
      </c>
      <c r="E2904">
        <v>5500</v>
      </c>
      <c r="F2904">
        <v>16.326000000000001</v>
      </c>
      <c r="G2904">
        <v>-10428.6</v>
      </c>
      <c r="H2904">
        <v>-11.61</v>
      </c>
      <c r="I2904" s="309">
        <v>79365</v>
      </c>
      <c r="J2904">
        <v>14.43</v>
      </c>
      <c r="K2904" s="133">
        <v>0.16725214928969201</v>
      </c>
      <c r="L2904" s="181">
        <v>-935</v>
      </c>
      <c r="M2904" s="133">
        <v>0.18922916389414601</v>
      </c>
      <c r="N2904" s="73">
        <v>-9333.7120000001305</v>
      </c>
      <c r="O2904" s="73">
        <v>-637.66542337663202</v>
      </c>
      <c r="P2904" s="182">
        <v>8</v>
      </c>
      <c r="Q2904" s="182">
        <v>4500</v>
      </c>
      <c r="R2904" s="46">
        <v>15.353999999999999</v>
      </c>
      <c r="S2904" s="46">
        <v>1</v>
      </c>
      <c r="T2904" s="46">
        <v>400</v>
      </c>
      <c r="U2904" s="46">
        <v>14.63</v>
      </c>
      <c r="V2904" s="46" t="s">
        <v>62</v>
      </c>
      <c r="W2904" s="46">
        <v>4100</v>
      </c>
      <c r="X2904" s="46">
        <v>15.425000000000001</v>
      </c>
      <c r="AF2904" s="46">
        <v>14</v>
      </c>
      <c r="AG2904" s="46">
        <v>7000</v>
      </c>
      <c r="AH2904" s="46">
        <v>110704.2</v>
      </c>
      <c r="AI2904" s="46">
        <v>15.815</v>
      </c>
      <c r="AJ2904" s="46">
        <v>14</v>
      </c>
      <c r="AK2904" s="46">
        <v>5600</v>
      </c>
      <c r="AL2904" s="46">
        <v>84202.279999999897</v>
      </c>
      <c r="AM2904" s="46">
        <v>15.036</v>
      </c>
      <c r="AN2904" s="46" t="s">
        <v>63</v>
      </c>
      <c r="AO2904" s="46">
        <v>1400</v>
      </c>
      <c r="AP2904" s="46">
        <v>26501.919999999998</v>
      </c>
      <c r="AQ2904" s="46">
        <v>18.93</v>
      </c>
      <c r="AR2904" s="46">
        <v>-4362.3999999999996</v>
      </c>
      <c r="AS2904" s="46">
        <v>22</v>
      </c>
      <c r="AT2904" s="46">
        <v>11500</v>
      </c>
      <c r="AU2904" s="46">
        <v>179841.9</v>
      </c>
      <c r="AV2904" s="46">
        <v>15.638</v>
      </c>
      <c r="AW2904" s="46">
        <v>15</v>
      </c>
      <c r="AX2904" s="46">
        <v>6000</v>
      </c>
      <c r="AY2904" s="46">
        <v>90043.187999999893</v>
      </c>
      <c r="AZ2904" s="46">
        <v>15.007</v>
      </c>
      <c r="BA2904" s="46" t="s">
        <v>63</v>
      </c>
      <c r="BB2904" s="46">
        <v>5500</v>
      </c>
      <c r="BC2904" s="46">
        <v>89798.712</v>
      </c>
      <c r="BD2904" s="46">
        <v>16.327000000000002</v>
      </c>
      <c r="BE2904" s="46">
        <v>-3786</v>
      </c>
      <c r="BF2904" s="46">
        <v>69137.699999999895</v>
      </c>
      <c r="BG2904" s="46">
        <v>15.36</v>
      </c>
      <c r="BH2904" s="46">
        <v>5840.9080000000004</v>
      </c>
      <c r="BI2904">
        <v>14.6</v>
      </c>
      <c r="BJ2904">
        <v>63296.792000000001</v>
      </c>
      <c r="BK2904">
        <v>15.44</v>
      </c>
      <c r="BL2904">
        <v>-302.31</v>
      </c>
    </row>
    <row r="2905" spans="1:64" x14ac:dyDescent="0.25">
      <c r="A2905" s="136">
        <v>43222</v>
      </c>
      <c r="B2905" s="201" t="s">
        <v>65</v>
      </c>
      <c r="C2905" t="s">
        <v>127</v>
      </c>
      <c r="D2905">
        <v>17800</v>
      </c>
      <c r="E2905">
        <v>17300</v>
      </c>
      <c r="F2905">
        <v>9.3249999999999993</v>
      </c>
      <c r="G2905">
        <v>-6668.31</v>
      </c>
      <c r="H2905">
        <v>-4.0199999999999996</v>
      </c>
      <c r="I2905" s="309">
        <v>159310</v>
      </c>
      <c r="J2905">
        <v>8.9499999999999993</v>
      </c>
      <c r="K2905" s="133">
        <v>0.33572657850867299</v>
      </c>
      <c r="L2905" s="181">
        <v>-1883</v>
      </c>
      <c r="M2905" s="133">
        <v>0.349779236224668</v>
      </c>
      <c r="N2905" s="73">
        <v>-11840.731</v>
      </c>
      <c r="O2905" s="73">
        <v>-848.92111362361095</v>
      </c>
      <c r="P2905" s="182">
        <v>4</v>
      </c>
      <c r="Q2905" s="182">
        <v>2000</v>
      </c>
      <c r="R2905" s="46">
        <v>9.0449999999999999</v>
      </c>
      <c r="S2905" s="46">
        <v>8</v>
      </c>
      <c r="T2905" s="46">
        <v>3300</v>
      </c>
      <c r="U2905" s="46">
        <v>12.547000000000001</v>
      </c>
      <c r="V2905" s="46" t="s">
        <v>68</v>
      </c>
      <c r="W2905" s="46">
        <v>1300</v>
      </c>
      <c r="X2905" s="46">
        <v>17.934999999999999</v>
      </c>
      <c r="AF2905" s="46">
        <v>185</v>
      </c>
      <c r="AG2905" s="46">
        <v>98200</v>
      </c>
      <c r="AH2905" s="46">
        <v>1122220.2309999999</v>
      </c>
      <c r="AI2905" s="46">
        <v>11.428000000000001</v>
      </c>
      <c r="AJ2905" s="46">
        <v>204</v>
      </c>
      <c r="AK2905" s="46">
        <v>88300</v>
      </c>
      <c r="AL2905" s="46">
        <v>932193.902</v>
      </c>
      <c r="AM2905" s="46">
        <v>10.557</v>
      </c>
      <c r="AN2905" s="46" t="s">
        <v>63</v>
      </c>
      <c r="AO2905" s="46">
        <v>9900</v>
      </c>
      <c r="AP2905" s="46">
        <v>190026.329</v>
      </c>
      <c r="AQ2905" s="46">
        <v>19.195</v>
      </c>
      <c r="AR2905" s="46">
        <v>-76909.3</v>
      </c>
      <c r="AS2905" s="46">
        <v>190</v>
      </c>
      <c r="AT2905" s="46">
        <v>100300</v>
      </c>
      <c r="AU2905" s="46">
        <v>1141618.2309999999</v>
      </c>
      <c r="AV2905" s="46">
        <v>11.382</v>
      </c>
      <c r="AW2905" s="46">
        <v>212</v>
      </c>
      <c r="AX2905" s="46">
        <v>91600</v>
      </c>
      <c r="AY2905" s="46">
        <v>973516.49800000002</v>
      </c>
      <c r="AZ2905" s="46">
        <v>10.628</v>
      </c>
      <c r="BA2905" s="46" t="s">
        <v>63</v>
      </c>
      <c r="BB2905" s="46">
        <v>8700</v>
      </c>
      <c r="BC2905" s="46">
        <v>168101.73300000001</v>
      </c>
      <c r="BD2905" s="46">
        <v>19.321999999999999</v>
      </c>
      <c r="BE2905" s="46">
        <v>-69066.399999999994</v>
      </c>
      <c r="BF2905" s="46">
        <v>19398</v>
      </c>
      <c r="BG2905" s="46">
        <v>9.6999999999999993</v>
      </c>
      <c r="BH2905" s="46">
        <v>41322.5960000001</v>
      </c>
      <c r="BI2905">
        <v>12.52</v>
      </c>
      <c r="BJ2905">
        <v>-21924.596000000001</v>
      </c>
      <c r="BK2905">
        <v>-16.87</v>
      </c>
      <c r="BL2905">
        <v>-8593.2199999999993</v>
      </c>
    </row>
    <row r="2906" spans="1:64" x14ac:dyDescent="0.25">
      <c r="A2906" s="136">
        <v>43222</v>
      </c>
      <c r="B2906" s="201" t="s">
        <v>77</v>
      </c>
      <c r="C2906" t="s">
        <v>128</v>
      </c>
      <c r="D2906">
        <v>4300</v>
      </c>
      <c r="E2906">
        <v>4300</v>
      </c>
      <c r="F2906">
        <v>5.9779999999999998</v>
      </c>
      <c r="G2906">
        <v>-595.27</v>
      </c>
      <c r="H2906">
        <v>-2.31</v>
      </c>
      <c r="I2906" s="309">
        <v>25112</v>
      </c>
      <c r="J2906">
        <v>5.84</v>
      </c>
      <c r="K2906" s="133">
        <v>5.2920506179836797E-2</v>
      </c>
      <c r="L2906" s="181">
        <v>0</v>
      </c>
      <c r="M2906" s="133">
        <v>5.4174965789333097E-2</v>
      </c>
      <c r="N2906" s="73">
        <v>-1272.2139999999999</v>
      </c>
      <c r="O2906" s="73">
        <v>-133.073774655173</v>
      </c>
      <c r="P2906" s="182">
        <v>6</v>
      </c>
      <c r="Q2906" s="182">
        <v>3000</v>
      </c>
      <c r="R2906" s="46">
        <v>6.798</v>
      </c>
      <c r="S2906" s="46">
        <v>0</v>
      </c>
      <c r="T2906" s="46">
        <v>0</v>
      </c>
      <c r="U2906" s="46">
        <v>0</v>
      </c>
      <c r="V2906" s="46" t="s">
        <v>62</v>
      </c>
      <c r="W2906" s="46">
        <v>3000</v>
      </c>
      <c r="X2906" s="46">
        <v>6.798</v>
      </c>
      <c r="AF2906" s="46">
        <v>39</v>
      </c>
      <c r="AG2906" s="46">
        <v>19500</v>
      </c>
      <c r="AH2906" s="46">
        <v>142169</v>
      </c>
      <c r="AI2906" s="46">
        <v>7.2910000000000004</v>
      </c>
      <c r="AJ2906" s="46">
        <v>39</v>
      </c>
      <c r="AK2906" s="46">
        <v>18200</v>
      </c>
      <c r="AL2906" s="46">
        <v>136881.78599999999</v>
      </c>
      <c r="AM2906" s="46">
        <v>7.5209999999999999</v>
      </c>
      <c r="AN2906" s="46" t="s">
        <v>63</v>
      </c>
      <c r="AO2906" s="46">
        <v>1300</v>
      </c>
      <c r="AP2906" s="46">
        <v>5287.2139999999999</v>
      </c>
      <c r="AQ2906" s="46">
        <v>4.0670000000000002</v>
      </c>
      <c r="AR2906" s="46">
        <v>4186</v>
      </c>
      <c r="AS2906" s="46">
        <v>45</v>
      </c>
      <c r="AT2906" s="46">
        <v>22500</v>
      </c>
      <c r="AU2906" s="46">
        <v>162594</v>
      </c>
      <c r="AV2906" s="46">
        <v>7.226</v>
      </c>
      <c r="AW2906" s="46">
        <v>39</v>
      </c>
      <c r="AX2906" s="46">
        <v>18200</v>
      </c>
      <c r="AY2906" s="46">
        <v>136881.78599999999</v>
      </c>
      <c r="AZ2906" s="46">
        <v>7.5209999999999999</v>
      </c>
      <c r="BA2906" s="46" t="s">
        <v>63</v>
      </c>
      <c r="BB2906" s="46">
        <v>4300</v>
      </c>
      <c r="BC2906" s="46">
        <v>25712.214</v>
      </c>
      <c r="BD2906" s="46">
        <v>5.98</v>
      </c>
      <c r="BE2906" s="46">
        <v>5369</v>
      </c>
      <c r="BF2906" s="46">
        <v>20425</v>
      </c>
      <c r="BG2906" s="46">
        <v>6.81</v>
      </c>
      <c r="BH2906" s="46">
        <v>0</v>
      </c>
      <c r="BJ2906">
        <v>20425</v>
      </c>
      <c r="BK2906">
        <v>6.81</v>
      </c>
      <c r="BL2906">
        <v>716.78</v>
      </c>
    </row>
    <row r="2907" spans="1:64" x14ac:dyDescent="0.25">
      <c r="A2907" s="136">
        <v>43222</v>
      </c>
      <c r="B2907" s="201" t="s">
        <v>67</v>
      </c>
      <c r="C2907" t="s">
        <v>129</v>
      </c>
      <c r="D2907">
        <v>200</v>
      </c>
      <c r="E2907">
        <v>200</v>
      </c>
      <c r="F2907">
        <v>-11.313000000000001</v>
      </c>
      <c r="G2907">
        <v>4172.6000000000004</v>
      </c>
      <c r="H2907">
        <v>0</v>
      </c>
      <c r="I2907" s="309">
        <v>1910</v>
      </c>
      <c r="J2907">
        <v>9.5500000000000007</v>
      </c>
      <c r="K2907" s="133">
        <v>4.0250942498999799E-3</v>
      </c>
      <c r="L2907" s="181">
        <v>32</v>
      </c>
      <c r="M2907" s="133">
        <v>0</v>
      </c>
      <c r="N2907" s="73">
        <v>4088.7264999997601</v>
      </c>
      <c r="O2907" s="73">
        <v>447.61031070643799</v>
      </c>
      <c r="P2907" s="182">
        <v>1</v>
      </c>
      <c r="Q2907" s="182">
        <v>500</v>
      </c>
      <c r="R2907" s="46">
        <v>9.01</v>
      </c>
      <c r="S2907" s="46">
        <v>25</v>
      </c>
      <c r="T2907" s="46">
        <v>10000</v>
      </c>
      <c r="U2907" s="46">
        <v>9.0020000000000007</v>
      </c>
      <c r="V2907" s="46" t="s">
        <v>68</v>
      </c>
      <c r="W2907" s="46">
        <v>9500</v>
      </c>
      <c r="X2907" s="46">
        <v>9.0020000000000007</v>
      </c>
      <c r="AF2907" s="46">
        <v>190</v>
      </c>
      <c r="AG2907" s="46">
        <v>94400</v>
      </c>
      <c r="AH2907" s="46">
        <v>786305</v>
      </c>
      <c r="AI2907" s="46">
        <v>8.33</v>
      </c>
      <c r="AJ2907" s="46">
        <v>193</v>
      </c>
      <c r="AK2907" s="46">
        <v>87300</v>
      </c>
      <c r="AL2907" s="46">
        <v>772394.3665</v>
      </c>
      <c r="AM2907" s="46">
        <v>8.8480000000000008</v>
      </c>
      <c r="AN2907" s="46" t="s">
        <v>63</v>
      </c>
      <c r="AO2907" s="46">
        <v>7100</v>
      </c>
      <c r="AP2907" s="46">
        <v>13910.633</v>
      </c>
      <c r="AQ2907" s="46">
        <v>1.9590000000000001</v>
      </c>
      <c r="AR2907" s="46">
        <v>45221.4</v>
      </c>
      <c r="AS2907" s="46">
        <v>191</v>
      </c>
      <c r="AT2907" s="46">
        <v>94900</v>
      </c>
      <c r="AU2907" s="46">
        <v>790815</v>
      </c>
      <c r="AV2907" s="46">
        <v>8.3330000000000002</v>
      </c>
      <c r="AW2907" s="46">
        <v>218</v>
      </c>
      <c r="AX2907" s="46">
        <v>97300</v>
      </c>
      <c r="AY2907" s="46">
        <v>862205.84250000003</v>
      </c>
      <c r="AZ2907" s="46">
        <v>8.8610000000000007</v>
      </c>
      <c r="BA2907" s="46" t="s">
        <v>69</v>
      </c>
      <c r="BB2907" s="46">
        <v>2400</v>
      </c>
      <c r="BC2907" s="46">
        <v>71390.842999999993</v>
      </c>
      <c r="BD2907" s="46">
        <v>29.745999999999999</v>
      </c>
      <c r="BE2907" s="46">
        <v>50107.199999999997</v>
      </c>
      <c r="BF2907" s="46">
        <v>4510</v>
      </c>
      <c r="BG2907" s="46">
        <v>9.02</v>
      </c>
      <c r="BH2907" s="46">
        <v>89811.475999999995</v>
      </c>
      <c r="BI2907">
        <v>8.98</v>
      </c>
      <c r="BJ2907">
        <v>57480.21</v>
      </c>
      <c r="BK2907">
        <v>6.05</v>
      </c>
      <c r="BL2907">
        <v>4735.2299999999996</v>
      </c>
    </row>
    <row r="2908" spans="1:64" x14ac:dyDescent="0.25">
      <c r="A2908" s="136">
        <v>43222</v>
      </c>
      <c r="B2908" s="201" t="s">
        <v>78</v>
      </c>
      <c r="C2908" t="s">
        <v>142</v>
      </c>
      <c r="D2908">
        <v>600</v>
      </c>
      <c r="E2908">
        <v>600</v>
      </c>
      <c r="F2908">
        <v>6.9409999999999998</v>
      </c>
      <c r="G2908">
        <v>1349.39</v>
      </c>
      <c r="H2908">
        <v>32.4</v>
      </c>
      <c r="I2908" s="309">
        <v>5514</v>
      </c>
      <c r="J2908">
        <v>9.19</v>
      </c>
      <c r="K2908" s="133">
        <v>1.16200888449992E-2</v>
      </c>
      <c r="L2908" s="181">
        <v>-12</v>
      </c>
      <c r="M2908" s="133">
        <v>8.7764124419245793E-3</v>
      </c>
      <c r="N2908" s="73">
        <v>1415.3910000000001</v>
      </c>
      <c r="O2908" s="73">
        <v>152.11648435483801</v>
      </c>
      <c r="P2908" s="182">
        <v>0</v>
      </c>
      <c r="Q2908" s="182">
        <v>0</v>
      </c>
      <c r="R2908" s="46">
        <v>0</v>
      </c>
      <c r="S2908" s="46">
        <v>2</v>
      </c>
      <c r="T2908" s="46">
        <v>800</v>
      </c>
      <c r="U2908" s="46">
        <v>10.210000000000001</v>
      </c>
      <c r="V2908" s="46" t="s">
        <v>68</v>
      </c>
      <c r="W2908" s="46">
        <v>800</v>
      </c>
      <c r="X2908" s="46">
        <v>10.210000000000001</v>
      </c>
      <c r="AF2908" s="46">
        <v>14</v>
      </c>
      <c r="AG2908" s="46">
        <v>7000</v>
      </c>
      <c r="AH2908" s="46">
        <v>67625</v>
      </c>
      <c r="AI2908" s="46">
        <v>9.6609999999999996</v>
      </c>
      <c r="AJ2908" s="46">
        <v>15</v>
      </c>
      <c r="AK2908" s="46">
        <v>5600</v>
      </c>
      <c r="AL2908" s="46">
        <v>55310.559000000001</v>
      </c>
      <c r="AM2908" s="46">
        <v>9.8770000000000007</v>
      </c>
      <c r="AN2908" s="46" t="s">
        <v>63</v>
      </c>
      <c r="AO2908" s="46">
        <v>1400</v>
      </c>
      <c r="AP2908" s="46">
        <v>12314.441000000001</v>
      </c>
      <c r="AQ2908" s="46">
        <v>8.7959999999999994</v>
      </c>
      <c r="AR2908" s="46">
        <v>1209.5999999999999</v>
      </c>
      <c r="AS2908" s="46">
        <v>14</v>
      </c>
      <c r="AT2908" s="46">
        <v>7000</v>
      </c>
      <c r="AU2908" s="46">
        <v>67625</v>
      </c>
      <c r="AV2908" s="46">
        <v>9.6609999999999996</v>
      </c>
      <c r="AW2908" s="46">
        <v>17</v>
      </c>
      <c r="AX2908" s="46">
        <v>6400</v>
      </c>
      <c r="AY2908" s="46">
        <v>63460.391000000003</v>
      </c>
      <c r="AZ2908" s="46">
        <v>9.9160000000000004</v>
      </c>
      <c r="BA2908" s="46" t="s">
        <v>63</v>
      </c>
      <c r="BB2908" s="46">
        <v>600</v>
      </c>
      <c r="BC2908" s="46">
        <v>4164.6090000000004</v>
      </c>
      <c r="BD2908" s="46">
        <v>6.9409999999999998</v>
      </c>
      <c r="BE2908" s="46">
        <v>1632</v>
      </c>
      <c r="BF2908" s="46">
        <v>0</v>
      </c>
      <c r="BH2908" s="46">
        <v>8149.8320000000003</v>
      </c>
      <c r="BI2908">
        <v>10.19</v>
      </c>
      <c r="BJ2908">
        <v>-8149.8320000000003</v>
      </c>
      <c r="BK2908">
        <v>-10.19</v>
      </c>
      <c r="BL2908">
        <v>131.62</v>
      </c>
    </row>
    <row r="2909" spans="1:64" x14ac:dyDescent="0.25">
      <c r="A2909" s="136">
        <v>43222</v>
      </c>
      <c r="B2909" s="201" t="s">
        <v>72</v>
      </c>
      <c r="C2909" t="s">
        <v>130</v>
      </c>
      <c r="D2909">
        <v>900</v>
      </c>
      <c r="E2909">
        <v>900</v>
      </c>
      <c r="F2909">
        <v>6.5229999999999997</v>
      </c>
      <c r="G2909">
        <v>312.54000000000002</v>
      </c>
      <c r="H2909">
        <v>5.32</v>
      </c>
      <c r="I2909" s="309">
        <v>6183</v>
      </c>
      <c r="J2909">
        <v>6.87</v>
      </c>
      <c r="K2909" s="133">
        <v>1.3029925522058399E-2</v>
      </c>
      <c r="L2909" s="181">
        <v>-180</v>
      </c>
      <c r="M2909" s="133">
        <v>1.23712852305067E-2</v>
      </c>
      <c r="N2909" s="73">
        <v>-6207.1679999999897</v>
      </c>
      <c r="O2909" s="73">
        <v>67.277266524825706</v>
      </c>
      <c r="P2909" s="182">
        <v>0</v>
      </c>
      <c r="Q2909" s="182">
        <v>0</v>
      </c>
      <c r="R2909" s="46">
        <v>0</v>
      </c>
      <c r="S2909" s="46">
        <v>18</v>
      </c>
      <c r="T2909" s="46">
        <v>7200</v>
      </c>
      <c r="U2909" s="46">
        <v>7.2869999999999999</v>
      </c>
      <c r="V2909" s="46" t="s">
        <v>68</v>
      </c>
      <c r="W2909" s="46">
        <v>7200</v>
      </c>
      <c r="X2909" s="46">
        <v>7.2869999999999999</v>
      </c>
      <c r="AF2909" s="46">
        <v>36</v>
      </c>
      <c r="AG2909" s="46">
        <v>17900</v>
      </c>
      <c r="AH2909" s="46">
        <v>133787</v>
      </c>
      <c r="AI2909" s="46">
        <v>7.4740000000000002</v>
      </c>
      <c r="AJ2909" s="46">
        <v>36</v>
      </c>
      <c r="AK2909" s="46">
        <v>16400</v>
      </c>
      <c r="AL2909" s="46">
        <v>76327.481</v>
      </c>
      <c r="AM2909" s="46">
        <v>4.6539999999999999</v>
      </c>
      <c r="AN2909" s="46" t="s">
        <v>63</v>
      </c>
      <c r="AO2909" s="46">
        <v>1500</v>
      </c>
      <c r="AP2909" s="46">
        <v>57459.519</v>
      </c>
      <c r="AQ2909" s="46">
        <v>38.305999999999997</v>
      </c>
      <c r="AR2909" s="46">
        <v>-46248</v>
      </c>
      <c r="AS2909" s="46">
        <v>36</v>
      </c>
      <c r="AT2909" s="46">
        <v>17900</v>
      </c>
      <c r="AU2909" s="46">
        <v>133787</v>
      </c>
      <c r="AV2909" s="46">
        <v>7.4740000000000002</v>
      </c>
      <c r="AW2909" s="46">
        <v>55</v>
      </c>
      <c r="AX2909" s="46">
        <v>24100</v>
      </c>
      <c r="AY2909" s="46">
        <v>128649.01700000001</v>
      </c>
      <c r="AZ2909" s="46">
        <v>5.3380000000000001</v>
      </c>
      <c r="BA2909" s="46" t="s">
        <v>69</v>
      </c>
      <c r="BB2909" s="46">
        <v>6200</v>
      </c>
      <c r="BC2909" s="46">
        <v>5137.9830000000002</v>
      </c>
      <c r="BD2909" s="46">
        <v>0.82899999999999996</v>
      </c>
      <c r="BE2909" s="46">
        <v>-38234.400000000001</v>
      </c>
      <c r="BF2909" s="46">
        <v>0</v>
      </c>
      <c r="BH2909" s="46">
        <v>52321.536</v>
      </c>
      <c r="BI2909">
        <v>7.27</v>
      </c>
      <c r="BJ2909">
        <v>-52321.536</v>
      </c>
      <c r="BK2909">
        <v>-7.27</v>
      </c>
      <c r="BL2909">
        <v>-6731.88</v>
      </c>
    </row>
    <row r="2910" spans="1:64" x14ac:dyDescent="0.25">
      <c r="A2910" s="136">
        <v>43222</v>
      </c>
      <c r="B2910" s="201" t="s">
        <v>70</v>
      </c>
      <c r="C2910" t="s">
        <v>131</v>
      </c>
      <c r="D2910">
        <v>11700</v>
      </c>
      <c r="E2910">
        <v>11700</v>
      </c>
      <c r="F2910">
        <v>11.583</v>
      </c>
      <c r="G2910">
        <v>-28815.27</v>
      </c>
      <c r="H2910">
        <v>-21.26</v>
      </c>
      <c r="I2910" s="309">
        <v>106704</v>
      </c>
      <c r="J2910">
        <v>9.1199999999999992</v>
      </c>
      <c r="K2910" s="133">
        <v>0.224865788922161</v>
      </c>
      <c r="L2910" s="181">
        <v>-819</v>
      </c>
      <c r="M2910" s="133">
        <v>0.28559048922913199</v>
      </c>
      <c r="N2910" s="73">
        <v>-28585.271000000001</v>
      </c>
      <c r="O2910" s="73">
        <v>-3125.9276109956299</v>
      </c>
      <c r="P2910" s="182">
        <v>3</v>
      </c>
      <c r="Q2910" s="182">
        <v>1500</v>
      </c>
      <c r="R2910" s="46">
        <v>8.4169999999999998</v>
      </c>
      <c r="S2910" s="46">
        <v>6</v>
      </c>
      <c r="T2910" s="46">
        <v>2500</v>
      </c>
      <c r="U2910" s="46">
        <v>9.0239999999999991</v>
      </c>
      <c r="V2910" s="46" t="s">
        <v>68</v>
      </c>
      <c r="W2910" s="46">
        <v>1000</v>
      </c>
      <c r="X2910" s="46">
        <v>9.9350000000000005</v>
      </c>
      <c r="AF2910" s="46">
        <v>137</v>
      </c>
      <c r="AG2910" s="46">
        <v>70100</v>
      </c>
      <c r="AH2910" s="46">
        <v>908028</v>
      </c>
      <c r="AI2910" s="46">
        <v>12.952999999999999</v>
      </c>
      <c r="AJ2910" s="46">
        <v>143</v>
      </c>
      <c r="AK2910" s="46">
        <v>57400</v>
      </c>
      <c r="AL2910" s="46">
        <v>762231.29</v>
      </c>
      <c r="AM2910" s="46">
        <v>13.279</v>
      </c>
      <c r="AN2910" s="46" t="s">
        <v>63</v>
      </c>
      <c r="AO2910" s="46">
        <v>12700</v>
      </c>
      <c r="AP2910" s="46">
        <v>145796.71</v>
      </c>
      <c r="AQ2910" s="46">
        <v>11.48</v>
      </c>
      <c r="AR2910" s="46">
        <v>18712.400000000001</v>
      </c>
      <c r="AS2910" s="46">
        <v>140</v>
      </c>
      <c r="AT2910" s="46">
        <v>71600</v>
      </c>
      <c r="AU2910" s="46">
        <v>920668</v>
      </c>
      <c r="AV2910" s="46">
        <v>12.858000000000001</v>
      </c>
      <c r="AW2910" s="46">
        <v>150</v>
      </c>
      <c r="AX2910" s="46">
        <v>59900</v>
      </c>
      <c r="AY2910" s="46">
        <v>785144.72900000005</v>
      </c>
      <c r="AZ2910" s="46">
        <v>13.108000000000001</v>
      </c>
      <c r="BA2910" s="46" t="s">
        <v>63</v>
      </c>
      <c r="BB2910" s="46">
        <v>11700</v>
      </c>
      <c r="BC2910" s="46">
        <v>135523.27100000001</v>
      </c>
      <c r="BD2910" s="46">
        <v>11.583</v>
      </c>
      <c r="BE2910" s="46">
        <v>14975</v>
      </c>
      <c r="BF2910" s="46">
        <v>12640</v>
      </c>
      <c r="BG2910" s="46">
        <v>8.43</v>
      </c>
      <c r="BH2910" s="46">
        <v>22913.4390000001</v>
      </c>
      <c r="BI2910">
        <v>9.17</v>
      </c>
      <c r="BJ2910">
        <v>-10273.439</v>
      </c>
      <c r="BK2910">
        <v>-10.27</v>
      </c>
      <c r="BL2910">
        <v>2051.8000000000002</v>
      </c>
    </row>
    <row r="2911" spans="1:64" x14ac:dyDescent="0.25">
      <c r="A2911" s="136">
        <v>43222</v>
      </c>
      <c r="B2911" s="201" t="s">
        <v>137</v>
      </c>
      <c r="C2911" t="s">
        <v>149</v>
      </c>
      <c r="D2911">
        <v>100</v>
      </c>
      <c r="E2911">
        <v>100</v>
      </c>
      <c r="F2911">
        <v>-130.48500000000001</v>
      </c>
      <c r="G2911">
        <v>17053.5</v>
      </c>
      <c r="H2911">
        <v>0</v>
      </c>
      <c r="I2911" s="309">
        <v>4005</v>
      </c>
      <c r="J2911">
        <v>40.049999999999997</v>
      </c>
      <c r="K2911" s="133">
        <v>8.4400536496593796E-3</v>
      </c>
      <c r="L2911" s="181">
        <v>-133</v>
      </c>
      <c r="M2911" s="133">
        <v>0</v>
      </c>
    </row>
    <row r="2912" spans="1:64" x14ac:dyDescent="0.25">
      <c r="A2912" s="136">
        <v>43222</v>
      </c>
      <c r="B2912" s="201" t="s">
        <v>835</v>
      </c>
      <c r="C2912" t="s">
        <v>839</v>
      </c>
      <c r="I2912" s="309">
        <v>1578.57</v>
      </c>
      <c r="K2912" s="133">
        <v>3.32664556547885E-3</v>
      </c>
      <c r="L2912" s="181">
        <v>0</v>
      </c>
      <c r="M2912" s="133">
        <v>0.119751927751455</v>
      </c>
    </row>
    <row r="2913" spans="1:64" x14ac:dyDescent="0.25">
      <c r="A2913" s="136">
        <v>43223</v>
      </c>
      <c r="B2913" s="201" t="s">
        <v>132</v>
      </c>
      <c r="C2913" t="s">
        <v>123</v>
      </c>
      <c r="D2913">
        <v>5027975</v>
      </c>
      <c r="E2913">
        <v>5027975</v>
      </c>
      <c r="F2913">
        <v>8.9999999999999993E-3</v>
      </c>
      <c r="G2913">
        <v>3525.31</v>
      </c>
      <c r="H2913">
        <v>11.11</v>
      </c>
      <c r="I2913" s="309">
        <v>50279.75</v>
      </c>
      <c r="J2913">
        <v>0.01</v>
      </c>
      <c r="K2913" s="133">
        <v>0.106028822944313</v>
      </c>
      <c r="L2913" s="181">
        <v>33.270000000000003</v>
      </c>
      <c r="M2913" s="133">
        <v>0</v>
      </c>
    </row>
    <row r="2914" spans="1:64" x14ac:dyDescent="0.25">
      <c r="A2914" s="136">
        <v>43223</v>
      </c>
      <c r="B2914" s="201" t="s">
        <v>61</v>
      </c>
      <c r="C2914" t="s">
        <v>136</v>
      </c>
      <c r="D2914">
        <v>3900</v>
      </c>
      <c r="E2914">
        <v>3900</v>
      </c>
      <c r="F2914">
        <v>5.0519999999999996</v>
      </c>
      <c r="G2914">
        <v>-1801.1</v>
      </c>
      <c r="H2914">
        <v>-9.14</v>
      </c>
      <c r="I2914" s="309">
        <v>17901</v>
      </c>
      <c r="J2914">
        <v>4.59</v>
      </c>
      <c r="K2914" s="133">
        <v>3.7749232236161501E-2</v>
      </c>
      <c r="L2914" s="181">
        <v>39</v>
      </c>
      <c r="M2914" s="133">
        <v>4.1547352016092803E-2</v>
      </c>
      <c r="N2914" s="73">
        <v>-1807.1410000000001</v>
      </c>
      <c r="O2914" s="73">
        <v>-393.515779847494</v>
      </c>
      <c r="P2914" s="182">
        <v>6</v>
      </c>
      <c r="Q2914" s="182">
        <v>3000</v>
      </c>
      <c r="R2914" s="46">
        <v>5.0350000000000001</v>
      </c>
      <c r="S2914" s="46">
        <v>0</v>
      </c>
      <c r="T2914" s="46">
        <v>0</v>
      </c>
      <c r="U2914" s="46">
        <v>0</v>
      </c>
      <c r="V2914" s="46" t="s">
        <v>62</v>
      </c>
      <c r="W2914" s="46">
        <v>3000</v>
      </c>
      <c r="X2914" s="46">
        <v>5.0350000000000001</v>
      </c>
      <c r="AF2914" s="46">
        <v>10</v>
      </c>
      <c r="AG2914" s="46">
        <v>5000</v>
      </c>
      <c r="AH2914" s="46">
        <v>26378</v>
      </c>
      <c r="AI2914" s="46">
        <v>5.2759999999999998</v>
      </c>
      <c r="AJ2914" s="46">
        <v>10</v>
      </c>
      <c r="AK2914" s="46">
        <v>4100</v>
      </c>
      <c r="AL2914" s="46">
        <v>21806.659</v>
      </c>
      <c r="AM2914" s="46">
        <v>5.319</v>
      </c>
      <c r="AN2914" s="46" t="s">
        <v>63</v>
      </c>
      <c r="AO2914" s="46">
        <v>900</v>
      </c>
      <c r="AP2914" s="46">
        <v>4571.3410000000003</v>
      </c>
      <c r="AQ2914" s="46">
        <v>5.0789999999999997</v>
      </c>
      <c r="AR2914" s="46">
        <v>176.3</v>
      </c>
      <c r="AS2914" s="46">
        <v>16</v>
      </c>
      <c r="AT2914" s="46">
        <v>8000</v>
      </c>
      <c r="AU2914" s="46">
        <v>41514.800000000003</v>
      </c>
      <c r="AV2914" s="46">
        <v>5.1890000000000001</v>
      </c>
      <c r="AW2914" s="46">
        <v>10</v>
      </c>
      <c r="AX2914" s="46">
        <v>4100</v>
      </c>
      <c r="AY2914" s="46">
        <v>21806.659</v>
      </c>
      <c r="AZ2914" s="46">
        <v>5.319</v>
      </c>
      <c r="BA2914" s="46" t="s">
        <v>63</v>
      </c>
      <c r="BB2914" s="46">
        <v>3900</v>
      </c>
      <c r="BC2914" s="46">
        <v>19708.141</v>
      </c>
      <c r="BD2914" s="46">
        <v>5.0529999999999999</v>
      </c>
      <c r="BE2914" s="46">
        <v>533</v>
      </c>
      <c r="BF2914" s="46">
        <v>15136.8</v>
      </c>
      <c r="BG2914" s="46">
        <v>5.05</v>
      </c>
      <c r="BH2914" s="46">
        <v>0</v>
      </c>
      <c r="BJ2914">
        <v>15136.8</v>
      </c>
      <c r="BK2914">
        <v>5.05</v>
      </c>
      <c r="BL2914">
        <v>38.409999999999997</v>
      </c>
    </row>
    <row r="2915" spans="1:64" x14ac:dyDescent="0.25">
      <c r="A2915" s="136">
        <v>43223</v>
      </c>
      <c r="B2915" s="201" t="s">
        <v>124</v>
      </c>
      <c r="C2915" t="s">
        <v>125</v>
      </c>
      <c r="D2915">
        <v>100</v>
      </c>
      <c r="E2915">
        <v>100</v>
      </c>
      <c r="F2915">
        <v>-53.579000000000001</v>
      </c>
      <c r="G2915">
        <v>5952.9</v>
      </c>
      <c r="H2915">
        <v>0</v>
      </c>
      <c r="I2915" s="309">
        <v>595</v>
      </c>
      <c r="J2915">
        <v>5.95</v>
      </c>
      <c r="K2915" s="133">
        <v>1.2547228188657699E-3</v>
      </c>
      <c r="L2915" s="181">
        <v>-3</v>
      </c>
      <c r="M2915" s="133">
        <v>0</v>
      </c>
    </row>
    <row r="2916" spans="1:64" x14ac:dyDescent="0.25">
      <c r="A2916" s="136">
        <v>43223</v>
      </c>
      <c r="B2916" s="201" t="s">
        <v>71</v>
      </c>
      <c r="C2916" t="s">
        <v>126</v>
      </c>
      <c r="D2916">
        <v>1700</v>
      </c>
      <c r="E2916">
        <v>1700</v>
      </c>
      <c r="F2916">
        <v>5.2080000000000002</v>
      </c>
      <c r="G2916">
        <v>2281.67</v>
      </c>
      <c r="H2916">
        <v>25.77</v>
      </c>
      <c r="I2916" s="309">
        <v>11135</v>
      </c>
      <c r="J2916">
        <v>6.55</v>
      </c>
      <c r="K2916" s="133">
        <v>2.3481241324487898E-2</v>
      </c>
      <c r="L2916" s="181">
        <v>0</v>
      </c>
      <c r="M2916" s="133">
        <v>1.8669706174703999E-2</v>
      </c>
      <c r="N2916" s="73">
        <v>2161.2060000000001</v>
      </c>
      <c r="O2916" s="73">
        <v>333.35268472222202</v>
      </c>
      <c r="P2916" s="182">
        <v>0</v>
      </c>
      <c r="Q2916" s="182">
        <v>0</v>
      </c>
      <c r="R2916" s="46">
        <v>0</v>
      </c>
      <c r="S2916" s="46">
        <v>4</v>
      </c>
      <c r="T2916" s="46">
        <v>1500</v>
      </c>
      <c r="U2916" s="46">
        <v>6.7679999999999998</v>
      </c>
      <c r="V2916" s="46" t="s">
        <v>68</v>
      </c>
      <c r="W2916" s="46">
        <v>1500</v>
      </c>
      <c r="X2916" s="46">
        <v>6.7679999999999998</v>
      </c>
      <c r="AF2916" s="46">
        <v>45</v>
      </c>
      <c r="AG2916" s="46">
        <v>22600</v>
      </c>
      <c r="AH2916" s="46">
        <v>144534.56</v>
      </c>
      <c r="AI2916" s="46">
        <v>6.3949999999999996</v>
      </c>
      <c r="AJ2916" s="46">
        <v>43</v>
      </c>
      <c r="AK2916" s="46">
        <v>19400</v>
      </c>
      <c r="AL2916" s="46">
        <v>125389.618</v>
      </c>
      <c r="AM2916" s="46">
        <v>6.4630000000000001</v>
      </c>
      <c r="AN2916" s="46" t="s">
        <v>63</v>
      </c>
      <c r="AO2916" s="46">
        <v>3200</v>
      </c>
      <c r="AP2916" s="46">
        <v>19144.941999999999</v>
      </c>
      <c r="AQ2916" s="46">
        <v>5.9829999999999997</v>
      </c>
      <c r="AR2916" s="46">
        <v>1319.2</v>
      </c>
      <c r="AS2916" s="46">
        <v>45</v>
      </c>
      <c r="AT2916" s="46">
        <v>22600</v>
      </c>
      <c r="AU2916" s="46">
        <v>144534.56</v>
      </c>
      <c r="AV2916" s="46">
        <v>6.3949999999999996</v>
      </c>
      <c r="AW2916" s="46">
        <v>47</v>
      </c>
      <c r="AX2916" s="46">
        <v>20900</v>
      </c>
      <c r="AY2916" s="46">
        <v>135518.56599999999</v>
      </c>
      <c r="AZ2916" s="46">
        <v>6.484</v>
      </c>
      <c r="BA2916" s="46" t="s">
        <v>63</v>
      </c>
      <c r="BB2916" s="46">
        <v>1700</v>
      </c>
      <c r="BC2916" s="46">
        <v>9015.9940000000006</v>
      </c>
      <c r="BD2916" s="46">
        <v>5.3040000000000003</v>
      </c>
      <c r="BE2916" s="46">
        <v>1860.1</v>
      </c>
      <c r="BF2916" s="46">
        <v>0</v>
      </c>
      <c r="BH2916" s="46">
        <v>10128.948</v>
      </c>
      <c r="BI2916">
        <v>6.75</v>
      </c>
      <c r="BJ2916">
        <v>-10128.948</v>
      </c>
      <c r="BK2916">
        <v>-6.75</v>
      </c>
      <c r="BL2916">
        <v>201.4</v>
      </c>
    </row>
    <row r="2917" spans="1:64" x14ac:dyDescent="0.25">
      <c r="A2917" s="136">
        <v>43223</v>
      </c>
      <c r="B2917" s="201" t="s">
        <v>79</v>
      </c>
      <c r="C2917" t="s">
        <v>143</v>
      </c>
      <c r="D2917">
        <v>5500</v>
      </c>
      <c r="E2917">
        <v>5500</v>
      </c>
      <c r="F2917">
        <v>16.326000000000001</v>
      </c>
      <c r="G2917">
        <v>-10263.6</v>
      </c>
      <c r="H2917">
        <v>-11.43</v>
      </c>
      <c r="I2917" s="309">
        <v>79530</v>
      </c>
      <c r="J2917">
        <v>14.46</v>
      </c>
      <c r="K2917" s="133">
        <v>0.16771110215864601</v>
      </c>
      <c r="L2917" s="181">
        <v>165</v>
      </c>
      <c r="M2917" s="133">
        <v>0.18935475446740399</v>
      </c>
      <c r="N2917" s="73">
        <v>-9333.7120000001305</v>
      </c>
      <c r="O2917" s="73">
        <v>-637.66542337663202</v>
      </c>
      <c r="P2917" s="182">
        <v>8</v>
      </c>
      <c r="Q2917" s="182">
        <v>4500</v>
      </c>
      <c r="R2917" s="46">
        <v>15.353999999999999</v>
      </c>
      <c r="S2917" s="46">
        <v>1</v>
      </c>
      <c r="T2917" s="46">
        <v>400</v>
      </c>
      <c r="U2917" s="46">
        <v>14.63</v>
      </c>
      <c r="V2917" s="46" t="s">
        <v>62</v>
      </c>
      <c r="W2917" s="46">
        <v>4100</v>
      </c>
      <c r="X2917" s="46">
        <v>15.425000000000001</v>
      </c>
      <c r="AF2917" s="46">
        <v>14</v>
      </c>
      <c r="AG2917" s="46">
        <v>7000</v>
      </c>
      <c r="AH2917" s="46">
        <v>110704.2</v>
      </c>
      <c r="AI2917" s="46">
        <v>15.815</v>
      </c>
      <c r="AJ2917" s="46">
        <v>14</v>
      </c>
      <c r="AK2917" s="46">
        <v>5600</v>
      </c>
      <c r="AL2917" s="46">
        <v>84202.279999999897</v>
      </c>
      <c r="AM2917" s="46">
        <v>15.036</v>
      </c>
      <c r="AN2917" s="46" t="s">
        <v>63</v>
      </c>
      <c r="AO2917" s="46">
        <v>1400</v>
      </c>
      <c r="AP2917" s="46">
        <v>26501.919999999998</v>
      </c>
      <c r="AQ2917" s="46">
        <v>18.93</v>
      </c>
      <c r="AR2917" s="46">
        <v>-4362.3999999999996</v>
      </c>
      <c r="AS2917" s="46">
        <v>22</v>
      </c>
      <c r="AT2917" s="46">
        <v>11500</v>
      </c>
      <c r="AU2917" s="46">
        <v>179841.9</v>
      </c>
      <c r="AV2917" s="46">
        <v>15.638</v>
      </c>
      <c r="AW2917" s="46">
        <v>15</v>
      </c>
      <c r="AX2917" s="46">
        <v>6000</v>
      </c>
      <c r="AY2917" s="46">
        <v>90043.187999999893</v>
      </c>
      <c r="AZ2917" s="46">
        <v>15.007</v>
      </c>
      <c r="BA2917" s="46" t="s">
        <v>63</v>
      </c>
      <c r="BB2917" s="46">
        <v>5500</v>
      </c>
      <c r="BC2917" s="46">
        <v>89798.712</v>
      </c>
      <c r="BD2917" s="46">
        <v>16.327000000000002</v>
      </c>
      <c r="BE2917" s="46">
        <v>-3786</v>
      </c>
      <c r="BF2917" s="46">
        <v>69137.699999999895</v>
      </c>
      <c r="BG2917" s="46">
        <v>15.36</v>
      </c>
      <c r="BH2917" s="46">
        <v>5840.9080000000004</v>
      </c>
      <c r="BI2917">
        <v>14.6</v>
      </c>
      <c r="BJ2917">
        <v>63296.792000000001</v>
      </c>
      <c r="BK2917">
        <v>15.44</v>
      </c>
      <c r="BL2917">
        <v>-301.69</v>
      </c>
    </row>
    <row r="2918" spans="1:64" x14ac:dyDescent="0.25">
      <c r="A2918" s="136">
        <v>43223</v>
      </c>
      <c r="B2918" s="201" t="s">
        <v>65</v>
      </c>
      <c r="C2918" t="s">
        <v>127</v>
      </c>
      <c r="D2918">
        <v>17800</v>
      </c>
      <c r="E2918">
        <v>17800</v>
      </c>
      <c r="F2918">
        <v>9.3249999999999993</v>
      </c>
      <c r="G2918">
        <v>-7914.31</v>
      </c>
      <c r="H2918">
        <v>-4.7699999999999996</v>
      </c>
      <c r="I2918" s="309">
        <v>158064</v>
      </c>
      <c r="J2918">
        <v>8.8800000000000008</v>
      </c>
      <c r="K2918" s="133">
        <v>0.33332186158184701</v>
      </c>
      <c r="L2918" s="181">
        <v>-1246</v>
      </c>
      <c r="M2918" s="133">
        <v>0.35001138318281699</v>
      </c>
      <c r="N2918" s="73">
        <v>-11840.731</v>
      </c>
      <c r="O2918" s="73">
        <v>-848.92111362361095</v>
      </c>
      <c r="P2918" s="182">
        <v>4</v>
      </c>
      <c r="Q2918" s="182">
        <v>2000</v>
      </c>
      <c r="R2918" s="46">
        <v>9.0449999999999999</v>
      </c>
      <c r="S2918" s="46">
        <v>8</v>
      </c>
      <c r="T2918" s="46">
        <v>3300</v>
      </c>
      <c r="U2918" s="46">
        <v>12.547000000000001</v>
      </c>
      <c r="V2918" s="46" t="s">
        <v>68</v>
      </c>
      <c r="W2918" s="46">
        <v>1300</v>
      </c>
      <c r="X2918" s="46">
        <v>17.934999999999999</v>
      </c>
      <c r="AF2918" s="46">
        <v>185</v>
      </c>
      <c r="AG2918" s="46">
        <v>98200</v>
      </c>
      <c r="AH2918" s="46">
        <v>1122220.2309999999</v>
      </c>
      <c r="AI2918" s="46">
        <v>11.428000000000001</v>
      </c>
      <c r="AJ2918" s="46">
        <v>204</v>
      </c>
      <c r="AK2918" s="46">
        <v>88300</v>
      </c>
      <c r="AL2918" s="46">
        <v>932193.902</v>
      </c>
      <c r="AM2918" s="46">
        <v>10.557</v>
      </c>
      <c r="AN2918" s="46" t="s">
        <v>63</v>
      </c>
      <c r="AO2918" s="46">
        <v>9900</v>
      </c>
      <c r="AP2918" s="46">
        <v>190026.329</v>
      </c>
      <c r="AQ2918" s="46">
        <v>19.195</v>
      </c>
      <c r="AR2918" s="46">
        <v>-76909.3</v>
      </c>
      <c r="AS2918" s="46">
        <v>190</v>
      </c>
      <c r="AT2918" s="46">
        <v>100300</v>
      </c>
      <c r="AU2918" s="46">
        <v>1141618.2309999999</v>
      </c>
      <c r="AV2918" s="46">
        <v>11.382</v>
      </c>
      <c r="AW2918" s="46">
        <v>212</v>
      </c>
      <c r="AX2918" s="46">
        <v>91600</v>
      </c>
      <c r="AY2918" s="46">
        <v>973516.49800000002</v>
      </c>
      <c r="AZ2918" s="46">
        <v>10.628</v>
      </c>
      <c r="BA2918" s="46" t="s">
        <v>63</v>
      </c>
      <c r="BB2918" s="46">
        <v>8700</v>
      </c>
      <c r="BC2918" s="46">
        <v>168101.73300000001</v>
      </c>
      <c r="BD2918" s="46">
        <v>19.321999999999999</v>
      </c>
      <c r="BE2918" s="46">
        <v>-69066.399999999994</v>
      </c>
      <c r="BF2918" s="46">
        <v>19398</v>
      </c>
      <c r="BG2918" s="46">
        <v>9.6999999999999993</v>
      </c>
      <c r="BH2918" s="46">
        <v>41322.5960000001</v>
      </c>
      <c r="BI2918">
        <v>12.52</v>
      </c>
      <c r="BJ2918">
        <v>-21924.596000000001</v>
      </c>
      <c r="BK2918">
        <v>-16.87</v>
      </c>
      <c r="BL2918">
        <v>-8660.9599999999991</v>
      </c>
    </row>
    <row r="2919" spans="1:64" x14ac:dyDescent="0.25">
      <c r="A2919" s="136">
        <v>43223</v>
      </c>
      <c r="B2919" s="201" t="s">
        <v>77</v>
      </c>
      <c r="C2919" t="s">
        <v>128</v>
      </c>
      <c r="D2919">
        <v>4300</v>
      </c>
      <c r="E2919">
        <v>4300</v>
      </c>
      <c r="F2919">
        <v>5.9779999999999998</v>
      </c>
      <c r="G2919">
        <v>-595.27</v>
      </c>
      <c r="H2919">
        <v>-2.31</v>
      </c>
      <c r="I2919" s="309">
        <v>25112</v>
      </c>
      <c r="J2919">
        <v>5.84</v>
      </c>
      <c r="K2919" s="133">
        <v>5.2955629289675898E-2</v>
      </c>
      <c r="L2919" s="181">
        <v>0</v>
      </c>
      <c r="M2919" s="133">
        <v>5.4210921478560298E-2</v>
      </c>
      <c r="N2919" s="73">
        <v>-1272.2139999999999</v>
      </c>
      <c r="O2919" s="73">
        <v>-133.073774655173</v>
      </c>
      <c r="P2919" s="182">
        <v>6</v>
      </c>
      <c r="Q2919" s="182">
        <v>3000</v>
      </c>
      <c r="R2919" s="46">
        <v>6.798</v>
      </c>
      <c r="S2919" s="46">
        <v>0</v>
      </c>
      <c r="T2919" s="46">
        <v>0</v>
      </c>
      <c r="U2919" s="46">
        <v>0</v>
      </c>
      <c r="V2919" s="46" t="s">
        <v>62</v>
      </c>
      <c r="W2919" s="46">
        <v>3000</v>
      </c>
      <c r="X2919" s="46">
        <v>6.798</v>
      </c>
      <c r="AF2919" s="46">
        <v>39</v>
      </c>
      <c r="AG2919" s="46">
        <v>19500</v>
      </c>
      <c r="AH2919" s="46">
        <v>142169</v>
      </c>
      <c r="AI2919" s="46">
        <v>7.2910000000000004</v>
      </c>
      <c r="AJ2919" s="46">
        <v>39</v>
      </c>
      <c r="AK2919" s="46">
        <v>18200</v>
      </c>
      <c r="AL2919" s="46">
        <v>136881.78599999999</v>
      </c>
      <c r="AM2919" s="46">
        <v>7.5209999999999999</v>
      </c>
      <c r="AN2919" s="46" t="s">
        <v>63</v>
      </c>
      <c r="AO2919" s="46">
        <v>1300</v>
      </c>
      <c r="AP2919" s="46">
        <v>5287.2139999999999</v>
      </c>
      <c r="AQ2919" s="46">
        <v>4.0670000000000002</v>
      </c>
      <c r="AR2919" s="46">
        <v>4186</v>
      </c>
      <c r="AS2919" s="46">
        <v>45</v>
      </c>
      <c r="AT2919" s="46">
        <v>22500</v>
      </c>
      <c r="AU2919" s="46">
        <v>162594</v>
      </c>
      <c r="AV2919" s="46">
        <v>7.226</v>
      </c>
      <c r="AW2919" s="46">
        <v>39</v>
      </c>
      <c r="AX2919" s="46">
        <v>18200</v>
      </c>
      <c r="AY2919" s="46">
        <v>136881.78599999999</v>
      </c>
      <c r="AZ2919" s="46">
        <v>7.5209999999999999</v>
      </c>
      <c r="BA2919" s="46" t="s">
        <v>63</v>
      </c>
      <c r="BB2919" s="46">
        <v>4300</v>
      </c>
      <c r="BC2919" s="46">
        <v>25712.214</v>
      </c>
      <c r="BD2919" s="46">
        <v>5.98</v>
      </c>
      <c r="BE2919" s="46">
        <v>5369</v>
      </c>
      <c r="BF2919" s="46">
        <v>20425</v>
      </c>
      <c r="BG2919" s="46">
        <v>6.81</v>
      </c>
      <c r="BH2919" s="46">
        <v>0</v>
      </c>
      <c r="BJ2919">
        <v>20425</v>
      </c>
      <c r="BK2919">
        <v>6.81</v>
      </c>
      <c r="BL2919">
        <v>716.78</v>
      </c>
    </row>
    <row r="2920" spans="1:64" x14ac:dyDescent="0.25">
      <c r="A2920" s="136">
        <v>43223</v>
      </c>
      <c r="B2920" s="201" t="s">
        <v>67</v>
      </c>
      <c r="C2920" t="s">
        <v>129</v>
      </c>
      <c r="D2920">
        <v>100</v>
      </c>
      <c r="E2920">
        <v>100</v>
      </c>
      <c r="F2920">
        <v>-32.534999999999997</v>
      </c>
      <c r="G2920">
        <v>4247.5</v>
      </c>
      <c r="H2920">
        <v>0</v>
      </c>
      <c r="I2920" s="309">
        <v>994</v>
      </c>
      <c r="J2920">
        <v>9.94</v>
      </c>
      <c r="K2920" s="133">
        <v>2.09612517975222E-3</v>
      </c>
      <c r="L2920" s="181">
        <v>74.899999999999594</v>
      </c>
      <c r="M2920" s="133">
        <v>0</v>
      </c>
      <c r="N2920" s="73">
        <v>4250.7294999997503</v>
      </c>
      <c r="O2920" s="73">
        <v>426.13883001502302</v>
      </c>
      <c r="P2920" s="182">
        <v>0</v>
      </c>
      <c r="Q2920" s="182">
        <v>0</v>
      </c>
      <c r="R2920" s="46">
        <v>0</v>
      </c>
      <c r="S2920" s="46">
        <v>24</v>
      </c>
      <c r="T2920" s="46">
        <v>9600</v>
      </c>
      <c r="U2920" s="46">
        <v>8.9969999999999999</v>
      </c>
      <c r="V2920" s="46" t="s">
        <v>68</v>
      </c>
      <c r="W2920" s="46">
        <v>9600</v>
      </c>
      <c r="X2920" s="46">
        <v>8.9969999999999999</v>
      </c>
      <c r="AF2920" s="46">
        <v>191</v>
      </c>
      <c r="AG2920" s="46">
        <v>94900</v>
      </c>
      <c r="AH2920" s="46">
        <v>790815</v>
      </c>
      <c r="AI2920" s="46">
        <v>8.3330000000000002</v>
      </c>
      <c r="AJ2920" s="46">
        <v>195</v>
      </c>
      <c r="AK2920" s="46">
        <v>87800</v>
      </c>
      <c r="AL2920" s="46">
        <v>777028.71750000003</v>
      </c>
      <c r="AM2920" s="46">
        <v>8.85</v>
      </c>
      <c r="AN2920" s="46" t="s">
        <v>63</v>
      </c>
      <c r="AO2920" s="46">
        <v>7100</v>
      </c>
      <c r="AP2920" s="46">
        <v>13786.281999999999</v>
      </c>
      <c r="AQ2920" s="46">
        <v>1.9419999999999999</v>
      </c>
      <c r="AR2920" s="46">
        <v>45392.6</v>
      </c>
      <c r="AS2920" s="46">
        <v>191</v>
      </c>
      <c r="AT2920" s="46">
        <v>94900</v>
      </c>
      <c r="AU2920" s="46">
        <v>790815</v>
      </c>
      <c r="AV2920" s="46">
        <v>8.3330000000000002</v>
      </c>
      <c r="AW2920" s="46">
        <v>219</v>
      </c>
      <c r="AX2920" s="46">
        <v>97400</v>
      </c>
      <c r="AY2920" s="46">
        <v>863196.84550000005</v>
      </c>
      <c r="AZ2920" s="46">
        <v>8.8620000000000001</v>
      </c>
      <c r="BA2920" s="46" t="s">
        <v>69</v>
      </c>
      <c r="BB2920" s="46">
        <v>2500</v>
      </c>
      <c r="BC2920" s="46">
        <v>72381.846000000005</v>
      </c>
      <c r="BD2920" s="46">
        <v>28.952999999999999</v>
      </c>
      <c r="BE2920" s="46">
        <v>50202.1</v>
      </c>
      <c r="BF2920" s="46">
        <v>0</v>
      </c>
      <c r="BH2920" s="46">
        <v>86168.127999999997</v>
      </c>
      <c r="BI2920">
        <v>8.98</v>
      </c>
      <c r="BJ2920">
        <v>58595.563999999998</v>
      </c>
      <c r="BK2920">
        <v>6.1</v>
      </c>
      <c r="BL2920">
        <v>4566.66</v>
      </c>
    </row>
    <row r="2921" spans="1:64" x14ac:dyDescent="0.25">
      <c r="A2921" s="136">
        <v>43223</v>
      </c>
      <c r="B2921" s="201" t="s">
        <v>78</v>
      </c>
      <c r="C2921" t="s">
        <v>142</v>
      </c>
      <c r="D2921">
        <v>600</v>
      </c>
      <c r="E2921">
        <v>600</v>
      </c>
      <c r="F2921">
        <v>6.9409999999999998</v>
      </c>
      <c r="G2921">
        <v>1355.39</v>
      </c>
      <c r="H2921">
        <v>32.549999999999997</v>
      </c>
      <c r="I2921" s="309">
        <v>5520</v>
      </c>
      <c r="J2921">
        <v>9.1999999999999993</v>
      </c>
      <c r="K2921" s="133">
        <v>1.1640453714519401E-2</v>
      </c>
      <c r="L2921" s="181">
        <v>6</v>
      </c>
      <c r="M2921" s="133">
        <v>8.7822373087001106E-3</v>
      </c>
      <c r="N2921" s="73">
        <v>1415.3910000000001</v>
      </c>
      <c r="O2921" s="73">
        <v>152.11648435483801</v>
      </c>
      <c r="P2921" s="182">
        <v>0</v>
      </c>
      <c r="Q2921" s="182">
        <v>0</v>
      </c>
      <c r="R2921" s="46">
        <v>0</v>
      </c>
      <c r="S2921" s="46">
        <v>2</v>
      </c>
      <c r="T2921" s="46">
        <v>800</v>
      </c>
      <c r="U2921" s="46">
        <v>10.210000000000001</v>
      </c>
      <c r="V2921" s="46" t="s">
        <v>68</v>
      </c>
      <c r="W2921" s="46">
        <v>800</v>
      </c>
      <c r="X2921" s="46">
        <v>10.210000000000001</v>
      </c>
      <c r="AF2921" s="46">
        <v>14</v>
      </c>
      <c r="AG2921" s="46">
        <v>7000</v>
      </c>
      <c r="AH2921" s="46">
        <v>67625</v>
      </c>
      <c r="AI2921" s="46">
        <v>9.6609999999999996</v>
      </c>
      <c r="AJ2921" s="46">
        <v>15</v>
      </c>
      <c r="AK2921" s="46">
        <v>5600</v>
      </c>
      <c r="AL2921" s="46">
        <v>55310.559000000001</v>
      </c>
      <c r="AM2921" s="46">
        <v>9.8770000000000007</v>
      </c>
      <c r="AN2921" s="46" t="s">
        <v>63</v>
      </c>
      <c r="AO2921" s="46">
        <v>1400</v>
      </c>
      <c r="AP2921" s="46">
        <v>12314.441000000001</v>
      </c>
      <c r="AQ2921" s="46">
        <v>8.7959999999999994</v>
      </c>
      <c r="AR2921" s="46">
        <v>1209.5999999999999</v>
      </c>
      <c r="AS2921" s="46">
        <v>14</v>
      </c>
      <c r="AT2921" s="46">
        <v>7000</v>
      </c>
      <c r="AU2921" s="46">
        <v>67625</v>
      </c>
      <c r="AV2921" s="46">
        <v>9.6609999999999996</v>
      </c>
      <c r="AW2921" s="46">
        <v>17</v>
      </c>
      <c r="AX2921" s="46">
        <v>6400</v>
      </c>
      <c r="AY2921" s="46">
        <v>63460.391000000003</v>
      </c>
      <c r="AZ2921" s="46">
        <v>9.9160000000000004</v>
      </c>
      <c r="BA2921" s="46" t="s">
        <v>63</v>
      </c>
      <c r="BB2921" s="46">
        <v>600</v>
      </c>
      <c r="BC2921" s="46">
        <v>4164.6090000000004</v>
      </c>
      <c r="BD2921" s="46">
        <v>6.9409999999999998</v>
      </c>
      <c r="BE2921" s="46">
        <v>1632</v>
      </c>
      <c r="BF2921" s="46">
        <v>0</v>
      </c>
      <c r="BH2921" s="46">
        <v>8149.8320000000003</v>
      </c>
      <c r="BI2921">
        <v>10.19</v>
      </c>
      <c r="BJ2921">
        <v>-8149.8320000000003</v>
      </c>
      <c r="BK2921">
        <v>-10.19</v>
      </c>
      <c r="BL2921">
        <v>131.47999999999999</v>
      </c>
    </row>
    <row r="2922" spans="1:64" x14ac:dyDescent="0.25">
      <c r="A2922" s="136">
        <v>43223</v>
      </c>
      <c r="B2922" s="201" t="s">
        <v>72</v>
      </c>
      <c r="C2922" t="s">
        <v>130</v>
      </c>
      <c r="D2922">
        <v>1400</v>
      </c>
      <c r="E2922">
        <v>1400</v>
      </c>
      <c r="F2922">
        <v>6.5970000000000004</v>
      </c>
      <c r="G2922">
        <v>410.54</v>
      </c>
      <c r="H2922">
        <v>4.4400000000000004</v>
      </c>
      <c r="I2922" s="309">
        <v>9646</v>
      </c>
      <c r="J2922">
        <v>6.89</v>
      </c>
      <c r="K2922" s="133">
        <v>2.03412711105533E-2</v>
      </c>
      <c r="L2922" s="181">
        <v>98</v>
      </c>
      <c r="M2922" s="133">
        <v>1.94755334533144E-2</v>
      </c>
      <c r="N2922" s="73">
        <v>-3912.82799999999</v>
      </c>
      <c r="O2922" s="73">
        <v>25.663054910717499</v>
      </c>
      <c r="P2922" s="182">
        <v>0</v>
      </c>
      <c r="Q2922" s="182">
        <v>0</v>
      </c>
      <c r="R2922" s="46">
        <v>0</v>
      </c>
      <c r="S2922" s="46">
        <v>17</v>
      </c>
      <c r="T2922" s="46">
        <v>6800</v>
      </c>
      <c r="U2922" s="46">
        <v>7.3150000000000004</v>
      </c>
      <c r="V2922" s="46" t="s">
        <v>68</v>
      </c>
      <c r="W2922" s="46">
        <v>6800</v>
      </c>
      <c r="X2922" s="46">
        <v>7.3150000000000004</v>
      </c>
      <c r="AF2922" s="46">
        <v>37</v>
      </c>
      <c r="AG2922" s="46">
        <v>18400</v>
      </c>
      <c r="AH2922" s="46">
        <v>137152</v>
      </c>
      <c r="AI2922" s="46">
        <v>7.4539999999999997</v>
      </c>
      <c r="AJ2922" s="46">
        <v>37</v>
      </c>
      <c r="AK2922" s="46">
        <v>16800</v>
      </c>
      <c r="AL2922" s="46">
        <v>79043.756999999998</v>
      </c>
      <c r="AM2922" s="46">
        <v>4.7050000000000001</v>
      </c>
      <c r="AN2922" s="46" t="s">
        <v>63</v>
      </c>
      <c r="AO2922" s="46">
        <v>1600</v>
      </c>
      <c r="AP2922" s="46">
        <v>58108.243000000002</v>
      </c>
      <c r="AQ2922" s="46">
        <v>36.317999999999998</v>
      </c>
      <c r="AR2922" s="46">
        <v>-46183.199999999997</v>
      </c>
      <c r="AS2922" s="46">
        <v>37</v>
      </c>
      <c r="AT2922" s="46">
        <v>18400</v>
      </c>
      <c r="AU2922" s="46">
        <v>137152</v>
      </c>
      <c r="AV2922" s="46">
        <v>7.4539999999999997</v>
      </c>
      <c r="AW2922" s="46">
        <v>55</v>
      </c>
      <c r="AX2922" s="46">
        <v>24100</v>
      </c>
      <c r="AY2922" s="46">
        <v>128649.01700000001</v>
      </c>
      <c r="AZ2922" s="46">
        <v>5.3380000000000001</v>
      </c>
      <c r="BA2922" s="46" t="s">
        <v>69</v>
      </c>
      <c r="BB2922" s="46">
        <v>5700</v>
      </c>
      <c r="BC2922" s="46">
        <v>8502.9830000000002</v>
      </c>
      <c r="BD2922" s="46">
        <v>1.492</v>
      </c>
      <c r="BE2922" s="46">
        <v>-38934.400000000001</v>
      </c>
      <c r="BF2922" s="46">
        <v>0</v>
      </c>
      <c r="BH2922" s="46">
        <v>49605.26</v>
      </c>
      <c r="BI2922">
        <v>7.29</v>
      </c>
      <c r="BJ2922">
        <v>-49605.26</v>
      </c>
      <c r="BK2922">
        <v>-7.29</v>
      </c>
      <c r="BL2922">
        <v>-6702.93</v>
      </c>
    </row>
    <row r="2923" spans="1:64" x14ac:dyDescent="0.25">
      <c r="A2923" s="136">
        <v>43223</v>
      </c>
      <c r="B2923" s="201" t="s">
        <v>70</v>
      </c>
      <c r="C2923" t="s">
        <v>131</v>
      </c>
      <c r="D2923">
        <v>11700</v>
      </c>
      <c r="E2923">
        <v>11700</v>
      </c>
      <c r="F2923">
        <v>11.583</v>
      </c>
      <c r="G2923">
        <v>-28698.27</v>
      </c>
      <c r="H2923">
        <v>-21.18</v>
      </c>
      <c r="I2923" s="309">
        <v>106821</v>
      </c>
      <c r="J2923">
        <v>9.1300000000000008</v>
      </c>
      <c r="K2923" s="133">
        <v>0.225261758376572</v>
      </c>
      <c r="L2923" s="181">
        <v>117</v>
      </c>
      <c r="M2923" s="133">
        <v>0.28578003439500999</v>
      </c>
      <c r="N2923" s="73">
        <v>-28585.271000000001</v>
      </c>
      <c r="O2923" s="73">
        <v>-3125.9276109956299</v>
      </c>
      <c r="P2923" s="182">
        <v>3</v>
      </c>
      <c r="Q2923" s="182">
        <v>1500</v>
      </c>
      <c r="R2923" s="46">
        <v>8.4169999999999998</v>
      </c>
      <c r="S2923" s="46">
        <v>6</v>
      </c>
      <c r="T2923" s="46">
        <v>2500</v>
      </c>
      <c r="U2923" s="46">
        <v>9.0239999999999991</v>
      </c>
      <c r="V2923" s="46" t="s">
        <v>68</v>
      </c>
      <c r="W2923" s="46">
        <v>1000</v>
      </c>
      <c r="X2923" s="46">
        <v>9.9350000000000005</v>
      </c>
      <c r="AF2923" s="46">
        <v>137</v>
      </c>
      <c r="AG2923" s="46">
        <v>70100</v>
      </c>
      <c r="AH2923" s="46">
        <v>908028</v>
      </c>
      <c r="AI2923" s="46">
        <v>12.952999999999999</v>
      </c>
      <c r="AJ2923" s="46">
        <v>143</v>
      </c>
      <c r="AK2923" s="46">
        <v>57400</v>
      </c>
      <c r="AL2923" s="46">
        <v>762231.29</v>
      </c>
      <c r="AM2923" s="46">
        <v>13.279</v>
      </c>
      <c r="AN2923" s="46" t="s">
        <v>63</v>
      </c>
      <c r="AO2923" s="46">
        <v>12700</v>
      </c>
      <c r="AP2923" s="46">
        <v>145796.71</v>
      </c>
      <c r="AQ2923" s="46">
        <v>11.48</v>
      </c>
      <c r="AR2923" s="46">
        <v>18712.400000000001</v>
      </c>
      <c r="AS2923" s="46">
        <v>140</v>
      </c>
      <c r="AT2923" s="46">
        <v>71600</v>
      </c>
      <c r="AU2923" s="46">
        <v>920668</v>
      </c>
      <c r="AV2923" s="46">
        <v>12.858000000000001</v>
      </c>
      <c r="AW2923" s="46">
        <v>150</v>
      </c>
      <c r="AX2923" s="46">
        <v>59900</v>
      </c>
      <c r="AY2923" s="46">
        <v>785144.72900000005</v>
      </c>
      <c r="AZ2923" s="46">
        <v>13.108000000000001</v>
      </c>
      <c r="BA2923" s="46" t="s">
        <v>63</v>
      </c>
      <c r="BB2923" s="46">
        <v>11700</v>
      </c>
      <c r="BC2923" s="46">
        <v>135523.27100000001</v>
      </c>
      <c r="BD2923" s="46">
        <v>11.583</v>
      </c>
      <c r="BE2923" s="46">
        <v>14975</v>
      </c>
      <c r="BF2923" s="46">
        <v>12640</v>
      </c>
      <c r="BG2923" s="46">
        <v>8.43</v>
      </c>
      <c r="BH2923" s="46">
        <v>22913.4390000001</v>
      </c>
      <c r="BI2923">
        <v>9.17</v>
      </c>
      <c r="BJ2923">
        <v>-10273.439</v>
      </c>
      <c r="BK2923">
        <v>-10.27</v>
      </c>
      <c r="BL2923">
        <v>2049.5500000000002</v>
      </c>
    </row>
    <row r="2924" spans="1:64" x14ac:dyDescent="0.25">
      <c r="A2924" s="136">
        <v>43223</v>
      </c>
      <c r="B2924" s="201" t="s">
        <v>137</v>
      </c>
      <c r="C2924" t="s">
        <v>149</v>
      </c>
      <c r="D2924">
        <v>100</v>
      </c>
      <c r="E2924">
        <v>100</v>
      </c>
      <c r="F2924">
        <v>-130.48500000000001</v>
      </c>
      <c r="G2924">
        <v>17454.5</v>
      </c>
      <c r="H2924">
        <v>0</v>
      </c>
      <c r="I2924" s="309">
        <v>4406</v>
      </c>
      <c r="J2924">
        <v>44.06</v>
      </c>
      <c r="K2924" s="133">
        <v>9.2912751931471804E-3</v>
      </c>
      <c r="L2924" s="181">
        <v>401</v>
      </c>
      <c r="M2924" s="133">
        <v>0</v>
      </c>
    </row>
    <row r="2925" spans="1:64" x14ac:dyDescent="0.25">
      <c r="A2925" s="136">
        <v>43223</v>
      </c>
      <c r="B2925" s="201" t="s">
        <v>835</v>
      </c>
      <c r="C2925" t="s">
        <v>839</v>
      </c>
      <c r="I2925" s="309">
        <v>4204.57</v>
      </c>
      <c r="K2925" s="133">
        <v>8.8665040714595595E-3</v>
      </c>
      <c r="L2925" s="181">
        <v>0</v>
      </c>
      <c r="M2925" s="133">
        <v>0.114895327015772</v>
      </c>
    </row>
    <row r="2926" spans="1:64" x14ac:dyDescent="0.25">
      <c r="A2926" s="136">
        <v>43224</v>
      </c>
      <c r="B2926" s="201" t="s">
        <v>132</v>
      </c>
      <c r="C2926" t="s">
        <v>123</v>
      </c>
      <c r="D2926">
        <v>5027975</v>
      </c>
      <c r="E2926">
        <v>5027975</v>
      </c>
      <c r="F2926">
        <v>8.9999999999999993E-3</v>
      </c>
      <c r="G2926">
        <v>3525.31</v>
      </c>
      <c r="H2926">
        <v>11.11</v>
      </c>
      <c r="I2926" s="309">
        <v>50279.75</v>
      </c>
      <c r="J2926">
        <v>0.01</v>
      </c>
      <c r="K2926" s="133">
        <v>0.106373973738869</v>
      </c>
      <c r="L2926" s="181">
        <v>0</v>
      </c>
      <c r="M2926" s="133">
        <v>0</v>
      </c>
    </row>
    <row r="2927" spans="1:64" x14ac:dyDescent="0.25">
      <c r="A2927" s="136">
        <v>43224</v>
      </c>
      <c r="B2927" s="201" t="s">
        <v>61</v>
      </c>
      <c r="C2927" t="s">
        <v>136</v>
      </c>
      <c r="D2927">
        <v>3900</v>
      </c>
      <c r="E2927">
        <v>3900</v>
      </c>
      <c r="F2927">
        <v>5.0519999999999996</v>
      </c>
      <c r="G2927">
        <v>-1879.1</v>
      </c>
      <c r="H2927">
        <v>-9.5399999999999991</v>
      </c>
      <c r="I2927" s="309">
        <v>17823</v>
      </c>
      <c r="J2927">
        <v>4.57</v>
      </c>
      <c r="K2927" s="133">
        <v>3.7707095479748001E-2</v>
      </c>
      <c r="L2927" s="181">
        <v>-78</v>
      </c>
      <c r="M2927" s="133">
        <v>4.1682599217390003E-2</v>
      </c>
      <c r="N2927" s="73">
        <v>-1807.1410000000001</v>
      </c>
      <c r="O2927" s="73">
        <v>-393.515779847494</v>
      </c>
      <c r="P2927" s="182">
        <v>6</v>
      </c>
      <c r="Q2927" s="182">
        <v>3000</v>
      </c>
      <c r="R2927" s="46">
        <v>5.0350000000000001</v>
      </c>
      <c r="S2927" s="46">
        <v>0</v>
      </c>
      <c r="T2927" s="46">
        <v>0</v>
      </c>
      <c r="U2927" s="46">
        <v>0</v>
      </c>
      <c r="V2927" s="46" t="s">
        <v>62</v>
      </c>
      <c r="W2927" s="46">
        <v>3000</v>
      </c>
      <c r="X2927" s="46">
        <v>5.0350000000000001</v>
      </c>
      <c r="AF2927" s="46">
        <v>10</v>
      </c>
      <c r="AG2927" s="46">
        <v>5000</v>
      </c>
      <c r="AH2927" s="46">
        <v>26378</v>
      </c>
      <c r="AI2927" s="46">
        <v>5.2759999999999998</v>
      </c>
      <c r="AJ2927" s="46">
        <v>10</v>
      </c>
      <c r="AK2927" s="46">
        <v>4100</v>
      </c>
      <c r="AL2927" s="46">
        <v>21806.659</v>
      </c>
      <c r="AM2927" s="46">
        <v>5.319</v>
      </c>
      <c r="AN2927" s="46" t="s">
        <v>63</v>
      </c>
      <c r="AO2927" s="46">
        <v>900</v>
      </c>
      <c r="AP2927" s="46">
        <v>4571.3410000000003</v>
      </c>
      <c r="AQ2927" s="46">
        <v>5.0789999999999997</v>
      </c>
      <c r="AR2927" s="46">
        <v>176.3</v>
      </c>
      <c r="AS2927" s="46">
        <v>16</v>
      </c>
      <c r="AT2927" s="46">
        <v>8000</v>
      </c>
      <c r="AU2927" s="46">
        <v>41514.800000000003</v>
      </c>
      <c r="AV2927" s="46">
        <v>5.1890000000000001</v>
      </c>
      <c r="AW2927" s="46">
        <v>10</v>
      </c>
      <c r="AX2927" s="46">
        <v>4100</v>
      </c>
      <c r="AY2927" s="46">
        <v>21806.659</v>
      </c>
      <c r="AZ2927" s="46">
        <v>5.319</v>
      </c>
      <c r="BA2927" s="46" t="s">
        <v>63</v>
      </c>
      <c r="BB2927" s="46">
        <v>3900</v>
      </c>
      <c r="BC2927" s="46">
        <v>19708.141</v>
      </c>
      <c r="BD2927" s="46">
        <v>5.0529999999999999</v>
      </c>
      <c r="BE2927" s="46">
        <v>533</v>
      </c>
      <c r="BF2927" s="46">
        <v>15136.8</v>
      </c>
      <c r="BG2927" s="46">
        <v>5.05</v>
      </c>
      <c r="BH2927" s="46">
        <v>0</v>
      </c>
      <c r="BJ2927">
        <v>15136.8</v>
      </c>
      <c r="BK2927">
        <v>5.05</v>
      </c>
      <c r="BL2927">
        <v>38.58</v>
      </c>
    </row>
    <row r="2928" spans="1:64" x14ac:dyDescent="0.25">
      <c r="A2928" s="136">
        <v>43224</v>
      </c>
      <c r="B2928" s="201" t="s">
        <v>124</v>
      </c>
      <c r="C2928" t="s">
        <v>125</v>
      </c>
      <c r="D2928">
        <v>100</v>
      </c>
      <c r="E2928">
        <v>100</v>
      </c>
      <c r="F2928">
        <v>-53.579000000000001</v>
      </c>
      <c r="G2928">
        <v>5948.9</v>
      </c>
      <c r="H2928">
        <v>0</v>
      </c>
      <c r="I2928" s="309">
        <v>591</v>
      </c>
      <c r="J2928">
        <v>5.91</v>
      </c>
      <c r="K2928" s="133">
        <v>1.25034469104702E-3</v>
      </c>
      <c r="L2928" s="181">
        <v>-4</v>
      </c>
      <c r="M2928" s="133">
        <v>0</v>
      </c>
    </row>
    <row r="2929" spans="1:64" x14ac:dyDescent="0.25">
      <c r="A2929" s="136">
        <v>43224</v>
      </c>
      <c r="B2929" s="201" t="s">
        <v>71</v>
      </c>
      <c r="C2929" t="s">
        <v>126</v>
      </c>
      <c r="D2929">
        <v>1700</v>
      </c>
      <c r="E2929">
        <v>1700</v>
      </c>
      <c r="F2929">
        <v>5.2080000000000002</v>
      </c>
      <c r="G2929">
        <v>2247.67</v>
      </c>
      <c r="H2929">
        <v>25.39</v>
      </c>
      <c r="I2929" s="309">
        <v>11101</v>
      </c>
      <c r="J2929">
        <v>6.53</v>
      </c>
      <c r="K2929" s="133">
        <v>2.3485746895622599E-2</v>
      </c>
      <c r="L2929" s="181">
        <v>-34</v>
      </c>
      <c r="M2929" s="133">
        <v>1.8730480818252598E-2</v>
      </c>
      <c r="N2929" s="73">
        <v>2161.2060000000001</v>
      </c>
      <c r="O2929" s="73">
        <v>333.35268472222202</v>
      </c>
      <c r="P2929" s="182">
        <v>0</v>
      </c>
      <c r="Q2929" s="182">
        <v>0</v>
      </c>
      <c r="R2929" s="46">
        <v>0</v>
      </c>
      <c r="S2929" s="46">
        <v>4</v>
      </c>
      <c r="T2929" s="46">
        <v>1500</v>
      </c>
      <c r="U2929" s="46">
        <v>6.7679999999999998</v>
      </c>
      <c r="V2929" s="46" t="s">
        <v>68</v>
      </c>
      <c r="W2929" s="46">
        <v>1500</v>
      </c>
      <c r="X2929" s="46">
        <v>6.7679999999999998</v>
      </c>
      <c r="AF2929" s="46">
        <v>45</v>
      </c>
      <c r="AG2929" s="46">
        <v>22600</v>
      </c>
      <c r="AH2929" s="46">
        <v>144534.56</v>
      </c>
      <c r="AI2929" s="46">
        <v>6.3949999999999996</v>
      </c>
      <c r="AJ2929" s="46">
        <v>43</v>
      </c>
      <c r="AK2929" s="46">
        <v>19400</v>
      </c>
      <c r="AL2929" s="46">
        <v>125389.618</v>
      </c>
      <c r="AM2929" s="46">
        <v>6.4630000000000001</v>
      </c>
      <c r="AN2929" s="46" t="s">
        <v>63</v>
      </c>
      <c r="AO2929" s="46">
        <v>3200</v>
      </c>
      <c r="AP2929" s="46">
        <v>19144.941999999999</v>
      </c>
      <c r="AQ2929" s="46">
        <v>5.9829999999999997</v>
      </c>
      <c r="AR2929" s="46">
        <v>1319.2</v>
      </c>
      <c r="AS2929" s="46">
        <v>45</v>
      </c>
      <c r="AT2929" s="46">
        <v>22600</v>
      </c>
      <c r="AU2929" s="46">
        <v>144534.56</v>
      </c>
      <c r="AV2929" s="46">
        <v>6.3949999999999996</v>
      </c>
      <c r="AW2929" s="46">
        <v>47</v>
      </c>
      <c r="AX2929" s="46">
        <v>20900</v>
      </c>
      <c r="AY2929" s="46">
        <v>135518.56599999999</v>
      </c>
      <c r="AZ2929" s="46">
        <v>6.484</v>
      </c>
      <c r="BA2929" s="46" t="s">
        <v>63</v>
      </c>
      <c r="BB2929" s="46">
        <v>1700</v>
      </c>
      <c r="BC2929" s="46">
        <v>9015.9940000000006</v>
      </c>
      <c r="BD2929" s="46">
        <v>5.3040000000000003</v>
      </c>
      <c r="BE2929" s="46">
        <v>1860.1</v>
      </c>
      <c r="BF2929" s="46">
        <v>0</v>
      </c>
      <c r="BH2929" s="46">
        <v>10128.948</v>
      </c>
      <c r="BI2929">
        <v>6.75</v>
      </c>
      <c r="BJ2929">
        <v>-10128.948</v>
      </c>
      <c r="BK2929">
        <v>-6.75</v>
      </c>
      <c r="BL2929">
        <v>202.02</v>
      </c>
    </row>
    <row r="2930" spans="1:64" x14ac:dyDescent="0.25">
      <c r="A2930" s="136">
        <v>43224</v>
      </c>
      <c r="B2930" s="201" t="s">
        <v>79</v>
      </c>
      <c r="C2930" t="s">
        <v>143</v>
      </c>
      <c r="D2930">
        <v>5500</v>
      </c>
      <c r="E2930">
        <v>5500</v>
      </c>
      <c r="F2930">
        <v>16.326000000000001</v>
      </c>
      <c r="G2930">
        <v>-9658.6</v>
      </c>
      <c r="H2930">
        <v>-10.75</v>
      </c>
      <c r="I2930" s="309">
        <v>80135</v>
      </c>
      <c r="J2930">
        <v>14.57</v>
      </c>
      <c r="K2930" s="133">
        <v>0.16953700815068201</v>
      </c>
      <c r="L2930" s="181">
        <v>605</v>
      </c>
      <c r="M2930" s="133">
        <v>0.189971152368866</v>
      </c>
      <c r="N2930" s="73">
        <v>-9333.7120000001305</v>
      </c>
      <c r="O2930" s="73">
        <v>-637.66542337663202</v>
      </c>
      <c r="P2930" s="182">
        <v>8</v>
      </c>
      <c r="Q2930" s="182">
        <v>4500</v>
      </c>
      <c r="R2930" s="46">
        <v>15.353999999999999</v>
      </c>
      <c r="S2930" s="46">
        <v>1</v>
      </c>
      <c r="T2930" s="46">
        <v>400</v>
      </c>
      <c r="U2930" s="46">
        <v>14.63</v>
      </c>
      <c r="V2930" s="46" t="s">
        <v>62</v>
      </c>
      <c r="W2930" s="46">
        <v>4100</v>
      </c>
      <c r="X2930" s="46">
        <v>15.425000000000001</v>
      </c>
      <c r="AF2930" s="46">
        <v>14</v>
      </c>
      <c r="AG2930" s="46">
        <v>7000</v>
      </c>
      <c r="AH2930" s="46">
        <v>110704.2</v>
      </c>
      <c r="AI2930" s="46">
        <v>15.815</v>
      </c>
      <c r="AJ2930" s="46">
        <v>14</v>
      </c>
      <c r="AK2930" s="46">
        <v>5600</v>
      </c>
      <c r="AL2930" s="46">
        <v>84202.279999999897</v>
      </c>
      <c r="AM2930" s="46">
        <v>15.036</v>
      </c>
      <c r="AN2930" s="46" t="s">
        <v>63</v>
      </c>
      <c r="AO2930" s="46">
        <v>1400</v>
      </c>
      <c r="AP2930" s="46">
        <v>26501.919999999998</v>
      </c>
      <c r="AQ2930" s="46">
        <v>18.93</v>
      </c>
      <c r="AR2930" s="46">
        <v>-4362.3999999999996</v>
      </c>
      <c r="AS2930" s="46">
        <v>22</v>
      </c>
      <c r="AT2930" s="46">
        <v>11500</v>
      </c>
      <c r="AU2930" s="46">
        <v>179841.9</v>
      </c>
      <c r="AV2930" s="46">
        <v>15.638</v>
      </c>
      <c r="AW2930" s="46">
        <v>15</v>
      </c>
      <c r="AX2930" s="46">
        <v>6000</v>
      </c>
      <c r="AY2930" s="46">
        <v>90043.187999999893</v>
      </c>
      <c r="AZ2930" s="46">
        <v>15.007</v>
      </c>
      <c r="BA2930" s="46" t="s">
        <v>63</v>
      </c>
      <c r="BB2930" s="46">
        <v>5500</v>
      </c>
      <c r="BC2930" s="46">
        <v>89798.712</v>
      </c>
      <c r="BD2930" s="46">
        <v>16.327000000000002</v>
      </c>
      <c r="BE2930" s="46">
        <v>-3786</v>
      </c>
      <c r="BF2930" s="46">
        <v>69137.699999999895</v>
      </c>
      <c r="BG2930" s="46">
        <v>15.36</v>
      </c>
      <c r="BH2930" s="46">
        <v>5840.9080000000004</v>
      </c>
      <c r="BI2930">
        <v>14.6</v>
      </c>
      <c r="BJ2930">
        <v>63296.792000000001</v>
      </c>
      <c r="BK2930">
        <v>15.44</v>
      </c>
      <c r="BL2930">
        <v>-299.41000000000003</v>
      </c>
    </row>
    <row r="2931" spans="1:64" x14ac:dyDescent="0.25">
      <c r="A2931" s="136">
        <v>43224</v>
      </c>
      <c r="B2931" s="201" t="s">
        <v>65</v>
      </c>
      <c r="C2931" t="s">
        <v>127</v>
      </c>
      <c r="D2931">
        <v>18300</v>
      </c>
      <c r="E2931">
        <v>17800</v>
      </c>
      <c r="F2931">
        <v>9.3109999999999999</v>
      </c>
      <c r="G2931">
        <v>-10258.31</v>
      </c>
      <c r="H2931">
        <v>-6.02</v>
      </c>
      <c r="I2931" s="309">
        <v>160125</v>
      </c>
      <c r="J2931">
        <v>8.75</v>
      </c>
      <c r="K2931" s="133">
        <v>0.33876724814535403</v>
      </c>
      <c r="L2931" s="181">
        <v>-2344</v>
      </c>
      <c r="M2931" s="133">
        <v>0.36047016430036999</v>
      </c>
      <c r="N2931" s="73">
        <v>-13625.731</v>
      </c>
      <c r="O2931" s="73">
        <v>-1061.3074330966101</v>
      </c>
      <c r="P2931" s="182">
        <v>5</v>
      </c>
      <c r="Q2931" s="182">
        <v>2500</v>
      </c>
      <c r="R2931" s="46">
        <v>8.9960000000000004</v>
      </c>
      <c r="S2931" s="46">
        <v>8</v>
      </c>
      <c r="T2931" s="46">
        <v>3300</v>
      </c>
      <c r="U2931" s="46">
        <v>12.547000000000001</v>
      </c>
      <c r="V2931" s="46" t="s">
        <v>68</v>
      </c>
      <c r="W2931" s="46">
        <v>800</v>
      </c>
      <c r="X2931" s="46">
        <v>23.643999999999998</v>
      </c>
      <c r="AF2931" s="46">
        <v>185</v>
      </c>
      <c r="AG2931" s="46">
        <v>98200</v>
      </c>
      <c r="AH2931" s="46">
        <v>1122220.2309999999</v>
      </c>
      <c r="AI2931" s="46">
        <v>11.428000000000001</v>
      </c>
      <c r="AJ2931" s="46">
        <v>204</v>
      </c>
      <c r="AK2931" s="46">
        <v>88300</v>
      </c>
      <c r="AL2931" s="46">
        <v>932193.902</v>
      </c>
      <c r="AM2931" s="46">
        <v>10.557</v>
      </c>
      <c r="AN2931" s="46" t="s">
        <v>63</v>
      </c>
      <c r="AO2931" s="46">
        <v>9900</v>
      </c>
      <c r="AP2931" s="46">
        <v>190026.329</v>
      </c>
      <c r="AQ2931" s="46">
        <v>19.195</v>
      </c>
      <c r="AR2931" s="46">
        <v>-76909.3</v>
      </c>
      <c r="AS2931" s="46">
        <v>191</v>
      </c>
      <c r="AT2931" s="46">
        <v>100800</v>
      </c>
      <c r="AU2931" s="46">
        <v>1146023.2309999999</v>
      </c>
      <c r="AV2931" s="46">
        <v>11.369</v>
      </c>
      <c r="AW2931" s="46">
        <v>212</v>
      </c>
      <c r="AX2931" s="46">
        <v>91600</v>
      </c>
      <c r="AY2931" s="46">
        <v>973516.49800000002</v>
      </c>
      <c r="AZ2931" s="46">
        <v>10.628</v>
      </c>
      <c r="BA2931" s="46" t="s">
        <v>63</v>
      </c>
      <c r="BB2931" s="46">
        <v>9200</v>
      </c>
      <c r="BC2931" s="46">
        <v>172506.73300000001</v>
      </c>
      <c r="BD2931" s="46">
        <v>18.751000000000001</v>
      </c>
      <c r="BE2931" s="46">
        <v>-67875.600000000006</v>
      </c>
      <c r="BF2931" s="46">
        <v>23803</v>
      </c>
      <c r="BG2931" s="46">
        <v>9.52</v>
      </c>
      <c r="BH2931" s="46">
        <v>41322.5960000001</v>
      </c>
      <c r="BI2931">
        <v>12.52</v>
      </c>
      <c r="BJ2931">
        <v>-17519.596000000001</v>
      </c>
      <c r="BK2931">
        <v>-21.9</v>
      </c>
      <c r="BL2931">
        <v>-8789.6299999999992</v>
      </c>
    </row>
    <row r="2932" spans="1:64" x14ac:dyDescent="0.25">
      <c r="A2932" s="136">
        <v>43224</v>
      </c>
      <c r="B2932" s="201" t="s">
        <v>77</v>
      </c>
      <c r="C2932" t="s">
        <v>128</v>
      </c>
      <c r="D2932">
        <v>4300</v>
      </c>
      <c r="E2932">
        <v>4300</v>
      </c>
      <c r="F2932">
        <v>5.9779999999999998</v>
      </c>
      <c r="G2932">
        <v>-595.27</v>
      </c>
      <c r="H2932">
        <v>-2.31</v>
      </c>
      <c r="I2932" s="309">
        <v>25112</v>
      </c>
      <c r="J2932">
        <v>5.84</v>
      </c>
      <c r="K2932" s="133">
        <v>5.3128013335994498E-2</v>
      </c>
      <c r="L2932" s="181">
        <v>0</v>
      </c>
      <c r="M2932" s="133">
        <v>5.4387391820325398E-2</v>
      </c>
      <c r="N2932" s="73">
        <v>-1272.2139999999999</v>
      </c>
      <c r="O2932" s="73">
        <v>-133.073774655173</v>
      </c>
      <c r="P2932" s="182">
        <v>6</v>
      </c>
      <c r="Q2932" s="182">
        <v>3000</v>
      </c>
      <c r="R2932" s="46">
        <v>6.798</v>
      </c>
      <c r="S2932" s="46">
        <v>0</v>
      </c>
      <c r="T2932" s="46">
        <v>0</v>
      </c>
      <c r="U2932" s="46">
        <v>0</v>
      </c>
      <c r="V2932" s="46" t="s">
        <v>62</v>
      </c>
      <c r="W2932" s="46">
        <v>3000</v>
      </c>
      <c r="X2932" s="46">
        <v>6.798</v>
      </c>
      <c r="AF2932" s="46">
        <v>39</v>
      </c>
      <c r="AG2932" s="46">
        <v>19500</v>
      </c>
      <c r="AH2932" s="46">
        <v>142169</v>
      </c>
      <c r="AI2932" s="46">
        <v>7.2910000000000004</v>
      </c>
      <c r="AJ2932" s="46">
        <v>39</v>
      </c>
      <c r="AK2932" s="46">
        <v>18200</v>
      </c>
      <c r="AL2932" s="46">
        <v>136881.78599999999</v>
      </c>
      <c r="AM2932" s="46">
        <v>7.5209999999999999</v>
      </c>
      <c r="AN2932" s="46" t="s">
        <v>63</v>
      </c>
      <c r="AO2932" s="46">
        <v>1300</v>
      </c>
      <c r="AP2932" s="46">
        <v>5287.2139999999999</v>
      </c>
      <c r="AQ2932" s="46">
        <v>4.0670000000000002</v>
      </c>
      <c r="AR2932" s="46">
        <v>4186</v>
      </c>
      <c r="AS2932" s="46">
        <v>45</v>
      </c>
      <c r="AT2932" s="46">
        <v>22500</v>
      </c>
      <c r="AU2932" s="46">
        <v>162594</v>
      </c>
      <c r="AV2932" s="46">
        <v>7.226</v>
      </c>
      <c r="AW2932" s="46">
        <v>39</v>
      </c>
      <c r="AX2932" s="46">
        <v>18200</v>
      </c>
      <c r="AY2932" s="46">
        <v>136881.78599999999</v>
      </c>
      <c r="AZ2932" s="46">
        <v>7.5209999999999999</v>
      </c>
      <c r="BA2932" s="46" t="s">
        <v>63</v>
      </c>
      <c r="BB2932" s="46">
        <v>4300</v>
      </c>
      <c r="BC2932" s="46">
        <v>25712.214</v>
      </c>
      <c r="BD2932" s="46">
        <v>5.98</v>
      </c>
      <c r="BE2932" s="46">
        <v>5369</v>
      </c>
      <c r="BF2932" s="46">
        <v>20425</v>
      </c>
      <c r="BG2932" s="46">
        <v>6.81</v>
      </c>
      <c r="BH2932" s="46">
        <v>0</v>
      </c>
      <c r="BJ2932">
        <v>20425</v>
      </c>
      <c r="BK2932">
        <v>6.81</v>
      </c>
      <c r="BL2932">
        <v>716.78</v>
      </c>
    </row>
    <row r="2933" spans="1:64" x14ac:dyDescent="0.25">
      <c r="A2933" s="136">
        <v>43224</v>
      </c>
      <c r="B2933" s="201" t="s">
        <v>67</v>
      </c>
      <c r="C2933" t="s">
        <v>129</v>
      </c>
      <c r="D2933">
        <v>100</v>
      </c>
      <c r="E2933">
        <v>100</v>
      </c>
      <c r="F2933">
        <v>-32.534999999999997</v>
      </c>
      <c r="G2933">
        <v>4244.5</v>
      </c>
      <c r="H2933">
        <v>0</v>
      </c>
      <c r="I2933" s="309">
        <v>991</v>
      </c>
      <c r="J2933">
        <v>9.91</v>
      </c>
      <c r="K2933" s="133">
        <v>2.0966016731431402E-3</v>
      </c>
      <c r="L2933" s="181">
        <v>-3</v>
      </c>
      <c r="M2933" s="133">
        <v>0</v>
      </c>
      <c r="N2933" s="73">
        <v>4250.7294999997503</v>
      </c>
      <c r="O2933" s="73">
        <v>426.13883001502302</v>
      </c>
      <c r="P2933" s="182">
        <v>0</v>
      </c>
      <c r="Q2933" s="182">
        <v>0</v>
      </c>
      <c r="R2933" s="46">
        <v>0</v>
      </c>
      <c r="S2933" s="46">
        <v>24</v>
      </c>
      <c r="T2933" s="46">
        <v>9600</v>
      </c>
      <c r="U2933" s="46">
        <v>8.9969999999999999</v>
      </c>
      <c r="V2933" s="46" t="s">
        <v>68</v>
      </c>
      <c r="W2933" s="46">
        <v>9600</v>
      </c>
      <c r="X2933" s="46">
        <v>8.9969999999999999</v>
      </c>
      <c r="AF2933" s="46">
        <v>191</v>
      </c>
      <c r="AG2933" s="46">
        <v>94900</v>
      </c>
      <c r="AH2933" s="46">
        <v>790815</v>
      </c>
      <c r="AI2933" s="46">
        <v>8.3330000000000002</v>
      </c>
      <c r="AJ2933" s="46">
        <v>195</v>
      </c>
      <c r="AK2933" s="46">
        <v>87800</v>
      </c>
      <c r="AL2933" s="46">
        <v>777028.71750000003</v>
      </c>
      <c r="AM2933" s="46">
        <v>8.85</v>
      </c>
      <c r="AN2933" s="46" t="s">
        <v>63</v>
      </c>
      <c r="AO2933" s="46">
        <v>7100</v>
      </c>
      <c r="AP2933" s="46">
        <v>13786.281999999999</v>
      </c>
      <c r="AQ2933" s="46">
        <v>1.9419999999999999</v>
      </c>
      <c r="AR2933" s="46">
        <v>45392.6</v>
      </c>
      <c r="AS2933" s="46">
        <v>191</v>
      </c>
      <c r="AT2933" s="46">
        <v>94900</v>
      </c>
      <c r="AU2933" s="46">
        <v>790815</v>
      </c>
      <c r="AV2933" s="46">
        <v>8.3330000000000002</v>
      </c>
      <c r="AW2933" s="46">
        <v>219</v>
      </c>
      <c r="AX2933" s="46">
        <v>97400</v>
      </c>
      <c r="AY2933" s="46">
        <v>863196.84550000005</v>
      </c>
      <c r="AZ2933" s="46">
        <v>8.8620000000000001</v>
      </c>
      <c r="BA2933" s="46" t="s">
        <v>69</v>
      </c>
      <c r="BB2933" s="46">
        <v>2500</v>
      </c>
      <c r="BC2933" s="46">
        <v>72381.846000000005</v>
      </c>
      <c r="BD2933" s="46">
        <v>28.952999999999999</v>
      </c>
      <c r="BE2933" s="46">
        <v>50202.1</v>
      </c>
      <c r="BF2933" s="46">
        <v>0</v>
      </c>
      <c r="BH2933" s="46">
        <v>86168.127999999997</v>
      </c>
      <c r="BI2933">
        <v>8.98</v>
      </c>
      <c r="BJ2933">
        <v>58595.563999999998</v>
      </c>
      <c r="BK2933">
        <v>6.1</v>
      </c>
      <c r="BL2933">
        <v>4580.4799999999996</v>
      </c>
    </row>
    <row r="2934" spans="1:64" x14ac:dyDescent="0.25">
      <c r="A2934" s="136">
        <v>43224</v>
      </c>
      <c r="B2934" s="201" t="s">
        <v>78</v>
      </c>
      <c r="C2934" t="s">
        <v>142</v>
      </c>
      <c r="D2934">
        <v>600</v>
      </c>
      <c r="E2934">
        <v>600</v>
      </c>
      <c r="F2934">
        <v>6.9409999999999998</v>
      </c>
      <c r="G2934">
        <v>1391.39</v>
      </c>
      <c r="H2934">
        <v>33.409999999999997</v>
      </c>
      <c r="I2934" s="309">
        <v>5556</v>
      </c>
      <c r="J2934">
        <v>9.26</v>
      </c>
      <c r="K2934" s="133">
        <v>1.17545094813151E-2</v>
      </c>
      <c r="L2934" s="181">
        <v>36</v>
      </c>
      <c r="M2934" s="133">
        <v>8.8108257255183307E-3</v>
      </c>
      <c r="N2934" s="73">
        <v>1415.3910000000001</v>
      </c>
      <c r="O2934" s="73">
        <v>152.11648435483801</v>
      </c>
      <c r="P2934" s="182">
        <v>0</v>
      </c>
      <c r="Q2934" s="182">
        <v>0</v>
      </c>
      <c r="R2934" s="46">
        <v>0</v>
      </c>
      <c r="S2934" s="46">
        <v>2</v>
      </c>
      <c r="T2934" s="46">
        <v>800</v>
      </c>
      <c r="U2934" s="46">
        <v>10.210000000000001</v>
      </c>
      <c r="V2934" s="46" t="s">
        <v>68</v>
      </c>
      <c r="W2934" s="46">
        <v>800</v>
      </c>
      <c r="X2934" s="46">
        <v>10.210000000000001</v>
      </c>
      <c r="AF2934" s="46">
        <v>14</v>
      </c>
      <c r="AG2934" s="46">
        <v>7000</v>
      </c>
      <c r="AH2934" s="46">
        <v>67625</v>
      </c>
      <c r="AI2934" s="46">
        <v>9.6609999999999996</v>
      </c>
      <c r="AJ2934" s="46">
        <v>15</v>
      </c>
      <c r="AK2934" s="46">
        <v>5600</v>
      </c>
      <c r="AL2934" s="46">
        <v>55310.559000000001</v>
      </c>
      <c r="AM2934" s="46">
        <v>9.8770000000000007</v>
      </c>
      <c r="AN2934" s="46" t="s">
        <v>63</v>
      </c>
      <c r="AO2934" s="46">
        <v>1400</v>
      </c>
      <c r="AP2934" s="46">
        <v>12314.441000000001</v>
      </c>
      <c r="AQ2934" s="46">
        <v>8.7959999999999994</v>
      </c>
      <c r="AR2934" s="46">
        <v>1209.5999999999999</v>
      </c>
      <c r="AS2934" s="46">
        <v>14</v>
      </c>
      <c r="AT2934" s="46">
        <v>7000</v>
      </c>
      <c r="AU2934" s="46">
        <v>67625</v>
      </c>
      <c r="AV2934" s="46">
        <v>9.6609999999999996</v>
      </c>
      <c r="AW2934" s="46">
        <v>17</v>
      </c>
      <c r="AX2934" s="46">
        <v>6400</v>
      </c>
      <c r="AY2934" s="46">
        <v>63460.391000000003</v>
      </c>
      <c r="AZ2934" s="46">
        <v>9.9160000000000004</v>
      </c>
      <c r="BA2934" s="46" t="s">
        <v>63</v>
      </c>
      <c r="BB2934" s="46">
        <v>600</v>
      </c>
      <c r="BC2934" s="46">
        <v>4164.6090000000004</v>
      </c>
      <c r="BD2934" s="46">
        <v>6.9409999999999998</v>
      </c>
      <c r="BE2934" s="46">
        <v>1632</v>
      </c>
      <c r="BF2934" s="46">
        <v>0</v>
      </c>
      <c r="BH2934" s="46">
        <v>8149.8320000000003</v>
      </c>
      <c r="BI2934">
        <v>10.19</v>
      </c>
      <c r="BJ2934">
        <v>-8149.8320000000003</v>
      </c>
      <c r="BK2934">
        <v>-10.19</v>
      </c>
      <c r="BL2934">
        <v>130.63</v>
      </c>
    </row>
    <row r="2935" spans="1:64" x14ac:dyDescent="0.25">
      <c r="A2935" s="136">
        <v>43224</v>
      </c>
      <c r="B2935" s="201" t="s">
        <v>72</v>
      </c>
      <c r="C2935" t="s">
        <v>130</v>
      </c>
      <c r="D2935">
        <v>600</v>
      </c>
      <c r="E2935">
        <v>600</v>
      </c>
      <c r="F2935">
        <v>5.9850000000000003</v>
      </c>
      <c r="G2935">
        <v>644.88</v>
      </c>
      <c r="H2935">
        <v>17.96</v>
      </c>
      <c r="I2935" s="309">
        <v>4236</v>
      </c>
      <c r="J2935">
        <v>7.06</v>
      </c>
      <c r="K2935" s="133">
        <v>8.9618614403979297E-3</v>
      </c>
      <c r="L2935" s="181">
        <v>234.34</v>
      </c>
      <c r="M2935" s="133">
        <v>7.5975259338625601E-3</v>
      </c>
      <c r="N2935" s="73">
        <v>-3912.82799999999</v>
      </c>
      <c r="O2935" s="73">
        <v>99.794367548749605</v>
      </c>
      <c r="P2935" s="182">
        <v>0</v>
      </c>
      <c r="Q2935" s="182">
        <v>0</v>
      </c>
      <c r="R2935" s="46">
        <v>0</v>
      </c>
      <c r="S2935" s="46">
        <v>19</v>
      </c>
      <c r="T2935" s="46">
        <v>7600</v>
      </c>
      <c r="U2935" s="46">
        <v>7.2889999999999997</v>
      </c>
      <c r="V2935" s="46" t="s">
        <v>68</v>
      </c>
      <c r="W2935" s="46">
        <v>7600</v>
      </c>
      <c r="X2935" s="46">
        <v>7.2889999999999997</v>
      </c>
      <c r="AF2935" s="46">
        <v>37</v>
      </c>
      <c r="AG2935" s="46">
        <v>18400</v>
      </c>
      <c r="AH2935" s="46">
        <v>137152</v>
      </c>
      <c r="AI2935" s="46">
        <v>7.4539999999999997</v>
      </c>
      <c r="AJ2935" s="46">
        <v>37</v>
      </c>
      <c r="AK2935" s="46">
        <v>16800</v>
      </c>
      <c r="AL2935" s="46">
        <v>79043.756999999998</v>
      </c>
      <c r="AM2935" s="46">
        <v>4.7050000000000001</v>
      </c>
      <c r="AN2935" s="46" t="s">
        <v>63</v>
      </c>
      <c r="AO2935" s="46">
        <v>1600</v>
      </c>
      <c r="AP2935" s="46">
        <v>58108.243000000002</v>
      </c>
      <c r="AQ2935" s="46">
        <v>36.317999999999998</v>
      </c>
      <c r="AR2935" s="46">
        <v>-46183.199999999997</v>
      </c>
      <c r="AS2935" s="46">
        <v>37</v>
      </c>
      <c r="AT2935" s="46">
        <v>18400</v>
      </c>
      <c r="AU2935" s="46">
        <v>137152</v>
      </c>
      <c r="AV2935" s="46">
        <v>7.4539999999999997</v>
      </c>
      <c r="AW2935" s="46">
        <v>57</v>
      </c>
      <c r="AX2935" s="46">
        <v>24900</v>
      </c>
      <c r="AY2935" s="46">
        <v>134293.35699999999</v>
      </c>
      <c r="AZ2935" s="46">
        <v>5.3929999999999998</v>
      </c>
      <c r="BA2935" s="46" t="s">
        <v>69</v>
      </c>
      <c r="BB2935" s="46">
        <v>6500</v>
      </c>
      <c r="BC2935" s="46">
        <v>2858.643</v>
      </c>
      <c r="BD2935" s="46">
        <v>0.44</v>
      </c>
      <c r="BE2935" s="46">
        <v>-37922.400000000001</v>
      </c>
      <c r="BF2935" s="46">
        <v>0</v>
      </c>
      <c r="BH2935" s="46">
        <v>55249.599999999999</v>
      </c>
      <c r="BI2935">
        <v>7.27</v>
      </c>
      <c r="BJ2935">
        <v>-55249.599999999999</v>
      </c>
      <c r="BK2935">
        <v>-7.27</v>
      </c>
      <c r="BL2935">
        <v>-6541.53</v>
      </c>
    </row>
    <row r="2936" spans="1:64" x14ac:dyDescent="0.25">
      <c r="A2936" s="136">
        <v>43224</v>
      </c>
      <c r="B2936" s="201" t="s">
        <v>70</v>
      </c>
      <c r="C2936" t="s">
        <v>131</v>
      </c>
      <c r="D2936">
        <v>11700</v>
      </c>
      <c r="E2936">
        <v>11700</v>
      </c>
      <c r="F2936">
        <v>11.583</v>
      </c>
      <c r="G2936">
        <v>-28581.27</v>
      </c>
      <c r="H2936">
        <v>-21.09</v>
      </c>
      <c r="I2936" s="309">
        <v>106938</v>
      </c>
      <c r="J2936">
        <v>9.14</v>
      </c>
      <c r="K2936" s="133">
        <v>0.22624257287848801</v>
      </c>
      <c r="L2936" s="181">
        <v>117</v>
      </c>
      <c r="M2936" s="133">
        <v>0.28671032111517403</v>
      </c>
      <c r="N2936" s="73">
        <v>-28585.271000000001</v>
      </c>
      <c r="O2936" s="73">
        <v>-3125.9276109956299</v>
      </c>
      <c r="P2936" s="182">
        <v>3</v>
      </c>
      <c r="Q2936" s="182">
        <v>1500</v>
      </c>
      <c r="R2936" s="46">
        <v>8.4169999999999998</v>
      </c>
      <c r="S2936" s="46">
        <v>6</v>
      </c>
      <c r="T2936" s="46">
        <v>2500</v>
      </c>
      <c r="U2936" s="46">
        <v>9.0239999999999991</v>
      </c>
      <c r="V2936" s="46" t="s">
        <v>68</v>
      </c>
      <c r="W2936" s="46">
        <v>1000</v>
      </c>
      <c r="X2936" s="46">
        <v>9.9350000000000005</v>
      </c>
      <c r="AF2936" s="46">
        <v>137</v>
      </c>
      <c r="AG2936" s="46">
        <v>70100</v>
      </c>
      <c r="AH2936" s="46">
        <v>908028</v>
      </c>
      <c r="AI2936" s="46">
        <v>12.952999999999999</v>
      </c>
      <c r="AJ2936" s="46">
        <v>143</v>
      </c>
      <c r="AK2936" s="46">
        <v>57400</v>
      </c>
      <c r="AL2936" s="46">
        <v>762231.29</v>
      </c>
      <c r="AM2936" s="46">
        <v>13.279</v>
      </c>
      <c r="AN2936" s="46" t="s">
        <v>63</v>
      </c>
      <c r="AO2936" s="46">
        <v>12700</v>
      </c>
      <c r="AP2936" s="46">
        <v>145796.71</v>
      </c>
      <c r="AQ2936" s="46">
        <v>11.48</v>
      </c>
      <c r="AR2936" s="46">
        <v>18712.400000000001</v>
      </c>
      <c r="AS2936" s="46">
        <v>140</v>
      </c>
      <c r="AT2936" s="46">
        <v>71600</v>
      </c>
      <c r="AU2936" s="46">
        <v>920668</v>
      </c>
      <c r="AV2936" s="46">
        <v>12.858000000000001</v>
      </c>
      <c r="AW2936" s="46">
        <v>150</v>
      </c>
      <c r="AX2936" s="46">
        <v>59900</v>
      </c>
      <c r="AY2936" s="46">
        <v>785144.72900000005</v>
      </c>
      <c r="AZ2936" s="46">
        <v>13.108000000000001</v>
      </c>
      <c r="BA2936" s="46" t="s">
        <v>63</v>
      </c>
      <c r="BB2936" s="46">
        <v>11700</v>
      </c>
      <c r="BC2936" s="46">
        <v>135523.27100000001</v>
      </c>
      <c r="BD2936" s="46">
        <v>11.583</v>
      </c>
      <c r="BE2936" s="46">
        <v>14975</v>
      </c>
      <c r="BF2936" s="46">
        <v>12640</v>
      </c>
      <c r="BG2936" s="46">
        <v>8.43</v>
      </c>
      <c r="BH2936" s="46">
        <v>22913.4390000001</v>
      </c>
      <c r="BI2936">
        <v>9.17</v>
      </c>
      <c r="BJ2936">
        <v>-10273.439</v>
      </c>
      <c r="BK2936">
        <v>-10.27</v>
      </c>
      <c r="BL2936">
        <v>2047.31</v>
      </c>
    </row>
    <row r="2937" spans="1:64" x14ac:dyDescent="0.25">
      <c r="A2937" s="136">
        <v>43224</v>
      </c>
      <c r="B2937" s="201" t="s">
        <v>137</v>
      </c>
      <c r="C2937" t="s">
        <v>149</v>
      </c>
      <c r="D2937">
        <v>100</v>
      </c>
      <c r="E2937">
        <v>100</v>
      </c>
      <c r="F2937">
        <v>-130.48500000000001</v>
      </c>
      <c r="G2937">
        <v>17386.5</v>
      </c>
      <c r="H2937">
        <v>0</v>
      </c>
      <c r="I2937" s="309">
        <v>4338</v>
      </c>
      <c r="J2937">
        <v>43.38</v>
      </c>
      <c r="K2937" s="133">
        <v>9.1776569708324398E-3</v>
      </c>
      <c r="L2937" s="181">
        <v>-68</v>
      </c>
      <c r="M2937" s="133">
        <v>0</v>
      </c>
    </row>
    <row r="2938" spans="1:64" x14ac:dyDescent="0.25">
      <c r="A2938" s="136">
        <v>43224</v>
      </c>
      <c r="B2938" s="201" t="s">
        <v>835</v>
      </c>
      <c r="C2938" t="s">
        <v>839</v>
      </c>
      <c r="I2938" s="309">
        <v>5443.91</v>
      </c>
      <c r="K2938" s="133">
        <v>1.1517367118507199E-2</v>
      </c>
      <c r="L2938" s="181">
        <v>0</v>
      </c>
      <c r="M2938" s="133">
        <v>0.117891340857376</v>
      </c>
    </row>
    <row r="2939" spans="1:64" x14ac:dyDescent="0.25">
      <c r="A2939" s="136">
        <v>43227</v>
      </c>
      <c r="B2939" s="201" t="s">
        <v>132</v>
      </c>
      <c r="C2939" t="s">
        <v>123</v>
      </c>
      <c r="D2939">
        <v>5028405</v>
      </c>
      <c r="E2939">
        <v>5028405</v>
      </c>
      <c r="F2939">
        <v>8.9999999999999993E-3</v>
      </c>
      <c r="G2939">
        <v>3529.61</v>
      </c>
      <c r="H2939">
        <v>11.11</v>
      </c>
      <c r="I2939" s="309">
        <v>50284.05</v>
      </c>
      <c r="J2939">
        <v>0.01</v>
      </c>
      <c r="K2939" s="133">
        <v>0.105060010070156</v>
      </c>
      <c r="L2939" s="181">
        <v>4.3000000000001801</v>
      </c>
      <c r="M2939" s="133">
        <v>0</v>
      </c>
    </row>
    <row r="2940" spans="1:64" x14ac:dyDescent="0.25">
      <c r="A2940" s="136">
        <v>43227</v>
      </c>
      <c r="B2940" s="201" t="s">
        <v>61</v>
      </c>
      <c r="C2940" t="s">
        <v>136</v>
      </c>
      <c r="D2940">
        <v>3900</v>
      </c>
      <c r="E2940">
        <v>3900</v>
      </c>
      <c r="F2940">
        <v>5.0519999999999996</v>
      </c>
      <c r="G2940">
        <v>-1684.1</v>
      </c>
      <c r="H2940">
        <v>-8.5500000000000007</v>
      </c>
      <c r="I2940" s="309">
        <v>18018</v>
      </c>
      <c r="J2940">
        <v>4.62</v>
      </c>
      <c r="K2940" s="133">
        <v>3.7645560797988101E-2</v>
      </c>
      <c r="L2940" s="181">
        <v>195</v>
      </c>
      <c r="M2940" s="133">
        <v>4.1164202652794003E-2</v>
      </c>
      <c r="N2940" s="73">
        <v>-1807.1410000000001</v>
      </c>
      <c r="O2940" s="73">
        <v>-393.515779847494</v>
      </c>
      <c r="P2940" s="182">
        <v>6</v>
      </c>
      <c r="Q2940" s="182">
        <v>3000</v>
      </c>
      <c r="R2940" s="46">
        <v>5.0350000000000001</v>
      </c>
      <c r="S2940" s="46">
        <v>0</v>
      </c>
      <c r="T2940" s="46">
        <v>0</v>
      </c>
      <c r="U2940" s="46">
        <v>0</v>
      </c>
      <c r="V2940" s="46" t="s">
        <v>62</v>
      </c>
      <c r="W2940" s="46">
        <v>3000</v>
      </c>
      <c r="X2940" s="46">
        <v>5.0350000000000001</v>
      </c>
      <c r="AF2940" s="46">
        <v>10</v>
      </c>
      <c r="AG2940" s="46">
        <v>5000</v>
      </c>
      <c r="AH2940" s="46">
        <v>26378</v>
      </c>
      <c r="AI2940" s="46">
        <v>5.2759999999999998</v>
      </c>
      <c r="AJ2940" s="46">
        <v>10</v>
      </c>
      <c r="AK2940" s="46">
        <v>4100</v>
      </c>
      <c r="AL2940" s="46">
        <v>21806.659</v>
      </c>
      <c r="AM2940" s="46">
        <v>5.319</v>
      </c>
      <c r="AN2940" s="46" t="s">
        <v>63</v>
      </c>
      <c r="AO2940" s="46">
        <v>900</v>
      </c>
      <c r="AP2940" s="46">
        <v>4571.3410000000003</v>
      </c>
      <c r="AQ2940" s="46">
        <v>5.0789999999999997</v>
      </c>
      <c r="AR2940" s="46">
        <v>176.3</v>
      </c>
      <c r="AS2940" s="46">
        <v>16</v>
      </c>
      <c r="AT2940" s="46">
        <v>8000</v>
      </c>
      <c r="AU2940" s="46">
        <v>41514.800000000003</v>
      </c>
      <c r="AV2940" s="46">
        <v>5.1890000000000001</v>
      </c>
      <c r="AW2940" s="46">
        <v>10</v>
      </c>
      <c r="AX2940" s="46">
        <v>4100</v>
      </c>
      <c r="AY2940" s="46">
        <v>21806.659</v>
      </c>
      <c r="AZ2940" s="46">
        <v>5.319</v>
      </c>
      <c r="BA2940" s="46" t="s">
        <v>63</v>
      </c>
      <c r="BB2940" s="46">
        <v>3900</v>
      </c>
      <c r="BC2940" s="46">
        <v>19708.141</v>
      </c>
      <c r="BD2940" s="46">
        <v>5.0529999999999999</v>
      </c>
      <c r="BE2940" s="46">
        <v>533</v>
      </c>
      <c r="BF2940" s="46">
        <v>15136.8</v>
      </c>
      <c r="BG2940" s="46">
        <v>5.05</v>
      </c>
      <c r="BH2940" s="46">
        <v>0</v>
      </c>
      <c r="BJ2940">
        <v>15136.8</v>
      </c>
      <c r="BK2940">
        <v>5.05</v>
      </c>
      <c r="BL2940">
        <v>38.159999999999997</v>
      </c>
    </row>
    <row r="2941" spans="1:64" x14ac:dyDescent="0.25">
      <c r="A2941" s="136">
        <v>43227</v>
      </c>
      <c r="B2941" s="201" t="s">
        <v>124</v>
      </c>
      <c r="C2941" t="s">
        <v>125</v>
      </c>
      <c r="D2941">
        <v>100</v>
      </c>
      <c r="E2941">
        <v>100</v>
      </c>
      <c r="F2941">
        <v>-53.579000000000001</v>
      </c>
      <c r="G2941">
        <v>5952.9</v>
      </c>
      <c r="H2941">
        <v>0</v>
      </c>
      <c r="I2941" s="309">
        <v>595</v>
      </c>
      <c r="J2941">
        <v>5.95</v>
      </c>
      <c r="K2941" s="133">
        <v>1.2431517746033401E-3</v>
      </c>
      <c r="L2941" s="181">
        <v>4</v>
      </c>
      <c r="M2941" s="133">
        <v>0</v>
      </c>
    </row>
    <row r="2942" spans="1:64" x14ac:dyDescent="0.25">
      <c r="A2942" s="136">
        <v>43227</v>
      </c>
      <c r="B2942" s="201" t="s">
        <v>71</v>
      </c>
      <c r="C2942" t="s">
        <v>126</v>
      </c>
      <c r="D2942">
        <v>1700</v>
      </c>
      <c r="E2942">
        <v>1700</v>
      </c>
      <c r="F2942">
        <v>5.2080000000000002</v>
      </c>
      <c r="G2942">
        <v>2315.67</v>
      </c>
      <c r="H2942">
        <v>26.15</v>
      </c>
      <c r="I2942" s="309">
        <v>11169</v>
      </c>
      <c r="J2942">
        <v>6.57</v>
      </c>
      <c r="K2942" s="133">
        <v>2.3335734740411201E-2</v>
      </c>
      <c r="L2942" s="181">
        <v>68</v>
      </c>
      <c r="M2942" s="133">
        <v>1.8497534286804999E-2</v>
      </c>
      <c r="N2942" s="73">
        <v>2161.2060000000001</v>
      </c>
      <c r="O2942" s="73">
        <v>333.35268472222202</v>
      </c>
      <c r="P2942" s="182">
        <v>0</v>
      </c>
      <c r="Q2942" s="182">
        <v>0</v>
      </c>
      <c r="R2942" s="46">
        <v>0</v>
      </c>
      <c r="S2942" s="46">
        <v>4</v>
      </c>
      <c r="T2942" s="46">
        <v>1500</v>
      </c>
      <c r="U2942" s="46">
        <v>6.7679999999999998</v>
      </c>
      <c r="V2942" s="46" t="s">
        <v>68</v>
      </c>
      <c r="W2942" s="46">
        <v>1500</v>
      </c>
      <c r="X2942" s="46">
        <v>6.7679999999999998</v>
      </c>
      <c r="AF2942" s="46">
        <v>45</v>
      </c>
      <c r="AG2942" s="46">
        <v>22600</v>
      </c>
      <c r="AH2942" s="46">
        <v>144534.56</v>
      </c>
      <c r="AI2942" s="46">
        <v>6.3949999999999996</v>
      </c>
      <c r="AJ2942" s="46">
        <v>43</v>
      </c>
      <c r="AK2942" s="46">
        <v>19400</v>
      </c>
      <c r="AL2942" s="46">
        <v>125389.618</v>
      </c>
      <c r="AM2942" s="46">
        <v>6.4630000000000001</v>
      </c>
      <c r="AN2942" s="46" t="s">
        <v>63</v>
      </c>
      <c r="AO2942" s="46">
        <v>3200</v>
      </c>
      <c r="AP2942" s="46">
        <v>19144.941999999999</v>
      </c>
      <c r="AQ2942" s="46">
        <v>5.9829999999999997</v>
      </c>
      <c r="AR2942" s="46">
        <v>1319.2</v>
      </c>
      <c r="AS2942" s="46">
        <v>45</v>
      </c>
      <c r="AT2942" s="46">
        <v>22600</v>
      </c>
      <c r="AU2942" s="46">
        <v>144534.56</v>
      </c>
      <c r="AV2942" s="46">
        <v>6.3949999999999996</v>
      </c>
      <c r="AW2942" s="46">
        <v>47</v>
      </c>
      <c r="AX2942" s="46">
        <v>20900</v>
      </c>
      <c r="AY2942" s="46">
        <v>135518.56599999999</v>
      </c>
      <c r="AZ2942" s="46">
        <v>6.484</v>
      </c>
      <c r="BA2942" s="46" t="s">
        <v>63</v>
      </c>
      <c r="BB2942" s="46">
        <v>1700</v>
      </c>
      <c r="BC2942" s="46">
        <v>9015.9940000000006</v>
      </c>
      <c r="BD2942" s="46">
        <v>5.3040000000000003</v>
      </c>
      <c r="BE2942" s="46">
        <v>1860.1</v>
      </c>
      <c r="BF2942" s="46">
        <v>0</v>
      </c>
      <c r="BH2942" s="46">
        <v>10128.948</v>
      </c>
      <c r="BI2942">
        <v>6.75</v>
      </c>
      <c r="BJ2942">
        <v>-10128.948</v>
      </c>
      <c r="BK2942">
        <v>-6.75</v>
      </c>
      <c r="BL2942">
        <v>200.79</v>
      </c>
    </row>
    <row r="2943" spans="1:64" x14ac:dyDescent="0.25">
      <c r="A2943" s="136">
        <v>43227</v>
      </c>
      <c r="B2943" s="201" t="s">
        <v>79</v>
      </c>
      <c r="C2943" t="s">
        <v>143</v>
      </c>
      <c r="D2943">
        <v>5100</v>
      </c>
      <c r="E2943">
        <v>5100</v>
      </c>
      <c r="F2943">
        <v>16.452000000000002</v>
      </c>
      <c r="G2943">
        <v>-8883.6200000000008</v>
      </c>
      <c r="H2943">
        <v>-10.59</v>
      </c>
      <c r="I2943" s="309">
        <v>75021</v>
      </c>
      <c r="J2943">
        <v>14.71</v>
      </c>
      <c r="K2943" s="133">
        <v>0.15674367946641499</v>
      </c>
      <c r="L2943" s="181">
        <v>774.98</v>
      </c>
      <c r="M2943" s="133">
        <v>0.17530449958053601</v>
      </c>
      <c r="N2943" s="73">
        <v>-8684.8520000001299</v>
      </c>
      <c r="O2943" s="73">
        <v>-588.50912366102602</v>
      </c>
      <c r="P2943" s="182">
        <v>8</v>
      </c>
      <c r="Q2943" s="182">
        <v>4500</v>
      </c>
      <c r="R2943" s="46">
        <v>15.353999999999999</v>
      </c>
      <c r="S2943" s="46">
        <v>2</v>
      </c>
      <c r="T2943" s="46">
        <v>800</v>
      </c>
      <c r="U2943" s="46">
        <v>14.69</v>
      </c>
      <c r="V2943" s="46" t="s">
        <v>62</v>
      </c>
      <c r="W2943" s="46">
        <v>3700</v>
      </c>
      <c r="X2943" s="46">
        <v>15.497999999999999</v>
      </c>
      <c r="AF2943" s="46">
        <v>14</v>
      </c>
      <c r="AG2943" s="46">
        <v>7000</v>
      </c>
      <c r="AH2943" s="46">
        <v>110704.2</v>
      </c>
      <c r="AI2943" s="46">
        <v>15.815</v>
      </c>
      <c r="AJ2943" s="46">
        <v>14</v>
      </c>
      <c r="AK2943" s="46">
        <v>5600</v>
      </c>
      <c r="AL2943" s="46">
        <v>84202.279999999897</v>
      </c>
      <c r="AM2943" s="46">
        <v>15.036</v>
      </c>
      <c r="AN2943" s="46" t="s">
        <v>63</v>
      </c>
      <c r="AO2943" s="46">
        <v>1400</v>
      </c>
      <c r="AP2943" s="46">
        <v>26501.919999999998</v>
      </c>
      <c r="AQ2943" s="46">
        <v>18.93</v>
      </c>
      <c r="AR2943" s="46">
        <v>-4362.3999999999996</v>
      </c>
      <c r="AS2943" s="46">
        <v>22</v>
      </c>
      <c r="AT2943" s="46">
        <v>11500</v>
      </c>
      <c r="AU2943" s="46">
        <v>179841.9</v>
      </c>
      <c r="AV2943" s="46">
        <v>15.638</v>
      </c>
      <c r="AW2943" s="46">
        <v>16</v>
      </c>
      <c r="AX2943" s="46">
        <v>6400</v>
      </c>
      <c r="AY2943" s="46">
        <v>95932.047999999893</v>
      </c>
      <c r="AZ2943" s="46">
        <v>14.989000000000001</v>
      </c>
      <c r="BA2943" s="46" t="s">
        <v>63</v>
      </c>
      <c r="BB2943" s="46">
        <v>5100</v>
      </c>
      <c r="BC2943" s="46">
        <v>83909.851999999999</v>
      </c>
      <c r="BD2943" s="46">
        <v>16.452999999999999</v>
      </c>
      <c r="BE2943" s="46">
        <v>-4153.6000000000004</v>
      </c>
      <c r="BF2943" s="46">
        <v>69137.699999999895</v>
      </c>
      <c r="BG2943" s="46">
        <v>15.36</v>
      </c>
      <c r="BH2943" s="46">
        <v>11729.768</v>
      </c>
      <c r="BI2943">
        <v>14.66</v>
      </c>
      <c r="BJ2943">
        <v>57407.932000000001</v>
      </c>
      <c r="BK2943">
        <v>15.52</v>
      </c>
      <c r="BL2943">
        <v>-296.56</v>
      </c>
    </row>
    <row r="2944" spans="1:64" x14ac:dyDescent="0.25">
      <c r="A2944" s="136">
        <v>43227</v>
      </c>
      <c r="B2944" s="201" t="s">
        <v>65</v>
      </c>
      <c r="C2944" t="s">
        <v>127</v>
      </c>
      <c r="D2944">
        <v>18300</v>
      </c>
      <c r="E2944">
        <v>18300</v>
      </c>
      <c r="F2944">
        <v>9.3109999999999999</v>
      </c>
      <c r="G2944">
        <v>-7879.31</v>
      </c>
      <c r="H2944">
        <v>-4.63</v>
      </c>
      <c r="I2944" s="309">
        <v>162504</v>
      </c>
      <c r="J2944">
        <v>8.8800000000000008</v>
      </c>
      <c r="K2944" s="133">
        <v>0.339524598285951</v>
      </c>
      <c r="L2944" s="181">
        <v>2379</v>
      </c>
      <c r="M2944" s="133">
        <v>0.35598708267107598</v>
      </c>
      <c r="N2944" s="73">
        <v>-13625.731</v>
      </c>
      <c r="O2944" s="73">
        <v>-1061.3074330966101</v>
      </c>
      <c r="P2944" s="182">
        <v>5</v>
      </c>
      <c r="Q2944" s="182">
        <v>2500</v>
      </c>
      <c r="R2944" s="46">
        <v>8.9960000000000004</v>
      </c>
      <c r="S2944" s="46">
        <v>8</v>
      </c>
      <c r="T2944" s="46">
        <v>3300</v>
      </c>
      <c r="U2944" s="46">
        <v>12.547000000000001</v>
      </c>
      <c r="V2944" s="46" t="s">
        <v>68</v>
      </c>
      <c r="W2944" s="46">
        <v>800</v>
      </c>
      <c r="X2944" s="46">
        <v>23.643999999999998</v>
      </c>
      <c r="AF2944" s="46">
        <v>185</v>
      </c>
      <c r="AG2944" s="46">
        <v>98200</v>
      </c>
      <c r="AH2944" s="46">
        <v>1122220.2309999999</v>
      </c>
      <c r="AI2944" s="46">
        <v>11.428000000000001</v>
      </c>
      <c r="AJ2944" s="46">
        <v>204</v>
      </c>
      <c r="AK2944" s="46">
        <v>88300</v>
      </c>
      <c r="AL2944" s="46">
        <v>932193.902</v>
      </c>
      <c r="AM2944" s="46">
        <v>10.557</v>
      </c>
      <c r="AN2944" s="46" t="s">
        <v>63</v>
      </c>
      <c r="AO2944" s="46">
        <v>9900</v>
      </c>
      <c r="AP2944" s="46">
        <v>190026.329</v>
      </c>
      <c r="AQ2944" s="46">
        <v>19.195</v>
      </c>
      <c r="AR2944" s="46">
        <v>-76909.3</v>
      </c>
      <c r="AS2944" s="46">
        <v>191</v>
      </c>
      <c r="AT2944" s="46">
        <v>100800</v>
      </c>
      <c r="AU2944" s="46">
        <v>1146023.2309999999</v>
      </c>
      <c r="AV2944" s="46">
        <v>11.369</v>
      </c>
      <c r="AW2944" s="46">
        <v>212</v>
      </c>
      <c r="AX2944" s="46">
        <v>91600</v>
      </c>
      <c r="AY2944" s="46">
        <v>973516.49800000002</v>
      </c>
      <c r="AZ2944" s="46">
        <v>10.628</v>
      </c>
      <c r="BA2944" s="46" t="s">
        <v>63</v>
      </c>
      <c r="BB2944" s="46">
        <v>9200</v>
      </c>
      <c r="BC2944" s="46">
        <v>172506.73300000001</v>
      </c>
      <c r="BD2944" s="46">
        <v>18.751000000000001</v>
      </c>
      <c r="BE2944" s="46">
        <v>-67875.600000000006</v>
      </c>
      <c r="BF2944" s="46">
        <v>23803</v>
      </c>
      <c r="BG2944" s="46">
        <v>9.52</v>
      </c>
      <c r="BH2944" s="46">
        <v>41322.5960000001</v>
      </c>
      <c r="BI2944">
        <v>12.52</v>
      </c>
      <c r="BJ2944">
        <v>-17519.596000000001</v>
      </c>
      <c r="BK2944">
        <v>-21.9</v>
      </c>
      <c r="BL2944">
        <v>-8660.9599999999991</v>
      </c>
    </row>
    <row r="2945" spans="1:64" x14ac:dyDescent="0.25">
      <c r="A2945" s="136">
        <v>43227</v>
      </c>
      <c r="B2945" s="201" t="s">
        <v>77</v>
      </c>
      <c r="C2945" t="s">
        <v>128</v>
      </c>
      <c r="D2945">
        <v>4300</v>
      </c>
      <c r="E2945">
        <v>4300</v>
      </c>
      <c r="F2945">
        <v>5.9779999999999998</v>
      </c>
      <c r="G2945">
        <v>-595.27</v>
      </c>
      <c r="H2945">
        <v>-2.31</v>
      </c>
      <c r="I2945" s="309">
        <v>25112</v>
      </c>
      <c r="J2945">
        <v>5.84</v>
      </c>
      <c r="K2945" s="133">
        <v>5.2467272880401698E-2</v>
      </c>
      <c r="L2945" s="181">
        <v>0</v>
      </c>
      <c r="M2945" s="133">
        <v>5.3710988774297697E-2</v>
      </c>
      <c r="N2945" s="73">
        <v>-1272.2139999999999</v>
      </c>
      <c r="O2945" s="73">
        <v>-133.073774655173</v>
      </c>
      <c r="P2945" s="182">
        <v>6</v>
      </c>
      <c r="Q2945" s="182">
        <v>3000</v>
      </c>
      <c r="R2945" s="46">
        <v>6.798</v>
      </c>
      <c r="S2945" s="46">
        <v>0</v>
      </c>
      <c r="T2945" s="46">
        <v>0</v>
      </c>
      <c r="U2945" s="46">
        <v>0</v>
      </c>
      <c r="V2945" s="46" t="s">
        <v>62</v>
      </c>
      <c r="W2945" s="46">
        <v>3000</v>
      </c>
      <c r="X2945" s="46">
        <v>6.798</v>
      </c>
      <c r="AF2945" s="46">
        <v>39</v>
      </c>
      <c r="AG2945" s="46">
        <v>19500</v>
      </c>
      <c r="AH2945" s="46">
        <v>142169</v>
      </c>
      <c r="AI2945" s="46">
        <v>7.2910000000000004</v>
      </c>
      <c r="AJ2945" s="46">
        <v>39</v>
      </c>
      <c r="AK2945" s="46">
        <v>18200</v>
      </c>
      <c r="AL2945" s="46">
        <v>136881.78599999999</v>
      </c>
      <c r="AM2945" s="46">
        <v>7.5209999999999999</v>
      </c>
      <c r="AN2945" s="46" t="s">
        <v>63</v>
      </c>
      <c r="AO2945" s="46">
        <v>1300</v>
      </c>
      <c r="AP2945" s="46">
        <v>5287.2139999999999</v>
      </c>
      <c r="AQ2945" s="46">
        <v>4.0670000000000002</v>
      </c>
      <c r="AR2945" s="46">
        <v>4186</v>
      </c>
      <c r="AS2945" s="46">
        <v>45</v>
      </c>
      <c r="AT2945" s="46">
        <v>22500</v>
      </c>
      <c r="AU2945" s="46">
        <v>162594</v>
      </c>
      <c r="AV2945" s="46">
        <v>7.226</v>
      </c>
      <c r="AW2945" s="46">
        <v>39</v>
      </c>
      <c r="AX2945" s="46">
        <v>18200</v>
      </c>
      <c r="AY2945" s="46">
        <v>136881.78599999999</v>
      </c>
      <c r="AZ2945" s="46">
        <v>7.5209999999999999</v>
      </c>
      <c r="BA2945" s="46" t="s">
        <v>63</v>
      </c>
      <c r="BB2945" s="46">
        <v>4300</v>
      </c>
      <c r="BC2945" s="46">
        <v>25712.214</v>
      </c>
      <c r="BD2945" s="46">
        <v>5.98</v>
      </c>
      <c r="BE2945" s="46">
        <v>5369</v>
      </c>
      <c r="BF2945" s="46">
        <v>20425</v>
      </c>
      <c r="BG2945" s="46">
        <v>6.81</v>
      </c>
      <c r="BH2945" s="46">
        <v>0</v>
      </c>
      <c r="BJ2945">
        <v>20425</v>
      </c>
      <c r="BK2945">
        <v>6.81</v>
      </c>
      <c r="BL2945">
        <v>716.78</v>
      </c>
    </row>
    <row r="2946" spans="1:64" x14ac:dyDescent="0.25">
      <c r="A2946" s="136">
        <v>43227</v>
      </c>
      <c r="B2946" s="201" t="s">
        <v>67</v>
      </c>
      <c r="C2946" t="s">
        <v>129</v>
      </c>
      <c r="D2946">
        <v>100</v>
      </c>
      <c r="E2946">
        <v>100</v>
      </c>
      <c r="F2946">
        <v>-32.534999999999997</v>
      </c>
      <c r="G2946">
        <v>4251.5</v>
      </c>
      <c r="H2946">
        <v>0</v>
      </c>
      <c r="I2946" s="309">
        <v>998</v>
      </c>
      <c r="J2946">
        <v>9.98</v>
      </c>
      <c r="K2946" s="133">
        <v>2.0851520521918201E-3</v>
      </c>
      <c r="L2946" s="181">
        <v>7</v>
      </c>
      <c r="M2946" s="133">
        <v>0</v>
      </c>
      <c r="N2946" s="73">
        <v>4250.7294999997503</v>
      </c>
      <c r="O2946" s="73">
        <v>426.13883001502302</v>
      </c>
      <c r="P2946" s="182">
        <v>0</v>
      </c>
      <c r="Q2946" s="182">
        <v>0</v>
      </c>
      <c r="R2946" s="46">
        <v>0</v>
      </c>
      <c r="S2946" s="46">
        <v>24</v>
      </c>
      <c r="T2946" s="46">
        <v>9600</v>
      </c>
      <c r="U2946" s="46">
        <v>8.9969999999999999</v>
      </c>
      <c r="V2946" s="46" t="s">
        <v>68</v>
      </c>
      <c r="W2946" s="46">
        <v>9600</v>
      </c>
      <c r="X2946" s="46">
        <v>8.9969999999999999</v>
      </c>
      <c r="AF2946" s="46">
        <v>191</v>
      </c>
      <c r="AG2946" s="46">
        <v>94900</v>
      </c>
      <c r="AH2946" s="46">
        <v>790815</v>
      </c>
      <c r="AI2946" s="46">
        <v>8.3330000000000002</v>
      </c>
      <c r="AJ2946" s="46">
        <v>195</v>
      </c>
      <c r="AK2946" s="46">
        <v>87800</v>
      </c>
      <c r="AL2946" s="46">
        <v>777028.71750000003</v>
      </c>
      <c r="AM2946" s="46">
        <v>8.85</v>
      </c>
      <c r="AN2946" s="46" t="s">
        <v>63</v>
      </c>
      <c r="AO2946" s="46">
        <v>7100</v>
      </c>
      <c r="AP2946" s="46">
        <v>13786.281999999999</v>
      </c>
      <c r="AQ2946" s="46">
        <v>1.9419999999999999</v>
      </c>
      <c r="AR2946" s="46">
        <v>45392.6</v>
      </c>
      <c r="AS2946" s="46">
        <v>191</v>
      </c>
      <c r="AT2946" s="46">
        <v>94900</v>
      </c>
      <c r="AU2946" s="46">
        <v>790815</v>
      </c>
      <c r="AV2946" s="46">
        <v>8.3330000000000002</v>
      </c>
      <c r="AW2946" s="46">
        <v>219</v>
      </c>
      <c r="AX2946" s="46">
        <v>97400</v>
      </c>
      <c r="AY2946" s="46">
        <v>863196.84550000005</v>
      </c>
      <c r="AZ2946" s="46">
        <v>8.8620000000000001</v>
      </c>
      <c r="BA2946" s="46" t="s">
        <v>69</v>
      </c>
      <c r="BB2946" s="46">
        <v>2500</v>
      </c>
      <c r="BC2946" s="46">
        <v>72381.846000000005</v>
      </c>
      <c r="BD2946" s="46">
        <v>28.952999999999999</v>
      </c>
      <c r="BE2946" s="46">
        <v>50202.1</v>
      </c>
      <c r="BF2946" s="46">
        <v>0</v>
      </c>
      <c r="BH2946" s="46">
        <v>86168.127999999997</v>
      </c>
      <c r="BI2946">
        <v>8.98</v>
      </c>
      <c r="BJ2946">
        <v>58595.563999999998</v>
      </c>
      <c r="BK2946">
        <v>6.1</v>
      </c>
      <c r="BL2946">
        <v>4548.3599999999997</v>
      </c>
    </row>
    <row r="2947" spans="1:64" x14ac:dyDescent="0.25">
      <c r="A2947" s="136">
        <v>43227</v>
      </c>
      <c r="B2947" s="201" t="s">
        <v>78</v>
      </c>
      <c r="C2947" t="s">
        <v>142</v>
      </c>
      <c r="D2947">
        <v>600</v>
      </c>
      <c r="E2947">
        <v>600</v>
      </c>
      <c r="F2947">
        <v>6.9409999999999998</v>
      </c>
      <c r="G2947">
        <v>1451.39</v>
      </c>
      <c r="H2947">
        <v>34.85</v>
      </c>
      <c r="I2947" s="309">
        <v>5616</v>
      </c>
      <c r="J2947">
        <v>9.36</v>
      </c>
      <c r="K2947" s="133">
        <v>1.1733681287684599E-2</v>
      </c>
      <c r="L2947" s="181">
        <v>60</v>
      </c>
      <c r="M2947" s="133">
        <v>8.70124758324505E-3</v>
      </c>
      <c r="N2947" s="73">
        <v>1415.3910000000001</v>
      </c>
      <c r="O2947" s="73">
        <v>152.11648435483801</v>
      </c>
      <c r="P2947" s="182">
        <v>0</v>
      </c>
      <c r="Q2947" s="182">
        <v>0</v>
      </c>
      <c r="R2947" s="46">
        <v>0</v>
      </c>
      <c r="S2947" s="46">
        <v>2</v>
      </c>
      <c r="T2947" s="46">
        <v>800</v>
      </c>
      <c r="U2947" s="46">
        <v>10.210000000000001</v>
      </c>
      <c r="V2947" s="46" t="s">
        <v>68</v>
      </c>
      <c r="W2947" s="46">
        <v>800</v>
      </c>
      <c r="X2947" s="46">
        <v>10.210000000000001</v>
      </c>
      <c r="AF2947" s="46">
        <v>14</v>
      </c>
      <c r="AG2947" s="46">
        <v>7000</v>
      </c>
      <c r="AH2947" s="46">
        <v>67625</v>
      </c>
      <c r="AI2947" s="46">
        <v>9.6609999999999996</v>
      </c>
      <c r="AJ2947" s="46">
        <v>15</v>
      </c>
      <c r="AK2947" s="46">
        <v>5600</v>
      </c>
      <c r="AL2947" s="46">
        <v>55310.559000000001</v>
      </c>
      <c r="AM2947" s="46">
        <v>9.8770000000000007</v>
      </c>
      <c r="AN2947" s="46" t="s">
        <v>63</v>
      </c>
      <c r="AO2947" s="46">
        <v>1400</v>
      </c>
      <c r="AP2947" s="46">
        <v>12314.441000000001</v>
      </c>
      <c r="AQ2947" s="46">
        <v>8.7959999999999994</v>
      </c>
      <c r="AR2947" s="46">
        <v>1209.5999999999999</v>
      </c>
      <c r="AS2947" s="46">
        <v>14</v>
      </c>
      <c r="AT2947" s="46">
        <v>7000</v>
      </c>
      <c r="AU2947" s="46">
        <v>67625</v>
      </c>
      <c r="AV2947" s="46">
        <v>9.6609999999999996</v>
      </c>
      <c r="AW2947" s="46">
        <v>17</v>
      </c>
      <c r="AX2947" s="46">
        <v>6400</v>
      </c>
      <c r="AY2947" s="46">
        <v>63460.391000000003</v>
      </c>
      <c r="AZ2947" s="46">
        <v>9.9160000000000004</v>
      </c>
      <c r="BA2947" s="46" t="s">
        <v>63</v>
      </c>
      <c r="BB2947" s="46">
        <v>600</v>
      </c>
      <c r="BC2947" s="46">
        <v>4164.6090000000004</v>
      </c>
      <c r="BD2947" s="46">
        <v>6.9409999999999998</v>
      </c>
      <c r="BE2947" s="46">
        <v>1632</v>
      </c>
      <c r="BF2947" s="46">
        <v>0</v>
      </c>
      <c r="BH2947" s="46">
        <v>8149.8320000000003</v>
      </c>
      <c r="BI2947">
        <v>10.19</v>
      </c>
      <c r="BJ2947">
        <v>-8149.8320000000003</v>
      </c>
      <c r="BK2947">
        <v>-10.19</v>
      </c>
      <c r="BL2947">
        <v>129.22999999999999</v>
      </c>
    </row>
    <row r="2948" spans="1:64" x14ac:dyDescent="0.25">
      <c r="A2948" s="136">
        <v>43227</v>
      </c>
      <c r="B2948" s="201" t="s">
        <v>72</v>
      </c>
      <c r="C2948" t="s">
        <v>130</v>
      </c>
      <c r="D2948">
        <v>600</v>
      </c>
      <c r="E2948">
        <v>600</v>
      </c>
      <c r="F2948">
        <v>5.9850000000000003</v>
      </c>
      <c r="G2948">
        <v>704.88</v>
      </c>
      <c r="H2948">
        <v>19.63</v>
      </c>
      <c r="I2948" s="309">
        <v>4296</v>
      </c>
      <c r="J2948">
        <v>7.16</v>
      </c>
      <c r="K2948" s="133">
        <v>8.9757647457074496E-3</v>
      </c>
      <c r="L2948" s="181">
        <v>60</v>
      </c>
      <c r="M2948" s="133">
        <v>7.5030373122916601E-3</v>
      </c>
      <c r="N2948" s="73">
        <v>-3912.82799999999</v>
      </c>
      <c r="O2948" s="73">
        <v>99.794367548749605</v>
      </c>
      <c r="P2948" s="182">
        <v>0</v>
      </c>
      <c r="Q2948" s="182">
        <v>0</v>
      </c>
      <c r="R2948" s="46">
        <v>0</v>
      </c>
      <c r="S2948" s="46">
        <v>19</v>
      </c>
      <c r="T2948" s="46">
        <v>7600</v>
      </c>
      <c r="U2948" s="46">
        <v>7.2889999999999997</v>
      </c>
      <c r="V2948" s="46" t="s">
        <v>68</v>
      </c>
      <c r="W2948" s="46">
        <v>7600</v>
      </c>
      <c r="X2948" s="46">
        <v>7.2889999999999997</v>
      </c>
      <c r="AF2948" s="46">
        <v>37</v>
      </c>
      <c r="AG2948" s="46">
        <v>18400</v>
      </c>
      <c r="AH2948" s="46">
        <v>137152</v>
      </c>
      <c r="AI2948" s="46">
        <v>7.4539999999999997</v>
      </c>
      <c r="AJ2948" s="46">
        <v>37</v>
      </c>
      <c r="AK2948" s="46">
        <v>16800</v>
      </c>
      <c r="AL2948" s="46">
        <v>79043.756999999998</v>
      </c>
      <c r="AM2948" s="46">
        <v>4.7050000000000001</v>
      </c>
      <c r="AN2948" s="46" t="s">
        <v>63</v>
      </c>
      <c r="AO2948" s="46">
        <v>1600</v>
      </c>
      <c r="AP2948" s="46">
        <v>58108.243000000002</v>
      </c>
      <c r="AQ2948" s="46">
        <v>36.317999999999998</v>
      </c>
      <c r="AR2948" s="46">
        <v>-46183.199999999997</v>
      </c>
      <c r="AS2948" s="46">
        <v>37</v>
      </c>
      <c r="AT2948" s="46">
        <v>18400</v>
      </c>
      <c r="AU2948" s="46">
        <v>137152</v>
      </c>
      <c r="AV2948" s="46">
        <v>7.4539999999999997</v>
      </c>
      <c r="AW2948" s="46">
        <v>57</v>
      </c>
      <c r="AX2948" s="46">
        <v>24900</v>
      </c>
      <c r="AY2948" s="46">
        <v>134293.35699999999</v>
      </c>
      <c r="AZ2948" s="46">
        <v>5.3929999999999998</v>
      </c>
      <c r="BA2948" s="46" t="s">
        <v>69</v>
      </c>
      <c r="BB2948" s="46">
        <v>6500</v>
      </c>
      <c r="BC2948" s="46">
        <v>2858.643</v>
      </c>
      <c r="BD2948" s="46">
        <v>0.44</v>
      </c>
      <c r="BE2948" s="46">
        <v>-37922.400000000001</v>
      </c>
      <c r="BF2948" s="46">
        <v>0</v>
      </c>
      <c r="BH2948" s="46">
        <v>55249.599999999999</v>
      </c>
      <c r="BI2948">
        <v>7.27</v>
      </c>
      <c r="BJ2948">
        <v>-55249.599999999999</v>
      </c>
      <c r="BK2948">
        <v>-7.27</v>
      </c>
      <c r="BL2948">
        <v>-6450.17</v>
      </c>
    </row>
    <row r="2949" spans="1:64" x14ac:dyDescent="0.25">
      <c r="A2949" s="136">
        <v>43227</v>
      </c>
      <c r="B2949" s="201" t="s">
        <v>70</v>
      </c>
      <c r="C2949" t="s">
        <v>131</v>
      </c>
      <c r="D2949">
        <v>11300</v>
      </c>
      <c r="E2949">
        <v>11300</v>
      </c>
      <c r="F2949">
        <v>11.66</v>
      </c>
      <c r="G2949">
        <v>-26331.040000000001</v>
      </c>
      <c r="H2949">
        <v>-19.98</v>
      </c>
      <c r="I2949" s="309">
        <v>105429</v>
      </c>
      <c r="J2949">
        <v>9.33</v>
      </c>
      <c r="K2949" s="133">
        <v>0.22027604780614299</v>
      </c>
      <c r="L2949" s="181">
        <v>2250.23</v>
      </c>
      <c r="M2949" s="133">
        <v>0.275290298399675</v>
      </c>
      <c r="N2949" s="73">
        <v>-25318.039000000001</v>
      </c>
      <c r="O2949" s="73">
        <v>-2686.3460701167801</v>
      </c>
      <c r="P2949" s="182">
        <v>3</v>
      </c>
      <c r="Q2949" s="182">
        <v>1500</v>
      </c>
      <c r="R2949" s="46">
        <v>8.4169999999999998</v>
      </c>
      <c r="S2949" s="46">
        <v>7</v>
      </c>
      <c r="T2949" s="46">
        <v>2900</v>
      </c>
      <c r="U2949" s="46">
        <v>9.0790000000000006</v>
      </c>
      <c r="V2949" s="46" t="s">
        <v>68</v>
      </c>
      <c r="W2949" s="46">
        <v>1400</v>
      </c>
      <c r="X2949" s="46">
        <v>9.7880000000000003</v>
      </c>
      <c r="AF2949" s="46">
        <v>137</v>
      </c>
      <c r="AG2949" s="46">
        <v>70100</v>
      </c>
      <c r="AH2949" s="46">
        <v>908028</v>
      </c>
      <c r="AI2949" s="46">
        <v>12.952999999999999</v>
      </c>
      <c r="AJ2949" s="46">
        <v>143</v>
      </c>
      <c r="AK2949" s="46">
        <v>57400</v>
      </c>
      <c r="AL2949" s="46">
        <v>762231.29</v>
      </c>
      <c r="AM2949" s="46">
        <v>13.279</v>
      </c>
      <c r="AN2949" s="46" t="s">
        <v>63</v>
      </c>
      <c r="AO2949" s="46">
        <v>12700</v>
      </c>
      <c r="AP2949" s="46">
        <v>145796.71</v>
      </c>
      <c r="AQ2949" s="46">
        <v>11.48</v>
      </c>
      <c r="AR2949" s="46">
        <v>18712.400000000001</v>
      </c>
      <c r="AS2949" s="46">
        <v>140</v>
      </c>
      <c r="AT2949" s="46">
        <v>71600</v>
      </c>
      <c r="AU2949" s="46">
        <v>920668</v>
      </c>
      <c r="AV2949" s="46">
        <v>12.858000000000001</v>
      </c>
      <c r="AW2949" s="46">
        <v>151</v>
      </c>
      <c r="AX2949" s="46">
        <v>60300</v>
      </c>
      <c r="AY2949" s="46">
        <v>788903.96100000001</v>
      </c>
      <c r="AZ2949" s="46">
        <v>13.083</v>
      </c>
      <c r="BA2949" s="46" t="s">
        <v>63</v>
      </c>
      <c r="BB2949" s="46">
        <v>11300</v>
      </c>
      <c r="BC2949" s="46">
        <v>131764.03899999999</v>
      </c>
      <c r="BD2949" s="46">
        <v>11.661</v>
      </c>
      <c r="BE2949" s="46">
        <v>13567.5</v>
      </c>
      <c r="BF2949" s="46">
        <v>12640</v>
      </c>
      <c r="BG2949" s="46">
        <v>8.43</v>
      </c>
      <c r="BH2949" s="46">
        <v>26672.6710000001</v>
      </c>
      <c r="BI2949">
        <v>9.1999999999999993</v>
      </c>
      <c r="BJ2949">
        <v>-14032.671</v>
      </c>
      <c r="BK2949">
        <v>-10.02</v>
      </c>
      <c r="BL2949">
        <v>2005.62</v>
      </c>
    </row>
    <row r="2950" spans="1:64" x14ac:dyDescent="0.25">
      <c r="A2950" s="136">
        <v>43227</v>
      </c>
      <c r="B2950" s="201" t="s">
        <v>137</v>
      </c>
      <c r="C2950" t="s">
        <v>149</v>
      </c>
      <c r="D2950">
        <v>100</v>
      </c>
      <c r="E2950">
        <v>100</v>
      </c>
      <c r="F2950">
        <v>-130.48500000000001</v>
      </c>
      <c r="G2950">
        <v>17536.5</v>
      </c>
      <c r="H2950">
        <v>0</v>
      </c>
      <c r="I2950" s="309">
        <v>4488</v>
      </c>
      <c r="J2950">
        <v>44.88</v>
      </c>
      <c r="K2950" s="133">
        <v>9.37691624272231E-3</v>
      </c>
      <c r="L2950" s="181">
        <v>150</v>
      </c>
      <c r="M2950" s="133">
        <v>0</v>
      </c>
    </row>
    <row r="2951" spans="1:64" x14ac:dyDescent="0.25">
      <c r="A2951" s="136">
        <v>43227</v>
      </c>
      <c r="B2951" s="201" t="s">
        <v>835</v>
      </c>
      <c r="C2951" t="s">
        <v>839</v>
      </c>
      <c r="I2951" s="309">
        <v>15092.12</v>
      </c>
      <c r="K2951" s="133">
        <v>3.1532429849624399E-2</v>
      </c>
      <c r="L2951" s="181">
        <v>0</v>
      </c>
      <c r="M2951" s="133">
        <v>0.13659243991978101</v>
      </c>
    </row>
    <row r="2952" spans="1:64" x14ac:dyDescent="0.25">
      <c r="A2952" s="136">
        <v>43228</v>
      </c>
      <c r="B2952" s="201" t="s">
        <v>132</v>
      </c>
      <c r="C2952" t="s">
        <v>123</v>
      </c>
      <c r="D2952">
        <v>7029703</v>
      </c>
      <c r="E2952">
        <v>5029703</v>
      </c>
      <c r="F2952">
        <v>8.9999999999999993E-3</v>
      </c>
      <c r="G2952">
        <v>3542.59</v>
      </c>
      <c r="H2952">
        <v>11.11</v>
      </c>
      <c r="I2952" s="309">
        <v>70297.03</v>
      </c>
      <c r="J2952">
        <v>0.01</v>
      </c>
      <c r="K2952" s="133">
        <v>0.14575306856864401</v>
      </c>
      <c r="L2952" s="181">
        <v>12.98</v>
      </c>
      <c r="M2952" s="133">
        <v>0</v>
      </c>
    </row>
    <row r="2953" spans="1:64" x14ac:dyDescent="0.25">
      <c r="A2953" s="136">
        <v>43228</v>
      </c>
      <c r="B2953" s="201" t="s">
        <v>61</v>
      </c>
      <c r="C2953" t="s">
        <v>136</v>
      </c>
      <c r="D2953">
        <v>3900</v>
      </c>
      <c r="E2953">
        <v>3900</v>
      </c>
      <c r="F2953">
        <v>5.0519999999999996</v>
      </c>
      <c r="G2953">
        <v>-1606.1</v>
      </c>
      <c r="H2953">
        <v>-8.15</v>
      </c>
      <c r="I2953" s="309">
        <v>18096</v>
      </c>
      <c r="J2953">
        <v>4.6399999999999997</v>
      </c>
      <c r="K2953" s="133">
        <v>3.7520042152821897E-2</v>
      </c>
      <c r="L2953" s="181">
        <v>78</v>
      </c>
      <c r="M2953" s="133">
        <v>4.0850111764981899E-2</v>
      </c>
      <c r="N2953" s="73">
        <v>-1807.1410000000001</v>
      </c>
      <c r="O2953" s="73">
        <v>-393.515779847494</v>
      </c>
      <c r="P2953" s="182">
        <v>6</v>
      </c>
      <c r="Q2953" s="182">
        <v>3000</v>
      </c>
      <c r="R2953" s="46">
        <v>5.0350000000000001</v>
      </c>
      <c r="S2953" s="46">
        <v>0</v>
      </c>
      <c r="T2953" s="46">
        <v>0</v>
      </c>
      <c r="U2953" s="46">
        <v>0</v>
      </c>
      <c r="V2953" s="46" t="s">
        <v>62</v>
      </c>
      <c r="W2953" s="46">
        <v>3000</v>
      </c>
      <c r="X2953" s="46">
        <v>5.0350000000000001</v>
      </c>
      <c r="AF2953" s="46">
        <v>10</v>
      </c>
      <c r="AG2953" s="46">
        <v>5000</v>
      </c>
      <c r="AH2953" s="46">
        <v>26378</v>
      </c>
      <c r="AI2953" s="46">
        <v>5.2759999999999998</v>
      </c>
      <c r="AJ2953" s="46">
        <v>10</v>
      </c>
      <c r="AK2953" s="46">
        <v>4100</v>
      </c>
      <c r="AL2953" s="46">
        <v>21806.659</v>
      </c>
      <c r="AM2953" s="46">
        <v>5.319</v>
      </c>
      <c r="AN2953" s="46" t="s">
        <v>63</v>
      </c>
      <c r="AO2953" s="46">
        <v>900</v>
      </c>
      <c r="AP2953" s="46">
        <v>4571.3410000000003</v>
      </c>
      <c r="AQ2953" s="46">
        <v>5.0789999999999997</v>
      </c>
      <c r="AR2953" s="46">
        <v>176.3</v>
      </c>
      <c r="AS2953" s="46">
        <v>16</v>
      </c>
      <c r="AT2953" s="46">
        <v>8000</v>
      </c>
      <c r="AU2953" s="46">
        <v>41514.800000000003</v>
      </c>
      <c r="AV2953" s="46">
        <v>5.1890000000000001</v>
      </c>
      <c r="AW2953" s="46">
        <v>10</v>
      </c>
      <c r="AX2953" s="46">
        <v>4100</v>
      </c>
      <c r="AY2953" s="46">
        <v>21806.659</v>
      </c>
      <c r="AZ2953" s="46">
        <v>5.319</v>
      </c>
      <c r="BA2953" s="46" t="s">
        <v>63</v>
      </c>
      <c r="BB2953" s="46">
        <v>3900</v>
      </c>
      <c r="BC2953" s="46">
        <v>19708.141</v>
      </c>
      <c r="BD2953" s="46">
        <v>5.0529999999999999</v>
      </c>
      <c r="BE2953" s="46">
        <v>533</v>
      </c>
      <c r="BF2953" s="46">
        <v>15136.8</v>
      </c>
      <c r="BG2953" s="46">
        <v>5.05</v>
      </c>
      <c r="BH2953" s="46">
        <v>0</v>
      </c>
      <c r="BJ2953">
        <v>15136.8</v>
      </c>
      <c r="BK2953">
        <v>5.05</v>
      </c>
      <c r="BL2953">
        <v>38</v>
      </c>
    </row>
    <row r="2954" spans="1:64" x14ac:dyDescent="0.25">
      <c r="A2954" s="136">
        <v>43228</v>
      </c>
      <c r="B2954" s="201" t="s">
        <v>124</v>
      </c>
      <c r="C2954" t="s">
        <v>125</v>
      </c>
      <c r="D2954">
        <v>100</v>
      </c>
      <c r="E2954">
        <v>100</v>
      </c>
      <c r="F2954">
        <v>-53.579000000000001</v>
      </c>
      <c r="G2954">
        <v>5955.9</v>
      </c>
      <c r="H2954">
        <v>0</v>
      </c>
      <c r="I2954" s="309">
        <v>598</v>
      </c>
      <c r="J2954">
        <v>5.98</v>
      </c>
      <c r="K2954" s="133">
        <v>1.23988645045245E-3</v>
      </c>
      <c r="L2954" s="181">
        <v>3</v>
      </c>
      <c r="M2954" s="133">
        <v>0</v>
      </c>
    </row>
    <row r="2955" spans="1:64" x14ac:dyDescent="0.25">
      <c r="A2955" s="136">
        <v>43228</v>
      </c>
      <c r="B2955" s="201" t="s">
        <v>71</v>
      </c>
      <c r="C2955" t="s">
        <v>126</v>
      </c>
      <c r="D2955">
        <v>1300</v>
      </c>
      <c r="E2955">
        <v>1300</v>
      </c>
      <c r="F2955">
        <v>4.7699999999999996</v>
      </c>
      <c r="G2955">
        <v>2443.96</v>
      </c>
      <c r="H2955">
        <v>39.409999999999997</v>
      </c>
      <c r="I2955" s="309">
        <v>8645</v>
      </c>
      <c r="J2955">
        <v>6.65</v>
      </c>
      <c r="K2955" s="133">
        <v>1.79244454250191E-2</v>
      </c>
      <c r="L2955" s="181">
        <v>128.29</v>
      </c>
      <c r="M2955" s="133">
        <v>1.2857166345675001E-2</v>
      </c>
      <c r="N2955" s="73">
        <v>4816.0060000000003</v>
      </c>
      <c r="O2955" s="73">
        <v>367.08042812030101</v>
      </c>
      <c r="P2955" s="182">
        <v>0</v>
      </c>
      <c r="Q2955" s="182">
        <v>0</v>
      </c>
      <c r="R2955" s="46">
        <v>0</v>
      </c>
      <c r="S2955" s="46">
        <v>5</v>
      </c>
      <c r="T2955" s="46">
        <v>1900</v>
      </c>
      <c r="U2955" s="46">
        <v>6.7430000000000003</v>
      </c>
      <c r="V2955" s="46" t="s">
        <v>68</v>
      </c>
      <c r="W2955" s="46">
        <v>1900</v>
      </c>
      <c r="X2955" s="46">
        <v>6.7430000000000003</v>
      </c>
      <c r="AF2955" s="46">
        <v>45</v>
      </c>
      <c r="AG2955" s="46">
        <v>22600</v>
      </c>
      <c r="AH2955" s="46">
        <v>144534.56</v>
      </c>
      <c r="AI2955" s="46">
        <v>6.3949999999999996</v>
      </c>
      <c r="AJ2955" s="46">
        <v>43</v>
      </c>
      <c r="AK2955" s="46">
        <v>19400</v>
      </c>
      <c r="AL2955" s="46">
        <v>125389.618</v>
      </c>
      <c r="AM2955" s="46">
        <v>6.4630000000000001</v>
      </c>
      <c r="AN2955" s="46" t="s">
        <v>63</v>
      </c>
      <c r="AO2955" s="46">
        <v>3200</v>
      </c>
      <c r="AP2955" s="46">
        <v>19144.941999999999</v>
      </c>
      <c r="AQ2955" s="46">
        <v>5.9829999999999997</v>
      </c>
      <c r="AR2955" s="46">
        <v>1319.2</v>
      </c>
      <c r="AS2955" s="46">
        <v>45</v>
      </c>
      <c r="AT2955" s="46">
        <v>22600</v>
      </c>
      <c r="AU2955" s="46">
        <v>144534.56</v>
      </c>
      <c r="AV2955" s="46">
        <v>6.3949999999999996</v>
      </c>
      <c r="AW2955" s="46">
        <v>48</v>
      </c>
      <c r="AX2955" s="46">
        <v>21300</v>
      </c>
      <c r="AY2955" s="46">
        <v>138170.666</v>
      </c>
      <c r="AZ2955" s="46">
        <v>6.4870000000000001</v>
      </c>
      <c r="BA2955" s="46" t="s">
        <v>63</v>
      </c>
      <c r="BB2955" s="46">
        <v>1300</v>
      </c>
      <c r="BC2955" s="46">
        <v>6363.8940000000002</v>
      </c>
      <c r="BD2955" s="46">
        <v>4.8949999999999996</v>
      </c>
      <c r="BE2955" s="46">
        <v>1959.6</v>
      </c>
      <c r="BF2955" s="46">
        <v>0</v>
      </c>
      <c r="BH2955" s="46">
        <v>12781.048000000001</v>
      </c>
      <c r="BI2955">
        <v>6.73</v>
      </c>
      <c r="BJ2955">
        <v>-12781.048000000001</v>
      </c>
      <c r="BK2955">
        <v>-6.73</v>
      </c>
      <c r="BL2955">
        <v>198.38</v>
      </c>
    </row>
    <row r="2956" spans="1:64" x14ac:dyDescent="0.25">
      <c r="A2956" s="136">
        <v>43228</v>
      </c>
      <c r="B2956" s="201" t="s">
        <v>79</v>
      </c>
      <c r="C2956" t="s">
        <v>143</v>
      </c>
      <c r="D2956">
        <v>5100</v>
      </c>
      <c r="E2956">
        <v>5100</v>
      </c>
      <c r="F2956">
        <v>16.452000000000002</v>
      </c>
      <c r="G2956">
        <v>-8832.6200000000008</v>
      </c>
      <c r="H2956">
        <v>-10.53</v>
      </c>
      <c r="I2956" s="309">
        <v>75072</v>
      </c>
      <c r="J2956">
        <v>14.72</v>
      </c>
      <c r="K2956" s="133">
        <v>0.15565343747218399</v>
      </c>
      <c r="L2956" s="181">
        <v>51</v>
      </c>
      <c r="M2956" s="133">
        <v>0.173966892087561</v>
      </c>
      <c r="N2956" s="73">
        <v>-8684.8520000001299</v>
      </c>
      <c r="O2956" s="73">
        <v>-588.50912366102602</v>
      </c>
      <c r="P2956" s="182">
        <v>7</v>
      </c>
      <c r="Q2956" s="182">
        <v>3500</v>
      </c>
      <c r="R2956" s="46">
        <v>14.59</v>
      </c>
      <c r="S2956" s="46">
        <v>0</v>
      </c>
      <c r="T2956" s="46">
        <v>0</v>
      </c>
      <c r="U2956" s="46">
        <v>0</v>
      </c>
      <c r="V2956" s="46" t="s">
        <v>62</v>
      </c>
      <c r="W2956" s="46">
        <v>3500</v>
      </c>
      <c r="X2956" s="46">
        <v>14.59</v>
      </c>
      <c r="AF2956" s="46">
        <v>15</v>
      </c>
      <c r="AG2956" s="46">
        <v>8000</v>
      </c>
      <c r="AH2956" s="46">
        <v>128739.8</v>
      </c>
      <c r="AI2956" s="46">
        <v>16.091999999999999</v>
      </c>
      <c r="AJ2956" s="46">
        <v>16</v>
      </c>
      <c r="AK2956" s="46">
        <v>6400</v>
      </c>
      <c r="AL2956" s="46">
        <v>95932.047999999893</v>
      </c>
      <c r="AM2956" s="46">
        <v>14.989000000000001</v>
      </c>
      <c r="AN2956" s="46" t="s">
        <v>63</v>
      </c>
      <c r="AO2956" s="46">
        <v>1600</v>
      </c>
      <c r="AP2956" s="46">
        <v>32807.752</v>
      </c>
      <c r="AQ2956" s="46">
        <v>20.504999999999999</v>
      </c>
      <c r="AR2956" s="46">
        <v>-7059.2</v>
      </c>
      <c r="AS2956" s="46">
        <v>22</v>
      </c>
      <c r="AT2956" s="46">
        <v>11500</v>
      </c>
      <c r="AU2956" s="46">
        <v>179841.9</v>
      </c>
      <c r="AV2956" s="46">
        <v>15.638</v>
      </c>
      <c r="AW2956" s="46">
        <v>16</v>
      </c>
      <c r="AX2956" s="46">
        <v>6400</v>
      </c>
      <c r="AY2956" s="46">
        <v>95932.047999999893</v>
      </c>
      <c r="AZ2956" s="46">
        <v>14.989000000000001</v>
      </c>
      <c r="BA2956" s="46" t="s">
        <v>63</v>
      </c>
      <c r="BB2956" s="46">
        <v>5100</v>
      </c>
      <c r="BC2956" s="46">
        <v>83909.851999999999</v>
      </c>
      <c r="BD2956" s="46">
        <v>16.452999999999999</v>
      </c>
      <c r="BE2956" s="46">
        <v>-4153.6000000000004</v>
      </c>
      <c r="BF2956" s="46">
        <v>51102.099999999897</v>
      </c>
      <c r="BG2956" s="46">
        <v>14.6</v>
      </c>
      <c r="BH2956" s="46">
        <v>0</v>
      </c>
      <c r="BJ2956">
        <v>51102.1</v>
      </c>
      <c r="BK2956">
        <v>14.6</v>
      </c>
      <c r="BL2956">
        <v>-479.57</v>
      </c>
    </row>
    <row r="2957" spans="1:64" x14ac:dyDescent="0.25">
      <c r="A2957" s="136">
        <v>43228</v>
      </c>
      <c r="B2957" s="201" t="s">
        <v>65</v>
      </c>
      <c r="C2957" t="s">
        <v>127</v>
      </c>
      <c r="D2957">
        <v>17500</v>
      </c>
      <c r="E2957">
        <v>17500</v>
      </c>
      <c r="F2957">
        <v>9.3249999999999993</v>
      </c>
      <c r="G2957">
        <v>-6042.52</v>
      </c>
      <c r="H2957">
        <v>-3.7</v>
      </c>
      <c r="I2957" s="309">
        <v>157150</v>
      </c>
      <c r="J2957">
        <v>8.98</v>
      </c>
      <c r="K2957" s="133">
        <v>0.32583303626856502</v>
      </c>
      <c r="L2957" s="181">
        <v>1836.79</v>
      </c>
      <c r="M2957" s="133">
        <v>0.33836152903543498</v>
      </c>
      <c r="N2957" s="73">
        <v>-9099.9389999999894</v>
      </c>
      <c r="O2957" s="73">
        <v>-532.15207814918404</v>
      </c>
      <c r="P2957" s="182">
        <v>3</v>
      </c>
      <c r="Q2957" s="182">
        <v>1500</v>
      </c>
      <c r="R2957" s="46">
        <v>9.0470000000000006</v>
      </c>
      <c r="S2957" s="46">
        <v>8</v>
      </c>
      <c r="T2957" s="46">
        <v>3300</v>
      </c>
      <c r="U2957" s="46">
        <v>12.547000000000001</v>
      </c>
      <c r="V2957" s="46" t="s">
        <v>68</v>
      </c>
      <c r="W2957" s="46">
        <v>1800</v>
      </c>
      <c r="X2957" s="46">
        <v>15.464</v>
      </c>
      <c r="AF2957" s="46">
        <v>187</v>
      </c>
      <c r="AG2957" s="46">
        <v>99200</v>
      </c>
      <c r="AH2957" s="46">
        <v>1131150.2309999999</v>
      </c>
      <c r="AI2957" s="46">
        <v>11.403</v>
      </c>
      <c r="AJ2957" s="46">
        <v>206</v>
      </c>
      <c r="AK2957" s="46">
        <v>89100</v>
      </c>
      <c r="AL2957" s="46">
        <v>939384.69400000002</v>
      </c>
      <c r="AM2957" s="46">
        <v>10.542999999999999</v>
      </c>
      <c r="AN2957" s="46" t="s">
        <v>63</v>
      </c>
      <c r="AO2957" s="46">
        <v>10100</v>
      </c>
      <c r="AP2957" s="46">
        <v>191765.53700000001</v>
      </c>
      <c r="AQ2957" s="46">
        <v>18.986999999999998</v>
      </c>
      <c r="AR2957" s="46">
        <v>-76626</v>
      </c>
      <c r="AS2957" s="46">
        <v>191</v>
      </c>
      <c r="AT2957" s="46">
        <v>100800</v>
      </c>
      <c r="AU2957" s="46">
        <v>1146023.2309999999</v>
      </c>
      <c r="AV2957" s="46">
        <v>11.369</v>
      </c>
      <c r="AW2957" s="46">
        <v>214</v>
      </c>
      <c r="AX2957" s="46">
        <v>92400</v>
      </c>
      <c r="AY2957" s="46">
        <v>980707.29</v>
      </c>
      <c r="AZ2957" s="46">
        <v>10.614000000000001</v>
      </c>
      <c r="BA2957" s="46" t="s">
        <v>63</v>
      </c>
      <c r="BB2957" s="46">
        <v>8400</v>
      </c>
      <c r="BC2957" s="46">
        <v>165315.94099999999</v>
      </c>
      <c r="BD2957" s="46">
        <v>19.68</v>
      </c>
      <c r="BE2957" s="46">
        <v>-69762</v>
      </c>
      <c r="BF2957" s="46">
        <v>14873</v>
      </c>
      <c r="BG2957" s="46">
        <v>9.92</v>
      </c>
      <c r="BH2957" s="46">
        <v>41322.5960000001</v>
      </c>
      <c r="BI2957">
        <v>12.52</v>
      </c>
      <c r="BJ2957">
        <v>-26449.596000000001</v>
      </c>
      <c r="BK2957">
        <v>-14.69</v>
      </c>
      <c r="BL2957">
        <v>-8532.9599999999991</v>
      </c>
    </row>
    <row r="2958" spans="1:64" x14ac:dyDescent="0.25">
      <c r="A2958" s="136">
        <v>43228</v>
      </c>
      <c r="B2958" s="201" t="s">
        <v>77</v>
      </c>
      <c r="C2958" t="s">
        <v>128</v>
      </c>
      <c r="D2958">
        <v>4300</v>
      </c>
      <c r="E2958">
        <v>4300</v>
      </c>
      <c r="F2958">
        <v>5.9779999999999998</v>
      </c>
      <c r="G2958">
        <v>-595.27</v>
      </c>
      <c r="H2958">
        <v>-2.31</v>
      </c>
      <c r="I2958" s="309">
        <v>25112</v>
      </c>
      <c r="J2958">
        <v>5.84</v>
      </c>
      <c r="K2958" s="133">
        <v>5.2066937364150301E-2</v>
      </c>
      <c r="L2958" s="181">
        <v>0</v>
      </c>
      <c r="M2958" s="133">
        <v>5.3301163463415902E-2</v>
      </c>
      <c r="N2958" s="73">
        <v>-1272.2139999999999</v>
      </c>
      <c r="O2958" s="73">
        <v>-133.073774655173</v>
      </c>
      <c r="P2958" s="182">
        <v>6</v>
      </c>
      <c r="Q2958" s="182">
        <v>3000</v>
      </c>
      <c r="R2958" s="46">
        <v>6.798</v>
      </c>
      <c r="S2958" s="46">
        <v>0</v>
      </c>
      <c r="T2958" s="46">
        <v>0</v>
      </c>
      <c r="U2958" s="46">
        <v>0</v>
      </c>
      <c r="V2958" s="46" t="s">
        <v>62</v>
      </c>
      <c r="W2958" s="46">
        <v>3000</v>
      </c>
      <c r="X2958" s="46">
        <v>6.798</v>
      </c>
      <c r="AF2958" s="46">
        <v>39</v>
      </c>
      <c r="AG2958" s="46">
        <v>19500</v>
      </c>
      <c r="AH2958" s="46">
        <v>142169</v>
      </c>
      <c r="AI2958" s="46">
        <v>7.2910000000000004</v>
      </c>
      <c r="AJ2958" s="46">
        <v>39</v>
      </c>
      <c r="AK2958" s="46">
        <v>18200</v>
      </c>
      <c r="AL2958" s="46">
        <v>136881.78599999999</v>
      </c>
      <c r="AM2958" s="46">
        <v>7.5209999999999999</v>
      </c>
      <c r="AN2958" s="46" t="s">
        <v>63</v>
      </c>
      <c r="AO2958" s="46">
        <v>1300</v>
      </c>
      <c r="AP2958" s="46">
        <v>5287.2139999999999</v>
      </c>
      <c r="AQ2958" s="46">
        <v>4.0670000000000002</v>
      </c>
      <c r="AR2958" s="46">
        <v>4186</v>
      </c>
      <c r="AS2958" s="46">
        <v>45</v>
      </c>
      <c r="AT2958" s="46">
        <v>22500</v>
      </c>
      <c r="AU2958" s="46">
        <v>162594</v>
      </c>
      <c r="AV2958" s="46">
        <v>7.226</v>
      </c>
      <c r="AW2958" s="46">
        <v>39</v>
      </c>
      <c r="AX2958" s="46">
        <v>18200</v>
      </c>
      <c r="AY2958" s="46">
        <v>136881.78599999999</v>
      </c>
      <c r="AZ2958" s="46">
        <v>7.5209999999999999</v>
      </c>
      <c r="BA2958" s="46" t="s">
        <v>63</v>
      </c>
      <c r="BB2958" s="46">
        <v>4300</v>
      </c>
      <c r="BC2958" s="46">
        <v>25712.214</v>
      </c>
      <c r="BD2958" s="46">
        <v>5.98</v>
      </c>
      <c r="BE2958" s="46">
        <v>5369</v>
      </c>
      <c r="BF2958" s="46">
        <v>20425</v>
      </c>
      <c r="BG2958" s="46">
        <v>6.81</v>
      </c>
      <c r="BH2958" s="46">
        <v>0</v>
      </c>
      <c r="BJ2958">
        <v>20425</v>
      </c>
      <c r="BK2958">
        <v>6.81</v>
      </c>
      <c r="BL2958">
        <v>716.78</v>
      </c>
    </row>
    <row r="2959" spans="1:64" x14ac:dyDescent="0.25">
      <c r="A2959" s="136">
        <v>43228</v>
      </c>
      <c r="B2959" s="201" t="s">
        <v>67</v>
      </c>
      <c r="C2959" t="s">
        <v>129</v>
      </c>
      <c r="D2959">
        <v>100</v>
      </c>
      <c r="E2959">
        <v>100</v>
      </c>
      <c r="F2959">
        <v>-32.534999999999997</v>
      </c>
      <c r="G2959">
        <v>4253.5</v>
      </c>
      <c r="H2959">
        <v>0</v>
      </c>
      <c r="I2959" s="309">
        <v>1000</v>
      </c>
      <c r="J2959">
        <v>10</v>
      </c>
      <c r="K2959" s="133">
        <v>2.0733887131311802E-3</v>
      </c>
      <c r="L2959" s="181">
        <v>2</v>
      </c>
      <c r="M2959" s="133">
        <v>0</v>
      </c>
      <c r="N2959" s="73">
        <v>4250.7294999997503</v>
      </c>
      <c r="O2959" s="73">
        <v>426.13883001502302</v>
      </c>
      <c r="P2959" s="182">
        <v>0</v>
      </c>
      <c r="Q2959" s="182">
        <v>0</v>
      </c>
      <c r="R2959" s="46">
        <v>0</v>
      </c>
      <c r="S2959" s="46">
        <v>24</v>
      </c>
      <c r="T2959" s="46">
        <v>9600</v>
      </c>
      <c r="U2959" s="46">
        <v>8.9969999999999999</v>
      </c>
      <c r="V2959" s="46" t="s">
        <v>68</v>
      </c>
      <c r="W2959" s="46">
        <v>9600</v>
      </c>
      <c r="X2959" s="46">
        <v>8.9969999999999999</v>
      </c>
      <c r="AF2959" s="46">
        <v>191</v>
      </c>
      <c r="AG2959" s="46">
        <v>94900</v>
      </c>
      <c r="AH2959" s="46">
        <v>790815</v>
      </c>
      <c r="AI2959" s="46">
        <v>8.3330000000000002</v>
      </c>
      <c r="AJ2959" s="46">
        <v>195</v>
      </c>
      <c r="AK2959" s="46">
        <v>87800</v>
      </c>
      <c r="AL2959" s="46">
        <v>777028.71750000003</v>
      </c>
      <c r="AM2959" s="46">
        <v>8.85</v>
      </c>
      <c r="AN2959" s="46" t="s">
        <v>63</v>
      </c>
      <c r="AO2959" s="46">
        <v>7100</v>
      </c>
      <c r="AP2959" s="46">
        <v>13786.281999999999</v>
      </c>
      <c r="AQ2959" s="46">
        <v>1.9419999999999999</v>
      </c>
      <c r="AR2959" s="46">
        <v>45392.6</v>
      </c>
      <c r="AS2959" s="46">
        <v>191</v>
      </c>
      <c r="AT2959" s="46">
        <v>94900</v>
      </c>
      <c r="AU2959" s="46">
        <v>790815</v>
      </c>
      <c r="AV2959" s="46">
        <v>8.3330000000000002</v>
      </c>
      <c r="AW2959" s="46">
        <v>219</v>
      </c>
      <c r="AX2959" s="46">
        <v>97400</v>
      </c>
      <c r="AY2959" s="46">
        <v>863196.84550000005</v>
      </c>
      <c r="AZ2959" s="46">
        <v>8.8620000000000001</v>
      </c>
      <c r="BA2959" s="46" t="s">
        <v>69</v>
      </c>
      <c r="BB2959" s="46">
        <v>2500</v>
      </c>
      <c r="BC2959" s="46">
        <v>72381.846000000005</v>
      </c>
      <c r="BD2959" s="46">
        <v>28.952999999999999</v>
      </c>
      <c r="BE2959" s="46">
        <v>50202.1</v>
      </c>
      <c r="BF2959" s="46">
        <v>0</v>
      </c>
      <c r="BH2959" s="46">
        <v>86168.127999999997</v>
      </c>
      <c r="BI2959">
        <v>8.98</v>
      </c>
      <c r="BJ2959">
        <v>58595.563999999998</v>
      </c>
      <c r="BK2959">
        <v>6.1</v>
      </c>
      <c r="BL2959">
        <v>4539.26</v>
      </c>
    </row>
    <row r="2960" spans="1:64" x14ac:dyDescent="0.25">
      <c r="A2960" s="136">
        <v>43228</v>
      </c>
      <c r="B2960" s="201" t="s">
        <v>78</v>
      </c>
      <c r="C2960" t="s">
        <v>142</v>
      </c>
      <c r="D2960">
        <v>600</v>
      </c>
      <c r="E2960">
        <v>600</v>
      </c>
      <c r="F2960">
        <v>6.9409999999999998</v>
      </c>
      <c r="G2960">
        <v>1553.39</v>
      </c>
      <c r="H2960">
        <v>37.299999999999997</v>
      </c>
      <c r="I2960" s="309">
        <v>5718</v>
      </c>
      <c r="J2960">
        <v>9.5299999999999994</v>
      </c>
      <c r="K2960" s="133">
        <v>1.1855636661684101E-2</v>
      </c>
      <c r="L2960" s="181">
        <v>102</v>
      </c>
      <c r="M2960" s="133">
        <v>8.6348553685932604E-3</v>
      </c>
      <c r="N2960" s="73">
        <v>1415.3910000000001</v>
      </c>
      <c r="O2960" s="73">
        <v>152.11648435483801</v>
      </c>
      <c r="P2960" s="182">
        <v>0</v>
      </c>
      <c r="Q2960" s="182">
        <v>0</v>
      </c>
      <c r="R2960" s="46">
        <v>0</v>
      </c>
      <c r="S2960" s="46">
        <v>2</v>
      </c>
      <c r="T2960" s="46">
        <v>800</v>
      </c>
      <c r="U2960" s="46">
        <v>10.210000000000001</v>
      </c>
      <c r="V2960" s="46" t="s">
        <v>68</v>
      </c>
      <c r="W2960" s="46">
        <v>800</v>
      </c>
      <c r="X2960" s="46">
        <v>10.210000000000001</v>
      </c>
      <c r="AF2960" s="46">
        <v>14</v>
      </c>
      <c r="AG2960" s="46">
        <v>7000</v>
      </c>
      <c r="AH2960" s="46">
        <v>67625</v>
      </c>
      <c r="AI2960" s="46">
        <v>9.6609999999999996</v>
      </c>
      <c r="AJ2960" s="46">
        <v>15</v>
      </c>
      <c r="AK2960" s="46">
        <v>5600</v>
      </c>
      <c r="AL2960" s="46">
        <v>55310.559000000001</v>
      </c>
      <c r="AM2960" s="46">
        <v>9.8770000000000007</v>
      </c>
      <c r="AN2960" s="46" t="s">
        <v>63</v>
      </c>
      <c r="AO2960" s="46">
        <v>1400</v>
      </c>
      <c r="AP2960" s="46">
        <v>12314.441000000001</v>
      </c>
      <c r="AQ2960" s="46">
        <v>8.7959999999999994</v>
      </c>
      <c r="AR2960" s="46">
        <v>1209.5999999999999</v>
      </c>
      <c r="AS2960" s="46">
        <v>14</v>
      </c>
      <c r="AT2960" s="46">
        <v>7000</v>
      </c>
      <c r="AU2960" s="46">
        <v>67625</v>
      </c>
      <c r="AV2960" s="46">
        <v>9.6609999999999996</v>
      </c>
      <c r="AW2960" s="46">
        <v>17</v>
      </c>
      <c r="AX2960" s="46">
        <v>6400</v>
      </c>
      <c r="AY2960" s="46">
        <v>63460.391000000003</v>
      </c>
      <c r="AZ2960" s="46">
        <v>9.9160000000000004</v>
      </c>
      <c r="BA2960" s="46" t="s">
        <v>63</v>
      </c>
      <c r="BB2960" s="46">
        <v>600</v>
      </c>
      <c r="BC2960" s="46">
        <v>4164.6090000000004</v>
      </c>
      <c r="BD2960" s="46">
        <v>6.9409999999999998</v>
      </c>
      <c r="BE2960" s="46">
        <v>1632</v>
      </c>
      <c r="BF2960" s="46">
        <v>0</v>
      </c>
      <c r="BH2960" s="46">
        <v>8149.8320000000003</v>
      </c>
      <c r="BI2960">
        <v>10.19</v>
      </c>
      <c r="BJ2960">
        <v>-8149.8320000000003</v>
      </c>
      <c r="BK2960">
        <v>-10.19</v>
      </c>
      <c r="BL2960">
        <v>126.93</v>
      </c>
    </row>
    <row r="2961" spans="1:64" x14ac:dyDescent="0.25">
      <c r="A2961" s="136">
        <v>43228</v>
      </c>
      <c r="B2961" s="201" t="s">
        <v>72</v>
      </c>
      <c r="C2961" t="s">
        <v>130</v>
      </c>
      <c r="D2961">
        <v>600</v>
      </c>
      <c r="E2961">
        <v>600</v>
      </c>
      <c r="F2961">
        <v>5.9850000000000003</v>
      </c>
      <c r="G2961">
        <v>638.88</v>
      </c>
      <c r="H2961">
        <v>17.8</v>
      </c>
      <c r="I2961" s="309">
        <v>4230</v>
      </c>
      <c r="J2961">
        <v>7.05</v>
      </c>
      <c r="K2961" s="133">
        <v>8.7704342565449005E-3</v>
      </c>
      <c r="L2961" s="181">
        <v>-66</v>
      </c>
      <c r="M2961" s="133">
        <v>7.4457876754996499E-3</v>
      </c>
      <c r="N2961" s="73">
        <v>-3912.82799999999</v>
      </c>
      <c r="O2961" s="73">
        <v>99.794367548749605</v>
      </c>
      <c r="P2961" s="182">
        <v>0</v>
      </c>
      <c r="Q2961" s="182">
        <v>0</v>
      </c>
      <c r="R2961" s="46">
        <v>0</v>
      </c>
      <c r="S2961" s="46">
        <v>19</v>
      </c>
      <c r="T2961" s="46">
        <v>7600</v>
      </c>
      <c r="U2961" s="46">
        <v>7.2889999999999997</v>
      </c>
      <c r="V2961" s="46" t="s">
        <v>68</v>
      </c>
      <c r="W2961" s="46">
        <v>7600</v>
      </c>
      <c r="X2961" s="46">
        <v>7.2889999999999997</v>
      </c>
      <c r="AF2961" s="46">
        <v>37</v>
      </c>
      <c r="AG2961" s="46">
        <v>18400</v>
      </c>
      <c r="AH2961" s="46">
        <v>137152</v>
      </c>
      <c r="AI2961" s="46">
        <v>7.4539999999999997</v>
      </c>
      <c r="AJ2961" s="46">
        <v>37</v>
      </c>
      <c r="AK2961" s="46">
        <v>16800</v>
      </c>
      <c r="AL2961" s="46">
        <v>79043.756999999998</v>
      </c>
      <c r="AM2961" s="46">
        <v>4.7050000000000001</v>
      </c>
      <c r="AN2961" s="46" t="s">
        <v>63</v>
      </c>
      <c r="AO2961" s="46">
        <v>1600</v>
      </c>
      <c r="AP2961" s="46">
        <v>58108.243000000002</v>
      </c>
      <c r="AQ2961" s="46">
        <v>36.317999999999998</v>
      </c>
      <c r="AR2961" s="46">
        <v>-46183.199999999997</v>
      </c>
      <c r="AS2961" s="46">
        <v>37</v>
      </c>
      <c r="AT2961" s="46">
        <v>18400</v>
      </c>
      <c r="AU2961" s="46">
        <v>137152</v>
      </c>
      <c r="AV2961" s="46">
        <v>7.4539999999999997</v>
      </c>
      <c r="AW2961" s="46">
        <v>57</v>
      </c>
      <c r="AX2961" s="46">
        <v>24900</v>
      </c>
      <c r="AY2961" s="46">
        <v>134293.35699999999</v>
      </c>
      <c r="AZ2961" s="46">
        <v>5.3929999999999998</v>
      </c>
      <c r="BA2961" s="46" t="s">
        <v>69</v>
      </c>
      <c r="BB2961" s="46">
        <v>6500</v>
      </c>
      <c r="BC2961" s="46">
        <v>2858.643</v>
      </c>
      <c r="BD2961" s="46">
        <v>0.44</v>
      </c>
      <c r="BE2961" s="46">
        <v>-37922.400000000001</v>
      </c>
      <c r="BF2961" s="46">
        <v>0</v>
      </c>
      <c r="BH2961" s="46">
        <v>55249.599999999999</v>
      </c>
      <c r="BI2961">
        <v>7.27</v>
      </c>
      <c r="BJ2961">
        <v>-55249.599999999999</v>
      </c>
      <c r="BK2961">
        <v>-7.27</v>
      </c>
      <c r="BL2961">
        <v>-6550.81</v>
      </c>
    </row>
    <row r="2962" spans="1:64" x14ac:dyDescent="0.25">
      <c r="A2962" s="136">
        <v>43228</v>
      </c>
      <c r="B2962" s="201" t="s">
        <v>70</v>
      </c>
      <c r="C2962" t="s">
        <v>131</v>
      </c>
      <c r="D2962">
        <v>11300</v>
      </c>
      <c r="E2962">
        <v>11300</v>
      </c>
      <c r="F2962">
        <v>11.66</v>
      </c>
      <c r="G2962">
        <v>-24749.040000000001</v>
      </c>
      <c r="H2962">
        <v>-18.78</v>
      </c>
      <c r="I2962" s="309">
        <v>107011</v>
      </c>
      <c r="J2962">
        <v>9.4700000000000006</v>
      </c>
      <c r="K2962" s="133">
        <v>0.22187539958088101</v>
      </c>
      <c r="L2962" s="181">
        <v>1582</v>
      </c>
      <c r="M2962" s="133">
        <v>0.27318977977771303</v>
      </c>
      <c r="N2962" s="73">
        <v>-25318.039000000001</v>
      </c>
      <c r="O2962" s="73">
        <v>-2686.3460701167801</v>
      </c>
      <c r="P2962" s="182">
        <v>3</v>
      </c>
      <c r="Q2962" s="182">
        <v>1500</v>
      </c>
      <c r="R2962" s="46">
        <v>8.4169999999999998</v>
      </c>
      <c r="S2962" s="46">
        <v>7</v>
      </c>
      <c r="T2962" s="46">
        <v>2900</v>
      </c>
      <c r="U2962" s="46">
        <v>9.0790000000000006</v>
      </c>
      <c r="V2962" s="46" t="s">
        <v>68</v>
      </c>
      <c r="W2962" s="46">
        <v>1400</v>
      </c>
      <c r="X2962" s="46">
        <v>9.7880000000000003</v>
      </c>
      <c r="AF2962" s="46">
        <v>137</v>
      </c>
      <c r="AG2962" s="46">
        <v>70100</v>
      </c>
      <c r="AH2962" s="46">
        <v>908028</v>
      </c>
      <c r="AI2962" s="46">
        <v>12.952999999999999</v>
      </c>
      <c r="AJ2962" s="46">
        <v>143</v>
      </c>
      <c r="AK2962" s="46">
        <v>57400</v>
      </c>
      <c r="AL2962" s="46">
        <v>762231.29</v>
      </c>
      <c r="AM2962" s="46">
        <v>13.279</v>
      </c>
      <c r="AN2962" s="46" t="s">
        <v>63</v>
      </c>
      <c r="AO2962" s="46">
        <v>12700</v>
      </c>
      <c r="AP2962" s="46">
        <v>145796.71</v>
      </c>
      <c r="AQ2962" s="46">
        <v>11.48</v>
      </c>
      <c r="AR2962" s="46">
        <v>18712.400000000001</v>
      </c>
      <c r="AS2962" s="46">
        <v>140</v>
      </c>
      <c r="AT2962" s="46">
        <v>71600</v>
      </c>
      <c r="AU2962" s="46">
        <v>920668</v>
      </c>
      <c r="AV2962" s="46">
        <v>12.858000000000001</v>
      </c>
      <c r="AW2962" s="46">
        <v>151</v>
      </c>
      <c r="AX2962" s="46">
        <v>60300</v>
      </c>
      <c r="AY2962" s="46">
        <v>788903.96100000001</v>
      </c>
      <c r="AZ2962" s="46">
        <v>13.083</v>
      </c>
      <c r="BA2962" s="46" t="s">
        <v>63</v>
      </c>
      <c r="BB2962" s="46">
        <v>11300</v>
      </c>
      <c r="BC2962" s="46">
        <v>131764.03899999999</v>
      </c>
      <c r="BD2962" s="46">
        <v>11.661</v>
      </c>
      <c r="BE2962" s="46">
        <v>13567.5</v>
      </c>
      <c r="BF2962" s="46">
        <v>12640</v>
      </c>
      <c r="BG2962" s="46">
        <v>8.43</v>
      </c>
      <c r="BH2962" s="46">
        <v>26672.6710000001</v>
      </c>
      <c r="BI2962">
        <v>9.1999999999999993</v>
      </c>
      <c r="BJ2962">
        <v>-14032.671</v>
      </c>
      <c r="BK2962">
        <v>-10.02</v>
      </c>
      <c r="BL2962">
        <v>1975.97</v>
      </c>
    </row>
    <row r="2963" spans="1:64" x14ac:dyDescent="0.25">
      <c r="A2963" s="136">
        <v>43228</v>
      </c>
      <c r="B2963" s="201" t="s">
        <v>137</v>
      </c>
      <c r="C2963" t="s">
        <v>149</v>
      </c>
      <c r="D2963">
        <v>100</v>
      </c>
      <c r="E2963">
        <v>100</v>
      </c>
      <c r="F2963">
        <v>-130.48500000000001</v>
      </c>
      <c r="G2963">
        <v>17486.5</v>
      </c>
      <c r="H2963">
        <v>0</v>
      </c>
      <c r="I2963" s="309">
        <v>4438</v>
      </c>
      <c r="J2963">
        <v>44.38</v>
      </c>
      <c r="K2963" s="133">
        <v>9.20169910887619E-3</v>
      </c>
      <c r="L2963" s="181">
        <v>-50</v>
      </c>
      <c r="M2963" s="133">
        <v>0</v>
      </c>
    </row>
    <row r="2964" spans="1:64" x14ac:dyDescent="0.25">
      <c r="A2964" s="136">
        <v>43228</v>
      </c>
      <c r="B2964" s="201" t="s">
        <v>835</v>
      </c>
      <c r="C2964" t="s">
        <v>839</v>
      </c>
      <c r="I2964" s="309">
        <v>4935.2</v>
      </c>
      <c r="K2964" s="133">
        <v>1.0232587977045E-2</v>
      </c>
      <c r="L2964" s="181">
        <v>0</v>
      </c>
      <c r="M2964" s="133">
        <v>0.15598565654568899</v>
      </c>
    </row>
    <row r="2965" spans="1:64" x14ac:dyDescent="0.25">
      <c r="A2965" s="136">
        <v>43230</v>
      </c>
      <c r="B2965" s="201" t="s">
        <v>132</v>
      </c>
      <c r="C2965" t="s">
        <v>123</v>
      </c>
      <c r="D2965">
        <v>7030678</v>
      </c>
      <c r="E2965">
        <v>7030678</v>
      </c>
      <c r="F2965">
        <v>8.9999999999999993E-3</v>
      </c>
      <c r="G2965">
        <v>3552.34</v>
      </c>
      <c r="H2965">
        <v>11.11</v>
      </c>
      <c r="I2965" s="309">
        <v>70306.78</v>
      </c>
      <c r="J2965">
        <v>0.01</v>
      </c>
      <c r="K2965" s="133">
        <v>0.144771060572465</v>
      </c>
      <c r="L2965" s="181">
        <v>9.75</v>
      </c>
      <c r="M2965" s="133">
        <v>0</v>
      </c>
    </row>
    <row r="2966" spans="1:64" x14ac:dyDescent="0.25">
      <c r="A2966" s="136">
        <v>43230</v>
      </c>
      <c r="B2966" s="201" t="s">
        <v>61</v>
      </c>
      <c r="C2966" t="s">
        <v>136</v>
      </c>
      <c r="D2966">
        <v>3900</v>
      </c>
      <c r="E2966">
        <v>3900</v>
      </c>
      <c r="F2966">
        <v>5.0519999999999996</v>
      </c>
      <c r="G2966">
        <v>-1645.1</v>
      </c>
      <c r="H2966">
        <v>-8.35</v>
      </c>
      <c r="I2966" s="309">
        <v>18057</v>
      </c>
      <c r="J2966">
        <v>4.63</v>
      </c>
      <c r="K2966" s="133">
        <v>3.7181777358556503E-2</v>
      </c>
      <c r="L2966" s="181">
        <v>-39</v>
      </c>
      <c r="M2966" s="133">
        <v>4.0569258220967797E-2</v>
      </c>
      <c r="N2966" s="73">
        <v>-1807.1410000000001</v>
      </c>
      <c r="O2966" s="73">
        <v>-393.515779847494</v>
      </c>
      <c r="P2966" s="182">
        <v>6</v>
      </c>
      <c r="Q2966" s="182">
        <v>3000</v>
      </c>
      <c r="R2966" s="46">
        <v>5.0350000000000001</v>
      </c>
      <c r="S2966" s="46">
        <v>0</v>
      </c>
      <c r="T2966" s="46">
        <v>0</v>
      </c>
      <c r="U2966" s="46">
        <v>0</v>
      </c>
      <c r="V2966" s="46" t="s">
        <v>62</v>
      </c>
      <c r="W2966" s="46">
        <v>3000</v>
      </c>
      <c r="X2966" s="46">
        <v>5.0350000000000001</v>
      </c>
      <c r="AF2966" s="46">
        <v>10</v>
      </c>
      <c r="AG2966" s="46">
        <v>5000</v>
      </c>
      <c r="AH2966" s="46">
        <v>26378</v>
      </c>
      <c r="AI2966" s="46">
        <v>5.2759999999999998</v>
      </c>
      <c r="AJ2966" s="46">
        <v>10</v>
      </c>
      <c r="AK2966" s="46">
        <v>4100</v>
      </c>
      <c r="AL2966" s="46">
        <v>21806.659</v>
      </c>
      <c r="AM2966" s="46">
        <v>5.319</v>
      </c>
      <c r="AN2966" s="46" t="s">
        <v>63</v>
      </c>
      <c r="AO2966" s="46">
        <v>900</v>
      </c>
      <c r="AP2966" s="46">
        <v>4571.3410000000003</v>
      </c>
      <c r="AQ2966" s="46">
        <v>5.0789999999999997</v>
      </c>
      <c r="AR2966" s="46">
        <v>176.3</v>
      </c>
      <c r="AS2966" s="46">
        <v>16</v>
      </c>
      <c r="AT2966" s="46">
        <v>8000</v>
      </c>
      <c r="AU2966" s="46">
        <v>41514.800000000003</v>
      </c>
      <c r="AV2966" s="46">
        <v>5.1890000000000001</v>
      </c>
      <c r="AW2966" s="46">
        <v>10</v>
      </c>
      <c r="AX2966" s="46">
        <v>4100</v>
      </c>
      <c r="AY2966" s="46">
        <v>21806.659</v>
      </c>
      <c r="AZ2966" s="46">
        <v>5.319</v>
      </c>
      <c r="BA2966" s="46" t="s">
        <v>63</v>
      </c>
      <c r="BB2966" s="46">
        <v>3900</v>
      </c>
      <c r="BC2966" s="46">
        <v>19708.141</v>
      </c>
      <c r="BD2966" s="46">
        <v>5.0529999999999999</v>
      </c>
      <c r="BE2966" s="46">
        <v>533</v>
      </c>
      <c r="BF2966" s="46">
        <v>15136.8</v>
      </c>
      <c r="BG2966" s="46">
        <v>5.05</v>
      </c>
      <c r="BH2966" s="46">
        <v>0</v>
      </c>
      <c r="BJ2966">
        <v>15136.8</v>
      </c>
      <c r="BK2966">
        <v>5.05</v>
      </c>
      <c r="BL2966">
        <v>38.08</v>
      </c>
    </row>
    <row r="2967" spans="1:64" x14ac:dyDescent="0.25">
      <c r="A2967" s="136">
        <v>43230</v>
      </c>
      <c r="B2967" s="201" t="s">
        <v>124</v>
      </c>
      <c r="C2967" t="s">
        <v>125</v>
      </c>
      <c r="D2967">
        <v>100</v>
      </c>
      <c r="E2967">
        <v>100</v>
      </c>
      <c r="F2967">
        <v>-53.579000000000001</v>
      </c>
      <c r="G2967">
        <v>5956.9</v>
      </c>
      <c r="H2967">
        <v>0</v>
      </c>
      <c r="I2967" s="309">
        <v>599</v>
      </c>
      <c r="J2967">
        <v>5.99</v>
      </c>
      <c r="K2967" s="133">
        <v>1.23342109086644E-3</v>
      </c>
      <c r="L2967" s="181">
        <v>1</v>
      </c>
      <c r="M2967" s="133">
        <v>0</v>
      </c>
    </row>
    <row r="2968" spans="1:64" x14ac:dyDescent="0.25">
      <c r="A2968" s="136">
        <v>43230</v>
      </c>
      <c r="B2968" s="201" t="s">
        <v>71</v>
      </c>
      <c r="C2968" t="s">
        <v>126</v>
      </c>
      <c r="D2968">
        <v>1300</v>
      </c>
      <c r="E2968">
        <v>1300</v>
      </c>
      <c r="F2968">
        <v>4.7699999999999996</v>
      </c>
      <c r="G2968">
        <v>2352.96</v>
      </c>
      <c r="H2968">
        <v>37.950000000000003</v>
      </c>
      <c r="I2968" s="309">
        <v>8554</v>
      </c>
      <c r="J2968">
        <v>6.58</v>
      </c>
      <c r="K2968" s="133">
        <v>1.76138297350109E-2</v>
      </c>
      <c r="L2968" s="181">
        <v>-91</v>
      </c>
      <c r="M2968" s="133">
        <v>1.27687704863213E-2</v>
      </c>
      <c r="N2968" s="73">
        <v>4816.0060000000003</v>
      </c>
      <c r="O2968" s="73">
        <v>367.08042812030101</v>
      </c>
      <c r="P2968" s="182">
        <v>0</v>
      </c>
      <c r="Q2968" s="182">
        <v>0</v>
      </c>
      <c r="R2968" s="46">
        <v>0</v>
      </c>
      <c r="S2968" s="46">
        <v>5</v>
      </c>
      <c r="T2968" s="46">
        <v>1900</v>
      </c>
      <c r="U2968" s="46">
        <v>6.7430000000000003</v>
      </c>
      <c r="V2968" s="46" t="s">
        <v>68</v>
      </c>
      <c r="W2968" s="46">
        <v>1900</v>
      </c>
      <c r="X2968" s="46">
        <v>6.7430000000000003</v>
      </c>
      <c r="AF2968" s="46">
        <v>45</v>
      </c>
      <c r="AG2968" s="46">
        <v>22600</v>
      </c>
      <c r="AH2968" s="46">
        <v>144534.56</v>
      </c>
      <c r="AI2968" s="46">
        <v>6.3949999999999996</v>
      </c>
      <c r="AJ2968" s="46">
        <v>43</v>
      </c>
      <c r="AK2968" s="46">
        <v>19400</v>
      </c>
      <c r="AL2968" s="46">
        <v>125389.618</v>
      </c>
      <c r="AM2968" s="46">
        <v>6.4630000000000001</v>
      </c>
      <c r="AN2968" s="46" t="s">
        <v>63</v>
      </c>
      <c r="AO2968" s="46">
        <v>3200</v>
      </c>
      <c r="AP2968" s="46">
        <v>19144.941999999999</v>
      </c>
      <c r="AQ2968" s="46">
        <v>5.9829999999999997</v>
      </c>
      <c r="AR2968" s="46">
        <v>1319.2</v>
      </c>
      <c r="AS2968" s="46">
        <v>45</v>
      </c>
      <c r="AT2968" s="46">
        <v>22600</v>
      </c>
      <c r="AU2968" s="46">
        <v>144534.56</v>
      </c>
      <c r="AV2968" s="46">
        <v>6.3949999999999996</v>
      </c>
      <c r="AW2968" s="46">
        <v>48</v>
      </c>
      <c r="AX2968" s="46">
        <v>21300</v>
      </c>
      <c r="AY2968" s="46">
        <v>138170.666</v>
      </c>
      <c r="AZ2968" s="46">
        <v>6.4870000000000001</v>
      </c>
      <c r="BA2968" s="46" t="s">
        <v>63</v>
      </c>
      <c r="BB2968" s="46">
        <v>1300</v>
      </c>
      <c r="BC2968" s="46">
        <v>6363.8940000000002</v>
      </c>
      <c r="BD2968" s="46">
        <v>4.8949999999999996</v>
      </c>
      <c r="BE2968" s="46">
        <v>1959.6</v>
      </c>
      <c r="BF2968" s="46">
        <v>0</v>
      </c>
      <c r="BH2968" s="46">
        <v>12781.048000000001</v>
      </c>
      <c r="BI2968">
        <v>6.73</v>
      </c>
      <c r="BJ2968">
        <v>-12781.048000000001</v>
      </c>
      <c r="BK2968">
        <v>-6.73</v>
      </c>
      <c r="BL2968">
        <v>200.49</v>
      </c>
    </row>
    <row r="2969" spans="1:64" x14ac:dyDescent="0.25">
      <c r="A2969" s="136">
        <v>43230</v>
      </c>
      <c r="B2969" s="201" t="s">
        <v>79</v>
      </c>
      <c r="C2969" t="s">
        <v>143</v>
      </c>
      <c r="D2969">
        <v>5100</v>
      </c>
      <c r="E2969">
        <v>5100</v>
      </c>
      <c r="F2969">
        <v>16.452000000000002</v>
      </c>
      <c r="G2969">
        <v>-7761.62</v>
      </c>
      <c r="H2969">
        <v>-9.25</v>
      </c>
      <c r="I2969" s="309">
        <v>76143</v>
      </c>
      <c r="J2969">
        <v>14.93</v>
      </c>
      <c r="K2969" s="133">
        <v>0.15678861789957199</v>
      </c>
      <c r="L2969" s="181">
        <v>1071</v>
      </c>
      <c r="M2969" s="133">
        <v>0.172770831267336</v>
      </c>
      <c r="N2969" s="73">
        <v>-8684.8520000001299</v>
      </c>
      <c r="O2969" s="73">
        <v>-588.50912366102602</v>
      </c>
      <c r="P2969" s="182">
        <v>7</v>
      </c>
      <c r="Q2969" s="182">
        <v>3500</v>
      </c>
      <c r="R2969" s="46">
        <v>14.59</v>
      </c>
      <c r="S2969" s="46">
        <v>0</v>
      </c>
      <c r="T2969" s="46">
        <v>0</v>
      </c>
      <c r="U2969" s="46">
        <v>0</v>
      </c>
      <c r="V2969" s="46" t="s">
        <v>62</v>
      </c>
      <c r="W2969" s="46">
        <v>3500</v>
      </c>
      <c r="X2969" s="46">
        <v>14.59</v>
      </c>
      <c r="AF2969" s="46">
        <v>15</v>
      </c>
      <c r="AG2969" s="46">
        <v>8000</v>
      </c>
      <c r="AH2969" s="46">
        <v>128739.8</v>
      </c>
      <c r="AI2969" s="46">
        <v>16.091999999999999</v>
      </c>
      <c r="AJ2969" s="46">
        <v>16</v>
      </c>
      <c r="AK2969" s="46">
        <v>6400</v>
      </c>
      <c r="AL2969" s="46">
        <v>95932.047999999893</v>
      </c>
      <c r="AM2969" s="46">
        <v>14.989000000000001</v>
      </c>
      <c r="AN2969" s="46" t="s">
        <v>63</v>
      </c>
      <c r="AO2969" s="46">
        <v>1600</v>
      </c>
      <c r="AP2969" s="46">
        <v>32807.752</v>
      </c>
      <c r="AQ2969" s="46">
        <v>20.504999999999999</v>
      </c>
      <c r="AR2969" s="46">
        <v>-7059.2</v>
      </c>
      <c r="AS2969" s="46">
        <v>22</v>
      </c>
      <c r="AT2969" s="46">
        <v>11500</v>
      </c>
      <c r="AU2969" s="46">
        <v>179841.9</v>
      </c>
      <c r="AV2969" s="46">
        <v>15.638</v>
      </c>
      <c r="AW2969" s="46">
        <v>16</v>
      </c>
      <c r="AX2969" s="46">
        <v>6400</v>
      </c>
      <c r="AY2969" s="46">
        <v>95932.047999999893</v>
      </c>
      <c r="AZ2969" s="46">
        <v>14.989000000000001</v>
      </c>
      <c r="BA2969" s="46" t="s">
        <v>63</v>
      </c>
      <c r="BB2969" s="46">
        <v>5100</v>
      </c>
      <c r="BC2969" s="46">
        <v>83909.851999999999</v>
      </c>
      <c r="BD2969" s="46">
        <v>16.452999999999999</v>
      </c>
      <c r="BE2969" s="46">
        <v>-4153.6000000000004</v>
      </c>
      <c r="BF2969" s="46">
        <v>51102.099999999897</v>
      </c>
      <c r="BG2969" s="46">
        <v>14.6</v>
      </c>
      <c r="BH2969" s="46">
        <v>0</v>
      </c>
      <c r="BJ2969">
        <v>51102.1</v>
      </c>
      <c r="BK2969">
        <v>14.6</v>
      </c>
      <c r="BL2969">
        <v>-472.82</v>
      </c>
    </row>
    <row r="2970" spans="1:64" x14ac:dyDescent="0.25">
      <c r="A2970" s="136">
        <v>43230</v>
      </c>
      <c r="B2970" s="201" t="s">
        <v>65</v>
      </c>
      <c r="C2970" t="s">
        <v>127</v>
      </c>
      <c r="D2970">
        <v>18000</v>
      </c>
      <c r="E2970">
        <v>18000</v>
      </c>
      <c r="F2970">
        <v>9.3140000000000001</v>
      </c>
      <c r="G2970">
        <v>-6912.52</v>
      </c>
      <c r="H2970">
        <v>-4.12</v>
      </c>
      <c r="I2970" s="309">
        <v>160740</v>
      </c>
      <c r="J2970">
        <v>8.93</v>
      </c>
      <c r="K2970" s="133">
        <v>0.33098515216339203</v>
      </c>
      <c r="L2970" s="181">
        <v>-870</v>
      </c>
      <c r="M2970" s="133">
        <v>0.34521895510001299</v>
      </c>
      <c r="N2970" s="73">
        <v>-11554.939</v>
      </c>
      <c r="O2970" s="73">
        <v>-815.908957042662</v>
      </c>
      <c r="P2970" s="182">
        <v>4</v>
      </c>
      <c r="Q2970" s="182">
        <v>2000</v>
      </c>
      <c r="R2970" s="46">
        <v>9.0129999999999999</v>
      </c>
      <c r="S2970" s="46">
        <v>8</v>
      </c>
      <c r="T2970" s="46">
        <v>3300</v>
      </c>
      <c r="U2970" s="46">
        <v>12.547000000000001</v>
      </c>
      <c r="V2970" s="46" t="s">
        <v>68</v>
      </c>
      <c r="W2970" s="46">
        <v>1300</v>
      </c>
      <c r="X2970" s="46">
        <v>17.984000000000002</v>
      </c>
      <c r="AF2970" s="46">
        <v>187</v>
      </c>
      <c r="AG2970" s="46">
        <v>99200</v>
      </c>
      <c r="AH2970" s="46">
        <v>1131150.2309999999</v>
      </c>
      <c r="AI2970" s="46">
        <v>11.403</v>
      </c>
      <c r="AJ2970" s="46">
        <v>206</v>
      </c>
      <c r="AK2970" s="46">
        <v>89100</v>
      </c>
      <c r="AL2970" s="46">
        <v>939384.69400000002</v>
      </c>
      <c r="AM2970" s="46">
        <v>10.542999999999999</v>
      </c>
      <c r="AN2970" s="46" t="s">
        <v>63</v>
      </c>
      <c r="AO2970" s="46">
        <v>10100</v>
      </c>
      <c r="AP2970" s="46">
        <v>191765.53700000001</v>
      </c>
      <c r="AQ2970" s="46">
        <v>18.986999999999998</v>
      </c>
      <c r="AR2970" s="46">
        <v>-76626</v>
      </c>
      <c r="AS2970" s="46">
        <v>192</v>
      </c>
      <c r="AT2970" s="46">
        <v>101300</v>
      </c>
      <c r="AU2970" s="46">
        <v>1150483.2309999999</v>
      </c>
      <c r="AV2970" s="46">
        <v>11.356999999999999</v>
      </c>
      <c r="AW2970" s="46">
        <v>214</v>
      </c>
      <c r="AX2970" s="46">
        <v>92400</v>
      </c>
      <c r="AY2970" s="46">
        <v>980707.29</v>
      </c>
      <c r="AZ2970" s="46">
        <v>10.614000000000001</v>
      </c>
      <c r="BA2970" s="46" t="s">
        <v>63</v>
      </c>
      <c r="BB2970" s="46">
        <v>8900</v>
      </c>
      <c r="BC2970" s="46">
        <v>169775.94099999999</v>
      </c>
      <c r="BD2970" s="46">
        <v>19.076000000000001</v>
      </c>
      <c r="BE2970" s="46">
        <v>-68653.2</v>
      </c>
      <c r="BF2970" s="46">
        <v>19333</v>
      </c>
      <c r="BG2970" s="46">
        <v>9.67</v>
      </c>
      <c r="BH2970" s="46">
        <v>41322.5960000001</v>
      </c>
      <c r="BI2970">
        <v>12.52</v>
      </c>
      <c r="BJ2970">
        <v>-21989.596000000001</v>
      </c>
      <c r="BK2970">
        <v>-16.920000000000002</v>
      </c>
      <c r="BL2970">
        <v>-8580.74</v>
      </c>
    </row>
    <row r="2971" spans="1:64" x14ac:dyDescent="0.25">
      <c r="A2971" s="136">
        <v>43230</v>
      </c>
      <c r="B2971" s="201" t="s">
        <v>77</v>
      </c>
      <c r="C2971" t="s">
        <v>128</v>
      </c>
      <c r="D2971">
        <v>4300</v>
      </c>
      <c r="E2971">
        <v>4300</v>
      </c>
      <c r="F2971">
        <v>5.9779999999999998</v>
      </c>
      <c r="G2971">
        <v>-595.27</v>
      </c>
      <c r="H2971">
        <v>-2.31</v>
      </c>
      <c r="I2971" s="309">
        <v>25112</v>
      </c>
      <c r="J2971">
        <v>5.84</v>
      </c>
      <c r="K2971" s="133">
        <v>5.1708965665839803E-2</v>
      </c>
      <c r="L2971" s="181">
        <v>0</v>
      </c>
      <c r="M2971" s="133">
        <v>5.2934706187976799E-2</v>
      </c>
      <c r="N2971" s="73">
        <v>-1272.2139999999999</v>
      </c>
      <c r="O2971" s="73">
        <v>-133.073774655173</v>
      </c>
      <c r="P2971" s="182">
        <v>6</v>
      </c>
      <c r="Q2971" s="182">
        <v>3000</v>
      </c>
      <c r="R2971" s="46">
        <v>6.798</v>
      </c>
      <c r="S2971" s="46">
        <v>0</v>
      </c>
      <c r="T2971" s="46">
        <v>0</v>
      </c>
      <c r="U2971" s="46">
        <v>0</v>
      </c>
      <c r="V2971" s="46" t="s">
        <v>62</v>
      </c>
      <c r="W2971" s="46">
        <v>3000</v>
      </c>
      <c r="X2971" s="46">
        <v>6.798</v>
      </c>
      <c r="AF2971" s="46">
        <v>39</v>
      </c>
      <c r="AG2971" s="46">
        <v>19500</v>
      </c>
      <c r="AH2971" s="46">
        <v>142169</v>
      </c>
      <c r="AI2971" s="46">
        <v>7.2910000000000004</v>
      </c>
      <c r="AJ2971" s="46">
        <v>39</v>
      </c>
      <c r="AK2971" s="46">
        <v>18200</v>
      </c>
      <c r="AL2971" s="46">
        <v>136881.78599999999</v>
      </c>
      <c r="AM2971" s="46">
        <v>7.5209999999999999</v>
      </c>
      <c r="AN2971" s="46" t="s">
        <v>63</v>
      </c>
      <c r="AO2971" s="46">
        <v>1300</v>
      </c>
      <c r="AP2971" s="46">
        <v>5287.2139999999999</v>
      </c>
      <c r="AQ2971" s="46">
        <v>4.0670000000000002</v>
      </c>
      <c r="AR2971" s="46">
        <v>4186</v>
      </c>
      <c r="AS2971" s="46">
        <v>45</v>
      </c>
      <c r="AT2971" s="46">
        <v>22500</v>
      </c>
      <c r="AU2971" s="46">
        <v>162594</v>
      </c>
      <c r="AV2971" s="46">
        <v>7.226</v>
      </c>
      <c r="AW2971" s="46">
        <v>39</v>
      </c>
      <c r="AX2971" s="46">
        <v>18200</v>
      </c>
      <c r="AY2971" s="46">
        <v>136881.78599999999</v>
      </c>
      <c r="AZ2971" s="46">
        <v>7.5209999999999999</v>
      </c>
      <c r="BA2971" s="46" t="s">
        <v>63</v>
      </c>
      <c r="BB2971" s="46">
        <v>4300</v>
      </c>
      <c r="BC2971" s="46">
        <v>25712.214</v>
      </c>
      <c r="BD2971" s="46">
        <v>5.98</v>
      </c>
      <c r="BE2971" s="46">
        <v>5369</v>
      </c>
      <c r="BF2971" s="46">
        <v>20425</v>
      </c>
      <c r="BG2971" s="46">
        <v>6.81</v>
      </c>
      <c r="BH2971" s="46">
        <v>0</v>
      </c>
      <c r="BJ2971">
        <v>20425</v>
      </c>
      <c r="BK2971">
        <v>6.81</v>
      </c>
      <c r="BL2971">
        <v>716.78</v>
      </c>
    </row>
    <row r="2972" spans="1:64" x14ac:dyDescent="0.25">
      <c r="A2972" s="136">
        <v>43230</v>
      </c>
      <c r="B2972" s="201" t="s">
        <v>67</v>
      </c>
      <c r="C2972" t="s">
        <v>129</v>
      </c>
      <c r="D2972">
        <v>100</v>
      </c>
      <c r="E2972">
        <v>100</v>
      </c>
      <c r="F2972">
        <v>-32.534999999999997</v>
      </c>
      <c r="G2972">
        <v>4251.5</v>
      </c>
      <c r="H2972">
        <v>0</v>
      </c>
      <c r="I2972" s="309">
        <v>998</v>
      </c>
      <c r="J2972">
        <v>9.98</v>
      </c>
      <c r="K2972" s="133">
        <v>2.0550154402081901E-3</v>
      </c>
      <c r="L2972" s="181">
        <v>-2</v>
      </c>
      <c r="M2972" s="133">
        <v>0</v>
      </c>
      <c r="N2972" s="73">
        <v>4250.7294999997503</v>
      </c>
      <c r="O2972" s="73">
        <v>426.13883001502302</v>
      </c>
      <c r="P2972" s="182">
        <v>0</v>
      </c>
      <c r="Q2972" s="182">
        <v>0</v>
      </c>
      <c r="R2972" s="46">
        <v>0</v>
      </c>
      <c r="S2972" s="46">
        <v>24</v>
      </c>
      <c r="T2972" s="46">
        <v>9600</v>
      </c>
      <c r="U2972" s="46">
        <v>8.9969999999999999</v>
      </c>
      <c r="V2972" s="46" t="s">
        <v>68</v>
      </c>
      <c r="W2972" s="46">
        <v>9600</v>
      </c>
      <c r="X2972" s="46">
        <v>8.9969999999999999</v>
      </c>
      <c r="AF2972" s="46">
        <v>191</v>
      </c>
      <c r="AG2972" s="46">
        <v>94900</v>
      </c>
      <c r="AH2972" s="46">
        <v>790815</v>
      </c>
      <c r="AI2972" s="46">
        <v>8.3330000000000002</v>
      </c>
      <c r="AJ2972" s="46">
        <v>195</v>
      </c>
      <c r="AK2972" s="46">
        <v>87800</v>
      </c>
      <c r="AL2972" s="46">
        <v>777028.71750000003</v>
      </c>
      <c r="AM2972" s="46">
        <v>8.85</v>
      </c>
      <c r="AN2972" s="46" t="s">
        <v>63</v>
      </c>
      <c r="AO2972" s="46">
        <v>7100</v>
      </c>
      <c r="AP2972" s="46">
        <v>13786.281999999999</v>
      </c>
      <c r="AQ2972" s="46">
        <v>1.9419999999999999</v>
      </c>
      <c r="AR2972" s="46">
        <v>45392.6</v>
      </c>
      <c r="AS2972" s="46">
        <v>191</v>
      </c>
      <c r="AT2972" s="46">
        <v>94900</v>
      </c>
      <c r="AU2972" s="46">
        <v>790815</v>
      </c>
      <c r="AV2972" s="46">
        <v>8.3330000000000002</v>
      </c>
      <c r="AW2972" s="46">
        <v>219</v>
      </c>
      <c r="AX2972" s="46">
        <v>97400</v>
      </c>
      <c r="AY2972" s="46">
        <v>863196.84550000005</v>
      </c>
      <c r="AZ2972" s="46">
        <v>8.8620000000000001</v>
      </c>
      <c r="BA2972" s="46" t="s">
        <v>69</v>
      </c>
      <c r="BB2972" s="46">
        <v>2500</v>
      </c>
      <c r="BC2972" s="46">
        <v>72381.846000000005</v>
      </c>
      <c r="BD2972" s="46">
        <v>28.952999999999999</v>
      </c>
      <c r="BE2972" s="46">
        <v>50202.1</v>
      </c>
      <c r="BF2972" s="46">
        <v>0</v>
      </c>
      <c r="BH2972" s="46">
        <v>86168.127999999997</v>
      </c>
      <c r="BI2972">
        <v>8.98</v>
      </c>
      <c r="BJ2972">
        <v>58595.563999999998</v>
      </c>
      <c r="BK2972">
        <v>6.1</v>
      </c>
      <c r="BL2972">
        <v>4548.3599999999997</v>
      </c>
    </row>
    <row r="2973" spans="1:64" x14ac:dyDescent="0.25">
      <c r="A2973" s="136">
        <v>43230</v>
      </c>
      <c r="B2973" s="201" t="s">
        <v>78</v>
      </c>
      <c r="C2973" t="s">
        <v>142</v>
      </c>
      <c r="D2973">
        <v>600</v>
      </c>
      <c r="E2973">
        <v>600</v>
      </c>
      <c r="F2973">
        <v>6.9409999999999998</v>
      </c>
      <c r="G2973">
        <v>1559.39</v>
      </c>
      <c r="H2973">
        <v>37.450000000000003</v>
      </c>
      <c r="I2973" s="309">
        <v>5724</v>
      </c>
      <c r="J2973">
        <v>9.5399999999999991</v>
      </c>
      <c r="K2973" s="133">
        <v>1.17864813424366E-2</v>
      </c>
      <c r="L2973" s="181">
        <v>6</v>
      </c>
      <c r="M2973" s="133">
        <v>8.5754888301056501E-3</v>
      </c>
      <c r="N2973" s="73">
        <v>1415.3910000000001</v>
      </c>
      <c r="O2973" s="73">
        <v>152.11648435483801</v>
      </c>
      <c r="P2973" s="182">
        <v>0</v>
      </c>
      <c r="Q2973" s="182">
        <v>0</v>
      </c>
      <c r="R2973" s="46">
        <v>0</v>
      </c>
      <c r="S2973" s="46">
        <v>2</v>
      </c>
      <c r="T2973" s="46">
        <v>800</v>
      </c>
      <c r="U2973" s="46">
        <v>10.210000000000001</v>
      </c>
      <c r="V2973" s="46" t="s">
        <v>68</v>
      </c>
      <c r="W2973" s="46">
        <v>800</v>
      </c>
      <c r="X2973" s="46">
        <v>10.210000000000001</v>
      </c>
      <c r="AF2973" s="46">
        <v>14</v>
      </c>
      <c r="AG2973" s="46">
        <v>7000</v>
      </c>
      <c r="AH2973" s="46">
        <v>67625</v>
      </c>
      <c r="AI2973" s="46">
        <v>9.6609999999999996</v>
      </c>
      <c r="AJ2973" s="46">
        <v>15</v>
      </c>
      <c r="AK2973" s="46">
        <v>5600</v>
      </c>
      <c r="AL2973" s="46">
        <v>55310.559000000001</v>
      </c>
      <c r="AM2973" s="46">
        <v>9.8770000000000007</v>
      </c>
      <c r="AN2973" s="46" t="s">
        <v>63</v>
      </c>
      <c r="AO2973" s="46">
        <v>1400</v>
      </c>
      <c r="AP2973" s="46">
        <v>12314.441000000001</v>
      </c>
      <c r="AQ2973" s="46">
        <v>8.7959999999999994</v>
      </c>
      <c r="AR2973" s="46">
        <v>1209.5999999999999</v>
      </c>
      <c r="AS2973" s="46">
        <v>14</v>
      </c>
      <c r="AT2973" s="46">
        <v>7000</v>
      </c>
      <c r="AU2973" s="46">
        <v>67625</v>
      </c>
      <c r="AV2973" s="46">
        <v>9.6609999999999996</v>
      </c>
      <c r="AW2973" s="46">
        <v>17</v>
      </c>
      <c r="AX2973" s="46">
        <v>6400</v>
      </c>
      <c r="AY2973" s="46">
        <v>63460.391000000003</v>
      </c>
      <c r="AZ2973" s="46">
        <v>9.9160000000000004</v>
      </c>
      <c r="BA2973" s="46" t="s">
        <v>63</v>
      </c>
      <c r="BB2973" s="46">
        <v>600</v>
      </c>
      <c r="BC2973" s="46">
        <v>4164.6090000000004</v>
      </c>
      <c r="BD2973" s="46">
        <v>6.9409999999999998</v>
      </c>
      <c r="BE2973" s="46">
        <v>1632</v>
      </c>
      <c r="BF2973" s="46">
        <v>0</v>
      </c>
      <c r="BH2973" s="46">
        <v>8149.8320000000003</v>
      </c>
      <c r="BI2973">
        <v>10.19</v>
      </c>
      <c r="BJ2973">
        <v>-8149.8320000000003</v>
      </c>
      <c r="BK2973">
        <v>-10.19</v>
      </c>
      <c r="BL2973">
        <v>126.79</v>
      </c>
    </row>
    <row r="2974" spans="1:64" x14ac:dyDescent="0.25">
      <c r="A2974" s="136">
        <v>43230</v>
      </c>
      <c r="B2974" s="201" t="s">
        <v>72</v>
      </c>
      <c r="C2974" t="s">
        <v>130</v>
      </c>
      <c r="D2974">
        <v>600</v>
      </c>
      <c r="E2974">
        <v>600</v>
      </c>
      <c r="F2974">
        <v>5.9850000000000003</v>
      </c>
      <c r="G2974">
        <v>734.88</v>
      </c>
      <c r="H2974">
        <v>20.47</v>
      </c>
      <c r="I2974" s="309">
        <v>4326</v>
      </c>
      <c r="J2974">
        <v>7.21</v>
      </c>
      <c r="K2974" s="133">
        <v>8.9078124191789999E-3</v>
      </c>
      <c r="L2974" s="181">
        <v>96</v>
      </c>
      <c r="M2974" s="133">
        <v>7.3945962401206896E-3</v>
      </c>
      <c r="N2974" s="73">
        <v>-3912.82799999999</v>
      </c>
      <c r="O2974" s="73">
        <v>99.794367548749605</v>
      </c>
      <c r="P2974" s="182">
        <v>0</v>
      </c>
      <c r="Q2974" s="182">
        <v>0</v>
      </c>
      <c r="R2974" s="46">
        <v>0</v>
      </c>
      <c r="S2974" s="46">
        <v>19</v>
      </c>
      <c r="T2974" s="46">
        <v>7600</v>
      </c>
      <c r="U2974" s="46">
        <v>7.2889999999999997</v>
      </c>
      <c r="V2974" s="46" t="s">
        <v>68</v>
      </c>
      <c r="W2974" s="46">
        <v>7600</v>
      </c>
      <c r="X2974" s="46">
        <v>7.2889999999999997</v>
      </c>
      <c r="AF2974" s="46">
        <v>37</v>
      </c>
      <c r="AG2974" s="46">
        <v>18400</v>
      </c>
      <c r="AH2974" s="46">
        <v>137152</v>
      </c>
      <c r="AI2974" s="46">
        <v>7.4539999999999997</v>
      </c>
      <c r="AJ2974" s="46">
        <v>37</v>
      </c>
      <c r="AK2974" s="46">
        <v>16800</v>
      </c>
      <c r="AL2974" s="46">
        <v>79043.756999999998</v>
      </c>
      <c r="AM2974" s="46">
        <v>4.7050000000000001</v>
      </c>
      <c r="AN2974" s="46" t="s">
        <v>63</v>
      </c>
      <c r="AO2974" s="46">
        <v>1600</v>
      </c>
      <c r="AP2974" s="46">
        <v>58108.243000000002</v>
      </c>
      <c r="AQ2974" s="46">
        <v>36.317999999999998</v>
      </c>
      <c r="AR2974" s="46">
        <v>-46183.199999999997</v>
      </c>
      <c r="AS2974" s="46">
        <v>37</v>
      </c>
      <c r="AT2974" s="46">
        <v>18400</v>
      </c>
      <c r="AU2974" s="46">
        <v>137152</v>
      </c>
      <c r="AV2974" s="46">
        <v>7.4539999999999997</v>
      </c>
      <c r="AW2974" s="46">
        <v>57</v>
      </c>
      <c r="AX2974" s="46">
        <v>24900</v>
      </c>
      <c r="AY2974" s="46">
        <v>134293.35699999999</v>
      </c>
      <c r="AZ2974" s="46">
        <v>5.3929999999999998</v>
      </c>
      <c r="BA2974" s="46" t="s">
        <v>69</v>
      </c>
      <c r="BB2974" s="46">
        <v>6500</v>
      </c>
      <c r="BC2974" s="46">
        <v>2858.643</v>
      </c>
      <c r="BD2974" s="46">
        <v>0.44</v>
      </c>
      <c r="BE2974" s="46">
        <v>-37922.400000000001</v>
      </c>
      <c r="BF2974" s="46">
        <v>0</v>
      </c>
      <c r="BH2974" s="46">
        <v>55249.599999999999</v>
      </c>
      <c r="BI2974">
        <v>7.27</v>
      </c>
      <c r="BJ2974">
        <v>-55249.599999999999</v>
      </c>
      <c r="BK2974">
        <v>-7.27</v>
      </c>
      <c r="BL2974">
        <v>-6405.44</v>
      </c>
    </row>
    <row r="2975" spans="1:64" x14ac:dyDescent="0.25">
      <c r="A2975" s="136">
        <v>43230</v>
      </c>
      <c r="B2975" s="201" t="s">
        <v>70</v>
      </c>
      <c r="C2975" t="s">
        <v>131</v>
      </c>
      <c r="D2975">
        <v>10900</v>
      </c>
      <c r="E2975">
        <v>10900</v>
      </c>
      <c r="F2975">
        <v>11.734999999999999</v>
      </c>
      <c r="G2975">
        <v>-21637.9</v>
      </c>
      <c r="H2975">
        <v>-16.91</v>
      </c>
      <c r="I2975" s="309">
        <v>106275</v>
      </c>
      <c r="J2975">
        <v>9.75</v>
      </c>
      <c r="K2975" s="133">
        <v>0.218834434777681</v>
      </c>
      <c r="L2975" s="181">
        <v>3111.14</v>
      </c>
      <c r="M2975" s="133">
        <v>0.26338976402986602</v>
      </c>
      <c r="N2975" s="73">
        <v>-22840.895</v>
      </c>
      <c r="O2975" s="73">
        <v>-2368.20275440872</v>
      </c>
      <c r="P2975" s="182">
        <v>3</v>
      </c>
      <c r="Q2975" s="182">
        <v>1500</v>
      </c>
      <c r="R2975" s="46">
        <v>8.4169999999999998</v>
      </c>
      <c r="S2975" s="46">
        <v>8</v>
      </c>
      <c r="T2975" s="46">
        <v>3300</v>
      </c>
      <c r="U2975" s="46">
        <v>9.1470000000000002</v>
      </c>
      <c r="V2975" s="46" t="s">
        <v>68</v>
      </c>
      <c r="W2975" s="46">
        <v>1800</v>
      </c>
      <c r="X2975" s="46">
        <v>9.7550000000000008</v>
      </c>
      <c r="AF2975" s="46">
        <v>137</v>
      </c>
      <c r="AG2975" s="46">
        <v>70100</v>
      </c>
      <c r="AH2975" s="46">
        <v>908028</v>
      </c>
      <c r="AI2975" s="46">
        <v>12.952999999999999</v>
      </c>
      <c r="AJ2975" s="46">
        <v>143</v>
      </c>
      <c r="AK2975" s="46">
        <v>57400</v>
      </c>
      <c r="AL2975" s="46">
        <v>762231.29</v>
      </c>
      <c r="AM2975" s="46">
        <v>13.279</v>
      </c>
      <c r="AN2975" s="46" t="s">
        <v>63</v>
      </c>
      <c r="AO2975" s="46">
        <v>12700</v>
      </c>
      <c r="AP2975" s="46">
        <v>145796.71</v>
      </c>
      <c r="AQ2975" s="46">
        <v>11.48</v>
      </c>
      <c r="AR2975" s="46">
        <v>18712.400000000001</v>
      </c>
      <c r="AS2975" s="46">
        <v>140</v>
      </c>
      <c r="AT2975" s="46">
        <v>71600</v>
      </c>
      <c r="AU2975" s="46">
        <v>920668</v>
      </c>
      <c r="AV2975" s="46">
        <v>12.858000000000001</v>
      </c>
      <c r="AW2975" s="46">
        <v>152</v>
      </c>
      <c r="AX2975" s="46">
        <v>60700</v>
      </c>
      <c r="AY2975" s="46">
        <v>792751.10499999998</v>
      </c>
      <c r="AZ2975" s="46">
        <v>13.06</v>
      </c>
      <c r="BA2975" s="46" t="s">
        <v>63</v>
      </c>
      <c r="BB2975" s="46">
        <v>10900</v>
      </c>
      <c r="BC2975" s="46">
        <v>127916.895</v>
      </c>
      <c r="BD2975" s="46">
        <v>11.734999999999999</v>
      </c>
      <c r="BE2975" s="46">
        <v>12261.4</v>
      </c>
      <c r="BF2975" s="46">
        <v>12640</v>
      </c>
      <c r="BG2975" s="46">
        <v>8.43</v>
      </c>
      <c r="BH2975" s="46">
        <v>30519.815000000101</v>
      </c>
      <c r="BI2975">
        <v>9.25</v>
      </c>
      <c r="BJ2975">
        <v>-17879.814999999999</v>
      </c>
      <c r="BK2975">
        <v>-9.93</v>
      </c>
      <c r="BL2975">
        <v>1919.22</v>
      </c>
    </row>
    <row r="2976" spans="1:64" x14ac:dyDescent="0.25">
      <c r="A2976" s="136">
        <v>43230</v>
      </c>
      <c r="B2976" s="201" t="s">
        <v>137</v>
      </c>
      <c r="C2976" t="s">
        <v>149</v>
      </c>
      <c r="D2976">
        <v>100</v>
      </c>
      <c r="E2976">
        <v>100</v>
      </c>
      <c r="F2976">
        <v>-130.48500000000001</v>
      </c>
      <c r="G2976">
        <v>17532.5</v>
      </c>
      <c r="H2976">
        <v>0</v>
      </c>
      <c r="I2976" s="309">
        <v>4484</v>
      </c>
      <c r="J2976">
        <v>44.84</v>
      </c>
      <c r="K2976" s="133">
        <v>9.2331555449834991E-3</v>
      </c>
      <c r="L2976" s="181">
        <v>46</v>
      </c>
      <c r="M2976" s="133">
        <v>0</v>
      </c>
    </row>
    <row r="2977" spans="1:64" x14ac:dyDescent="0.25">
      <c r="A2977" s="136">
        <v>43230</v>
      </c>
      <c r="B2977" s="201" t="s">
        <v>835</v>
      </c>
      <c r="C2977" t="s">
        <v>839</v>
      </c>
      <c r="I2977" s="309">
        <v>4322.34</v>
      </c>
      <c r="K2977" s="133">
        <v>8.9002759898091002E-3</v>
      </c>
      <c r="L2977" s="181">
        <v>0</v>
      </c>
      <c r="M2977" s="133">
        <v>0.153671336562275</v>
      </c>
    </row>
    <row r="2978" spans="1:64" x14ac:dyDescent="0.25">
      <c r="A2978" s="136">
        <v>43234</v>
      </c>
      <c r="B2978" s="201" t="s">
        <v>132</v>
      </c>
      <c r="C2978" t="s">
        <v>123</v>
      </c>
      <c r="D2978">
        <v>7031897</v>
      </c>
      <c r="E2978">
        <v>7031897</v>
      </c>
      <c r="F2978">
        <v>8.9999999999999993E-3</v>
      </c>
      <c r="G2978">
        <v>3564.53</v>
      </c>
      <c r="H2978">
        <v>11.11</v>
      </c>
      <c r="I2978" s="309">
        <v>70318.97</v>
      </c>
      <c r="J2978">
        <v>0.01</v>
      </c>
      <c r="K2978" s="133">
        <v>0.14620930097311499</v>
      </c>
      <c r="L2978" s="181">
        <v>12.190000000000101</v>
      </c>
      <c r="M2978" s="133">
        <v>0</v>
      </c>
    </row>
    <row r="2979" spans="1:64" x14ac:dyDescent="0.25">
      <c r="A2979" s="136">
        <v>43234</v>
      </c>
      <c r="B2979" s="201" t="s">
        <v>61</v>
      </c>
      <c r="C2979" t="s">
        <v>136</v>
      </c>
      <c r="D2979">
        <v>3900</v>
      </c>
      <c r="E2979">
        <v>3900</v>
      </c>
      <c r="F2979">
        <v>5.0519999999999996</v>
      </c>
      <c r="G2979">
        <v>-1723.1</v>
      </c>
      <c r="H2979">
        <v>-8.75</v>
      </c>
      <c r="I2979" s="309">
        <v>17979</v>
      </c>
      <c r="J2979">
        <v>4.6100000000000003</v>
      </c>
      <c r="K2979" s="133">
        <v>3.7382473352434401E-2</v>
      </c>
      <c r="L2979" s="181">
        <v>-78</v>
      </c>
      <c r="M2979" s="133">
        <v>4.09651942954E-2</v>
      </c>
      <c r="N2979" s="73">
        <v>-1807.1410000000001</v>
      </c>
      <c r="O2979" s="73">
        <v>-393.515779847494</v>
      </c>
      <c r="P2979" s="182">
        <v>6</v>
      </c>
      <c r="Q2979" s="182">
        <v>3000</v>
      </c>
      <c r="R2979" s="46">
        <v>5.0350000000000001</v>
      </c>
      <c r="S2979" s="46">
        <v>0</v>
      </c>
      <c r="T2979" s="46">
        <v>0</v>
      </c>
      <c r="U2979" s="46">
        <v>0</v>
      </c>
      <c r="V2979" s="46" t="s">
        <v>62</v>
      </c>
      <c r="W2979" s="46">
        <v>3000</v>
      </c>
      <c r="X2979" s="46">
        <v>5.0350000000000001</v>
      </c>
      <c r="AF2979" s="46">
        <v>10</v>
      </c>
      <c r="AG2979" s="46">
        <v>5000</v>
      </c>
      <c r="AH2979" s="46">
        <v>26378</v>
      </c>
      <c r="AI2979" s="46">
        <v>5.2759999999999998</v>
      </c>
      <c r="AJ2979" s="46">
        <v>10</v>
      </c>
      <c r="AK2979" s="46">
        <v>4100</v>
      </c>
      <c r="AL2979" s="46">
        <v>21806.659</v>
      </c>
      <c r="AM2979" s="46">
        <v>5.319</v>
      </c>
      <c r="AN2979" s="46" t="s">
        <v>63</v>
      </c>
      <c r="AO2979" s="46">
        <v>900</v>
      </c>
      <c r="AP2979" s="46">
        <v>4571.3410000000003</v>
      </c>
      <c r="AQ2979" s="46">
        <v>5.0789999999999997</v>
      </c>
      <c r="AR2979" s="46">
        <v>176.3</v>
      </c>
      <c r="AS2979" s="46">
        <v>16</v>
      </c>
      <c r="AT2979" s="46">
        <v>8000</v>
      </c>
      <c r="AU2979" s="46">
        <v>41514.800000000003</v>
      </c>
      <c r="AV2979" s="46">
        <v>5.1890000000000001</v>
      </c>
      <c r="AW2979" s="46">
        <v>10</v>
      </c>
      <c r="AX2979" s="46">
        <v>4100</v>
      </c>
      <c r="AY2979" s="46">
        <v>21806.659</v>
      </c>
      <c r="AZ2979" s="46">
        <v>5.319</v>
      </c>
      <c r="BA2979" s="46" t="s">
        <v>63</v>
      </c>
      <c r="BB2979" s="46">
        <v>3900</v>
      </c>
      <c r="BC2979" s="46">
        <v>19708.141</v>
      </c>
      <c r="BD2979" s="46">
        <v>5.0529999999999999</v>
      </c>
      <c r="BE2979" s="46">
        <v>533</v>
      </c>
      <c r="BF2979" s="46">
        <v>15136.8</v>
      </c>
      <c r="BG2979" s="46">
        <v>5.05</v>
      </c>
      <c r="BH2979" s="46">
        <v>0</v>
      </c>
      <c r="BJ2979">
        <v>15136.8</v>
      </c>
      <c r="BK2979">
        <v>5.05</v>
      </c>
      <c r="BL2979">
        <v>38.24</v>
      </c>
    </row>
    <row r="2980" spans="1:64" x14ac:dyDescent="0.25">
      <c r="A2980" s="136">
        <v>43234</v>
      </c>
      <c r="B2980" s="201" t="s">
        <v>124</v>
      </c>
      <c r="C2980" t="s">
        <v>125</v>
      </c>
      <c r="D2980">
        <v>100</v>
      </c>
      <c r="E2980">
        <v>100</v>
      </c>
      <c r="F2980">
        <v>-53.579000000000001</v>
      </c>
      <c r="G2980">
        <v>5964.9</v>
      </c>
      <c r="H2980">
        <v>0</v>
      </c>
      <c r="I2980" s="309">
        <v>607</v>
      </c>
      <c r="J2980">
        <v>6.07</v>
      </c>
      <c r="K2980" s="133">
        <v>1.26209251487445E-3</v>
      </c>
      <c r="L2980" s="181">
        <v>8</v>
      </c>
      <c r="M2980" s="133">
        <v>0</v>
      </c>
    </row>
    <row r="2981" spans="1:64" x14ac:dyDescent="0.25">
      <c r="A2981" s="136">
        <v>43234</v>
      </c>
      <c r="B2981" s="201" t="s">
        <v>71</v>
      </c>
      <c r="C2981" t="s">
        <v>126</v>
      </c>
      <c r="D2981">
        <v>1300</v>
      </c>
      <c r="E2981">
        <v>1300</v>
      </c>
      <c r="F2981">
        <v>4.7699999999999996</v>
      </c>
      <c r="G2981">
        <v>2573.96</v>
      </c>
      <c r="H2981">
        <v>41.51</v>
      </c>
      <c r="I2981" s="309">
        <v>8775</v>
      </c>
      <c r="J2981">
        <v>6.75</v>
      </c>
      <c r="K2981" s="133">
        <v>1.82452418748324E-2</v>
      </c>
      <c r="L2981" s="181">
        <v>221</v>
      </c>
      <c r="M2981" s="133">
        <v>1.2893387427408601E-2</v>
      </c>
      <c r="N2981" s="73">
        <v>4816.0060000000003</v>
      </c>
      <c r="O2981" s="73">
        <v>367.08042812030101</v>
      </c>
      <c r="P2981" s="182">
        <v>0</v>
      </c>
      <c r="Q2981" s="182">
        <v>0</v>
      </c>
      <c r="R2981" s="46">
        <v>0</v>
      </c>
      <c r="S2981" s="46">
        <v>5</v>
      </c>
      <c r="T2981" s="46">
        <v>1900</v>
      </c>
      <c r="U2981" s="46">
        <v>6.7430000000000003</v>
      </c>
      <c r="V2981" s="46" t="s">
        <v>68</v>
      </c>
      <c r="W2981" s="46">
        <v>1900</v>
      </c>
      <c r="X2981" s="46">
        <v>6.7430000000000003</v>
      </c>
      <c r="AF2981" s="46">
        <v>45</v>
      </c>
      <c r="AG2981" s="46">
        <v>22600</v>
      </c>
      <c r="AH2981" s="46">
        <v>144534.56</v>
      </c>
      <c r="AI2981" s="46">
        <v>6.3949999999999996</v>
      </c>
      <c r="AJ2981" s="46">
        <v>43</v>
      </c>
      <c r="AK2981" s="46">
        <v>19400</v>
      </c>
      <c r="AL2981" s="46">
        <v>125389.618</v>
      </c>
      <c r="AM2981" s="46">
        <v>6.4630000000000001</v>
      </c>
      <c r="AN2981" s="46" t="s">
        <v>63</v>
      </c>
      <c r="AO2981" s="46">
        <v>3200</v>
      </c>
      <c r="AP2981" s="46">
        <v>19144.941999999999</v>
      </c>
      <c r="AQ2981" s="46">
        <v>5.9829999999999997</v>
      </c>
      <c r="AR2981" s="46">
        <v>1319.2</v>
      </c>
      <c r="AS2981" s="46">
        <v>45</v>
      </c>
      <c r="AT2981" s="46">
        <v>22600</v>
      </c>
      <c r="AU2981" s="46">
        <v>144534.56</v>
      </c>
      <c r="AV2981" s="46">
        <v>6.3949999999999996</v>
      </c>
      <c r="AW2981" s="46">
        <v>48</v>
      </c>
      <c r="AX2981" s="46">
        <v>21300</v>
      </c>
      <c r="AY2981" s="46">
        <v>138170.666</v>
      </c>
      <c r="AZ2981" s="46">
        <v>6.4870000000000001</v>
      </c>
      <c r="BA2981" s="46" t="s">
        <v>63</v>
      </c>
      <c r="BB2981" s="46">
        <v>1300</v>
      </c>
      <c r="BC2981" s="46">
        <v>6363.8940000000002</v>
      </c>
      <c r="BD2981" s="46">
        <v>4.8949999999999996</v>
      </c>
      <c r="BE2981" s="46">
        <v>1959.6</v>
      </c>
      <c r="BF2981" s="46">
        <v>0</v>
      </c>
      <c r="BH2981" s="46">
        <v>12781.048000000001</v>
      </c>
      <c r="BI2981">
        <v>6.73</v>
      </c>
      <c r="BJ2981">
        <v>-12781.048000000001</v>
      </c>
      <c r="BK2981">
        <v>-6.73</v>
      </c>
      <c r="BL2981">
        <v>195.44</v>
      </c>
    </row>
    <row r="2982" spans="1:64" x14ac:dyDescent="0.25">
      <c r="A2982" s="136">
        <v>43234</v>
      </c>
      <c r="B2982" s="201" t="s">
        <v>79</v>
      </c>
      <c r="C2982" t="s">
        <v>143</v>
      </c>
      <c r="D2982">
        <v>5100</v>
      </c>
      <c r="E2982">
        <v>5100</v>
      </c>
      <c r="F2982">
        <v>16.452000000000002</v>
      </c>
      <c r="G2982">
        <v>-9036.6200000000008</v>
      </c>
      <c r="H2982">
        <v>-10.77</v>
      </c>
      <c r="I2982" s="309">
        <v>74868</v>
      </c>
      <c r="J2982">
        <v>14.68</v>
      </c>
      <c r="K2982" s="133">
        <v>0.155667779907117</v>
      </c>
      <c r="L2982" s="181">
        <v>-1275</v>
      </c>
      <c r="M2982" s="133">
        <v>0.17445698989354999</v>
      </c>
      <c r="N2982" s="73">
        <v>-8684.8520000001299</v>
      </c>
      <c r="O2982" s="73">
        <v>-588.50912366102602</v>
      </c>
      <c r="P2982" s="182">
        <v>7</v>
      </c>
      <c r="Q2982" s="182">
        <v>3500</v>
      </c>
      <c r="R2982" s="46">
        <v>14.59</v>
      </c>
      <c r="S2982" s="46">
        <v>0</v>
      </c>
      <c r="T2982" s="46">
        <v>0</v>
      </c>
      <c r="U2982" s="46">
        <v>0</v>
      </c>
      <c r="V2982" s="46" t="s">
        <v>62</v>
      </c>
      <c r="W2982" s="46">
        <v>3500</v>
      </c>
      <c r="X2982" s="46">
        <v>14.59</v>
      </c>
      <c r="AF2982" s="46">
        <v>15</v>
      </c>
      <c r="AG2982" s="46">
        <v>8000</v>
      </c>
      <c r="AH2982" s="46">
        <v>128739.8</v>
      </c>
      <c r="AI2982" s="46">
        <v>16.091999999999999</v>
      </c>
      <c r="AJ2982" s="46">
        <v>16</v>
      </c>
      <c r="AK2982" s="46">
        <v>6400</v>
      </c>
      <c r="AL2982" s="46">
        <v>95932.047999999893</v>
      </c>
      <c r="AM2982" s="46">
        <v>14.989000000000001</v>
      </c>
      <c r="AN2982" s="46" t="s">
        <v>63</v>
      </c>
      <c r="AO2982" s="46">
        <v>1600</v>
      </c>
      <c r="AP2982" s="46">
        <v>32807.752</v>
      </c>
      <c r="AQ2982" s="46">
        <v>20.504999999999999</v>
      </c>
      <c r="AR2982" s="46">
        <v>-7059.2</v>
      </c>
      <c r="AS2982" s="46">
        <v>22</v>
      </c>
      <c r="AT2982" s="46">
        <v>11500</v>
      </c>
      <c r="AU2982" s="46">
        <v>179841.9</v>
      </c>
      <c r="AV2982" s="46">
        <v>15.638</v>
      </c>
      <c r="AW2982" s="46">
        <v>16</v>
      </c>
      <c r="AX2982" s="46">
        <v>6400</v>
      </c>
      <c r="AY2982" s="46">
        <v>95932.047999999893</v>
      </c>
      <c r="AZ2982" s="46">
        <v>14.989000000000001</v>
      </c>
      <c r="BA2982" s="46" t="s">
        <v>63</v>
      </c>
      <c r="BB2982" s="46">
        <v>5100</v>
      </c>
      <c r="BC2982" s="46">
        <v>83909.851999999999</v>
      </c>
      <c r="BD2982" s="46">
        <v>16.452999999999999</v>
      </c>
      <c r="BE2982" s="46">
        <v>-4153.6000000000004</v>
      </c>
      <c r="BF2982" s="46">
        <v>51102.099999999897</v>
      </c>
      <c r="BG2982" s="46">
        <v>14.6</v>
      </c>
      <c r="BH2982" s="46">
        <v>0</v>
      </c>
      <c r="BJ2982">
        <v>51102.1</v>
      </c>
      <c r="BK2982">
        <v>14.6</v>
      </c>
      <c r="BL2982">
        <v>-480.87</v>
      </c>
    </row>
    <row r="2983" spans="1:64" x14ac:dyDescent="0.25">
      <c r="A2983" s="136">
        <v>43234</v>
      </c>
      <c r="B2983" s="201" t="s">
        <v>65</v>
      </c>
      <c r="C2983" t="s">
        <v>127</v>
      </c>
      <c r="D2983">
        <v>18000</v>
      </c>
      <c r="E2983">
        <v>17600</v>
      </c>
      <c r="F2983">
        <v>9.3140000000000001</v>
      </c>
      <c r="G2983">
        <v>-5652.52</v>
      </c>
      <c r="H2983">
        <v>-3.37</v>
      </c>
      <c r="I2983" s="309">
        <v>162000</v>
      </c>
      <c r="J2983">
        <v>9</v>
      </c>
      <c r="K2983" s="133">
        <v>0.33683523461228998</v>
      </c>
      <c r="L2983" s="181">
        <v>1260</v>
      </c>
      <c r="M2983" s="133">
        <v>0.34858812288606</v>
      </c>
      <c r="N2983" s="73">
        <v>-11554.939</v>
      </c>
      <c r="O2983" s="73">
        <v>-815.908957042662</v>
      </c>
      <c r="P2983" s="182">
        <v>4</v>
      </c>
      <c r="Q2983" s="182">
        <v>2000</v>
      </c>
      <c r="R2983" s="46">
        <v>9.0129999999999999</v>
      </c>
      <c r="S2983" s="46">
        <v>8</v>
      </c>
      <c r="T2983" s="46">
        <v>3300</v>
      </c>
      <c r="U2983" s="46">
        <v>12.547000000000001</v>
      </c>
      <c r="V2983" s="46" t="s">
        <v>68</v>
      </c>
      <c r="W2983" s="46">
        <v>1300</v>
      </c>
      <c r="X2983" s="46">
        <v>17.984000000000002</v>
      </c>
      <c r="AF2983" s="46">
        <v>187</v>
      </c>
      <c r="AG2983" s="46">
        <v>99200</v>
      </c>
      <c r="AH2983" s="46">
        <v>1131150.2309999999</v>
      </c>
      <c r="AI2983" s="46">
        <v>11.403</v>
      </c>
      <c r="AJ2983" s="46">
        <v>206</v>
      </c>
      <c r="AK2983" s="46">
        <v>89100</v>
      </c>
      <c r="AL2983" s="46">
        <v>939384.69400000002</v>
      </c>
      <c r="AM2983" s="46">
        <v>10.542999999999999</v>
      </c>
      <c r="AN2983" s="46" t="s">
        <v>63</v>
      </c>
      <c r="AO2983" s="46">
        <v>10100</v>
      </c>
      <c r="AP2983" s="46">
        <v>191765.53700000001</v>
      </c>
      <c r="AQ2983" s="46">
        <v>18.986999999999998</v>
      </c>
      <c r="AR2983" s="46">
        <v>-76626</v>
      </c>
      <c r="AS2983" s="46">
        <v>192</v>
      </c>
      <c r="AT2983" s="46">
        <v>101300</v>
      </c>
      <c r="AU2983" s="46">
        <v>1150483.2309999999</v>
      </c>
      <c r="AV2983" s="46">
        <v>11.356999999999999</v>
      </c>
      <c r="AW2983" s="46">
        <v>214</v>
      </c>
      <c r="AX2983" s="46">
        <v>92400</v>
      </c>
      <c r="AY2983" s="46">
        <v>980707.29</v>
      </c>
      <c r="AZ2983" s="46">
        <v>10.614000000000001</v>
      </c>
      <c r="BA2983" s="46" t="s">
        <v>63</v>
      </c>
      <c r="BB2983" s="46">
        <v>8900</v>
      </c>
      <c r="BC2983" s="46">
        <v>169775.94099999999</v>
      </c>
      <c r="BD2983" s="46">
        <v>19.076000000000001</v>
      </c>
      <c r="BE2983" s="46">
        <v>-68653.2</v>
      </c>
      <c r="BF2983" s="46">
        <v>19333</v>
      </c>
      <c r="BG2983" s="46">
        <v>9.67</v>
      </c>
      <c r="BH2983" s="46">
        <v>41322.5960000001</v>
      </c>
      <c r="BI2983">
        <v>12.52</v>
      </c>
      <c r="BJ2983">
        <v>-21989.596000000001</v>
      </c>
      <c r="BK2983">
        <v>-16.920000000000002</v>
      </c>
      <c r="BL2983">
        <v>-8514</v>
      </c>
    </row>
    <row r="2984" spans="1:64" x14ac:dyDescent="0.25">
      <c r="A2984" s="136">
        <v>43234</v>
      </c>
      <c r="B2984" s="201" t="s">
        <v>77</v>
      </c>
      <c r="C2984" t="s">
        <v>128</v>
      </c>
      <c r="D2984">
        <v>4300</v>
      </c>
      <c r="E2984">
        <v>4300</v>
      </c>
      <c r="F2984">
        <v>5.9779999999999998</v>
      </c>
      <c r="G2984">
        <v>-595.27</v>
      </c>
      <c r="H2984">
        <v>-2.31</v>
      </c>
      <c r="I2984" s="309">
        <v>25112</v>
      </c>
      <c r="J2984">
        <v>5.84</v>
      </c>
      <c r="K2984" s="133">
        <v>5.2213619824591599E-2</v>
      </c>
      <c r="L2984" s="181">
        <v>0</v>
      </c>
      <c r="M2984" s="133">
        <v>5.3451322973404297E-2</v>
      </c>
      <c r="N2984" s="73">
        <v>-1272.2139999999999</v>
      </c>
      <c r="O2984" s="73">
        <v>-133.073774655173</v>
      </c>
      <c r="P2984" s="182">
        <v>6</v>
      </c>
      <c r="Q2984" s="182">
        <v>3000</v>
      </c>
      <c r="R2984" s="46">
        <v>6.798</v>
      </c>
      <c r="S2984" s="46">
        <v>0</v>
      </c>
      <c r="T2984" s="46">
        <v>0</v>
      </c>
      <c r="U2984" s="46">
        <v>0</v>
      </c>
      <c r="V2984" s="46" t="s">
        <v>62</v>
      </c>
      <c r="W2984" s="46">
        <v>3000</v>
      </c>
      <c r="X2984" s="46">
        <v>6.798</v>
      </c>
      <c r="AF2984" s="46">
        <v>39</v>
      </c>
      <c r="AG2984" s="46">
        <v>19500</v>
      </c>
      <c r="AH2984" s="46">
        <v>142169</v>
      </c>
      <c r="AI2984" s="46">
        <v>7.2910000000000004</v>
      </c>
      <c r="AJ2984" s="46">
        <v>39</v>
      </c>
      <c r="AK2984" s="46">
        <v>18200</v>
      </c>
      <c r="AL2984" s="46">
        <v>136881.78599999999</v>
      </c>
      <c r="AM2984" s="46">
        <v>7.5209999999999999</v>
      </c>
      <c r="AN2984" s="46" t="s">
        <v>63</v>
      </c>
      <c r="AO2984" s="46">
        <v>1300</v>
      </c>
      <c r="AP2984" s="46">
        <v>5287.2139999999999</v>
      </c>
      <c r="AQ2984" s="46">
        <v>4.0670000000000002</v>
      </c>
      <c r="AR2984" s="46">
        <v>4186</v>
      </c>
      <c r="AS2984" s="46">
        <v>45</v>
      </c>
      <c r="AT2984" s="46">
        <v>22500</v>
      </c>
      <c r="AU2984" s="46">
        <v>162594</v>
      </c>
      <c r="AV2984" s="46">
        <v>7.226</v>
      </c>
      <c r="AW2984" s="46">
        <v>39</v>
      </c>
      <c r="AX2984" s="46">
        <v>18200</v>
      </c>
      <c r="AY2984" s="46">
        <v>136881.78599999999</v>
      </c>
      <c r="AZ2984" s="46">
        <v>7.5209999999999999</v>
      </c>
      <c r="BA2984" s="46" t="s">
        <v>63</v>
      </c>
      <c r="BB2984" s="46">
        <v>4300</v>
      </c>
      <c r="BC2984" s="46">
        <v>25712.214</v>
      </c>
      <c r="BD2984" s="46">
        <v>5.98</v>
      </c>
      <c r="BE2984" s="46">
        <v>5369</v>
      </c>
      <c r="BF2984" s="46">
        <v>20425</v>
      </c>
      <c r="BG2984" s="46">
        <v>6.81</v>
      </c>
      <c r="BH2984" s="46">
        <v>0</v>
      </c>
      <c r="BJ2984">
        <v>20425</v>
      </c>
      <c r="BK2984">
        <v>6.81</v>
      </c>
      <c r="BL2984">
        <v>716.78</v>
      </c>
    </row>
    <row r="2985" spans="1:64" x14ac:dyDescent="0.25">
      <c r="A2985" s="136">
        <v>43234</v>
      </c>
      <c r="B2985" s="201" t="s">
        <v>67</v>
      </c>
      <c r="C2985" t="s">
        <v>129</v>
      </c>
      <c r="D2985">
        <v>200</v>
      </c>
      <c r="E2985">
        <v>100</v>
      </c>
      <c r="F2985">
        <v>-11.378</v>
      </c>
      <c r="G2985">
        <v>4185.6000000000004</v>
      </c>
      <c r="H2985">
        <v>0</v>
      </c>
      <c r="I2985" s="309">
        <v>1910</v>
      </c>
      <c r="J2985">
        <v>9.5500000000000007</v>
      </c>
      <c r="K2985" s="133">
        <v>3.9713290006757702E-3</v>
      </c>
      <c r="L2985" s="181">
        <v>-65.899999999999594</v>
      </c>
      <c r="M2985" s="133">
        <v>0</v>
      </c>
      <c r="N2985" s="73">
        <v>4221.7294999997503</v>
      </c>
      <c r="O2985" s="73">
        <v>433.67097998456097</v>
      </c>
      <c r="P2985" s="182">
        <v>1</v>
      </c>
      <c r="Q2985" s="182">
        <v>100</v>
      </c>
      <c r="R2985" s="46">
        <v>9.73</v>
      </c>
      <c r="S2985" s="46">
        <v>24</v>
      </c>
      <c r="T2985" s="46">
        <v>9600</v>
      </c>
      <c r="U2985" s="46">
        <v>8.9969999999999999</v>
      </c>
      <c r="V2985" s="46" t="s">
        <v>68</v>
      </c>
      <c r="W2985" s="46">
        <v>9500</v>
      </c>
      <c r="X2985" s="46">
        <v>8.9890000000000008</v>
      </c>
      <c r="AF2985" s="46">
        <v>191</v>
      </c>
      <c r="AG2985" s="46">
        <v>94900</v>
      </c>
      <c r="AH2985" s="46">
        <v>790815</v>
      </c>
      <c r="AI2985" s="46">
        <v>8.3330000000000002</v>
      </c>
      <c r="AJ2985" s="46">
        <v>195</v>
      </c>
      <c r="AK2985" s="46">
        <v>87800</v>
      </c>
      <c r="AL2985" s="46">
        <v>777028.71750000003</v>
      </c>
      <c r="AM2985" s="46">
        <v>8.85</v>
      </c>
      <c r="AN2985" s="46" t="s">
        <v>63</v>
      </c>
      <c r="AO2985" s="46">
        <v>7100</v>
      </c>
      <c r="AP2985" s="46">
        <v>13786.281999999999</v>
      </c>
      <c r="AQ2985" s="46">
        <v>1.9419999999999999</v>
      </c>
      <c r="AR2985" s="46">
        <v>45392.6</v>
      </c>
      <c r="AS2985" s="46">
        <v>192</v>
      </c>
      <c r="AT2985" s="46">
        <v>95000</v>
      </c>
      <c r="AU2985" s="46">
        <v>791793</v>
      </c>
      <c r="AV2985" s="46">
        <v>8.3350000000000009</v>
      </c>
      <c r="AW2985" s="46">
        <v>219</v>
      </c>
      <c r="AX2985" s="46">
        <v>97400</v>
      </c>
      <c r="AY2985" s="46">
        <v>863196.84550000005</v>
      </c>
      <c r="AZ2985" s="46">
        <v>8.8620000000000001</v>
      </c>
      <c r="BA2985" s="46" t="s">
        <v>69</v>
      </c>
      <c r="BB2985" s="46">
        <v>2400</v>
      </c>
      <c r="BC2985" s="46">
        <v>71403.846000000005</v>
      </c>
      <c r="BD2985" s="46">
        <v>29.751999999999999</v>
      </c>
      <c r="BE2985" s="46">
        <v>50065</v>
      </c>
      <c r="BF2985" s="46">
        <v>978</v>
      </c>
      <c r="BG2985" s="46">
        <v>9.7799999999999994</v>
      </c>
      <c r="BH2985" s="46">
        <v>86168.127999999997</v>
      </c>
      <c r="BI2985">
        <v>8.98</v>
      </c>
      <c r="BJ2985">
        <v>57617.563999999998</v>
      </c>
      <c r="BK2985">
        <v>6.07</v>
      </c>
      <c r="BL2985">
        <v>4753.1499999999996</v>
      </c>
    </row>
    <row r="2986" spans="1:64" x14ac:dyDescent="0.25">
      <c r="A2986" s="136">
        <v>43234</v>
      </c>
      <c r="B2986" s="201" t="s">
        <v>78</v>
      </c>
      <c r="C2986" t="s">
        <v>142</v>
      </c>
      <c r="D2986">
        <v>600</v>
      </c>
      <c r="E2986">
        <v>600</v>
      </c>
      <c r="F2986">
        <v>6.9409999999999998</v>
      </c>
      <c r="G2986">
        <v>1403.39</v>
      </c>
      <c r="H2986">
        <v>33.700000000000003</v>
      </c>
      <c r="I2986" s="309">
        <v>5568</v>
      </c>
      <c r="J2986">
        <v>9.2799999999999994</v>
      </c>
      <c r="K2986" s="133">
        <v>1.1577151767415E-2</v>
      </c>
      <c r="L2986" s="181">
        <v>-156</v>
      </c>
      <c r="M2986" s="133">
        <v>8.6591813976462408E-3</v>
      </c>
      <c r="N2986" s="73">
        <v>1415.3910000000001</v>
      </c>
      <c r="O2986" s="73">
        <v>152.11648435483801</v>
      </c>
      <c r="P2986" s="182">
        <v>0</v>
      </c>
      <c r="Q2986" s="182">
        <v>0</v>
      </c>
      <c r="R2986" s="46">
        <v>0</v>
      </c>
      <c r="S2986" s="46">
        <v>2</v>
      </c>
      <c r="T2986" s="46">
        <v>800</v>
      </c>
      <c r="U2986" s="46">
        <v>10.210000000000001</v>
      </c>
      <c r="V2986" s="46" t="s">
        <v>68</v>
      </c>
      <c r="W2986" s="46">
        <v>800</v>
      </c>
      <c r="X2986" s="46">
        <v>10.210000000000001</v>
      </c>
      <c r="AF2986" s="46">
        <v>14</v>
      </c>
      <c r="AG2986" s="46">
        <v>7000</v>
      </c>
      <c r="AH2986" s="46">
        <v>67625</v>
      </c>
      <c r="AI2986" s="46">
        <v>9.6609999999999996</v>
      </c>
      <c r="AJ2986" s="46">
        <v>15</v>
      </c>
      <c r="AK2986" s="46">
        <v>5600</v>
      </c>
      <c r="AL2986" s="46">
        <v>55310.559000000001</v>
      </c>
      <c r="AM2986" s="46">
        <v>9.8770000000000007</v>
      </c>
      <c r="AN2986" s="46" t="s">
        <v>63</v>
      </c>
      <c r="AO2986" s="46">
        <v>1400</v>
      </c>
      <c r="AP2986" s="46">
        <v>12314.441000000001</v>
      </c>
      <c r="AQ2986" s="46">
        <v>8.7959999999999994</v>
      </c>
      <c r="AR2986" s="46">
        <v>1209.5999999999999</v>
      </c>
      <c r="AS2986" s="46">
        <v>14</v>
      </c>
      <c r="AT2986" s="46">
        <v>7000</v>
      </c>
      <c r="AU2986" s="46">
        <v>67625</v>
      </c>
      <c r="AV2986" s="46">
        <v>9.6609999999999996</v>
      </c>
      <c r="AW2986" s="46">
        <v>17</v>
      </c>
      <c r="AX2986" s="46">
        <v>6400</v>
      </c>
      <c r="AY2986" s="46">
        <v>63460.391000000003</v>
      </c>
      <c r="AZ2986" s="46">
        <v>9.9160000000000004</v>
      </c>
      <c r="BA2986" s="46" t="s">
        <v>63</v>
      </c>
      <c r="BB2986" s="46">
        <v>600</v>
      </c>
      <c r="BC2986" s="46">
        <v>4164.6090000000004</v>
      </c>
      <c r="BD2986" s="46">
        <v>6.9409999999999998</v>
      </c>
      <c r="BE2986" s="46">
        <v>1632</v>
      </c>
      <c r="BF2986" s="46">
        <v>0</v>
      </c>
      <c r="BH2986" s="46">
        <v>8149.8320000000003</v>
      </c>
      <c r="BI2986">
        <v>10.19</v>
      </c>
      <c r="BJ2986">
        <v>-8149.8320000000003</v>
      </c>
      <c r="BK2986">
        <v>-10.19</v>
      </c>
      <c r="BL2986">
        <v>130.34</v>
      </c>
    </row>
    <row r="2987" spans="1:64" x14ac:dyDescent="0.25">
      <c r="A2987" s="136">
        <v>43234</v>
      </c>
      <c r="B2987" s="201" t="s">
        <v>72</v>
      </c>
      <c r="C2987" t="s">
        <v>130</v>
      </c>
      <c r="D2987">
        <v>600</v>
      </c>
      <c r="E2987">
        <v>600</v>
      </c>
      <c r="F2987">
        <v>5.9850000000000003</v>
      </c>
      <c r="G2987">
        <v>548.88</v>
      </c>
      <c r="H2987">
        <v>15.29</v>
      </c>
      <c r="I2987" s="309">
        <v>4140</v>
      </c>
      <c r="J2987">
        <v>6.9</v>
      </c>
      <c r="K2987" s="133">
        <v>8.6080115512029796E-3</v>
      </c>
      <c r="L2987" s="181">
        <v>-186</v>
      </c>
      <c r="M2987" s="133">
        <v>7.4667638748202999E-3</v>
      </c>
      <c r="N2987" s="73">
        <v>-3912.82799999999</v>
      </c>
      <c r="O2987" s="73">
        <v>99.794367548749605</v>
      </c>
      <c r="P2987" s="182">
        <v>0</v>
      </c>
      <c r="Q2987" s="182">
        <v>0</v>
      </c>
      <c r="R2987" s="46">
        <v>0</v>
      </c>
      <c r="S2987" s="46">
        <v>19</v>
      </c>
      <c r="T2987" s="46">
        <v>7600</v>
      </c>
      <c r="U2987" s="46">
        <v>7.2889999999999997</v>
      </c>
      <c r="V2987" s="46" t="s">
        <v>68</v>
      </c>
      <c r="W2987" s="46">
        <v>7600</v>
      </c>
      <c r="X2987" s="46">
        <v>7.2889999999999997</v>
      </c>
      <c r="AF2987" s="46">
        <v>37</v>
      </c>
      <c r="AG2987" s="46">
        <v>18400</v>
      </c>
      <c r="AH2987" s="46">
        <v>137152</v>
      </c>
      <c r="AI2987" s="46">
        <v>7.4539999999999997</v>
      </c>
      <c r="AJ2987" s="46">
        <v>37</v>
      </c>
      <c r="AK2987" s="46">
        <v>16800</v>
      </c>
      <c r="AL2987" s="46">
        <v>79043.756999999998</v>
      </c>
      <c r="AM2987" s="46">
        <v>4.7050000000000001</v>
      </c>
      <c r="AN2987" s="46" t="s">
        <v>63</v>
      </c>
      <c r="AO2987" s="46">
        <v>1600</v>
      </c>
      <c r="AP2987" s="46">
        <v>58108.243000000002</v>
      </c>
      <c r="AQ2987" s="46">
        <v>36.317999999999998</v>
      </c>
      <c r="AR2987" s="46">
        <v>-46183.199999999997</v>
      </c>
      <c r="AS2987" s="46">
        <v>37</v>
      </c>
      <c r="AT2987" s="46">
        <v>18400</v>
      </c>
      <c r="AU2987" s="46">
        <v>137152</v>
      </c>
      <c r="AV2987" s="46">
        <v>7.4539999999999997</v>
      </c>
      <c r="AW2987" s="46">
        <v>57</v>
      </c>
      <c r="AX2987" s="46">
        <v>24900</v>
      </c>
      <c r="AY2987" s="46">
        <v>134293.35699999999</v>
      </c>
      <c r="AZ2987" s="46">
        <v>5.3929999999999998</v>
      </c>
      <c r="BA2987" s="46" t="s">
        <v>69</v>
      </c>
      <c r="BB2987" s="46">
        <v>6500</v>
      </c>
      <c r="BC2987" s="46">
        <v>2858.643</v>
      </c>
      <c r="BD2987" s="46">
        <v>0.44</v>
      </c>
      <c r="BE2987" s="46">
        <v>-37922.400000000001</v>
      </c>
      <c r="BF2987" s="46">
        <v>0</v>
      </c>
      <c r="BH2987" s="46">
        <v>55249.599999999999</v>
      </c>
      <c r="BI2987">
        <v>7.27</v>
      </c>
      <c r="BJ2987">
        <v>-55249.599999999999</v>
      </c>
      <c r="BK2987">
        <v>-7.27</v>
      </c>
      <c r="BL2987">
        <v>-6693.22</v>
      </c>
    </row>
    <row r="2988" spans="1:64" x14ac:dyDescent="0.25">
      <c r="A2988" s="136">
        <v>43234</v>
      </c>
      <c r="B2988" s="201" t="s">
        <v>70</v>
      </c>
      <c r="C2988" t="s">
        <v>131</v>
      </c>
      <c r="D2988">
        <v>10900</v>
      </c>
      <c r="E2988">
        <v>10900</v>
      </c>
      <c r="F2988">
        <v>11.734999999999999</v>
      </c>
      <c r="G2988">
        <v>-25779.9</v>
      </c>
      <c r="H2988">
        <v>-20.149999999999999</v>
      </c>
      <c r="I2988" s="309">
        <v>102133</v>
      </c>
      <c r="J2988">
        <v>9.3699999999999992</v>
      </c>
      <c r="K2988" s="133">
        <v>0.212357981584303</v>
      </c>
      <c r="L2988" s="181">
        <v>-4142</v>
      </c>
      <c r="M2988" s="133">
        <v>0.26596031902122502</v>
      </c>
      <c r="N2988" s="73">
        <v>-22840.895</v>
      </c>
      <c r="O2988" s="73">
        <v>-2368.20275440872</v>
      </c>
      <c r="P2988" s="182">
        <v>3</v>
      </c>
      <c r="Q2988" s="182">
        <v>1500</v>
      </c>
      <c r="R2988" s="46">
        <v>8.4169999999999998</v>
      </c>
      <c r="S2988" s="46">
        <v>8</v>
      </c>
      <c r="T2988" s="46">
        <v>3300</v>
      </c>
      <c r="U2988" s="46">
        <v>9.1470000000000002</v>
      </c>
      <c r="V2988" s="46" t="s">
        <v>68</v>
      </c>
      <c r="W2988" s="46">
        <v>1800</v>
      </c>
      <c r="X2988" s="46">
        <v>9.7550000000000008</v>
      </c>
      <c r="AF2988" s="46">
        <v>137</v>
      </c>
      <c r="AG2988" s="46">
        <v>70100</v>
      </c>
      <c r="AH2988" s="46">
        <v>908028</v>
      </c>
      <c r="AI2988" s="46">
        <v>12.952999999999999</v>
      </c>
      <c r="AJ2988" s="46">
        <v>143</v>
      </c>
      <c r="AK2988" s="46">
        <v>57400</v>
      </c>
      <c r="AL2988" s="46">
        <v>762231.29</v>
      </c>
      <c r="AM2988" s="46">
        <v>13.279</v>
      </c>
      <c r="AN2988" s="46" t="s">
        <v>63</v>
      </c>
      <c r="AO2988" s="46">
        <v>12700</v>
      </c>
      <c r="AP2988" s="46">
        <v>145796.71</v>
      </c>
      <c r="AQ2988" s="46">
        <v>11.48</v>
      </c>
      <c r="AR2988" s="46">
        <v>18712.400000000001</v>
      </c>
      <c r="AS2988" s="46">
        <v>140</v>
      </c>
      <c r="AT2988" s="46">
        <v>71600</v>
      </c>
      <c r="AU2988" s="46">
        <v>920668</v>
      </c>
      <c r="AV2988" s="46">
        <v>12.858000000000001</v>
      </c>
      <c r="AW2988" s="46">
        <v>152</v>
      </c>
      <c r="AX2988" s="46">
        <v>60700</v>
      </c>
      <c r="AY2988" s="46">
        <v>792751.10499999998</v>
      </c>
      <c r="AZ2988" s="46">
        <v>13.06</v>
      </c>
      <c r="BA2988" s="46" t="s">
        <v>63</v>
      </c>
      <c r="BB2988" s="46">
        <v>10900</v>
      </c>
      <c r="BC2988" s="46">
        <v>127916.895</v>
      </c>
      <c r="BD2988" s="46">
        <v>11.734999999999999</v>
      </c>
      <c r="BE2988" s="46">
        <v>12261.4</v>
      </c>
      <c r="BF2988" s="46">
        <v>12640</v>
      </c>
      <c r="BG2988" s="46">
        <v>8.43</v>
      </c>
      <c r="BH2988" s="46">
        <v>30519.815000000101</v>
      </c>
      <c r="BI2988">
        <v>9.25</v>
      </c>
      <c r="BJ2988">
        <v>-17879.814999999999</v>
      </c>
      <c r="BK2988">
        <v>-9.93</v>
      </c>
      <c r="BL2988">
        <v>1997.05</v>
      </c>
    </row>
    <row r="2989" spans="1:64" x14ac:dyDescent="0.25">
      <c r="A2989" s="136">
        <v>43234</v>
      </c>
      <c r="B2989" s="201" t="s">
        <v>137</v>
      </c>
      <c r="C2989" t="s">
        <v>149</v>
      </c>
      <c r="D2989">
        <v>100</v>
      </c>
      <c r="E2989">
        <v>100</v>
      </c>
      <c r="F2989">
        <v>-130.48500000000001</v>
      </c>
      <c r="G2989">
        <v>17240.5</v>
      </c>
      <c r="H2989">
        <v>0</v>
      </c>
      <c r="I2989" s="309">
        <v>4192</v>
      </c>
      <c r="J2989">
        <v>41.92</v>
      </c>
      <c r="K2989" s="133">
        <v>8.7161315030538401E-3</v>
      </c>
      <c r="L2989" s="181">
        <v>-292</v>
      </c>
      <c r="M2989" s="133">
        <v>0</v>
      </c>
    </row>
    <row r="2990" spans="1:64" x14ac:dyDescent="0.25">
      <c r="A2990" s="136">
        <v>43234</v>
      </c>
      <c r="B2990" s="201" t="s">
        <v>835</v>
      </c>
      <c r="C2990" t="s">
        <v>839</v>
      </c>
      <c r="I2990" s="309">
        <v>3344.34</v>
      </c>
      <c r="K2990" s="133">
        <v>6.9536515340942401E-3</v>
      </c>
      <c r="L2990" s="181">
        <v>0</v>
      </c>
      <c r="M2990" s="133">
        <v>0.15316295250720899</v>
      </c>
    </row>
    <row r="2991" spans="1:64" x14ac:dyDescent="0.25">
      <c r="A2991" s="136">
        <v>43235</v>
      </c>
      <c r="B2991" s="201" t="s">
        <v>132</v>
      </c>
      <c r="C2991" t="s">
        <v>123</v>
      </c>
      <c r="D2991">
        <v>7033563</v>
      </c>
      <c r="E2991">
        <v>7033563</v>
      </c>
      <c r="F2991">
        <v>8.9999999999999993E-3</v>
      </c>
      <c r="G2991">
        <v>3581.19</v>
      </c>
      <c r="H2991">
        <v>11.11</v>
      </c>
      <c r="I2991" s="309">
        <v>70335.63</v>
      </c>
      <c r="J2991">
        <v>0.01</v>
      </c>
      <c r="K2991" s="133">
        <v>0.14526814553484499</v>
      </c>
      <c r="L2991" s="181">
        <v>16.659999999999901</v>
      </c>
      <c r="M2991" s="133">
        <v>0</v>
      </c>
    </row>
    <row r="2992" spans="1:64" x14ac:dyDescent="0.25">
      <c r="A2992" s="136">
        <v>43235</v>
      </c>
      <c r="B2992" s="201" t="s">
        <v>61</v>
      </c>
      <c r="C2992" t="s">
        <v>136</v>
      </c>
      <c r="D2992">
        <v>3900</v>
      </c>
      <c r="E2992">
        <v>3900</v>
      </c>
      <c r="F2992">
        <v>5.0519999999999996</v>
      </c>
      <c r="G2992">
        <v>-1645.1</v>
      </c>
      <c r="H2992">
        <v>-8.35</v>
      </c>
      <c r="I2992" s="309">
        <v>18057</v>
      </c>
      <c r="J2992">
        <v>4.63</v>
      </c>
      <c r="K2992" s="133">
        <v>3.7294141019604099E-2</v>
      </c>
      <c r="L2992" s="181">
        <v>78</v>
      </c>
      <c r="M2992" s="133">
        <v>4.0691858879234703E-2</v>
      </c>
      <c r="N2992" s="73">
        <v>-1807.1410000000001</v>
      </c>
      <c r="O2992" s="73">
        <v>-393.515779847494</v>
      </c>
      <c r="P2992" s="182">
        <v>6</v>
      </c>
      <c r="Q2992" s="182">
        <v>3000</v>
      </c>
      <c r="R2992" s="46">
        <v>5.0350000000000001</v>
      </c>
      <c r="S2992" s="46">
        <v>0</v>
      </c>
      <c r="T2992" s="46">
        <v>0</v>
      </c>
      <c r="U2992" s="46">
        <v>0</v>
      </c>
      <c r="V2992" s="46" t="s">
        <v>62</v>
      </c>
      <c r="W2992" s="46">
        <v>3000</v>
      </c>
      <c r="X2992" s="46">
        <v>5.0350000000000001</v>
      </c>
      <c r="AF2992" s="46">
        <v>10</v>
      </c>
      <c r="AG2992" s="46">
        <v>5000</v>
      </c>
      <c r="AH2992" s="46">
        <v>26378</v>
      </c>
      <c r="AI2992" s="46">
        <v>5.2759999999999998</v>
      </c>
      <c r="AJ2992" s="46">
        <v>10</v>
      </c>
      <c r="AK2992" s="46">
        <v>4100</v>
      </c>
      <c r="AL2992" s="46">
        <v>21806.659</v>
      </c>
      <c r="AM2992" s="46">
        <v>5.319</v>
      </c>
      <c r="AN2992" s="46" t="s">
        <v>63</v>
      </c>
      <c r="AO2992" s="46">
        <v>900</v>
      </c>
      <c r="AP2992" s="46">
        <v>4571.3410000000003</v>
      </c>
      <c r="AQ2992" s="46">
        <v>5.0789999999999997</v>
      </c>
      <c r="AR2992" s="46">
        <v>176.3</v>
      </c>
      <c r="AS2992" s="46">
        <v>16</v>
      </c>
      <c r="AT2992" s="46">
        <v>8000</v>
      </c>
      <c r="AU2992" s="46">
        <v>41514.800000000003</v>
      </c>
      <c r="AV2992" s="46">
        <v>5.1890000000000001</v>
      </c>
      <c r="AW2992" s="46">
        <v>10</v>
      </c>
      <c r="AX2992" s="46">
        <v>4100</v>
      </c>
      <c r="AY2992" s="46">
        <v>21806.659</v>
      </c>
      <c r="AZ2992" s="46">
        <v>5.319</v>
      </c>
      <c r="BA2992" s="46" t="s">
        <v>63</v>
      </c>
      <c r="BB2992" s="46">
        <v>3900</v>
      </c>
      <c r="BC2992" s="46">
        <v>19708.141</v>
      </c>
      <c r="BD2992" s="46">
        <v>5.0529999999999999</v>
      </c>
      <c r="BE2992" s="46">
        <v>533</v>
      </c>
      <c r="BF2992" s="46">
        <v>15136.8</v>
      </c>
      <c r="BG2992" s="46">
        <v>5.05</v>
      </c>
      <c r="BH2992" s="46">
        <v>0</v>
      </c>
      <c r="BJ2992">
        <v>15136.8</v>
      </c>
      <c r="BK2992">
        <v>5.05</v>
      </c>
      <c r="BL2992">
        <v>38.08</v>
      </c>
    </row>
    <row r="2993" spans="1:64" x14ac:dyDescent="0.25">
      <c r="A2993" s="136">
        <v>43235</v>
      </c>
      <c r="B2993" s="201" t="s">
        <v>124</v>
      </c>
      <c r="C2993" t="s">
        <v>125</v>
      </c>
      <c r="D2993">
        <v>100</v>
      </c>
      <c r="E2993">
        <v>100</v>
      </c>
      <c r="F2993">
        <v>-53.579000000000001</v>
      </c>
      <c r="G2993">
        <v>5966.9</v>
      </c>
      <c r="H2993">
        <v>0</v>
      </c>
      <c r="I2993" s="309">
        <v>609</v>
      </c>
      <c r="J2993">
        <v>6.09</v>
      </c>
      <c r="K2993" s="133">
        <v>1.2578020646252901E-3</v>
      </c>
      <c r="L2993" s="181">
        <v>2</v>
      </c>
      <c r="M2993" s="133">
        <v>0</v>
      </c>
    </row>
    <row r="2994" spans="1:64" x14ac:dyDescent="0.25">
      <c r="A2994" s="136">
        <v>43235</v>
      </c>
      <c r="B2994" s="201" t="s">
        <v>71</v>
      </c>
      <c r="C2994" t="s">
        <v>126</v>
      </c>
      <c r="D2994">
        <v>1300</v>
      </c>
      <c r="E2994">
        <v>1300</v>
      </c>
      <c r="F2994">
        <v>4.7699999999999996</v>
      </c>
      <c r="G2994">
        <v>2508.96</v>
      </c>
      <c r="H2994">
        <v>40.46</v>
      </c>
      <c r="I2994" s="309">
        <v>8710</v>
      </c>
      <c r="J2994">
        <v>6.7</v>
      </c>
      <c r="K2994" s="133">
        <v>1.7989254487498E-2</v>
      </c>
      <c r="L2994" s="181">
        <v>-65</v>
      </c>
      <c r="M2994" s="133">
        <v>1.28073578240132E-2</v>
      </c>
      <c r="N2994" s="73">
        <v>4816.0060000000003</v>
      </c>
      <c r="O2994" s="73">
        <v>367.08042812030101</v>
      </c>
      <c r="P2994" s="182">
        <v>0</v>
      </c>
      <c r="Q2994" s="182">
        <v>0</v>
      </c>
      <c r="R2994" s="46">
        <v>0</v>
      </c>
      <c r="S2994" s="46">
        <v>5</v>
      </c>
      <c r="T2994" s="46">
        <v>1900</v>
      </c>
      <c r="U2994" s="46">
        <v>6.7430000000000003</v>
      </c>
      <c r="V2994" s="46" t="s">
        <v>68</v>
      </c>
      <c r="W2994" s="46">
        <v>1900</v>
      </c>
      <c r="X2994" s="46">
        <v>6.7430000000000003</v>
      </c>
      <c r="AF2994" s="46">
        <v>45</v>
      </c>
      <c r="AG2994" s="46">
        <v>22600</v>
      </c>
      <c r="AH2994" s="46">
        <v>144534.56</v>
      </c>
      <c r="AI2994" s="46">
        <v>6.3949999999999996</v>
      </c>
      <c r="AJ2994" s="46">
        <v>43</v>
      </c>
      <c r="AK2994" s="46">
        <v>19400</v>
      </c>
      <c r="AL2994" s="46">
        <v>125389.618</v>
      </c>
      <c r="AM2994" s="46">
        <v>6.4630000000000001</v>
      </c>
      <c r="AN2994" s="46" t="s">
        <v>63</v>
      </c>
      <c r="AO2994" s="46">
        <v>3200</v>
      </c>
      <c r="AP2994" s="46">
        <v>19144.941999999999</v>
      </c>
      <c r="AQ2994" s="46">
        <v>5.9829999999999997</v>
      </c>
      <c r="AR2994" s="46">
        <v>1319.2</v>
      </c>
      <c r="AS2994" s="46">
        <v>45</v>
      </c>
      <c r="AT2994" s="46">
        <v>22600</v>
      </c>
      <c r="AU2994" s="46">
        <v>144534.56</v>
      </c>
      <c r="AV2994" s="46">
        <v>6.3949999999999996</v>
      </c>
      <c r="AW2994" s="46">
        <v>48</v>
      </c>
      <c r="AX2994" s="46">
        <v>21300</v>
      </c>
      <c r="AY2994" s="46">
        <v>138170.666</v>
      </c>
      <c r="AZ2994" s="46">
        <v>6.4870000000000001</v>
      </c>
      <c r="BA2994" s="46" t="s">
        <v>63</v>
      </c>
      <c r="BB2994" s="46">
        <v>1300</v>
      </c>
      <c r="BC2994" s="46">
        <v>6363.8940000000002</v>
      </c>
      <c r="BD2994" s="46">
        <v>4.8949999999999996</v>
      </c>
      <c r="BE2994" s="46">
        <v>1959.6</v>
      </c>
      <c r="BF2994" s="46">
        <v>0</v>
      </c>
      <c r="BH2994" s="46">
        <v>12781.048000000001</v>
      </c>
      <c r="BI2994">
        <v>6.73</v>
      </c>
      <c r="BJ2994">
        <v>-12781.048000000001</v>
      </c>
      <c r="BK2994">
        <v>-6.73</v>
      </c>
      <c r="BL2994">
        <v>196.9</v>
      </c>
    </row>
    <row r="2995" spans="1:64" x14ac:dyDescent="0.25">
      <c r="A2995" s="136">
        <v>43235</v>
      </c>
      <c r="B2995" s="201" t="s">
        <v>79</v>
      </c>
      <c r="C2995" t="s">
        <v>143</v>
      </c>
      <c r="D2995">
        <v>5100</v>
      </c>
      <c r="E2995">
        <v>5100</v>
      </c>
      <c r="F2995">
        <v>16.452000000000002</v>
      </c>
      <c r="G2995">
        <v>-7659.62</v>
      </c>
      <c r="H2995">
        <v>-9.1300000000000008</v>
      </c>
      <c r="I2995" s="309">
        <v>76245</v>
      </c>
      <c r="J2995">
        <v>14.95</v>
      </c>
      <c r="K2995" s="133">
        <v>0.15747310084951599</v>
      </c>
      <c r="L2995" s="181">
        <v>1377</v>
      </c>
      <c r="M2995" s="133">
        <v>0.173292946252218</v>
      </c>
      <c r="N2995" s="73">
        <v>-8684.8520000001299</v>
      </c>
      <c r="O2995" s="73">
        <v>-588.50912366102602</v>
      </c>
      <c r="P2995" s="182">
        <v>7</v>
      </c>
      <c r="Q2995" s="182">
        <v>3500</v>
      </c>
      <c r="R2995" s="46">
        <v>14.59</v>
      </c>
      <c r="S2995" s="46">
        <v>0</v>
      </c>
      <c r="T2995" s="46">
        <v>0</v>
      </c>
      <c r="U2995" s="46">
        <v>0</v>
      </c>
      <c r="V2995" s="46" t="s">
        <v>62</v>
      </c>
      <c r="W2995" s="46">
        <v>3500</v>
      </c>
      <c r="X2995" s="46">
        <v>14.59</v>
      </c>
      <c r="AF2995" s="46">
        <v>15</v>
      </c>
      <c r="AG2995" s="46">
        <v>8000</v>
      </c>
      <c r="AH2995" s="46">
        <v>128739.8</v>
      </c>
      <c r="AI2995" s="46">
        <v>16.091999999999999</v>
      </c>
      <c r="AJ2995" s="46">
        <v>16</v>
      </c>
      <c r="AK2995" s="46">
        <v>6400</v>
      </c>
      <c r="AL2995" s="46">
        <v>95932.047999999893</v>
      </c>
      <c r="AM2995" s="46">
        <v>14.989000000000001</v>
      </c>
      <c r="AN2995" s="46" t="s">
        <v>63</v>
      </c>
      <c r="AO2995" s="46">
        <v>1600</v>
      </c>
      <c r="AP2995" s="46">
        <v>32807.752</v>
      </c>
      <c r="AQ2995" s="46">
        <v>20.504999999999999</v>
      </c>
      <c r="AR2995" s="46">
        <v>-7059.2</v>
      </c>
      <c r="AS2995" s="46">
        <v>22</v>
      </c>
      <c r="AT2995" s="46">
        <v>11500</v>
      </c>
      <c r="AU2995" s="46">
        <v>179841.9</v>
      </c>
      <c r="AV2995" s="46">
        <v>15.638</v>
      </c>
      <c r="AW2995" s="46">
        <v>16</v>
      </c>
      <c r="AX2995" s="46">
        <v>6400</v>
      </c>
      <c r="AY2995" s="46">
        <v>95932.047999999893</v>
      </c>
      <c r="AZ2995" s="46">
        <v>14.989000000000001</v>
      </c>
      <c r="BA2995" s="46" t="s">
        <v>63</v>
      </c>
      <c r="BB2995" s="46">
        <v>5100</v>
      </c>
      <c r="BC2995" s="46">
        <v>83909.851999999999</v>
      </c>
      <c r="BD2995" s="46">
        <v>16.452999999999999</v>
      </c>
      <c r="BE2995" s="46">
        <v>-4153.6000000000004</v>
      </c>
      <c r="BF2995" s="46">
        <v>51102.099999999897</v>
      </c>
      <c r="BG2995" s="46">
        <v>14.6</v>
      </c>
      <c r="BH2995" s="46">
        <v>0</v>
      </c>
      <c r="BJ2995">
        <v>51102.1</v>
      </c>
      <c r="BK2995">
        <v>14.6</v>
      </c>
      <c r="BL2995">
        <v>-472.19</v>
      </c>
    </row>
    <row r="2996" spans="1:64" x14ac:dyDescent="0.25">
      <c r="A2996" s="136">
        <v>43235</v>
      </c>
      <c r="B2996" s="201" t="s">
        <v>65</v>
      </c>
      <c r="C2996" t="s">
        <v>127</v>
      </c>
      <c r="D2996">
        <v>18000</v>
      </c>
      <c r="E2996">
        <v>17600</v>
      </c>
      <c r="F2996">
        <v>9.3140000000000001</v>
      </c>
      <c r="G2996">
        <v>-5112.5200000000004</v>
      </c>
      <c r="H2996">
        <v>-3.05</v>
      </c>
      <c r="I2996" s="309">
        <v>162540</v>
      </c>
      <c r="J2996">
        <v>9.0299999999999994</v>
      </c>
      <c r="K2996" s="133">
        <v>0.335703033799992</v>
      </c>
      <c r="L2996" s="181">
        <v>540</v>
      </c>
      <c r="M2996" s="133">
        <v>0.34626220984504602</v>
      </c>
      <c r="N2996" s="73">
        <v>-11554.939</v>
      </c>
      <c r="O2996" s="73">
        <v>-815.908957042662</v>
      </c>
      <c r="P2996" s="182">
        <v>4</v>
      </c>
      <c r="Q2996" s="182">
        <v>2000</v>
      </c>
      <c r="R2996" s="46">
        <v>9.0129999999999999</v>
      </c>
      <c r="S2996" s="46">
        <v>8</v>
      </c>
      <c r="T2996" s="46">
        <v>3300</v>
      </c>
      <c r="U2996" s="46">
        <v>12.547000000000001</v>
      </c>
      <c r="V2996" s="46" t="s">
        <v>68</v>
      </c>
      <c r="W2996" s="46">
        <v>1300</v>
      </c>
      <c r="X2996" s="46">
        <v>17.984000000000002</v>
      </c>
      <c r="AF2996" s="46">
        <v>187</v>
      </c>
      <c r="AG2996" s="46">
        <v>99200</v>
      </c>
      <c r="AH2996" s="46">
        <v>1131150.2309999999</v>
      </c>
      <c r="AI2996" s="46">
        <v>11.403</v>
      </c>
      <c r="AJ2996" s="46">
        <v>206</v>
      </c>
      <c r="AK2996" s="46">
        <v>89100</v>
      </c>
      <c r="AL2996" s="46">
        <v>939384.69400000002</v>
      </c>
      <c r="AM2996" s="46">
        <v>10.542999999999999</v>
      </c>
      <c r="AN2996" s="46" t="s">
        <v>63</v>
      </c>
      <c r="AO2996" s="46">
        <v>10100</v>
      </c>
      <c r="AP2996" s="46">
        <v>191765.53700000001</v>
      </c>
      <c r="AQ2996" s="46">
        <v>18.986999999999998</v>
      </c>
      <c r="AR2996" s="46">
        <v>-76626</v>
      </c>
      <c r="AS2996" s="46">
        <v>192</v>
      </c>
      <c r="AT2996" s="46">
        <v>101300</v>
      </c>
      <c r="AU2996" s="46">
        <v>1150483.2309999999</v>
      </c>
      <c r="AV2996" s="46">
        <v>11.356999999999999</v>
      </c>
      <c r="AW2996" s="46">
        <v>214</v>
      </c>
      <c r="AX2996" s="46">
        <v>92400</v>
      </c>
      <c r="AY2996" s="46">
        <v>980707.29</v>
      </c>
      <c r="AZ2996" s="46">
        <v>10.614000000000001</v>
      </c>
      <c r="BA2996" s="46" t="s">
        <v>63</v>
      </c>
      <c r="BB2996" s="46">
        <v>8900</v>
      </c>
      <c r="BC2996" s="46">
        <v>169775.94099999999</v>
      </c>
      <c r="BD2996" s="46">
        <v>19.076000000000001</v>
      </c>
      <c r="BE2996" s="46">
        <v>-68653.2</v>
      </c>
      <c r="BF2996" s="46">
        <v>19333</v>
      </c>
      <c r="BG2996" s="46">
        <v>9.67</v>
      </c>
      <c r="BH2996" s="46">
        <v>41322.5960000001</v>
      </c>
      <c r="BI2996">
        <v>12.52</v>
      </c>
      <c r="BJ2996">
        <v>-21989.596000000001</v>
      </c>
      <c r="BK2996">
        <v>-16.920000000000002</v>
      </c>
      <c r="BL2996">
        <v>-8485.7099999999991</v>
      </c>
    </row>
    <row r="2997" spans="1:64" x14ac:dyDescent="0.25">
      <c r="A2997" s="136">
        <v>43235</v>
      </c>
      <c r="B2997" s="201" t="s">
        <v>77</v>
      </c>
      <c r="C2997" t="s">
        <v>128</v>
      </c>
      <c r="D2997">
        <v>4300</v>
      </c>
      <c r="E2997">
        <v>4300</v>
      </c>
      <c r="F2997">
        <v>5.9779999999999998</v>
      </c>
      <c r="G2997">
        <v>-595.27</v>
      </c>
      <c r="H2997">
        <v>-2.31</v>
      </c>
      <c r="I2997" s="309">
        <v>25112</v>
      </c>
      <c r="J2997">
        <v>5.84</v>
      </c>
      <c r="K2997" s="133">
        <v>5.1865230618834697E-2</v>
      </c>
      <c r="L2997" s="181">
        <v>0</v>
      </c>
      <c r="M2997" s="133">
        <v>5.3094675339704099E-2</v>
      </c>
      <c r="N2997" s="73">
        <v>-1272.2139999999999</v>
      </c>
      <c r="O2997" s="73">
        <v>-133.073774655173</v>
      </c>
      <c r="P2997" s="182">
        <v>6</v>
      </c>
      <c r="Q2997" s="182">
        <v>3000</v>
      </c>
      <c r="R2997" s="46">
        <v>6.798</v>
      </c>
      <c r="S2997" s="46">
        <v>0</v>
      </c>
      <c r="T2997" s="46">
        <v>0</v>
      </c>
      <c r="U2997" s="46">
        <v>0</v>
      </c>
      <c r="V2997" s="46" t="s">
        <v>62</v>
      </c>
      <c r="W2997" s="46">
        <v>3000</v>
      </c>
      <c r="X2997" s="46">
        <v>6.798</v>
      </c>
      <c r="AF2997" s="46">
        <v>39</v>
      </c>
      <c r="AG2997" s="46">
        <v>19500</v>
      </c>
      <c r="AH2997" s="46">
        <v>142169</v>
      </c>
      <c r="AI2997" s="46">
        <v>7.2910000000000004</v>
      </c>
      <c r="AJ2997" s="46">
        <v>39</v>
      </c>
      <c r="AK2997" s="46">
        <v>18200</v>
      </c>
      <c r="AL2997" s="46">
        <v>136881.78599999999</v>
      </c>
      <c r="AM2997" s="46">
        <v>7.5209999999999999</v>
      </c>
      <c r="AN2997" s="46" t="s">
        <v>63</v>
      </c>
      <c r="AO2997" s="46">
        <v>1300</v>
      </c>
      <c r="AP2997" s="46">
        <v>5287.2139999999999</v>
      </c>
      <c r="AQ2997" s="46">
        <v>4.0670000000000002</v>
      </c>
      <c r="AR2997" s="46">
        <v>4186</v>
      </c>
      <c r="AS2997" s="46">
        <v>45</v>
      </c>
      <c r="AT2997" s="46">
        <v>22500</v>
      </c>
      <c r="AU2997" s="46">
        <v>162594</v>
      </c>
      <c r="AV2997" s="46">
        <v>7.226</v>
      </c>
      <c r="AW2997" s="46">
        <v>39</v>
      </c>
      <c r="AX2997" s="46">
        <v>18200</v>
      </c>
      <c r="AY2997" s="46">
        <v>136881.78599999999</v>
      </c>
      <c r="AZ2997" s="46">
        <v>7.5209999999999999</v>
      </c>
      <c r="BA2997" s="46" t="s">
        <v>63</v>
      </c>
      <c r="BB2997" s="46">
        <v>4300</v>
      </c>
      <c r="BC2997" s="46">
        <v>25712.214</v>
      </c>
      <c r="BD2997" s="46">
        <v>5.98</v>
      </c>
      <c r="BE2997" s="46">
        <v>5369</v>
      </c>
      <c r="BF2997" s="46">
        <v>20425</v>
      </c>
      <c r="BG2997" s="46">
        <v>6.81</v>
      </c>
      <c r="BH2997" s="46">
        <v>0</v>
      </c>
      <c r="BJ2997">
        <v>20425</v>
      </c>
      <c r="BK2997">
        <v>6.81</v>
      </c>
      <c r="BL2997">
        <v>716.78</v>
      </c>
    </row>
    <row r="2998" spans="1:64" x14ac:dyDescent="0.25">
      <c r="A2998" s="136">
        <v>43235</v>
      </c>
      <c r="B2998" s="201" t="s">
        <v>67</v>
      </c>
      <c r="C2998" t="s">
        <v>129</v>
      </c>
      <c r="D2998">
        <v>100</v>
      </c>
      <c r="E2998">
        <v>100</v>
      </c>
      <c r="F2998">
        <v>-33.115000000000002</v>
      </c>
      <c r="G2998">
        <v>4362.5</v>
      </c>
      <c r="H2998">
        <v>0</v>
      </c>
      <c r="I2998" s="309">
        <v>1051</v>
      </c>
      <c r="J2998">
        <v>10.51</v>
      </c>
      <c r="K2998" s="133">
        <v>2.1706896057819098E-3</v>
      </c>
      <c r="L2998" s="181">
        <v>176.9</v>
      </c>
      <c r="M2998" s="133">
        <v>0</v>
      </c>
      <c r="N2998" s="73">
        <v>4353.6874999997499</v>
      </c>
      <c r="O2998" s="73">
        <v>417.61138735602498</v>
      </c>
      <c r="P2998" s="182">
        <v>0</v>
      </c>
      <c r="Q2998" s="182">
        <v>0</v>
      </c>
      <c r="R2998" s="46">
        <v>0</v>
      </c>
      <c r="S2998" s="46">
        <v>24</v>
      </c>
      <c r="T2998" s="46">
        <v>9600</v>
      </c>
      <c r="U2998" s="46">
        <v>8.9969999999999999</v>
      </c>
      <c r="V2998" s="46" t="s">
        <v>68</v>
      </c>
      <c r="W2998" s="46">
        <v>9600</v>
      </c>
      <c r="X2998" s="46">
        <v>8.9969999999999999</v>
      </c>
      <c r="AF2998" s="46">
        <v>192</v>
      </c>
      <c r="AG2998" s="46">
        <v>95000</v>
      </c>
      <c r="AH2998" s="46">
        <v>791793</v>
      </c>
      <c r="AI2998" s="46">
        <v>8.3350000000000009</v>
      </c>
      <c r="AJ2998" s="46">
        <v>196</v>
      </c>
      <c r="AK2998" s="46">
        <v>87900</v>
      </c>
      <c r="AL2998" s="46">
        <v>778064.67550000001</v>
      </c>
      <c r="AM2998" s="46">
        <v>8.8520000000000003</v>
      </c>
      <c r="AN2998" s="46" t="s">
        <v>63</v>
      </c>
      <c r="AO2998" s="46">
        <v>7100</v>
      </c>
      <c r="AP2998" s="46">
        <v>13728.324000000001</v>
      </c>
      <c r="AQ2998" s="46">
        <v>1.9339999999999999</v>
      </c>
      <c r="AR2998" s="46">
        <v>45444.3</v>
      </c>
      <c r="AS2998" s="46">
        <v>192</v>
      </c>
      <c r="AT2998" s="46">
        <v>95000</v>
      </c>
      <c r="AU2998" s="46">
        <v>791793</v>
      </c>
      <c r="AV2998" s="46">
        <v>8.3350000000000009</v>
      </c>
      <c r="AW2998" s="46">
        <v>220</v>
      </c>
      <c r="AX2998" s="46">
        <v>97500</v>
      </c>
      <c r="AY2998" s="46">
        <v>864232.80350000004</v>
      </c>
      <c r="AZ2998" s="46">
        <v>8.8640000000000008</v>
      </c>
      <c r="BA2998" s="46" t="s">
        <v>69</v>
      </c>
      <c r="BB2998" s="46">
        <v>2500</v>
      </c>
      <c r="BC2998" s="46">
        <v>72439.804000000004</v>
      </c>
      <c r="BD2998" s="46">
        <v>28.975999999999999</v>
      </c>
      <c r="BE2998" s="46">
        <v>50255</v>
      </c>
      <c r="BF2998" s="46">
        <v>0</v>
      </c>
      <c r="BH2998" s="46">
        <v>86168.127999999997</v>
      </c>
      <c r="BI2998">
        <v>8.98</v>
      </c>
      <c r="BJ2998">
        <v>58711.48</v>
      </c>
      <c r="BK2998">
        <v>6.12</v>
      </c>
      <c r="BL2998">
        <v>4323.91</v>
      </c>
    </row>
    <row r="2999" spans="1:64" x14ac:dyDescent="0.25">
      <c r="A2999" s="136">
        <v>43235</v>
      </c>
      <c r="B2999" s="201" t="s">
        <v>78</v>
      </c>
      <c r="C2999" t="s">
        <v>142</v>
      </c>
      <c r="D2999">
        <v>600</v>
      </c>
      <c r="E2999">
        <v>600</v>
      </c>
      <c r="F2999">
        <v>6.9409999999999998</v>
      </c>
      <c r="G2999">
        <v>1289.3900000000001</v>
      </c>
      <c r="H2999">
        <v>30.96</v>
      </c>
      <c r="I2999" s="309">
        <v>5454</v>
      </c>
      <c r="J2999">
        <v>9.09</v>
      </c>
      <c r="K2999" s="133">
        <v>1.1264453958072801E-2</v>
      </c>
      <c r="L2999" s="181">
        <v>-114</v>
      </c>
      <c r="M2999" s="133">
        <v>8.6014040334304407E-3</v>
      </c>
      <c r="N2999" s="73">
        <v>1415.3910000000001</v>
      </c>
      <c r="O2999" s="73">
        <v>152.11648435483801</v>
      </c>
      <c r="P2999" s="182">
        <v>0</v>
      </c>
      <c r="Q2999" s="182">
        <v>0</v>
      </c>
      <c r="R2999" s="46">
        <v>0</v>
      </c>
      <c r="S2999" s="46">
        <v>2</v>
      </c>
      <c r="T2999" s="46">
        <v>800</v>
      </c>
      <c r="U2999" s="46">
        <v>10.210000000000001</v>
      </c>
      <c r="V2999" s="46" t="s">
        <v>68</v>
      </c>
      <c r="W2999" s="46">
        <v>800</v>
      </c>
      <c r="X2999" s="46">
        <v>10.210000000000001</v>
      </c>
      <c r="AF2999" s="46">
        <v>14</v>
      </c>
      <c r="AG2999" s="46">
        <v>7000</v>
      </c>
      <c r="AH2999" s="46">
        <v>67625</v>
      </c>
      <c r="AI2999" s="46">
        <v>9.6609999999999996</v>
      </c>
      <c r="AJ2999" s="46">
        <v>15</v>
      </c>
      <c r="AK2999" s="46">
        <v>5600</v>
      </c>
      <c r="AL2999" s="46">
        <v>55310.559000000001</v>
      </c>
      <c r="AM2999" s="46">
        <v>9.8770000000000007</v>
      </c>
      <c r="AN2999" s="46" t="s">
        <v>63</v>
      </c>
      <c r="AO2999" s="46">
        <v>1400</v>
      </c>
      <c r="AP2999" s="46">
        <v>12314.441000000001</v>
      </c>
      <c r="AQ2999" s="46">
        <v>8.7959999999999994</v>
      </c>
      <c r="AR2999" s="46">
        <v>1209.5999999999999</v>
      </c>
      <c r="AS2999" s="46">
        <v>14</v>
      </c>
      <c r="AT2999" s="46">
        <v>7000</v>
      </c>
      <c r="AU2999" s="46">
        <v>67625</v>
      </c>
      <c r="AV2999" s="46">
        <v>9.6609999999999996</v>
      </c>
      <c r="AW2999" s="46">
        <v>17</v>
      </c>
      <c r="AX2999" s="46">
        <v>6400</v>
      </c>
      <c r="AY2999" s="46">
        <v>63460.391000000003</v>
      </c>
      <c r="AZ2999" s="46">
        <v>9.9160000000000004</v>
      </c>
      <c r="BA2999" s="46" t="s">
        <v>63</v>
      </c>
      <c r="BB2999" s="46">
        <v>600</v>
      </c>
      <c r="BC2999" s="46">
        <v>4164.6090000000004</v>
      </c>
      <c r="BD2999" s="46">
        <v>6.9409999999999998</v>
      </c>
      <c r="BE2999" s="46">
        <v>1632</v>
      </c>
      <c r="BF2999" s="46">
        <v>0</v>
      </c>
      <c r="BH2999" s="46">
        <v>8149.8320000000003</v>
      </c>
      <c r="BI2999">
        <v>10.19</v>
      </c>
      <c r="BJ2999">
        <v>-8149.8320000000003</v>
      </c>
      <c r="BK2999">
        <v>-10.19</v>
      </c>
      <c r="BL2999">
        <v>133.07</v>
      </c>
    </row>
    <row r="3000" spans="1:64" x14ac:dyDescent="0.25">
      <c r="A3000" s="136">
        <v>43235</v>
      </c>
      <c r="B3000" s="201" t="s">
        <v>72</v>
      </c>
      <c r="C3000" t="s">
        <v>130</v>
      </c>
      <c r="D3000">
        <v>600</v>
      </c>
      <c r="E3000">
        <v>600</v>
      </c>
      <c r="F3000">
        <v>5.9850000000000003</v>
      </c>
      <c r="G3000">
        <v>602.88</v>
      </c>
      <c r="H3000">
        <v>16.79</v>
      </c>
      <c r="I3000" s="309">
        <v>4194</v>
      </c>
      <c r="J3000">
        <v>6.99</v>
      </c>
      <c r="K3000" s="133">
        <v>8.6621048588480694E-3</v>
      </c>
      <c r="L3000" s="181">
        <v>54</v>
      </c>
      <c r="M3000" s="133">
        <v>7.4169427755618701E-3</v>
      </c>
      <c r="N3000" s="73">
        <v>-3912.82799999999</v>
      </c>
      <c r="O3000" s="73">
        <v>99.794367548749605</v>
      </c>
      <c r="P3000" s="182">
        <v>0</v>
      </c>
      <c r="Q3000" s="182">
        <v>0</v>
      </c>
      <c r="R3000" s="46">
        <v>0</v>
      </c>
      <c r="S3000" s="46">
        <v>19</v>
      </c>
      <c r="T3000" s="46">
        <v>7600</v>
      </c>
      <c r="U3000" s="46">
        <v>7.2889999999999997</v>
      </c>
      <c r="V3000" s="46" t="s">
        <v>68</v>
      </c>
      <c r="W3000" s="46">
        <v>7600</v>
      </c>
      <c r="X3000" s="46">
        <v>7.2889999999999997</v>
      </c>
      <c r="AF3000" s="46">
        <v>37</v>
      </c>
      <c r="AG3000" s="46">
        <v>18400</v>
      </c>
      <c r="AH3000" s="46">
        <v>137152</v>
      </c>
      <c r="AI3000" s="46">
        <v>7.4539999999999997</v>
      </c>
      <c r="AJ3000" s="46">
        <v>37</v>
      </c>
      <c r="AK3000" s="46">
        <v>16800</v>
      </c>
      <c r="AL3000" s="46">
        <v>79043.756999999998</v>
      </c>
      <c r="AM3000" s="46">
        <v>4.7050000000000001</v>
      </c>
      <c r="AN3000" s="46" t="s">
        <v>63</v>
      </c>
      <c r="AO3000" s="46">
        <v>1600</v>
      </c>
      <c r="AP3000" s="46">
        <v>58108.243000000002</v>
      </c>
      <c r="AQ3000" s="46">
        <v>36.317999999999998</v>
      </c>
      <c r="AR3000" s="46">
        <v>-46183.199999999997</v>
      </c>
      <c r="AS3000" s="46">
        <v>37</v>
      </c>
      <c r="AT3000" s="46">
        <v>18400</v>
      </c>
      <c r="AU3000" s="46">
        <v>137152</v>
      </c>
      <c r="AV3000" s="46">
        <v>7.4539999999999997</v>
      </c>
      <c r="AW3000" s="46">
        <v>57</v>
      </c>
      <c r="AX3000" s="46">
        <v>24900</v>
      </c>
      <c r="AY3000" s="46">
        <v>134293.35699999999</v>
      </c>
      <c r="AZ3000" s="46">
        <v>5.3929999999999998</v>
      </c>
      <c r="BA3000" s="46" t="s">
        <v>69</v>
      </c>
      <c r="BB3000" s="46">
        <v>6500</v>
      </c>
      <c r="BC3000" s="46">
        <v>2858.643</v>
      </c>
      <c r="BD3000" s="46">
        <v>0.44</v>
      </c>
      <c r="BE3000" s="46">
        <v>-37922.400000000001</v>
      </c>
      <c r="BF3000" s="46">
        <v>0</v>
      </c>
      <c r="BH3000" s="46">
        <v>55249.599999999999</v>
      </c>
      <c r="BI3000">
        <v>7.27</v>
      </c>
      <c r="BJ3000">
        <v>-55249.599999999999</v>
      </c>
      <c r="BK3000">
        <v>-7.27</v>
      </c>
      <c r="BL3000">
        <v>-6607.04</v>
      </c>
    </row>
    <row r="3001" spans="1:64" x14ac:dyDescent="0.25">
      <c r="A3001" s="136">
        <v>43235</v>
      </c>
      <c r="B3001" s="201" t="s">
        <v>70</v>
      </c>
      <c r="C3001" t="s">
        <v>131</v>
      </c>
      <c r="D3001">
        <v>10900</v>
      </c>
      <c r="E3001">
        <v>10900</v>
      </c>
      <c r="F3001">
        <v>11.734999999999999</v>
      </c>
      <c r="G3001">
        <v>-24689.9</v>
      </c>
      <c r="H3001">
        <v>-19.3</v>
      </c>
      <c r="I3001" s="309">
        <v>103223</v>
      </c>
      <c r="J3001">
        <v>9.4700000000000006</v>
      </c>
      <c r="K3001" s="133">
        <v>0.213192286562917</v>
      </c>
      <c r="L3001" s="181">
        <v>1090</v>
      </c>
      <c r="M3001" s="133">
        <v>0.264185730233511</v>
      </c>
      <c r="N3001" s="73">
        <v>-22840.895</v>
      </c>
      <c r="O3001" s="73">
        <v>-2368.20275440872</v>
      </c>
      <c r="P3001" s="182">
        <v>3</v>
      </c>
      <c r="Q3001" s="182">
        <v>1500</v>
      </c>
      <c r="R3001" s="46">
        <v>8.4169999999999998</v>
      </c>
      <c r="S3001" s="46">
        <v>8</v>
      </c>
      <c r="T3001" s="46">
        <v>3300</v>
      </c>
      <c r="U3001" s="46">
        <v>9.1470000000000002</v>
      </c>
      <c r="V3001" s="46" t="s">
        <v>68</v>
      </c>
      <c r="W3001" s="46">
        <v>1800</v>
      </c>
      <c r="X3001" s="46">
        <v>9.7550000000000008</v>
      </c>
      <c r="AF3001" s="46">
        <v>137</v>
      </c>
      <c r="AG3001" s="46">
        <v>70100</v>
      </c>
      <c r="AH3001" s="46">
        <v>908028</v>
      </c>
      <c r="AI3001" s="46">
        <v>12.952999999999999</v>
      </c>
      <c r="AJ3001" s="46">
        <v>143</v>
      </c>
      <c r="AK3001" s="46">
        <v>57400</v>
      </c>
      <c r="AL3001" s="46">
        <v>762231.29</v>
      </c>
      <c r="AM3001" s="46">
        <v>13.279</v>
      </c>
      <c r="AN3001" s="46" t="s">
        <v>63</v>
      </c>
      <c r="AO3001" s="46">
        <v>12700</v>
      </c>
      <c r="AP3001" s="46">
        <v>145796.71</v>
      </c>
      <c r="AQ3001" s="46">
        <v>11.48</v>
      </c>
      <c r="AR3001" s="46">
        <v>18712.400000000001</v>
      </c>
      <c r="AS3001" s="46">
        <v>140</v>
      </c>
      <c r="AT3001" s="46">
        <v>71600</v>
      </c>
      <c r="AU3001" s="46">
        <v>920668</v>
      </c>
      <c r="AV3001" s="46">
        <v>12.858000000000001</v>
      </c>
      <c r="AW3001" s="46">
        <v>152</v>
      </c>
      <c r="AX3001" s="46">
        <v>60700</v>
      </c>
      <c r="AY3001" s="46">
        <v>792751.10499999998</v>
      </c>
      <c r="AZ3001" s="46">
        <v>13.06</v>
      </c>
      <c r="BA3001" s="46" t="s">
        <v>63</v>
      </c>
      <c r="BB3001" s="46">
        <v>10900</v>
      </c>
      <c r="BC3001" s="46">
        <v>127916.895</v>
      </c>
      <c r="BD3001" s="46">
        <v>11.734999999999999</v>
      </c>
      <c r="BE3001" s="46">
        <v>12261.4</v>
      </c>
      <c r="BF3001" s="46">
        <v>12640</v>
      </c>
      <c r="BG3001" s="46">
        <v>8.43</v>
      </c>
      <c r="BH3001" s="46">
        <v>30519.815000000101</v>
      </c>
      <c r="BI3001">
        <v>9.25</v>
      </c>
      <c r="BJ3001">
        <v>-17879.814999999999</v>
      </c>
      <c r="BK3001">
        <v>-9.93</v>
      </c>
      <c r="BL3001">
        <v>1975.97</v>
      </c>
    </row>
    <row r="3002" spans="1:64" x14ac:dyDescent="0.25">
      <c r="A3002" s="136">
        <v>43235</v>
      </c>
      <c r="B3002" s="201" t="s">
        <v>137</v>
      </c>
      <c r="C3002" t="s">
        <v>149</v>
      </c>
      <c r="D3002">
        <v>100</v>
      </c>
      <c r="E3002">
        <v>100</v>
      </c>
      <c r="F3002">
        <v>-130.48500000000001</v>
      </c>
      <c r="G3002">
        <v>17315.5</v>
      </c>
      <c r="H3002">
        <v>0</v>
      </c>
      <c r="I3002" s="309">
        <v>4267</v>
      </c>
      <c r="J3002">
        <v>42.67</v>
      </c>
      <c r="K3002" s="133">
        <v>8.8128758780888702E-3</v>
      </c>
      <c r="L3002" s="181">
        <v>75</v>
      </c>
      <c r="M3002" s="133">
        <v>0</v>
      </c>
    </row>
    <row r="3003" spans="1:64" x14ac:dyDescent="0.25">
      <c r="A3003" s="136">
        <v>43235</v>
      </c>
      <c r="B3003" s="201" t="s">
        <v>835</v>
      </c>
      <c r="C3003" t="s">
        <v>839</v>
      </c>
      <c r="I3003" s="309">
        <v>4380.3</v>
      </c>
      <c r="K3003" s="133">
        <v>9.0468807613763007E-3</v>
      </c>
      <c r="L3003" s="181">
        <v>0</v>
      </c>
      <c r="M3003" s="133">
        <v>0.15431502629622099</v>
      </c>
    </row>
    <row r="3004" spans="1:64" x14ac:dyDescent="0.25">
      <c r="A3004" s="136">
        <v>43237</v>
      </c>
      <c r="B3004" s="201" t="s">
        <v>132</v>
      </c>
      <c r="C3004" t="s">
        <v>123</v>
      </c>
      <c r="D3004">
        <v>7034738</v>
      </c>
      <c r="E3004">
        <v>7034738</v>
      </c>
      <c r="F3004">
        <v>8.9999999999999993E-3</v>
      </c>
      <c r="G3004">
        <v>3592.94</v>
      </c>
      <c r="H3004">
        <v>11.11</v>
      </c>
      <c r="I3004" s="309">
        <v>70347.38</v>
      </c>
      <c r="J3004">
        <v>0.01</v>
      </c>
      <c r="K3004" s="133">
        <v>0.144415655355041</v>
      </c>
      <c r="L3004" s="181">
        <v>11.75</v>
      </c>
      <c r="M3004" s="133">
        <v>0</v>
      </c>
    </row>
    <row r="3005" spans="1:64" x14ac:dyDescent="0.25">
      <c r="A3005" s="136">
        <v>43237</v>
      </c>
      <c r="B3005" s="201" t="s">
        <v>61</v>
      </c>
      <c r="C3005" t="s">
        <v>136</v>
      </c>
      <c r="D3005">
        <v>3900</v>
      </c>
      <c r="E3005">
        <v>3900</v>
      </c>
      <c r="F3005">
        <v>5.0519999999999996</v>
      </c>
      <c r="G3005">
        <v>-1801.1</v>
      </c>
      <c r="H3005">
        <v>-9.14</v>
      </c>
      <c r="I3005" s="309">
        <v>17901</v>
      </c>
      <c r="J3005">
        <v>4.59</v>
      </c>
      <c r="K3005" s="133">
        <v>3.6748840490016602E-2</v>
      </c>
      <c r="L3005" s="181">
        <v>-156</v>
      </c>
      <c r="M3005" s="133">
        <v>4.0446306363798402E-2</v>
      </c>
      <c r="N3005" s="73">
        <v>-1807.1410000000001</v>
      </c>
      <c r="O3005" s="73">
        <v>-393.515779847494</v>
      </c>
      <c r="P3005" s="182">
        <v>6</v>
      </c>
      <c r="Q3005" s="182">
        <v>3000</v>
      </c>
      <c r="R3005" s="46">
        <v>5.0350000000000001</v>
      </c>
      <c r="S3005" s="46">
        <v>0</v>
      </c>
      <c r="T3005" s="46">
        <v>0</v>
      </c>
      <c r="U3005" s="46">
        <v>0</v>
      </c>
      <c r="V3005" s="46" t="s">
        <v>62</v>
      </c>
      <c r="W3005" s="46">
        <v>3000</v>
      </c>
      <c r="X3005" s="46">
        <v>5.0350000000000001</v>
      </c>
      <c r="AF3005" s="46">
        <v>10</v>
      </c>
      <c r="AG3005" s="46">
        <v>5000</v>
      </c>
      <c r="AH3005" s="46">
        <v>26378</v>
      </c>
      <c r="AI3005" s="46">
        <v>5.2759999999999998</v>
      </c>
      <c r="AJ3005" s="46">
        <v>10</v>
      </c>
      <c r="AK3005" s="46">
        <v>4100</v>
      </c>
      <c r="AL3005" s="46">
        <v>21806.659</v>
      </c>
      <c r="AM3005" s="46">
        <v>5.319</v>
      </c>
      <c r="AN3005" s="46" t="s">
        <v>63</v>
      </c>
      <c r="AO3005" s="46">
        <v>900</v>
      </c>
      <c r="AP3005" s="46">
        <v>4571.3410000000003</v>
      </c>
      <c r="AQ3005" s="46">
        <v>5.0789999999999997</v>
      </c>
      <c r="AR3005" s="46">
        <v>176.3</v>
      </c>
      <c r="AS3005" s="46">
        <v>16</v>
      </c>
      <c r="AT3005" s="46">
        <v>8000</v>
      </c>
      <c r="AU3005" s="46">
        <v>41514.800000000003</v>
      </c>
      <c r="AV3005" s="46">
        <v>5.1890000000000001</v>
      </c>
      <c r="AW3005" s="46">
        <v>10</v>
      </c>
      <c r="AX3005" s="46">
        <v>4100</v>
      </c>
      <c r="AY3005" s="46">
        <v>21806.659</v>
      </c>
      <c r="AZ3005" s="46">
        <v>5.319</v>
      </c>
      <c r="BA3005" s="46" t="s">
        <v>63</v>
      </c>
      <c r="BB3005" s="46">
        <v>3900</v>
      </c>
      <c r="BC3005" s="46">
        <v>19708.141</v>
      </c>
      <c r="BD3005" s="46">
        <v>5.0529999999999999</v>
      </c>
      <c r="BE3005" s="46">
        <v>533</v>
      </c>
      <c r="BF3005" s="46">
        <v>15136.8</v>
      </c>
      <c r="BG3005" s="46">
        <v>5.05</v>
      </c>
      <c r="BH3005" s="46">
        <v>0</v>
      </c>
      <c r="BJ3005">
        <v>15136.8</v>
      </c>
      <c r="BK3005">
        <v>5.05</v>
      </c>
      <c r="BL3005">
        <v>38.409999999999997</v>
      </c>
    </row>
    <row r="3006" spans="1:64" x14ac:dyDescent="0.25">
      <c r="A3006" s="136">
        <v>43237</v>
      </c>
      <c r="B3006" s="201" t="s">
        <v>124</v>
      </c>
      <c r="C3006" t="s">
        <v>125</v>
      </c>
      <c r="D3006">
        <v>100</v>
      </c>
      <c r="E3006">
        <v>100</v>
      </c>
      <c r="F3006">
        <v>-53.579000000000001</v>
      </c>
      <c r="G3006">
        <v>5954.9</v>
      </c>
      <c r="H3006">
        <v>0</v>
      </c>
      <c r="I3006" s="309">
        <v>597</v>
      </c>
      <c r="J3006">
        <v>5.97</v>
      </c>
      <c r="K3006" s="133">
        <v>1.2255772176157701E-3</v>
      </c>
      <c r="L3006" s="181">
        <v>-12</v>
      </c>
      <c r="M3006" s="133">
        <v>0</v>
      </c>
    </row>
    <row r="3007" spans="1:64" x14ac:dyDescent="0.25">
      <c r="A3007" s="136">
        <v>43237</v>
      </c>
      <c r="B3007" s="201" t="s">
        <v>71</v>
      </c>
      <c r="C3007" t="s">
        <v>126</v>
      </c>
      <c r="D3007">
        <v>1300</v>
      </c>
      <c r="E3007">
        <v>1300</v>
      </c>
      <c r="F3007">
        <v>4.7699999999999996</v>
      </c>
      <c r="G3007">
        <v>2365.96</v>
      </c>
      <c r="H3007">
        <v>38.159999999999997</v>
      </c>
      <c r="I3007" s="309">
        <v>8567</v>
      </c>
      <c r="J3007">
        <v>6.59</v>
      </c>
      <c r="K3007" s="133">
        <v>1.7587135717444399E-2</v>
      </c>
      <c r="L3007" s="181">
        <v>-143</v>
      </c>
      <c r="M3007" s="133">
        <v>1.27300726122682E-2</v>
      </c>
      <c r="N3007" s="73">
        <v>4816.0060000000003</v>
      </c>
      <c r="O3007" s="73">
        <v>367.08042812030101</v>
      </c>
      <c r="P3007" s="182">
        <v>0</v>
      </c>
      <c r="Q3007" s="182">
        <v>0</v>
      </c>
      <c r="R3007" s="46">
        <v>0</v>
      </c>
      <c r="S3007" s="46">
        <v>5</v>
      </c>
      <c r="T3007" s="46">
        <v>1900</v>
      </c>
      <c r="U3007" s="46">
        <v>6.7430000000000003</v>
      </c>
      <c r="V3007" s="46" t="s">
        <v>68</v>
      </c>
      <c r="W3007" s="46">
        <v>1900</v>
      </c>
      <c r="X3007" s="46">
        <v>6.7430000000000003</v>
      </c>
      <c r="AF3007" s="46">
        <v>45</v>
      </c>
      <c r="AG3007" s="46">
        <v>22600</v>
      </c>
      <c r="AH3007" s="46">
        <v>144534.56</v>
      </c>
      <c r="AI3007" s="46">
        <v>6.3949999999999996</v>
      </c>
      <c r="AJ3007" s="46">
        <v>43</v>
      </c>
      <c r="AK3007" s="46">
        <v>19400</v>
      </c>
      <c r="AL3007" s="46">
        <v>125389.618</v>
      </c>
      <c r="AM3007" s="46">
        <v>6.4630000000000001</v>
      </c>
      <c r="AN3007" s="46" t="s">
        <v>63</v>
      </c>
      <c r="AO3007" s="46">
        <v>3200</v>
      </c>
      <c r="AP3007" s="46">
        <v>19144.941999999999</v>
      </c>
      <c r="AQ3007" s="46">
        <v>5.9829999999999997</v>
      </c>
      <c r="AR3007" s="46">
        <v>1319.2</v>
      </c>
      <c r="AS3007" s="46">
        <v>45</v>
      </c>
      <c r="AT3007" s="46">
        <v>22600</v>
      </c>
      <c r="AU3007" s="46">
        <v>144534.56</v>
      </c>
      <c r="AV3007" s="46">
        <v>6.3949999999999996</v>
      </c>
      <c r="AW3007" s="46">
        <v>48</v>
      </c>
      <c r="AX3007" s="46">
        <v>21300</v>
      </c>
      <c r="AY3007" s="46">
        <v>138170.666</v>
      </c>
      <c r="AZ3007" s="46">
        <v>6.4870000000000001</v>
      </c>
      <c r="BA3007" s="46" t="s">
        <v>63</v>
      </c>
      <c r="BB3007" s="46">
        <v>1300</v>
      </c>
      <c r="BC3007" s="46">
        <v>6363.8940000000002</v>
      </c>
      <c r="BD3007" s="46">
        <v>4.8949999999999996</v>
      </c>
      <c r="BE3007" s="46">
        <v>1959.6</v>
      </c>
      <c r="BF3007" s="46">
        <v>0</v>
      </c>
      <c r="BH3007" s="46">
        <v>12781.048000000001</v>
      </c>
      <c r="BI3007">
        <v>6.73</v>
      </c>
      <c r="BJ3007">
        <v>-12781.048000000001</v>
      </c>
      <c r="BK3007">
        <v>-6.73</v>
      </c>
      <c r="BL3007">
        <v>200.18</v>
      </c>
    </row>
    <row r="3008" spans="1:64" x14ac:dyDescent="0.25">
      <c r="A3008" s="136">
        <v>43237</v>
      </c>
      <c r="B3008" s="201" t="s">
        <v>79</v>
      </c>
      <c r="C3008" t="s">
        <v>143</v>
      </c>
      <c r="D3008">
        <v>3900</v>
      </c>
      <c r="E3008">
        <v>3900</v>
      </c>
      <c r="F3008">
        <v>16.843</v>
      </c>
      <c r="G3008">
        <v>-5509.23</v>
      </c>
      <c r="H3008">
        <v>-8.39</v>
      </c>
      <c r="I3008" s="309">
        <v>60177</v>
      </c>
      <c r="J3008">
        <v>15.43</v>
      </c>
      <c r="K3008" s="133">
        <v>0.123536951799772</v>
      </c>
      <c r="L3008" s="181">
        <v>2150.39</v>
      </c>
      <c r="M3008" s="133">
        <v>0.13484681239375099</v>
      </c>
      <c r="N3008" s="73">
        <v>32463.163999999899</v>
      </c>
      <c r="O3008" s="73">
        <v>-359.99008352789599</v>
      </c>
      <c r="P3008" s="182">
        <v>6</v>
      </c>
      <c r="Q3008" s="182">
        <v>3000</v>
      </c>
      <c r="R3008" s="46">
        <v>14.458</v>
      </c>
      <c r="S3008" s="46">
        <v>2</v>
      </c>
      <c r="T3008" s="46">
        <v>800</v>
      </c>
      <c r="U3008" s="46">
        <v>15.105</v>
      </c>
      <c r="V3008" s="46" t="s">
        <v>62</v>
      </c>
      <c r="W3008" s="46">
        <v>2200</v>
      </c>
      <c r="X3008" s="46">
        <v>14.223000000000001</v>
      </c>
      <c r="AF3008" s="46">
        <v>16</v>
      </c>
      <c r="AG3008" s="46">
        <v>8500</v>
      </c>
      <c r="AH3008" s="46">
        <v>136435.1</v>
      </c>
      <c r="AI3008" s="46">
        <v>16.050999999999998</v>
      </c>
      <c r="AJ3008" s="46">
        <v>17</v>
      </c>
      <c r="AK3008" s="46">
        <v>6800</v>
      </c>
      <c r="AL3008" s="46">
        <v>102088.64</v>
      </c>
      <c r="AM3008" s="46">
        <v>15.013</v>
      </c>
      <c r="AN3008" s="46" t="s">
        <v>63</v>
      </c>
      <c r="AO3008" s="46">
        <v>1700</v>
      </c>
      <c r="AP3008" s="46">
        <v>34346.46</v>
      </c>
      <c r="AQ3008" s="46">
        <v>20.204000000000001</v>
      </c>
      <c r="AR3008" s="46">
        <v>-7058.4</v>
      </c>
      <c r="AS3008" s="46">
        <v>22</v>
      </c>
      <c r="AT3008" s="46">
        <v>11500</v>
      </c>
      <c r="AU3008" s="46">
        <v>179841.9</v>
      </c>
      <c r="AV3008" s="46">
        <v>15.638</v>
      </c>
      <c r="AW3008" s="46">
        <v>19</v>
      </c>
      <c r="AX3008" s="46">
        <v>7600</v>
      </c>
      <c r="AY3008" s="46">
        <v>114150.076</v>
      </c>
      <c r="AZ3008" s="46">
        <v>15.02</v>
      </c>
      <c r="BA3008" s="46" t="s">
        <v>63</v>
      </c>
      <c r="BB3008" s="46">
        <v>3900</v>
      </c>
      <c r="BC3008" s="46">
        <v>65691.823999999993</v>
      </c>
      <c r="BD3008" s="46">
        <v>16.844000000000001</v>
      </c>
      <c r="BE3008" s="46">
        <v>-4696.8</v>
      </c>
      <c r="BF3008" s="46">
        <v>43406.799999999901</v>
      </c>
      <c r="BG3008" s="46">
        <v>14.47</v>
      </c>
      <c r="BH3008" s="46">
        <v>12061.436</v>
      </c>
      <c r="BI3008">
        <v>15.08</v>
      </c>
      <c r="BJ3008">
        <v>31345.364000000001</v>
      </c>
      <c r="BK3008">
        <v>14.25</v>
      </c>
      <c r="BL3008">
        <v>-457.45</v>
      </c>
    </row>
    <row r="3009" spans="1:64" x14ac:dyDescent="0.25">
      <c r="A3009" s="136">
        <v>43237</v>
      </c>
      <c r="B3009" s="201" t="s">
        <v>65</v>
      </c>
      <c r="C3009" t="s">
        <v>127</v>
      </c>
      <c r="D3009">
        <v>17600</v>
      </c>
      <c r="E3009">
        <v>17600</v>
      </c>
      <c r="F3009">
        <v>9.3179999999999996</v>
      </c>
      <c r="G3009">
        <v>-2785.18</v>
      </c>
      <c r="H3009">
        <v>-1.69</v>
      </c>
      <c r="I3009" s="309">
        <v>161216</v>
      </c>
      <c r="J3009">
        <v>9.16</v>
      </c>
      <c r="K3009" s="133">
        <v>0.330959223978465</v>
      </c>
      <c r="L3009" s="181">
        <v>2327.34</v>
      </c>
      <c r="M3009" s="133">
        <v>0.33667690095494601</v>
      </c>
      <c r="N3009" s="73">
        <v>-7243.5989999999902</v>
      </c>
      <c r="O3009" s="73">
        <v>-323.55895926230897</v>
      </c>
      <c r="P3009" s="182">
        <v>3</v>
      </c>
      <c r="Q3009" s="182">
        <v>1500</v>
      </c>
      <c r="R3009" s="46">
        <v>8.9570000000000007</v>
      </c>
      <c r="S3009" s="46">
        <v>8</v>
      </c>
      <c r="T3009" s="46">
        <v>3300</v>
      </c>
      <c r="U3009" s="46">
        <v>12.547000000000001</v>
      </c>
      <c r="V3009" s="46" t="s">
        <v>68</v>
      </c>
      <c r="W3009" s="46">
        <v>1800</v>
      </c>
      <c r="X3009" s="46">
        <v>15.539</v>
      </c>
      <c r="AF3009" s="46">
        <v>188</v>
      </c>
      <c r="AG3009" s="46">
        <v>99700</v>
      </c>
      <c r="AH3009" s="46">
        <v>1135745.2309999999</v>
      </c>
      <c r="AI3009" s="46">
        <v>11.391999999999999</v>
      </c>
      <c r="AJ3009" s="46">
        <v>207</v>
      </c>
      <c r="AK3009" s="46">
        <v>89500</v>
      </c>
      <c r="AL3009" s="46">
        <v>943036.03399999999</v>
      </c>
      <c r="AM3009" s="46">
        <v>10.537000000000001</v>
      </c>
      <c r="AN3009" s="46" t="s">
        <v>63</v>
      </c>
      <c r="AO3009" s="46">
        <v>10200</v>
      </c>
      <c r="AP3009" s="46">
        <v>192709.19699999999</v>
      </c>
      <c r="AQ3009" s="46">
        <v>18.893000000000001</v>
      </c>
      <c r="AR3009" s="46">
        <v>-76522.5</v>
      </c>
      <c r="AS3009" s="46">
        <v>192</v>
      </c>
      <c r="AT3009" s="46">
        <v>101300</v>
      </c>
      <c r="AU3009" s="46">
        <v>1150483.2309999999</v>
      </c>
      <c r="AV3009" s="46">
        <v>11.356999999999999</v>
      </c>
      <c r="AW3009" s="46">
        <v>215</v>
      </c>
      <c r="AX3009" s="46">
        <v>92800</v>
      </c>
      <c r="AY3009" s="46">
        <v>984358.63</v>
      </c>
      <c r="AZ3009" s="46">
        <v>10.606999999999999</v>
      </c>
      <c r="BA3009" s="46" t="s">
        <v>63</v>
      </c>
      <c r="BB3009" s="46">
        <v>8500</v>
      </c>
      <c r="BC3009" s="46">
        <v>166124.601</v>
      </c>
      <c r="BD3009" s="46">
        <v>19.544</v>
      </c>
      <c r="BE3009" s="46">
        <v>-69600</v>
      </c>
      <c r="BF3009" s="46">
        <v>14738</v>
      </c>
      <c r="BG3009" s="46">
        <v>9.83</v>
      </c>
      <c r="BH3009" s="46">
        <v>41322.5960000001</v>
      </c>
      <c r="BI3009">
        <v>12.52</v>
      </c>
      <c r="BJ3009">
        <v>-26584.596000000001</v>
      </c>
      <c r="BK3009">
        <v>-14.77</v>
      </c>
      <c r="BL3009">
        <v>-8353.98</v>
      </c>
    </row>
    <row r="3010" spans="1:64" x14ac:dyDescent="0.25">
      <c r="A3010" s="136">
        <v>43237</v>
      </c>
      <c r="B3010" s="201" t="s">
        <v>77</v>
      </c>
      <c r="C3010" t="s">
        <v>128</v>
      </c>
      <c r="D3010">
        <v>4300</v>
      </c>
      <c r="E3010">
        <v>4300</v>
      </c>
      <c r="F3010">
        <v>5.9779999999999998</v>
      </c>
      <c r="G3010">
        <v>-595.27</v>
      </c>
      <c r="H3010">
        <v>-2.31</v>
      </c>
      <c r="I3010" s="309">
        <v>25112</v>
      </c>
      <c r="J3010">
        <v>5.84</v>
      </c>
      <c r="K3010" s="133">
        <v>5.15522530800121E-2</v>
      </c>
      <c r="L3010" s="181">
        <v>0</v>
      </c>
      <c r="M3010" s="133">
        <v>5.2774278792457899E-2</v>
      </c>
      <c r="N3010" s="73">
        <v>-1272.2139999999999</v>
      </c>
      <c r="O3010" s="73">
        <v>-133.073774655173</v>
      </c>
      <c r="P3010" s="182">
        <v>6</v>
      </c>
      <c r="Q3010" s="182">
        <v>3000</v>
      </c>
      <c r="R3010" s="46">
        <v>6.798</v>
      </c>
      <c r="S3010" s="46">
        <v>0</v>
      </c>
      <c r="T3010" s="46">
        <v>0</v>
      </c>
      <c r="U3010" s="46">
        <v>0</v>
      </c>
      <c r="V3010" s="46" t="s">
        <v>62</v>
      </c>
      <c r="W3010" s="46">
        <v>3000</v>
      </c>
      <c r="X3010" s="46">
        <v>6.798</v>
      </c>
      <c r="AF3010" s="46">
        <v>39</v>
      </c>
      <c r="AG3010" s="46">
        <v>19500</v>
      </c>
      <c r="AH3010" s="46">
        <v>142169</v>
      </c>
      <c r="AI3010" s="46">
        <v>7.2910000000000004</v>
      </c>
      <c r="AJ3010" s="46">
        <v>39</v>
      </c>
      <c r="AK3010" s="46">
        <v>18200</v>
      </c>
      <c r="AL3010" s="46">
        <v>136881.78599999999</v>
      </c>
      <c r="AM3010" s="46">
        <v>7.5209999999999999</v>
      </c>
      <c r="AN3010" s="46" t="s">
        <v>63</v>
      </c>
      <c r="AO3010" s="46">
        <v>1300</v>
      </c>
      <c r="AP3010" s="46">
        <v>5287.2139999999999</v>
      </c>
      <c r="AQ3010" s="46">
        <v>4.0670000000000002</v>
      </c>
      <c r="AR3010" s="46">
        <v>4186</v>
      </c>
      <c r="AS3010" s="46">
        <v>45</v>
      </c>
      <c r="AT3010" s="46">
        <v>22500</v>
      </c>
      <c r="AU3010" s="46">
        <v>162594</v>
      </c>
      <c r="AV3010" s="46">
        <v>7.226</v>
      </c>
      <c r="AW3010" s="46">
        <v>39</v>
      </c>
      <c r="AX3010" s="46">
        <v>18200</v>
      </c>
      <c r="AY3010" s="46">
        <v>136881.78599999999</v>
      </c>
      <c r="AZ3010" s="46">
        <v>7.5209999999999999</v>
      </c>
      <c r="BA3010" s="46" t="s">
        <v>63</v>
      </c>
      <c r="BB3010" s="46">
        <v>4300</v>
      </c>
      <c r="BC3010" s="46">
        <v>25712.214</v>
      </c>
      <c r="BD3010" s="46">
        <v>5.98</v>
      </c>
      <c r="BE3010" s="46">
        <v>5369</v>
      </c>
      <c r="BF3010" s="46">
        <v>20425</v>
      </c>
      <c r="BG3010" s="46">
        <v>6.81</v>
      </c>
      <c r="BH3010" s="46">
        <v>0</v>
      </c>
      <c r="BJ3010">
        <v>20425</v>
      </c>
      <c r="BK3010">
        <v>6.81</v>
      </c>
      <c r="BL3010">
        <v>716.78</v>
      </c>
    </row>
    <row r="3011" spans="1:64" x14ac:dyDescent="0.25">
      <c r="A3011" s="136">
        <v>43237</v>
      </c>
      <c r="B3011" s="201" t="s">
        <v>67</v>
      </c>
      <c r="C3011" t="s">
        <v>129</v>
      </c>
      <c r="D3011">
        <v>100</v>
      </c>
      <c r="E3011">
        <v>100</v>
      </c>
      <c r="F3011">
        <v>-33.115000000000002</v>
      </c>
      <c r="G3011">
        <v>4368.5</v>
      </c>
      <c r="H3011">
        <v>0</v>
      </c>
      <c r="I3011" s="309">
        <v>1057</v>
      </c>
      <c r="J3011">
        <v>10.57</v>
      </c>
      <c r="K3011" s="133">
        <v>2.16990807206008E-3</v>
      </c>
      <c r="L3011" s="181">
        <v>6</v>
      </c>
      <c r="M3011" s="133">
        <v>0</v>
      </c>
      <c r="N3011" s="73">
        <v>4353.6874999997499</v>
      </c>
      <c r="O3011" s="73">
        <v>417.61138735602498</v>
      </c>
      <c r="P3011" s="182">
        <v>0</v>
      </c>
      <c r="Q3011" s="182">
        <v>0</v>
      </c>
      <c r="R3011" s="46">
        <v>0</v>
      </c>
      <c r="S3011" s="46">
        <v>24</v>
      </c>
      <c r="T3011" s="46">
        <v>9600</v>
      </c>
      <c r="U3011" s="46">
        <v>8.9969999999999999</v>
      </c>
      <c r="V3011" s="46" t="s">
        <v>68</v>
      </c>
      <c r="W3011" s="46">
        <v>9600</v>
      </c>
      <c r="X3011" s="46">
        <v>8.9969999999999999</v>
      </c>
      <c r="AF3011" s="46">
        <v>192</v>
      </c>
      <c r="AG3011" s="46">
        <v>95000</v>
      </c>
      <c r="AH3011" s="46">
        <v>791793</v>
      </c>
      <c r="AI3011" s="46">
        <v>8.3350000000000009</v>
      </c>
      <c r="AJ3011" s="46">
        <v>196</v>
      </c>
      <c r="AK3011" s="46">
        <v>87900</v>
      </c>
      <c r="AL3011" s="46">
        <v>778064.67550000001</v>
      </c>
      <c r="AM3011" s="46">
        <v>8.8520000000000003</v>
      </c>
      <c r="AN3011" s="46" t="s">
        <v>63</v>
      </c>
      <c r="AO3011" s="46">
        <v>7100</v>
      </c>
      <c r="AP3011" s="46">
        <v>13728.324000000001</v>
      </c>
      <c r="AQ3011" s="46">
        <v>1.9339999999999999</v>
      </c>
      <c r="AR3011" s="46">
        <v>45444.3</v>
      </c>
      <c r="AS3011" s="46">
        <v>192</v>
      </c>
      <c r="AT3011" s="46">
        <v>95000</v>
      </c>
      <c r="AU3011" s="46">
        <v>791793</v>
      </c>
      <c r="AV3011" s="46">
        <v>8.3350000000000009</v>
      </c>
      <c r="AW3011" s="46">
        <v>220</v>
      </c>
      <c r="AX3011" s="46">
        <v>97500</v>
      </c>
      <c r="AY3011" s="46">
        <v>864232.80350000004</v>
      </c>
      <c r="AZ3011" s="46">
        <v>8.8640000000000008</v>
      </c>
      <c r="BA3011" s="46" t="s">
        <v>69</v>
      </c>
      <c r="BB3011" s="46">
        <v>2500</v>
      </c>
      <c r="BC3011" s="46">
        <v>72439.804000000004</v>
      </c>
      <c r="BD3011" s="46">
        <v>28.975999999999999</v>
      </c>
      <c r="BE3011" s="46">
        <v>50255</v>
      </c>
      <c r="BF3011" s="46">
        <v>0</v>
      </c>
      <c r="BH3011" s="46">
        <v>86168.127999999997</v>
      </c>
      <c r="BI3011">
        <v>8.98</v>
      </c>
      <c r="BJ3011">
        <v>58711.48</v>
      </c>
      <c r="BK3011">
        <v>6.12</v>
      </c>
      <c r="BL3011">
        <v>4299.37</v>
      </c>
    </row>
    <row r="3012" spans="1:64" x14ac:dyDescent="0.25">
      <c r="A3012" s="136">
        <v>43237</v>
      </c>
      <c r="B3012" s="201" t="s">
        <v>78</v>
      </c>
      <c r="C3012" t="s">
        <v>142</v>
      </c>
      <c r="D3012">
        <v>600</v>
      </c>
      <c r="E3012">
        <v>600</v>
      </c>
      <c r="F3012">
        <v>6.9409999999999998</v>
      </c>
      <c r="G3012">
        <v>1217.3900000000001</v>
      </c>
      <c r="H3012">
        <v>29.23</v>
      </c>
      <c r="I3012" s="309">
        <v>5382</v>
      </c>
      <c r="J3012">
        <v>8.9700000000000006</v>
      </c>
      <c r="K3012" s="133">
        <v>1.1048670996998401E-2</v>
      </c>
      <c r="L3012" s="181">
        <v>-72</v>
      </c>
      <c r="M3012" s="133">
        <v>8.5494993907115693E-3</v>
      </c>
      <c r="N3012" s="73">
        <v>1415.3910000000001</v>
      </c>
      <c r="O3012" s="73">
        <v>152.11648435483801</v>
      </c>
      <c r="P3012" s="182">
        <v>0</v>
      </c>
      <c r="Q3012" s="182">
        <v>0</v>
      </c>
      <c r="R3012" s="46">
        <v>0</v>
      </c>
      <c r="S3012" s="46">
        <v>2</v>
      </c>
      <c r="T3012" s="46">
        <v>800</v>
      </c>
      <c r="U3012" s="46">
        <v>10.210000000000001</v>
      </c>
      <c r="V3012" s="46" t="s">
        <v>68</v>
      </c>
      <c r="W3012" s="46">
        <v>800</v>
      </c>
      <c r="X3012" s="46">
        <v>10.210000000000001</v>
      </c>
      <c r="AF3012" s="46">
        <v>14</v>
      </c>
      <c r="AG3012" s="46">
        <v>7000</v>
      </c>
      <c r="AH3012" s="46">
        <v>67625</v>
      </c>
      <c r="AI3012" s="46">
        <v>9.6609999999999996</v>
      </c>
      <c r="AJ3012" s="46">
        <v>15</v>
      </c>
      <c r="AK3012" s="46">
        <v>5600</v>
      </c>
      <c r="AL3012" s="46">
        <v>55310.559000000001</v>
      </c>
      <c r="AM3012" s="46">
        <v>9.8770000000000007</v>
      </c>
      <c r="AN3012" s="46" t="s">
        <v>63</v>
      </c>
      <c r="AO3012" s="46">
        <v>1400</v>
      </c>
      <c r="AP3012" s="46">
        <v>12314.441000000001</v>
      </c>
      <c r="AQ3012" s="46">
        <v>8.7959999999999994</v>
      </c>
      <c r="AR3012" s="46">
        <v>1209.5999999999999</v>
      </c>
      <c r="AS3012" s="46">
        <v>14</v>
      </c>
      <c r="AT3012" s="46">
        <v>7000</v>
      </c>
      <c r="AU3012" s="46">
        <v>67625</v>
      </c>
      <c r="AV3012" s="46">
        <v>9.6609999999999996</v>
      </c>
      <c r="AW3012" s="46">
        <v>17</v>
      </c>
      <c r="AX3012" s="46">
        <v>6400</v>
      </c>
      <c r="AY3012" s="46">
        <v>63460.391000000003</v>
      </c>
      <c r="AZ3012" s="46">
        <v>9.9160000000000004</v>
      </c>
      <c r="BA3012" s="46" t="s">
        <v>63</v>
      </c>
      <c r="BB3012" s="46">
        <v>600</v>
      </c>
      <c r="BC3012" s="46">
        <v>4164.6090000000004</v>
      </c>
      <c r="BD3012" s="46">
        <v>6.9409999999999998</v>
      </c>
      <c r="BE3012" s="46">
        <v>1632</v>
      </c>
      <c r="BF3012" s="46">
        <v>0</v>
      </c>
      <c r="BH3012" s="46">
        <v>8149.8320000000003</v>
      </c>
      <c r="BI3012">
        <v>10.19</v>
      </c>
      <c r="BJ3012">
        <v>-8149.8320000000003</v>
      </c>
      <c r="BK3012">
        <v>-10.19</v>
      </c>
      <c r="BL3012">
        <v>134.85</v>
      </c>
    </row>
    <row r="3013" spans="1:64" x14ac:dyDescent="0.25">
      <c r="A3013" s="136">
        <v>43237</v>
      </c>
      <c r="B3013" s="201" t="s">
        <v>72</v>
      </c>
      <c r="C3013" t="s">
        <v>130</v>
      </c>
      <c r="D3013">
        <v>1100</v>
      </c>
      <c r="E3013">
        <v>1100</v>
      </c>
      <c r="F3013">
        <v>6.3959999999999999</v>
      </c>
      <c r="G3013">
        <v>421.88</v>
      </c>
      <c r="H3013">
        <v>6</v>
      </c>
      <c r="I3013" s="309">
        <v>7458</v>
      </c>
      <c r="J3013">
        <v>6.78</v>
      </c>
      <c r="K3013" s="133">
        <v>1.5310477200968901E-2</v>
      </c>
      <c r="L3013" s="181">
        <v>-181</v>
      </c>
      <c r="M3013" s="133">
        <v>1.4444402633853701E-2</v>
      </c>
      <c r="N3013" s="73">
        <v>-7352.8279999999904</v>
      </c>
      <c r="O3013" s="73">
        <v>77.269776017444997</v>
      </c>
      <c r="P3013" s="182">
        <v>0</v>
      </c>
      <c r="Q3013" s="182">
        <v>0</v>
      </c>
      <c r="R3013" s="46">
        <v>0</v>
      </c>
      <c r="S3013" s="46">
        <v>18</v>
      </c>
      <c r="T3013" s="46">
        <v>7200</v>
      </c>
      <c r="U3013" s="46">
        <v>7.3120000000000003</v>
      </c>
      <c r="V3013" s="46" t="s">
        <v>68</v>
      </c>
      <c r="W3013" s="46">
        <v>7200</v>
      </c>
      <c r="X3013" s="46">
        <v>7.3120000000000003</v>
      </c>
      <c r="AF3013" s="46">
        <v>38</v>
      </c>
      <c r="AG3013" s="46">
        <v>18900</v>
      </c>
      <c r="AH3013" s="46">
        <v>140597</v>
      </c>
      <c r="AI3013" s="46">
        <v>7.4390000000000001</v>
      </c>
      <c r="AJ3013" s="46">
        <v>38</v>
      </c>
      <c r="AK3013" s="46">
        <v>17200</v>
      </c>
      <c r="AL3013" s="46">
        <v>81788.005000000005</v>
      </c>
      <c r="AM3013" s="46">
        <v>4.7549999999999999</v>
      </c>
      <c r="AN3013" s="46" t="s">
        <v>63</v>
      </c>
      <c r="AO3013" s="46">
        <v>1700</v>
      </c>
      <c r="AP3013" s="46">
        <v>58808.995000000003</v>
      </c>
      <c r="AQ3013" s="46">
        <v>34.594000000000001</v>
      </c>
      <c r="AR3013" s="46">
        <v>-46164.800000000003</v>
      </c>
      <c r="AS3013" s="46">
        <v>38</v>
      </c>
      <c r="AT3013" s="46">
        <v>18900</v>
      </c>
      <c r="AU3013" s="46">
        <v>140597</v>
      </c>
      <c r="AV3013" s="46">
        <v>7.4390000000000001</v>
      </c>
      <c r="AW3013" s="46">
        <v>57</v>
      </c>
      <c r="AX3013" s="46">
        <v>24900</v>
      </c>
      <c r="AY3013" s="46">
        <v>134293.35699999999</v>
      </c>
      <c r="AZ3013" s="46">
        <v>5.3929999999999998</v>
      </c>
      <c r="BA3013" s="46" t="s">
        <v>69</v>
      </c>
      <c r="BB3013" s="46">
        <v>6000</v>
      </c>
      <c r="BC3013" s="46">
        <v>6303.643</v>
      </c>
      <c r="BD3013" s="46">
        <v>1.0509999999999999</v>
      </c>
      <c r="BE3013" s="46">
        <v>-38669.4</v>
      </c>
      <c r="BF3013" s="46">
        <v>0</v>
      </c>
      <c r="BH3013" s="46">
        <v>52505.351999999999</v>
      </c>
      <c r="BI3013">
        <v>7.29</v>
      </c>
      <c r="BJ3013">
        <v>-52505.351999999999</v>
      </c>
      <c r="BK3013">
        <v>-7.29</v>
      </c>
      <c r="BL3013">
        <v>-6808.97</v>
      </c>
    </row>
    <row r="3014" spans="1:64" x14ac:dyDescent="0.25">
      <c r="A3014" s="136">
        <v>43237</v>
      </c>
      <c r="B3014" s="201" t="s">
        <v>70</v>
      </c>
      <c r="C3014" t="s">
        <v>131</v>
      </c>
      <c r="D3014">
        <v>11400</v>
      </c>
      <c r="E3014">
        <v>11400</v>
      </c>
      <c r="F3014">
        <v>11.632</v>
      </c>
      <c r="G3014">
        <v>-25784.9</v>
      </c>
      <c r="H3014">
        <v>-19.45</v>
      </c>
      <c r="I3014" s="309">
        <v>106818</v>
      </c>
      <c r="J3014">
        <v>9.3699999999999992</v>
      </c>
      <c r="K3014" s="133">
        <v>0.21928594176093999</v>
      </c>
      <c r="L3014" s="181">
        <v>-1095</v>
      </c>
      <c r="M3014" s="133">
        <v>0.27221958664955098</v>
      </c>
      <c r="N3014" s="73">
        <v>-25788.895000000099</v>
      </c>
      <c r="O3014" s="73">
        <v>-2750.9072094450398</v>
      </c>
      <c r="P3014" s="182">
        <v>3</v>
      </c>
      <c r="Q3014" s="182">
        <v>1500</v>
      </c>
      <c r="R3014" s="46">
        <v>8.4169999999999998</v>
      </c>
      <c r="S3014" s="46">
        <v>7</v>
      </c>
      <c r="T3014" s="46">
        <v>2900</v>
      </c>
      <c r="U3014" s="46">
        <v>9.109</v>
      </c>
      <c r="V3014" s="46" t="s">
        <v>68</v>
      </c>
      <c r="W3014" s="46">
        <v>1400</v>
      </c>
      <c r="X3014" s="46">
        <v>9.85</v>
      </c>
      <c r="AF3014" s="46">
        <v>138</v>
      </c>
      <c r="AG3014" s="46">
        <v>70600</v>
      </c>
      <c r="AH3014" s="46">
        <v>912718</v>
      </c>
      <c r="AI3014" s="46">
        <v>12.928000000000001</v>
      </c>
      <c r="AJ3014" s="46">
        <v>144</v>
      </c>
      <c r="AK3014" s="46">
        <v>57800</v>
      </c>
      <c r="AL3014" s="46">
        <v>765990.522</v>
      </c>
      <c r="AM3014" s="46">
        <v>13.252000000000001</v>
      </c>
      <c r="AN3014" s="46" t="s">
        <v>63</v>
      </c>
      <c r="AO3014" s="46">
        <v>12800</v>
      </c>
      <c r="AP3014" s="46">
        <v>146727.478</v>
      </c>
      <c r="AQ3014" s="46">
        <v>11.462999999999999</v>
      </c>
      <c r="AR3014" s="46">
        <v>18727.2</v>
      </c>
      <c r="AS3014" s="46">
        <v>141</v>
      </c>
      <c r="AT3014" s="46">
        <v>72100</v>
      </c>
      <c r="AU3014" s="46">
        <v>925358</v>
      </c>
      <c r="AV3014" s="46">
        <v>12.834</v>
      </c>
      <c r="AW3014" s="46">
        <v>152</v>
      </c>
      <c r="AX3014" s="46">
        <v>60700</v>
      </c>
      <c r="AY3014" s="46">
        <v>792751.10499999998</v>
      </c>
      <c r="AZ3014" s="46">
        <v>13.06</v>
      </c>
      <c r="BA3014" s="46" t="s">
        <v>63</v>
      </c>
      <c r="BB3014" s="46">
        <v>11400</v>
      </c>
      <c r="BC3014" s="46">
        <v>132606.89499999999</v>
      </c>
      <c r="BD3014" s="46">
        <v>11.632</v>
      </c>
      <c r="BE3014" s="46">
        <v>13718.2</v>
      </c>
      <c r="BF3014" s="46">
        <v>12640</v>
      </c>
      <c r="BG3014" s="46">
        <v>8.43</v>
      </c>
      <c r="BH3014" s="46">
        <v>26760.583000000101</v>
      </c>
      <c r="BI3014">
        <v>9.23</v>
      </c>
      <c r="BJ3014">
        <v>-14120.583000000001</v>
      </c>
      <c r="BK3014">
        <v>-10.09</v>
      </c>
      <c r="BL3014">
        <v>1998.63</v>
      </c>
    </row>
    <row r="3015" spans="1:64" x14ac:dyDescent="0.25">
      <c r="A3015" s="136">
        <v>43237</v>
      </c>
      <c r="B3015" s="201" t="s">
        <v>137</v>
      </c>
      <c r="C3015" t="s">
        <v>149</v>
      </c>
      <c r="D3015">
        <v>100</v>
      </c>
      <c r="E3015">
        <v>100</v>
      </c>
      <c r="F3015">
        <v>-130.48500000000001</v>
      </c>
      <c r="G3015">
        <v>17418.5</v>
      </c>
      <c r="H3015">
        <v>0</v>
      </c>
      <c r="I3015" s="309">
        <v>4370</v>
      </c>
      <c r="J3015">
        <v>43.7</v>
      </c>
      <c r="K3015" s="133">
        <v>8.9711431172209595E-3</v>
      </c>
      <c r="L3015" s="181">
        <v>103</v>
      </c>
      <c r="M3015" s="133">
        <v>0</v>
      </c>
    </row>
    <row r="3016" spans="1:64" x14ac:dyDescent="0.25">
      <c r="A3016" s="136">
        <v>43237</v>
      </c>
      <c r="B3016" s="201" t="s">
        <v>835</v>
      </c>
      <c r="C3016" t="s">
        <v>839</v>
      </c>
      <c r="I3016" s="309">
        <v>18115.03</v>
      </c>
      <c r="K3016" s="133">
        <v>3.71882212134442E-2</v>
      </c>
      <c r="L3016" s="181">
        <v>0</v>
      </c>
      <c r="M3016" s="133">
        <v>0.18160387656848501</v>
      </c>
    </row>
    <row r="3017" spans="1:64" x14ac:dyDescent="0.25">
      <c r="A3017" s="136">
        <v>43238</v>
      </c>
      <c r="B3017" s="201" t="s">
        <v>132</v>
      </c>
      <c r="C3017" t="s">
        <v>123</v>
      </c>
      <c r="D3017">
        <v>7035314</v>
      </c>
      <c r="E3017">
        <v>7035314</v>
      </c>
      <c r="F3017">
        <v>8.9999999999999993E-3</v>
      </c>
      <c r="G3017">
        <v>3598.7</v>
      </c>
      <c r="H3017">
        <v>11.11</v>
      </c>
      <c r="I3017" s="309">
        <v>70353.14</v>
      </c>
      <c r="J3017">
        <v>0.01</v>
      </c>
      <c r="K3017" s="133">
        <v>0.14221263318599101</v>
      </c>
      <c r="L3017" s="181">
        <v>5.75999999999976</v>
      </c>
      <c r="M3017" s="133">
        <v>0</v>
      </c>
    </row>
    <row r="3018" spans="1:64" x14ac:dyDescent="0.25">
      <c r="A3018" s="136">
        <v>43238</v>
      </c>
      <c r="B3018" s="201" t="s">
        <v>61</v>
      </c>
      <c r="C3018" t="s">
        <v>136</v>
      </c>
      <c r="D3018">
        <v>3900</v>
      </c>
      <c r="E3018">
        <v>3900</v>
      </c>
      <c r="F3018">
        <v>5.0519999999999996</v>
      </c>
      <c r="G3018">
        <v>-1684.1</v>
      </c>
      <c r="H3018">
        <v>-8.5500000000000007</v>
      </c>
      <c r="I3018" s="309">
        <v>18018</v>
      </c>
      <c r="J3018">
        <v>4.62</v>
      </c>
      <c r="K3018" s="133">
        <v>3.6421789059382099E-2</v>
      </c>
      <c r="L3018" s="181">
        <v>117</v>
      </c>
      <c r="M3018" s="133">
        <v>3.9826047853638198E-2</v>
      </c>
      <c r="N3018" s="73">
        <v>-1807.1410000000001</v>
      </c>
      <c r="O3018" s="73">
        <v>-393.515779847494</v>
      </c>
      <c r="P3018" s="182">
        <v>6</v>
      </c>
      <c r="Q3018" s="182">
        <v>3000</v>
      </c>
      <c r="R3018" s="46">
        <v>5.0350000000000001</v>
      </c>
      <c r="S3018" s="46">
        <v>0</v>
      </c>
      <c r="T3018" s="46">
        <v>0</v>
      </c>
      <c r="U3018" s="46">
        <v>0</v>
      </c>
      <c r="V3018" s="46" t="s">
        <v>62</v>
      </c>
      <c r="W3018" s="46">
        <v>3000</v>
      </c>
      <c r="X3018" s="46">
        <v>5.0350000000000001</v>
      </c>
      <c r="AF3018" s="46">
        <v>10</v>
      </c>
      <c r="AG3018" s="46">
        <v>5000</v>
      </c>
      <c r="AH3018" s="46">
        <v>26378</v>
      </c>
      <c r="AI3018" s="46">
        <v>5.2759999999999998</v>
      </c>
      <c r="AJ3018" s="46">
        <v>10</v>
      </c>
      <c r="AK3018" s="46">
        <v>4100</v>
      </c>
      <c r="AL3018" s="46">
        <v>21806.659</v>
      </c>
      <c r="AM3018" s="46">
        <v>5.319</v>
      </c>
      <c r="AN3018" s="46" t="s">
        <v>63</v>
      </c>
      <c r="AO3018" s="46">
        <v>900</v>
      </c>
      <c r="AP3018" s="46">
        <v>4571.3410000000003</v>
      </c>
      <c r="AQ3018" s="46">
        <v>5.0789999999999997</v>
      </c>
      <c r="AR3018" s="46">
        <v>176.3</v>
      </c>
      <c r="AS3018" s="46">
        <v>16</v>
      </c>
      <c r="AT3018" s="46">
        <v>8000</v>
      </c>
      <c r="AU3018" s="46">
        <v>41514.800000000003</v>
      </c>
      <c r="AV3018" s="46">
        <v>5.1890000000000001</v>
      </c>
      <c r="AW3018" s="46">
        <v>10</v>
      </c>
      <c r="AX3018" s="46">
        <v>4100</v>
      </c>
      <c r="AY3018" s="46">
        <v>21806.659</v>
      </c>
      <c r="AZ3018" s="46">
        <v>5.319</v>
      </c>
      <c r="BA3018" s="46" t="s">
        <v>63</v>
      </c>
      <c r="BB3018" s="46">
        <v>3900</v>
      </c>
      <c r="BC3018" s="46">
        <v>19708.141</v>
      </c>
      <c r="BD3018" s="46">
        <v>5.0529999999999999</v>
      </c>
      <c r="BE3018" s="46">
        <v>533</v>
      </c>
      <c r="BF3018" s="46">
        <v>15136.8</v>
      </c>
      <c r="BG3018" s="46">
        <v>5.05</v>
      </c>
      <c r="BH3018" s="46">
        <v>0</v>
      </c>
      <c r="BJ3018">
        <v>15136.8</v>
      </c>
      <c r="BK3018">
        <v>5.05</v>
      </c>
      <c r="BL3018">
        <v>38.159999999999997</v>
      </c>
    </row>
    <row r="3019" spans="1:64" x14ac:dyDescent="0.25">
      <c r="A3019" s="136">
        <v>43238</v>
      </c>
      <c r="B3019" s="201" t="s">
        <v>124</v>
      </c>
      <c r="C3019" t="s">
        <v>125</v>
      </c>
      <c r="D3019">
        <v>100</v>
      </c>
      <c r="E3019">
        <v>100</v>
      </c>
      <c r="F3019">
        <v>-53.579000000000001</v>
      </c>
      <c r="G3019">
        <v>5962.9</v>
      </c>
      <c r="H3019">
        <v>0</v>
      </c>
      <c r="I3019" s="309">
        <v>605</v>
      </c>
      <c r="J3019">
        <v>6.05</v>
      </c>
      <c r="K3019" s="133">
        <v>1.22295384509525E-3</v>
      </c>
      <c r="L3019" s="181">
        <v>8</v>
      </c>
      <c r="M3019" s="133">
        <v>0</v>
      </c>
    </row>
    <row r="3020" spans="1:64" x14ac:dyDescent="0.25">
      <c r="A3020" s="136">
        <v>43238</v>
      </c>
      <c r="B3020" s="201" t="s">
        <v>71</v>
      </c>
      <c r="C3020" t="s">
        <v>126</v>
      </c>
      <c r="D3020">
        <v>1300</v>
      </c>
      <c r="E3020">
        <v>1300</v>
      </c>
      <c r="F3020">
        <v>4.7699999999999996</v>
      </c>
      <c r="G3020">
        <v>2560.96</v>
      </c>
      <c r="H3020">
        <v>41.3</v>
      </c>
      <c r="I3020" s="309">
        <v>8762</v>
      </c>
      <c r="J3020">
        <v>6.74</v>
      </c>
      <c r="K3020" s="133">
        <v>1.7711605935081899E-2</v>
      </c>
      <c r="L3020" s="181">
        <v>195</v>
      </c>
      <c r="M3020" s="133">
        <v>1.2534852415850299E-2</v>
      </c>
      <c r="N3020" s="73">
        <v>4816.0060000000003</v>
      </c>
      <c r="O3020" s="73">
        <v>367.08042812030101</v>
      </c>
      <c r="P3020" s="182">
        <v>0</v>
      </c>
      <c r="Q3020" s="182">
        <v>0</v>
      </c>
      <c r="R3020" s="46">
        <v>0</v>
      </c>
      <c r="S3020" s="46">
        <v>5</v>
      </c>
      <c r="T3020" s="46">
        <v>1900</v>
      </c>
      <c r="U3020" s="46">
        <v>6.7430000000000003</v>
      </c>
      <c r="V3020" s="46" t="s">
        <v>68</v>
      </c>
      <c r="W3020" s="46">
        <v>1900</v>
      </c>
      <c r="X3020" s="46">
        <v>6.7430000000000003</v>
      </c>
      <c r="AF3020" s="46">
        <v>45</v>
      </c>
      <c r="AG3020" s="46">
        <v>22600</v>
      </c>
      <c r="AH3020" s="46">
        <v>144534.56</v>
      </c>
      <c r="AI3020" s="46">
        <v>6.3949999999999996</v>
      </c>
      <c r="AJ3020" s="46">
        <v>43</v>
      </c>
      <c r="AK3020" s="46">
        <v>19400</v>
      </c>
      <c r="AL3020" s="46">
        <v>125389.618</v>
      </c>
      <c r="AM3020" s="46">
        <v>6.4630000000000001</v>
      </c>
      <c r="AN3020" s="46" t="s">
        <v>63</v>
      </c>
      <c r="AO3020" s="46">
        <v>3200</v>
      </c>
      <c r="AP3020" s="46">
        <v>19144.941999999999</v>
      </c>
      <c r="AQ3020" s="46">
        <v>5.9829999999999997</v>
      </c>
      <c r="AR3020" s="46">
        <v>1319.2</v>
      </c>
      <c r="AS3020" s="46">
        <v>45</v>
      </c>
      <c r="AT3020" s="46">
        <v>22600</v>
      </c>
      <c r="AU3020" s="46">
        <v>144534.56</v>
      </c>
      <c r="AV3020" s="46">
        <v>6.3949999999999996</v>
      </c>
      <c r="AW3020" s="46">
        <v>48</v>
      </c>
      <c r="AX3020" s="46">
        <v>21300</v>
      </c>
      <c r="AY3020" s="46">
        <v>138170.666</v>
      </c>
      <c r="AZ3020" s="46">
        <v>6.4870000000000001</v>
      </c>
      <c r="BA3020" s="46" t="s">
        <v>63</v>
      </c>
      <c r="BB3020" s="46">
        <v>1300</v>
      </c>
      <c r="BC3020" s="46">
        <v>6363.8940000000002</v>
      </c>
      <c r="BD3020" s="46">
        <v>4.8949999999999996</v>
      </c>
      <c r="BE3020" s="46">
        <v>1959.6</v>
      </c>
      <c r="BF3020" s="46">
        <v>0</v>
      </c>
      <c r="BH3020" s="46">
        <v>12781.048000000001</v>
      </c>
      <c r="BI3020">
        <v>6.73</v>
      </c>
      <c r="BJ3020">
        <v>-12781.048000000001</v>
      </c>
      <c r="BK3020">
        <v>-6.73</v>
      </c>
      <c r="BL3020">
        <v>195.73</v>
      </c>
    </row>
    <row r="3021" spans="1:64" x14ac:dyDescent="0.25">
      <c r="A3021" s="136">
        <v>43238</v>
      </c>
      <c r="B3021" s="201" t="s">
        <v>79</v>
      </c>
      <c r="C3021" t="s">
        <v>143</v>
      </c>
      <c r="D3021">
        <v>3900</v>
      </c>
      <c r="E3021">
        <v>3900</v>
      </c>
      <c r="F3021">
        <v>16.843</v>
      </c>
      <c r="G3021">
        <v>-5899.23</v>
      </c>
      <c r="H3021">
        <v>-8.98</v>
      </c>
      <c r="I3021" s="309">
        <v>59787</v>
      </c>
      <c r="J3021">
        <v>15.33</v>
      </c>
      <c r="K3021" s="133">
        <v>0.12085411824249501</v>
      </c>
      <c r="L3021" s="181">
        <v>-390</v>
      </c>
      <c r="M3021" s="133">
        <v>0.13277888850960501</v>
      </c>
      <c r="N3021" s="73">
        <v>32463.163999999899</v>
      </c>
      <c r="O3021" s="73">
        <v>-359.99008352789599</v>
      </c>
      <c r="P3021" s="182">
        <v>6</v>
      </c>
      <c r="Q3021" s="182">
        <v>3000</v>
      </c>
      <c r="R3021" s="46">
        <v>14.458</v>
      </c>
      <c r="S3021" s="46">
        <v>2</v>
      </c>
      <c r="T3021" s="46">
        <v>800</v>
      </c>
      <c r="U3021" s="46">
        <v>15.105</v>
      </c>
      <c r="V3021" s="46" t="s">
        <v>62</v>
      </c>
      <c r="W3021" s="46">
        <v>2200</v>
      </c>
      <c r="X3021" s="46">
        <v>14.223000000000001</v>
      </c>
      <c r="AF3021" s="46">
        <v>16</v>
      </c>
      <c r="AG3021" s="46">
        <v>8500</v>
      </c>
      <c r="AH3021" s="46">
        <v>136435.1</v>
      </c>
      <c r="AI3021" s="46">
        <v>16.050999999999998</v>
      </c>
      <c r="AJ3021" s="46">
        <v>17</v>
      </c>
      <c r="AK3021" s="46">
        <v>6800</v>
      </c>
      <c r="AL3021" s="46">
        <v>102088.64</v>
      </c>
      <c r="AM3021" s="46">
        <v>15.013</v>
      </c>
      <c r="AN3021" s="46" t="s">
        <v>63</v>
      </c>
      <c r="AO3021" s="46">
        <v>1700</v>
      </c>
      <c r="AP3021" s="46">
        <v>34346.46</v>
      </c>
      <c r="AQ3021" s="46">
        <v>20.204000000000001</v>
      </c>
      <c r="AR3021" s="46">
        <v>-7058.4</v>
      </c>
      <c r="AS3021" s="46">
        <v>22</v>
      </c>
      <c r="AT3021" s="46">
        <v>11500</v>
      </c>
      <c r="AU3021" s="46">
        <v>179841.9</v>
      </c>
      <c r="AV3021" s="46">
        <v>15.638</v>
      </c>
      <c r="AW3021" s="46">
        <v>19</v>
      </c>
      <c r="AX3021" s="46">
        <v>7600</v>
      </c>
      <c r="AY3021" s="46">
        <v>114150.076</v>
      </c>
      <c r="AZ3021" s="46">
        <v>15.02</v>
      </c>
      <c r="BA3021" s="46" t="s">
        <v>63</v>
      </c>
      <c r="BB3021" s="46">
        <v>3900</v>
      </c>
      <c r="BC3021" s="46">
        <v>65691.823999999993</v>
      </c>
      <c r="BD3021" s="46">
        <v>16.844000000000001</v>
      </c>
      <c r="BE3021" s="46">
        <v>-4696.8</v>
      </c>
      <c r="BF3021" s="46">
        <v>43406.799999999901</v>
      </c>
      <c r="BG3021" s="46">
        <v>14.47</v>
      </c>
      <c r="BH3021" s="46">
        <v>12061.436</v>
      </c>
      <c r="BI3021">
        <v>15.08</v>
      </c>
      <c r="BJ3021">
        <v>31345.364000000001</v>
      </c>
      <c r="BK3021">
        <v>14.25</v>
      </c>
      <c r="BL3021">
        <v>-460.43</v>
      </c>
    </row>
    <row r="3022" spans="1:64" x14ac:dyDescent="0.25">
      <c r="A3022" s="136">
        <v>43238</v>
      </c>
      <c r="B3022" s="201" t="s">
        <v>65</v>
      </c>
      <c r="C3022" t="s">
        <v>127</v>
      </c>
      <c r="D3022">
        <v>16800</v>
      </c>
      <c r="E3022">
        <v>16400</v>
      </c>
      <c r="F3022">
        <v>9.3219999999999992</v>
      </c>
      <c r="G3022">
        <v>133.41</v>
      </c>
      <c r="H3022">
        <v>0.09</v>
      </c>
      <c r="I3022" s="309">
        <v>156744</v>
      </c>
      <c r="J3022">
        <v>9.33</v>
      </c>
      <c r="K3022" s="133">
        <v>0.31684409503406602</v>
      </c>
      <c r="L3022" s="181">
        <v>2918.59</v>
      </c>
      <c r="M3022" s="133">
        <v>0.316574418550637</v>
      </c>
      <c r="N3022" s="73">
        <v>-4653.0069999999896</v>
      </c>
      <c r="O3022" s="73">
        <v>-39.921265940873099</v>
      </c>
      <c r="P3022" s="182">
        <v>3</v>
      </c>
      <c r="Q3022" s="182">
        <v>1500</v>
      </c>
      <c r="R3022" s="46">
        <v>8.9570000000000007</v>
      </c>
      <c r="S3022" s="46">
        <v>10</v>
      </c>
      <c r="T3022" s="46">
        <v>4100</v>
      </c>
      <c r="U3022" s="46">
        <v>11.904999999999999</v>
      </c>
      <c r="V3022" s="46" t="s">
        <v>68</v>
      </c>
      <c r="W3022" s="46">
        <v>2600</v>
      </c>
      <c r="X3022" s="46">
        <v>13.606</v>
      </c>
      <c r="AF3022" s="46">
        <v>188</v>
      </c>
      <c r="AG3022" s="46">
        <v>99700</v>
      </c>
      <c r="AH3022" s="46">
        <v>1135745.2309999999</v>
      </c>
      <c r="AI3022" s="46">
        <v>11.391999999999999</v>
      </c>
      <c r="AJ3022" s="46">
        <v>207</v>
      </c>
      <c r="AK3022" s="46">
        <v>89500</v>
      </c>
      <c r="AL3022" s="46">
        <v>943036.03399999999</v>
      </c>
      <c r="AM3022" s="46">
        <v>10.537000000000001</v>
      </c>
      <c r="AN3022" s="46" t="s">
        <v>63</v>
      </c>
      <c r="AO3022" s="46">
        <v>10200</v>
      </c>
      <c r="AP3022" s="46">
        <v>192709.19699999999</v>
      </c>
      <c r="AQ3022" s="46">
        <v>18.893000000000001</v>
      </c>
      <c r="AR3022" s="46">
        <v>-76522.5</v>
      </c>
      <c r="AS3022" s="46">
        <v>192</v>
      </c>
      <c r="AT3022" s="46">
        <v>101300</v>
      </c>
      <c r="AU3022" s="46">
        <v>1150483.2309999999</v>
      </c>
      <c r="AV3022" s="46">
        <v>11.356999999999999</v>
      </c>
      <c r="AW3022" s="46">
        <v>217</v>
      </c>
      <c r="AX3022" s="46">
        <v>93600</v>
      </c>
      <c r="AY3022" s="46">
        <v>991749.22199999995</v>
      </c>
      <c r="AZ3022" s="46">
        <v>10.596</v>
      </c>
      <c r="BA3022" s="46" t="s">
        <v>63</v>
      </c>
      <c r="BB3022" s="46">
        <v>7700</v>
      </c>
      <c r="BC3022" s="46">
        <v>158734.00899999999</v>
      </c>
      <c r="BD3022" s="46">
        <v>20.614999999999998</v>
      </c>
      <c r="BE3022" s="46">
        <v>-71229.600000000006</v>
      </c>
      <c r="BF3022" s="46">
        <v>14738</v>
      </c>
      <c r="BG3022" s="46">
        <v>9.83</v>
      </c>
      <c r="BH3022" s="46">
        <v>48713.188000000198</v>
      </c>
      <c r="BI3022">
        <v>11.88</v>
      </c>
      <c r="BJ3022">
        <v>-33975.188000000002</v>
      </c>
      <c r="BK3022">
        <v>-13.07</v>
      </c>
      <c r="BL3022">
        <v>-8201.77</v>
      </c>
    </row>
    <row r="3023" spans="1:64" x14ac:dyDescent="0.25">
      <c r="A3023" s="136">
        <v>43238</v>
      </c>
      <c r="B3023" s="201" t="s">
        <v>77</v>
      </c>
      <c r="C3023" t="s">
        <v>128</v>
      </c>
      <c r="D3023">
        <v>4300</v>
      </c>
      <c r="E3023">
        <v>4300</v>
      </c>
      <c r="F3023">
        <v>5.9779999999999998</v>
      </c>
      <c r="G3023">
        <v>-595.27</v>
      </c>
      <c r="H3023">
        <v>-2.31</v>
      </c>
      <c r="I3023" s="309">
        <v>25112</v>
      </c>
      <c r="J3023">
        <v>5.84</v>
      </c>
      <c r="K3023" s="133">
        <v>5.07616809223667E-2</v>
      </c>
      <c r="L3023" s="181">
        <v>0</v>
      </c>
      <c r="M3023" s="133">
        <v>5.19649664353748E-2</v>
      </c>
      <c r="N3023" s="73">
        <v>-1272.2139999999999</v>
      </c>
      <c r="O3023" s="73">
        <v>-133.073774655173</v>
      </c>
      <c r="P3023" s="182">
        <v>6</v>
      </c>
      <c r="Q3023" s="182">
        <v>3000</v>
      </c>
      <c r="R3023" s="46">
        <v>6.798</v>
      </c>
      <c r="S3023" s="46">
        <v>0</v>
      </c>
      <c r="T3023" s="46">
        <v>0</v>
      </c>
      <c r="U3023" s="46">
        <v>0</v>
      </c>
      <c r="V3023" s="46" t="s">
        <v>62</v>
      </c>
      <c r="W3023" s="46">
        <v>3000</v>
      </c>
      <c r="X3023" s="46">
        <v>6.798</v>
      </c>
      <c r="AF3023" s="46">
        <v>39</v>
      </c>
      <c r="AG3023" s="46">
        <v>19500</v>
      </c>
      <c r="AH3023" s="46">
        <v>142169</v>
      </c>
      <c r="AI3023" s="46">
        <v>7.2910000000000004</v>
      </c>
      <c r="AJ3023" s="46">
        <v>39</v>
      </c>
      <c r="AK3023" s="46">
        <v>18200</v>
      </c>
      <c r="AL3023" s="46">
        <v>136881.78599999999</v>
      </c>
      <c r="AM3023" s="46">
        <v>7.5209999999999999</v>
      </c>
      <c r="AN3023" s="46" t="s">
        <v>63</v>
      </c>
      <c r="AO3023" s="46">
        <v>1300</v>
      </c>
      <c r="AP3023" s="46">
        <v>5287.2139999999999</v>
      </c>
      <c r="AQ3023" s="46">
        <v>4.0670000000000002</v>
      </c>
      <c r="AR3023" s="46">
        <v>4186</v>
      </c>
      <c r="AS3023" s="46">
        <v>45</v>
      </c>
      <c r="AT3023" s="46">
        <v>22500</v>
      </c>
      <c r="AU3023" s="46">
        <v>162594</v>
      </c>
      <c r="AV3023" s="46">
        <v>7.226</v>
      </c>
      <c r="AW3023" s="46">
        <v>39</v>
      </c>
      <c r="AX3023" s="46">
        <v>18200</v>
      </c>
      <c r="AY3023" s="46">
        <v>136881.78599999999</v>
      </c>
      <c r="AZ3023" s="46">
        <v>7.5209999999999999</v>
      </c>
      <c r="BA3023" s="46" t="s">
        <v>63</v>
      </c>
      <c r="BB3023" s="46">
        <v>4300</v>
      </c>
      <c r="BC3023" s="46">
        <v>25712.214</v>
      </c>
      <c r="BD3023" s="46">
        <v>5.98</v>
      </c>
      <c r="BE3023" s="46">
        <v>5369</v>
      </c>
      <c r="BF3023" s="46">
        <v>20425</v>
      </c>
      <c r="BG3023" s="46">
        <v>6.81</v>
      </c>
      <c r="BH3023" s="46">
        <v>0</v>
      </c>
      <c r="BJ3023">
        <v>20425</v>
      </c>
      <c r="BK3023">
        <v>6.81</v>
      </c>
      <c r="BL3023">
        <v>716.78</v>
      </c>
    </row>
    <row r="3024" spans="1:64" x14ac:dyDescent="0.25">
      <c r="A3024" s="136">
        <v>43238</v>
      </c>
      <c r="B3024" s="201" t="s">
        <v>67</v>
      </c>
      <c r="C3024" t="s">
        <v>129</v>
      </c>
      <c r="D3024">
        <v>100</v>
      </c>
      <c r="E3024">
        <v>100</v>
      </c>
      <c r="F3024">
        <v>-33.115000000000002</v>
      </c>
      <c r="G3024">
        <v>4356.5</v>
      </c>
      <c r="H3024">
        <v>0</v>
      </c>
      <c r="I3024" s="309">
        <v>1045</v>
      </c>
      <c r="J3024">
        <v>10.45</v>
      </c>
      <c r="K3024" s="133">
        <v>2.1123748233463401E-3</v>
      </c>
      <c r="L3024" s="181">
        <v>-12</v>
      </c>
      <c r="M3024" s="133">
        <v>0</v>
      </c>
      <c r="N3024" s="73">
        <v>4353.6874999997499</v>
      </c>
      <c r="O3024" s="73">
        <v>417.61138735602498</v>
      </c>
      <c r="P3024" s="182">
        <v>0</v>
      </c>
      <c r="Q3024" s="182">
        <v>0</v>
      </c>
      <c r="R3024" s="46">
        <v>0</v>
      </c>
      <c r="S3024" s="46">
        <v>24</v>
      </c>
      <c r="T3024" s="46">
        <v>9600</v>
      </c>
      <c r="U3024" s="46">
        <v>8.9969999999999999</v>
      </c>
      <c r="V3024" s="46" t="s">
        <v>68</v>
      </c>
      <c r="W3024" s="46">
        <v>9600</v>
      </c>
      <c r="X3024" s="46">
        <v>8.9969999999999999</v>
      </c>
      <c r="AF3024" s="46">
        <v>192</v>
      </c>
      <c r="AG3024" s="46">
        <v>95000</v>
      </c>
      <c r="AH3024" s="46">
        <v>791793</v>
      </c>
      <c r="AI3024" s="46">
        <v>8.3350000000000009</v>
      </c>
      <c r="AJ3024" s="46">
        <v>196</v>
      </c>
      <c r="AK3024" s="46">
        <v>87900</v>
      </c>
      <c r="AL3024" s="46">
        <v>778064.67550000001</v>
      </c>
      <c r="AM3024" s="46">
        <v>8.8520000000000003</v>
      </c>
      <c r="AN3024" s="46" t="s">
        <v>63</v>
      </c>
      <c r="AO3024" s="46">
        <v>7100</v>
      </c>
      <c r="AP3024" s="46">
        <v>13728.324000000001</v>
      </c>
      <c r="AQ3024" s="46">
        <v>1.9339999999999999</v>
      </c>
      <c r="AR3024" s="46">
        <v>45444.3</v>
      </c>
      <c r="AS3024" s="46">
        <v>192</v>
      </c>
      <c r="AT3024" s="46">
        <v>95000</v>
      </c>
      <c r="AU3024" s="46">
        <v>791793</v>
      </c>
      <c r="AV3024" s="46">
        <v>8.3350000000000009</v>
      </c>
      <c r="AW3024" s="46">
        <v>220</v>
      </c>
      <c r="AX3024" s="46">
        <v>97500</v>
      </c>
      <c r="AY3024" s="46">
        <v>864232.80350000004</v>
      </c>
      <c r="AZ3024" s="46">
        <v>8.8640000000000008</v>
      </c>
      <c r="BA3024" s="46" t="s">
        <v>69</v>
      </c>
      <c r="BB3024" s="46">
        <v>2500</v>
      </c>
      <c r="BC3024" s="46">
        <v>72439.804000000004</v>
      </c>
      <c r="BD3024" s="46">
        <v>28.975999999999999</v>
      </c>
      <c r="BE3024" s="46">
        <v>50255</v>
      </c>
      <c r="BF3024" s="46">
        <v>0</v>
      </c>
      <c r="BH3024" s="46">
        <v>86168.127999999997</v>
      </c>
      <c r="BI3024">
        <v>8.98</v>
      </c>
      <c r="BJ3024">
        <v>58711.48</v>
      </c>
      <c r="BK3024">
        <v>6.12</v>
      </c>
      <c r="BL3024">
        <v>4348.74</v>
      </c>
    </row>
    <row r="3025" spans="1:64" x14ac:dyDescent="0.25">
      <c r="A3025" s="136">
        <v>43238</v>
      </c>
      <c r="B3025" s="201" t="s">
        <v>78</v>
      </c>
      <c r="C3025" t="s">
        <v>142</v>
      </c>
      <c r="D3025">
        <v>600</v>
      </c>
      <c r="E3025">
        <v>600</v>
      </c>
      <c r="F3025">
        <v>6.9409999999999998</v>
      </c>
      <c r="G3025">
        <v>1235.3900000000001</v>
      </c>
      <c r="H3025">
        <v>29.67</v>
      </c>
      <c r="I3025" s="309">
        <v>5400</v>
      </c>
      <c r="J3025">
        <v>9</v>
      </c>
      <c r="K3025" s="133">
        <v>1.09156210967179E-2</v>
      </c>
      <c r="L3025" s="181">
        <v>18</v>
      </c>
      <c r="M3025" s="133">
        <v>8.4183897732597098E-3</v>
      </c>
      <c r="N3025" s="73">
        <v>1415.3910000000001</v>
      </c>
      <c r="O3025" s="73">
        <v>152.11648435483801</v>
      </c>
      <c r="P3025" s="182">
        <v>0</v>
      </c>
      <c r="Q3025" s="182">
        <v>0</v>
      </c>
      <c r="R3025" s="46">
        <v>0</v>
      </c>
      <c r="S3025" s="46">
        <v>2</v>
      </c>
      <c r="T3025" s="46">
        <v>800</v>
      </c>
      <c r="U3025" s="46">
        <v>10.210000000000001</v>
      </c>
      <c r="V3025" s="46" t="s">
        <v>68</v>
      </c>
      <c r="W3025" s="46">
        <v>800</v>
      </c>
      <c r="X3025" s="46">
        <v>10.210000000000001</v>
      </c>
      <c r="AF3025" s="46">
        <v>14</v>
      </c>
      <c r="AG3025" s="46">
        <v>7000</v>
      </c>
      <c r="AH3025" s="46">
        <v>67625</v>
      </c>
      <c r="AI3025" s="46">
        <v>9.6609999999999996</v>
      </c>
      <c r="AJ3025" s="46">
        <v>15</v>
      </c>
      <c r="AK3025" s="46">
        <v>5600</v>
      </c>
      <c r="AL3025" s="46">
        <v>55310.559000000001</v>
      </c>
      <c r="AM3025" s="46">
        <v>9.8770000000000007</v>
      </c>
      <c r="AN3025" s="46" t="s">
        <v>63</v>
      </c>
      <c r="AO3025" s="46">
        <v>1400</v>
      </c>
      <c r="AP3025" s="46">
        <v>12314.441000000001</v>
      </c>
      <c r="AQ3025" s="46">
        <v>8.7959999999999994</v>
      </c>
      <c r="AR3025" s="46">
        <v>1209.5999999999999</v>
      </c>
      <c r="AS3025" s="46">
        <v>14</v>
      </c>
      <c r="AT3025" s="46">
        <v>7000</v>
      </c>
      <c r="AU3025" s="46">
        <v>67625</v>
      </c>
      <c r="AV3025" s="46">
        <v>9.6609999999999996</v>
      </c>
      <c r="AW3025" s="46">
        <v>17</v>
      </c>
      <c r="AX3025" s="46">
        <v>6400</v>
      </c>
      <c r="AY3025" s="46">
        <v>63460.391000000003</v>
      </c>
      <c r="AZ3025" s="46">
        <v>9.9160000000000004</v>
      </c>
      <c r="BA3025" s="46" t="s">
        <v>63</v>
      </c>
      <c r="BB3025" s="46">
        <v>600</v>
      </c>
      <c r="BC3025" s="46">
        <v>4164.6090000000004</v>
      </c>
      <c r="BD3025" s="46">
        <v>6.9409999999999998</v>
      </c>
      <c r="BE3025" s="46">
        <v>1632</v>
      </c>
      <c r="BF3025" s="46">
        <v>0</v>
      </c>
      <c r="BH3025" s="46">
        <v>8149.8320000000003</v>
      </c>
      <c r="BI3025">
        <v>10.19</v>
      </c>
      <c r="BJ3025">
        <v>-8149.8320000000003</v>
      </c>
      <c r="BK3025">
        <v>-10.19</v>
      </c>
      <c r="BL3025">
        <v>134.4</v>
      </c>
    </row>
    <row r="3026" spans="1:64" x14ac:dyDescent="0.25">
      <c r="A3026" s="136">
        <v>43238</v>
      </c>
      <c r="B3026" s="201" t="s">
        <v>72</v>
      </c>
      <c r="C3026" t="s">
        <v>130</v>
      </c>
      <c r="D3026">
        <v>1100</v>
      </c>
      <c r="E3026">
        <v>1100</v>
      </c>
      <c r="F3026">
        <v>6.3959999999999999</v>
      </c>
      <c r="G3026">
        <v>509.88</v>
      </c>
      <c r="H3026">
        <v>7.26</v>
      </c>
      <c r="I3026" s="309">
        <v>7546</v>
      </c>
      <c r="J3026">
        <v>6.86</v>
      </c>
      <c r="K3026" s="133">
        <v>1.5253569777006201E-2</v>
      </c>
      <c r="L3026" s="181">
        <v>88</v>
      </c>
      <c r="M3026" s="133">
        <v>1.42228925761183E-2</v>
      </c>
      <c r="N3026" s="73">
        <v>-7352.8279999999904</v>
      </c>
      <c r="O3026" s="73">
        <v>77.269776017444997</v>
      </c>
      <c r="P3026" s="182">
        <v>0</v>
      </c>
      <c r="Q3026" s="182">
        <v>0</v>
      </c>
      <c r="R3026" s="46">
        <v>0</v>
      </c>
      <c r="S3026" s="46">
        <v>18</v>
      </c>
      <c r="T3026" s="46">
        <v>7200</v>
      </c>
      <c r="U3026" s="46">
        <v>7.3120000000000003</v>
      </c>
      <c r="V3026" s="46" t="s">
        <v>68</v>
      </c>
      <c r="W3026" s="46">
        <v>7200</v>
      </c>
      <c r="X3026" s="46">
        <v>7.3120000000000003</v>
      </c>
      <c r="AF3026" s="46">
        <v>38</v>
      </c>
      <c r="AG3026" s="46">
        <v>18900</v>
      </c>
      <c r="AH3026" s="46">
        <v>140597</v>
      </c>
      <c r="AI3026" s="46">
        <v>7.4390000000000001</v>
      </c>
      <c r="AJ3026" s="46">
        <v>38</v>
      </c>
      <c r="AK3026" s="46">
        <v>17200</v>
      </c>
      <c r="AL3026" s="46">
        <v>81788.005000000005</v>
      </c>
      <c r="AM3026" s="46">
        <v>4.7549999999999999</v>
      </c>
      <c r="AN3026" s="46" t="s">
        <v>63</v>
      </c>
      <c r="AO3026" s="46">
        <v>1700</v>
      </c>
      <c r="AP3026" s="46">
        <v>58808.995000000003</v>
      </c>
      <c r="AQ3026" s="46">
        <v>34.594000000000001</v>
      </c>
      <c r="AR3026" s="46">
        <v>-46164.800000000003</v>
      </c>
      <c r="AS3026" s="46">
        <v>38</v>
      </c>
      <c r="AT3026" s="46">
        <v>18900</v>
      </c>
      <c r="AU3026" s="46">
        <v>140597</v>
      </c>
      <c r="AV3026" s="46">
        <v>7.4390000000000001</v>
      </c>
      <c r="AW3026" s="46">
        <v>57</v>
      </c>
      <c r="AX3026" s="46">
        <v>24900</v>
      </c>
      <c r="AY3026" s="46">
        <v>134293.35699999999</v>
      </c>
      <c r="AZ3026" s="46">
        <v>5.3929999999999998</v>
      </c>
      <c r="BA3026" s="46" t="s">
        <v>69</v>
      </c>
      <c r="BB3026" s="46">
        <v>6000</v>
      </c>
      <c r="BC3026" s="46">
        <v>6303.643</v>
      </c>
      <c r="BD3026" s="46">
        <v>1.0509999999999999</v>
      </c>
      <c r="BE3026" s="46">
        <v>-38669.4</v>
      </c>
      <c r="BF3026" s="46">
        <v>0</v>
      </c>
      <c r="BH3026" s="46">
        <v>52505.351999999999</v>
      </c>
      <c r="BI3026">
        <v>7.29</v>
      </c>
      <c r="BJ3026">
        <v>-52505.351999999999</v>
      </c>
      <c r="BK3026">
        <v>-7.29</v>
      </c>
      <c r="BL3026">
        <v>-6729.56</v>
      </c>
    </row>
    <row r="3027" spans="1:64" x14ac:dyDescent="0.25">
      <c r="A3027" s="136">
        <v>43238</v>
      </c>
      <c r="B3027" s="201" t="s">
        <v>70</v>
      </c>
      <c r="C3027" t="s">
        <v>131</v>
      </c>
      <c r="D3027">
        <v>11000</v>
      </c>
      <c r="E3027">
        <v>10600</v>
      </c>
      <c r="F3027">
        <v>11.702</v>
      </c>
      <c r="G3027">
        <v>-21253.79</v>
      </c>
      <c r="H3027">
        <v>-16.510000000000002</v>
      </c>
      <c r="I3027" s="309">
        <v>107470</v>
      </c>
      <c r="J3027">
        <v>9.77</v>
      </c>
      <c r="K3027" s="133">
        <v>0.21724107393782899</v>
      </c>
      <c r="L3027" s="181">
        <v>4531.1099999999997</v>
      </c>
      <c r="M3027" s="133">
        <v>0.26020372551360899</v>
      </c>
      <c r="N3027" s="73">
        <v>-21807.783000000101</v>
      </c>
      <c r="O3027" s="73">
        <v>-2242.4772745370401</v>
      </c>
      <c r="P3027" s="182">
        <v>3</v>
      </c>
      <c r="Q3027" s="182">
        <v>1500</v>
      </c>
      <c r="R3027" s="46">
        <v>8.4169999999999998</v>
      </c>
      <c r="S3027" s="46">
        <v>8</v>
      </c>
      <c r="T3027" s="46">
        <v>3300</v>
      </c>
      <c r="U3027" s="46">
        <v>9.1829999999999998</v>
      </c>
      <c r="V3027" s="46" t="s">
        <v>68</v>
      </c>
      <c r="W3027" s="46">
        <v>1800</v>
      </c>
      <c r="X3027" s="46">
        <v>9.8209999999999997</v>
      </c>
      <c r="AF3027" s="46">
        <v>138</v>
      </c>
      <c r="AG3027" s="46">
        <v>70600</v>
      </c>
      <c r="AH3027" s="46">
        <v>912718</v>
      </c>
      <c r="AI3027" s="46">
        <v>12.928000000000001</v>
      </c>
      <c r="AJ3027" s="46">
        <v>144</v>
      </c>
      <c r="AK3027" s="46">
        <v>57800</v>
      </c>
      <c r="AL3027" s="46">
        <v>765990.522</v>
      </c>
      <c r="AM3027" s="46">
        <v>13.252000000000001</v>
      </c>
      <c r="AN3027" s="46" t="s">
        <v>63</v>
      </c>
      <c r="AO3027" s="46">
        <v>12800</v>
      </c>
      <c r="AP3027" s="46">
        <v>146727.478</v>
      </c>
      <c r="AQ3027" s="46">
        <v>11.462999999999999</v>
      </c>
      <c r="AR3027" s="46">
        <v>18727.2</v>
      </c>
      <c r="AS3027" s="46">
        <v>141</v>
      </c>
      <c r="AT3027" s="46">
        <v>72100</v>
      </c>
      <c r="AU3027" s="46">
        <v>925358</v>
      </c>
      <c r="AV3027" s="46">
        <v>12.834</v>
      </c>
      <c r="AW3027" s="46">
        <v>153</v>
      </c>
      <c r="AX3027" s="46">
        <v>61100</v>
      </c>
      <c r="AY3027" s="46">
        <v>796630.21699999995</v>
      </c>
      <c r="AZ3027" s="46">
        <v>13.038</v>
      </c>
      <c r="BA3027" s="46" t="s">
        <v>63</v>
      </c>
      <c r="BB3027" s="46">
        <v>11000</v>
      </c>
      <c r="BC3027" s="46">
        <v>128727.783</v>
      </c>
      <c r="BD3027" s="46">
        <v>11.702999999999999</v>
      </c>
      <c r="BE3027" s="46">
        <v>12464.4</v>
      </c>
      <c r="BF3027" s="46">
        <v>12640</v>
      </c>
      <c r="BG3027" s="46">
        <v>8.43</v>
      </c>
      <c r="BH3027" s="46">
        <v>30639.695000000102</v>
      </c>
      <c r="BI3027">
        <v>9.2799999999999994</v>
      </c>
      <c r="BJ3027">
        <v>-17999.695</v>
      </c>
      <c r="BK3027">
        <v>-10</v>
      </c>
      <c r="BL3027">
        <v>1916.81</v>
      </c>
    </row>
    <row r="3028" spans="1:64" x14ac:dyDescent="0.25">
      <c r="A3028" s="136">
        <v>43238</v>
      </c>
      <c r="B3028" s="201" t="s">
        <v>137</v>
      </c>
      <c r="C3028" t="s">
        <v>149</v>
      </c>
      <c r="D3028">
        <v>100</v>
      </c>
      <c r="E3028">
        <v>100</v>
      </c>
      <c r="F3028">
        <v>-130.48500000000001</v>
      </c>
      <c r="G3028">
        <v>17525.5</v>
      </c>
      <c r="H3028">
        <v>0</v>
      </c>
      <c r="I3028" s="309">
        <v>4477</v>
      </c>
      <c r="J3028">
        <v>44.77</v>
      </c>
      <c r="K3028" s="133">
        <v>9.0498584537048402E-3</v>
      </c>
      <c r="L3028" s="181">
        <v>107</v>
      </c>
      <c r="M3028" s="133">
        <v>0</v>
      </c>
    </row>
    <row r="3029" spans="1:64" x14ac:dyDescent="0.25">
      <c r="A3029" s="136">
        <v>43238</v>
      </c>
      <c r="B3029" s="201" t="s">
        <v>835</v>
      </c>
      <c r="C3029" t="s">
        <v>839</v>
      </c>
      <c r="I3029" s="309">
        <v>29384.73</v>
      </c>
      <c r="K3029" s="133">
        <v>5.9398625686918498E-2</v>
      </c>
      <c r="L3029" s="181">
        <v>0</v>
      </c>
      <c r="M3029" s="133">
        <v>0.20161125887290901</v>
      </c>
    </row>
    <row r="3030" spans="1:64" x14ac:dyDescent="0.25">
      <c r="A3030" s="136">
        <v>43241</v>
      </c>
      <c r="B3030" s="201" t="s">
        <v>132</v>
      </c>
      <c r="C3030" t="s">
        <v>123</v>
      </c>
      <c r="D3030">
        <v>10000030</v>
      </c>
      <c r="E3030">
        <v>7035930</v>
      </c>
      <c r="F3030">
        <v>0.01</v>
      </c>
      <c r="G3030">
        <v>3604.86</v>
      </c>
      <c r="H3030">
        <v>0</v>
      </c>
      <c r="I3030" s="309">
        <v>100000.3</v>
      </c>
      <c r="J3030">
        <v>0.01</v>
      </c>
      <c r="K3030" s="133">
        <v>0.200598157840428</v>
      </c>
      <c r="L3030" s="181">
        <v>6.1600000000003101</v>
      </c>
      <c r="M3030" s="133">
        <v>0</v>
      </c>
    </row>
    <row r="3031" spans="1:64" x14ac:dyDescent="0.25">
      <c r="A3031" s="136">
        <v>43241</v>
      </c>
      <c r="B3031" s="201" t="s">
        <v>61</v>
      </c>
      <c r="C3031" t="s">
        <v>136</v>
      </c>
      <c r="D3031">
        <v>3900</v>
      </c>
      <c r="E3031">
        <v>3900</v>
      </c>
      <c r="F3031">
        <v>5.0519999999999996</v>
      </c>
      <c r="G3031">
        <v>-1528.1</v>
      </c>
      <c r="H3031">
        <v>-7.76</v>
      </c>
      <c r="I3031" s="309">
        <v>18174</v>
      </c>
      <c r="J3031">
        <v>4.66</v>
      </c>
      <c r="K3031" s="133">
        <v>3.6456599836119798E-2</v>
      </c>
      <c r="L3031" s="181">
        <v>156</v>
      </c>
      <c r="M3031" s="133">
        <v>3.9521931090085602E-2</v>
      </c>
      <c r="N3031" s="73">
        <v>-1807.1410000000001</v>
      </c>
      <c r="O3031" s="73">
        <v>-393.515779847494</v>
      </c>
      <c r="P3031" s="182">
        <v>6</v>
      </c>
      <c r="Q3031" s="182">
        <v>3000</v>
      </c>
      <c r="R3031" s="46">
        <v>5.0350000000000001</v>
      </c>
      <c r="S3031" s="46">
        <v>0</v>
      </c>
      <c r="T3031" s="46">
        <v>0</v>
      </c>
      <c r="U3031" s="46">
        <v>0</v>
      </c>
      <c r="V3031" s="46" t="s">
        <v>62</v>
      </c>
      <c r="W3031" s="46">
        <v>3000</v>
      </c>
      <c r="X3031" s="46">
        <v>5.0350000000000001</v>
      </c>
      <c r="AF3031" s="46">
        <v>10</v>
      </c>
      <c r="AG3031" s="46">
        <v>5000</v>
      </c>
      <c r="AH3031" s="46">
        <v>26378</v>
      </c>
      <c r="AI3031" s="46">
        <v>5.2759999999999998</v>
      </c>
      <c r="AJ3031" s="46">
        <v>10</v>
      </c>
      <c r="AK3031" s="46">
        <v>4100</v>
      </c>
      <c r="AL3031" s="46">
        <v>21806.659</v>
      </c>
      <c r="AM3031" s="46">
        <v>5.319</v>
      </c>
      <c r="AN3031" s="46" t="s">
        <v>63</v>
      </c>
      <c r="AO3031" s="46">
        <v>900</v>
      </c>
      <c r="AP3031" s="46">
        <v>4571.3410000000003</v>
      </c>
      <c r="AQ3031" s="46">
        <v>5.0789999999999997</v>
      </c>
      <c r="AR3031" s="46">
        <v>176.3</v>
      </c>
      <c r="AS3031" s="46">
        <v>16</v>
      </c>
      <c r="AT3031" s="46">
        <v>8000</v>
      </c>
      <c r="AU3031" s="46">
        <v>41514.800000000003</v>
      </c>
      <c r="AV3031" s="46">
        <v>5.1890000000000001</v>
      </c>
      <c r="AW3031" s="46">
        <v>10</v>
      </c>
      <c r="AX3031" s="46">
        <v>4100</v>
      </c>
      <c r="AY3031" s="46">
        <v>21806.659</v>
      </c>
      <c r="AZ3031" s="46">
        <v>5.319</v>
      </c>
      <c r="BA3031" s="46" t="s">
        <v>63</v>
      </c>
      <c r="BB3031" s="46">
        <v>3900</v>
      </c>
      <c r="BC3031" s="46">
        <v>19708.141</v>
      </c>
      <c r="BD3031" s="46">
        <v>5.0529999999999999</v>
      </c>
      <c r="BE3031" s="46">
        <v>533</v>
      </c>
      <c r="BF3031" s="46">
        <v>15136.8</v>
      </c>
      <c r="BG3031" s="46">
        <v>5.05</v>
      </c>
      <c r="BH3031" s="46">
        <v>0</v>
      </c>
      <c r="BJ3031">
        <v>15136.8</v>
      </c>
      <c r="BK3031">
        <v>5.05</v>
      </c>
      <c r="BL3031">
        <v>37.83</v>
      </c>
    </row>
    <row r="3032" spans="1:64" x14ac:dyDescent="0.25">
      <c r="A3032" s="136">
        <v>43241</v>
      </c>
      <c r="B3032" s="201" t="s">
        <v>124</v>
      </c>
      <c r="C3032" t="s">
        <v>125</v>
      </c>
      <c r="D3032">
        <v>100</v>
      </c>
      <c r="E3032">
        <v>100</v>
      </c>
      <c r="F3032">
        <v>-53.579000000000001</v>
      </c>
      <c r="G3032">
        <v>5960.9</v>
      </c>
      <c r="H3032">
        <v>0</v>
      </c>
      <c r="I3032" s="309">
        <v>603</v>
      </c>
      <c r="J3032">
        <v>6.03</v>
      </c>
      <c r="K3032" s="133">
        <v>1.2096032629679899E-3</v>
      </c>
      <c r="L3032" s="181">
        <v>-2</v>
      </c>
      <c r="M3032" s="133">
        <v>0</v>
      </c>
    </row>
    <row r="3033" spans="1:64" x14ac:dyDescent="0.25">
      <c r="A3033" s="136">
        <v>43241</v>
      </c>
      <c r="B3033" s="201" t="s">
        <v>71</v>
      </c>
      <c r="C3033" t="s">
        <v>126</v>
      </c>
      <c r="D3033">
        <v>1300</v>
      </c>
      <c r="E3033">
        <v>1300</v>
      </c>
      <c r="F3033">
        <v>4.7699999999999996</v>
      </c>
      <c r="G3033">
        <v>2560.96</v>
      </c>
      <c r="H3033">
        <v>41.3</v>
      </c>
      <c r="I3033" s="309">
        <v>8762</v>
      </c>
      <c r="J3033">
        <v>6.74</v>
      </c>
      <c r="K3033" s="133">
        <v>1.7576357860904699E-2</v>
      </c>
      <c r="L3033" s="181">
        <v>0</v>
      </c>
      <c r="M3033" s="133">
        <v>1.2439134689543999E-2</v>
      </c>
      <c r="N3033" s="73">
        <v>4816.0060000000003</v>
      </c>
      <c r="O3033" s="73">
        <v>367.08042812030101</v>
      </c>
      <c r="P3033" s="182">
        <v>0</v>
      </c>
      <c r="Q3033" s="182">
        <v>0</v>
      </c>
      <c r="R3033" s="46">
        <v>0</v>
      </c>
      <c r="S3033" s="46">
        <v>5</v>
      </c>
      <c r="T3033" s="46">
        <v>1900</v>
      </c>
      <c r="U3033" s="46">
        <v>6.7430000000000003</v>
      </c>
      <c r="V3033" s="46" t="s">
        <v>68</v>
      </c>
      <c r="W3033" s="46">
        <v>1900</v>
      </c>
      <c r="X3033" s="46">
        <v>6.7430000000000003</v>
      </c>
      <c r="AF3033" s="46">
        <v>45</v>
      </c>
      <c r="AG3033" s="46">
        <v>22600</v>
      </c>
      <c r="AH3033" s="46">
        <v>144534.56</v>
      </c>
      <c r="AI3033" s="46">
        <v>6.3949999999999996</v>
      </c>
      <c r="AJ3033" s="46">
        <v>43</v>
      </c>
      <c r="AK3033" s="46">
        <v>19400</v>
      </c>
      <c r="AL3033" s="46">
        <v>125389.618</v>
      </c>
      <c r="AM3033" s="46">
        <v>6.4630000000000001</v>
      </c>
      <c r="AN3033" s="46" t="s">
        <v>63</v>
      </c>
      <c r="AO3033" s="46">
        <v>3200</v>
      </c>
      <c r="AP3033" s="46">
        <v>19144.941999999999</v>
      </c>
      <c r="AQ3033" s="46">
        <v>5.9829999999999997</v>
      </c>
      <c r="AR3033" s="46">
        <v>1319.2</v>
      </c>
      <c r="AS3033" s="46">
        <v>45</v>
      </c>
      <c r="AT3033" s="46">
        <v>22600</v>
      </c>
      <c r="AU3033" s="46">
        <v>144534.56</v>
      </c>
      <c r="AV3033" s="46">
        <v>6.3949999999999996</v>
      </c>
      <c r="AW3033" s="46">
        <v>48</v>
      </c>
      <c r="AX3033" s="46">
        <v>21300</v>
      </c>
      <c r="AY3033" s="46">
        <v>138170.666</v>
      </c>
      <c r="AZ3033" s="46">
        <v>6.4870000000000001</v>
      </c>
      <c r="BA3033" s="46" t="s">
        <v>63</v>
      </c>
      <c r="BB3033" s="46">
        <v>1300</v>
      </c>
      <c r="BC3033" s="46">
        <v>6363.8940000000002</v>
      </c>
      <c r="BD3033" s="46">
        <v>4.8949999999999996</v>
      </c>
      <c r="BE3033" s="46">
        <v>1959.6</v>
      </c>
      <c r="BF3033" s="46">
        <v>0</v>
      </c>
      <c r="BH3033" s="46">
        <v>12781.048000000001</v>
      </c>
      <c r="BI3033">
        <v>6.73</v>
      </c>
      <c r="BJ3033">
        <v>-12781.048000000001</v>
      </c>
      <c r="BK3033">
        <v>-6.73</v>
      </c>
      <c r="BL3033">
        <v>195.73</v>
      </c>
    </row>
    <row r="3034" spans="1:64" x14ac:dyDescent="0.25">
      <c r="A3034" s="136">
        <v>43241</v>
      </c>
      <c r="B3034" s="201" t="s">
        <v>79</v>
      </c>
      <c r="C3034" t="s">
        <v>143</v>
      </c>
      <c r="D3034">
        <v>3900</v>
      </c>
      <c r="E3034">
        <v>3900</v>
      </c>
      <c r="F3034">
        <v>16.843</v>
      </c>
      <c r="G3034">
        <v>-5353.23</v>
      </c>
      <c r="H3034">
        <v>-8.15</v>
      </c>
      <c r="I3034" s="309">
        <v>60333</v>
      </c>
      <c r="J3034">
        <v>15.47</v>
      </c>
      <c r="K3034" s="133">
        <v>0.121026523490295</v>
      </c>
      <c r="L3034" s="181">
        <v>546</v>
      </c>
      <c r="M3034" s="133">
        <v>0.13176497203991</v>
      </c>
      <c r="N3034" s="73">
        <v>32463.163999999899</v>
      </c>
      <c r="O3034" s="73">
        <v>-359.99008352789599</v>
      </c>
      <c r="P3034" s="182">
        <v>6</v>
      </c>
      <c r="Q3034" s="182">
        <v>3000</v>
      </c>
      <c r="R3034" s="46">
        <v>14.458</v>
      </c>
      <c r="S3034" s="46">
        <v>2</v>
      </c>
      <c r="T3034" s="46">
        <v>800</v>
      </c>
      <c r="U3034" s="46">
        <v>15.105</v>
      </c>
      <c r="V3034" s="46" t="s">
        <v>62</v>
      </c>
      <c r="W3034" s="46">
        <v>2200</v>
      </c>
      <c r="X3034" s="46">
        <v>14.223000000000001</v>
      </c>
      <c r="AF3034" s="46">
        <v>16</v>
      </c>
      <c r="AG3034" s="46">
        <v>8500</v>
      </c>
      <c r="AH3034" s="46">
        <v>136435.1</v>
      </c>
      <c r="AI3034" s="46">
        <v>16.050999999999998</v>
      </c>
      <c r="AJ3034" s="46">
        <v>17</v>
      </c>
      <c r="AK3034" s="46">
        <v>6800</v>
      </c>
      <c r="AL3034" s="46">
        <v>102088.64</v>
      </c>
      <c r="AM3034" s="46">
        <v>15.013</v>
      </c>
      <c r="AN3034" s="46" t="s">
        <v>63</v>
      </c>
      <c r="AO3034" s="46">
        <v>1700</v>
      </c>
      <c r="AP3034" s="46">
        <v>34346.46</v>
      </c>
      <c r="AQ3034" s="46">
        <v>20.204000000000001</v>
      </c>
      <c r="AR3034" s="46">
        <v>-7058.4</v>
      </c>
      <c r="AS3034" s="46">
        <v>22</v>
      </c>
      <c r="AT3034" s="46">
        <v>11500</v>
      </c>
      <c r="AU3034" s="46">
        <v>179841.9</v>
      </c>
      <c r="AV3034" s="46">
        <v>15.638</v>
      </c>
      <c r="AW3034" s="46">
        <v>19</v>
      </c>
      <c r="AX3034" s="46">
        <v>7600</v>
      </c>
      <c r="AY3034" s="46">
        <v>114150.076</v>
      </c>
      <c r="AZ3034" s="46">
        <v>15.02</v>
      </c>
      <c r="BA3034" s="46" t="s">
        <v>63</v>
      </c>
      <c r="BB3034" s="46">
        <v>3900</v>
      </c>
      <c r="BC3034" s="46">
        <v>65691.823999999993</v>
      </c>
      <c r="BD3034" s="46">
        <v>16.844000000000001</v>
      </c>
      <c r="BE3034" s="46">
        <v>-4696.8</v>
      </c>
      <c r="BF3034" s="46">
        <v>43406.799999999901</v>
      </c>
      <c r="BG3034" s="46">
        <v>14.47</v>
      </c>
      <c r="BH3034" s="46">
        <v>12061.436</v>
      </c>
      <c r="BI3034">
        <v>15.08</v>
      </c>
      <c r="BJ3034">
        <v>31345.364000000001</v>
      </c>
      <c r="BK3034">
        <v>14.25</v>
      </c>
      <c r="BL3034">
        <v>-456.26</v>
      </c>
    </row>
    <row r="3035" spans="1:64" x14ac:dyDescent="0.25">
      <c r="A3035" s="136">
        <v>43241</v>
      </c>
      <c r="B3035" s="201" t="s">
        <v>65</v>
      </c>
      <c r="C3035" t="s">
        <v>127</v>
      </c>
      <c r="D3035">
        <v>16400</v>
      </c>
      <c r="E3035">
        <v>16400</v>
      </c>
      <c r="F3035">
        <v>9.3209999999999997</v>
      </c>
      <c r="G3035">
        <v>1292.6600000000001</v>
      </c>
      <c r="H3035">
        <v>0.85</v>
      </c>
      <c r="I3035" s="309">
        <v>154160</v>
      </c>
      <c r="J3035">
        <v>9.4</v>
      </c>
      <c r="K3035" s="133">
        <v>0.30924119240322601</v>
      </c>
      <c r="L3035" s="181">
        <v>1159.25</v>
      </c>
      <c r="M3035" s="133">
        <v>0.306648148035219</v>
      </c>
      <c r="N3035" s="73">
        <v>-3317.759</v>
      </c>
      <c r="O3035" s="73">
        <v>102.69857172173499</v>
      </c>
      <c r="P3035" s="182">
        <v>3</v>
      </c>
      <c r="Q3035" s="182">
        <v>1500</v>
      </c>
      <c r="R3035" s="46">
        <v>8.9570000000000007</v>
      </c>
      <c r="S3035" s="46">
        <v>11</v>
      </c>
      <c r="T3035" s="46">
        <v>4500</v>
      </c>
      <c r="U3035" s="46">
        <v>11.680999999999999</v>
      </c>
      <c r="V3035" s="46" t="s">
        <v>68</v>
      </c>
      <c r="W3035" s="46">
        <v>3000</v>
      </c>
      <c r="X3035" s="46">
        <v>13.042999999999999</v>
      </c>
      <c r="AF3035" s="46">
        <v>188</v>
      </c>
      <c r="AG3035" s="46">
        <v>99700</v>
      </c>
      <c r="AH3035" s="46">
        <v>1135745.2309999999</v>
      </c>
      <c r="AI3035" s="46">
        <v>11.391999999999999</v>
      </c>
      <c r="AJ3035" s="46">
        <v>207</v>
      </c>
      <c r="AK3035" s="46">
        <v>89500</v>
      </c>
      <c r="AL3035" s="46">
        <v>943036.03399999999</v>
      </c>
      <c r="AM3035" s="46">
        <v>10.537000000000001</v>
      </c>
      <c r="AN3035" s="46" t="s">
        <v>63</v>
      </c>
      <c r="AO3035" s="46">
        <v>10200</v>
      </c>
      <c r="AP3035" s="46">
        <v>192709.19699999999</v>
      </c>
      <c r="AQ3035" s="46">
        <v>18.893000000000001</v>
      </c>
      <c r="AR3035" s="46">
        <v>-76522.5</v>
      </c>
      <c r="AS3035" s="46">
        <v>192</v>
      </c>
      <c r="AT3035" s="46">
        <v>101300</v>
      </c>
      <c r="AU3035" s="46">
        <v>1150483.2309999999</v>
      </c>
      <c r="AV3035" s="46">
        <v>11.356999999999999</v>
      </c>
      <c r="AW3035" s="46">
        <v>218</v>
      </c>
      <c r="AX3035" s="46">
        <v>94000</v>
      </c>
      <c r="AY3035" s="46">
        <v>995492.47</v>
      </c>
      <c r="AZ3035" s="46">
        <v>10.59</v>
      </c>
      <c r="BA3035" s="46" t="s">
        <v>63</v>
      </c>
      <c r="BB3035" s="46">
        <v>7300</v>
      </c>
      <c r="BC3035" s="46">
        <v>154990.761</v>
      </c>
      <c r="BD3035" s="46">
        <v>21.231999999999999</v>
      </c>
      <c r="BE3035" s="46">
        <v>-72098</v>
      </c>
      <c r="BF3035" s="46">
        <v>14738</v>
      </c>
      <c r="BG3035" s="46">
        <v>9.83</v>
      </c>
      <c r="BH3035" s="46">
        <v>52456.436000000198</v>
      </c>
      <c r="BI3035">
        <v>11.66</v>
      </c>
      <c r="BJ3035">
        <v>-37718.436000000002</v>
      </c>
      <c r="BK3035">
        <v>-12.57</v>
      </c>
      <c r="BL3035">
        <v>-8140.69</v>
      </c>
    </row>
    <row r="3036" spans="1:64" x14ac:dyDescent="0.25">
      <c r="A3036" s="136">
        <v>43241</v>
      </c>
      <c r="B3036" s="201" t="s">
        <v>77</v>
      </c>
      <c r="C3036" t="s">
        <v>128</v>
      </c>
      <c r="D3036">
        <v>4300</v>
      </c>
      <c r="E3036">
        <v>4300</v>
      </c>
      <c r="F3036">
        <v>5.9779999999999998</v>
      </c>
      <c r="G3036">
        <v>-595.27</v>
      </c>
      <c r="H3036">
        <v>-2.31</v>
      </c>
      <c r="I3036" s="309">
        <v>25112</v>
      </c>
      <c r="J3036">
        <v>5.84</v>
      </c>
      <c r="K3036" s="133">
        <v>5.0374058274713397E-2</v>
      </c>
      <c r="L3036" s="181">
        <v>0</v>
      </c>
      <c r="M3036" s="133">
        <v>5.15681553465989E-2</v>
      </c>
      <c r="N3036" s="73">
        <v>-1272.2139999999999</v>
      </c>
      <c r="O3036" s="73">
        <v>-133.073774655173</v>
      </c>
      <c r="P3036" s="182">
        <v>6</v>
      </c>
      <c r="Q3036" s="182">
        <v>3000</v>
      </c>
      <c r="R3036" s="46">
        <v>6.798</v>
      </c>
      <c r="S3036" s="46">
        <v>0</v>
      </c>
      <c r="T3036" s="46">
        <v>0</v>
      </c>
      <c r="U3036" s="46">
        <v>0</v>
      </c>
      <c r="V3036" s="46" t="s">
        <v>62</v>
      </c>
      <c r="W3036" s="46">
        <v>3000</v>
      </c>
      <c r="X3036" s="46">
        <v>6.798</v>
      </c>
      <c r="AF3036" s="46">
        <v>39</v>
      </c>
      <c r="AG3036" s="46">
        <v>19500</v>
      </c>
      <c r="AH3036" s="46">
        <v>142169</v>
      </c>
      <c r="AI3036" s="46">
        <v>7.2910000000000004</v>
      </c>
      <c r="AJ3036" s="46">
        <v>39</v>
      </c>
      <c r="AK3036" s="46">
        <v>18200</v>
      </c>
      <c r="AL3036" s="46">
        <v>136881.78599999999</v>
      </c>
      <c r="AM3036" s="46">
        <v>7.5209999999999999</v>
      </c>
      <c r="AN3036" s="46" t="s">
        <v>63</v>
      </c>
      <c r="AO3036" s="46">
        <v>1300</v>
      </c>
      <c r="AP3036" s="46">
        <v>5287.2139999999999</v>
      </c>
      <c r="AQ3036" s="46">
        <v>4.0670000000000002</v>
      </c>
      <c r="AR3036" s="46">
        <v>4186</v>
      </c>
      <c r="AS3036" s="46">
        <v>45</v>
      </c>
      <c r="AT3036" s="46">
        <v>22500</v>
      </c>
      <c r="AU3036" s="46">
        <v>162594</v>
      </c>
      <c r="AV3036" s="46">
        <v>7.226</v>
      </c>
      <c r="AW3036" s="46">
        <v>39</v>
      </c>
      <c r="AX3036" s="46">
        <v>18200</v>
      </c>
      <c r="AY3036" s="46">
        <v>136881.78599999999</v>
      </c>
      <c r="AZ3036" s="46">
        <v>7.5209999999999999</v>
      </c>
      <c r="BA3036" s="46" t="s">
        <v>63</v>
      </c>
      <c r="BB3036" s="46">
        <v>4300</v>
      </c>
      <c r="BC3036" s="46">
        <v>25712.214</v>
      </c>
      <c r="BD3036" s="46">
        <v>5.98</v>
      </c>
      <c r="BE3036" s="46">
        <v>5369</v>
      </c>
      <c r="BF3036" s="46">
        <v>20425</v>
      </c>
      <c r="BG3036" s="46">
        <v>6.81</v>
      </c>
      <c r="BH3036" s="46">
        <v>0</v>
      </c>
      <c r="BJ3036">
        <v>20425</v>
      </c>
      <c r="BK3036">
        <v>6.81</v>
      </c>
      <c r="BL3036">
        <v>716.78</v>
      </c>
    </row>
    <row r="3037" spans="1:64" x14ac:dyDescent="0.25">
      <c r="A3037" s="136">
        <v>43241</v>
      </c>
      <c r="B3037" s="201" t="s">
        <v>67</v>
      </c>
      <c r="C3037" t="s">
        <v>129</v>
      </c>
      <c r="D3037">
        <v>100</v>
      </c>
      <c r="E3037">
        <v>100</v>
      </c>
      <c r="F3037">
        <v>-33.115000000000002</v>
      </c>
      <c r="G3037">
        <v>4385.5</v>
      </c>
      <c r="H3037">
        <v>0</v>
      </c>
      <c r="I3037" s="309">
        <v>1074</v>
      </c>
      <c r="J3037">
        <v>10.74</v>
      </c>
      <c r="K3037" s="133">
        <v>2.1544177519529401E-3</v>
      </c>
      <c r="L3037" s="181">
        <v>29</v>
      </c>
      <c r="M3037" s="133">
        <v>0</v>
      </c>
      <c r="N3037" s="73">
        <v>4353.6874999997499</v>
      </c>
      <c r="O3037" s="73">
        <v>417.61138735602498</v>
      </c>
      <c r="P3037" s="182">
        <v>0</v>
      </c>
      <c r="Q3037" s="182">
        <v>0</v>
      </c>
      <c r="R3037" s="46">
        <v>0</v>
      </c>
      <c r="S3037" s="46">
        <v>24</v>
      </c>
      <c r="T3037" s="46">
        <v>9600</v>
      </c>
      <c r="U3037" s="46">
        <v>8.9969999999999999</v>
      </c>
      <c r="V3037" s="46" t="s">
        <v>68</v>
      </c>
      <c r="W3037" s="46">
        <v>9600</v>
      </c>
      <c r="X3037" s="46">
        <v>8.9969999999999999</v>
      </c>
      <c r="AF3037" s="46">
        <v>192</v>
      </c>
      <c r="AG3037" s="46">
        <v>95000</v>
      </c>
      <c r="AH3037" s="46">
        <v>791793</v>
      </c>
      <c r="AI3037" s="46">
        <v>8.3350000000000009</v>
      </c>
      <c r="AJ3037" s="46">
        <v>196</v>
      </c>
      <c r="AK3037" s="46">
        <v>87900</v>
      </c>
      <c r="AL3037" s="46">
        <v>778064.67550000001</v>
      </c>
      <c r="AM3037" s="46">
        <v>8.8520000000000003</v>
      </c>
      <c r="AN3037" s="46" t="s">
        <v>63</v>
      </c>
      <c r="AO3037" s="46">
        <v>7100</v>
      </c>
      <c r="AP3037" s="46">
        <v>13728.324000000001</v>
      </c>
      <c r="AQ3037" s="46">
        <v>1.9339999999999999</v>
      </c>
      <c r="AR3037" s="46">
        <v>45444.3</v>
      </c>
      <c r="AS3037" s="46">
        <v>192</v>
      </c>
      <c r="AT3037" s="46">
        <v>95000</v>
      </c>
      <c r="AU3037" s="46">
        <v>791793</v>
      </c>
      <c r="AV3037" s="46">
        <v>8.3350000000000009</v>
      </c>
      <c r="AW3037" s="46">
        <v>220</v>
      </c>
      <c r="AX3037" s="46">
        <v>97500</v>
      </c>
      <c r="AY3037" s="46">
        <v>864232.80350000004</v>
      </c>
      <c r="AZ3037" s="46">
        <v>8.8640000000000008</v>
      </c>
      <c r="BA3037" s="46" t="s">
        <v>69</v>
      </c>
      <c r="BB3037" s="46">
        <v>2500</v>
      </c>
      <c r="BC3037" s="46">
        <v>72439.804000000004</v>
      </c>
      <c r="BD3037" s="46">
        <v>28.975999999999999</v>
      </c>
      <c r="BE3037" s="46">
        <v>50255</v>
      </c>
      <c r="BF3037" s="46">
        <v>0</v>
      </c>
      <c r="BH3037" s="46">
        <v>86168.127999999997</v>
      </c>
      <c r="BI3037">
        <v>8.98</v>
      </c>
      <c r="BJ3037">
        <v>58711.48</v>
      </c>
      <c r="BK3037">
        <v>6.12</v>
      </c>
      <c r="BL3037">
        <v>4231.3100000000004</v>
      </c>
    </row>
    <row r="3038" spans="1:64" x14ac:dyDescent="0.25">
      <c r="A3038" s="136">
        <v>43241</v>
      </c>
      <c r="B3038" s="201" t="s">
        <v>78</v>
      </c>
      <c r="C3038" t="s">
        <v>142</v>
      </c>
      <c r="D3038">
        <v>200</v>
      </c>
      <c r="E3038">
        <v>200</v>
      </c>
      <c r="F3038">
        <v>2.1669999999999998</v>
      </c>
      <c r="G3038">
        <v>1412.65</v>
      </c>
      <c r="H3038">
        <v>325.94</v>
      </c>
      <c r="I3038" s="309">
        <v>1846</v>
      </c>
      <c r="J3038">
        <v>9.23</v>
      </c>
      <c r="K3038" s="133">
        <v>3.7030308846416398E-3</v>
      </c>
      <c r="L3038" s="181">
        <v>177.26</v>
      </c>
      <c r="M3038" s="133">
        <v>8.6928950913296602E-4</v>
      </c>
      <c r="N3038" s="73">
        <v>1436.6510000000001</v>
      </c>
      <c r="O3038" s="73">
        <v>153.57568711229899</v>
      </c>
      <c r="P3038" s="182">
        <v>0</v>
      </c>
      <c r="Q3038" s="182">
        <v>0</v>
      </c>
      <c r="R3038" s="46">
        <v>0</v>
      </c>
      <c r="S3038" s="46">
        <v>3</v>
      </c>
      <c r="T3038" s="46">
        <v>1200</v>
      </c>
      <c r="U3038" s="46">
        <v>9.923</v>
      </c>
      <c r="V3038" s="46" t="s">
        <v>68</v>
      </c>
      <c r="W3038" s="46">
        <v>1200</v>
      </c>
      <c r="X3038" s="46">
        <v>9.923</v>
      </c>
      <c r="AF3038" s="46">
        <v>14</v>
      </c>
      <c r="AG3038" s="46">
        <v>7000</v>
      </c>
      <c r="AH3038" s="46">
        <v>67625</v>
      </c>
      <c r="AI3038" s="46">
        <v>9.6609999999999996</v>
      </c>
      <c r="AJ3038" s="46">
        <v>15</v>
      </c>
      <c r="AK3038" s="46">
        <v>5600</v>
      </c>
      <c r="AL3038" s="46">
        <v>55310.559000000001</v>
      </c>
      <c r="AM3038" s="46">
        <v>9.8770000000000007</v>
      </c>
      <c r="AN3038" s="46" t="s">
        <v>63</v>
      </c>
      <c r="AO3038" s="46">
        <v>1400</v>
      </c>
      <c r="AP3038" s="46">
        <v>12314.441000000001</v>
      </c>
      <c r="AQ3038" s="46">
        <v>8.7959999999999994</v>
      </c>
      <c r="AR3038" s="46">
        <v>1209.5999999999999</v>
      </c>
      <c r="AS3038" s="46">
        <v>14</v>
      </c>
      <c r="AT3038" s="46">
        <v>7000</v>
      </c>
      <c r="AU3038" s="46">
        <v>67625</v>
      </c>
      <c r="AV3038" s="46">
        <v>9.6609999999999996</v>
      </c>
      <c r="AW3038" s="46">
        <v>18</v>
      </c>
      <c r="AX3038" s="46">
        <v>6800</v>
      </c>
      <c r="AY3038" s="46">
        <v>67191.650999999998</v>
      </c>
      <c r="AZ3038" s="46">
        <v>9.8810000000000002</v>
      </c>
      <c r="BA3038" s="46" t="s">
        <v>63</v>
      </c>
      <c r="BB3038" s="46">
        <v>200</v>
      </c>
      <c r="BC3038" s="46">
        <v>433.34899999999999</v>
      </c>
      <c r="BD3038" s="46">
        <v>2.1669999999999998</v>
      </c>
      <c r="BE3038" s="46">
        <v>1496</v>
      </c>
      <c r="BF3038" s="46">
        <v>0</v>
      </c>
      <c r="BH3038" s="46">
        <v>11881.092000000001</v>
      </c>
      <c r="BI3038">
        <v>9.9</v>
      </c>
      <c r="BJ3038">
        <v>-11881.092000000001</v>
      </c>
      <c r="BK3038">
        <v>-9.9</v>
      </c>
      <c r="BL3038">
        <v>131.05000000000001</v>
      </c>
    </row>
    <row r="3039" spans="1:64" x14ac:dyDescent="0.25">
      <c r="A3039" s="136">
        <v>43241</v>
      </c>
      <c r="B3039" s="201" t="s">
        <v>72</v>
      </c>
      <c r="C3039" t="s">
        <v>130</v>
      </c>
      <c r="D3039">
        <v>1100</v>
      </c>
      <c r="E3039">
        <v>1100</v>
      </c>
      <c r="F3039">
        <v>6.3959999999999999</v>
      </c>
      <c r="G3039">
        <v>531.88</v>
      </c>
      <c r="H3039">
        <v>7.57</v>
      </c>
      <c r="I3039" s="309">
        <v>7568</v>
      </c>
      <c r="J3039">
        <v>6.88</v>
      </c>
      <c r="K3039" s="133">
        <v>1.51812230416944E-2</v>
      </c>
      <c r="L3039" s="181">
        <v>22</v>
      </c>
      <c r="M3039" s="133">
        <v>1.4114284760587599E-2</v>
      </c>
      <c r="N3039" s="73">
        <v>-7352.8279999999904</v>
      </c>
      <c r="O3039" s="73">
        <v>77.269776017444997</v>
      </c>
      <c r="P3039" s="182">
        <v>0</v>
      </c>
      <c r="Q3039" s="182">
        <v>0</v>
      </c>
      <c r="R3039" s="46">
        <v>0</v>
      </c>
      <c r="S3039" s="46">
        <v>18</v>
      </c>
      <c r="T3039" s="46">
        <v>7200</v>
      </c>
      <c r="U3039" s="46">
        <v>7.3120000000000003</v>
      </c>
      <c r="V3039" s="46" t="s">
        <v>68</v>
      </c>
      <c r="W3039" s="46">
        <v>7200</v>
      </c>
      <c r="X3039" s="46">
        <v>7.3120000000000003</v>
      </c>
      <c r="AF3039" s="46">
        <v>38</v>
      </c>
      <c r="AG3039" s="46">
        <v>18900</v>
      </c>
      <c r="AH3039" s="46">
        <v>140597</v>
      </c>
      <c r="AI3039" s="46">
        <v>7.4390000000000001</v>
      </c>
      <c r="AJ3039" s="46">
        <v>38</v>
      </c>
      <c r="AK3039" s="46">
        <v>17200</v>
      </c>
      <c r="AL3039" s="46">
        <v>81788.005000000005</v>
      </c>
      <c r="AM3039" s="46">
        <v>4.7549999999999999</v>
      </c>
      <c r="AN3039" s="46" t="s">
        <v>63</v>
      </c>
      <c r="AO3039" s="46">
        <v>1700</v>
      </c>
      <c r="AP3039" s="46">
        <v>58808.995000000003</v>
      </c>
      <c r="AQ3039" s="46">
        <v>34.594000000000001</v>
      </c>
      <c r="AR3039" s="46">
        <v>-46164.800000000003</v>
      </c>
      <c r="AS3039" s="46">
        <v>38</v>
      </c>
      <c r="AT3039" s="46">
        <v>18900</v>
      </c>
      <c r="AU3039" s="46">
        <v>140597</v>
      </c>
      <c r="AV3039" s="46">
        <v>7.4390000000000001</v>
      </c>
      <c r="AW3039" s="46">
        <v>57</v>
      </c>
      <c r="AX3039" s="46">
        <v>24900</v>
      </c>
      <c r="AY3039" s="46">
        <v>134293.35699999999</v>
      </c>
      <c r="AZ3039" s="46">
        <v>5.3929999999999998</v>
      </c>
      <c r="BA3039" s="46" t="s">
        <v>69</v>
      </c>
      <c r="BB3039" s="46">
        <v>6000</v>
      </c>
      <c r="BC3039" s="46">
        <v>6303.643</v>
      </c>
      <c r="BD3039" s="46">
        <v>1.0509999999999999</v>
      </c>
      <c r="BE3039" s="46">
        <v>-38669.4</v>
      </c>
      <c r="BF3039" s="46">
        <v>0</v>
      </c>
      <c r="BH3039" s="46">
        <v>52505.351999999999</v>
      </c>
      <c r="BI3039">
        <v>7.29</v>
      </c>
      <c r="BJ3039">
        <v>-52505.351999999999</v>
      </c>
      <c r="BK3039">
        <v>-7.29</v>
      </c>
      <c r="BL3039">
        <v>-6710</v>
      </c>
    </row>
    <row r="3040" spans="1:64" x14ac:dyDescent="0.25">
      <c r="A3040" s="136">
        <v>43241</v>
      </c>
      <c r="B3040" s="201" t="s">
        <v>70</v>
      </c>
      <c r="C3040" t="s">
        <v>131</v>
      </c>
      <c r="D3040">
        <v>10600</v>
      </c>
      <c r="E3040">
        <v>10600</v>
      </c>
      <c r="F3040">
        <v>11.769</v>
      </c>
      <c r="G3040">
        <v>-19706.77</v>
      </c>
      <c r="H3040">
        <v>-15.79</v>
      </c>
      <c r="I3040" s="309">
        <v>105046</v>
      </c>
      <c r="J3040">
        <v>9.91</v>
      </c>
      <c r="K3040" s="133">
        <v>0.21071970872592899</v>
      </c>
      <c r="L3040" s="181">
        <v>1547.02</v>
      </c>
      <c r="M3040" s="133">
        <v>0.25025100772188302</v>
      </c>
      <c r="N3040" s="73">
        <v>-19286.763000000101</v>
      </c>
      <c r="O3040" s="73">
        <v>-1937.39895663317</v>
      </c>
      <c r="P3040" s="182">
        <v>3</v>
      </c>
      <c r="Q3040" s="182">
        <v>1500</v>
      </c>
      <c r="R3040" s="46">
        <v>8.4169999999999998</v>
      </c>
      <c r="S3040" s="46">
        <v>9</v>
      </c>
      <c r="T3040" s="46">
        <v>3700</v>
      </c>
      <c r="U3040" s="46">
        <v>9.266</v>
      </c>
      <c r="V3040" s="46" t="s">
        <v>68</v>
      </c>
      <c r="W3040" s="46">
        <v>2200</v>
      </c>
      <c r="X3040" s="46">
        <v>9.8450000000000006</v>
      </c>
      <c r="AF3040" s="46">
        <v>138</v>
      </c>
      <c r="AG3040" s="46">
        <v>70600</v>
      </c>
      <c r="AH3040" s="46">
        <v>912718</v>
      </c>
      <c r="AI3040" s="46">
        <v>12.928000000000001</v>
      </c>
      <c r="AJ3040" s="46">
        <v>144</v>
      </c>
      <c r="AK3040" s="46">
        <v>57800</v>
      </c>
      <c r="AL3040" s="46">
        <v>765990.522</v>
      </c>
      <c r="AM3040" s="46">
        <v>13.252000000000001</v>
      </c>
      <c r="AN3040" s="46" t="s">
        <v>63</v>
      </c>
      <c r="AO3040" s="46">
        <v>12800</v>
      </c>
      <c r="AP3040" s="46">
        <v>146727.478</v>
      </c>
      <c r="AQ3040" s="46">
        <v>11.462999999999999</v>
      </c>
      <c r="AR3040" s="46">
        <v>18727.2</v>
      </c>
      <c r="AS3040" s="46">
        <v>141</v>
      </c>
      <c r="AT3040" s="46">
        <v>72100</v>
      </c>
      <c r="AU3040" s="46">
        <v>925358</v>
      </c>
      <c r="AV3040" s="46">
        <v>12.834</v>
      </c>
      <c r="AW3040" s="46">
        <v>154</v>
      </c>
      <c r="AX3040" s="46">
        <v>61500</v>
      </c>
      <c r="AY3040" s="46">
        <v>800601.23699999996</v>
      </c>
      <c r="AZ3040" s="46">
        <v>13.018000000000001</v>
      </c>
      <c r="BA3040" s="46" t="s">
        <v>63</v>
      </c>
      <c r="BB3040" s="46">
        <v>10600</v>
      </c>
      <c r="BC3040" s="46">
        <v>124756.76300000001</v>
      </c>
      <c r="BD3040" s="46">
        <v>11.77</v>
      </c>
      <c r="BE3040" s="46">
        <v>11316</v>
      </c>
      <c r="BF3040" s="46">
        <v>12640</v>
      </c>
      <c r="BG3040" s="46">
        <v>8.43</v>
      </c>
      <c r="BH3040" s="46">
        <v>34610.715000000098</v>
      </c>
      <c r="BI3040">
        <v>9.35</v>
      </c>
      <c r="BJ3040">
        <v>-21970.715</v>
      </c>
      <c r="BK3040">
        <v>-9.99</v>
      </c>
      <c r="BL3040">
        <v>1889.73</v>
      </c>
    </row>
    <row r="3041" spans="1:64" x14ac:dyDescent="0.25">
      <c r="A3041" s="136">
        <v>43241</v>
      </c>
      <c r="B3041" s="201" t="s">
        <v>137</v>
      </c>
      <c r="C3041" t="s">
        <v>149</v>
      </c>
      <c r="D3041">
        <v>100</v>
      </c>
      <c r="E3041">
        <v>100</v>
      </c>
      <c r="F3041">
        <v>-130.48500000000001</v>
      </c>
      <c r="G3041">
        <v>17691.5</v>
      </c>
      <c r="H3041">
        <v>0</v>
      </c>
      <c r="I3041" s="309">
        <v>4643</v>
      </c>
      <c r="J3041">
        <v>46.43</v>
      </c>
      <c r="K3041" s="133">
        <v>9.3137445272974805E-3</v>
      </c>
      <c r="L3041" s="181">
        <v>166</v>
      </c>
      <c r="M3041" s="133">
        <v>0</v>
      </c>
    </row>
    <row r="3042" spans="1:64" x14ac:dyDescent="0.25">
      <c r="A3042" s="136">
        <v>43241</v>
      </c>
      <c r="B3042" s="201" t="s">
        <v>835</v>
      </c>
      <c r="C3042" t="s">
        <v>839</v>
      </c>
      <c r="I3042" s="309">
        <v>11189.26</v>
      </c>
      <c r="K3042" s="133">
        <v>2.2445382099829499E-2</v>
      </c>
      <c r="L3042" s="181">
        <v>0</v>
      </c>
      <c r="M3042" s="133">
        <v>0.223043539940257</v>
      </c>
    </row>
    <row r="3043" spans="1:64" x14ac:dyDescent="0.25">
      <c r="A3043" s="136">
        <v>43245</v>
      </c>
      <c r="B3043" s="201" t="s">
        <v>132</v>
      </c>
      <c r="C3043" t="s">
        <v>123</v>
      </c>
      <c r="D3043">
        <v>9004165</v>
      </c>
      <c r="E3043">
        <v>9004165</v>
      </c>
      <c r="F3043">
        <v>0.01</v>
      </c>
      <c r="G3043">
        <v>3646.21</v>
      </c>
      <c r="H3043">
        <v>0</v>
      </c>
      <c r="I3043" s="309">
        <v>90041.65</v>
      </c>
      <c r="J3043">
        <v>0.01</v>
      </c>
      <c r="K3043" s="133">
        <v>0.18329877849603499</v>
      </c>
      <c r="L3043" s="181">
        <v>41.349999999999902</v>
      </c>
      <c r="M3043" s="133">
        <v>0</v>
      </c>
    </row>
    <row r="3044" spans="1:64" x14ac:dyDescent="0.25">
      <c r="A3044" s="136">
        <v>43245</v>
      </c>
      <c r="B3044" s="201" t="s">
        <v>61</v>
      </c>
      <c r="C3044" t="s">
        <v>136</v>
      </c>
      <c r="D3044">
        <v>3900</v>
      </c>
      <c r="E3044">
        <v>3900</v>
      </c>
      <c r="F3044">
        <v>5.0519999999999996</v>
      </c>
      <c r="G3044">
        <v>-1918.1</v>
      </c>
      <c r="H3044">
        <v>-9.74</v>
      </c>
      <c r="I3044" s="309">
        <v>17784</v>
      </c>
      <c r="J3044">
        <v>4.5599999999999996</v>
      </c>
      <c r="K3044" s="133">
        <v>3.6203084647754603E-2</v>
      </c>
      <c r="L3044" s="181">
        <v>-390</v>
      </c>
      <c r="M3044" s="133">
        <v>4.01077819409877E-2</v>
      </c>
      <c r="N3044" s="73">
        <v>-1807.1410000000001</v>
      </c>
      <c r="O3044" s="73">
        <v>-393.515779847494</v>
      </c>
      <c r="P3044" s="182">
        <v>6</v>
      </c>
      <c r="Q3044" s="182">
        <v>3000</v>
      </c>
      <c r="R3044" s="46">
        <v>5.0350000000000001</v>
      </c>
      <c r="S3044" s="46">
        <v>0</v>
      </c>
      <c r="T3044" s="46">
        <v>0</v>
      </c>
      <c r="U3044" s="46">
        <v>0</v>
      </c>
      <c r="V3044" s="46" t="s">
        <v>62</v>
      </c>
      <c r="W3044" s="46">
        <v>3000</v>
      </c>
      <c r="X3044" s="46">
        <v>5.0350000000000001</v>
      </c>
      <c r="AF3044" s="46">
        <v>10</v>
      </c>
      <c r="AG3044" s="46">
        <v>5000</v>
      </c>
      <c r="AH3044" s="46">
        <v>26378</v>
      </c>
      <c r="AI3044" s="46">
        <v>5.2759999999999998</v>
      </c>
      <c r="AJ3044" s="46">
        <v>10</v>
      </c>
      <c r="AK3044" s="46">
        <v>4100</v>
      </c>
      <c r="AL3044" s="46">
        <v>21806.659</v>
      </c>
      <c r="AM3044" s="46">
        <v>5.319</v>
      </c>
      <c r="AN3044" s="46" t="s">
        <v>63</v>
      </c>
      <c r="AO3044" s="46">
        <v>900</v>
      </c>
      <c r="AP3044" s="46">
        <v>4571.3410000000003</v>
      </c>
      <c r="AQ3044" s="46">
        <v>5.0789999999999997</v>
      </c>
      <c r="AR3044" s="46">
        <v>176.3</v>
      </c>
      <c r="AS3044" s="46">
        <v>16</v>
      </c>
      <c r="AT3044" s="46">
        <v>8000</v>
      </c>
      <c r="AU3044" s="46">
        <v>41514.800000000003</v>
      </c>
      <c r="AV3044" s="46">
        <v>5.1890000000000001</v>
      </c>
      <c r="AW3044" s="46">
        <v>10</v>
      </c>
      <c r="AX3044" s="46">
        <v>4100</v>
      </c>
      <c r="AY3044" s="46">
        <v>21806.659</v>
      </c>
      <c r="AZ3044" s="46">
        <v>5.319</v>
      </c>
      <c r="BA3044" s="46" t="s">
        <v>63</v>
      </c>
      <c r="BB3044" s="46">
        <v>3900</v>
      </c>
      <c r="BC3044" s="46">
        <v>19708.141</v>
      </c>
      <c r="BD3044" s="46">
        <v>5.0529999999999999</v>
      </c>
      <c r="BE3044" s="46">
        <v>533</v>
      </c>
      <c r="BF3044" s="46">
        <v>15136.8</v>
      </c>
      <c r="BG3044" s="46">
        <v>5.05</v>
      </c>
      <c r="BH3044" s="46">
        <v>0</v>
      </c>
      <c r="BJ3044">
        <v>15136.8</v>
      </c>
      <c r="BK3044">
        <v>5.05</v>
      </c>
      <c r="BL3044">
        <v>38.659999999999997</v>
      </c>
    </row>
    <row r="3045" spans="1:64" x14ac:dyDescent="0.25">
      <c r="A3045" s="136">
        <v>43245</v>
      </c>
      <c r="B3045" s="201" t="s">
        <v>124</v>
      </c>
      <c r="C3045" t="s">
        <v>125</v>
      </c>
      <c r="D3045">
        <v>100</v>
      </c>
      <c r="E3045">
        <v>100</v>
      </c>
      <c r="F3045">
        <v>-53.579000000000001</v>
      </c>
      <c r="G3045">
        <v>5931.9</v>
      </c>
      <c r="H3045">
        <v>0</v>
      </c>
      <c r="I3045" s="309">
        <v>574</v>
      </c>
      <c r="J3045">
        <v>5.74</v>
      </c>
      <c r="K3045" s="133">
        <v>1.16849812122195E-3</v>
      </c>
      <c r="L3045" s="181">
        <v>-29</v>
      </c>
      <c r="M3045" s="133">
        <v>0</v>
      </c>
    </row>
    <row r="3046" spans="1:64" x14ac:dyDescent="0.25">
      <c r="A3046" s="136">
        <v>43245</v>
      </c>
      <c r="B3046" s="201" t="s">
        <v>71</v>
      </c>
      <c r="C3046" t="s">
        <v>126</v>
      </c>
      <c r="D3046">
        <v>1300</v>
      </c>
      <c r="E3046">
        <v>1300</v>
      </c>
      <c r="F3046">
        <v>4.7699999999999996</v>
      </c>
      <c r="G3046">
        <v>2313.96</v>
      </c>
      <c r="H3046">
        <v>37.32</v>
      </c>
      <c r="I3046" s="309">
        <v>8515</v>
      </c>
      <c r="J3046">
        <v>6.55</v>
      </c>
      <c r="K3046" s="133">
        <v>1.7334079272134002E-2</v>
      </c>
      <c r="L3046" s="181">
        <v>-247</v>
      </c>
      <c r="M3046" s="133">
        <v>1.26235254174602E-2</v>
      </c>
      <c r="N3046" s="73">
        <v>4816.0060000000003</v>
      </c>
      <c r="O3046" s="73">
        <v>367.08042812030101</v>
      </c>
      <c r="P3046" s="182">
        <v>0</v>
      </c>
      <c r="Q3046" s="182">
        <v>0</v>
      </c>
      <c r="R3046" s="46">
        <v>0</v>
      </c>
      <c r="S3046" s="46">
        <v>5</v>
      </c>
      <c r="T3046" s="46">
        <v>1900</v>
      </c>
      <c r="U3046" s="46">
        <v>6.7430000000000003</v>
      </c>
      <c r="V3046" s="46" t="s">
        <v>68</v>
      </c>
      <c r="W3046" s="46">
        <v>1900</v>
      </c>
      <c r="X3046" s="46">
        <v>6.7430000000000003</v>
      </c>
      <c r="AF3046" s="46">
        <v>45</v>
      </c>
      <c r="AG3046" s="46">
        <v>22600</v>
      </c>
      <c r="AH3046" s="46">
        <v>144534.56</v>
      </c>
      <c r="AI3046" s="46">
        <v>6.3949999999999996</v>
      </c>
      <c r="AJ3046" s="46">
        <v>43</v>
      </c>
      <c r="AK3046" s="46">
        <v>19400</v>
      </c>
      <c r="AL3046" s="46">
        <v>125389.618</v>
      </c>
      <c r="AM3046" s="46">
        <v>6.4630000000000001</v>
      </c>
      <c r="AN3046" s="46" t="s">
        <v>63</v>
      </c>
      <c r="AO3046" s="46">
        <v>3200</v>
      </c>
      <c r="AP3046" s="46">
        <v>19144.941999999999</v>
      </c>
      <c r="AQ3046" s="46">
        <v>5.9829999999999997</v>
      </c>
      <c r="AR3046" s="46">
        <v>1319.2</v>
      </c>
      <c r="AS3046" s="46">
        <v>45</v>
      </c>
      <c r="AT3046" s="46">
        <v>22600</v>
      </c>
      <c r="AU3046" s="46">
        <v>144534.56</v>
      </c>
      <c r="AV3046" s="46">
        <v>6.3949999999999996</v>
      </c>
      <c r="AW3046" s="46">
        <v>48</v>
      </c>
      <c r="AX3046" s="46">
        <v>21300</v>
      </c>
      <c r="AY3046" s="46">
        <v>138170.666</v>
      </c>
      <c r="AZ3046" s="46">
        <v>6.4870000000000001</v>
      </c>
      <c r="BA3046" s="46" t="s">
        <v>63</v>
      </c>
      <c r="BB3046" s="46">
        <v>1300</v>
      </c>
      <c r="BC3046" s="46">
        <v>6363.8940000000002</v>
      </c>
      <c r="BD3046" s="46">
        <v>4.8949999999999996</v>
      </c>
      <c r="BE3046" s="46">
        <v>1959.6</v>
      </c>
      <c r="BF3046" s="46">
        <v>0</v>
      </c>
      <c r="BH3046" s="46">
        <v>12781.048000000001</v>
      </c>
      <c r="BI3046">
        <v>6.73</v>
      </c>
      <c r="BJ3046">
        <v>-12781.048000000001</v>
      </c>
      <c r="BK3046">
        <v>-6.73</v>
      </c>
      <c r="BL3046">
        <v>201.4</v>
      </c>
    </row>
    <row r="3047" spans="1:64" x14ac:dyDescent="0.25">
      <c r="A3047" s="136">
        <v>43245</v>
      </c>
      <c r="B3047" s="201" t="s">
        <v>79</v>
      </c>
      <c r="C3047" t="s">
        <v>143</v>
      </c>
      <c r="D3047">
        <v>4900</v>
      </c>
      <c r="E3047">
        <v>4400</v>
      </c>
      <c r="F3047">
        <v>16.486000000000001</v>
      </c>
      <c r="G3047">
        <v>-7281.53</v>
      </c>
      <c r="H3047">
        <v>-9.01</v>
      </c>
      <c r="I3047" s="309">
        <v>73500</v>
      </c>
      <c r="J3047">
        <v>15</v>
      </c>
      <c r="K3047" s="133">
        <v>0.149624759424762</v>
      </c>
      <c r="L3047" s="181">
        <v>-1928.3</v>
      </c>
      <c r="M3047" s="133">
        <v>0.16444785023420599</v>
      </c>
      <c r="N3047" s="73">
        <v>-340.22000000014998</v>
      </c>
      <c r="O3047" s="73">
        <v>-496.37319893120599</v>
      </c>
      <c r="P3047" s="182">
        <v>6</v>
      </c>
      <c r="Q3047" s="182">
        <v>3000</v>
      </c>
      <c r="R3047" s="46">
        <v>14.458</v>
      </c>
      <c r="S3047" s="46">
        <v>0</v>
      </c>
      <c r="T3047" s="46">
        <v>0</v>
      </c>
      <c r="U3047" s="46">
        <v>0</v>
      </c>
      <c r="V3047" s="46" t="s">
        <v>62</v>
      </c>
      <c r="W3047" s="46">
        <v>3000</v>
      </c>
      <c r="X3047" s="46">
        <v>14.458</v>
      </c>
      <c r="AF3047" s="46">
        <v>18</v>
      </c>
      <c r="AG3047" s="46">
        <v>9500</v>
      </c>
      <c r="AH3047" s="46">
        <v>151530.70000000001</v>
      </c>
      <c r="AI3047" s="46">
        <v>15.951000000000001</v>
      </c>
      <c r="AJ3047" s="46">
        <v>19</v>
      </c>
      <c r="AK3047" s="46">
        <v>7600</v>
      </c>
      <c r="AL3047" s="46">
        <v>114150.076</v>
      </c>
      <c r="AM3047" s="46">
        <v>15.02</v>
      </c>
      <c r="AN3047" s="46" t="s">
        <v>63</v>
      </c>
      <c r="AO3047" s="46">
        <v>1900</v>
      </c>
      <c r="AP3047" s="46">
        <v>37380.624000000003</v>
      </c>
      <c r="AQ3047" s="46">
        <v>19.673999999999999</v>
      </c>
      <c r="AR3047" s="46">
        <v>-7075.6</v>
      </c>
      <c r="AS3047" s="46">
        <v>24</v>
      </c>
      <c r="AT3047" s="46">
        <v>12500</v>
      </c>
      <c r="AU3047" s="46">
        <v>194937.5</v>
      </c>
      <c r="AV3047" s="46">
        <v>15.595000000000001</v>
      </c>
      <c r="AW3047" s="46">
        <v>19</v>
      </c>
      <c r="AX3047" s="46">
        <v>7600</v>
      </c>
      <c r="AY3047" s="46">
        <v>114150.076</v>
      </c>
      <c r="AZ3047" s="46">
        <v>15.02</v>
      </c>
      <c r="BA3047" s="46" t="s">
        <v>63</v>
      </c>
      <c r="BB3047" s="46">
        <v>4900</v>
      </c>
      <c r="BC3047" s="46">
        <v>80787.423999999999</v>
      </c>
      <c r="BD3047" s="46">
        <v>16.486999999999998</v>
      </c>
      <c r="BE3047" s="46">
        <v>-4370</v>
      </c>
      <c r="BF3047" s="46">
        <v>43406.799999999901</v>
      </c>
      <c r="BG3047" s="46">
        <v>14.47</v>
      </c>
      <c r="BH3047" s="46">
        <v>0</v>
      </c>
      <c r="BJ3047">
        <v>43406.8</v>
      </c>
      <c r="BK3047">
        <v>14.47</v>
      </c>
      <c r="BL3047">
        <v>-471.71</v>
      </c>
    </row>
    <row r="3048" spans="1:64" x14ac:dyDescent="0.25">
      <c r="A3048" s="136">
        <v>43245</v>
      </c>
      <c r="B3048" s="201" t="s">
        <v>65</v>
      </c>
      <c r="C3048" t="s">
        <v>127</v>
      </c>
      <c r="D3048">
        <v>16500</v>
      </c>
      <c r="E3048">
        <v>16500</v>
      </c>
      <c r="F3048">
        <v>9.3179999999999996</v>
      </c>
      <c r="G3048">
        <v>-464.09</v>
      </c>
      <c r="H3048">
        <v>-0.3</v>
      </c>
      <c r="I3048" s="309">
        <v>153285</v>
      </c>
      <c r="J3048">
        <v>9.2899999999999991</v>
      </c>
      <c r="K3048" s="133">
        <v>0.31204396256360001</v>
      </c>
      <c r="L3048" s="181">
        <v>-1756.75</v>
      </c>
      <c r="M3048" s="133">
        <v>0.31298871568742898</v>
      </c>
      <c r="N3048" s="73">
        <v>-3261.51100000001</v>
      </c>
      <c r="O3048" s="73">
        <v>108.69216191363201</v>
      </c>
      <c r="P3048" s="182">
        <v>3</v>
      </c>
      <c r="Q3048" s="182">
        <v>1500</v>
      </c>
      <c r="R3048" s="46">
        <v>8.9570000000000007</v>
      </c>
      <c r="S3048" s="46">
        <v>11</v>
      </c>
      <c r="T3048" s="46">
        <v>4500</v>
      </c>
      <c r="U3048" s="46">
        <v>11.688000000000001</v>
      </c>
      <c r="V3048" s="46" t="s">
        <v>68</v>
      </c>
      <c r="W3048" s="46">
        <v>3000</v>
      </c>
      <c r="X3048" s="46">
        <v>13.054</v>
      </c>
      <c r="AF3048" s="46">
        <v>189</v>
      </c>
      <c r="AG3048" s="46">
        <v>100200</v>
      </c>
      <c r="AH3048" s="46">
        <v>1140370.2309999999</v>
      </c>
      <c r="AI3048" s="46">
        <v>11.381</v>
      </c>
      <c r="AJ3048" s="46">
        <v>208</v>
      </c>
      <c r="AK3048" s="46">
        <v>89900</v>
      </c>
      <c r="AL3048" s="46">
        <v>946747.31400000001</v>
      </c>
      <c r="AM3048" s="46">
        <v>10.531000000000001</v>
      </c>
      <c r="AN3048" s="46" t="s">
        <v>63</v>
      </c>
      <c r="AO3048" s="46">
        <v>10300</v>
      </c>
      <c r="AP3048" s="46">
        <v>193622.91699999999</v>
      </c>
      <c r="AQ3048" s="46">
        <v>18.797999999999998</v>
      </c>
      <c r="AR3048" s="46">
        <v>-76415</v>
      </c>
      <c r="AS3048" s="46">
        <v>193</v>
      </c>
      <c r="AT3048" s="46">
        <v>101800</v>
      </c>
      <c r="AU3048" s="46">
        <v>1155108.2309999999</v>
      </c>
      <c r="AV3048" s="46">
        <v>11.347</v>
      </c>
      <c r="AW3048" s="46">
        <v>219</v>
      </c>
      <c r="AX3048" s="46">
        <v>94400</v>
      </c>
      <c r="AY3048" s="46">
        <v>999235.71799999999</v>
      </c>
      <c r="AZ3048" s="46">
        <v>10.585000000000001</v>
      </c>
      <c r="BA3048" s="46" t="s">
        <v>63</v>
      </c>
      <c r="BB3048" s="46">
        <v>7400</v>
      </c>
      <c r="BC3048" s="46">
        <v>155872.51300000001</v>
      </c>
      <c r="BD3048" s="46">
        <v>21.064</v>
      </c>
      <c r="BE3048" s="46">
        <v>-71932.800000000003</v>
      </c>
      <c r="BF3048" s="46">
        <v>14738</v>
      </c>
      <c r="BG3048" s="46">
        <v>9.83</v>
      </c>
      <c r="BH3048" s="46">
        <v>52488.404000000199</v>
      </c>
      <c r="BI3048">
        <v>11.66</v>
      </c>
      <c r="BJ3048">
        <v>-37750.404000000002</v>
      </c>
      <c r="BK3048">
        <v>-12.58</v>
      </c>
      <c r="BL3048">
        <v>-8225.51</v>
      </c>
    </row>
    <row r="3049" spans="1:64" x14ac:dyDescent="0.25">
      <c r="A3049" s="136">
        <v>43245</v>
      </c>
      <c r="B3049" s="201" t="s">
        <v>77</v>
      </c>
      <c r="C3049" t="s">
        <v>128</v>
      </c>
      <c r="D3049">
        <v>4300</v>
      </c>
      <c r="E3049">
        <v>4300</v>
      </c>
      <c r="F3049">
        <v>5.9779999999999998</v>
      </c>
      <c r="G3049">
        <v>-595.27</v>
      </c>
      <c r="H3049">
        <v>-2.31</v>
      </c>
      <c r="I3049" s="309">
        <v>25112</v>
      </c>
      <c r="J3049">
        <v>5.84</v>
      </c>
      <c r="K3049" s="133">
        <v>5.1120774947954001E-2</v>
      </c>
      <c r="L3049" s="181">
        <v>0</v>
      </c>
      <c r="M3049" s="133">
        <v>5.2332572642413602E-2</v>
      </c>
      <c r="N3049" s="73">
        <v>-1272.2139999999999</v>
      </c>
      <c r="O3049" s="73">
        <v>-133.073774655173</v>
      </c>
      <c r="P3049" s="182">
        <v>6</v>
      </c>
      <c r="Q3049" s="182">
        <v>3000</v>
      </c>
      <c r="R3049" s="46">
        <v>6.798</v>
      </c>
      <c r="S3049" s="46">
        <v>0</v>
      </c>
      <c r="T3049" s="46">
        <v>0</v>
      </c>
      <c r="U3049" s="46">
        <v>0</v>
      </c>
      <c r="V3049" s="46" t="s">
        <v>62</v>
      </c>
      <c r="W3049" s="46">
        <v>3000</v>
      </c>
      <c r="X3049" s="46">
        <v>6.798</v>
      </c>
      <c r="AF3049" s="46">
        <v>39</v>
      </c>
      <c r="AG3049" s="46">
        <v>19500</v>
      </c>
      <c r="AH3049" s="46">
        <v>142169</v>
      </c>
      <c r="AI3049" s="46">
        <v>7.2910000000000004</v>
      </c>
      <c r="AJ3049" s="46">
        <v>39</v>
      </c>
      <c r="AK3049" s="46">
        <v>18200</v>
      </c>
      <c r="AL3049" s="46">
        <v>136881.78599999999</v>
      </c>
      <c r="AM3049" s="46">
        <v>7.5209999999999999</v>
      </c>
      <c r="AN3049" s="46" t="s">
        <v>63</v>
      </c>
      <c r="AO3049" s="46">
        <v>1300</v>
      </c>
      <c r="AP3049" s="46">
        <v>5287.2139999999999</v>
      </c>
      <c r="AQ3049" s="46">
        <v>4.0670000000000002</v>
      </c>
      <c r="AR3049" s="46">
        <v>4186</v>
      </c>
      <c r="AS3049" s="46">
        <v>45</v>
      </c>
      <c r="AT3049" s="46">
        <v>22500</v>
      </c>
      <c r="AU3049" s="46">
        <v>162594</v>
      </c>
      <c r="AV3049" s="46">
        <v>7.226</v>
      </c>
      <c r="AW3049" s="46">
        <v>39</v>
      </c>
      <c r="AX3049" s="46">
        <v>18200</v>
      </c>
      <c r="AY3049" s="46">
        <v>136881.78599999999</v>
      </c>
      <c r="AZ3049" s="46">
        <v>7.5209999999999999</v>
      </c>
      <c r="BA3049" s="46" t="s">
        <v>63</v>
      </c>
      <c r="BB3049" s="46">
        <v>4300</v>
      </c>
      <c r="BC3049" s="46">
        <v>25712.214</v>
      </c>
      <c r="BD3049" s="46">
        <v>5.98</v>
      </c>
      <c r="BE3049" s="46">
        <v>5369</v>
      </c>
      <c r="BF3049" s="46">
        <v>20425</v>
      </c>
      <c r="BG3049" s="46">
        <v>6.81</v>
      </c>
      <c r="BH3049" s="46">
        <v>0</v>
      </c>
      <c r="BJ3049">
        <v>20425</v>
      </c>
      <c r="BK3049">
        <v>6.81</v>
      </c>
      <c r="BL3049">
        <v>716.78</v>
      </c>
    </row>
    <row r="3050" spans="1:64" x14ac:dyDescent="0.25">
      <c r="A3050" s="136">
        <v>43245</v>
      </c>
      <c r="B3050" s="201" t="s">
        <v>67</v>
      </c>
      <c r="C3050" t="s">
        <v>129</v>
      </c>
      <c r="D3050">
        <v>100</v>
      </c>
      <c r="E3050">
        <v>100</v>
      </c>
      <c r="F3050">
        <v>-33.115000000000002</v>
      </c>
      <c r="G3050">
        <v>4330.5</v>
      </c>
      <c r="H3050">
        <v>0</v>
      </c>
      <c r="I3050" s="309">
        <v>1019</v>
      </c>
      <c r="J3050">
        <v>10.19</v>
      </c>
      <c r="K3050" s="133">
        <v>2.0743895218208498E-3</v>
      </c>
      <c r="L3050" s="181">
        <v>-55</v>
      </c>
      <c r="M3050" s="133">
        <v>0</v>
      </c>
      <c r="N3050" s="73">
        <v>4353.6874999997499</v>
      </c>
      <c r="O3050" s="73">
        <v>417.61138735602498</v>
      </c>
      <c r="P3050" s="182">
        <v>0</v>
      </c>
      <c r="Q3050" s="182">
        <v>0</v>
      </c>
      <c r="R3050" s="46">
        <v>0</v>
      </c>
      <c r="S3050" s="46">
        <v>24</v>
      </c>
      <c r="T3050" s="46">
        <v>9600</v>
      </c>
      <c r="U3050" s="46">
        <v>8.9969999999999999</v>
      </c>
      <c r="V3050" s="46" t="s">
        <v>68</v>
      </c>
      <c r="W3050" s="46">
        <v>9600</v>
      </c>
      <c r="X3050" s="46">
        <v>8.9969999999999999</v>
      </c>
      <c r="AF3050" s="46">
        <v>192</v>
      </c>
      <c r="AG3050" s="46">
        <v>95000</v>
      </c>
      <c r="AH3050" s="46">
        <v>791793</v>
      </c>
      <c r="AI3050" s="46">
        <v>8.3350000000000009</v>
      </c>
      <c r="AJ3050" s="46">
        <v>196</v>
      </c>
      <c r="AK3050" s="46">
        <v>87900</v>
      </c>
      <c r="AL3050" s="46">
        <v>778064.67550000001</v>
      </c>
      <c r="AM3050" s="46">
        <v>8.8520000000000003</v>
      </c>
      <c r="AN3050" s="46" t="s">
        <v>63</v>
      </c>
      <c r="AO3050" s="46">
        <v>7100</v>
      </c>
      <c r="AP3050" s="46">
        <v>13728.324000000001</v>
      </c>
      <c r="AQ3050" s="46">
        <v>1.9339999999999999</v>
      </c>
      <c r="AR3050" s="46">
        <v>45444.3</v>
      </c>
      <c r="AS3050" s="46">
        <v>192</v>
      </c>
      <c r="AT3050" s="46">
        <v>95000</v>
      </c>
      <c r="AU3050" s="46">
        <v>791793</v>
      </c>
      <c r="AV3050" s="46">
        <v>8.3350000000000009</v>
      </c>
      <c r="AW3050" s="46">
        <v>220</v>
      </c>
      <c r="AX3050" s="46">
        <v>97500</v>
      </c>
      <c r="AY3050" s="46">
        <v>864232.80350000004</v>
      </c>
      <c r="AZ3050" s="46">
        <v>8.8640000000000008</v>
      </c>
      <c r="BA3050" s="46" t="s">
        <v>69</v>
      </c>
      <c r="BB3050" s="46">
        <v>2500</v>
      </c>
      <c r="BC3050" s="46">
        <v>72439.804000000004</v>
      </c>
      <c r="BD3050" s="46">
        <v>28.975999999999999</v>
      </c>
      <c r="BE3050" s="46">
        <v>50255</v>
      </c>
      <c r="BF3050" s="46">
        <v>0</v>
      </c>
      <c r="BH3050" s="46">
        <v>86168.127999999997</v>
      </c>
      <c r="BI3050">
        <v>8.98</v>
      </c>
      <c r="BJ3050">
        <v>58711.48</v>
      </c>
      <c r="BK3050">
        <v>6.12</v>
      </c>
      <c r="BL3050">
        <v>4459.7</v>
      </c>
    </row>
    <row r="3051" spans="1:64" x14ac:dyDescent="0.25">
      <c r="A3051" s="136">
        <v>43245</v>
      </c>
      <c r="B3051" s="201" t="s">
        <v>78</v>
      </c>
      <c r="C3051" t="s">
        <v>142</v>
      </c>
      <c r="D3051">
        <v>200</v>
      </c>
      <c r="E3051">
        <v>200</v>
      </c>
      <c r="F3051">
        <v>2.1669999999999998</v>
      </c>
      <c r="G3051">
        <v>1488.65</v>
      </c>
      <c r="H3051">
        <v>343.47</v>
      </c>
      <c r="I3051" s="309">
        <v>1922</v>
      </c>
      <c r="J3051">
        <v>9.61</v>
      </c>
      <c r="K3051" s="133">
        <v>3.9126365661822102E-3</v>
      </c>
      <c r="L3051" s="181">
        <v>76</v>
      </c>
      <c r="M3051" s="133">
        <v>8.8217536730231998E-4</v>
      </c>
      <c r="N3051" s="73">
        <v>1436.6510000000001</v>
      </c>
      <c r="O3051" s="73">
        <v>153.57568711229899</v>
      </c>
      <c r="P3051" s="182">
        <v>0</v>
      </c>
      <c r="Q3051" s="182">
        <v>0</v>
      </c>
      <c r="R3051" s="46">
        <v>0</v>
      </c>
      <c r="S3051" s="46">
        <v>3</v>
      </c>
      <c r="T3051" s="46">
        <v>1200</v>
      </c>
      <c r="U3051" s="46">
        <v>9.923</v>
      </c>
      <c r="V3051" s="46" t="s">
        <v>68</v>
      </c>
      <c r="W3051" s="46">
        <v>1200</v>
      </c>
      <c r="X3051" s="46">
        <v>9.923</v>
      </c>
      <c r="AF3051" s="46">
        <v>14</v>
      </c>
      <c r="AG3051" s="46">
        <v>7000</v>
      </c>
      <c r="AH3051" s="46">
        <v>67625</v>
      </c>
      <c r="AI3051" s="46">
        <v>9.6609999999999996</v>
      </c>
      <c r="AJ3051" s="46">
        <v>15</v>
      </c>
      <c r="AK3051" s="46">
        <v>5600</v>
      </c>
      <c r="AL3051" s="46">
        <v>55310.559000000001</v>
      </c>
      <c r="AM3051" s="46">
        <v>9.8770000000000007</v>
      </c>
      <c r="AN3051" s="46" t="s">
        <v>63</v>
      </c>
      <c r="AO3051" s="46">
        <v>1400</v>
      </c>
      <c r="AP3051" s="46">
        <v>12314.441000000001</v>
      </c>
      <c r="AQ3051" s="46">
        <v>8.7959999999999994</v>
      </c>
      <c r="AR3051" s="46">
        <v>1209.5999999999999</v>
      </c>
      <c r="AS3051" s="46">
        <v>14</v>
      </c>
      <c r="AT3051" s="46">
        <v>7000</v>
      </c>
      <c r="AU3051" s="46">
        <v>67625</v>
      </c>
      <c r="AV3051" s="46">
        <v>9.6609999999999996</v>
      </c>
      <c r="AW3051" s="46">
        <v>18</v>
      </c>
      <c r="AX3051" s="46">
        <v>6800</v>
      </c>
      <c r="AY3051" s="46">
        <v>67191.650999999998</v>
      </c>
      <c r="AZ3051" s="46">
        <v>9.8810000000000002</v>
      </c>
      <c r="BA3051" s="46" t="s">
        <v>63</v>
      </c>
      <c r="BB3051" s="46">
        <v>200</v>
      </c>
      <c r="BC3051" s="46">
        <v>433.34899999999999</v>
      </c>
      <c r="BD3051" s="46">
        <v>2.1669999999999998</v>
      </c>
      <c r="BE3051" s="46">
        <v>1496</v>
      </c>
      <c r="BF3051" s="46">
        <v>0</v>
      </c>
      <c r="BH3051" s="46">
        <v>11881.092000000001</v>
      </c>
      <c r="BI3051">
        <v>9.9</v>
      </c>
      <c r="BJ3051">
        <v>-11881.092000000001</v>
      </c>
      <c r="BK3051">
        <v>-9.9</v>
      </c>
      <c r="BL3051">
        <v>125.87</v>
      </c>
    </row>
    <row r="3052" spans="1:64" x14ac:dyDescent="0.25">
      <c r="A3052" s="136">
        <v>43245</v>
      </c>
      <c r="B3052" s="201" t="s">
        <v>72</v>
      </c>
      <c r="C3052" t="s">
        <v>130</v>
      </c>
      <c r="D3052">
        <v>1600</v>
      </c>
      <c r="E3052">
        <v>1100</v>
      </c>
      <c r="F3052">
        <v>6.444</v>
      </c>
      <c r="G3052">
        <v>168.88</v>
      </c>
      <c r="H3052">
        <v>1.65</v>
      </c>
      <c r="I3052" s="309">
        <v>10480</v>
      </c>
      <c r="J3052">
        <v>6.55</v>
      </c>
      <c r="K3052" s="133">
        <v>2.13342514118572E-2</v>
      </c>
      <c r="L3052" s="181">
        <v>-363</v>
      </c>
      <c r="M3052" s="133">
        <v>2.0990460536052399E-2</v>
      </c>
      <c r="N3052" s="73">
        <v>-10622.828</v>
      </c>
      <c r="O3052" s="73">
        <v>23.364764373092001</v>
      </c>
      <c r="P3052" s="182">
        <v>0</v>
      </c>
      <c r="Q3052" s="182">
        <v>0</v>
      </c>
      <c r="R3052" s="46">
        <v>0</v>
      </c>
      <c r="S3052" s="46">
        <v>17</v>
      </c>
      <c r="T3052" s="46">
        <v>6800</v>
      </c>
      <c r="U3052" s="46">
        <v>7.3579999999999997</v>
      </c>
      <c r="V3052" s="46" t="s">
        <v>68</v>
      </c>
      <c r="W3052" s="46">
        <v>6800</v>
      </c>
      <c r="X3052" s="46">
        <v>7.3579999999999997</v>
      </c>
      <c r="AF3052" s="46">
        <v>39</v>
      </c>
      <c r="AG3052" s="46">
        <v>19400</v>
      </c>
      <c r="AH3052" s="46">
        <v>143872</v>
      </c>
      <c r="AI3052" s="46">
        <v>7.4160000000000004</v>
      </c>
      <c r="AJ3052" s="46">
        <v>39</v>
      </c>
      <c r="AK3052" s="46">
        <v>17600</v>
      </c>
      <c r="AL3052" s="46">
        <v>84392.392999999996</v>
      </c>
      <c r="AM3052" s="46">
        <v>4.7949999999999999</v>
      </c>
      <c r="AN3052" s="46" t="s">
        <v>63</v>
      </c>
      <c r="AO3052" s="46">
        <v>1800</v>
      </c>
      <c r="AP3052" s="46">
        <v>59479.607000000004</v>
      </c>
      <c r="AQ3052" s="46">
        <v>33.043999999999997</v>
      </c>
      <c r="AR3052" s="46">
        <v>-46129.599999999999</v>
      </c>
      <c r="AS3052" s="46">
        <v>39</v>
      </c>
      <c r="AT3052" s="46">
        <v>19400</v>
      </c>
      <c r="AU3052" s="46">
        <v>143872</v>
      </c>
      <c r="AV3052" s="46">
        <v>7.4160000000000004</v>
      </c>
      <c r="AW3052" s="46">
        <v>57</v>
      </c>
      <c r="AX3052" s="46">
        <v>24900</v>
      </c>
      <c r="AY3052" s="46">
        <v>134293.35699999999</v>
      </c>
      <c r="AZ3052" s="46">
        <v>5.3929999999999998</v>
      </c>
      <c r="BA3052" s="46" t="s">
        <v>69</v>
      </c>
      <c r="BB3052" s="46">
        <v>5500</v>
      </c>
      <c r="BC3052" s="46">
        <v>9578.643</v>
      </c>
      <c r="BD3052" s="46">
        <v>1.742</v>
      </c>
      <c r="BE3052" s="46">
        <v>-39246.199999999997</v>
      </c>
      <c r="BF3052" s="46">
        <v>0</v>
      </c>
      <c r="BH3052" s="46">
        <v>49900.963999999898</v>
      </c>
      <c r="BI3052">
        <v>7.34</v>
      </c>
      <c r="BJ3052">
        <v>-49900.964</v>
      </c>
      <c r="BK3052">
        <v>-7.34</v>
      </c>
      <c r="BL3052">
        <v>-7042.69</v>
      </c>
    </row>
    <row r="3053" spans="1:64" x14ac:dyDescent="0.25">
      <c r="A3053" s="136">
        <v>43245</v>
      </c>
      <c r="B3053" s="201" t="s">
        <v>70</v>
      </c>
      <c r="C3053" t="s">
        <v>131</v>
      </c>
      <c r="D3053">
        <v>10600</v>
      </c>
      <c r="E3053">
        <v>10600</v>
      </c>
      <c r="F3053">
        <v>11.769</v>
      </c>
      <c r="G3053">
        <v>-22250.77</v>
      </c>
      <c r="H3053">
        <v>-17.829999999999998</v>
      </c>
      <c r="I3053" s="309">
        <v>102502</v>
      </c>
      <c r="J3053">
        <v>9.67</v>
      </c>
      <c r="K3053" s="133">
        <v>0.208664450211659</v>
      </c>
      <c r="L3053" s="181">
        <v>-2544</v>
      </c>
      <c r="M3053" s="133">
        <v>0.25396058773908398</v>
      </c>
      <c r="N3053" s="73">
        <v>-19286.763000000101</v>
      </c>
      <c r="O3053" s="73">
        <v>-1937.39895663317</v>
      </c>
      <c r="P3053" s="182">
        <v>3</v>
      </c>
      <c r="Q3053" s="182">
        <v>1500</v>
      </c>
      <c r="R3053" s="46">
        <v>8.4169999999999998</v>
      </c>
      <c r="S3053" s="46">
        <v>9</v>
      </c>
      <c r="T3053" s="46">
        <v>3700</v>
      </c>
      <c r="U3053" s="46">
        <v>9.266</v>
      </c>
      <c r="V3053" s="46" t="s">
        <v>68</v>
      </c>
      <c r="W3053" s="46">
        <v>2200</v>
      </c>
      <c r="X3053" s="46">
        <v>9.8450000000000006</v>
      </c>
      <c r="AF3053" s="46">
        <v>138</v>
      </c>
      <c r="AG3053" s="46">
        <v>70600</v>
      </c>
      <c r="AH3053" s="46">
        <v>912718</v>
      </c>
      <c r="AI3053" s="46">
        <v>12.928000000000001</v>
      </c>
      <c r="AJ3053" s="46">
        <v>144</v>
      </c>
      <c r="AK3053" s="46">
        <v>57800</v>
      </c>
      <c r="AL3053" s="46">
        <v>765990.522</v>
      </c>
      <c r="AM3053" s="46">
        <v>13.252000000000001</v>
      </c>
      <c r="AN3053" s="46" t="s">
        <v>63</v>
      </c>
      <c r="AO3053" s="46">
        <v>12800</v>
      </c>
      <c r="AP3053" s="46">
        <v>146727.478</v>
      </c>
      <c r="AQ3053" s="46">
        <v>11.462999999999999</v>
      </c>
      <c r="AR3053" s="46">
        <v>18727.2</v>
      </c>
      <c r="AS3053" s="46">
        <v>141</v>
      </c>
      <c r="AT3053" s="46">
        <v>72100</v>
      </c>
      <c r="AU3053" s="46">
        <v>925358</v>
      </c>
      <c r="AV3053" s="46">
        <v>12.834</v>
      </c>
      <c r="AW3053" s="46">
        <v>154</v>
      </c>
      <c r="AX3053" s="46">
        <v>61500</v>
      </c>
      <c r="AY3053" s="46">
        <v>800601.23699999996</v>
      </c>
      <c r="AZ3053" s="46">
        <v>13.018000000000001</v>
      </c>
      <c r="BA3053" s="46" t="s">
        <v>63</v>
      </c>
      <c r="BB3053" s="46">
        <v>10600</v>
      </c>
      <c r="BC3053" s="46">
        <v>124756.76300000001</v>
      </c>
      <c r="BD3053" s="46">
        <v>11.77</v>
      </c>
      <c r="BE3053" s="46">
        <v>11316</v>
      </c>
      <c r="BF3053" s="46">
        <v>12640</v>
      </c>
      <c r="BG3053" s="46">
        <v>8.43</v>
      </c>
      <c r="BH3053" s="46">
        <v>34610.715000000098</v>
      </c>
      <c r="BI3053">
        <v>9.35</v>
      </c>
      <c r="BJ3053">
        <v>-21970.715</v>
      </c>
      <c r="BK3053">
        <v>-9.99</v>
      </c>
      <c r="BL3053">
        <v>1936.63</v>
      </c>
    </row>
    <row r="3054" spans="1:64" x14ac:dyDescent="0.25">
      <c r="A3054" s="136">
        <v>43245</v>
      </c>
      <c r="B3054" s="201" t="s">
        <v>137</v>
      </c>
      <c r="C3054" t="s">
        <v>149</v>
      </c>
      <c r="D3054">
        <v>100</v>
      </c>
      <c r="E3054">
        <v>100</v>
      </c>
      <c r="F3054">
        <v>-130.48500000000001</v>
      </c>
      <c r="G3054">
        <v>17605.5</v>
      </c>
      <c r="H3054">
        <v>0</v>
      </c>
      <c r="I3054" s="309">
        <v>4557</v>
      </c>
      <c r="J3054">
        <v>45.57</v>
      </c>
      <c r="K3054" s="133">
        <v>9.2767350843352293E-3</v>
      </c>
      <c r="L3054" s="181">
        <v>-86</v>
      </c>
      <c r="M3054" s="133">
        <v>0</v>
      </c>
    </row>
    <row r="3055" spans="1:64" x14ac:dyDescent="0.25">
      <c r="A3055" s="136">
        <v>43245</v>
      </c>
      <c r="B3055" s="201" t="s">
        <v>835</v>
      </c>
      <c r="C3055" t="s">
        <v>839</v>
      </c>
      <c r="I3055" s="309">
        <v>1937.21</v>
      </c>
      <c r="K3055" s="133">
        <v>3.9435997306835804E-3</v>
      </c>
      <c r="L3055" s="181">
        <v>0</v>
      </c>
      <c r="M3055" s="133">
        <v>0.18724237822671899</v>
      </c>
    </row>
    <row r="3056" spans="1:64" x14ac:dyDescent="0.25">
      <c r="A3056" s="136">
        <v>43250</v>
      </c>
      <c r="B3056" s="201" t="s">
        <v>132</v>
      </c>
      <c r="C3056" t="s">
        <v>123</v>
      </c>
      <c r="D3056">
        <v>6007994</v>
      </c>
      <c r="E3056">
        <v>6007994</v>
      </c>
      <c r="F3056">
        <v>8.9999999999999993E-3</v>
      </c>
      <c r="G3056">
        <v>3684.5</v>
      </c>
      <c r="H3056">
        <v>11.11</v>
      </c>
      <c r="I3056" s="309">
        <v>60079.94</v>
      </c>
      <c r="J3056">
        <v>0.01</v>
      </c>
      <c r="K3056" s="133">
        <v>0.12591526531303401</v>
      </c>
      <c r="L3056" s="181">
        <v>38.29</v>
      </c>
      <c r="M3056" s="133">
        <v>0</v>
      </c>
    </row>
    <row r="3057" spans="1:64" x14ac:dyDescent="0.25">
      <c r="A3057" s="136">
        <v>43250</v>
      </c>
      <c r="B3057" s="201" t="s">
        <v>61</v>
      </c>
      <c r="C3057" t="s">
        <v>136</v>
      </c>
      <c r="D3057">
        <v>3900</v>
      </c>
      <c r="E3057">
        <v>3900</v>
      </c>
      <c r="F3057">
        <v>5.0519999999999996</v>
      </c>
      <c r="G3057">
        <v>-2425.1</v>
      </c>
      <c r="H3057">
        <v>-12.31</v>
      </c>
      <c r="I3057" s="309">
        <v>17277</v>
      </c>
      <c r="J3057">
        <v>4.43</v>
      </c>
      <c r="K3057" s="133">
        <v>3.6209058111797303E-2</v>
      </c>
      <c r="L3057" s="181">
        <v>-507</v>
      </c>
      <c r="M3057" s="133">
        <v>4.1291571674737598E-2</v>
      </c>
      <c r="N3057" s="73">
        <v>-1807.1410000000001</v>
      </c>
      <c r="O3057" s="73">
        <v>-393.515779847494</v>
      </c>
      <c r="P3057" s="182">
        <v>6</v>
      </c>
      <c r="Q3057" s="182">
        <v>3000</v>
      </c>
      <c r="R3057" s="46">
        <v>5.0350000000000001</v>
      </c>
      <c r="S3057" s="46">
        <v>0</v>
      </c>
      <c r="T3057" s="46">
        <v>0</v>
      </c>
      <c r="U3057" s="46">
        <v>0</v>
      </c>
      <c r="V3057" s="46" t="s">
        <v>62</v>
      </c>
      <c r="W3057" s="46">
        <v>3000</v>
      </c>
      <c r="X3057" s="46">
        <v>5.0350000000000001</v>
      </c>
      <c r="AF3057" s="46">
        <v>10</v>
      </c>
      <c r="AG3057" s="46">
        <v>5000</v>
      </c>
      <c r="AH3057" s="46">
        <v>26378</v>
      </c>
      <c r="AI3057" s="46">
        <v>5.2759999999999998</v>
      </c>
      <c r="AJ3057" s="46">
        <v>10</v>
      </c>
      <c r="AK3057" s="46">
        <v>4100</v>
      </c>
      <c r="AL3057" s="46">
        <v>21806.659</v>
      </c>
      <c r="AM3057" s="46">
        <v>5.319</v>
      </c>
      <c r="AN3057" s="46" t="s">
        <v>63</v>
      </c>
      <c r="AO3057" s="46">
        <v>900</v>
      </c>
      <c r="AP3057" s="46">
        <v>4571.3410000000003</v>
      </c>
      <c r="AQ3057" s="46">
        <v>5.0789999999999997</v>
      </c>
      <c r="AR3057" s="46">
        <v>176.3</v>
      </c>
      <c r="AS3057" s="46">
        <v>16</v>
      </c>
      <c r="AT3057" s="46">
        <v>8000</v>
      </c>
      <c r="AU3057" s="46">
        <v>41514.800000000003</v>
      </c>
      <c r="AV3057" s="46">
        <v>5.1890000000000001</v>
      </c>
      <c r="AW3057" s="46">
        <v>10</v>
      </c>
      <c r="AX3057" s="46">
        <v>4100</v>
      </c>
      <c r="AY3057" s="46">
        <v>21806.659</v>
      </c>
      <c r="AZ3057" s="46">
        <v>5.319</v>
      </c>
      <c r="BA3057" s="46" t="s">
        <v>63</v>
      </c>
      <c r="BB3057" s="46">
        <v>3900</v>
      </c>
      <c r="BC3057" s="46">
        <v>19708.141</v>
      </c>
      <c r="BD3057" s="46">
        <v>5.0529999999999999</v>
      </c>
      <c r="BE3057" s="46">
        <v>533</v>
      </c>
      <c r="BF3057" s="46">
        <v>15136.8</v>
      </c>
      <c r="BG3057" s="46">
        <v>5.05</v>
      </c>
      <c r="BH3057" s="46">
        <v>0</v>
      </c>
      <c r="BJ3057">
        <v>15136.8</v>
      </c>
      <c r="BK3057">
        <v>5.05</v>
      </c>
      <c r="BL3057">
        <v>39.799999999999997</v>
      </c>
    </row>
    <row r="3058" spans="1:64" x14ac:dyDescent="0.25">
      <c r="A3058" s="136">
        <v>43250</v>
      </c>
      <c r="B3058" s="201" t="s">
        <v>124</v>
      </c>
      <c r="C3058" t="s">
        <v>125</v>
      </c>
      <c r="D3058">
        <v>100</v>
      </c>
      <c r="E3058">
        <v>100</v>
      </c>
      <c r="F3058">
        <v>-53.579000000000001</v>
      </c>
      <c r="G3058">
        <v>5920.9</v>
      </c>
      <c r="H3058">
        <v>0</v>
      </c>
      <c r="I3058" s="309">
        <v>563</v>
      </c>
      <c r="J3058">
        <v>5.63</v>
      </c>
      <c r="K3058" s="133">
        <v>1.17993284233037E-3</v>
      </c>
      <c r="L3058" s="181">
        <v>-11</v>
      </c>
      <c r="M3058" s="133">
        <v>0</v>
      </c>
    </row>
    <row r="3059" spans="1:64" x14ac:dyDescent="0.25">
      <c r="A3059" s="136">
        <v>43250</v>
      </c>
      <c r="B3059" s="201" t="s">
        <v>71</v>
      </c>
      <c r="C3059" t="s">
        <v>126</v>
      </c>
      <c r="D3059">
        <v>1800</v>
      </c>
      <c r="E3059">
        <v>1800</v>
      </c>
      <c r="F3059">
        <v>5.2450000000000001</v>
      </c>
      <c r="G3059">
        <v>2096.9</v>
      </c>
      <c r="H3059">
        <v>22.21</v>
      </c>
      <c r="I3059" s="309">
        <v>11538</v>
      </c>
      <c r="J3059">
        <v>6.41</v>
      </c>
      <c r="K3059" s="133">
        <v>2.4181287983672899E-2</v>
      </c>
      <c r="L3059" s="181">
        <v>-217.06</v>
      </c>
      <c r="M3059" s="133">
        <v>1.9786614489743001E-2</v>
      </c>
      <c r="N3059" s="73">
        <v>7615.7060000000001</v>
      </c>
      <c r="O3059" s="73">
        <v>340.325270015456</v>
      </c>
      <c r="P3059" s="182">
        <v>0</v>
      </c>
      <c r="Q3059" s="182">
        <v>0</v>
      </c>
      <c r="R3059" s="46">
        <v>0</v>
      </c>
      <c r="S3059" s="46">
        <v>4</v>
      </c>
      <c r="T3059" s="46">
        <v>1500</v>
      </c>
      <c r="U3059" s="46">
        <v>6.8029999999999999</v>
      </c>
      <c r="V3059" s="46" t="s">
        <v>68</v>
      </c>
      <c r="W3059" s="46">
        <v>1500</v>
      </c>
      <c r="X3059" s="46">
        <v>6.8029999999999999</v>
      </c>
      <c r="AF3059" s="46">
        <v>46</v>
      </c>
      <c r="AG3059" s="46">
        <v>23100</v>
      </c>
      <c r="AH3059" s="46">
        <v>147774.85999999999</v>
      </c>
      <c r="AI3059" s="46">
        <v>6.3970000000000002</v>
      </c>
      <c r="AJ3059" s="46">
        <v>44</v>
      </c>
      <c r="AK3059" s="46">
        <v>19800</v>
      </c>
      <c r="AL3059" s="46">
        <v>127989.77</v>
      </c>
      <c r="AM3059" s="46">
        <v>6.4640000000000004</v>
      </c>
      <c r="AN3059" s="46" t="s">
        <v>63</v>
      </c>
      <c r="AO3059" s="46">
        <v>3300</v>
      </c>
      <c r="AP3059" s="46">
        <v>19785.09</v>
      </c>
      <c r="AQ3059" s="46">
        <v>5.9950000000000001</v>
      </c>
      <c r="AR3059" s="46">
        <v>1326.6</v>
      </c>
      <c r="AS3059" s="46">
        <v>46</v>
      </c>
      <c r="AT3059" s="46">
        <v>23100</v>
      </c>
      <c r="AU3059" s="46">
        <v>147774.85999999999</v>
      </c>
      <c r="AV3059" s="46">
        <v>6.3970000000000002</v>
      </c>
      <c r="AW3059" s="46">
        <v>48</v>
      </c>
      <c r="AX3059" s="46">
        <v>21300</v>
      </c>
      <c r="AY3059" s="46">
        <v>138170.666</v>
      </c>
      <c r="AZ3059" s="46">
        <v>6.4870000000000001</v>
      </c>
      <c r="BA3059" s="46" t="s">
        <v>63</v>
      </c>
      <c r="BB3059" s="46">
        <v>1800</v>
      </c>
      <c r="BC3059" s="46">
        <v>9604.1939999999995</v>
      </c>
      <c r="BD3059" s="46">
        <v>5.3360000000000003</v>
      </c>
      <c r="BE3059" s="46">
        <v>1917</v>
      </c>
      <c r="BF3059" s="46">
        <v>0</v>
      </c>
      <c r="BH3059" s="46">
        <v>10180.896000000001</v>
      </c>
      <c r="BI3059">
        <v>6.79</v>
      </c>
      <c r="BJ3059">
        <v>-10180.896000000001</v>
      </c>
      <c r="BK3059">
        <v>-6.79</v>
      </c>
      <c r="BL3059">
        <v>206.96</v>
      </c>
    </row>
    <row r="3060" spans="1:64" x14ac:dyDescent="0.25">
      <c r="A3060" s="136">
        <v>43250</v>
      </c>
      <c r="B3060" s="201" t="s">
        <v>79</v>
      </c>
      <c r="C3060" t="s">
        <v>143</v>
      </c>
      <c r="D3060">
        <v>5900</v>
      </c>
      <c r="E3060">
        <v>4900</v>
      </c>
      <c r="F3060">
        <v>16.170000000000002</v>
      </c>
      <c r="G3060">
        <v>-10618.82</v>
      </c>
      <c r="H3060">
        <v>-11.13</v>
      </c>
      <c r="I3060" s="309">
        <v>84783</v>
      </c>
      <c r="J3060">
        <v>14.37</v>
      </c>
      <c r="K3060" s="133">
        <v>0.17768782623675999</v>
      </c>
      <c r="L3060" s="181">
        <v>-3337.29</v>
      </c>
      <c r="M3060" s="133">
        <v>0.19994270095220401</v>
      </c>
      <c r="N3060" s="73">
        <v>-9976.0240000001595</v>
      </c>
      <c r="O3060" s="73">
        <v>-688.60745773481801</v>
      </c>
      <c r="P3060" s="182">
        <v>8</v>
      </c>
      <c r="Q3060" s="182">
        <v>4000</v>
      </c>
      <c r="R3060" s="46">
        <v>14.496</v>
      </c>
      <c r="S3060" s="46">
        <v>0</v>
      </c>
      <c r="T3060" s="46">
        <v>0</v>
      </c>
      <c r="U3060" s="46">
        <v>0</v>
      </c>
      <c r="V3060" s="46" t="s">
        <v>62</v>
      </c>
      <c r="W3060" s="46">
        <v>4000</v>
      </c>
      <c r="X3060" s="46">
        <v>14.496</v>
      </c>
      <c r="AF3060" s="46">
        <v>18</v>
      </c>
      <c r="AG3060" s="46">
        <v>9500</v>
      </c>
      <c r="AH3060" s="46">
        <v>151530.70000000001</v>
      </c>
      <c r="AI3060" s="46">
        <v>15.951000000000001</v>
      </c>
      <c r="AJ3060" s="46">
        <v>19</v>
      </c>
      <c r="AK3060" s="46">
        <v>7600</v>
      </c>
      <c r="AL3060" s="46">
        <v>114150.076</v>
      </c>
      <c r="AM3060" s="46">
        <v>15.02</v>
      </c>
      <c r="AN3060" s="46" t="s">
        <v>63</v>
      </c>
      <c r="AO3060" s="46">
        <v>1900</v>
      </c>
      <c r="AP3060" s="46">
        <v>37380.624000000003</v>
      </c>
      <c r="AQ3060" s="46">
        <v>19.673999999999999</v>
      </c>
      <c r="AR3060" s="46">
        <v>-7075.6</v>
      </c>
      <c r="AS3060" s="46">
        <v>26</v>
      </c>
      <c r="AT3060" s="46">
        <v>13500</v>
      </c>
      <c r="AU3060" s="46">
        <v>209558.1</v>
      </c>
      <c r="AV3060" s="46">
        <v>15.523</v>
      </c>
      <c r="AW3060" s="46">
        <v>19</v>
      </c>
      <c r="AX3060" s="46">
        <v>7600</v>
      </c>
      <c r="AY3060" s="46">
        <v>114150.076</v>
      </c>
      <c r="AZ3060" s="46">
        <v>15.02</v>
      </c>
      <c r="BA3060" s="46" t="s">
        <v>63</v>
      </c>
      <c r="BB3060" s="46">
        <v>5900</v>
      </c>
      <c r="BC3060" s="46">
        <v>95408.024000000005</v>
      </c>
      <c r="BD3060" s="46">
        <v>16.170999999999999</v>
      </c>
      <c r="BE3060" s="46">
        <v>-3822.8</v>
      </c>
      <c r="BF3060" s="46">
        <v>58027.3999999999</v>
      </c>
      <c r="BG3060" s="46">
        <v>14.51</v>
      </c>
      <c r="BH3060" s="46">
        <v>0</v>
      </c>
      <c r="BJ3060">
        <v>58027.4</v>
      </c>
      <c r="BK3060">
        <v>14.51</v>
      </c>
      <c r="BL3060">
        <v>-492.39</v>
      </c>
    </row>
    <row r="3061" spans="1:64" x14ac:dyDescent="0.25">
      <c r="A3061" s="136">
        <v>43250</v>
      </c>
      <c r="B3061" s="201" t="s">
        <v>65</v>
      </c>
      <c r="C3061" t="s">
        <v>127</v>
      </c>
      <c r="D3061">
        <v>17000</v>
      </c>
      <c r="E3061">
        <v>16500</v>
      </c>
      <c r="F3061">
        <v>9.3160000000000007</v>
      </c>
      <c r="G3061">
        <v>-2984.09</v>
      </c>
      <c r="H3061">
        <v>-1.89</v>
      </c>
      <c r="I3061" s="309">
        <v>155380</v>
      </c>
      <c r="J3061">
        <v>9.14</v>
      </c>
      <c r="K3061" s="133">
        <v>0.32564469811952701</v>
      </c>
      <c r="L3061" s="181">
        <v>-2520</v>
      </c>
      <c r="M3061" s="133">
        <v>0.33189874038501399</v>
      </c>
      <c r="N3061" s="73">
        <v>-5906.5110000000104</v>
      </c>
      <c r="O3061" s="73">
        <v>-176.15455761932</v>
      </c>
      <c r="P3061" s="182">
        <v>3</v>
      </c>
      <c r="Q3061" s="182">
        <v>1500</v>
      </c>
      <c r="R3061" s="46">
        <v>8.9570000000000007</v>
      </c>
      <c r="S3061" s="46">
        <v>10</v>
      </c>
      <c r="T3061" s="46">
        <v>4100</v>
      </c>
      <c r="U3061" s="46">
        <v>11.929</v>
      </c>
      <c r="V3061" s="46" t="s">
        <v>68</v>
      </c>
      <c r="W3061" s="46">
        <v>2600</v>
      </c>
      <c r="X3061" s="46">
        <v>13.644</v>
      </c>
      <c r="AF3061" s="46">
        <v>190</v>
      </c>
      <c r="AG3061" s="46">
        <v>100700</v>
      </c>
      <c r="AH3061" s="46">
        <v>1144985.2309999999</v>
      </c>
      <c r="AI3061" s="46">
        <v>11.37</v>
      </c>
      <c r="AJ3061" s="46">
        <v>209</v>
      </c>
      <c r="AK3061" s="46">
        <v>90300</v>
      </c>
      <c r="AL3061" s="46">
        <v>950426.62600000005</v>
      </c>
      <c r="AM3061" s="46">
        <v>10.525</v>
      </c>
      <c r="AN3061" s="46" t="s">
        <v>63</v>
      </c>
      <c r="AO3061" s="46">
        <v>10400</v>
      </c>
      <c r="AP3061" s="46">
        <v>194558.60500000001</v>
      </c>
      <c r="AQ3061" s="46">
        <v>18.707999999999998</v>
      </c>
      <c r="AR3061" s="46">
        <v>-76303.5</v>
      </c>
      <c r="AS3061" s="46">
        <v>194</v>
      </c>
      <c r="AT3061" s="46">
        <v>102300</v>
      </c>
      <c r="AU3061" s="46">
        <v>1159723.2309999999</v>
      </c>
      <c r="AV3061" s="46">
        <v>11.336</v>
      </c>
      <c r="AW3061" s="46">
        <v>219</v>
      </c>
      <c r="AX3061" s="46">
        <v>94400</v>
      </c>
      <c r="AY3061" s="46">
        <v>999235.71799999999</v>
      </c>
      <c r="AZ3061" s="46">
        <v>10.585000000000001</v>
      </c>
      <c r="BA3061" s="46" t="s">
        <v>63</v>
      </c>
      <c r="BB3061" s="46">
        <v>7900</v>
      </c>
      <c r="BC3061" s="46">
        <v>160487.51300000001</v>
      </c>
      <c r="BD3061" s="46">
        <v>20.315000000000001</v>
      </c>
      <c r="BE3061" s="46">
        <v>-70894.399999999994</v>
      </c>
      <c r="BF3061" s="46">
        <v>14738</v>
      </c>
      <c r="BG3061" s="46">
        <v>9.83</v>
      </c>
      <c r="BH3061" s="46">
        <v>48809.092000000201</v>
      </c>
      <c r="BI3061">
        <v>11.9</v>
      </c>
      <c r="BJ3061">
        <v>-34071.091999999997</v>
      </c>
      <c r="BK3061">
        <v>-13.1</v>
      </c>
      <c r="BL3061">
        <v>-8348.2999999999993</v>
      </c>
    </row>
    <row r="3062" spans="1:64" x14ac:dyDescent="0.25">
      <c r="A3062" s="136">
        <v>43250</v>
      </c>
      <c r="B3062" s="201" t="s">
        <v>77</v>
      </c>
      <c r="C3062" t="s">
        <v>128</v>
      </c>
      <c r="D3062">
        <v>4300</v>
      </c>
      <c r="E3062">
        <v>4300</v>
      </c>
      <c r="F3062">
        <v>5.9779999999999998</v>
      </c>
      <c r="G3062">
        <v>-595.27</v>
      </c>
      <c r="H3062">
        <v>-2.31</v>
      </c>
      <c r="I3062" s="309">
        <v>25112</v>
      </c>
      <c r="J3062">
        <v>5.84</v>
      </c>
      <c r="K3062" s="133">
        <v>5.2629615517940202E-2</v>
      </c>
      <c r="L3062" s="181">
        <v>0</v>
      </c>
      <c r="M3062" s="133">
        <v>5.3877179679670199E-2</v>
      </c>
      <c r="N3062" s="73">
        <v>-1272.2139999999999</v>
      </c>
      <c r="O3062" s="73">
        <v>-133.073774655173</v>
      </c>
      <c r="P3062" s="182">
        <v>6</v>
      </c>
      <c r="Q3062" s="182">
        <v>3000</v>
      </c>
      <c r="R3062" s="46">
        <v>6.798</v>
      </c>
      <c r="S3062" s="46">
        <v>0</v>
      </c>
      <c r="T3062" s="46">
        <v>0</v>
      </c>
      <c r="U3062" s="46">
        <v>0</v>
      </c>
      <c r="V3062" s="46" t="s">
        <v>62</v>
      </c>
      <c r="W3062" s="46">
        <v>3000</v>
      </c>
      <c r="X3062" s="46">
        <v>6.798</v>
      </c>
      <c r="AF3062" s="46">
        <v>39</v>
      </c>
      <c r="AG3062" s="46">
        <v>19500</v>
      </c>
      <c r="AH3062" s="46">
        <v>142169</v>
      </c>
      <c r="AI3062" s="46">
        <v>7.2910000000000004</v>
      </c>
      <c r="AJ3062" s="46">
        <v>39</v>
      </c>
      <c r="AK3062" s="46">
        <v>18200</v>
      </c>
      <c r="AL3062" s="46">
        <v>136881.78599999999</v>
      </c>
      <c r="AM3062" s="46">
        <v>7.5209999999999999</v>
      </c>
      <c r="AN3062" s="46" t="s">
        <v>63</v>
      </c>
      <c r="AO3062" s="46">
        <v>1300</v>
      </c>
      <c r="AP3062" s="46">
        <v>5287.2139999999999</v>
      </c>
      <c r="AQ3062" s="46">
        <v>4.0670000000000002</v>
      </c>
      <c r="AR3062" s="46">
        <v>4186</v>
      </c>
      <c r="AS3062" s="46">
        <v>45</v>
      </c>
      <c r="AT3062" s="46">
        <v>22500</v>
      </c>
      <c r="AU3062" s="46">
        <v>162594</v>
      </c>
      <c r="AV3062" s="46">
        <v>7.226</v>
      </c>
      <c r="AW3062" s="46">
        <v>39</v>
      </c>
      <c r="AX3062" s="46">
        <v>18200</v>
      </c>
      <c r="AY3062" s="46">
        <v>136881.78599999999</v>
      </c>
      <c r="AZ3062" s="46">
        <v>7.5209999999999999</v>
      </c>
      <c r="BA3062" s="46" t="s">
        <v>63</v>
      </c>
      <c r="BB3062" s="46">
        <v>4300</v>
      </c>
      <c r="BC3062" s="46">
        <v>25712.214</v>
      </c>
      <c r="BD3062" s="46">
        <v>5.98</v>
      </c>
      <c r="BE3062" s="46">
        <v>5369</v>
      </c>
      <c r="BF3062" s="46">
        <v>20425</v>
      </c>
      <c r="BG3062" s="46">
        <v>6.81</v>
      </c>
      <c r="BH3062" s="46">
        <v>0</v>
      </c>
      <c r="BJ3062">
        <v>20425</v>
      </c>
      <c r="BK3062">
        <v>6.81</v>
      </c>
      <c r="BL3062">
        <v>716.78</v>
      </c>
    </row>
    <row r="3063" spans="1:64" x14ac:dyDescent="0.25">
      <c r="A3063" s="136">
        <v>43250</v>
      </c>
      <c r="B3063" s="201" t="s">
        <v>67</v>
      </c>
      <c r="C3063" t="s">
        <v>129</v>
      </c>
      <c r="D3063">
        <v>100</v>
      </c>
      <c r="E3063">
        <v>100</v>
      </c>
      <c r="F3063">
        <v>-33.115000000000002</v>
      </c>
      <c r="G3063">
        <v>4269.5</v>
      </c>
      <c r="H3063">
        <v>0</v>
      </c>
      <c r="I3063" s="309">
        <v>958</v>
      </c>
      <c r="J3063">
        <v>9.58</v>
      </c>
      <c r="K3063" s="133">
        <v>2.007772047873E-3</v>
      </c>
      <c r="L3063" s="181">
        <v>-61</v>
      </c>
      <c r="M3063" s="133">
        <v>0</v>
      </c>
      <c r="N3063" s="73">
        <v>4353.6874999997499</v>
      </c>
      <c r="O3063" s="73">
        <v>417.61138735602498</v>
      </c>
      <c r="P3063" s="182">
        <v>0</v>
      </c>
      <c r="Q3063" s="182">
        <v>0</v>
      </c>
      <c r="R3063" s="46">
        <v>0</v>
      </c>
      <c r="S3063" s="46">
        <v>24</v>
      </c>
      <c r="T3063" s="46">
        <v>9600</v>
      </c>
      <c r="U3063" s="46">
        <v>8.9969999999999999</v>
      </c>
      <c r="V3063" s="46" t="s">
        <v>68</v>
      </c>
      <c r="W3063" s="46">
        <v>9600</v>
      </c>
      <c r="X3063" s="46">
        <v>8.9969999999999999</v>
      </c>
      <c r="AF3063" s="46">
        <v>192</v>
      </c>
      <c r="AG3063" s="46">
        <v>95000</v>
      </c>
      <c r="AH3063" s="46">
        <v>791793</v>
      </c>
      <c r="AI3063" s="46">
        <v>8.3350000000000009</v>
      </c>
      <c r="AJ3063" s="46">
        <v>196</v>
      </c>
      <c r="AK3063" s="46">
        <v>87900</v>
      </c>
      <c r="AL3063" s="46">
        <v>778064.67550000001</v>
      </c>
      <c r="AM3063" s="46">
        <v>8.8520000000000003</v>
      </c>
      <c r="AN3063" s="46" t="s">
        <v>63</v>
      </c>
      <c r="AO3063" s="46">
        <v>7100</v>
      </c>
      <c r="AP3063" s="46">
        <v>13728.324000000001</v>
      </c>
      <c r="AQ3063" s="46">
        <v>1.9339999999999999</v>
      </c>
      <c r="AR3063" s="46">
        <v>45444.3</v>
      </c>
      <c r="AS3063" s="46">
        <v>192</v>
      </c>
      <c r="AT3063" s="46">
        <v>95000</v>
      </c>
      <c r="AU3063" s="46">
        <v>791793</v>
      </c>
      <c r="AV3063" s="46">
        <v>8.3350000000000009</v>
      </c>
      <c r="AW3063" s="46">
        <v>220</v>
      </c>
      <c r="AX3063" s="46">
        <v>97500</v>
      </c>
      <c r="AY3063" s="46">
        <v>864232.80350000004</v>
      </c>
      <c r="AZ3063" s="46">
        <v>8.8640000000000008</v>
      </c>
      <c r="BA3063" s="46" t="s">
        <v>69</v>
      </c>
      <c r="BB3063" s="46">
        <v>2500</v>
      </c>
      <c r="BC3063" s="46">
        <v>72439.804000000004</v>
      </c>
      <c r="BD3063" s="46">
        <v>28.975999999999999</v>
      </c>
      <c r="BE3063" s="46">
        <v>50255</v>
      </c>
      <c r="BF3063" s="46">
        <v>0</v>
      </c>
      <c r="BH3063" s="46">
        <v>86168.127999999997</v>
      </c>
      <c r="BI3063">
        <v>8.98</v>
      </c>
      <c r="BJ3063">
        <v>58711.48</v>
      </c>
      <c r="BK3063">
        <v>6.12</v>
      </c>
      <c r="BL3063">
        <v>4743.66</v>
      </c>
    </row>
    <row r="3064" spans="1:64" x14ac:dyDescent="0.25">
      <c r="A3064" s="136">
        <v>43250</v>
      </c>
      <c r="B3064" s="201" t="s">
        <v>78</v>
      </c>
      <c r="C3064" t="s">
        <v>142</v>
      </c>
      <c r="D3064">
        <v>200</v>
      </c>
      <c r="E3064">
        <v>200</v>
      </c>
      <c r="F3064">
        <v>2.1669999999999998</v>
      </c>
      <c r="G3064">
        <v>1424.65</v>
      </c>
      <c r="H3064">
        <v>328.7</v>
      </c>
      <c r="I3064" s="309">
        <v>1858</v>
      </c>
      <c r="J3064">
        <v>9.2899999999999991</v>
      </c>
      <c r="K3064" s="133">
        <v>3.89398795923594E-3</v>
      </c>
      <c r="L3064" s="181">
        <v>-64</v>
      </c>
      <c r="M3064" s="133">
        <v>9.0821296132125604E-4</v>
      </c>
      <c r="N3064" s="73">
        <v>1436.6510000000001</v>
      </c>
      <c r="O3064" s="73">
        <v>153.57568711229899</v>
      </c>
      <c r="P3064" s="182">
        <v>0</v>
      </c>
      <c r="Q3064" s="182">
        <v>0</v>
      </c>
      <c r="R3064" s="46">
        <v>0</v>
      </c>
      <c r="S3064" s="46">
        <v>3</v>
      </c>
      <c r="T3064" s="46">
        <v>1200</v>
      </c>
      <c r="U3064" s="46">
        <v>9.923</v>
      </c>
      <c r="V3064" s="46" t="s">
        <v>68</v>
      </c>
      <c r="W3064" s="46">
        <v>1200</v>
      </c>
      <c r="X3064" s="46">
        <v>9.923</v>
      </c>
      <c r="AF3064" s="46">
        <v>14</v>
      </c>
      <c r="AG3064" s="46">
        <v>7000</v>
      </c>
      <c r="AH3064" s="46">
        <v>67625</v>
      </c>
      <c r="AI3064" s="46">
        <v>9.6609999999999996</v>
      </c>
      <c r="AJ3064" s="46">
        <v>15</v>
      </c>
      <c r="AK3064" s="46">
        <v>5600</v>
      </c>
      <c r="AL3064" s="46">
        <v>55310.559000000001</v>
      </c>
      <c r="AM3064" s="46">
        <v>9.8770000000000007</v>
      </c>
      <c r="AN3064" s="46" t="s">
        <v>63</v>
      </c>
      <c r="AO3064" s="46">
        <v>1400</v>
      </c>
      <c r="AP3064" s="46">
        <v>12314.441000000001</v>
      </c>
      <c r="AQ3064" s="46">
        <v>8.7959999999999994</v>
      </c>
      <c r="AR3064" s="46">
        <v>1209.5999999999999</v>
      </c>
      <c r="AS3064" s="46">
        <v>14</v>
      </c>
      <c r="AT3064" s="46">
        <v>7000</v>
      </c>
      <c r="AU3064" s="46">
        <v>67625</v>
      </c>
      <c r="AV3064" s="46">
        <v>9.6609999999999996</v>
      </c>
      <c r="AW3064" s="46">
        <v>18</v>
      </c>
      <c r="AX3064" s="46">
        <v>6800</v>
      </c>
      <c r="AY3064" s="46">
        <v>67191.650999999998</v>
      </c>
      <c r="AZ3064" s="46">
        <v>9.8810000000000002</v>
      </c>
      <c r="BA3064" s="46" t="s">
        <v>63</v>
      </c>
      <c r="BB3064" s="46">
        <v>200</v>
      </c>
      <c r="BC3064" s="46">
        <v>433.34899999999999</v>
      </c>
      <c r="BD3064" s="46">
        <v>2.1669999999999998</v>
      </c>
      <c r="BE3064" s="46">
        <v>1496</v>
      </c>
      <c r="BF3064" s="46">
        <v>0</v>
      </c>
      <c r="BH3064" s="46">
        <v>11881.092000000001</v>
      </c>
      <c r="BI3064">
        <v>9.9</v>
      </c>
      <c r="BJ3064">
        <v>-11881.092000000001</v>
      </c>
      <c r="BK3064">
        <v>-9.9</v>
      </c>
      <c r="BL3064">
        <v>130.19999999999999</v>
      </c>
    </row>
    <row r="3065" spans="1:64" x14ac:dyDescent="0.25">
      <c r="A3065" s="136">
        <v>43250</v>
      </c>
      <c r="B3065" s="201" t="s">
        <v>72</v>
      </c>
      <c r="C3065" t="s">
        <v>130</v>
      </c>
      <c r="D3065">
        <v>2100</v>
      </c>
      <c r="E3065">
        <v>1600</v>
      </c>
      <c r="F3065">
        <v>6.3979999999999997</v>
      </c>
      <c r="G3065">
        <v>-353.12</v>
      </c>
      <c r="H3065">
        <v>-2.62</v>
      </c>
      <c r="I3065" s="309">
        <v>13083</v>
      </c>
      <c r="J3065">
        <v>6.23</v>
      </c>
      <c r="K3065" s="133">
        <v>2.7419291964846E-2</v>
      </c>
      <c r="L3065" s="181">
        <v>-522</v>
      </c>
      <c r="M3065" s="133">
        <v>2.8159359256646501E-2</v>
      </c>
      <c r="N3065" s="73">
        <v>-13742.828</v>
      </c>
      <c r="O3065" s="73">
        <v>-53.197426442304298</v>
      </c>
      <c r="P3065" s="182">
        <v>0</v>
      </c>
      <c r="Q3065" s="182">
        <v>0</v>
      </c>
      <c r="R3065" s="46">
        <v>0</v>
      </c>
      <c r="S3065" s="46">
        <v>16</v>
      </c>
      <c r="T3065" s="46">
        <v>6400</v>
      </c>
      <c r="U3065" s="46">
        <v>7.4249999999999998</v>
      </c>
      <c r="V3065" s="46" t="s">
        <v>68</v>
      </c>
      <c r="W3065" s="46">
        <v>6400</v>
      </c>
      <c r="X3065" s="46">
        <v>7.4249999999999998</v>
      </c>
      <c r="AF3065" s="46">
        <v>40</v>
      </c>
      <c r="AG3065" s="46">
        <v>19900</v>
      </c>
      <c r="AH3065" s="46">
        <v>146997</v>
      </c>
      <c r="AI3065" s="46">
        <v>7.3869999999999996</v>
      </c>
      <c r="AJ3065" s="46">
        <v>40</v>
      </c>
      <c r="AK3065" s="46">
        <v>18000</v>
      </c>
      <c r="AL3065" s="46">
        <v>86900.876999999993</v>
      </c>
      <c r="AM3065" s="46">
        <v>4.8280000000000003</v>
      </c>
      <c r="AN3065" s="46" t="s">
        <v>63</v>
      </c>
      <c r="AO3065" s="46">
        <v>1900</v>
      </c>
      <c r="AP3065" s="46">
        <v>60096.123</v>
      </c>
      <c r="AQ3065" s="46">
        <v>31.63</v>
      </c>
      <c r="AR3065" s="46">
        <v>-46062</v>
      </c>
      <c r="AS3065" s="46">
        <v>40</v>
      </c>
      <c r="AT3065" s="46">
        <v>19900</v>
      </c>
      <c r="AU3065" s="46">
        <v>146997</v>
      </c>
      <c r="AV3065" s="46">
        <v>7.3869999999999996</v>
      </c>
      <c r="AW3065" s="46">
        <v>57</v>
      </c>
      <c r="AX3065" s="46">
        <v>24900</v>
      </c>
      <c r="AY3065" s="46">
        <v>134293.35699999999</v>
      </c>
      <c r="AZ3065" s="46">
        <v>5.3929999999999998</v>
      </c>
      <c r="BA3065" s="46" t="s">
        <v>69</v>
      </c>
      <c r="BB3065" s="46">
        <v>5000</v>
      </c>
      <c r="BC3065" s="46">
        <v>12703.643</v>
      </c>
      <c r="BD3065" s="46">
        <v>2.5409999999999999</v>
      </c>
      <c r="BE3065" s="46">
        <v>-39680.6</v>
      </c>
      <c r="BF3065" s="46">
        <v>0</v>
      </c>
      <c r="BH3065" s="46">
        <v>47392.480000000003</v>
      </c>
      <c r="BI3065">
        <v>7.41</v>
      </c>
      <c r="BJ3065">
        <v>-47392.480000000003</v>
      </c>
      <c r="BK3065">
        <v>-7.41</v>
      </c>
      <c r="BL3065">
        <v>-7393.58</v>
      </c>
    </row>
    <row r="3066" spans="1:64" x14ac:dyDescent="0.25">
      <c r="A3066" s="136">
        <v>43250</v>
      </c>
      <c r="B3066" s="201" t="s">
        <v>70</v>
      </c>
      <c r="C3066" t="s">
        <v>131</v>
      </c>
      <c r="D3066">
        <v>11100</v>
      </c>
      <c r="E3066">
        <v>10600</v>
      </c>
      <c r="F3066">
        <v>11.657</v>
      </c>
      <c r="G3066">
        <v>-28382.77</v>
      </c>
      <c r="H3066">
        <v>-21.93</v>
      </c>
      <c r="I3066" s="309">
        <v>101010</v>
      </c>
      <c r="J3066">
        <v>9.1</v>
      </c>
      <c r="K3066" s="133">
        <v>0.211696299118634</v>
      </c>
      <c r="L3066" s="181">
        <v>-6132</v>
      </c>
      <c r="M3066" s="133">
        <v>0.27118077954369502</v>
      </c>
      <c r="N3066" s="73">
        <v>-26499.762999999999</v>
      </c>
      <c r="O3066" s="73">
        <v>-2857.2290311218999</v>
      </c>
      <c r="P3066" s="182">
        <v>3</v>
      </c>
      <c r="Q3066" s="182">
        <v>1500</v>
      </c>
      <c r="R3066" s="46">
        <v>8.4169999999999998</v>
      </c>
      <c r="S3066" s="46">
        <v>8</v>
      </c>
      <c r="T3066" s="46">
        <v>3300</v>
      </c>
      <c r="U3066" s="46">
        <v>9.2729999999999997</v>
      </c>
      <c r="V3066" s="46" t="s">
        <v>68</v>
      </c>
      <c r="W3066" s="46">
        <v>1800</v>
      </c>
      <c r="X3066" s="46">
        <v>9.9860000000000007</v>
      </c>
      <c r="AF3066" s="46">
        <v>139</v>
      </c>
      <c r="AG3066" s="46">
        <v>71100</v>
      </c>
      <c r="AH3066" s="46">
        <v>917358</v>
      </c>
      <c r="AI3066" s="46">
        <v>12.901999999999999</v>
      </c>
      <c r="AJ3066" s="46">
        <v>145</v>
      </c>
      <c r="AK3066" s="46">
        <v>58200</v>
      </c>
      <c r="AL3066" s="46">
        <v>769665.83799999999</v>
      </c>
      <c r="AM3066" s="46">
        <v>13.224</v>
      </c>
      <c r="AN3066" s="46" t="s">
        <v>63</v>
      </c>
      <c r="AO3066" s="46">
        <v>12900</v>
      </c>
      <c r="AP3066" s="46">
        <v>147692.16200000001</v>
      </c>
      <c r="AQ3066" s="46">
        <v>11.449</v>
      </c>
      <c r="AR3066" s="46">
        <v>18740.400000000001</v>
      </c>
      <c r="AS3066" s="46">
        <v>142</v>
      </c>
      <c r="AT3066" s="46">
        <v>72600</v>
      </c>
      <c r="AU3066" s="46">
        <v>929998</v>
      </c>
      <c r="AV3066" s="46">
        <v>12.81</v>
      </c>
      <c r="AW3066" s="46">
        <v>154</v>
      </c>
      <c r="AX3066" s="46">
        <v>61500</v>
      </c>
      <c r="AY3066" s="46">
        <v>800601.23699999996</v>
      </c>
      <c r="AZ3066" s="46">
        <v>13.018000000000001</v>
      </c>
      <c r="BA3066" s="46" t="s">
        <v>63</v>
      </c>
      <c r="BB3066" s="46">
        <v>11100</v>
      </c>
      <c r="BC3066" s="46">
        <v>129396.76300000001</v>
      </c>
      <c r="BD3066" s="46">
        <v>11.657</v>
      </c>
      <c r="BE3066" s="46">
        <v>12792</v>
      </c>
      <c r="BF3066" s="46">
        <v>12640</v>
      </c>
      <c r="BG3066" s="46">
        <v>8.43</v>
      </c>
      <c r="BH3066" s="46">
        <v>30935.399000000099</v>
      </c>
      <c r="BI3066">
        <v>9.3699999999999992</v>
      </c>
      <c r="BJ3066">
        <v>-18295.399000000001</v>
      </c>
      <c r="BK3066">
        <v>-10.16</v>
      </c>
      <c r="BL3066">
        <v>2059.38</v>
      </c>
    </row>
    <row r="3067" spans="1:64" x14ac:dyDescent="0.25">
      <c r="A3067" s="136">
        <v>43250</v>
      </c>
      <c r="B3067" s="201" t="s">
        <v>137</v>
      </c>
      <c r="C3067" t="s">
        <v>149</v>
      </c>
      <c r="D3067">
        <v>100</v>
      </c>
      <c r="E3067">
        <v>100</v>
      </c>
      <c r="F3067">
        <v>-130.48500000000001</v>
      </c>
      <c r="G3067">
        <v>16855.5</v>
      </c>
      <c r="H3067">
        <v>0</v>
      </c>
      <c r="I3067" s="309">
        <v>3807</v>
      </c>
      <c r="J3067">
        <v>38.07</v>
      </c>
      <c r="K3067" s="133">
        <v>7.9786933050652407E-3</v>
      </c>
      <c r="L3067" s="181">
        <v>-750</v>
      </c>
      <c r="M3067" s="133">
        <v>0</v>
      </c>
    </row>
    <row r="3068" spans="1:64" x14ac:dyDescent="0.25">
      <c r="A3068" s="136">
        <v>43250</v>
      </c>
      <c r="B3068" s="201" t="s">
        <v>835</v>
      </c>
      <c r="C3068" t="s">
        <v>839</v>
      </c>
      <c r="I3068" s="309">
        <v>1696.86</v>
      </c>
      <c r="K3068" s="133">
        <v>3.5562714792836902E-3</v>
      </c>
      <c r="L3068" s="181">
        <v>0</v>
      </c>
      <c r="M3068" s="133">
        <v>0.12947153679231799</v>
      </c>
    </row>
    <row r="3069" spans="1:64" x14ac:dyDescent="0.25">
      <c r="A3069" s="136">
        <v>43251</v>
      </c>
      <c r="B3069" s="201" t="s">
        <v>132</v>
      </c>
      <c r="C3069" t="s">
        <v>123</v>
      </c>
      <c r="D3069">
        <v>6008600</v>
      </c>
      <c r="E3069">
        <v>6008600</v>
      </c>
      <c r="F3069">
        <v>8.9999999999999993E-3</v>
      </c>
      <c r="G3069">
        <v>3690.56</v>
      </c>
      <c r="H3069">
        <v>11.11</v>
      </c>
      <c r="I3069" s="309">
        <v>60086</v>
      </c>
      <c r="J3069">
        <v>0.01</v>
      </c>
      <c r="K3069" s="133">
        <v>0.125021165958971</v>
      </c>
      <c r="L3069" s="181">
        <v>6.0599999999999499</v>
      </c>
      <c r="M3069" s="133">
        <v>0</v>
      </c>
    </row>
    <row r="3070" spans="1:64" x14ac:dyDescent="0.25">
      <c r="A3070" s="136">
        <v>43251</v>
      </c>
      <c r="B3070" s="201" t="s">
        <v>61</v>
      </c>
      <c r="C3070" t="s">
        <v>136</v>
      </c>
      <c r="D3070">
        <v>3900</v>
      </c>
      <c r="E3070">
        <v>3900</v>
      </c>
      <c r="F3070">
        <v>5.0519999999999996</v>
      </c>
      <c r="G3070">
        <v>-2308.1</v>
      </c>
      <c r="H3070">
        <v>-11.72</v>
      </c>
      <c r="I3070" s="309">
        <v>17394</v>
      </c>
      <c r="J3070">
        <v>4.46</v>
      </c>
      <c r="K3070" s="133">
        <v>3.6191761153851802E-2</v>
      </c>
      <c r="L3070" s="181">
        <v>117</v>
      </c>
      <c r="M3070" s="133">
        <v>4.0994233495993002E-2</v>
      </c>
      <c r="N3070" s="73">
        <v>-1807.1410000000001</v>
      </c>
      <c r="O3070" s="73">
        <v>-393.515779847494</v>
      </c>
      <c r="P3070" s="182">
        <v>6</v>
      </c>
      <c r="Q3070" s="182">
        <v>3000</v>
      </c>
      <c r="R3070" s="46">
        <v>5.0350000000000001</v>
      </c>
      <c r="S3070" s="46">
        <v>0</v>
      </c>
      <c r="T3070" s="46">
        <v>0</v>
      </c>
      <c r="U3070" s="46">
        <v>0</v>
      </c>
      <c r="V3070" s="46" t="s">
        <v>62</v>
      </c>
      <c r="W3070" s="46">
        <v>3000</v>
      </c>
      <c r="X3070" s="46">
        <v>5.0350000000000001</v>
      </c>
      <c r="AF3070" s="46">
        <v>10</v>
      </c>
      <c r="AG3070" s="46">
        <v>5000</v>
      </c>
      <c r="AH3070" s="46">
        <v>26378</v>
      </c>
      <c r="AI3070" s="46">
        <v>5.2759999999999998</v>
      </c>
      <c r="AJ3070" s="46">
        <v>10</v>
      </c>
      <c r="AK3070" s="46">
        <v>4100</v>
      </c>
      <c r="AL3070" s="46">
        <v>21806.659</v>
      </c>
      <c r="AM3070" s="46">
        <v>5.319</v>
      </c>
      <c r="AN3070" s="46" t="s">
        <v>63</v>
      </c>
      <c r="AO3070" s="46">
        <v>900</v>
      </c>
      <c r="AP3070" s="46">
        <v>4571.3410000000003</v>
      </c>
      <c r="AQ3070" s="46">
        <v>5.0789999999999997</v>
      </c>
      <c r="AR3070" s="46">
        <v>176.3</v>
      </c>
      <c r="AS3070" s="46">
        <v>16</v>
      </c>
      <c r="AT3070" s="46">
        <v>8000</v>
      </c>
      <c r="AU3070" s="46">
        <v>41514.800000000003</v>
      </c>
      <c r="AV3070" s="46">
        <v>5.1890000000000001</v>
      </c>
      <c r="AW3070" s="46">
        <v>10</v>
      </c>
      <c r="AX3070" s="46">
        <v>4100</v>
      </c>
      <c r="AY3070" s="46">
        <v>21806.659</v>
      </c>
      <c r="AZ3070" s="46">
        <v>5.319</v>
      </c>
      <c r="BA3070" s="46" t="s">
        <v>63</v>
      </c>
      <c r="BB3070" s="46">
        <v>3900</v>
      </c>
      <c r="BC3070" s="46">
        <v>19708.141</v>
      </c>
      <c r="BD3070" s="46">
        <v>5.0529999999999999</v>
      </c>
      <c r="BE3070" s="46">
        <v>533</v>
      </c>
      <c r="BF3070" s="46">
        <v>15136.8</v>
      </c>
      <c r="BG3070" s="46">
        <v>5.05</v>
      </c>
      <c r="BH3070" s="46">
        <v>0</v>
      </c>
      <c r="BJ3070">
        <v>15136.8</v>
      </c>
      <c r="BK3070">
        <v>5.05</v>
      </c>
      <c r="BL3070">
        <v>39.53</v>
      </c>
    </row>
    <row r="3071" spans="1:64" x14ac:dyDescent="0.25">
      <c r="A3071" s="136">
        <v>43251</v>
      </c>
      <c r="B3071" s="201" t="s">
        <v>124</v>
      </c>
      <c r="C3071" t="s">
        <v>125</v>
      </c>
      <c r="D3071">
        <v>100</v>
      </c>
      <c r="E3071">
        <v>100</v>
      </c>
      <c r="F3071">
        <v>-53.579000000000001</v>
      </c>
      <c r="G3071">
        <v>5922.9</v>
      </c>
      <c r="H3071">
        <v>0</v>
      </c>
      <c r="I3071" s="309">
        <v>565</v>
      </c>
      <c r="J3071">
        <v>5.65</v>
      </c>
      <c r="K3071" s="133">
        <v>1.17559762285422E-3</v>
      </c>
      <c r="L3071" s="181">
        <v>2</v>
      </c>
      <c r="M3071" s="133">
        <v>0</v>
      </c>
    </row>
    <row r="3072" spans="1:64" x14ac:dyDescent="0.25">
      <c r="A3072" s="136">
        <v>43251</v>
      </c>
      <c r="B3072" s="201" t="s">
        <v>71</v>
      </c>
      <c r="C3072" t="s">
        <v>126</v>
      </c>
      <c r="D3072">
        <v>1800</v>
      </c>
      <c r="E3072">
        <v>1800</v>
      </c>
      <c r="F3072">
        <v>5.2450000000000001</v>
      </c>
      <c r="G3072">
        <v>2150.9</v>
      </c>
      <c r="H3072">
        <v>22.78</v>
      </c>
      <c r="I3072" s="309">
        <v>11592</v>
      </c>
      <c r="J3072">
        <v>6.44</v>
      </c>
      <c r="K3072" s="133">
        <v>2.4119517954205499E-2</v>
      </c>
      <c r="L3072" s="181">
        <v>54</v>
      </c>
      <c r="M3072" s="133">
        <v>1.96441322427061E-2</v>
      </c>
      <c r="N3072" s="73">
        <v>7615.7060000000001</v>
      </c>
      <c r="O3072" s="73">
        <v>340.325270015456</v>
      </c>
      <c r="P3072" s="182">
        <v>0</v>
      </c>
      <c r="Q3072" s="182">
        <v>0</v>
      </c>
      <c r="R3072" s="46">
        <v>0</v>
      </c>
      <c r="S3072" s="46">
        <v>4</v>
      </c>
      <c r="T3072" s="46">
        <v>1500</v>
      </c>
      <c r="U3072" s="46">
        <v>6.8029999999999999</v>
      </c>
      <c r="V3072" s="46" t="s">
        <v>68</v>
      </c>
      <c r="W3072" s="46">
        <v>1500</v>
      </c>
      <c r="X3072" s="46">
        <v>6.8029999999999999</v>
      </c>
      <c r="AF3072" s="46">
        <v>46</v>
      </c>
      <c r="AG3072" s="46">
        <v>23100</v>
      </c>
      <c r="AH3072" s="46">
        <v>147774.85999999999</v>
      </c>
      <c r="AI3072" s="46">
        <v>6.3970000000000002</v>
      </c>
      <c r="AJ3072" s="46">
        <v>44</v>
      </c>
      <c r="AK3072" s="46">
        <v>19800</v>
      </c>
      <c r="AL3072" s="46">
        <v>127989.77</v>
      </c>
      <c r="AM3072" s="46">
        <v>6.4640000000000004</v>
      </c>
      <c r="AN3072" s="46" t="s">
        <v>63</v>
      </c>
      <c r="AO3072" s="46">
        <v>3300</v>
      </c>
      <c r="AP3072" s="46">
        <v>19785.09</v>
      </c>
      <c r="AQ3072" s="46">
        <v>5.9950000000000001</v>
      </c>
      <c r="AR3072" s="46">
        <v>1326.6</v>
      </c>
      <c r="AS3072" s="46">
        <v>46</v>
      </c>
      <c r="AT3072" s="46">
        <v>23100</v>
      </c>
      <c r="AU3072" s="46">
        <v>147774.85999999999</v>
      </c>
      <c r="AV3072" s="46">
        <v>6.3970000000000002</v>
      </c>
      <c r="AW3072" s="46">
        <v>48</v>
      </c>
      <c r="AX3072" s="46">
        <v>21300</v>
      </c>
      <c r="AY3072" s="46">
        <v>138170.666</v>
      </c>
      <c r="AZ3072" s="46">
        <v>6.4870000000000001</v>
      </c>
      <c r="BA3072" s="46" t="s">
        <v>63</v>
      </c>
      <c r="BB3072" s="46">
        <v>1800</v>
      </c>
      <c r="BC3072" s="46">
        <v>9604.1939999999995</v>
      </c>
      <c r="BD3072" s="46">
        <v>5.3360000000000003</v>
      </c>
      <c r="BE3072" s="46">
        <v>1917</v>
      </c>
      <c r="BF3072" s="46">
        <v>0</v>
      </c>
      <c r="BH3072" s="46">
        <v>10180.896000000001</v>
      </c>
      <c r="BI3072">
        <v>6.79</v>
      </c>
      <c r="BJ3072">
        <v>-10180.896000000001</v>
      </c>
      <c r="BK3072">
        <v>-6.79</v>
      </c>
      <c r="BL3072">
        <v>205.99</v>
      </c>
    </row>
    <row r="3073" spans="1:64" x14ac:dyDescent="0.25">
      <c r="A3073" s="136">
        <v>43251</v>
      </c>
      <c r="B3073" s="201" t="s">
        <v>79</v>
      </c>
      <c r="C3073" t="s">
        <v>143</v>
      </c>
      <c r="D3073">
        <v>5100</v>
      </c>
      <c r="E3073">
        <v>5100</v>
      </c>
      <c r="F3073">
        <v>16.358000000000001</v>
      </c>
      <c r="G3073">
        <v>-6312.06</v>
      </c>
      <c r="H3073">
        <v>-7.57</v>
      </c>
      <c r="I3073" s="309">
        <v>77112</v>
      </c>
      <c r="J3073">
        <v>15.12</v>
      </c>
      <c r="K3073" s="133">
        <v>0.160447228130149</v>
      </c>
      <c r="L3073" s="181">
        <v>4306.76</v>
      </c>
      <c r="M3073" s="133">
        <v>0.17358075508822601</v>
      </c>
      <c r="N3073" s="73">
        <v>-5910.50400000018</v>
      </c>
      <c r="O3073" s="73">
        <v>-388.65452289474803</v>
      </c>
      <c r="P3073" s="182">
        <v>6</v>
      </c>
      <c r="Q3073" s="182">
        <v>3000</v>
      </c>
      <c r="R3073" s="46">
        <v>14.355</v>
      </c>
      <c r="S3073" s="46">
        <v>0</v>
      </c>
      <c r="T3073" s="46">
        <v>0</v>
      </c>
      <c r="U3073" s="46">
        <v>0</v>
      </c>
      <c r="V3073" s="46" t="s">
        <v>62</v>
      </c>
      <c r="W3073" s="46">
        <v>3000</v>
      </c>
      <c r="X3073" s="46">
        <v>14.355</v>
      </c>
      <c r="AF3073" s="46">
        <v>20</v>
      </c>
      <c r="AG3073" s="46">
        <v>10500</v>
      </c>
      <c r="AH3073" s="46">
        <v>166461.29999999999</v>
      </c>
      <c r="AI3073" s="46">
        <v>15.853</v>
      </c>
      <c r="AJ3073" s="46">
        <v>21</v>
      </c>
      <c r="AK3073" s="46">
        <v>8400</v>
      </c>
      <c r="AL3073" s="46">
        <v>126127.59600000001</v>
      </c>
      <c r="AM3073" s="46">
        <v>15.015000000000001</v>
      </c>
      <c r="AN3073" s="46" t="s">
        <v>63</v>
      </c>
      <c r="AO3073" s="46">
        <v>2100</v>
      </c>
      <c r="AP3073" s="46">
        <v>40333.703999999998</v>
      </c>
      <c r="AQ3073" s="46">
        <v>19.207000000000001</v>
      </c>
      <c r="AR3073" s="46">
        <v>-7039.2</v>
      </c>
      <c r="AS3073" s="46">
        <v>26</v>
      </c>
      <c r="AT3073" s="46">
        <v>13500</v>
      </c>
      <c r="AU3073" s="46">
        <v>209558.1</v>
      </c>
      <c r="AV3073" s="46">
        <v>15.523</v>
      </c>
      <c r="AW3073" s="46">
        <v>21</v>
      </c>
      <c r="AX3073" s="46">
        <v>8400</v>
      </c>
      <c r="AY3073" s="46">
        <v>126127.59600000001</v>
      </c>
      <c r="AZ3073" s="46">
        <v>15.015000000000001</v>
      </c>
      <c r="BA3073" s="46" t="s">
        <v>63</v>
      </c>
      <c r="BB3073" s="46">
        <v>5100</v>
      </c>
      <c r="BC3073" s="46">
        <v>83430.504000000001</v>
      </c>
      <c r="BD3073" s="46">
        <v>16.359000000000002</v>
      </c>
      <c r="BE3073" s="46">
        <v>-4267.2</v>
      </c>
      <c r="BF3073" s="46">
        <v>43096.799999999901</v>
      </c>
      <c r="BG3073" s="46">
        <v>14.37</v>
      </c>
      <c r="BH3073" s="46">
        <v>0</v>
      </c>
      <c r="BJ3073">
        <v>43096.800000000003</v>
      </c>
      <c r="BK3073">
        <v>14.37</v>
      </c>
      <c r="BL3073">
        <v>-465.56</v>
      </c>
    </row>
    <row r="3074" spans="1:64" x14ac:dyDescent="0.25">
      <c r="A3074" s="136">
        <v>43251</v>
      </c>
      <c r="B3074" s="201" t="s">
        <v>65</v>
      </c>
      <c r="C3074" t="s">
        <v>127</v>
      </c>
      <c r="D3074">
        <v>17000</v>
      </c>
      <c r="E3074">
        <v>17000</v>
      </c>
      <c r="F3074">
        <v>9.3160000000000007</v>
      </c>
      <c r="G3074">
        <v>-1624.09</v>
      </c>
      <c r="H3074">
        <v>-1.03</v>
      </c>
      <c r="I3074" s="309">
        <v>156740</v>
      </c>
      <c r="J3074">
        <v>9.2200000000000006</v>
      </c>
      <c r="K3074" s="133">
        <v>0.32612950691357501</v>
      </c>
      <c r="L3074" s="181">
        <v>1360</v>
      </c>
      <c r="M3074" s="133">
        <v>0.32950875707871002</v>
      </c>
      <c r="N3074" s="73">
        <v>-5906.5110000000104</v>
      </c>
      <c r="O3074" s="73">
        <v>-176.15455761932</v>
      </c>
      <c r="P3074" s="182">
        <v>3</v>
      </c>
      <c r="Q3074" s="182">
        <v>1500</v>
      </c>
      <c r="R3074" s="46">
        <v>8.9570000000000007</v>
      </c>
      <c r="S3074" s="46">
        <v>10</v>
      </c>
      <c r="T3074" s="46">
        <v>4100</v>
      </c>
      <c r="U3074" s="46">
        <v>11.929</v>
      </c>
      <c r="V3074" s="46" t="s">
        <v>68</v>
      </c>
      <c r="W3074" s="46">
        <v>2600</v>
      </c>
      <c r="X3074" s="46">
        <v>13.644</v>
      </c>
      <c r="AF3074" s="46">
        <v>190</v>
      </c>
      <c r="AG3074" s="46">
        <v>100700</v>
      </c>
      <c r="AH3074" s="46">
        <v>1144985.2309999999</v>
      </c>
      <c r="AI3074" s="46">
        <v>11.37</v>
      </c>
      <c r="AJ3074" s="46">
        <v>209</v>
      </c>
      <c r="AK3074" s="46">
        <v>90300</v>
      </c>
      <c r="AL3074" s="46">
        <v>950426.62600000005</v>
      </c>
      <c r="AM3074" s="46">
        <v>10.525</v>
      </c>
      <c r="AN3074" s="46" t="s">
        <v>63</v>
      </c>
      <c r="AO3074" s="46">
        <v>10400</v>
      </c>
      <c r="AP3074" s="46">
        <v>194558.60500000001</v>
      </c>
      <c r="AQ3074" s="46">
        <v>18.707999999999998</v>
      </c>
      <c r="AR3074" s="46">
        <v>-76303.5</v>
      </c>
      <c r="AS3074" s="46">
        <v>194</v>
      </c>
      <c r="AT3074" s="46">
        <v>102300</v>
      </c>
      <c r="AU3074" s="46">
        <v>1159723.2309999999</v>
      </c>
      <c r="AV3074" s="46">
        <v>11.336</v>
      </c>
      <c r="AW3074" s="46">
        <v>219</v>
      </c>
      <c r="AX3074" s="46">
        <v>94400</v>
      </c>
      <c r="AY3074" s="46">
        <v>999235.71799999999</v>
      </c>
      <c r="AZ3074" s="46">
        <v>10.585000000000001</v>
      </c>
      <c r="BA3074" s="46" t="s">
        <v>63</v>
      </c>
      <c r="BB3074" s="46">
        <v>7900</v>
      </c>
      <c r="BC3074" s="46">
        <v>160487.51300000001</v>
      </c>
      <c r="BD3074" s="46">
        <v>20.315000000000001</v>
      </c>
      <c r="BE3074" s="46">
        <v>-70894.399999999994</v>
      </c>
      <c r="BF3074" s="46">
        <v>14738</v>
      </c>
      <c r="BG3074" s="46">
        <v>9.83</v>
      </c>
      <c r="BH3074" s="46">
        <v>48809.092000000201</v>
      </c>
      <c r="BI3074">
        <v>11.9</v>
      </c>
      <c r="BJ3074">
        <v>-34071.091999999997</v>
      </c>
      <c r="BK3074">
        <v>-13.1</v>
      </c>
      <c r="BL3074">
        <v>-8275.8700000000008</v>
      </c>
    </row>
    <row r="3075" spans="1:64" x14ac:dyDescent="0.25">
      <c r="A3075" s="136">
        <v>43251</v>
      </c>
      <c r="B3075" s="201" t="s">
        <v>77</v>
      </c>
      <c r="C3075" t="s">
        <v>128</v>
      </c>
      <c r="D3075">
        <v>4300</v>
      </c>
      <c r="E3075">
        <v>4300</v>
      </c>
      <c r="F3075">
        <v>5.9779999999999998</v>
      </c>
      <c r="G3075">
        <v>-595.27</v>
      </c>
      <c r="H3075">
        <v>-2.31</v>
      </c>
      <c r="I3075" s="309">
        <v>25112</v>
      </c>
      <c r="J3075">
        <v>5.84</v>
      </c>
      <c r="K3075" s="133">
        <v>5.22506327524161E-2</v>
      </c>
      <c r="L3075" s="181">
        <v>0</v>
      </c>
      <c r="M3075" s="133">
        <v>5.3489213278002698E-2</v>
      </c>
      <c r="N3075" s="73">
        <v>-1272.2139999999999</v>
      </c>
      <c r="O3075" s="73">
        <v>-133.073774655173</v>
      </c>
      <c r="P3075" s="182">
        <v>6</v>
      </c>
      <c r="Q3075" s="182">
        <v>3000</v>
      </c>
      <c r="R3075" s="46">
        <v>6.798</v>
      </c>
      <c r="S3075" s="46">
        <v>0</v>
      </c>
      <c r="T3075" s="46">
        <v>0</v>
      </c>
      <c r="U3075" s="46">
        <v>0</v>
      </c>
      <c r="V3075" s="46" t="s">
        <v>62</v>
      </c>
      <c r="W3075" s="46">
        <v>3000</v>
      </c>
      <c r="X3075" s="46">
        <v>6.798</v>
      </c>
      <c r="AF3075" s="46">
        <v>39</v>
      </c>
      <c r="AG3075" s="46">
        <v>19500</v>
      </c>
      <c r="AH3075" s="46">
        <v>142169</v>
      </c>
      <c r="AI3075" s="46">
        <v>7.2910000000000004</v>
      </c>
      <c r="AJ3075" s="46">
        <v>39</v>
      </c>
      <c r="AK3075" s="46">
        <v>18200</v>
      </c>
      <c r="AL3075" s="46">
        <v>136881.78599999999</v>
      </c>
      <c r="AM3075" s="46">
        <v>7.5209999999999999</v>
      </c>
      <c r="AN3075" s="46" t="s">
        <v>63</v>
      </c>
      <c r="AO3075" s="46">
        <v>1300</v>
      </c>
      <c r="AP3075" s="46">
        <v>5287.2139999999999</v>
      </c>
      <c r="AQ3075" s="46">
        <v>4.0670000000000002</v>
      </c>
      <c r="AR3075" s="46">
        <v>4186</v>
      </c>
      <c r="AS3075" s="46">
        <v>45</v>
      </c>
      <c r="AT3075" s="46">
        <v>22500</v>
      </c>
      <c r="AU3075" s="46">
        <v>162594</v>
      </c>
      <c r="AV3075" s="46">
        <v>7.226</v>
      </c>
      <c r="AW3075" s="46">
        <v>39</v>
      </c>
      <c r="AX3075" s="46">
        <v>18200</v>
      </c>
      <c r="AY3075" s="46">
        <v>136881.78599999999</v>
      </c>
      <c r="AZ3075" s="46">
        <v>7.5209999999999999</v>
      </c>
      <c r="BA3075" s="46" t="s">
        <v>63</v>
      </c>
      <c r="BB3075" s="46">
        <v>4300</v>
      </c>
      <c r="BC3075" s="46">
        <v>25712.214</v>
      </c>
      <c r="BD3075" s="46">
        <v>5.98</v>
      </c>
      <c r="BE3075" s="46">
        <v>5369</v>
      </c>
      <c r="BF3075" s="46">
        <v>20425</v>
      </c>
      <c r="BG3075" s="46">
        <v>6.81</v>
      </c>
      <c r="BH3075" s="46">
        <v>0</v>
      </c>
      <c r="BJ3075">
        <v>20425</v>
      </c>
      <c r="BK3075">
        <v>6.81</v>
      </c>
      <c r="BL3075">
        <v>716.78</v>
      </c>
    </row>
    <row r="3076" spans="1:64" x14ac:dyDescent="0.25">
      <c r="A3076" s="136">
        <v>43251</v>
      </c>
      <c r="B3076" s="201" t="s">
        <v>67</v>
      </c>
      <c r="C3076" t="s">
        <v>129</v>
      </c>
      <c r="D3076">
        <v>100</v>
      </c>
      <c r="E3076">
        <v>100</v>
      </c>
      <c r="F3076">
        <v>-33.115000000000002</v>
      </c>
      <c r="G3076">
        <v>4269.5</v>
      </c>
      <c r="H3076">
        <v>0</v>
      </c>
      <c r="I3076" s="309">
        <v>958</v>
      </c>
      <c r="J3076">
        <v>9.58</v>
      </c>
      <c r="K3076" s="133">
        <v>1.99331419945901E-3</v>
      </c>
      <c r="L3076" s="181">
        <v>0</v>
      </c>
      <c r="M3076" s="133">
        <v>0</v>
      </c>
      <c r="N3076" s="73">
        <v>4353.6874999997499</v>
      </c>
      <c r="O3076" s="73">
        <v>417.61138735602498</v>
      </c>
      <c r="P3076" s="182">
        <v>0</v>
      </c>
      <c r="Q3076" s="182">
        <v>0</v>
      </c>
      <c r="R3076" s="46">
        <v>0</v>
      </c>
      <c r="S3076" s="46">
        <v>24</v>
      </c>
      <c r="T3076" s="46">
        <v>9600</v>
      </c>
      <c r="U3076" s="46">
        <v>8.9969999999999999</v>
      </c>
      <c r="V3076" s="46" t="s">
        <v>68</v>
      </c>
      <c r="W3076" s="46">
        <v>9600</v>
      </c>
      <c r="X3076" s="46">
        <v>8.9969999999999999</v>
      </c>
      <c r="AF3076" s="46">
        <v>192</v>
      </c>
      <c r="AG3076" s="46">
        <v>95000</v>
      </c>
      <c r="AH3076" s="46">
        <v>791793</v>
      </c>
      <c r="AI3076" s="46">
        <v>8.3350000000000009</v>
      </c>
      <c r="AJ3076" s="46">
        <v>196</v>
      </c>
      <c r="AK3076" s="46">
        <v>87900</v>
      </c>
      <c r="AL3076" s="46">
        <v>778064.67550000001</v>
      </c>
      <c r="AM3076" s="46">
        <v>8.8520000000000003</v>
      </c>
      <c r="AN3076" s="46" t="s">
        <v>63</v>
      </c>
      <c r="AO3076" s="46">
        <v>7100</v>
      </c>
      <c r="AP3076" s="46">
        <v>13728.324000000001</v>
      </c>
      <c r="AQ3076" s="46">
        <v>1.9339999999999999</v>
      </c>
      <c r="AR3076" s="46">
        <v>45444.3</v>
      </c>
      <c r="AS3076" s="46">
        <v>192</v>
      </c>
      <c r="AT3076" s="46">
        <v>95000</v>
      </c>
      <c r="AU3076" s="46">
        <v>791793</v>
      </c>
      <c r="AV3076" s="46">
        <v>8.3350000000000009</v>
      </c>
      <c r="AW3076" s="46">
        <v>220</v>
      </c>
      <c r="AX3076" s="46">
        <v>97500</v>
      </c>
      <c r="AY3076" s="46">
        <v>864232.80350000004</v>
      </c>
      <c r="AZ3076" s="46">
        <v>8.8640000000000008</v>
      </c>
      <c r="BA3076" s="46" t="s">
        <v>69</v>
      </c>
      <c r="BB3076" s="46">
        <v>2500</v>
      </c>
      <c r="BC3076" s="46">
        <v>72439.804000000004</v>
      </c>
      <c r="BD3076" s="46">
        <v>28.975999999999999</v>
      </c>
      <c r="BE3076" s="46">
        <v>50255</v>
      </c>
      <c r="BF3076" s="46">
        <v>0</v>
      </c>
      <c r="BH3076" s="46">
        <v>86168.127999999997</v>
      </c>
      <c r="BI3076">
        <v>8.98</v>
      </c>
      <c r="BJ3076">
        <v>58711.48</v>
      </c>
      <c r="BK3076">
        <v>6.12</v>
      </c>
      <c r="BL3076">
        <v>4743.66</v>
      </c>
    </row>
    <row r="3077" spans="1:64" x14ac:dyDescent="0.25">
      <c r="A3077" s="136">
        <v>43251</v>
      </c>
      <c r="B3077" s="201" t="s">
        <v>78</v>
      </c>
      <c r="C3077" t="s">
        <v>142</v>
      </c>
      <c r="D3077">
        <v>200</v>
      </c>
      <c r="E3077">
        <v>200</v>
      </c>
      <c r="F3077">
        <v>2.1669999999999998</v>
      </c>
      <c r="G3077">
        <v>1456.65</v>
      </c>
      <c r="H3077">
        <v>336.09</v>
      </c>
      <c r="I3077" s="309">
        <v>1890</v>
      </c>
      <c r="J3077">
        <v>9.4499999999999993</v>
      </c>
      <c r="K3077" s="133">
        <v>3.9325301012291501E-3</v>
      </c>
      <c r="L3077" s="181">
        <v>32</v>
      </c>
      <c r="M3077" s="133">
        <v>9.0167297321039797E-4</v>
      </c>
      <c r="N3077" s="73">
        <v>1436.6510000000001</v>
      </c>
      <c r="O3077" s="73">
        <v>153.57568711229899</v>
      </c>
      <c r="P3077" s="182">
        <v>0</v>
      </c>
      <c r="Q3077" s="182">
        <v>0</v>
      </c>
      <c r="R3077" s="46">
        <v>0</v>
      </c>
      <c r="S3077" s="46">
        <v>3</v>
      </c>
      <c r="T3077" s="46">
        <v>1200</v>
      </c>
      <c r="U3077" s="46">
        <v>9.923</v>
      </c>
      <c r="V3077" s="46" t="s">
        <v>68</v>
      </c>
      <c r="W3077" s="46">
        <v>1200</v>
      </c>
      <c r="X3077" s="46">
        <v>9.923</v>
      </c>
      <c r="AF3077" s="46">
        <v>14</v>
      </c>
      <c r="AG3077" s="46">
        <v>7000</v>
      </c>
      <c r="AH3077" s="46">
        <v>67625</v>
      </c>
      <c r="AI3077" s="46">
        <v>9.6609999999999996</v>
      </c>
      <c r="AJ3077" s="46">
        <v>15</v>
      </c>
      <c r="AK3077" s="46">
        <v>5600</v>
      </c>
      <c r="AL3077" s="46">
        <v>55310.559000000001</v>
      </c>
      <c r="AM3077" s="46">
        <v>9.8770000000000007</v>
      </c>
      <c r="AN3077" s="46" t="s">
        <v>63</v>
      </c>
      <c r="AO3077" s="46">
        <v>1400</v>
      </c>
      <c r="AP3077" s="46">
        <v>12314.441000000001</v>
      </c>
      <c r="AQ3077" s="46">
        <v>8.7959999999999994</v>
      </c>
      <c r="AR3077" s="46">
        <v>1209.5999999999999</v>
      </c>
      <c r="AS3077" s="46">
        <v>14</v>
      </c>
      <c r="AT3077" s="46">
        <v>7000</v>
      </c>
      <c r="AU3077" s="46">
        <v>67625</v>
      </c>
      <c r="AV3077" s="46">
        <v>9.6609999999999996</v>
      </c>
      <c r="AW3077" s="46">
        <v>18</v>
      </c>
      <c r="AX3077" s="46">
        <v>6800</v>
      </c>
      <c r="AY3077" s="46">
        <v>67191.650999999998</v>
      </c>
      <c r="AZ3077" s="46">
        <v>9.8810000000000002</v>
      </c>
      <c r="BA3077" s="46" t="s">
        <v>63</v>
      </c>
      <c r="BB3077" s="46">
        <v>200</v>
      </c>
      <c r="BC3077" s="46">
        <v>433.34899999999999</v>
      </c>
      <c r="BD3077" s="46">
        <v>2.1669999999999998</v>
      </c>
      <c r="BE3077" s="46">
        <v>1496</v>
      </c>
      <c r="BF3077" s="46">
        <v>0</v>
      </c>
      <c r="BH3077" s="46">
        <v>11881.092000000001</v>
      </c>
      <c r="BI3077">
        <v>9.9</v>
      </c>
      <c r="BJ3077">
        <v>-11881.092000000001</v>
      </c>
      <c r="BK3077">
        <v>-9.9</v>
      </c>
      <c r="BL3077">
        <v>128</v>
      </c>
    </row>
    <row r="3078" spans="1:64" x14ac:dyDescent="0.25">
      <c r="A3078" s="136">
        <v>43251</v>
      </c>
      <c r="B3078" s="201" t="s">
        <v>72</v>
      </c>
      <c r="C3078" t="s">
        <v>130</v>
      </c>
      <c r="D3078">
        <v>2100</v>
      </c>
      <c r="E3078">
        <v>2100</v>
      </c>
      <c r="F3078">
        <v>6.3979999999999997</v>
      </c>
      <c r="G3078">
        <v>-164.12</v>
      </c>
      <c r="H3078">
        <v>-1.22</v>
      </c>
      <c r="I3078" s="309">
        <v>13272</v>
      </c>
      <c r="J3078">
        <v>6.32</v>
      </c>
      <c r="K3078" s="133">
        <v>2.76151002664091E-2</v>
      </c>
      <c r="L3078" s="181">
        <v>189</v>
      </c>
      <c r="M3078" s="133">
        <v>2.7956585367051302E-2</v>
      </c>
      <c r="N3078" s="73">
        <v>-13742.828</v>
      </c>
      <c r="O3078" s="73">
        <v>-53.197426442304298</v>
      </c>
      <c r="P3078" s="182">
        <v>0</v>
      </c>
      <c r="Q3078" s="182">
        <v>0</v>
      </c>
      <c r="R3078" s="46">
        <v>0</v>
      </c>
      <c r="S3078" s="46">
        <v>16</v>
      </c>
      <c r="T3078" s="46">
        <v>6400</v>
      </c>
      <c r="U3078" s="46">
        <v>7.4249999999999998</v>
      </c>
      <c r="V3078" s="46" t="s">
        <v>68</v>
      </c>
      <c r="W3078" s="46">
        <v>6400</v>
      </c>
      <c r="X3078" s="46">
        <v>7.4249999999999998</v>
      </c>
      <c r="AF3078" s="46">
        <v>40</v>
      </c>
      <c r="AG3078" s="46">
        <v>19900</v>
      </c>
      <c r="AH3078" s="46">
        <v>146997</v>
      </c>
      <c r="AI3078" s="46">
        <v>7.3869999999999996</v>
      </c>
      <c r="AJ3078" s="46">
        <v>40</v>
      </c>
      <c r="AK3078" s="46">
        <v>18000</v>
      </c>
      <c r="AL3078" s="46">
        <v>86900.876999999993</v>
      </c>
      <c r="AM3078" s="46">
        <v>4.8280000000000003</v>
      </c>
      <c r="AN3078" s="46" t="s">
        <v>63</v>
      </c>
      <c r="AO3078" s="46">
        <v>1900</v>
      </c>
      <c r="AP3078" s="46">
        <v>60096.123</v>
      </c>
      <c r="AQ3078" s="46">
        <v>31.63</v>
      </c>
      <c r="AR3078" s="46">
        <v>-46062</v>
      </c>
      <c r="AS3078" s="46">
        <v>40</v>
      </c>
      <c r="AT3078" s="46">
        <v>19900</v>
      </c>
      <c r="AU3078" s="46">
        <v>146997</v>
      </c>
      <c r="AV3078" s="46">
        <v>7.3869999999999996</v>
      </c>
      <c r="AW3078" s="46">
        <v>57</v>
      </c>
      <c r="AX3078" s="46">
        <v>24900</v>
      </c>
      <c r="AY3078" s="46">
        <v>134293.35699999999</v>
      </c>
      <c r="AZ3078" s="46">
        <v>5.3929999999999998</v>
      </c>
      <c r="BA3078" s="46" t="s">
        <v>69</v>
      </c>
      <c r="BB3078" s="46">
        <v>5000</v>
      </c>
      <c r="BC3078" s="46">
        <v>12703.643</v>
      </c>
      <c r="BD3078" s="46">
        <v>2.5409999999999999</v>
      </c>
      <c r="BE3078" s="46">
        <v>-39680.6</v>
      </c>
      <c r="BF3078" s="46">
        <v>0</v>
      </c>
      <c r="BH3078" s="46">
        <v>47392.480000000003</v>
      </c>
      <c r="BI3078">
        <v>7.41</v>
      </c>
      <c r="BJ3078">
        <v>-47392.480000000003</v>
      </c>
      <c r="BK3078">
        <v>-7.41</v>
      </c>
      <c r="BL3078">
        <v>-7288.29</v>
      </c>
    </row>
    <row r="3079" spans="1:64" x14ac:dyDescent="0.25">
      <c r="A3079" s="136">
        <v>43251</v>
      </c>
      <c r="B3079" s="201" t="s">
        <v>70</v>
      </c>
      <c r="C3079" t="s">
        <v>131</v>
      </c>
      <c r="D3079">
        <v>12100</v>
      </c>
      <c r="E3079">
        <v>11100</v>
      </c>
      <c r="F3079">
        <v>11.427</v>
      </c>
      <c r="G3079">
        <v>-31056.77</v>
      </c>
      <c r="H3079">
        <v>-22.46</v>
      </c>
      <c r="I3079" s="309">
        <v>107206</v>
      </c>
      <c r="J3079">
        <v>8.86</v>
      </c>
      <c r="K3079" s="133">
        <v>0.22306392700125499</v>
      </c>
      <c r="L3079" s="181">
        <v>-2674</v>
      </c>
      <c r="M3079" s="133">
        <v>0.28768386502874199</v>
      </c>
      <c r="N3079" s="73">
        <v>-31786.762999999999</v>
      </c>
      <c r="O3079" s="73">
        <v>-3610.3260930113702</v>
      </c>
      <c r="P3079" s="182">
        <v>3</v>
      </c>
      <c r="Q3079" s="182">
        <v>1500</v>
      </c>
      <c r="R3079" s="46">
        <v>8.4169999999999998</v>
      </c>
      <c r="S3079" s="46">
        <v>6</v>
      </c>
      <c r="T3079" s="46">
        <v>2400</v>
      </c>
      <c r="U3079" s="46">
        <v>9.4130000000000003</v>
      </c>
      <c r="V3079" s="46" t="s">
        <v>68</v>
      </c>
      <c r="W3079" s="46">
        <v>900</v>
      </c>
      <c r="X3079" s="46">
        <v>11.073</v>
      </c>
      <c r="AF3079" s="46">
        <v>141</v>
      </c>
      <c r="AG3079" s="46">
        <v>72100</v>
      </c>
      <c r="AH3079" s="46">
        <v>926228</v>
      </c>
      <c r="AI3079" s="46">
        <v>12.846</v>
      </c>
      <c r="AJ3079" s="46">
        <v>147</v>
      </c>
      <c r="AK3079" s="46">
        <v>59100</v>
      </c>
      <c r="AL3079" s="46">
        <v>777656.82900000003</v>
      </c>
      <c r="AM3079" s="46">
        <v>13.157999999999999</v>
      </c>
      <c r="AN3079" s="46" t="s">
        <v>63</v>
      </c>
      <c r="AO3079" s="46">
        <v>13000</v>
      </c>
      <c r="AP3079" s="46">
        <v>148571.171</v>
      </c>
      <c r="AQ3079" s="46">
        <v>11.429</v>
      </c>
      <c r="AR3079" s="46">
        <v>18439.2</v>
      </c>
      <c r="AS3079" s="46">
        <v>144</v>
      </c>
      <c r="AT3079" s="46">
        <v>73600</v>
      </c>
      <c r="AU3079" s="46">
        <v>938868</v>
      </c>
      <c r="AV3079" s="46">
        <v>12.756</v>
      </c>
      <c r="AW3079" s="46">
        <v>154</v>
      </c>
      <c r="AX3079" s="46">
        <v>61500</v>
      </c>
      <c r="AY3079" s="46">
        <v>800601.23699999996</v>
      </c>
      <c r="AZ3079" s="46">
        <v>13.018000000000001</v>
      </c>
      <c r="BA3079" s="46" t="s">
        <v>63</v>
      </c>
      <c r="BB3079" s="46">
        <v>12100</v>
      </c>
      <c r="BC3079" s="46">
        <v>138266.76300000001</v>
      </c>
      <c r="BD3079" s="46">
        <v>11.427</v>
      </c>
      <c r="BE3079" s="46">
        <v>16113</v>
      </c>
      <c r="BF3079" s="46">
        <v>12640</v>
      </c>
      <c r="BG3079" s="46">
        <v>8.43</v>
      </c>
      <c r="BH3079" s="46">
        <v>22944.407999999901</v>
      </c>
      <c r="BI3079">
        <v>9.56</v>
      </c>
      <c r="BJ3079">
        <v>-10304.407999999999</v>
      </c>
      <c r="BK3079">
        <v>-11.45</v>
      </c>
      <c r="BL3079">
        <v>2081.17</v>
      </c>
    </row>
    <row r="3080" spans="1:64" x14ac:dyDescent="0.25">
      <c r="A3080" s="136">
        <v>43251</v>
      </c>
      <c r="B3080" s="201" t="s">
        <v>137</v>
      </c>
      <c r="C3080" t="s">
        <v>149</v>
      </c>
      <c r="D3080">
        <v>100</v>
      </c>
      <c r="E3080">
        <v>100</v>
      </c>
      <c r="F3080">
        <v>-130.48500000000001</v>
      </c>
      <c r="G3080">
        <v>16923.5</v>
      </c>
      <c r="H3080">
        <v>0</v>
      </c>
      <c r="I3080" s="309">
        <v>3875</v>
      </c>
      <c r="J3080">
        <v>38.75</v>
      </c>
      <c r="K3080" s="133">
        <v>8.0627270593983894E-3</v>
      </c>
      <c r="L3080" s="181">
        <v>68</v>
      </c>
      <c r="M3080" s="133">
        <v>0</v>
      </c>
    </row>
    <row r="3081" spans="1:64" x14ac:dyDescent="0.25">
      <c r="A3081" s="136">
        <v>43251</v>
      </c>
      <c r="B3081" s="201" t="s">
        <v>835</v>
      </c>
      <c r="C3081" t="s">
        <v>839</v>
      </c>
      <c r="I3081" s="309">
        <v>4804.62</v>
      </c>
      <c r="K3081" s="133">
        <v>9.9969908862262407E-3</v>
      </c>
      <c r="L3081" s="181">
        <v>0</v>
      </c>
      <c r="M3081" s="133">
        <v>0.135018156845197</v>
      </c>
    </row>
    <row r="3082" spans="1:64" x14ac:dyDescent="0.25">
      <c r="A3082" s="136">
        <v>43256</v>
      </c>
      <c r="B3082" s="201" t="s">
        <v>132</v>
      </c>
      <c r="C3082" t="s">
        <v>123</v>
      </c>
      <c r="D3082">
        <v>6011328</v>
      </c>
      <c r="E3082">
        <v>6011328</v>
      </c>
      <c r="F3082">
        <v>8.9999999999999993E-3</v>
      </c>
      <c r="G3082">
        <v>3717.84</v>
      </c>
      <c r="H3082">
        <v>11.11</v>
      </c>
      <c r="I3082" s="309">
        <v>60113.279999999999</v>
      </c>
      <c r="J3082">
        <v>0.01</v>
      </c>
      <c r="K3082" s="133">
        <v>0.123555417233291</v>
      </c>
      <c r="L3082" s="181">
        <v>27.2800000000002</v>
      </c>
      <c r="M3082" s="133">
        <v>0</v>
      </c>
    </row>
    <row r="3083" spans="1:64" x14ac:dyDescent="0.25">
      <c r="A3083" s="136">
        <v>43256</v>
      </c>
      <c r="B3083" s="201" t="s">
        <v>61</v>
      </c>
      <c r="C3083" t="s">
        <v>136</v>
      </c>
      <c r="D3083">
        <v>3900</v>
      </c>
      <c r="E3083">
        <v>3900</v>
      </c>
      <c r="F3083">
        <v>5.0519999999999996</v>
      </c>
      <c r="G3083">
        <v>-2269.1</v>
      </c>
      <c r="H3083">
        <v>-11.52</v>
      </c>
      <c r="I3083" s="309">
        <v>17433</v>
      </c>
      <c r="J3083">
        <v>4.47</v>
      </c>
      <c r="K3083" s="133">
        <v>3.5831376837663201E-2</v>
      </c>
      <c r="L3083" s="181">
        <v>39</v>
      </c>
      <c r="M3083" s="133">
        <v>4.0495231434252502E-2</v>
      </c>
      <c r="N3083" s="73">
        <v>-1807.1410000000001</v>
      </c>
      <c r="O3083" s="73">
        <v>-393.515779847494</v>
      </c>
      <c r="P3083" s="182">
        <v>6</v>
      </c>
      <c r="Q3083" s="182">
        <v>3000</v>
      </c>
      <c r="R3083" s="46">
        <v>5.0350000000000001</v>
      </c>
      <c r="S3083" s="46">
        <v>0</v>
      </c>
      <c r="T3083" s="46">
        <v>0</v>
      </c>
      <c r="U3083" s="46">
        <v>0</v>
      </c>
      <c r="V3083" s="46" t="s">
        <v>62</v>
      </c>
      <c r="W3083" s="46">
        <v>3000</v>
      </c>
      <c r="X3083" s="46">
        <v>5.0350000000000001</v>
      </c>
      <c r="AF3083" s="46">
        <v>10</v>
      </c>
      <c r="AG3083" s="46">
        <v>5000</v>
      </c>
      <c r="AH3083" s="46">
        <v>26378</v>
      </c>
      <c r="AI3083" s="46">
        <v>5.2759999999999998</v>
      </c>
      <c r="AJ3083" s="46">
        <v>10</v>
      </c>
      <c r="AK3083" s="46">
        <v>4100</v>
      </c>
      <c r="AL3083" s="46">
        <v>21806.659</v>
      </c>
      <c r="AM3083" s="46">
        <v>5.319</v>
      </c>
      <c r="AN3083" s="46" t="s">
        <v>63</v>
      </c>
      <c r="AO3083" s="46">
        <v>900</v>
      </c>
      <c r="AP3083" s="46">
        <v>4571.3410000000003</v>
      </c>
      <c r="AQ3083" s="46">
        <v>5.0789999999999997</v>
      </c>
      <c r="AR3083" s="46">
        <v>176.3</v>
      </c>
      <c r="AS3083" s="46">
        <v>16</v>
      </c>
      <c r="AT3083" s="46">
        <v>8000</v>
      </c>
      <c r="AU3083" s="46">
        <v>41514.800000000003</v>
      </c>
      <c r="AV3083" s="46">
        <v>5.1890000000000001</v>
      </c>
      <c r="AW3083" s="46">
        <v>10</v>
      </c>
      <c r="AX3083" s="46">
        <v>4100</v>
      </c>
      <c r="AY3083" s="46">
        <v>21806.659</v>
      </c>
      <c r="AZ3083" s="46">
        <v>5.319</v>
      </c>
      <c r="BA3083" s="46" t="s">
        <v>63</v>
      </c>
      <c r="BB3083" s="46">
        <v>3900</v>
      </c>
      <c r="BC3083" s="46">
        <v>19708.141</v>
      </c>
      <c r="BD3083" s="46">
        <v>5.0529999999999999</v>
      </c>
      <c r="BE3083" s="46">
        <v>533</v>
      </c>
      <c r="BF3083" s="46">
        <v>15136.8</v>
      </c>
      <c r="BG3083" s="46">
        <v>5.05</v>
      </c>
      <c r="BH3083" s="46">
        <v>0</v>
      </c>
      <c r="BJ3083">
        <v>15136.8</v>
      </c>
      <c r="BK3083">
        <v>5.05</v>
      </c>
      <c r="BL3083">
        <v>39.44</v>
      </c>
    </row>
    <row r="3084" spans="1:64" x14ac:dyDescent="0.25">
      <c r="A3084" s="136">
        <v>43256</v>
      </c>
      <c r="B3084" s="201" t="s">
        <v>124</v>
      </c>
      <c r="C3084" t="s">
        <v>125</v>
      </c>
      <c r="D3084">
        <v>100</v>
      </c>
      <c r="E3084">
        <v>100</v>
      </c>
      <c r="F3084">
        <v>-53.579000000000001</v>
      </c>
      <c r="G3084">
        <v>5927.9</v>
      </c>
      <c r="H3084">
        <v>0</v>
      </c>
      <c r="I3084" s="309">
        <v>570</v>
      </c>
      <c r="J3084">
        <v>5.7</v>
      </c>
      <c r="K3084" s="133">
        <v>1.1715645498461601E-3</v>
      </c>
      <c r="L3084" s="181">
        <v>5</v>
      </c>
      <c r="M3084" s="133">
        <v>0</v>
      </c>
    </row>
    <row r="3085" spans="1:64" x14ac:dyDescent="0.25">
      <c r="A3085" s="136">
        <v>43256</v>
      </c>
      <c r="B3085" s="201" t="s">
        <v>71</v>
      </c>
      <c r="C3085" t="s">
        <v>126</v>
      </c>
      <c r="D3085">
        <v>1800</v>
      </c>
      <c r="E3085">
        <v>1800</v>
      </c>
      <c r="F3085">
        <v>5.2450000000000001</v>
      </c>
      <c r="G3085">
        <v>1970.9</v>
      </c>
      <c r="H3085">
        <v>20.88</v>
      </c>
      <c r="I3085" s="309">
        <v>11412</v>
      </c>
      <c r="J3085">
        <v>6.34</v>
      </c>
      <c r="K3085" s="133">
        <v>2.3455955513761999E-2</v>
      </c>
      <c r="L3085" s="181">
        <v>-180</v>
      </c>
      <c r="M3085" s="133">
        <v>1.9405014160618499E-2</v>
      </c>
      <c r="N3085" s="73">
        <v>7615.7060000000001</v>
      </c>
      <c r="O3085" s="73">
        <v>340.325270015456</v>
      </c>
      <c r="P3085" s="182">
        <v>0</v>
      </c>
      <c r="Q3085" s="182">
        <v>0</v>
      </c>
      <c r="R3085" s="46">
        <v>0</v>
      </c>
      <c r="S3085" s="46">
        <v>4</v>
      </c>
      <c r="T3085" s="46">
        <v>1500</v>
      </c>
      <c r="U3085" s="46">
        <v>6.8029999999999999</v>
      </c>
      <c r="V3085" s="46" t="s">
        <v>68</v>
      </c>
      <c r="W3085" s="46">
        <v>1500</v>
      </c>
      <c r="X3085" s="46">
        <v>6.8029999999999999</v>
      </c>
      <c r="AF3085" s="46">
        <v>46</v>
      </c>
      <c r="AG3085" s="46">
        <v>23100</v>
      </c>
      <c r="AH3085" s="46">
        <v>147774.85999999999</v>
      </c>
      <c r="AI3085" s="46">
        <v>6.3970000000000002</v>
      </c>
      <c r="AJ3085" s="46">
        <v>44</v>
      </c>
      <c r="AK3085" s="46">
        <v>19800</v>
      </c>
      <c r="AL3085" s="46">
        <v>127989.77</v>
      </c>
      <c r="AM3085" s="46">
        <v>6.4640000000000004</v>
      </c>
      <c r="AN3085" s="46" t="s">
        <v>63</v>
      </c>
      <c r="AO3085" s="46">
        <v>3300</v>
      </c>
      <c r="AP3085" s="46">
        <v>19785.09</v>
      </c>
      <c r="AQ3085" s="46">
        <v>5.9950000000000001</v>
      </c>
      <c r="AR3085" s="46">
        <v>1326.6</v>
      </c>
      <c r="AS3085" s="46">
        <v>46</v>
      </c>
      <c r="AT3085" s="46">
        <v>23100</v>
      </c>
      <c r="AU3085" s="46">
        <v>147774.85999999999</v>
      </c>
      <c r="AV3085" s="46">
        <v>6.3970000000000002</v>
      </c>
      <c r="AW3085" s="46">
        <v>48</v>
      </c>
      <c r="AX3085" s="46">
        <v>21300</v>
      </c>
      <c r="AY3085" s="46">
        <v>138170.666</v>
      </c>
      <c r="AZ3085" s="46">
        <v>6.4870000000000001</v>
      </c>
      <c r="BA3085" s="46" t="s">
        <v>63</v>
      </c>
      <c r="BB3085" s="46">
        <v>1800</v>
      </c>
      <c r="BC3085" s="46">
        <v>9604.1939999999995</v>
      </c>
      <c r="BD3085" s="46">
        <v>5.3360000000000003</v>
      </c>
      <c r="BE3085" s="46">
        <v>1917</v>
      </c>
      <c r="BF3085" s="46">
        <v>0</v>
      </c>
      <c r="BH3085" s="46">
        <v>10180.896000000001</v>
      </c>
      <c r="BI3085">
        <v>6.79</v>
      </c>
      <c r="BJ3085">
        <v>-10180.896000000001</v>
      </c>
      <c r="BK3085">
        <v>-6.79</v>
      </c>
      <c r="BL3085">
        <v>209.24</v>
      </c>
    </row>
    <row r="3086" spans="1:64" x14ac:dyDescent="0.25">
      <c r="A3086" s="136">
        <v>43256</v>
      </c>
      <c r="B3086" s="201" t="s">
        <v>79</v>
      </c>
      <c r="C3086" t="s">
        <v>143</v>
      </c>
      <c r="D3086">
        <v>5100</v>
      </c>
      <c r="E3086">
        <v>5100</v>
      </c>
      <c r="F3086">
        <v>16.358000000000001</v>
      </c>
      <c r="G3086">
        <v>-5496.06</v>
      </c>
      <c r="H3086">
        <v>-6.59</v>
      </c>
      <c r="I3086" s="309">
        <v>77928</v>
      </c>
      <c r="J3086">
        <v>15.28</v>
      </c>
      <c r="K3086" s="133">
        <v>0.16017137235159901</v>
      </c>
      <c r="L3086" s="181">
        <v>816</v>
      </c>
      <c r="M3086" s="133">
        <v>0.17146784438638399</v>
      </c>
      <c r="N3086" s="73">
        <v>-5910.50400000018</v>
      </c>
      <c r="O3086" s="73">
        <v>-388.65452289474803</v>
      </c>
      <c r="P3086" s="182">
        <v>6</v>
      </c>
      <c r="Q3086" s="182">
        <v>3000</v>
      </c>
      <c r="R3086" s="46">
        <v>14.355</v>
      </c>
      <c r="S3086" s="46">
        <v>0</v>
      </c>
      <c r="T3086" s="46">
        <v>0</v>
      </c>
      <c r="U3086" s="46">
        <v>0</v>
      </c>
      <c r="V3086" s="46" t="s">
        <v>62</v>
      </c>
      <c r="W3086" s="46">
        <v>3000</v>
      </c>
      <c r="X3086" s="46">
        <v>14.355</v>
      </c>
      <c r="AF3086" s="46">
        <v>20</v>
      </c>
      <c r="AG3086" s="46">
        <v>10500</v>
      </c>
      <c r="AH3086" s="46">
        <v>166461.29999999999</v>
      </c>
      <c r="AI3086" s="46">
        <v>15.853</v>
      </c>
      <c r="AJ3086" s="46">
        <v>21</v>
      </c>
      <c r="AK3086" s="46">
        <v>8400</v>
      </c>
      <c r="AL3086" s="46">
        <v>126127.59600000001</v>
      </c>
      <c r="AM3086" s="46">
        <v>15.015000000000001</v>
      </c>
      <c r="AN3086" s="46" t="s">
        <v>63</v>
      </c>
      <c r="AO3086" s="46">
        <v>2100</v>
      </c>
      <c r="AP3086" s="46">
        <v>40333.703999999998</v>
      </c>
      <c r="AQ3086" s="46">
        <v>19.207000000000001</v>
      </c>
      <c r="AR3086" s="46">
        <v>-7039.2</v>
      </c>
      <c r="AS3086" s="46">
        <v>26</v>
      </c>
      <c r="AT3086" s="46">
        <v>13500</v>
      </c>
      <c r="AU3086" s="46">
        <v>209558.1</v>
      </c>
      <c r="AV3086" s="46">
        <v>15.523</v>
      </c>
      <c r="AW3086" s="46">
        <v>21</v>
      </c>
      <c r="AX3086" s="46">
        <v>8400</v>
      </c>
      <c r="AY3086" s="46">
        <v>126127.59600000001</v>
      </c>
      <c r="AZ3086" s="46">
        <v>15.015000000000001</v>
      </c>
      <c r="BA3086" s="46" t="s">
        <v>63</v>
      </c>
      <c r="BB3086" s="46">
        <v>5100</v>
      </c>
      <c r="BC3086" s="46">
        <v>83430.504000000001</v>
      </c>
      <c r="BD3086" s="46">
        <v>16.359000000000002</v>
      </c>
      <c r="BE3086" s="46">
        <v>-4267.2</v>
      </c>
      <c r="BF3086" s="46">
        <v>43096.799999999901</v>
      </c>
      <c r="BG3086" s="46">
        <v>14.37</v>
      </c>
      <c r="BH3086" s="46">
        <v>0</v>
      </c>
      <c r="BJ3086">
        <v>43096.800000000003</v>
      </c>
      <c r="BK3086">
        <v>14.37</v>
      </c>
      <c r="BL3086">
        <v>-460.68</v>
      </c>
    </row>
    <row r="3087" spans="1:64" x14ac:dyDescent="0.25">
      <c r="A3087" s="136">
        <v>43256</v>
      </c>
      <c r="B3087" s="201" t="s">
        <v>65</v>
      </c>
      <c r="C3087" t="s">
        <v>127</v>
      </c>
      <c r="D3087">
        <v>16200</v>
      </c>
      <c r="E3087">
        <v>16200</v>
      </c>
      <c r="F3087">
        <v>9.3130000000000006</v>
      </c>
      <c r="G3087">
        <v>1888.4</v>
      </c>
      <c r="H3087">
        <v>1.26</v>
      </c>
      <c r="I3087" s="309">
        <v>152766</v>
      </c>
      <c r="J3087">
        <v>9.43</v>
      </c>
      <c r="K3087" s="133">
        <v>0.31399163161718902</v>
      </c>
      <c r="L3087" s="181">
        <v>3512.49</v>
      </c>
      <c r="M3087" s="133">
        <v>0.31011025881731302</v>
      </c>
      <c r="N3087" s="73">
        <v>-2556.0150000000199</v>
      </c>
      <c r="O3087" s="73">
        <v>183.086595621003</v>
      </c>
      <c r="P3087" s="182">
        <v>3</v>
      </c>
      <c r="Q3087" s="182">
        <v>1500</v>
      </c>
      <c r="R3087" s="46">
        <v>8.9570000000000007</v>
      </c>
      <c r="S3087" s="46">
        <v>12</v>
      </c>
      <c r="T3087" s="46">
        <v>4900</v>
      </c>
      <c r="U3087" s="46">
        <v>11.513</v>
      </c>
      <c r="V3087" s="46" t="s">
        <v>68</v>
      </c>
      <c r="W3087" s="46">
        <v>3400</v>
      </c>
      <c r="X3087" s="46">
        <v>12.641</v>
      </c>
      <c r="AF3087" s="46">
        <v>190</v>
      </c>
      <c r="AG3087" s="46">
        <v>100700</v>
      </c>
      <c r="AH3087" s="46">
        <v>1144985.2309999999</v>
      </c>
      <c r="AI3087" s="46">
        <v>11.37</v>
      </c>
      <c r="AJ3087" s="46">
        <v>209</v>
      </c>
      <c r="AK3087" s="46">
        <v>90300</v>
      </c>
      <c r="AL3087" s="46">
        <v>950426.62600000005</v>
      </c>
      <c r="AM3087" s="46">
        <v>10.525</v>
      </c>
      <c r="AN3087" s="46" t="s">
        <v>63</v>
      </c>
      <c r="AO3087" s="46">
        <v>10400</v>
      </c>
      <c r="AP3087" s="46">
        <v>194558.60500000001</v>
      </c>
      <c r="AQ3087" s="46">
        <v>18.707999999999998</v>
      </c>
      <c r="AR3087" s="46">
        <v>-76303.5</v>
      </c>
      <c r="AS3087" s="46">
        <v>194</v>
      </c>
      <c r="AT3087" s="46">
        <v>102300</v>
      </c>
      <c r="AU3087" s="46">
        <v>1159723.2309999999</v>
      </c>
      <c r="AV3087" s="46">
        <v>11.336</v>
      </c>
      <c r="AW3087" s="46">
        <v>221</v>
      </c>
      <c r="AX3087" s="46">
        <v>95200</v>
      </c>
      <c r="AY3087" s="46">
        <v>1006722.214</v>
      </c>
      <c r="AZ3087" s="46">
        <v>10.574999999999999</v>
      </c>
      <c r="BA3087" s="46" t="s">
        <v>63</v>
      </c>
      <c r="BB3087" s="46">
        <v>7100</v>
      </c>
      <c r="BC3087" s="46">
        <v>153001.01699999999</v>
      </c>
      <c r="BD3087" s="46">
        <v>21.548999999999999</v>
      </c>
      <c r="BE3087" s="46">
        <v>-72447.199999999997</v>
      </c>
      <c r="BF3087" s="46">
        <v>14738</v>
      </c>
      <c r="BG3087" s="46">
        <v>9.83</v>
      </c>
      <c r="BH3087" s="46">
        <v>56295.588000000098</v>
      </c>
      <c r="BI3087">
        <v>11.49</v>
      </c>
      <c r="BJ3087">
        <v>-41557.588000000003</v>
      </c>
      <c r="BK3087">
        <v>-12.22</v>
      </c>
      <c r="BL3087">
        <v>-8091.57</v>
      </c>
    </row>
    <row r="3088" spans="1:64" x14ac:dyDescent="0.25">
      <c r="A3088" s="136">
        <v>43256</v>
      </c>
      <c r="B3088" s="201" t="s">
        <v>77</v>
      </c>
      <c r="C3088" t="s">
        <v>128</v>
      </c>
      <c r="D3088">
        <v>4300</v>
      </c>
      <c r="E3088">
        <v>4300</v>
      </c>
      <c r="F3088">
        <v>5.9779999999999998</v>
      </c>
      <c r="G3088">
        <v>-595.27</v>
      </c>
      <c r="H3088">
        <v>-2.31</v>
      </c>
      <c r="I3088" s="309">
        <v>25112</v>
      </c>
      <c r="J3088">
        <v>5.84</v>
      </c>
      <c r="K3088" s="133">
        <v>5.1614612238134502E-2</v>
      </c>
      <c r="L3088" s="181">
        <v>0</v>
      </c>
      <c r="M3088" s="133">
        <v>5.2838116149690501E-2</v>
      </c>
      <c r="N3088" s="73">
        <v>-1272.2139999999999</v>
      </c>
      <c r="O3088" s="73">
        <v>-133.073774655173</v>
      </c>
      <c r="P3088" s="182">
        <v>6</v>
      </c>
      <c r="Q3088" s="182">
        <v>3000</v>
      </c>
      <c r="R3088" s="46">
        <v>6.798</v>
      </c>
      <c r="S3088" s="46">
        <v>0</v>
      </c>
      <c r="T3088" s="46">
        <v>0</v>
      </c>
      <c r="U3088" s="46">
        <v>0</v>
      </c>
      <c r="V3088" s="46" t="s">
        <v>62</v>
      </c>
      <c r="W3088" s="46">
        <v>3000</v>
      </c>
      <c r="X3088" s="46">
        <v>6.798</v>
      </c>
      <c r="AF3088" s="46">
        <v>39</v>
      </c>
      <c r="AG3088" s="46">
        <v>19500</v>
      </c>
      <c r="AH3088" s="46">
        <v>142169</v>
      </c>
      <c r="AI3088" s="46">
        <v>7.2910000000000004</v>
      </c>
      <c r="AJ3088" s="46">
        <v>39</v>
      </c>
      <c r="AK3088" s="46">
        <v>18200</v>
      </c>
      <c r="AL3088" s="46">
        <v>136881.78599999999</v>
      </c>
      <c r="AM3088" s="46">
        <v>7.5209999999999999</v>
      </c>
      <c r="AN3088" s="46" t="s">
        <v>63</v>
      </c>
      <c r="AO3088" s="46">
        <v>1300</v>
      </c>
      <c r="AP3088" s="46">
        <v>5287.2139999999999</v>
      </c>
      <c r="AQ3088" s="46">
        <v>4.0670000000000002</v>
      </c>
      <c r="AR3088" s="46">
        <v>4186</v>
      </c>
      <c r="AS3088" s="46">
        <v>45</v>
      </c>
      <c r="AT3088" s="46">
        <v>22500</v>
      </c>
      <c r="AU3088" s="46">
        <v>162594</v>
      </c>
      <c r="AV3088" s="46">
        <v>7.226</v>
      </c>
      <c r="AW3088" s="46">
        <v>39</v>
      </c>
      <c r="AX3088" s="46">
        <v>18200</v>
      </c>
      <c r="AY3088" s="46">
        <v>136881.78599999999</v>
      </c>
      <c r="AZ3088" s="46">
        <v>7.5209999999999999</v>
      </c>
      <c r="BA3088" s="46" t="s">
        <v>63</v>
      </c>
      <c r="BB3088" s="46">
        <v>4300</v>
      </c>
      <c r="BC3088" s="46">
        <v>25712.214</v>
      </c>
      <c r="BD3088" s="46">
        <v>5.98</v>
      </c>
      <c r="BE3088" s="46">
        <v>5369</v>
      </c>
      <c r="BF3088" s="46">
        <v>20425</v>
      </c>
      <c r="BG3088" s="46">
        <v>6.81</v>
      </c>
      <c r="BH3088" s="46">
        <v>0</v>
      </c>
      <c r="BJ3088">
        <v>20425</v>
      </c>
      <c r="BK3088">
        <v>6.81</v>
      </c>
      <c r="BL3088">
        <v>716.78</v>
      </c>
    </row>
    <row r="3089" spans="1:64" x14ac:dyDescent="0.25">
      <c r="A3089" s="136">
        <v>43256</v>
      </c>
      <c r="B3089" s="201" t="s">
        <v>67</v>
      </c>
      <c r="C3089" t="s">
        <v>129</v>
      </c>
      <c r="D3089">
        <v>100</v>
      </c>
      <c r="E3089">
        <v>100</v>
      </c>
      <c r="F3089">
        <v>-33.115000000000002</v>
      </c>
      <c r="G3089">
        <v>4302.5</v>
      </c>
      <c r="H3089">
        <v>0</v>
      </c>
      <c r="I3089" s="309">
        <v>991</v>
      </c>
      <c r="J3089">
        <v>9.91</v>
      </c>
      <c r="K3089" s="133">
        <v>2.0368780156097199E-3</v>
      </c>
      <c r="L3089" s="181">
        <v>33</v>
      </c>
      <c r="M3089" s="133">
        <v>0</v>
      </c>
      <c r="N3089" s="73">
        <v>4353.6874999997499</v>
      </c>
      <c r="O3089" s="73">
        <v>417.61138735602498</v>
      </c>
      <c r="P3089" s="182">
        <v>0</v>
      </c>
      <c r="Q3089" s="182">
        <v>0</v>
      </c>
      <c r="R3089" s="46">
        <v>0</v>
      </c>
      <c r="S3089" s="46">
        <v>24</v>
      </c>
      <c r="T3089" s="46">
        <v>9600</v>
      </c>
      <c r="U3089" s="46">
        <v>8.9969999999999999</v>
      </c>
      <c r="V3089" s="46" t="s">
        <v>68</v>
      </c>
      <c r="W3089" s="46">
        <v>9600</v>
      </c>
      <c r="X3089" s="46">
        <v>8.9969999999999999</v>
      </c>
      <c r="AF3089" s="46">
        <v>192</v>
      </c>
      <c r="AG3089" s="46">
        <v>95000</v>
      </c>
      <c r="AH3089" s="46">
        <v>791793</v>
      </c>
      <c r="AI3089" s="46">
        <v>8.3350000000000009</v>
      </c>
      <c r="AJ3089" s="46">
        <v>196</v>
      </c>
      <c r="AK3089" s="46">
        <v>87900</v>
      </c>
      <c r="AL3089" s="46">
        <v>778064.67550000001</v>
      </c>
      <c r="AM3089" s="46">
        <v>8.8520000000000003</v>
      </c>
      <c r="AN3089" s="46" t="s">
        <v>63</v>
      </c>
      <c r="AO3089" s="46">
        <v>7100</v>
      </c>
      <c r="AP3089" s="46">
        <v>13728.324000000001</v>
      </c>
      <c r="AQ3089" s="46">
        <v>1.9339999999999999</v>
      </c>
      <c r="AR3089" s="46">
        <v>45444.3</v>
      </c>
      <c r="AS3089" s="46">
        <v>192</v>
      </c>
      <c r="AT3089" s="46">
        <v>95000</v>
      </c>
      <c r="AU3089" s="46">
        <v>791793</v>
      </c>
      <c r="AV3089" s="46">
        <v>8.3350000000000009</v>
      </c>
      <c r="AW3089" s="46">
        <v>220</v>
      </c>
      <c r="AX3089" s="46">
        <v>97500</v>
      </c>
      <c r="AY3089" s="46">
        <v>864232.80350000004</v>
      </c>
      <c r="AZ3089" s="46">
        <v>8.8640000000000008</v>
      </c>
      <c r="BA3089" s="46" t="s">
        <v>69</v>
      </c>
      <c r="BB3089" s="46">
        <v>2500</v>
      </c>
      <c r="BC3089" s="46">
        <v>72439.804000000004</v>
      </c>
      <c r="BD3089" s="46">
        <v>28.975999999999999</v>
      </c>
      <c r="BE3089" s="46">
        <v>50255</v>
      </c>
      <c r="BF3089" s="46">
        <v>0</v>
      </c>
      <c r="BH3089" s="46">
        <v>86168.127999999997</v>
      </c>
      <c r="BI3089">
        <v>8.98</v>
      </c>
      <c r="BJ3089">
        <v>58711.48</v>
      </c>
      <c r="BK3089">
        <v>6.12</v>
      </c>
      <c r="BL3089">
        <v>4585.7</v>
      </c>
    </row>
    <row r="3090" spans="1:64" x14ac:dyDescent="0.25">
      <c r="A3090" s="136">
        <v>43256</v>
      </c>
      <c r="B3090" s="201" t="s">
        <v>78</v>
      </c>
      <c r="C3090" t="s">
        <v>142</v>
      </c>
      <c r="D3090">
        <v>200</v>
      </c>
      <c r="E3090">
        <v>200</v>
      </c>
      <c r="F3090">
        <v>2.1669999999999998</v>
      </c>
      <c r="G3090">
        <v>1482.65</v>
      </c>
      <c r="H3090">
        <v>342.09</v>
      </c>
      <c r="I3090" s="309">
        <v>1916</v>
      </c>
      <c r="J3090">
        <v>9.58</v>
      </c>
      <c r="K3090" s="133">
        <v>3.93810118860568E-3</v>
      </c>
      <c r="L3090" s="181">
        <v>26</v>
      </c>
      <c r="M3090" s="133">
        <v>8.9069736434356397E-4</v>
      </c>
      <c r="N3090" s="73">
        <v>1436.6510000000001</v>
      </c>
      <c r="O3090" s="73">
        <v>153.57568711229899</v>
      </c>
      <c r="P3090" s="182">
        <v>0</v>
      </c>
      <c r="Q3090" s="182">
        <v>0</v>
      </c>
      <c r="R3090" s="46">
        <v>0</v>
      </c>
      <c r="S3090" s="46">
        <v>3</v>
      </c>
      <c r="T3090" s="46">
        <v>1200</v>
      </c>
      <c r="U3090" s="46">
        <v>9.923</v>
      </c>
      <c r="V3090" s="46" t="s">
        <v>68</v>
      </c>
      <c r="W3090" s="46">
        <v>1200</v>
      </c>
      <c r="X3090" s="46">
        <v>9.923</v>
      </c>
      <c r="AF3090" s="46">
        <v>14</v>
      </c>
      <c r="AG3090" s="46">
        <v>7000</v>
      </c>
      <c r="AH3090" s="46">
        <v>67625</v>
      </c>
      <c r="AI3090" s="46">
        <v>9.6609999999999996</v>
      </c>
      <c r="AJ3090" s="46">
        <v>15</v>
      </c>
      <c r="AK3090" s="46">
        <v>5600</v>
      </c>
      <c r="AL3090" s="46">
        <v>55310.559000000001</v>
      </c>
      <c r="AM3090" s="46">
        <v>9.8770000000000007</v>
      </c>
      <c r="AN3090" s="46" t="s">
        <v>63</v>
      </c>
      <c r="AO3090" s="46">
        <v>1400</v>
      </c>
      <c r="AP3090" s="46">
        <v>12314.441000000001</v>
      </c>
      <c r="AQ3090" s="46">
        <v>8.7959999999999994</v>
      </c>
      <c r="AR3090" s="46">
        <v>1209.5999999999999</v>
      </c>
      <c r="AS3090" s="46">
        <v>14</v>
      </c>
      <c r="AT3090" s="46">
        <v>7000</v>
      </c>
      <c r="AU3090" s="46">
        <v>67625</v>
      </c>
      <c r="AV3090" s="46">
        <v>9.6609999999999996</v>
      </c>
      <c r="AW3090" s="46">
        <v>18</v>
      </c>
      <c r="AX3090" s="46">
        <v>6800</v>
      </c>
      <c r="AY3090" s="46">
        <v>67191.650999999998</v>
      </c>
      <c r="AZ3090" s="46">
        <v>9.8810000000000002</v>
      </c>
      <c r="BA3090" s="46" t="s">
        <v>63</v>
      </c>
      <c r="BB3090" s="46">
        <v>200</v>
      </c>
      <c r="BC3090" s="46">
        <v>433.34899999999999</v>
      </c>
      <c r="BD3090" s="46">
        <v>2.1669999999999998</v>
      </c>
      <c r="BE3090" s="46">
        <v>1496</v>
      </c>
      <c r="BF3090" s="46">
        <v>0</v>
      </c>
      <c r="BH3090" s="46">
        <v>11881.092000000001</v>
      </c>
      <c r="BI3090">
        <v>9.9</v>
      </c>
      <c r="BJ3090">
        <v>-11881.092000000001</v>
      </c>
      <c r="BK3090">
        <v>-9.9</v>
      </c>
      <c r="BL3090">
        <v>126.26</v>
      </c>
    </row>
    <row r="3091" spans="1:64" x14ac:dyDescent="0.25">
      <c r="A3091" s="136">
        <v>43256</v>
      </c>
      <c r="B3091" s="201" t="s">
        <v>72</v>
      </c>
      <c r="C3091" t="s">
        <v>130</v>
      </c>
      <c r="D3091">
        <v>2100</v>
      </c>
      <c r="E3091">
        <v>2100</v>
      </c>
      <c r="F3091">
        <v>6.3979999999999997</v>
      </c>
      <c r="G3091">
        <v>-248.12</v>
      </c>
      <c r="H3091">
        <v>-1.84</v>
      </c>
      <c r="I3091" s="309">
        <v>13188</v>
      </c>
      <c r="J3091">
        <v>6.28</v>
      </c>
      <c r="K3091" s="133">
        <v>2.7106304005914201E-2</v>
      </c>
      <c r="L3091" s="181">
        <v>-84</v>
      </c>
      <c r="M3091" s="133">
        <v>2.7616283999085899E-2</v>
      </c>
      <c r="N3091" s="73">
        <v>-13742.828</v>
      </c>
      <c r="O3091" s="73">
        <v>-53.197426442304298</v>
      </c>
      <c r="P3091" s="182">
        <v>0</v>
      </c>
      <c r="Q3091" s="182">
        <v>0</v>
      </c>
      <c r="R3091" s="46">
        <v>0</v>
      </c>
      <c r="S3091" s="46">
        <v>16</v>
      </c>
      <c r="T3091" s="46">
        <v>6400</v>
      </c>
      <c r="U3091" s="46">
        <v>7.4249999999999998</v>
      </c>
      <c r="V3091" s="46" t="s">
        <v>68</v>
      </c>
      <c r="W3091" s="46">
        <v>6400</v>
      </c>
      <c r="X3091" s="46">
        <v>7.4249999999999998</v>
      </c>
      <c r="AF3091" s="46">
        <v>40</v>
      </c>
      <c r="AG3091" s="46">
        <v>19900</v>
      </c>
      <c r="AH3091" s="46">
        <v>146997</v>
      </c>
      <c r="AI3091" s="46">
        <v>7.3869999999999996</v>
      </c>
      <c r="AJ3091" s="46">
        <v>40</v>
      </c>
      <c r="AK3091" s="46">
        <v>18000</v>
      </c>
      <c r="AL3091" s="46">
        <v>86900.876999999993</v>
      </c>
      <c r="AM3091" s="46">
        <v>4.8280000000000003</v>
      </c>
      <c r="AN3091" s="46" t="s">
        <v>63</v>
      </c>
      <c r="AO3091" s="46">
        <v>1900</v>
      </c>
      <c r="AP3091" s="46">
        <v>60096.123</v>
      </c>
      <c r="AQ3091" s="46">
        <v>31.63</v>
      </c>
      <c r="AR3091" s="46">
        <v>-46062</v>
      </c>
      <c r="AS3091" s="46">
        <v>40</v>
      </c>
      <c r="AT3091" s="46">
        <v>19900</v>
      </c>
      <c r="AU3091" s="46">
        <v>146997</v>
      </c>
      <c r="AV3091" s="46">
        <v>7.3869999999999996</v>
      </c>
      <c r="AW3091" s="46">
        <v>57</v>
      </c>
      <c r="AX3091" s="46">
        <v>24900</v>
      </c>
      <c r="AY3091" s="46">
        <v>134293.35699999999</v>
      </c>
      <c r="AZ3091" s="46">
        <v>5.3929999999999998</v>
      </c>
      <c r="BA3091" s="46" t="s">
        <v>69</v>
      </c>
      <c r="BB3091" s="46">
        <v>5000</v>
      </c>
      <c r="BC3091" s="46">
        <v>12703.643</v>
      </c>
      <c r="BD3091" s="46">
        <v>2.5409999999999999</v>
      </c>
      <c r="BE3091" s="46">
        <v>-39680.6</v>
      </c>
      <c r="BF3091" s="46">
        <v>0</v>
      </c>
      <c r="BH3091" s="46">
        <v>47392.480000000003</v>
      </c>
      <c r="BI3091">
        <v>7.41</v>
      </c>
      <c r="BJ3091">
        <v>-47392.480000000003</v>
      </c>
      <c r="BK3091">
        <v>-7.41</v>
      </c>
      <c r="BL3091">
        <v>-7334.71</v>
      </c>
    </row>
    <row r="3092" spans="1:64" x14ac:dyDescent="0.25">
      <c r="A3092" s="136">
        <v>43256</v>
      </c>
      <c r="B3092" s="201" t="s">
        <v>70</v>
      </c>
      <c r="C3092" t="s">
        <v>131</v>
      </c>
      <c r="D3092">
        <v>12100</v>
      </c>
      <c r="E3092">
        <v>12100</v>
      </c>
      <c r="F3092">
        <v>11.427</v>
      </c>
      <c r="G3092">
        <v>-29483.77</v>
      </c>
      <c r="H3092">
        <v>-21.33</v>
      </c>
      <c r="I3092" s="309">
        <v>108779</v>
      </c>
      <c r="J3092">
        <v>8.99</v>
      </c>
      <c r="K3092" s="133">
        <v>0.22358178976792101</v>
      </c>
      <c r="L3092" s="181">
        <v>1573</v>
      </c>
      <c r="M3092" s="133">
        <v>0.28418203490444299</v>
      </c>
      <c r="N3092" s="73">
        <v>-31786.762999999999</v>
      </c>
      <c r="O3092" s="73">
        <v>-3610.3260930113702</v>
      </c>
      <c r="P3092" s="182">
        <v>3</v>
      </c>
      <c r="Q3092" s="182">
        <v>1500</v>
      </c>
      <c r="R3092" s="46">
        <v>8.4169999999999998</v>
      </c>
      <c r="S3092" s="46">
        <v>6</v>
      </c>
      <c r="T3092" s="46">
        <v>2400</v>
      </c>
      <c r="U3092" s="46">
        <v>9.4130000000000003</v>
      </c>
      <c r="V3092" s="46" t="s">
        <v>68</v>
      </c>
      <c r="W3092" s="46">
        <v>900</v>
      </c>
      <c r="X3092" s="46">
        <v>11.073</v>
      </c>
      <c r="AF3092" s="46">
        <v>141</v>
      </c>
      <c r="AG3092" s="46">
        <v>72100</v>
      </c>
      <c r="AH3092" s="46">
        <v>926228</v>
      </c>
      <c r="AI3092" s="46">
        <v>12.846</v>
      </c>
      <c r="AJ3092" s="46">
        <v>147</v>
      </c>
      <c r="AK3092" s="46">
        <v>59100</v>
      </c>
      <c r="AL3092" s="46">
        <v>777656.82900000003</v>
      </c>
      <c r="AM3092" s="46">
        <v>13.157999999999999</v>
      </c>
      <c r="AN3092" s="46" t="s">
        <v>63</v>
      </c>
      <c r="AO3092" s="46">
        <v>13000</v>
      </c>
      <c r="AP3092" s="46">
        <v>148571.171</v>
      </c>
      <c r="AQ3092" s="46">
        <v>11.429</v>
      </c>
      <c r="AR3092" s="46">
        <v>18439.2</v>
      </c>
      <c r="AS3092" s="46">
        <v>144</v>
      </c>
      <c r="AT3092" s="46">
        <v>73600</v>
      </c>
      <c r="AU3092" s="46">
        <v>938868</v>
      </c>
      <c r="AV3092" s="46">
        <v>12.756</v>
      </c>
      <c r="AW3092" s="46">
        <v>154</v>
      </c>
      <c r="AX3092" s="46">
        <v>61500</v>
      </c>
      <c r="AY3092" s="46">
        <v>800601.23699999996</v>
      </c>
      <c r="AZ3092" s="46">
        <v>13.018000000000001</v>
      </c>
      <c r="BA3092" s="46" t="s">
        <v>63</v>
      </c>
      <c r="BB3092" s="46">
        <v>12100</v>
      </c>
      <c r="BC3092" s="46">
        <v>138266.76300000001</v>
      </c>
      <c r="BD3092" s="46">
        <v>11.427</v>
      </c>
      <c r="BE3092" s="46">
        <v>16113</v>
      </c>
      <c r="BF3092" s="46">
        <v>12640</v>
      </c>
      <c r="BG3092" s="46">
        <v>8.43</v>
      </c>
      <c r="BH3092" s="46">
        <v>22944.407999999901</v>
      </c>
      <c r="BI3092">
        <v>9.56</v>
      </c>
      <c r="BJ3092">
        <v>-10304.407999999999</v>
      </c>
      <c r="BK3092">
        <v>-11.45</v>
      </c>
      <c r="BL3092">
        <v>2051.08</v>
      </c>
    </row>
    <row r="3093" spans="1:64" x14ac:dyDescent="0.25">
      <c r="A3093" s="136">
        <v>43256</v>
      </c>
      <c r="B3093" s="201" t="s">
        <v>137</v>
      </c>
      <c r="C3093" t="s">
        <v>149</v>
      </c>
      <c r="D3093">
        <v>100</v>
      </c>
      <c r="E3093">
        <v>100</v>
      </c>
      <c r="F3093">
        <v>-130.86000000000001</v>
      </c>
      <c r="G3093">
        <v>17078</v>
      </c>
      <c r="H3093">
        <v>0</v>
      </c>
      <c r="I3093" s="309">
        <v>3992</v>
      </c>
      <c r="J3093">
        <v>39.92</v>
      </c>
      <c r="K3093" s="133">
        <v>8.2050626017295698E-3</v>
      </c>
      <c r="L3093" s="181">
        <v>154.5</v>
      </c>
      <c r="M3093" s="133">
        <v>0</v>
      </c>
    </row>
    <row r="3094" spans="1:64" x14ac:dyDescent="0.25">
      <c r="A3094" s="136">
        <v>43256</v>
      </c>
      <c r="B3094" s="201" t="s">
        <v>835</v>
      </c>
      <c r="C3094" t="s">
        <v>839</v>
      </c>
      <c r="I3094" s="309">
        <v>12328.61</v>
      </c>
      <c r="K3094" s="133">
        <v>2.5339934078734801E-2</v>
      </c>
      <c r="L3094" s="181">
        <v>0</v>
      </c>
      <c r="M3094" s="133">
        <v>0.148895351312026</v>
      </c>
    </row>
    <row r="3095" spans="1:64" x14ac:dyDescent="0.25">
      <c r="A3095" s="136">
        <v>43258</v>
      </c>
      <c r="B3095" s="201" t="s">
        <v>132</v>
      </c>
      <c r="C3095" t="s">
        <v>123</v>
      </c>
      <c r="D3095">
        <v>4012367</v>
      </c>
      <c r="E3095">
        <v>4012367</v>
      </c>
      <c r="F3095">
        <v>8.9999999999999993E-3</v>
      </c>
      <c r="G3095">
        <v>3728.23</v>
      </c>
      <c r="H3095">
        <v>11.11</v>
      </c>
      <c r="I3095" s="309">
        <v>40123.67</v>
      </c>
      <c r="J3095">
        <v>0.01</v>
      </c>
      <c r="K3095" s="133">
        <v>8.29653204010804E-2</v>
      </c>
      <c r="L3095" s="181">
        <v>10.389999999999899</v>
      </c>
      <c r="M3095" s="133">
        <v>0</v>
      </c>
    </row>
    <row r="3096" spans="1:64" x14ac:dyDescent="0.25">
      <c r="A3096" s="136">
        <v>43258</v>
      </c>
      <c r="B3096" s="201" t="s">
        <v>61</v>
      </c>
      <c r="C3096" t="s">
        <v>136</v>
      </c>
      <c r="D3096">
        <v>3900</v>
      </c>
      <c r="E3096">
        <v>3900</v>
      </c>
      <c r="F3096">
        <v>5.0519999999999996</v>
      </c>
      <c r="G3096">
        <v>-2308.1</v>
      </c>
      <c r="H3096">
        <v>-11.72</v>
      </c>
      <c r="I3096" s="309">
        <v>17394</v>
      </c>
      <c r="J3096">
        <v>4.46</v>
      </c>
      <c r="K3096" s="133">
        <v>3.5966270858483099E-2</v>
      </c>
      <c r="L3096" s="181">
        <v>-39</v>
      </c>
      <c r="M3096" s="133">
        <v>4.0738821724785497E-2</v>
      </c>
      <c r="N3096" s="73">
        <v>-1807.1410000000001</v>
      </c>
      <c r="O3096" s="73">
        <v>-393.515779847494</v>
      </c>
      <c r="P3096" s="182">
        <v>6</v>
      </c>
      <c r="Q3096" s="182">
        <v>3000</v>
      </c>
      <c r="R3096" s="46">
        <v>5.0350000000000001</v>
      </c>
      <c r="S3096" s="46">
        <v>0</v>
      </c>
      <c r="T3096" s="46">
        <v>0</v>
      </c>
      <c r="U3096" s="46">
        <v>0</v>
      </c>
      <c r="V3096" s="46" t="s">
        <v>62</v>
      </c>
      <c r="W3096" s="46">
        <v>3000</v>
      </c>
      <c r="X3096" s="46">
        <v>5.0350000000000001</v>
      </c>
      <c r="AF3096" s="46">
        <v>10</v>
      </c>
      <c r="AG3096" s="46">
        <v>5000</v>
      </c>
      <c r="AH3096" s="46">
        <v>26378</v>
      </c>
      <c r="AI3096" s="46">
        <v>5.2759999999999998</v>
      </c>
      <c r="AJ3096" s="46">
        <v>10</v>
      </c>
      <c r="AK3096" s="46">
        <v>4100</v>
      </c>
      <c r="AL3096" s="46">
        <v>21806.659</v>
      </c>
      <c r="AM3096" s="46">
        <v>5.319</v>
      </c>
      <c r="AN3096" s="46" t="s">
        <v>63</v>
      </c>
      <c r="AO3096" s="46">
        <v>900</v>
      </c>
      <c r="AP3096" s="46">
        <v>4571.3410000000003</v>
      </c>
      <c r="AQ3096" s="46">
        <v>5.0789999999999997</v>
      </c>
      <c r="AR3096" s="46">
        <v>176.3</v>
      </c>
      <c r="AS3096" s="46">
        <v>16</v>
      </c>
      <c r="AT3096" s="46">
        <v>8000</v>
      </c>
      <c r="AU3096" s="46">
        <v>41514.800000000003</v>
      </c>
      <c r="AV3096" s="46">
        <v>5.1890000000000001</v>
      </c>
      <c r="AW3096" s="46">
        <v>10</v>
      </c>
      <c r="AX3096" s="46">
        <v>4100</v>
      </c>
      <c r="AY3096" s="46">
        <v>21806.659</v>
      </c>
      <c r="AZ3096" s="46">
        <v>5.319</v>
      </c>
      <c r="BA3096" s="46" t="s">
        <v>63</v>
      </c>
      <c r="BB3096" s="46">
        <v>3900</v>
      </c>
      <c r="BC3096" s="46">
        <v>19708.141</v>
      </c>
      <c r="BD3096" s="46">
        <v>5.0529999999999999</v>
      </c>
      <c r="BE3096" s="46">
        <v>533</v>
      </c>
      <c r="BF3096" s="46">
        <v>15136.8</v>
      </c>
      <c r="BG3096" s="46">
        <v>5.05</v>
      </c>
      <c r="BH3096" s="46">
        <v>0</v>
      </c>
      <c r="BJ3096">
        <v>15136.8</v>
      </c>
      <c r="BK3096">
        <v>5.05</v>
      </c>
      <c r="BL3096">
        <v>39.53</v>
      </c>
    </row>
    <row r="3097" spans="1:64" x14ac:dyDescent="0.25">
      <c r="A3097" s="136">
        <v>43258</v>
      </c>
      <c r="B3097" s="201" t="s">
        <v>124</v>
      </c>
      <c r="C3097" t="s">
        <v>125</v>
      </c>
      <c r="D3097">
        <v>100</v>
      </c>
      <c r="E3097">
        <v>100</v>
      </c>
      <c r="F3097">
        <v>-53.579000000000001</v>
      </c>
      <c r="G3097">
        <v>5926.9</v>
      </c>
      <c r="H3097">
        <v>0</v>
      </c>
      <c r="I3097" s="309">
        <v>569</v>
      </c>
      <c r="J3097">
        <v>5.69</v>
      </c>
      <c r="K3097" s="133">
        <v>1.1765441024765399E-3</v>
      </c>
      <c r="L3097" s="181">
        <v>-1</v>
      </c>
      <c r="M3097" s="133">
        <v>0</v>
      </c>
    </row>
    <row r="3098" spans="1:64" x14ac:dyDescent="0.25">
      <c r="A3098" s="136">
        <v>43258</v>
      </c>
      <c r="B3098" s="201" t="s">
        <v>71</v>
      </c>
      <c r="C3098" t="s">
        <v>126</v>
      </c>
      <c r="D3098">
        <v>1800</v>
      </c>
      <c r="E3098">
        <v>1800</v>
      </c>
      <c r="F3098">
        <v>5.2450000000000001</v>
      </c>
      <c r="G3098">
        <v>1952.9</v>
      </c>
      <c r="H3098">
        <v>20.69</v>
      </c>
      <c r="I3098" s="309">
        <v>11394</v>
      </c>
      <c r="J3098">
        <v>6.33</v>
      </c>
      <c r="K3098" s="133">
        <v>2.3559830410575799E-2</v>
      </c>
      <c r="L3098" s="181">
        <v>-18</v>
      </c>
      <c r="M3098" s="133">
        <v>1.9521740818789501E-2</v>
      </c>
      <c r="N3098" s="73">
        <v>7615.7060000000001</v>
      </c>
      <c r="O3098" s="73">
        <v>340.325270015456</v>
      </c>
      <c r="P3098" s="182">
        <v>0</v>
      </c>
      <c r="Q3098" s="182">
        <v>0</v>
      </c>
      <c r="R3098" s="46">
        <v>0</v>
      </c>
      <c r="S3098" s="46">
        <v>4</v>
      </c>
      <c r="T3098" s="46">
        <v>1500</v>
      </c>
      <c r="U3098" s="46">
        <v>6.8029999999999999</v>
      </c>
      <c r="V3098" s="46" t="s">
        <v>68</v>
      </c>
      <c r="W3098" s="46">
        <v>1500</v>
      </c>
      <c r="X3098" s="46">
        <v>6.8029999999999999</v>
      </c>
      <c r="AF3098" s="46">
        <v>46</v>
      </c>
      <c r="AG3098" s="46">
        <v>23100</v>
      </c>
      <c r="AH3098" s="46">
        <v>147774.85999999999</v>
      </c>
      <c r="AI3098" s="46">
        <v>6.3970000000000002</v>
      </c>
      <c r="AJ3098" s="46">
        <v>44</v>
      </c>
      <c r="AK3098" s="46">
        <v>19800</v>
      </c>
      <c r="AL3098" s="46">
        <v>127989.77</v>
      </c>
      <c r="AM3098" s="46">
        <v>6.4640000000000004</v>
      </c>
      <c r="AN3098" s="46" t="s">
        <v>63</v>
      </c>
      <c r="AO3098" s="46">
        <v>3300</v>
      </c>
      <c r="AP3098" s="46">
        <v>19785.09</v>
      </c>
      <c r="AQ3098" s="46">
        <v>5.9950000000000001</v>
      </c>
      <c r="AR3098" s="46">
        <v>1326.6</v>
      </c>
      <c r="AS3098" s="46">
        <v>46</v>
      </c>
      <c r="AT3098" s="46">
        <v>23100</v>
      </c>
      <c r="AU3098" s="46">
        <v>147774.85999999999</v>
      </c>
      <c r="AV3098" s="46">
        <v>6.3970000000000002</v>
      </c>
      <c r="AW3098" s="46">
        <v>48</v>
      </c>
      <c r="AX3098" s="46">
        <v>21300</v>
      </c>
      <c r="AY3098" s="46">
        <v>138170.666</v>
      </c>
      <c r="AZ3098" s="46">
        <v>6.4870000000000001</v>
      </c>
      <c r="BA3098" s="46" t="s">
        <v>63</v>
      </c>
      <c r="BB3098" s="46">
        <v>1800</v>
      </c>
      <c r="BC3098" s="46">
        <v>9604.1939999999995</v>
      </c>
      <c r="BD3098" s="46">
        <v>5.3360000000000003</v>
      </c>
      <c r="BE3098" s="46">
        <v>1917</v>
      </c>
      <c r="BF3098" s="46">
        <v>0</v>
      </c>
      <c r="BH3098" s="46">
        <v>10180.896000000001</v>
      </c>
      <c r="BI3098">
        <v>6.79</v>
      </c>
      <c r="BJ3098">
        <v>-10180.896000000001</v>
      </c>
      <c r="BK3098">
        <v>-6.79</v>
      </c>
      <c r="BL3098">
        <v>209.57</v>
      </c>
    </row>
    <row r="3099" spans="1:64" x14ac:dyDescent="0.25">
      <c r="A3099" s="136">
        <v>43258</v>
      </c>
      <c r="B3099" s="201" t="s">
        <v>79</v>
      </c>
      <c r="C3099" t="s">
        <v>143</v>
      </c>
      <c r="D3099">
        <v>4700</v>
      </c>
      <c r="E3099">
        <v>4700</v>
      </c>
      <c r="F3099">
        <v>16.448</v>
      </c>
      <c r="G3099">
        <v>-7273.31</v>
      </c>
      <c r="H3099">
        <v>-9.41</v>
      </c>
      <c r="I3099" s="309">
        <v>70030</v>
      </c>
      <c r="J3099">
        <v>14.9</v>
      </c>
      <c r="K3099" s="133">
        <v>0.14480383742782399</v>
      </c>
      <c r="L3099" s="181">
        <v>-1777.25</v>
      </c>
      <c r="M3099" s="133">
        <v>0.15984315199018501</v>
      </c>
      <c r="N3099" s="73">
        <v>-5258.8760000001803</v>
      </c>
      <c r="O3099" s="73">
        <v>-342.87322648403</v>
      </c>
      <c r="P3099" s="182">
        <v>6</v>
      </c>
      <c r="Q3099" s="182">
        <v>3000</v>
      </c>
      <c r="R3099" s="46">
        <v>14.355</v>
      </c>
      <c r="S3099" s="46">
        <v>1</v>
      </c>
      <c r="T3099" s="46">
        <v>400</v>
      </c>
      <c r="U3099" s="46">
        <v>15.33</v>
      </c>
      <c r="V3099" s="46" t="s">
        <v>62</v>
      </c>
      <c r="W3099" s="46">
        <v>2600</v>
      </c>
      <c r="X3099" s="46">
        <v>14.205</v>
      </c>
      <c r="AF3099" s="46">
        <v>20</v>
      </c>
      <c r="AG3099" s="46">
        <v>10500</v>
      </c>
      <c r="AH3099" s="46">
        <v>166461.29999999999</v>
      </c>
      <c r="AI3099" s="46">
        <v>15.853</v>
      </c>
      <c r="AJ3099" s="46">
        <v>21</v>
      </c>
      <c r="AK3099" s="46">
        <v>8400</v>
      </c>
      <c r="AL3099" s="46">
        <v>126127.59600000001</v>
      </c>
      <c r="AM3099" s="46">
        <v>15.015000000000001</v>
      </c>
      <c r="AN3099" s="46" t="s">
        <v>63</v>
      </c>
      <c r="AO3099" s="46">
        <v>2100</v>
      </c>
      <c r="AP3099" s="46">
        <v>40333.703999999998</v>
      </c>
      <c r="AQ3099" s="46">
        <v>19.207000000000001</v>
      </c>
      <c r="AR3099" s="46">
        <v>-7039.2</v>
      </c>
      <c r="AS3099" s="46">
        <v>26</v>
      </c>
      <c r="AT3099" s="46">
        <v>13500</v>
      </c>
      <c r="AU3099" s="46">
        <v>209558.1</v>
      </c>
      <c r="AV3099" s="46">
        <v>15.523</v>
      </c>
      <c r="AW3099" s="46">
        <v>22</v>
      </c>
      <c r="AX3099" s="46">
        <v>8800</v>
      </c>
      <c r="AY3099" s="46">
        <v>132248.22399999999</v>
      </c>
      <c r="AZ3099" s="46">
        <v>15.028</v>
      </c>
      <c r="BA3099" s="46" t="s">
        <v>63</v>
      </c>
      <c r="BB3099" s="46">
        <v>4700</v>
      </c>
      <c r="BC3099" s="46">
        <v>77309.876000000004</v>
      </c>
      <c r="BD3099" s="46">
        <v>16.449000000000002</v>
      </c>
      <c r="BE3099" s="46">
        <v>-4356</v>
      </c>
      <c r="BF3099" s="46">
        <v>43096.799999999901</v>
      </c>
      <c r="BG3099" s="46">
        <v>14.37</v>
      </c>
      <c r="BH3099" s="46">
        <v>6120.6279999999797</v>
      </c>
      <c r="BI3099">
        <v>15.3</v>
      </c>
      <c r="BJ3099">
        <v>36976.171999999999</v>
      </c>
      <c r="BK3099">
        <v>14.22</v>
      </c>
      <c r="BL3099">
        <v>-472.43</v>
      </c>
    </row>
    <row r="3100" spans="1:64" x14ac:dyDescent="0.25">
      <c r="A3100" s="136">
        <v>43258</v>
      </c>
      <c r="B3100" s="201" t="s">
        <v>65</v>
      </c>
      <c r="C3100" t="s">
        <v>127</v>
      </c>
      <c r="D3100">
        <v>19800</v>
      </c>
      <c r="E3100">
        <v>15800</v>
      </c>
      <c r="F3100">
        <v>9.3379999999999992</v>
      </c>
      <c r="G3100">
        <v>4000.15</v>
      </c>
      <c r="H3100">
        <v>2.16</v>
      </c>
      <c r="I3100" s="309">
        <v>188892</v>
      </c>
      <c r="J3100">
        <v>9.5399999999999991</v>
      </c>
      <c r="K3100" s="133">
        <v>0.39057955818101597</v>
      </c>
      <c r="L3100" s="181">
        <v>2111.75</v>
      </c>
      <c r="M3100" s="133">
        <v>0.38230828772140002</v>
      </c>
      <c r="N3100" s="73">
        <v>-876.26900000003695</v>
      </c>
      <c r="O3100" s="73">
        <v>357.89504287590302</v>
      </c>
      <c r="P3100" s="182">
        <v>4</v>
      </c>
      <c r="Q3100" s="182">
        <v>5500</v>
      </c>
      <c r="R3100" s="46">
        <v>9.3149999999999995</v>
      </c>
      <c r="S3100" s="46">
        <v>12</v>
      </c>
      <c r="T3100" s="46">
        <v>4900</v>
      </c>
      <c r="U3100" s="46">
        <v>11.523</v>
      </c>
      <c r="V3100" s="46" t="s">
        <v>62</v>
      </c>
      <c r="W3100" s="46">
        <v>600</v>
      </c>
      <c r="X3100" s="46">
        <v>-8.7170000000000005</v>
      </c>
      <c r="AF3100" s="46">
        <v>190</v>
      </c>
      <c r="AG3100" s="46">
        <v>100700</v>
      </c>
      <c r="AH3100" s="46">
        <v>1144985.2309999999</v>
      </c>
      <c r="AI3100" s="46">
        <v>11.37</v>
      </c>
      <c r="AJ3100" s="46">
        <v>210</v>
      </c>
      <c r="AK3100" s="46">
        <v>90700</v>
      </c>
      <c r="AL3100" s="46">
        <v>954169.87399999995</v>
      </c>
      <c r="AM3100" s="46">
        <v>10.52</v>
      </c>
      <c r="AN3100" s="46" t="s">
        <v>63</v>
      </c>
      <c r="AO3100" s="46">
        <v>10000</v>
      </c>
      <c r="AP3100" s="46">
        <v>190815.35699999999</v>
      </c>
      <c r="AQ3100" s="46">
        <v>19.082000000000001</v>
      </c>
      <c r="AR3100" s="46">
        <v>-77095</v>
      </c>
      <c r="AS3100" s="46">
        <v>195</v>
      </c>
      <c r="AT3100" s="46">
        <v>106300</v>
      </c>
      <c r="AU3100" s="46">
        <v>1197532.6810000001</v>
      </c>
      <c r="AV3100" s="46">
        <v>11.266</v>
      </c>
      <c r="AW3100" s="46">
        <v>222</v>
      </c>
      <c r="AX3100" s="46">
        <v>95600</v>
      </c>
      <c r="AY3100" s="46">
        <v>1010517.41</v>
      </c>
      <c r="AZ3100" s="46">
        <v>10.57</v>
      </c>
      <c r="BA3100" s="46" t="s">
        <v>63</v>
      </c>
      <c r="BB3100" s="46">
        <v>10700</v>
      </c>
      <c r="BC3100" s="46">
        <v>187015.27100000001</v>
      </c>
      <c r="BD3100" s="46">
        <v>17.478000000000002</v>
      </c>
      <c r="BE3100" s="46">
        <v>-66537.600000000006</v>
      </c>
      <c r="BF3100" s="46">
        <v>52547.45</v>
      </c>
      <c r="BG3100" s="46">
        <v>9.5500000000000007</v>
      </c>
      <c r="BH3100" s="46">
        <v>56347.536000000102</v>
      </c>
      <c r="BI3100">
        <v>11.5</v>
      </c>
      <c r="BJ3100">
        <v>-3800.0859999999798</v>
      </c>
      <c r="BK3100">
        <v>-6.33</v>
      </c>
      <c r="BL3100">
        <v>-8081.24</v>
      </c>
    </row>
    <row r="3101" spans="1:64" x14ac:dyDescent="0.25">
      <c r="A3101" s="136">
        <v>43258</v>
      </c>
      <c r="B3101" s="201" t="s">
        <v>77</v>
      </c>
      <c r="C3101" t="s">
        <v>128</v>
      </c>
      <c r="D3101">
        <v>4300</v>
      </c>
      <c r="E3101">
        <v>4300</v>
      </c>
      <c r="F3101">
        <v>5.9779999999999998</v>
      </c>
      <c r="G3101">
        <v>-595.27</v>
      </c>
      <c r="H3101">
        <v>-2.31</v>
      </c>
      <c r="I3101" s="309">
        <v>25112</v>
      </c>
      <c r="J3101">
        <v>5.84</v>
      </c>
      <c r="K3101" s="133">
        <v>5.1925088754641101E-2</v>
      </c>
      <c r="L3101" s="181">
        <v>0</v>
      </c>
      <c r="M3101" s="133">
        <v>5.3155952388878699E-2</v>
      </c>
      <c r="N3101" s="73">
        <v>-1272.2139999999999</v>
      </c>
      <c r="O3101" s="73">
        <v>-133.073774655173</v>
      </c>
      <c r="P3101" s="182">
        <v>6</v>
      </c>
      <c r="Q3101" s="182">
        <v>3000</v>
      </c>
      <c r="R3101" s="46">
        <v>6.798</v>
      </c>
      <c r="S3101" s="46">
        <v>0</v>
      </c>
      <c r="T3101" s="46">
        <v>0</v>
      </c>
      <c r="U3101" s="46">
        <v>0</v>
      </c>
      <c r="V3101" s="46" t="s">
        <v>62</v>
      </c>
      <c r="W3101" s="46">
        <v>3000</v>
      </c>
      <c r="X3101" s="46">
        <v>6.798</v>
      </c>
      <c r="AF3101" s="46">
        <v>39</v>
      </c>
      <c r="AG3101" s="46">
        <v>19500</v>
      </c>
      <c r="AH3101" s="46">
        <v>142169</v>
      </c>
      <c r="AI3101" s="46">
        <v>7.2910000000000004</v>
      </c>
      <c r="AJ3101" s="46">
        <v>39</v>
      </c>
      <c r="AK3101" s="46">
        <v>18200</v>
      </c>
      <c r="AL3101" s="46">
        <v>136881.78599999999</v>
      </c>
      <c r="AM3101" s="46">
        <v>7.5209999999999999</v>
      </c>
      <c r="AN3101" s="46" t="s">
        <v>63</v>
      </c>
      <c r="AO3101" s="46">
        <v>1300</v>
      </c>
      <c r="AP3101" s="46">
        <v>5287.2139999999999</v>
      </c>
      <c r="AQ3101" s="46">
        <v>4.0670000000000002</v>
      </c>
      <c r="AR3101" s="46">
        <v>4186</v>
      </c>
      <c r="AS3101" s="46">
        <v>45</v>
      </c>
      <c r="AT3101" s="46">
        <v>22500</v>
      </c>
      <c r="AU3101" s="46">
        <v>162594</v>
      </c>
      <c r="AV3101" s="46">
        <v>7.226</v>
      </c>
      <c r="AW3101" s="46">
        <v>39</v>
      </c>
      <c r="AX3101" s="46">
        <v>18200</v>
      </c>
      <c r="AY3101" s="46">
        <v>136881.78599999999</v>
      </c>
      <c r="AZ3101" s="46">
        <v>7.5209999999999999</v>
      </c>
      <c r="BA3101" s="46" t="s">
        <v>63</v>
      </c>
      <c r="BB3101" s="46">
        <v>4300</v>
      </c>
      <c r="BC3101" s="46">
        <v>25712.214</v>
      </c>
      <c r="BD3101" s="46">
        <v>5.98</v>
      </c>
      <c r="BE3101" s="46">
        <v>5369</v>
      </c>
      <c r="BF3101" s="46">
        <v>20425</v>
      </c>
      <c r="BG3101" s="46">
        <v>6.81</v>
      </c>
      <c r="BH3101" s="46">
        <v>0</v>
      </c>
      <c r="BJ3101">
        <v>20425</v>
      </c>
      <c r="BK3101">
        <v>6.81</v>
      </c>
      <c r="BL3101">
        <v>716.78</v>
      </c>
    </row>
    <row r="3102" spans="1:64" x14ac:dyDescent="0.25">
      <c r="A3102" s="136">
        <v>43258</v>
      </c>
      <c r="B3102" s="201" t="s">
        <v>67</v>
      </c>
      <c r="C3102" t="s">
        <v>129</v>
      </c>
      <c r="D3102">
        <v>100</v>
      </c>
      <c r="E3102">
        <v>100</v>
      </c>
      <c r="F3102">
        <v>-33.115000000000002</v>
      </c>
      <c r="G3102">
        <v>4298.5</v>
      </c>
      <c r="H3102">
        <v>0</v>
      </c>
      <c r="I3102" s="309">
        <v>987</v>
      </c>
      <c r="J3102">
        <v>9.8699999999999992</v>
      </c>
      <c r="K3102" s="133">
        <v>2.04085945368074E-3</v>
      </c>
      <c r="L3102" s="181">
        <v>-4</v>
      </c>
      <c r="M3102" s="133">
        <v>0</v>
      </c>
      <c r="N3102" s="73">
        <v>4353.6874999997499</v>
      </c>
      <c r="O3102" s="73">
        <v>417.61138735602498</v>
      </c>
      <c r="P3102" s="182">
        <v>0</v>
      </c>
      <c r="Q3102" s="182">
        <v>0</v>
      </c>
      <c r="R3102" s="46">
        <v>0</v>
      </c>
      <c r="S3102" s="46">
        <v>24</v>
      </c>
      <c r="T3102" s="46">
        <v>9600</v>
      </c>
      <c r="U3102" s="46">
        <v>8.9969999999999999</v>
      </c>
      <c r="V3102" s="46" t="s">
        <v>68</v>
      </c>
      <c r="W3102" s="46">
        <v>9600</v>
      </c>
      <c r="X3102" s="46">
        <v>8.9969999999999999</v>
      </c>
      <c r="AF3102" s="46">
        <v>192</v>
      </c>
      <c r="AG3102" s="46">
        <v>95000</v>
      </c>
      <c r="AH3102" s="46">
        <v>791793</v>
      </c>
      <c r="AI3102" s="46">
        <v>8.3350000000000009</v>
      </c>
      <c r="AJ3102" s="46">
        <v>196</v>
      </c>
      <c r="AK3102" s="46">
        <v>87900</v>
      </c>
      <c r="AL3102" s="46">
        <v>778064.67550000001</v>
      </c>
      <c r="AM3102" s="46">
        <v>8.8520000000000003</v>
      </c>
      <c r="AN3102" s="46" t="s">
        <v>63</v>
      </c>
      <c r="AO3102" s="46">
        <v>7100</v>
      </c>
      <c r="AP3102" s="46">
        <v>13728.324000000001</v>
      </c>
      <c r="AQ3102" s="46">
        <v>1.9339999999999999</v>
      </c>
      <c r="AR3102" s="46">
        <v>45444.3</v>
      </c>
      <c r="AS3102" s="46">
        <v>192</v>
      </c>
      <c r="AT3102" s="46">
        <v>95000</v>
      </c>
      <c r="AU3102" s="46">
        <v>791793</v>
      </c>
      <c r="AV3102" s="46">
        <v>8.3350000000000009</v>
      </c>
      <c r="AW3102" s="46">
        <v>220</v>
      </c>
      <c r="AX3102" s="46">
        <v>97500</v>
      </c>
      <c r="AY3102" s="46">
        <v>864232.80350000004</v>
      </c>
      <c r="AZ3102" s="46">
        <v>8.8640000000000008</v>
      </c>
      <c r="BA3102" s="46" t="s">
        <v>69</v>
      </c>
      <c r="BB3102" s="46">
        <v>2500</v>
      </c>
      <c r="BC3102" s="46">
        <v>72439.804000000004</v>
      </c>
      <c r="BD3102" s="46">
        <v>28.975999999999999</v>
      </c>
      <c r="BE3102" s="46">
        <v>50255</v>
      </c>
      <c r="BF3102" s="46">
        <v>0</v>
      </c>
      <c r="BH3102" s="46">
        <v>86168.127999999997</v>
      </c>
      <c r="BI3102">
        <v>8.98</v>
      </c>
      <c r="BJ3102">
        <v>58711.48</v>
      </c>
      <c r="BK3102">
        <v>6.12</v>
      </c>
      <c r="BL3102">
        <v>4604.29</v>
      </c>
    </row>
    <row r="3103" spans="1:64" x14ac:dyDescent="0.25">
      <c r="A3103" s="136">
        <v>43258</v>
      </c>
      <c r="B3103" s="201" t="s">
        <v>78</v>
      </c>
      <c r="C3103" t="s">
        <v>142</v>
      </c>
      <c r="D3103">
        <v>200</v>
      </c>
      <c r="E3103">
        <v>200</v>
      </c>
      <c r="F3103">
        <v>2.1669999999999998</v>
      </c>
      <c r="G3103">
        <v>1546.65</v>
      </c>
      <c r="H3103">
        <v>356.85</v>
      </c>
      <c r="I3103" s="309">
        <v>1980</v>
      </c>
      <c r="J3103">
        <v>9.9</v>
      </c>
      <c r="K3103" s="133">
        <v>4.0941253478093903E-3</v>
      </c>
      <c r="L3103" s="181">
        <v>64</v>
      </c>
      <c r="M3103" s="133">
        <v>8.9605516135010004E-4</v>
      </c>
      <c r="N3103" s="73">
        <v>1436.6510000000001</v>
      </c>
      <c r="O3103" s="73">
        <v>153.57568711229899</v>
      </c>
      <c r="P3103" s="182">
        <v>0</v>
      </c>
      <c r="Q3103" s="182">
        <v>0</v>
      </c>
      <c r="R3103" s="46">
        <v>0</v>
      </c>
      <c r="S3103" s="46">
        <v>3</v>
      </c>
      <c r="T3103" s="46">
        <v>1200</v>
      </c>
      <c r="U3103" s="46">
        <v>9.923</v>
      </c>
      <c r="V3103" s="46" t="s">
        <v>68</v>
      </c>
      <c r="W3103" s="46">
        <v>1200</v>
      </c>
      <c r="X3103" s="46">
        <v>9.923</v>
      </c>
      <c r="AF3103" s="46">
        <v>14</v>
      </c>
      <c r="AG3103" s="46">
        <v>7000</v>
      </c>
      <c r="AH3103" s="46">
        <v>67625</v>
      </c>
      <c r="AI3103" s="46">
        <v>9.6609999999999996</v>
      </c>
      <c r="AJ3103" s="46">
        <v>15</v>
      </c>
      <c r="AK3103" s="46">
        <v>5600</v>
      </c>
      <c r="AL3103" s="46">
        <v>55310.559000000001</v>
      </c>
      <c r="AM3103" s="46">
        <v>9.8770000000000007</v>
      </c>
      <c r="AN3103" s="46" t="s">
        <v>63</v>
      </c>
      <c r="AO3103" s="46">
        <v>1400</v>
      </c>
      <c r="AP3103" s="46">
        <v>12314.441000000001</v>
      </c>
      <c r="AQ3103" s="46">
        <v>8.7959999999999994</v>
      </c>
      <c r="AR3103" s="46">
        <v>1209.5999999999999</v>
      </c>
      <c r="AS3103" s="46">
        <v>14</v>
      </c>
      <c r="AT3103" s="46">
        <v>7000</v>
      </c>
      <c r="AU3103" s="46">
        <v>67625</v>
      </c>
      <c r="AV3103" s="46">
        <v>9.6609999999999996</v>
      </c>
      <c r="AW3103" s="46">
        <v>18</v>
      </c>
      <c r="AX3103" s="46">
        <v>6800</v>
      </c>
      <c r="AY3103" s="46">
        <v>67191.650999999998</v>
      </c>
      <c r="AZ3103" s="46">
        <v>9.8810000000000002</v>
      </c>
      <c r="BA3103" s="46" t="s">
        <v>63</v>
      </c>
      <c r="BB3103" s="46">
        <v>200</v>
      </c>
      <c r="BC3103" s="46">
        <v>433.34899999999999</v>
      </c>
      <c r="BD3103" s="46">
        <v>2.1669999999999998</v>
      </c>
      <c r="BE3103" s="46">
        <v>1496</v>
      </c>
      <c r="BF3103" s="46">
        <v>0</v>
      </c>
      <c r="BH3103" s="46">
        <v>11881.092000000001</v>
      </c>
      <c r="BI3103">
        <v>9.9</v>
      </c>
      <c r="BJ3103">
        <v>-11881.092000000001</v>
      </c>
      <c r="BK3103">
        <v>-9.9</v>
      </c>
      <c r="BL3103">
        <v>122.18</v>
      </c>
    </row>
    <row r="3104" spans="1:64" x14ac:dyDescent="0.25">
      <c r="A3104" s="136">
        <v>43258</v>
      </c>
      <c r="B3104" s="201" t="s">
        <v>72</v>
      </c>
      <c r="C3104" t="s">
        <v>130</v>
      </c>
      <c r="D3104">
        <v>2100</v>
      </c>
      <c r="E3104">
        <v>2100</v>
      </c>
      <c r="F3104">
        <v>6.3780000000000001</v>
      </c>
      <c r="G3104">
        <v>-374.12</v>
      </c>
      <c r="H3104">
        <v>-2.79</v>
      </c>
      <c r="I3104" s="309">
        <v>13020</v>
      </c>
      <c r="J3104">
        <v>6.2</v>
      </c>
      <c r="K3104" s="133">
        <v>2.6921975771958699E-2</v>
      </c>
      <c r="L3104" s="181">
        <v>-126</v>
      </c>
      <c r="M3104" s="133">
        <v>2.76955586886872E-2</v>
      </c>
      <c r="N3104" s="73">
        <v>-13742.828</v>
      </c>
      <c r="O3104" s="73">
        <v>-53.197426442304298</v>
      </c>
      <c r="P3104" s="182">
        <v>0</v>
      </c>
      <c r="Q3104" s="182">
        <v>0</v>
      </c>
      <c r="R3104" s="46">
        <v>0</v>
      </c>
      <c r="S3104" s="46">
        <v>16</v>
      </c>
      <c r="T3104" s="46">
        <v>6400</v>
      </c>
      <c r="U3104" s="46">
        <v>7.4249999999999998</v>
      </c>
      <c r="V3104" s="46" t="s">
        <v>68</v>
      </c>
      <c r="W3104" s="46">
        <v>6400</v>
      </c>
      <c r="X3104" s="46">
        <v>7.4249999999999998</v>
      </c>
      <c r="AF3104" s="46">
        <v>40</v>
      </c>
      <c r="AG3104" s="46">
        <v>19900</v>
      </c>
      <c r="AH3104" s="46">
        <v>146997</v>
      </c>
      <c r="AI3104" s="46">
        <v>7.3869999999999996</v>
      </c>
      <c r="AJ3104" s="46">
        <v>40</v>
      </c>
      <c r="AK3104" s="46">
        <v>18000</v>
      </c>
      <c r="AL3104" s="46">
        <v>86900.876999999993</v>
      </c>
      <c r="AM3104" s="46">
        <v>4.8280000000000003</v>
      </c>
      <c r="AN3104" s="46" t="s">
        <v>63</v>
      </c>
      <c r="AO3104" s="46">
        <v>1900</v>
      </c>
      <c r="AP3104" s="46">
        <v>60096.123</v>
      </c>
      <c r="AQ3104" s="46">
        <v>31.63</v>
      </c>
      <c r="AR3104" s="46">
        <v>-46062</v>
      </c>
      <c r="AS3104" s="46">
        <v>40</v>
      </c>
      <c r="AT3104" s="46">
        <v>19900</v>
      </c>
      <c r="AU3104" s="46">
        <v>146997</v>
      </c>
      <c r="AV3104" s="46">
        <v>7.3869999999999996</v>
      </c>
      <c r="AW3104" s="46">
        <v>57</v>
      </c>
      <c r="AX3104" s="46">
        <v>24900</v>
      </c>
      <c r="AY3104" s="46">
        <v>134293.35699999999</v>
      </c>
      <c r="AZ3104" s="46">
        <v>5.3929999999999998</v>
      </c>
      <c r="BA3104" s="46" t="s">
        <v>69</v>
      </c>
      <c r="BB3104" s="46">
        <v>5000</v>
      </c>
      <c r="BC3104" s="46">
        <v>12703.643</v>
      </c>
      <c r="BD3104" s="46">
        <v>2.5409999999999999</v>
      </c>
      <c r="BE3104" s="46">
        <v>-39680.6</v>
      </c>
      <c r="BF3104" s="46">
        <v>0</v>
      </c>
      <c r="BH3104" s="46">
        <v>47392.480000000003</v>
      </c>
      <c r="BI3104">
        <v>7.41</v>
      </c>
      <c r="BJ3104">
        <v>-47392.480000000003</v>
      </c>
      <c r="BK3104">
        <v>-7.41</v>
      </c>
      <c r="BL3104">
        <v>-7429.35</v>
      </c>
    </row>
    <row r="3105" spans="1:64" x14ac:dyDescent="0.25">
      <c r="A3105" s="136">
        <v>43258</v>
      </c>
      <c r="B3105" s="201" t="s">
        <v>70</v>
      </c>
      <c r="C3105" t="s">
        <v>131</v>
      </c>
      <c r="D3105">
        <v>12100</v>
      </c>
      <c r="E3105">
        <v>12100</v>
      </c>
      <c r="F3105">
        <v>11.427</v>
      </c>
      <c r="G3105">
        <v>-32629.77</v>
      </c>
      <c r="H3105">
        <v>-23.6</v>
      </c>
      <c r="I3105" s="309">
        <v>105633</v>
      </c>
      <c r="J3105">
        <v>8.73</v>
      </c>
      <c r="K3105" s="133">
        <v>0.21842158730563099</v>
      </c>
      <c r="L3105" s="181">
        <v>-3146</v>
      </c>
      <c r="M3105" s="133">
        <v>0.28589147036128298</v>
      </c>
      <c r="N3105" s="73">
        <v>-31786.762999999999</v>
      </c>
      <c r="O3105" s="73">
        <v>-3610.3260930113702</v>
      </c>
      <c r="P3105" s="182">
        <v>3</v>
      </c>
      <c r="Q3105" s="182">
        <v>1500</v>
      </c>
      <c r="R3105" s="46">
        <v>8.4169999999999998</v>
      </c>
      <c r="S3105" s="46">
        <v>6</v>
      </c>
      <c r="T3105" s="46">
        <v>2400</v>
      </c>
      <c r="U3105" s="46">
        <v>9.4130000000000003</v>
      </c>
      <c r="V3105" s="46" t="s">
        <v>68</v>
      </c>
      <c r="W3105" s="46">
        <v>900</v>
      </c>
      <c r="X3105" s="46">
        <v>11.073</v>
      </c>
      <c r="AF3105" s="46">
        <v>141</v>
      </c>
      <c r="AG3105" s="46">
        <v>72100</v>
      </c>
      <c r="AH3105" s="46">
        <v>926228</v>
      </c>
      <c r="AI3105" s="46">
        <v>12.846</v>
      </c>
      <c r="AJ3105" s="46">
        <v>147</v>
      </c>
      <c r="AK3105" s="46">
        <v>59100</v>
      </c>
      <c r="AL3105" s="46">
        <v>777656.82900000003</v>
      </c>
      <c r="AM3105" s="46">
        <v>13.157999999999999</v>
      </c>
      <c r="AN3105" s="46" t="s">
        <v>63</v>
      </c>
      <c r="AO3105" s="46">
        <v>13000</v>
      </c>
      <c r="AP3105" s="46">
        <v>148571.171</v>
      </c>
      <c r="AQ3105" s="46">
        <v>11.429</v>
      </c>
      <c r="AR3105" s="46">
        <v>18439.2</v>
      </c>
      <c r="AS3105" s="46">
        <v>144</v>
      </c>
      <c r="AT3105" s="46">
        <v>73600</v>
      </c>
      <c r="AU3105" s="46">
        <v>938868</v>
      </c>
      <c r="AV3105" s="46">
        <v>12.756</v>
      </c>
      <c r="AW3105" s="46">
        <v>154</v>
      </c>
      <c r="AX3105" s="46">
        <v>61500</v>
      </c>
      <c r="AY3105" s="46">
        <v>800601.23699999996</v>
      </c>
      <c r="AZ3105" s="46">
        <v>13.018000000000001</v>
      </c>
      <c r="BA3105" s="46" t="s">
        <v>63</v>
      </c>
      <c r="BB3105" s="46">
        <v>12100</v>
      </c>
      <c r="BC3105" s="46">
        <v>138266.76300000001</v>
      </c>
      <c r="BD3105" s="46">
        <v>11.427</v>
      </c>
      <c r="BE3105" s="46">
        <v>16113</v>
      </c>
      <c r="BF3105" s="46">
        <v>12640</v>
      </c>
      <c r="BG3105" s="46">
        <v>8.43</v>
      </c>
      <c r="BH3105" s="46">
        <v>22944.407999999901</v>
      </c>
      <c r="BI3105">
        <v>9.56</v>
      </c>
      <c r="BJ3105">
        <v>-10304.407999999999</v>
      </c>
      <c r="BK3105">
        <v>-11.45</v>
      </c>
      <c r="BL3105">
        <v>2112.16</v>
      </c>
    </row>
    <row r="3106" spans="1:64" x14ac:dyDescent="0.25">
      <c r="A3106" s="136">
        <v>43258</v>
      </c>
      <c r="B3106" s="201" t="s">
        <v>137</v>
      </c>
      <c r="C3106" t="s">
        <v>149</v>
      </c>
      <c r="D3106">
        <v>100</v>
      </c>
      <c r="E3106">
        <v>100</v>
      </c>
      <c r="F3106">
        <v>-130.86000000000001</v>
      </c>
      <c r="G3106">
        <v>17094</v>
      </c>
      <c r="H3106">
        <v>0</v>
      </c>
      <c r="I3106" s="309">
        <v>4008</v>
      </c>
      <c r="J3106">
        <v>40.08</v>
      </c>
      <c r="K3106" s="133">
        <v>8.2875022192020406E-3</v>
      </c>
      <c r="L3106" s="181">
        <v>16</v>
      </c>
      <c r="M3106" s="133">
        <v>0</v>
      </c>
    </row>
    <row r="3107" spans="1:64" x14ac:dyDescent="0.25">
      <c r="A3107" s="136">
        <v>43258</v>
      </c>
      <c r="B3107" s="201" t="s">
        <v>835</v>
      </c>
      <c r="C3107" t="s">
        <v>839</v>
      </c>
      <c r="I3107" s="309">
        <v>4477.1099999999997</v>
      </c>
      <c r="K3107" s="133">
        <v>9.2574997656216605E-3</v>
      </c>
      <c r="L3107" s="181">
        <v>0</v>
      </c>
      <c r="M3107" s="133">
        <v>9.2222820166701996E-2</v>
      </c>
    </row>
    <row r="3108" spans="1:64" x14ac:dyDescent="0.25">
      <c r="A3108" s="136">
        <v>43262</v>
      </c>
      <c r="B3108" s="201" t="s">
        <v>132</v>
      </c>
      <c r="C3108" t="s">
        <v>123</v>
      </c>
      <c r="D3108">
        <v>1013239</v>
      </c>
      <c r="E3108">
        <v>1013239</v>
      </c>
      <c r="F3108">
        <v>6.0000000000000001E-3</v>
      </c>
      <c r="G3108">
        <v>3736.95</v>
      </c>
      <c r="H3108">
        <v>66.67</v>
      </c>
      <c r="I3108" s="309">
        <v>10132.39</v>
      </c>
      <c r="J3108">
        <v>0.01</v>
      </c>
      <c r="K3108" s="133">
        <v>2.1423891815624999E-2</v>
      </c>
      <c r="L3108" s="181">
        <v>8.7199999999997999</v>
      </c>
      <c r="M3108" s="133">
        <v>0</v>
      </c>
    </row>
    <row r="3109" spans="1:64" x14ac:dyDescent="0.25">
      <c r="A3109" s="136">
        <v>43262</v>
      </c>
      <c r="B3109" s="201" t="s">
        <v>61</v>
      </c>
      <c r="C3109" t="s">
        <v>136</v>
      </c>
      <c r="D3109">
        <v>3900</v>
      </c>
      <c r="E3109">
        <v>3900</v>
      </c>
      <c r="F3109">
        <v>5.0519999999999996</v>
      </c>
      <c r="G3109">
        <v>-2659.1</v>
      </c>
      <c r="H3109">
        <v>-13.5</v>
      </c>
      <c r="I3109" s="309">
        <v>17043</v>
      </c>
      <c r="J3109">
        <v>4.37</v>
      </c>
      <c r="K3109" s="133">
        <v>3.6035662683108101E-2</v>
      </c>
      <c r="L3109" s="181">
        <v>-351</v>
      </c>
      <c r="M3109" s="133">
        <v>4.1658054905172999E-2</v>
      </c>
      <c r="N3109" s="73">
        <v>-1807.1410000000001</v>
      </c>
      <c r="O3109" s="73">
        <v>-393.515779847494</v>
      </c>
      <c r="P3109" s="182">
        <v>6</v>
      </c>
      <c r="Q3109" s="182">
        <v>3000</v>
      </c>
      <c r="R3109" s="46">
        <v>5.0350000000000001</v>
      </c>
      <c r="S3109" s="46">
        <v>0</v>
      </c>
      <c r="T3109" s="46">
        <v>0</v>
      </c>
      <c r="U3109" s="46">
        <v>0</v>
      </c>
      <c r="V3109" s="46" t="s">
        <v>62</v>
      </c>
      <c r="W3109" s="46">
        <v>3000</v>
      </c>
      <c r="X3109" s="46">
        <v>5.0350000000000001</v>
      </c>
      <c r="AF3109" s="46">
        <v>10</v>
      </c>
      <c r="AG3109" s="46">
        <v>5000</v>
      </c>
      <c r="AH3109" s="46">
        <v>26378</v>
      </c>
      <c r="AI3109" s="46">
        <v>5.2759999999999998</v>
      </c>
      <c r="AJ3109" s="46">
        <v>10</v>
      </c>
      <c r="AK3109" s="46">
        <v>4100</v>
      </c>
      <c r="AL3109" s="46">
        <v>21806.659</v>
      </c>
      <c r="AM3109" s="46">
        <v>5.319</v>
      </c>
      <c r="AN3109" s="46" t="s">
        <v>63</v>
      </c>
      <c r="AO3109" s="46">
        <v>900</v>
      </c>
      <c r="AP3109" s="46">
        <v>4571.3410000000003</v>
      </c>
      <c r="AQ3109" s="46">
        <v>5.0789999999999997</v>
      </c>
      <c r="AR3109" s="46">
        <v>176.3</v>
      </c>
      <c r="AS3109" s="46">
        <v>16</v>
      </c>
      <c r="AT3109" s="46">
        <v>8000</v>
      </c>
      <c r="AU3109" s="46">
        <v>41514.800000000003</v>
      </c>
      <c r="AV3109" s="46">
        <v>5.1890000000000001</v>
      </c>
      <c r="AW3109" s="46">
        <v>10</v>
      </c>
      <c r="AX3109" s="46">
        <v>4100</v>
      </c>
      <c r="AY3109" s="46">
        <v>21806.659</v>
      </c>
      <c r="AZ3109" s="46">
        <v>5.319</v>
      </c>
      <c r="BA3109" s="46" t="s">
        <v>63</v>
      </c>
      <c r="BB3109" s="46">
        <v>3900</v>
      </c>
      <c r="BC3109" s="46">
        <v>19708.141</v>
      </c>
      <c r="BD3109" s="46">
        <v>5.0529999999999999</v>
      </c>
      <c r="BE3109" s="46">
        <v>533</v>
      </c>
      <c r="BF3109" s="46">
        <v>15136.8</v>
      </c>
      <c r="BG3109" s="46">
        <v>5.05</v>
      </c>
      <c r="BH3109" s="46">
        <v>0</v>
      </c>
      <c r="BJ3109">
        <v>15136.8</v>
      </c>
      <c r="BK3109">
        <v>5.05</v>
      </c>
      <c r="BL3109">
        <v>40.340000000000003</v>
      </c>
    </row>
    <row r="3110" spans="1:64" x14ac:dyDescent="0.25">
      <c r="A3110" s="136">
        <v>43262</v>
      </c>
      <c r="B3110" s="201" t="s">
        <v>124</v>
      </c>
      <c r="C3110" t="s">
        <v>125</v>
      </c>
      <c r="D3110">
        <v>100</v>
      </c>
      <c r="E3110">
        <v>100</v>
      </c>
      <c r="F3110">
        <v>-53.579000000000001</v>
      </c>
      <c r="G3110">
        <v>5915.9</v>
      </c>
      <c r="H3110">
        <v>0</v>
      </c>
      <c r="I3110" s="309">
        <v>558</v>
      </c>
      <c r="J3110">
        <v>5.58</v>
      </c>
      <c r="K3110" s="133">
        <v>1.1798333495965699E-3</v>
      </c>
      <c r="L3110" s="181">
        <v>-11</v>
      </c>
      <c r="M3110" s="133">
        <v>0</v>
      </c>
    </row>
    <row r="3111" spans="1:64" x14ac:dyDescent="0.25">
      <c r="A3111" s="136">
        <v>43262</v>
      </c>
      <c r="B3111" s="201" t="s">
        <v>71</v>
      </c>
      <c r="C3111" t="s">
        <v>126</v>
      </c>
      <c r="D3111">
        <v>2300</v>
      </c>
      <c r="E3111">
        <v>1800</v>
      </c>
      <c r="F3111">
        <v>5.4530000000000003</v>
      </c>
      <c r="G3111">
        <v>1672.84</v>
      </c>
      <c r="H3111">
        <v>13.33</v>
      </c>
      <c r="I3111" s="309">
        <v>14214</v>
      </c>
      <c r="J3111">
        <v>6.18</v>
      </c>
      <c r="K3111" s="133">
        <v>3.0054034464454499E-2</v>
      </c>
      <c r="L3111" s="181">
        <v>-280.06</v>
      </c>
      <c r="M3111" s="133">
        <v>2.65169871158181E-2</v>
      </c>
      <c r="N3111" s="73">
        <v>11555.406000000001</v>
      </c>
      <c r="O3111" s="73">
        <v>273.48289935379597</v>
      </c>
      <c r="P3111" s="182">
        <v>0</v>
      </c>
      <c r="Q3111" s="182">
        <v>0</v>
      </c>
      <c r="R3111" s="46">
        <v>0</v>
      </c>
      <c r="S3111" s="46">
        <v>3</v>
      </c>
      <c r="T3111" s="46">
        <v>1100</v>
      </c>
      <c r="U3111" s="46">
        <v>6.8620000000000001</v>
      </c>
      <c r="V3111" s="46" t="s">
        <v>68</v>
      </c>
      <c r="W3111" s="46">
        <v>1100</v>
      </c>
      <c r="X3111" s="46">
        <v>6.8620000000000001</v>
      </c>
      <c r="AF3111" s="46">
        <v>47</v>
      </c>
      <c r="AG3111" s="46">
        <v>23600</v>
      </c>
      <c r="AH3111" s="46">
        <v>150875.16</v>
      </c>
      <c r="AI3111" s="46">
        <v>6.3929999999999998</v>
      </c>
      <c r="AJ3111" s="46">
        <v>45</v>
      </c>
      <c r="AK3111" s="46">
        <v>20200</v>
      </c>
      <c r="AL3111" s="46">
        <v>130637.874</v>
      </c>
      <c r="AM3111" s="46">
        <v>6.4669999999999996</v>
      </c>
      <c r="AN3111" s="46" t="s">
        <v>63</v>
      </c>
      <c r="AO3111" s="46">
        <v>3400</v>
      </c>
      <c r="AP3111" s="46">
        <v>20237.286</v>
      </c>
      <c r="AQ3111" s="46">
        <v>5.952</v>
      </c>
      <c r="AR3111" s="46">
        <v>1494.8</v>
      </c>
      <c r="AS3111" s="46">
        <v>47</v>
      </c>
      <c r="AT3111" s="46">
        <v>23600</v>
      </c>
      <c r="AU3111" s="46">
        <v>150875.16</v>
      </c>
      <c r="AV3111" s="46">
        <v>6.3929999999999998</v>
      </c>
      <c r="AW3111" s="46">
        <v>48</v>
      </c>
      <c r="AX3111" s="46">
        <v>21300</v>
      </c>
      <c r="AY3111" s="46">
        <v>138170.666</v>
      </c>
      <c r="AZ3111" s="46">
        <v>6.4870000000000001</v>
      </c>
      <c r="BA3111" s="46" t="s">
        <v>63</v>
      </c>
      <c r="BB3111" s="46">
        <v>2300</v>
      </c>
      <c r="BC3111" s="46">
        <v>12704.494000000001</v>
      </c>
      <c r="BD3111" s="46">
        <v>5.524</v>
      </c>
      <c r="BE3111" s="46">
        <v>2002.2</v>
      </c>
      <c r="BF3111" s="46">
        <v>0</v>
      </c>
      <c r="BH3111" s="46">
        <v>7532.7920000000004</v>
      </c>
      <c r="BI3111">
        <v>6.85</v>
      </c>
      <c r="BJ3111">
        <v>-7532.7920000000004</v>
      </c>
      <c r="BK3111">
        <v>-6.85</v>
      </c>
      <c r="BL3111">
        <v>241.88</v>
      </c>
    </row>
    <row r="3112" spans="1:64" x14ac:dyDescent="0.25">
      <c r="A3112" s="136">
        <v>43262</v>
      </c>
      <c r="B3112" s="201" t="s">
        <v>79</v>
      </c>
      <c r="C3112" t="s">
        <v>143</v>
      </c>
      <c r="D3112">
        <v>5700</v>
      </c>
      <c r="E3112">
        <v>5200</v>
      </c>
      <c r="F3112">
        <v>16.123999999999999</v>
      </c>
      <c r="G3112">
        <v>-9144.6</v>
      </c>
      <c r="H3112">
        <v>-9.9499999999999993</v>
      </c>
      <c r="I3112" s="309">
        <v>82764</v>
      </c>
      <c r="J3112">
        <v>14.52</v>
      </c>
      <c r="K3112" s="133">
        <v>0.17499592714338799</v>
      </c>
      <c r="L3112" s="181">
        <v>-1871.29</v>
      </c>
      <c r="M3112" s="133">
        <v>0.19433123905865801</v>
      </c>
      <c r="N3112" s="73">
        <v>-9607.4760000001806</v>
      </c>
      <c r="O3112" s="73">
        <v>-665.00500429364195</v>
      </c>
      <c r="P3112" s="182">
        <v>7</v>
      </c>
      <c r="Q3112" s="182">
        <v>3500</v>
      </c>
      <c r="R3112" s="46">
        <v>14.367000000000001</v>
      </c>
      <c r="S3112" s="46">
        <v>0</v>
      </c>
      <c r="T3112" s="46">
        <v>0</v>
      </c>
      <c r="U3112" s="46">
        <v>0</v>
      </c>
      <c r="V3112" s="46" t="s">
        <v>62</v>
      </c>
      <c r="W3112" s="46">
        <v>3500</v>
      </c>
      <c r="X3112" s="46">
        <v>14.367000000000001</v>
      </c>
      <c r="AF3112" s="46">
        <v>21</v>
      </c>
      <c r="AG3112" s="46">
        <v>11000</v>
      </c>
      <c r="AH3112" s="46">
        <v>173841.6</v>
      </c>
      <c r="AI3112" s="46">
        <v>15.804</v>
      </c>
      <c r="AJ3112" s="46">
        <v>22</v>
      </c>
      <c r="AK3112" s="46">
        <v>8800</v>
      </c>
      <c r="AL3112" s="46">
        <v>132248.22399999999</v>
      </c>
      <c r="AM3112" s="46">
        <v>15.028</v>
      </c>
      <c r="AN3112" s="46" t="s">
        <v>63</v>
      </c>
      <c r="AO3112" s="46">
        <v>2200</v>
      </c>
      <c r="AP3112" s="46">
        <v>41593.375999999997</v>
      </c>
      <c r="AQ3112" s="46">
        <v>18.905999999999999</v>
      </c>
      <c r="AR3112" s="46">
        <v>-6828.8</v>
      </c>
      <c r="AS3112" s="46">
        <v>28</v>
      </c>
      <c r="AT3112" s="46">
        <v>14500</v>
      </c>
      <c r="AU3112" s="46">
        <v>224163.7</v>
      </c>
      <c r="AV3112" s="46">
        <v>15.46</v>
      </c>
      <c r="AW3112" s="46">
        <v>22</v>
      </c>
      <c r="AX3112" s="46">
        <v>8800</v>
      </c>
      <c r="AY3112" s="46">
        <v>132248.22399999999</v>
      </c>
      <c r="AZ3112" s="46">
        <v>15.028</v>
      </c>
      <c r="BA3112" s="46" t="s">
        <v>63</v>
      </c>
      <c r="BB3112" s="46">
        <v>5700</v>
      </c>
      <c r="BC3112" s="46">
        <v>91915.475999999995</v>
      </c>
      <c r="BD3112" s="46">
        <v>16.126000000000001</v>
      </c>
      <c r="BE3112" s="46">
        <v>-3801.6</v>
      </c>
      <c r="BF3112" s="46">
        <v>50322.099999999897</v>
      </c>
      <c r="BG3112" s="46">
        <v>14.38</v>
      </c>
      <c r="BH3112" s="46">
        <v>0</v>
      </c>
      <c r="BJ3112">
        <v>50322.1</v>
      </c>
      <c r="BK3112">
        <v>14.38</v>
      </c>
      <c r="BL3112">
        <v>-470.3</v>
      </c>
    </row>
    <row r="3113" spans="1:64" x14ac:dyDescent="0.25">
      <c r="A3113" s="136">
        <v>43262</v>
      </c>
      <c r="B3113" s="201" t="s">
        <v>65</v>
      </c>
      <c r="C3113" t="s">
        <v>127</v>
      </c>
      <c r="D3113">
        <v>20800</v>
      </c>
      <c r="E3113">
        <v>19800</v>
      </c>
      <c r="F3113">
        <v>9.3369999999999997</v>
      </c>
      <c r="G3113">
        <v>-1603.85</v>
      </c>
      <c r="H3113">
        <v>-0.82</v>
      </c>
      <c r="I3113" s="309">
        <v>192608</v>
      </c>
      <c r="J3113">
        <v>9.26</v>
      </c>
      <c r="K3113" s="133">
        <v>0.40724971648583502</v>
      </c>
      <c r="L3113" s="181">
        <v>-5604</v>
      </c>
      <c r="M3113" s="133">
        <v>0.41064089160725098</v>
      </c>
      <c r="N3113" s="73">
        <v>-5886.2690000000403</v>
      </c>
      <c r="O3113" s="73">
        <v>-173.208762662005</v>
      </c>
      <c r="P3113" s="182">
        <v>4</v>
      </c>
      <c r="Q3113" s="182">
        <v>5500</v>
      </c>
      <c r="R3113" s="46">
        <v>9.3149999999999995</v>
      </c>
      <c r="S3113" s="46">
        <v>10</v>
      </c>
      <c r="T3113" s="46">
        <v>4100</v>
      </c>
      <c r="U3113" s="46">
        <v>11.945</v>
      </c>
      <c r="V3113" s="46" t="s">
        <v>62</v>
      </c>
      <c r="W3113" s="46">
        <v>1400</v>
      </c>
      <c r="X3113" s="46">
        <v>1.613</v>
      </c>
      <c r="AF3113" s="46">
        <v>192</v>
      </c>
      <c r="AG3113" s="46">
        <v>101700</v>
      </c>
      <c r="AH3113" s="46">
        <v>1154305.2309999999</v>
      </c>
      <c r="AI3113" s="46">
        <v>11.35</v>
      </c>
      <c r="AJ3113" s="46">
        <v>212</v>
      </c>
      <c r="AK3113" s="46">
        <v>91500</v>
      </c>
      <c r="AL3113" s="46">
        <v>961640.38600000006</v>
      </c>
      <c r="AM3113" s="46">
        <v>10.51</v>
      </c>
      <c r="AN3113" s="46" t="s">
        <v>63</v>
      </c>
      <c r="AO3113" s="46">
        <v>10200</v>
      </c>
      <c r="AP3113" s="46">
        <v>192664.845</v>
      </c>
      <c r="AQ3113" s="46">
        <v>18.888999999999999</v>
      </c>
      <c r="AR3113" s="46">
        <v>-76860</v>
      </c>
      <c r="AS3113" s="46">
        <v>197</v>
      </c>
      <c r="AT3113" s="46">
        <v>107300</v>
      </c>
      <c r="AU3113" s="46">
        <v>1206852.6810000001</v>
      </c>
      <c r="AV3113" s="46">
        <v>11.247</v>
      </c>
      <c r="AW3113" s="46">
        <v>222</v>
      </c>
      <c r="AX3113" s="46">
        <v>95600</v>
      </c>
      <c r="AY3113" s="46">
        <v>1010517.41</v>
      </c>
      <c r="AZ3113" s="46">
        <v>10.57</v>
      </c>
      <c r="BA3113" s="46" t="s">
        <v>63</v>
      </c>
      <c r="BB3113" s="46">
        <v>11700</v>
      </c>
      <c r="BC3113" s="46">
        <v>196335.27100000001</v>
      </c>
      <c r="BD3113" s="46">
        <v>16.780999999999999</v>
      </c>
      <c r="BE3113" s="46">
        <v>-64721.2</v>
      </c>
      <c r="BF3113" s="46">
        <v>52547.45</v>
      </c>
      <c r="BG3113" s="46">
        <v>9.5500000000000007</v>
      </c>
      <c r="BH3113" s="46">
        <v>48877.024000000099</v>
      </c>
      <c r="BI3113">
        <v>11.92</v>
      </c>
      <c r="BJ3113">
        <v>3670.4260000000099</v>
      </c>
      <c r="BK3113">
        <v>2.62</v>
      </c>
      <c r="BL3113">
        <v>-8300.2199999999993</v>
      </c>
    </row>
    <row r="3114" spans="1:64" x14ac:dyDescent="0.25">
      <c r="A3114" s="136">
        <v>43262</v>
      </c>
      <c r="B3114" s="201" t="s">
        <v>77</v>
      </c>
      <c r="C3114" t="s">
        <v>128</v>
      </c>
      <c r="D3114">
        <v>4300</v>
      </c>
      <c r="E3114">
        <v>4300</v>
      </c>
      <c r="F3114">
        <v>5.9779999999999998</v>
      </c>
      <c r="G3114">
        <v>-595.27</v>
      </c>
      <c r="H3114">
        <v>-2.31</v>
      </c>
      <c r="I3114" s="309">
        <v>25112</v>
      </c>
      <c r="J3114">
        <v>5.84</v>
      </c>
      <c r="K3114" s="133">
        <v>5.3096729525213299E-2</v>
      </c>
      <c r="L3114" s="181">
        <v>0</v>
      </c>
      <c r="M3114" s="133">
        <v>5.4355366439217498E-2</v>
      </c>
      <c r="N3114" s="73">
        <v>-1272.2139999999999</v>
      </c>
      <c r="O3114" s="73">
        <v>-133.073774655173</v>
      </c>
      <c r="P3114" s="182">
        <v>6</v>
      </c>
      <c r="Q3114" s="182">
        <v>3000</v>
      </c>
      <c r="R3114" s="46">
        <v>6.798</v>
      </c>
      <c r="S3114" s="46">
        <v>0</v>
      </c>
      <c r="T3114" s="46">
        <v>0</v>
      </c>
      <c r="U3114" s="46">
        <v>0</v>
      </c>
      <c r="V3114" s="46" t="s">
        <v>62</v>
      </c>
      <c r="W3114" s="46">
        <v>3000</v>
      </c>
      <c r="X3114" s="46">
        <v>6.798</v>
      </c>
      <c r="AF3114" s="46">
        <v>39</v>
      </c>
      <c r="AG3114" s="46">
        <v>19500</v>
      </c>
      <c r="AH3114" s="46">
        <v>142169</v>
      </c>
      <c r="AI3114" s="46">
        <v>7.2910000000000004</v>
      </c>
      <c r="AJ3114" s="46">
        <v>39</v>
      </c>
      <c r="AK3114" s="46">
        <v>18200</v>
      </c>
      <c r="AL3114" s="46">
        <v>136881.78599999999</v>
      </c>
      <c r="AM3114" s="46">
        <v>7.5209999999999999</v>
      </c>
      <c r="AN3114" s="46" t="s">
        <v>63</v>
      </c>
      <c r="AO3114" s="46">
        <v>1300</v>
      </c>
      <c r="AP3114" s="46">
        <v>5287.2139999999999</v>
      </c>
      <c r="AQ3114" s="46">
        <v>4.0670000000000002</v>
      </c>
      <c r="AR3114" s="46">
        <v>4186</v>
      </c>
      <c r="AS3114" s="46">
        <v>45</v>
      </c>
      <c r="AT3114" s="46">
        <v>22500</v>
      </c>
      <c r="AU3114" s="46">
        <v>162594</v>
      </c>
      <c r="AV3114" s="46">
        <v>7.226</v>
      </c>
      <c r="AW3114" s="46">
        <v>39</v>
      </c>
      <c r="AX3114" s="46">
        <v>18200</v>
      </c>
      <c r="AY3114" s="46">
        <v>136881.78599999999</v>
      </c>
      <c r="AZ3114" s="46">
        <v>7.5209999999999999</v>
      </c>
      <c r="BA3114" s="46" t="s">
        <v>63</v>
      </c>
      <c r="BB3114" s="46">
        <v>4300</v>
      </c>
      <c r="BC3114" s="46">
        <v>25712.214</v>
      </c>
      <c r="BD3114" s="46">
        <v>5.98</v>
      </c>
      <c r="BE3114" s="46">
        <v>5369</v>
      </c>
      <c r="BF3114" s="46">
        <v>20425</v>
      </c>
      <c r="BG3114" s="46">
        <v>6.81</v>
      </c>
      <c r="BH3114" s="46">
        <v>0</v>
      </c>
      <c r="BJ3114">
        <v>20425</v>
      </c>
      <c r="BK3114">
        <v>6.81</v>
      </c>
      <c r="BL3114">
        <v>716.78</v>
      </c>
    </row>
    <row r="3115" spans="1:64" x14ac:dyDescent="0.25">
      <c r="A3115" s="136">
        <v>43262</v>
      </c>
      <c r="B3115" s="201" t="s">
        <v>67</v>
      </c>
      <c r="C3115" t="s">
        <v>129</v>
      </c>
      <c r="D3115">
        <v>100</v>
      </c>
      <c r="E3115">
        <v>100</v>
      </c>
      <c r="F3115">
        <v>-33.115000000000002</v>
      </c>
      <c r="G3115">
        <v>4270.5</v>
      </c>
      <c r="H3115">
        <v>0</v>
      </c>
      <c r="I3115" s="309">
        <v>959</v>
      </c>
      <c r="J3115">
        <v>9.59</v>
      </c>
      <c r="K3115" s="133">
        <v>2.0277064198263601E-3</v>
      </c>
      <c r="L3115" s="181">
        <v>-28</v>
      </c>
      <c r="M3115" s="133">
        <v>0</v>
      </c>
      <c r="N3115" s="73">
        <v>4353.6874999997499</v>
      </c>
      <c r="O3115" s="73">
        <v>417.61138735602498</v>
      </c>
      <c r="P3115" s="182">
        <v>0</v>
      </c>
      <c r="Q3115" s="182">
        <v>0</v>
      </c>
      <c r="R3115" s="46">
        <v>0</v>
      </c>
      <c r="S3115" s="46">
        <v>24</v>
      </c>
      <c r="T3115" s="46">
        <v>9600</v>
      </c>
      <c r="U3115" s="46">
        <v>8.9969999999999999</v>
      </c>
      <c r="V3115" s="46" t="s">
        <v>68</v>
      </c>
      <c r="W3115" s="46">
        <v>9600</v>
      </c>
      <c r="X3115" s="46">
        <v>8.9969999999999999</v>
      </c>
      <c r="AF3115" s="46">
        <v>192</v>
      </c>
      <c r="AG3115" s="46">
        <v>95000</v>
      </c>
      <c r="AH3115" s="46">
        <v>791793</v>
      </c>
      <c r="AI3115" s="46">
        <v>8.3350000000000009</v>
      </c>
      <c r="AJ3115" s="46">
        <v>196</v>
      </c>
      <c r="AK3115" s="46">
        <v>87900</v>
      </c>
      <c r="AL3115" s="46">
        <v>778064.67550000001</v>
      </c>
      <c r="AM3115" s="46">
        <v>8.8520000000000003</v>
      </c>
      <c r="AN3115" s="46" t="s">
        <v>63</v>
      </c>
      <c r="AO3115" s="46">
        <v>7100</v>
      </c>
      <c r="AP3115" s="46">
        <v>13728.324000000001</v>
      </c>
      <c r="AQ3115" s="46">
        <v>1.9339999999999999</v>
      </c>
      <c r="AR3115" s="46">
        <v>45444.3</v>
      </c>
      <c r="AS3115" s="46">
        <v>192</v>
      </c>
      <c r="AT3115" s="46">
        <v>95000</v>
      </c>
      <c r="AU3115" s="46">
        <v>791793</v>
      </c>
      <c r="AV3115" s="46">
        <v>8.3350000000000009</v>
      </c>
      <c r="AW3115" s="46">
        <v>220</v>
      </c>
      <c r="AX3115" s="46">
        <v>97500</v>
      </c>
      <c r="AY3115" s="46">
        <v>864232.80350000004</v>
      </c>
      <c r="AZ3115" s="46">
        <v>8.8640000000000008</v>
      </c>
      <c r="BA3115" s="46" t="s">
        <v>69</v>
      </c>
      <c r="BB3115" s="46">
        <v>2500</v>
      </c>
      <c r="BC3115" s="46">
        <v>72439.804000000004</v>
      </c>
      <c r="BD3115" s="46">
        <v>28.975999999999999</v>
      </c>
      <c r="BE3115" s="46">
        <v>50255</v>
      </c>
      <c r="BF3115" s="46">
        <v>0</v>
      </c>
      <c r="BH3115" s="46">
        <v>86168.127999999997</v>
      </c>
      <c r="BI3115">
        <v>8.98</v>
      </c>
      <c r="BJ3115">
        <v>58711.48</v>
      </c>
      <c r="BK3115">
        <v>6.12</v>
      </c>
      <c r="BL3115">
        <v>4738.72</v>
      </c>
    </row>
    <row r="3116" spans="1:64" x14ac:dyDescent="0.25">
      <c r="A3116" s="136">
        <v>43262</v>
      </c>
      <c r="B3116" s="201" t="s">
        <v>78</v>
      </c>
      <c r="C3116" t="s">
        <v>142</v>
      </c>
      <c r="D3116">
        <v>200</v>
      </c>
      <c r="E3116">
        <v>200</v>
      </c>
      <c r="F3116">
        <v>2.1669999999999998</v>
      </c>
      <c r="G3116">
        <v>1476.65</v>
      </c>
      <c r="H3116">
        <v>340.7</v>
      </c>
      <c r="I3116" s="309">
        <v>1910</v>
      </c>
      <c r="J3116">
        <v>9.5500000000000007</v>
      </c>
      <c r="K3116" s="133">
        <v>4.0384976661818001E-3</v>
      </c>
      <c r="L3116" s="181">
        <v>-70</v>
      </c>
      <c r="M3116" s="133">
        <v>9.1627380295281795E-4</v>
      </c>
      <c r="N3116" s="73">
        <v>1436.6510000000001</v>
      </c>
      <c r="O3116" s="73">
        <v>153.57568711229899</v>
      </c>
      <c r="P3116" s="182">
        <v>0</v>
      </c>
      <c r="Q3116" s="182">
        <v>0</v>
      </c>
      <c r="R3116" s="46">
        <v>0</v>
      </c>
      <c r="S3116" s="46">
        <v>3</v>
      </c>
      <c r="T3116" s="46">
        <v>1200</v>
      </c>
      <c r="U3116" s="46">
        <v>9.923</v>
      </c>
      <c r="V3116" s="46" t="s">
        <v>68</v>
      </c>
      <c r="W3116" s="46">
        <v>1200</v>
      </c>
      <c r="X3116" s="46">
        <v>9.923</v>
      </c>
      <c r="AF3116" s="46">
        <v>14</v>
      </c>
      <c r="AG3116" s="46">
        <v>7000</v>
      </c>
      <c r="AH3116" s="46">
        <v>67625</v>
      </c>
      <c r="AI3116" s="46">
        <v>9.6609999999999996</v>
      </c>
      <c r="AJ3116" s="46">
        <v>15</v>
      </c>
      <c r="AK3116" s="46">
        <v>5600</v>
      </c>
      <c r="AL3116" s="46">
        <v>55310.559000000001</v>
      </c>
      <c r="AM3116" s="46">
        <v>9.8770000000000007</v>
      </c>
      <c r="AN3116" s="46" t="s">
        <v>63</v>
      </c>
      <c r="AO3116" s="46">
        <v>1400</v>
      </c>
      <c r="AP3116" s="46">
        <v>12314.441000000001</v>
      </c>
      <c r="AQ3116" s="46">
        <v>8.7959999999999994</v>
      </c>
      <c r="AR3116" s="46">
        <v>1209.5999999999999</v>
      </c>
      <c r="AS3116" s="46">
        <v>14</v>
      </c>
      <c r="AT3116" s="46">
        <v>7000</v>
      </c>
      <c r="AU3116" s="46">
        <v>67625</v>
      </c>
      <c r="AV3116" s="46">
        <v>9.6609999999999996</v>
      </c>
      <c r="AW3116" s="46">
        <v>18</v>
      </c>
      <c r="AX3116" s="46">
        <v>6800</v>
      </c>
      <c r="AY3116" s="46">
        <v>67191.650999999998</v>
      </c>
      <c r="AZ3116" s="46">
        <v>9.8810000000000002</v>
      </c>
      <c r="BA3116" s="46" t="s">
        <v>63</v>
      </c>
      <c r="BB3116" s="46">
        <v>200</v>
      </c>
      <c r="BC3116" s="46">
        <v>433.34899999999999</v>
      </c>
      <c r="BD3116" s="46">
        <v>2.1669999999999998</v>
      </c>
      <c r="BE3116" s="46">
        <v>1496</v>
      </c>
      <c r="BF3116" s="46">
        <v>0</v>
      </c>
      <c r="BH3116" s="46">
        <v>11881.092000000001</v>
      </c>
      <c r="BI3116">
        <v>9.9</v>
      </c>
      <c r="BJ3116">
        <v>-11881.092000000001</v>
      </c>
      <c r="BK3116">
        <v>-9.9</v>
      </c>
      <c r="BL3116">
        <v>126.66</v>
      </c>
    </row>
    <row r="3117" spans="1:64" x14ac:dyDescent="0.25">
      <c r="A3117" s="136">
        <v>43262</v>
      </c>
      <c r="B3117" s="201" t="s">
        <v>72</v>
      </c>
      <c r="C3117" t="s">
        <v>130</v>
      </c>
      <c r="D3117">
        <v>2600</v>
      </c>
      <c r="E3117">
        <v>2600</v>
      </c>
      <c r="F3117">
        <v>6.3090000000000002</v>
      </c>
      <c r="G3117">
        <v>-778.12</v>
      </c>
      <c r="H3117">
        <v>-4.74</v>
      </c>
      <c r="I3117" s="309">
        <v>15626</v>
      </c>
      <c r="J3117">
        <v>6.01</v>
      </c>
      <c r="K3117" s="133">
        <v>3.3039562582071601E-2</v>
      </c>
      <c r="L3117" s="181">
        <v>-404</v>
      </c>
      <c r="M3117" s="133">
        <v>3.4684816929720502E-2</v>
      </c>
      <c r="N3117" s="73">
        <v>-16705.828000000001</v>
      </c>
      <c r="O3117" s="73">
        <v>-129.40581381031299</v>
      </c>
      <c r="P3117" s="182">
        <v>0</v>
      </c>
      <c r="Q3117" s="182">
        <v>0</v>
      </c>
      <c r="R3117" s="46">
        <v>0</v>
      </c>
      <c r="S3117" s="46">
        <v>15</v>
      </c>
      <c r="T3117" s="46">
        <v>6000</v>
      </c>
      <c r="U3117" s="46">
        <v>7.5030000000000001</v>
      </c>
      <c r="V3117" s="46" t="s">
        <v>68</v>
      </c>
      <c r="W3117" s="46">
        <v>6000</v>
      </c>
      <c r="X3117" s="46">
        <v>7.5030000000000001</v>
      </c>
      <c r="AF3117" s="46">
        <v>41</v>
      </c>
      <c r="AG3117" s="46">
        <v>20400</v>
      </c>
      <c r="AH3117" s="46">
        <v>149965</v>
      </c>
      <c r="AI3117" s="46">
        <v>7.351</v>
      </c>
      <c r="AJ3117" s="46">
        <v>41</v>
      </c>
      <c r="AK3117" s="46">
        <v>18400</v>
      </c>
      <c r="AL3117" s="46">
        <v>89393.376999999993</v>
      </c>
      <c r="AM3117" s="46">
        <v>4.8579999999999997</v>
      </c>
      <c r="AN3117" s="46" t="s">
        <v>63</v>
      </c>
      <c r="AO3117" s="46">
        <v>2000</v>
      </c>
      <c r="AP3117" s="46">
        <v>60571.623</v>
      </c>
      <c r="AQ3117" s="46">
        <v>30.286000000000001</v>
      </c>
      <c r="AR3117" s="46">
        <v>-45871.199999999997</v>
      </c>
      <c r="AS3117" s="46">
        <v>41</v>
      </c>
      <c r="AT3117" s="46">
        <v>20400</v>
      </c>
      <c r="AU3117" s="46">
        <v>149965</v>
      </c>
      <c r="AV3117" s="46">
        <v>7.351</v>
      </c>
      <c r="AW3117" s="46">
        <v>57</v>
      </c>
      <c r="AX3117" s="46">
        <v>24900</v>
      </c>
      <c r="AY3117" s="46">
        <v>134293.35699999999</v>
      </c>
      <c r="AZ3117" s="46">
        <v>5.3929999999999998</v>
      </c>
      <c r="BA3117" s="46" t="s">
        <v>69</v>
      </c>
      <c r="BB3117" s="46">
        <v>4500</v>
      </c>
      <c r="BC3117" s="46">
        <v>15671.643</v>
      </c>
      <c r="BD3117" s="46">
        <v>3.4830000000000001</v>
      </c>
      <c r="BE3117" s="46">
        <v>-39943.199999999997</v>
      </c>
      <c r="BF3117" s="46">
        <v>0</v>
      </c>
      <c r="BH3117" s="46">
        <v>44899.98</v>
      </c>
      <c r="BI3117">
        <v>7.48</v>
      </c>
      <c r="BJ3117">
        <v>-44899.98</v>
      </c>
      <c r="BK3117">
        <v>-7.48</v>
      </c>
      <c r="BL3117">
        <v>-7632.48</v>
      </c>
    </row>
    <row r="3118" spans="1:64" x14ac:dyDescent="0.25">
      <c r="A3118" s="136">
        <v>43262</v>
      </c>
      <c r="B3118" s="201" t="s">
        <v>70</v>
      </c>
      <c r="C3118" t="s">
        <v>131</v>
      </c>
      <c r="D3118">
        <v>12600</v>
      </c>
      <c r="E3118">
        <v>12600</v>
      </c>
      <c r="F3118">
        <v>11.313000000000001</v>
      </c>
      <c r="G3118">
        <v>-35195.769999999997</v>
      </c>
      <c r="H3118">
        <v>-24.69</v>
      </c>
      <c r="I3118" s="309">
        <v>107352</v>
      </c>
      <c r="J3118">
        <v>8.52</v>
      </c>
      <c r="K3118" s="133">
        <v>0.22698471280625601</v>
      </c>
      <c r="L3118" s="181">
        <v>-2566</v>
      </c>
      <c r="M3118" s="133">
        <v>0.30140253218032498</v>
      </c>
      <c r="N3118" s="73">
        <v>-34695.762999999999</v>
      </c>
      <c r="O3118" s="73">
        <v>-4051.2167194509402</v>
      </c>
      <c r="P3118" s="182">
        <v>4</v>
      </c>
      <c r="Q3118" s="182">
        <v>2000</v>
      </c>
      <c r="R3118" s="46">
        <v>8.4529999999999994</v>
      </c>
      <c r="S3118" s="46">
        <v>6</v>
      </c>
      <c r="T3118" s="46">
        <v>2400</v>
      </c>
      <c r="U3118" s="46">
        <v>9.4130000000000003</v>
      </c>
      <c r="V3118" s="46" t="s">
        <v>68</v>
      </c>
      <c r="W3118" s="46">
        <v>400</v>
      </c>
      <c r="X3118" s="46">
        <v>14.212999999999999</v>
      </c>
      <c r="AF3118" s="46">
        <v>141</v>
      </c>
      <c r="AG3118" s="46">
        <v>72100</v>
      </c>
      <c r="AH3118" s="46">
        <v>926228</v>
      </c>
      <c r="AI3118" s="46">
        <v>12.846</v>
      </c>
      <c r="AJ3118" s="46">
        <v>147</v>
      </c>
      <c r="AK3118" s="46">
        <v>59100</v>
      </c>
      <c r="AL3118" s="46">
        <v>777656.82900000003</v>
      </c>
      <c r="AM3118" s="46">
        <v>13.157999999999999</v>
      </c>
      <c r="AN3118" s="46" t="s">
        <v>63</v>
      </c>
      <c r="AO3118" s="46">
        <v>13000</v>
      </c>
      <c r="AP3118" s="46">
        <v>148571.171</v>
      </c>
      <c r="AQ3118" s="46">
        <v>11.429</v>
      </c>
      <c r="AR3118" s="46">
        <v>18439.2</v>
      </c>
      <c r="AS3118" s="46">
        <v>145</v>
      </c>
      <c r="AT3118" s="46">
        <v>74100</v>
      </c>
      <c r="AU3118" s="46">
        <v>943153</v>
      </c>
      <c r="AV3118" s="46">
        <v>12.728</v>
      </c>
      <c r="AW3118" s="46">
        <v>154</v>
      </c>
      <c r="AX3118" s="46">
        <v>61500</v>
      </c>
      <c r="AY3118" s="46">
        <v>800601.23699999996</v>
      </c>
      <c r="AZ3118" s="46">
        <v>13.018000000000001</v>
      </c>
      <c r="BA3118" s="46" t="s">
        <v>63</v>
      </c>
      <c r="BB3118" s="46">
        <v>12600</v>
      </c>
      <c r="BC3118" s="46">
        <v>142551.76300000001</v>
      </c>
      <c r="BD3118" s="46">
        <v>11.314</v>
      </c>
      <c r="BE3118" s="46">
        <v>17835</v>
      </c>
      <c r="BF3118" s="46">
        <v>16925</v>
      </c>
      <c r="BG3118" s="46">
        <v>8.4600000000000009</v>
      </c>
      <c r="BH3118" s="46">
        <v>22944.407999999901</v>
      </c>
      <c r="BI3118">
        <v>9.56</v>
      </c>
      <c r="BJ3118">
        <v>-6019.4080000000004</v>
      </c>
      <c r="BK3118">
        <v>-15.05</v>
      </c>
      <c r="BL3118">
        <v>2164.23</v>
      </c>
    </row>
    <row r="3119" spans="1:64" x14ac:dyDescent="0.25">
      <c r="A3119" s="136">
        <v>43262</v>
      </c>
      <c r="B3119" s="201" t="s">
        <v>137</v>
      </c>
      <c r="C3119" t="s">
        <v>149</v>
      </c>
      <c r="D3119">
        <v>100</v>
      </c>
      <c r="E3119">
        <v>100</v>
      </c>
      <c r="F3119">
        <v>-130.86000000000001</v>
      </c>
      <c r="G3119">
        <v>17599</v>
      </c>
      <c r="H3119">
        <v>0</v>
      </c>
      <c r="I3119" s="309">
        <v>4513</v>
      </c>
      <c r="J3119">
        <v>45.13</v>
      </c>
      <c r="K3119" s="133">
        <v>9.5422722342819195E-3</v>
      </c>
      <c r="L3119" s="181">
        <v>505</v>
      </c>
      <c r="M3119" s="133">
        <v>0</v>
      </c>
    </row>
    <row r="3120" spans="1:64" x14ac:dyDescent="0.25">
      <c r="A3120" s="136">
        <v>43262</v>
      </c>
      <c r="B3120" s="201" t="s">
        <v>835</v>
      </c>
      <c r="C3120" t="s">
        <v>839</v>
      </c>
      <c r="I3120" s="309">
        <v>156.76</v>
      </c>
      <c r="K3120" s="133">
        <v>3.3145282416264903E-4</v>
      </c>
      <c r="L3120" s="181">
        <v>0</v>
      </c>
      <c r="M3120" s="133">
        <v>2.1755344639787701E-2</v>
      </c>
    </row>
    <row r="3121" spans="1:64" x14ac:dyDescent="0.25">
      <c r="A3121" s="136">
        <v>43264</v>
      </c>
      <c r="B3121" s="201" t="s">
        <v>132</v>
      </c>
      <c r="C3121" t="s">
        <v>123</v>
      </c>
      <c r="D3121">
        <v>1013835</v>
      </c>
      <c r="E3121">
        <v>1013835</v>
      </c>
      <c r="F3121">
        <v>6.0000000000000001E-3</v>
      </c>
      <c r="G3121">
        <v>3742.91</v>
      </c>
      <c r="H3121">
        <v>66.67</v>
      </c>
      <c r="I3121" s="309">
        <v>10138.35</v>
      </c>
      <c r="J3121">
        <v>0.01</v>
      </c>
      <c r="K3121" s="133">
        <v>2.1306692802646701E-2</v>
      </c>
      <c r="L3121" s="181">
        <v>5.9600000000000399</v>
      </c>
      <c r="M3121" s="133">
        <v>0</v>
      </c>
    </row>
    <row r="3122" spans="1:64" x14ac:dyDescent="0.25">
      <c r="A3122" s="136">
        <v>43264</v>
      </c>
      <c r="B3122" s="201" t="s">
        <v>61</v>
      </c>
      <c r="C3122" t="s">
        <v>136</v>
      </c>
      <c r="D3122">
        <v>3900</v>
      </c>
      <c r="E3122">
        <v>3900</v>
      </c>
      <c r="F3122">
        <v>5.0519999999999996</v>
      </c>
      <c r="G3122">
        <v>-2698.1</v>
      </c>
      <c r="H3122">
        <v>-13.7</v>
      </c>
      <c r="I3122" s="309">
        <v>17004</v>
      </c>
      <c r="J3122">
        <v>4.3600000000000003</v>
      </c>
      <c r="K3122" s="133">
        <v>3.5735499801861699E-2</v>
      </c>
      <c r="L3122" s="181">
        <v>-39</v>
      </c>
      <c r="M3122" s="133">
        <v>4.1405809847462997E-2</v>
      </c>
      <c r="N3122" s="73">
        <v>-1807.1410000000001</v>
      </c>
      <c r="O3122" s="73">
        <v>-393.515779847494</v>
      </c>
      <c r="P3122" s="182">
        <v>6</v>
      </c>
      <c r="Q3122" s="182">
        <v>3000</v>
      </c>
      <c r="R3122" s="46">
        <v>5.0350000000000001</v>
      </c>
      <c r="S3122" s="46">
        <v>0</v>
      </c>
      <c r="T3122" s="46">
        <v>0</v>
      </c>
      <c r="U3122" s="46">
        <v>0</v>
      </c>
      <c r="V3122" s="46" t="s">
        <v>62</v>
      </c>
      <c r="W3122" s="46">
        <v>3000</v>
      </c>
      <c r="X3122" s="46">
        <v>5.0350000000000001</v>
      </c>
      <c r="AF3122" s="46">
        <v>10</v>
      </c>
      <c r="AG3122" s="46">
        <v>5000</v>
      </c>
      <c r="AH3122" s="46">
        <v>26378</v>
      </c>
      <c r="AI3122" s="46">
        <v>5.2759999999999998</v>
      </c>
      <c r="AJ3122" s="46">
        <v>10</v>
      </c>
      <c r="AK3122" s="46">
        <v>4100</v>
      </c>
      <c r="AL3122" s="46">
        <v>21806.659</v>
      </c>
      <c r="AM3122" s="46">
        <v>5.319</v>
      </c>
      <c r="AN3122" s="46" t="s">
        <v>63</v>
      </c>
      <c r="AO3122" s="46">
        <v>900</v>
      </c>
      <c r="AP3122" s="46">
        <v>4571.3410000000003</v>
      </c>
      <c r="AQ3122" s="46">
        <v>5.0789999999999997</v>
      </c>
      <c r="AR3122" s="46">
        <v>176.3</v>
      </c>
      <c r="AS3122" s="46">
        <v>16</v>
      </c>
      <c r="AT3122" s="46">
        <v>8000</v>
      </c>
      <c r="AU3122" s="46">
        <v>41514.800000000003</v>
      </c>
      <c r="AV3122" s="46">
        <v>5.1890000000000001</v>
      </c>
      <c r="AW3122" s="46">
        <v>10</v>
      </c>
      <c r="AX3122" s="46">
        <v>4100</v>
      </c>
      <c r="AY3122" s="46">
        <v>21806.659</v>
      </c>
      <c r="AZ3122" s="46">
        <v>5.319</v>
      </c>
      <c r="BA3122" s="46" t="s">
        <v>63</v>
      </c>
      <c r="BB3122" s="46">
        <v>3900</v>
      </c>
      <c r="BC3122" s="46">
        <v>19708.141</v>
      </c>
      <c r="BD3122" s="46">
        <v>5.0529999999999999</v>
      </c>
      <c r="BE3122" s="46">
        <v>533</v>
      </c>
      <c r="BF3122" s="46">
        <v>15136.8</v>
      </c>
      <c r="BG3122" s="46">
        <v>5.05</v>
      </c>
      <c r="BH3122" s="46">
        <v>0</v>
      </c>
      <c r="BJ3122">
        <v>15136.8</v>
      </c>
      <c r="BK3122">
        <v>5.05</v>
      </c>
      <c r="BL3122">
        <v>40.44</v>
      </c>
    </row>
    <row r="3123" spans="1:64" x14ac:dyDescent="0.25">
      <c r="A3123" s="136">
        <v>43264</v>
      </c>
      <c r="B3123" s="201" t="s">
        <v>124</v>
      </c>
      <c r="C3123" t="s">
        <v>125</v>
      </c>
      <c r="D3123">
        <v>100</v>
      </c>
      <c r="E3123">
        <v>100</v>
      </c>
      <c r="F3123">
        <v>-53.579000000000001</v>
      </c>
      <c r="G3123">
        <v>5911.9</v>
      </c>
      <c r="H3123">
        <v>0</v>
      </c>
      <c r="I3123" s="309">
        <v>554</v>
      </c>
      <c r="J3123">
        <v>5.54</v>
      </c>
      <c r="K3123" s="133">
        <v>1.1642829269719701E-3</v>
      </c>
      <c r="L3123" s="181">
        <v>-4</v>
      </c>
      <c r="M3123" s="133">
        <v>0</v>
      </c>
    </row>
    <row r="3124" spans="1:64" x14ac:dyDescent="0.25">
      <c r="A3124" s="136">
        <v>43264</v>
      </c>
      <c r="B3124" s="201" t="s">
        <v>71</v>
      </c>
      <c r="C3124" t="s">
        <v>126</v>
      </c>
      <c r="D3124">
        <v>2300</v>
      </c>
      <c r="E3124">
        <v>2300</v>
      </c>
      <c r="F3124">
        <v>5.4530000000000003</v>
      </c>
      <c r="G3124">
        <v>1626.84</v>
      </c>
      <c r="H3124">
        <v>12.97</v>
      </c>
      <c r="I3124" s="309">
        <v>14168</v>
      </c>
      <c r="J3124">
        <v>6.16</v>
      </c>
      <c r="K3124" s="133">
        <v>2.9775379980756099E-2</v>
      </c>
      <c r="L3124" s="181">
        <v>-46</v>
      </c>
      <c r="M3124" s="133">
        <v>2.6356423235422002E-2</v>
      </c>
      <c r="N3124" s="73">
        <v>11555.406000000001</v>
      </c>
      <c r="O3124" s="73">
        <v>273.48289935379597</v>
      </c>
      <c r="P3124" s="182">
        <v>0</v>
      </c>
      <c r="Q3124" s="182">
        <v>0</v>
      </c>
      <c r="R3124" s="46">
        <v>0</v>
      </c>
      <c r="S3124" s="46">
        <v>3</v>
      </c>
      <c r="T3124" s="46">
        <v>1100</v>
      </c>
      <c r="U3124" s="46">
        <v>6.8620000000000001</v>
      </c>
      <c r="V3124" s="46" t="s">
        <v>68</v>
      </c>
      <c r="W3124" s="46">
        <v>1100</v>
      </c>
      <c r="X3124" s="46">
        <v>6.8620000000000001</v>
      </c>
      <c r="AF3124" s="46">
        <v>47</v>
      </c>
      <c r="AG3124" s="46">
        <v>23600</v>
      </c>
      <c r="AH3124" s="46">
        <v>150875.16</v>
      </c>
      <c r="AI3124" s="46">
        <v>6.3929999999999998</v>
      </c>
      <c r="AJ3124" s="46">
        <v>45</v>
      </c>
      <c r="AK3124" s="46">
        <v>20200</v>
      </c>
      <c r="AL3124" s="46">
        <v>130637.874</v>
      </c>
      <c r="AM3124" s="46">
        <v>6.4669999999999996</v>
      </c>
      <c r="AN3124" s="46" t="s">
        <v>63</v>
      </c>
      <c r="AO3124" s="46">
        <v>3400</v>
      </c>
      <c r="AP3124" s="46">
        <v>20237.286</v>
      </c>
      <c r="AQ3124" s="46">
        <v>5.952</v>
      </c>
      <c r="AR3124" s="46">
        <v>1494.8</v>
      </c>
      <c r="AS3124" s="46">
        <v>47</v>
      </c>
      <c r="AT3124" s="46">
        <v>23600</v>
      </c>
      <c r="AU3124" s="46">
        <v>150875.16</v>
      </c>
      <c r="AV3124" s="46">
        <v>6.3929999999999998</v>
      </c>
      <c r="AW3124" s="46">
        <v>48</v>
      </c>
      <c r="AX3124" s="46">
        <v>21300</v>
      </c>
      <c r="AY3124" s="46">
        <v>138170.666</v>
      </c>
      <c r="AZ3124" s="46">
        <v>6.4870000000000001</v>
      </c>
      <c r="BA3124" s="46" t="s">
        <v>63</v>
      </c>
      <c r="BB3124" s="46">
        <v>2300</v>
      </c>
      <c r="BC3124" s="46">
        <v>12704.494000000001</v>
      </c>
      <c r="BD3124" s="46">
        <v>5.524</v>
      </c>
      <c r="BE3124" s="46">
        <v>2002.2</v>
      </c>
      <c r="BF3124" s="46">
        <v>0</v>
      </c>
      <c r="BH3124" s="46">
        <v>7532.7920000000004</v>
      </c>
      <c r="BI3124">
        <v>6.85</v>
      </c>
      <c r="BJ3124">
        <v>-7532.7920000000004</v>
      </c>
      <c r="BK3124">
        <v>-6.85</v>
      </c>
      <c r="BL3124">
        <v>242.66</v>
      </c>
    </row>
    <row r="3125" spans="1:64" x14ac:dyDescent="0.25">
      <c r="A3125" s="136">
        <v>43264</v>
      </c>
      <c r="B3125" s="201" t="s">
        <v>79</v>
      </c>
      <c r="C3125" t="s">
        <v>143</v>
      </c>
      <c r="D3125">
        <v>5700</v>
      </c>
      <c r="E3125">
        <v>5700</v>
      </c>
      <c r="F3125">
        <v>16.123999999999999</v>
      </c>
      <c r="G3125">
        <v>-8973.6</v>
      </c>
      <c r="H3125">
        <v>-9.76</v>
      </c>
      <c r="I3125" s="309">
        <v>82935</v>
      </c>
      <c r="J3125">
        <v>14.55</v>
      </c>
      <c r="K3125" s="133">
        <v>0.17429567608018101</v>
      </c>
      <c r="L3125" s="181">
        <v>171</v>
      </c>
      <c r="M3125" s="133">
        <v>0.19315453758465001</v>
      </c>
      <c r="N3125" s="73">
        <v>-9607.4760000001806</v>
      </c>
      <c r="O3125" s="73">
        <v>-665.00500429364195</v>
      </c>
      <c r="P3125" s="182">
        <v>7</v>
      </c>
      <c r="Q3125" s="182">
        <v>3500</v>
      </c>
      <c r="R3125" s="46">
        <v>14.367000000000001</v>
      </c>
      <c r="S3125" s="46">
        <v>0</v>
      </c>
      <c r="T3125" s="46">
        <v>0</v>
      </c>
      <c r="U3125" s="46">
        <v>0</v>
      </c>
      <c r="V3125" s="46" t="s">
        <v>62</v>
      </c>
      <c r="W3125" s="46">
        <v>3500</v>
      </c>
      <c r="X3125" s="46">
        <v>14.367000000000001</v>
      </c>
      <c r="AF3125" s="46">
        <v>21</v>
      </c>
      <c r="AG3125" s="46">
        <v>11000</v>
      </c>
      <c r="AH3125" s="46">
        <v>173841.6</v>
      </c>
      <c r="AI3125" s="46">
        <v>15.804</v>
      </c>
      <c r="AJ3125" s="46">
        <v>22</v>
      </c>
      <c r="AK3125" s="46">
        <v>8800</v>
      </c>
      <c r="AL3125" s="46">
        <v>132248.22399999999</v>
      </c>
      <c r="AM3125" s="46">
        <v>15.028</v>
      </c>
      <c r="AN3125" s="46" t="s">
        <v>63</v>
      </c>
      <c r="AO3125" s="46">
        <v>2200</v>
      </c>
      <c r="AP3125" s="46">
        <v>41593.375999999997</v>
      </c>
      <c r="AQ3125" s="46">
        <v>18.905999999999999</v>
      </c>
      <c r="AR3125" s="46">
        <v>-6828.8</v>
      </c>
      <c r="AS3125" s="46">
        <v>28</v>
      </c>
      <c r="AT3125" s="46">
        <v>14500</v>
      </c>
      <c r="AU3125" s="46">
        <v>224163.7</v>
      </c>
      <c r="AV3125" s="46">
        <v>15.46</v>
      </c>
      <c r="AW3125" s="46">
        <v>22</v>
      </c>
      <c r="AX3125" s="46">
        <v>8800</v>
      </c>
      <c r="AY3125" s="46">
        <v>132248.22399999999</v>
      </c>
      <c r="AZ3125" s="46">
        <v>15.028</v>
      </c>
      <c r="BA3125" s="46" t="s">
        <v>63</v>
      </c>
      <c r="BB3125" s="46">
        <v>5700</v>
      </c>
      <c r="BC3125" s="46">
        <v>91915.475999999995</v>
      </c>
      <c r="BD3125" s="46">
        <v>16.126000000000001</v>
      </c>
      <c r="BE3125" s="46">
        <v>-3801.6</v>
      </c>
      <c r="BF3125" s="46">
        <v>50322.099999999897</v>
      </c>
      <c r="BG3125" s="46">
        <v>14.38</v>
      </c>
      <c r="BH3125" s="46">
        <v>0</v>
      </c>
      <c r="BJ3125">
        <v>50322.1</v>
      </c>
      <c r="BK3125">
        <v>14.38</v>
      </c>
      <c r="BL3125">
        <v>-469.33</v>
      </c>
    </row>
    <row r="3126" spans="1:64" x14ac:dyDescent="0.25">
      <c r="A3126" s="136">
        <v>43264</v>
      </c>
      <c r="B3126" s="201" t="s">
        <v>65</v>
      </c>
      <c r="C3126" t="s">
        <v>127</v>
      </c>
      <c r="D3126">
        <v>20400</v>
      </c>
      <c r="E3126">
        <v>20400</v>
      </c>
      <c r="F3126">
        <v>9.3369999999999997</v>
      </c>
      <c r="G3126">
        <v>67.400000000000006</v>
      </c>
      <c r="H3126">
        <v>0.03</v>
      </c>
      <c r="I3126" s="309">
        <v>190536</v>
      </c>
      <c r="J3126">
        <v>9.34</v>
      </c>
      <c r="K3126" s="133">
        <v>0.40042926312911797</v>
      </c>
      <c r="L3126" s="181">
        <v>1671.25</v>
      </c>
      <c r="M3126" s="133">
        <v>0.400287615711649</v>
      </c>
      <c r="N3126" s="73">
        <v>-3399.0210000000202</v>
      </c>
      <c r="O3126" s="73">
        <v>94.039577158833197</v>
      </c>
      <c r="P3126" s="182">
        <v>4</v>
      </c>
      <c r="Q3126" s="182">
        <v>5500</v>
      </c>
      <c r="R3126" s="46">
        <v>9.3149999999999995</v>
      </c>
      <c r="S3126" s="46">
        <v>11</v>
      </c>
      <c r="T3126" s="46">
        <v>4500</v>
      </c>
      <c r="U3126" s="46">
        <v>11.717000000000001</v>
      </c>
      <c r="V3126" s="46" t="s">
        <v>62</v>
      </c>
      <c r="W3126" s="46">
        <v>1000</v>
      </c>
      <c r="X3126" s="46">
        <v>-1.494</v>
      </c>
      <c r="AF3126" s="46">
        <v>192</v>
      </c>
      <c r="AG3126" s="46">
        <v>101700</v>
      </c>
      <c r="AH3126" s="46">
        <v>1154305.2309999999</v>
      </c>
      <c r="AI3126" s="46">
        <v>11.35</v>
      </c>
      <c r="AJ3126" s="46">
        <v>212</v>
      </c>
      <c r="AK3126" s="46">
        <v>91500</v>
      </c>
      <c r="AL3126" s="46">
        <v>961640.38600000006</v>
      </c>
      <c r="AM3126" s="46">
        <v>10.51</v>
      </c>
      <c r="AN3126" s="46" t="s">
        <v>63</v>
      </c>
      <c r="AO3126" s="46">
        <v>10200</v>
      </c>
      <c r="AP3126" s="46">
        <v>192664.845</v>
      </c>
      <c r="AQ3126" s="46">
        <v>18.888999999999999</v>
      </c>
      <c r="AR3126" s="46">
        <v>-76860</v>
      </c>
      <c r="AS3126" s="46">
        <v>197</v>
      </c>
      <c r="AT3126" s="46">
        <v>107300</v>
      </c>
      <c r="AU3126" s="46">
        <v>1206852.6810000001</v>
      </c>
      <c r="AV3126" s="46">
        <v>11.247</v>
      </c>
      <c r="AW3126" s="46">
        <v>223</v>
      </c>
      <c r="AX3126" s="46">
        <v>96000</v>
      </c>
      <c r="AY3126" s="46">
        <v>1014260.6580000001</v>
      </c>
      <c r="AZ3126" s="46">
        <v>10.565</v>
      </c>
      <c r="BA3126" s="46" t="s">
        <v>63</v>
      </c>
      <c r="BB3126" s="46">
        <v>11300</v>
      </c>
      <c r="BC3126" s="46">
        <v>192592.02299999999</v>
      </c>
      <c r="BD3126" s="46">
        <v>17.044</v>
      </c>
      <c r="BE3126" s="46">
        <v>-65472</v>
      </c>
      <c r="BF3126" s="46">
        <v>52547.45</v>
      </c>
      <c r="BG3126" s="46">
        <v>9.5500000000000007</v>
      </c>
      <c r="BH3126" s="46">
        <v>52620.272000000099</v>
      </c>
      <c r="BI3126">
        <v>11.69</v>
      </c>
      <c r="BJ3126">
        <v>-72.822000000014697</v>
      </c>
      <c r="BK3126">
        <v>-7.0000000000000007E-2</v>
      </c>
      <c r="BL3126">
        <v>-8229.1200000000008</v>
      </c>
    </row>
    <row r="3127" spans="1:64" x14ac:dyDescent="0.25">
      <c r="A3127" s="136">
        <v>43264</v>
      </c>
      <c r="B3127" s="201" t="s">
        <v>77</v>
      </c>
      <c r="C3127" t="s">
        <v>128</v>
      </c>
      <c r="D3127">
        <v>4300</v>
      </c>
      <c r="E3127">
        <v>4300</v>
      </c>
      <c r="F3127">
        <v>5.9779999999999998</v>
      </c>
      <c r="G3127">
        <v>-595.27</v>
      </c>
      <c r="H3127">
        <v>-2.31</v>
      </c>
      <c r="I3127" s="309">
        <v>25112</v>
      </c>
      <c r="J3127">
        <v>5.84</v>
      </c>
      <c r="K3127" s="133">
        <v>5.2775221772780101E-2</v>
      </c>
      <c r="L3127" s="181">
        <v>0</v>
      </c>
      <c r="M3127" s="133">
        <v>5.40262374730303E-2</v>
      </c>
      <c r="N3127" s="73">
        <v>-1272.2139999999999</v>
      </c>
      <c r="O3127" s="73">
        <v>-133.073774655173</v>
      </c>
      <c r="P3127" s="182">
        <v>6</v>
      </c>
      <c r="Q3127" s="182">
        <v>3000</v>
      </c>
      <c r="R3127" s="46">
        <v>6.798</v>
      </c>
      <c r="S3127" s="46">
        <v>0</v>
      </c>
      <c r="T3127" s="46">
        <v>0</v>
      </c>
      <c r="U3127" s="46">
        <v>0</v>
      </c>
      <c r="V3127" s="46" t="s">
        <v>62</v>
      </c>
      <c r="W3127" s="46">
        <v>3000</v>
      </c>
      <c r="X3127" s="46">
        <v>6.798</v>
      </c>
      <c r="AF3127" s="46">
        <v>39</v>
      </c>
      <c r="AG3127" s="46">
        <v>19500</v>
      </c>
      <c r="AH3127" s="46">
        <v>142169</v>
      </c>
      <c r="AI3127" s="46">
        <v>7.2910000000000004</v>
      </c>
      <c r="AJ3127" s="46">
        <v>39</v>
      </c>
      <c r="AK3127" s="46">
        <v>18200</v>
      </c>
      <c r="AL3127" s="46">
        <v>136881.78599999999</v>
      </c>
      <c r="AM3127" s="46">
        <v>7.5209999999999999</v>
      </c>
      <c r="AN3127" s="46" t="s">
        <v>63</v>
      </c>
      <c r="AO3127" s="46">
        <v>1300</v>
      </c>
      <c r="AP3127" s="46">
        <v>5287.2139999999999</v>
      </c>
      <c r="AQ3127" s="46">
        <v>4.0670000000000002</v>
      </c>
      <c r="AR3127" s="46">
        <v>4186</v>
      </c>
      <c r="AS3127" s="46">
        <v>45</v>
      </c>
      <c r="AT3127" s="46">
        <v>22500</v>
      </c>
      <c r="AU3127" s="46">
        <v>162594</v>
      </c>
      <c r="AV3127" s="46">
        <v>7.226</v>
      </c>
      <c r="AW3127" s="46">
        <v>39</v>
      </c>
      <c r="AX3127" s="46">
        <v>18200</v>
      </c>
      <c r="AY3127" s="46">
        <v>136881.78599999999</v>
      </c>
      <c r="AZ3127" s="46">
        <v>7.5209999999999999</v>
      </c>
      <c r="BA3127" s="46" t="s">
        <v>63</v>
      </c>
      <c r="BB3127" s="46">
        <v>4300</v>
      </c>
      <c r="BC3127" s="46">
        <v>25712.214</v>
      </c>
      <c r="BD3127" s="46">
        <v>5.98</v>
      </c>
      <c r="BE3127" s="46">
        <v>5369</v>
      </c>
      <c r="BF3127" s="46">
        <v>20425</v>
      </c>
      <c r="BG3127" s="46">
        <v>6.81</v>
      </c>
      <c r="BH3127" s="46">
        <v>0</v>
      </c>
      <c r="BJ3127">
        <v>20425</v>
      </c>
      <c r="BK3127">
        <v>6.81</v>
      </c>
      <c r="BL3127">
        <v>716.78</v>
      </c>
    </row>
    <row r="3128" spans="1:64" x14ac:dyDescent="0.25">
      <c r="A3128" s="136">
        <v>43264</v>
      </c>
      <c r="B3128" s="201" t="s">
        <v>67</v>
      </c>
      <c r="C3128" t="s">
        <v>129</v>
      </c>
      <c r="D3128">
        <v>100</v>
      </c>
      <c r="E3128">
        <v>100</v>
      </c>
      <c r="F3128">
        <v>-33.115000000000002</v>
      </c>
      <c r="G3128">
        <v>4329.5</v>
      </c>
      <c r="H3128">
        <v>0</v>
      </c>
      <c r="I3128" s="309">
        <v>1018</v>
      </c>
      <c r="J3128">
        <v>10.18</v>
      </c>
      <c r="K3128" s="133">
        <v>2.1394224181542701E-3</v>
      </c>
      <c r="L3128" s="181">
        <v>59</v>
      </c>
      <c r="M3128" s="133">
        <v>0</v>
      </c>
      <c r="N3128" s="73">
        <v>4353.6874999997499</v>
      </c>
      <c r="O3128" s="73">
        <v>417.61138735602498</v>
      </c>
      <c r="P3128" s="182">
        <v>0</v>
      </c>
      <c r="Q3128" s="182">
        <v>0</v>
      </c>
      <c r="R3128" s="46">
        <v>0</v>
      </c>
      <c r="S3128" s="46">
        <v>24</v>
      </c>
      <c r="T3128" s="46">
        <v>9600</v>
      </c>
      <c r="U3128" s="46">
        <v>8.9969999999999999</v>
      </c>
      <c r="V3128" s="46" t="s">
        <v>68</v>
      </c>
      <c r="W3128" s="46">
        <v>9600</v>
      </c>
      <c r="X3128" s="46">
        <v>8.9969999999999999</v>
      </c>
      <c r="AF3128" s="46">
        <v>192</v>
      </c>
      <c r="AG3128" s="46">
        <v>95000</v>
      </c>
      <c r="AH3128" s="46">
        <v>791793</v>
      </c>
      <c r="AI3128" s="46">
        <v>8.3350000000000009</v>
      </c>
      <c r="AJ3128" s="46">
        <v>196</v>
      </c>
      <c r="AK3128" s="46">
        <v>87900</v>
      </c>
      <c r="AL3128" s="46">
        <v>778064.67550000001</v>
      </c>
      <c r="AM3128" s="46">
        <v>8.8520000000000003</v>
      </c>
      <c r="AN3128" s="46" t="s">
        <v>63</v>
      </c>
      <c r="AO3128" s="46">
        <v>7100</v>
      </c>
      <c r="AP3128" s="46">
        <v>13728.324000000001</v>
      </c>
      <c r="AQ3128" s="46">
        <v>1.9339999999999999</v>
      </c>
      <c r="AR3128" s="46">
        <v>45444.3</v>
      </c>
      <c r="AS3128" s="46">
        <v>192</v>
      </c>
      <c r="AT3128" s="46">
        <v>95000</v>
      </c>
      <c r="AU3128" s="46">
        <v>791793</v>
      </c>
      <c r="AV3128" s="46">
        <v>8.3350000000000009</v>
      </c>
      <c r="AW3128" s="46">
        <v>220</v>
      </c>
      <c r="AX3128" s="46">
        <v>97500</v>
      </c>
      <c r="AY3128" s="46">
        <v>864232.80350000004</v>
      </c>
      <c r="AZ3128" s="46">
        <v>8.8640000000000008</v>
      </c>
      <c r="BA3128" s="46" t="s">
        <v>69</v>
      </c>
      <c r="BB3128" s="46">
        <v>2500</v>
      </c>
      <c r="BC3128" s="46">
        <v>72439.804000000004</v>
      </c>
      <c r="BD3128" s="46">
        <v>28.975999999999999</v>
      </c>
      <c r="BE3128" s="46">
        <v>50255</v>
      </c>
      <c r="BF3128" s="46">
        <v>0</v>
      </c>
      <c r="BH3128" s="46">
        <v>86168.127999999997</v>
      </c>
      <c r="BI3128">
        <v>8.98</v>
      </c>
      <c r="BJ3128">
        <v>58711.48</v>
      </c>
      <c r="BK3128">
        <v>6.12</v>
      </c>
      <c r="BL3128">
        <v>4464.08</v>
      </c>
    </row>
    <row r="3129" spans="1:64" x14ac:dyDescent="0.25">
      <c r="A3129" s="136">
        <v>43264</v>
      </c>
      <c r="B3129" s="201" t="s">
        <v>78</v>
      </c>
      <c r="C3129" t="s">
        <v>142</v>
      </c>
      <c r="D3129">
        <v>200</v>
      </c>
      <c r="E3129">
        <v>200</v>
      </c>
      <c r="F3129">
        <v>2.1669999999999998</v>
      </c>
      <c r="G3129">
        <v>1418.65</v>
      </c>
      <c r="H3129">
        <v>327.32</v>
      </c>
      <c r="I3129" s="309">
        <v>1852</v>
      </c>
      <c r="J3129">
        <v>9.26</v>
      </c>
      <c r="K3129" s="133">
        <v>3.8921515898052198E-3</v>
      </c>
      <c r="L3129" s="181">
        <v>-58</v>
      </c>
      <c r="M3129" s="133">
        <v>9.1072564332726302E-4</v>
      </c>
      <c r="N3129" s="73">
        <v>1436.6510000000001</v>
      </c>
      <c r="O3129" s="73">
        <v>153.57568711229899</v>
      </c>
      <c r="P3129" s="182">
        <v>0</v>
      </c>
      <c r="Q3129" s="182">
        <v>0</v>
      </c>
      <c r="R3129" s="46">
        <v>0</v>
      </c>
      <c r="S3129" s="46">
        <v>3</v>
      </c>
      <c r="T3129" s="46">
        <v>1200</v>
      </c>
      <c r="U3129" s="46">
        <v>9.923</v>
      </c>
      <c r="V3129" s="46" t="s">
        <v>68</v>
      </c>
      <c r="W3129" s="46">
        <v>1200</v>
      </c>
      <c r="X3129" s="46">
        <v>9.923</v>
      </c>
      <c r="AF3129" s="46">
        <v>14</v>
      </c>
      <c r="AG3129" s="46">
        <v>7000</v>
      </c>
      <c r="AH3129" s="46">
        <v>67625</v>
      </c>
      <c r="AI3129" s="46">
        <v>9.6609999999999996</v>
      </c>
      <c r="AJ3129" s="46">
        <v>15</v>
      </c>
      <c r="AK3129" s="46">
        <v>5600</v>
      </c>
      <c r="AL3129" s="46">
        <v>55310.559000000001</v>
      </c>
      <c r="AM3129" s="46">
        <v>9.8770000000000007</v>
      </c>
      <c r="AN3129" s="46" t="s">
        <v>63</v>
      </c>
      <c r="AO3129" s="46">
        <v>1400</v>
      </c>
      <c r="AP3129" s="46">
        <v>12314.441000000001</v>
      </c>
      <c r="AQ3129" s="46">
        <v>8.7959999999999994</v>
      </c>
      <c r="AR3129" s="46">
        <v>1209.5999999999999</v>
      </c>
      <c r="AS3129" s="46">
        <v>14</v>
      </c>
      <c r="AT3129" s="46">
        <v>7000</v>
      </c>
      <c r="AU3129" s="46">
        <v>67625</v>
      </c>
      <c r="AV3129" s="46">
        <v>9.6609999999999996</v>
      </c>
      <c r="AW3129" s="46">
        <v>18</v>
      </c>
      <c r="AX3129" s="46">
        <v>6800</v>
      </c>
      <c r="AY3129" s="46">
        <v>67191.650999999998</v>
      </c>
      <c r="AZ3129" s="46">
        <v>9.8810000000000002</v>
      </c>
      <c r="BA3129" s="46" t="s">
        <v>63</v>
      </c>
      <c r="BB3129" s="46">
        <v>200</v>
      </c>
      <c r="BC3129" s="46">
        <v>433.34899999999999</v>
      </c>
      <c r="BD3129" s="46">
        <v>2.1669999999999998</v>
      </c>
      <c r="BE3129" s="46">
        <v>1496</v>
      </c>
      <c r="BF3129" s="46">
        <v>0</v>
      </c>
      <c r="BH3129" s="46">
        <v>11881.092000000001</v>
      </c>
      <c r="BI3129">
        <v>9.9</v>
      </c>
      <c r="BJ3129">
        <v>-11881.092000000001</v>
      </c>
      <c r="BK3129">
        <v>-9.9</v>
      </c>
      <c r="BL3129">
        <v>130.63</v>
      </c>
    </row>
    <row r="3130" spans="1:64" x14ac:dyDescent="0.25">
      <c r="A3130" s="136">
        <v>43264</v>
      </c>
      <c r="B3130" s="201" t="s">
        <v>72</v>
      </c>
      <c r="C3130" t="s">
        <v>130</v>
      </c>
      <c r="D3130">
        <v>2600</v>
      </c>
      <c r="E3130">
        <v>2600</v>
      </c>
      <c r="F3130">
        <v>6.3090000000000002</v>
      </c>
      <c r="G3130">
        <v>-908.12</v>
      </c>
      <c r="H3130">
        <v>-5.53</v>
      </c>
      <c r="I3130" s="309">
        <v>15496</v>
      </c>
      <c r="J3130">
        <v>5.96</v>
      </c>
      <c r="K3130" s="133">
        <v>3.2566296455519297E-2</v>
      </c>
      <c r="L3130" s="181">
        <v>-130</v>
      </c>
      <c r="M3130" s="133">
        <v>3.4474795754511699E-2</v>
      </c>
      <c r="N3130" s="73">
        <v>-16705.828000000001</v>
      </c>
      <c r="O3130" s="73">
        <v>-129.40581381031299</v>
      </c>
      <c r="P3130" s="182">
        <v>0</v>
      </c>
      <c r="Q3130" s="182">
        <v>0</v>
      </c>
      <c r="R3130" s="46">
        <v>0</v>
      </c>
      <c r="S3130" s="46">
        <v>15</v>
      </c>
      <c r="T3130" s="46">
        <v>6000</v>
      </c>
      <c r="U3130" s="46">
        <v>7.5030000000000001</v>
      </c>
      <c r="V3130" s="46" t="s">
        <v>68</v>
      </c>
      <c r="W3130" s="46">
        <v>6000</v>
      </c>
      <c r="X3130" s="46">
        <v>7.5030000000000001</v>
      </c>
      <c r="AF3130" s="46">
        <v>41</v>
      </c>
      <c r="AG3130" s="46">
        <v>20400</v>
      </c>
      <c r="AH3130" s="46">
        <v>149965</v>
      </c>
      <c r="AI3130" s="46">
        <v>7.351</v>
      </c>
      <c r="AJ3130" s="46">
        <v>41</v>
      </c>
      <c r="AK3130" s="46">
        <v>18400</v>
      </c>
      <c r="AL3130" s="46">
        <v>89393.376999999993</v>
      </c>
      <c r="AM3130" s="46">
        <v>4.8579999999999997</v>
      </c>
      <c r="AN3130" s="46" t="s">
        <v>63</v>
      </c>
      <c r="AO3130" s="46">
        <v>2000</v>
      </c>
      <c r="AP3130" s="46">
        <v>60571.623</v>
      </c>
      <c r="AQ3130" s="46">
        <v>30.286000000000001</v>
      </c>
      <c r="AR3130" s="46">
        <v>-45871.199999999997</v>
      </c>
      <c r="AS3130" s="46">
        <v>41</v>
      </c>
      <c r="AT3130" s="46">
        <v>20400</v>
      </c>
      <c r="AU3130" s="46">
        <v>149965</v>
      </c>
      <c r="AV3130" s="46">
        <v>7.351</v>
      </c>
      <c r="AW3130" s="46">
        <v>57</v>
      </c>
      <c r="AX3130" s="46">
        <v>24900</v>
      </c>
      <c r="AY3130" s="46">
        <v>134293.35699999999</v>
      </c>
      <c r="AZ3130" s="46">
        <v>5.3929999999999998</v>
      </c>
      <c r="BA3130" s="46" t="s">
        <v>69</v>
      </c>
      <c r="BB3130" s="46">
        <v>4500</v>
      </c>
      <c r="BC3130" s="46">
        <v>15671.643</v>
      </c>
      <c r="BD3130" s="46">
        <v>3.4830000000000001</v>
      </c>
      <c r="BE3130" s="46">
        <v>-39943.199999999997</v>
      </c>
      <c r="BF3130" s="46">
        <v>0</v>
      </c>
      <c r="BH3130" s="46">
        <v>44899.98</v>
      </c>
      <c r="BI3130">
        <v>7.48</v>
      </c>
      <c r="BJ3130">
        <v>-44899.98</v>
      </c>
      <c r="BK3130">
        <v>-7.48</v>
      </c>
      <c r="BL3130">
        <v>-7696.51</v>
      </c>
    </row>
    <row r="3131" spans="1:64" x14ac:dyDescent="0.25">
      <c r="A3131" s="136">
        <v>43264</v>
      </c>
      <c r="B3131" s="201" t="s">
        <v>70</v>
      </c>
      <c r="C3131" t="s">
        <v>131</v>
      </c>
      <c r="D3131">
        <v>12600</v>
      </c>
      <c r="E3131">
        <v>12600</v>
      </c>
      <c r="F3131">
        <v>11.313000000000001</v>
      </c>
      <c r="G3131">
        <v>-34187.769999999997</v>
      </c>
      <c r="H3131">
        <v>-23.98</v>
      </c>
      <c r="I3131" s="309">
        <v>108360</v>
      </c>
      <c r="J3131">
        <v>8.6</v>
      </c>
      <c r="K3131" s="133">
        <v>0.22772869669076301</v>
      </c>
      <c r="L3131" s="181">
        <v>1008</v>
      </c>
      <c r="M3131" s="133">
        <v>0.29957749979950798</v>
      </c>
      <c r="N3131" s="73">
        <v>-34695.762999999999</v>
      </c>
      <c r="O3131" s="73">
        <v>-4051.2167194509402</v>
      </c>
      <c r="P3131" s="182">
        <v>4</v>
      </c>
      <c r="Q3131" s="182">
        <v>2000</v>
      </c>
      <c r="R3131" s="46">
        <v>8.4529999999999994</v>
      </c>
      <c r="S3131" s="46">
        <v>6</v>
      </c>
      <c r="T3131" s="46">
        <v>2400</v>
      </c>
      <c r="U3131" s="46">
        <v>9.4130000000000003</v>
      </c>
      <c r="V3131" s="46" t="s">
        <v>68</v>
      </c>
      <c r="W3131" s="46">
        <v>400</v>
      </c>
      <c r="X3131" s="46">
        <v>14.212999999999999</v>
      </c>
      <c r="AF3131" s="46">
        <v>141</v>
      </c>
      <c r="AG3131" s="46">
        <v>72100</v>
      </c>
      <c r="AH3131" s="46">
        <v>926228</v>
      </c>
      <c r="AI3131" s="46">
        <v>12.846</v>
      </c>
      <c r="AJ3131" s="46">
        <v>147</v>
      </c>
      <c r="AK3131" s="46">
        <v>59100</v>
      </c>
      <c r="AL3131" s="46">
        <v>777656.82900000003</v>
      </c>
      <c r="AM3131" s="46">
        <v>13.157999999999999</v>
      </c>
      <c r="AN3131" s="46" t="s">
        <v>63</v>
      </c>
      <c r="AO3131" s="46">
        <v>13000</v>
      </c>
      <c r="AP3131" s="46">
        <v>148571.171</v>
      </c>
      <c r="AQ3131" s="46">
        <v>11.429</v>
      </c>
      <c r="AR3131" s="46">
        <v>18439.2</v>
      </c>
      <c r="AS3131" s="46">
        <v>145</v>
      </c>
      <c r="AT3131" s="46">
        <v>74100</v>
      </c>
      <c r="AU3131" s="46">
        <v>943153</v>
      </c>
      <c r="AV3131" s="46">
        <v>12.728</v>
      </c>
      <c r="AW3131" s="46">
        <v>154</v>
      </c>
      <c r="AX3131" s="46">
        <v>61500</v>
      </c>
      <c r="AY3131" s="46">
        <v>800601.23699999996</v>
      </c>
      <c r="AZ3131" s="46">
        <v>13.018000000000001</v>
      </c>
      <c r="BA3131" s="46" t="s">
        <v>63</v>
      </c>
      <c r="BB3131" s="46">
        <v>12600</v>
      </c>
      <c r="BC3131" s="46">
        <v>142551.76300000001</v>
      </c>
      <c r="BD3131" s="46">
        <v>11.314</v>
      </c>
      <c r="BE3131" s="46">
        <v>17835</v>
      </c>
      <c r="BF3131" s="46">
        <v>16925</v>
      </c>
      <c r="BG3131" s="46">
        <v>8.4600000000000009</v>
      </c>
      <c r="BH3131" s="46">
        <v>22944.407999999901</v>
      </c>
      <c r="BI3131">
        <v>9.56</v>
      </c>
      <c r="BJ3131">
        <v>-6019.4080000000004</v>
      </c>
      <c r="BK3131">
        <v>-15.05</v>
      </c>
      <c r="BL3131">
        <v>2144.09</v>
      </c>
    </row>
    <row r="3132" spans="1:64" x14ac:dyDescent="0.25">
      <c r="A3132" s="136">
        <v>43264</v>
      </c>
      <c r="B3132" s="201" t="s">
        <v>137</v>
      </c>
      <c r="C3132" t="s">
        <v>149</v>
      </c>
      <c r="D3132">
        <v>100</v>
      </c>
      <c r="E3132">
        <v>100</v>
      </c>
      <c r="F3132">
        <v>-130.86000000000001</v>
      </c>
      <c r="G3132">
        <v>17842</v>
      </c>
      <c r="H3132">
        <v>0</v>
      </c>
      <c r="I3132" s="309">
        <v>4756</v>
      </c>
      <c r="J3132">
        <v>47.56</v>
      </c>
      <c r="K3132" s="133">
        <v>9.9951797846185905E-3</v>
      </c>
      <c r="L3132" s="181">
        <v>243</v>
      </c>
      <c r="M3132" s="133">
        <v>0</v>
      </c>
    </row>
    <row r="3133" spans="1:64" x14ac:dyDescent="0.25">
      <c r="A3133" s="136">
        <v>43264</v>
      </c>
      <c r="B3133" s="201" t="s">
        <v>835</v>
      </c>
      <c r="C3133" t="s">
        <v>839</v>
      </c>
      <c r="I3133" s="309">
        <v>3900.01</v>
      </c>
      <c r="K3133" s="133">
        <v>8.1962365668230303E-3</v>
      </c>
      <c r="L3133" s="181">
        <v>0</v>
      </c>
      <c r="M3133" s="133">
        <v>2.9502929369469799E-2</v>
      </c>
    </row>
    <row r="3134" spans="1:64" x14ac:dyDescent="0.25">
      <c r="A3134" s="136">
        <v>43266</v>
      </c>
      <c r="B3134" s="201" t="s">
        <v>132</v>
      </c>
      <c r="C3134" t="s">
        <v>123</v>
      </c>
      <c r="D3134">
        <v>14007</v>
      </c>
      <c r="E3134">
        <v>14007</v>
      </c>
      <c r="F3134">
        <v>-0.25700000000000001</v>
      </c>
      <c r="G3134">
        <v>3739.8690000000001</v>
      </c>
      <c r="H3134">
        <v>0</v>
      </c>
      <c r="I3134" s="309">
        <v>140.07</v>
      </c>
      <c r="J3134">
        <v>0.01</v>
      </c>
      <c r="K3134" s="133">
        <v>3.0615103927753701E-4</v>
      </c>
      <c r="L3134" s="181">
        <v>-3.0409999999997099</v>
      </c>
      <c r="M3134" s="133">
        <v>0</v>
      </c>
    </row>
    <row r="3135" spans="1:64" x14ac:dyDescent="0.25">
      <c r="A3135" s="136">
        <v>43266</v>
      </c>
      <c r="B3135" s="201" t="s">
        <v>61</v>
      </c>
      <c r="C3135" t="s">
        <v>136</v>
      </c>
      <c r="D3135">
        <v>4400</v>
      </c>
      <c r="E3135">
        <v>4400</v>
      </c>
      <c r="F3135">
        <v>4.9729999999999999</v>
      </c>
      <c r="G3135">
        <v>-2874.14</v>
      </c>
      <c r="H3135">
        <v>-13.13</v>
      </c>
      <c r="I3135" s="309">
        <v>19008</v>
      </c>
      <c r="J3135">
        <v>4.32</v>
      </c>
      <c r="K3135" s="133">
        <v>4.1545791065805797E-2</v>
      </c>
      <c r="L3135" s="181">
        <v>-176.04</v>
      </c>
      <c r="M3135" s="133">
        <v>4.78277996902731E-2</v>
      </c>
      <c r="N3135" s="73">
        <v>-2748.4409999999998</v>
      </c>
      <c r="O3135" s="73">
        <v>-631.50960448275805</v>
      </c>
      <c r="P3135" s="182">
        <v>7</v>
      </c>
      <c r="Q3135" s="182">
        <v>3500</v>
      </c>
      <c r="R3135" s="46">
        <v>4.9370000000000003</v>
      </c>
      <c r="S3135" s="46">
        <v>0</v>
      </c>
      <c r="T3135" s="46">
        <v>0</v>
      </c>
      <c r="U3135" s="46">
        <v>0</v>
      </c>
      <c r="V3135" s="46" t="s">
        <v>62</v>
      </c>
      <c r="W3135" s="46">
        <v>3500</v>
      </c>
      <c r="X3135" s="46">
        <v>4.9370000000000003</v>
      </c>
      <c r="AF3135" s="46">
        <v>10</v>
      </c>
      <c r="AG3135" s="46">
        <v>5000</v>
      </c>
      <c r="AH3135" s="46">
        <v>26378</v>
      </c>
      <c r="AI3135" s="46">
        <v>5.2759999999999998</v>
      </c>
      <c r="AJ3135" s="46">
        <v>10</v>
      </c>
      <c r="AK3135" s="46">
        <v>4100</v>
      </c>
      <c r="AL3135" s="46">
        <v>21806.659</v>
      </c>
      <c r="AM3135" s="46">
        <v>5.319</v>
      </c>
      <c r="AN3135" s="46" t="s">
        <v>63</v>
      </c>
      <c r="AO3135" s="46">
        <v>900</v>
      </c>
      <c r="AP3135" s="46">
        <v>4571.3410000000003</v>
      </c>
      <c r="AQ3135" s="46">
        <v>5.0789999999999997</v>
      </c>
      <c r="AR3135" s="46">
        <v>176.3</v>
      </c>
      <c r="AS3135" s="46">
        <v>17</v>
      </c>
      <c r="AT3135" s="46">
        <v>8500</v>
      </c>
      <c r="AU3135" s="46">
        <v>43695.1</v>
      </c>
      <c r="AV3135" s="46">
        <v>5.141</v>
      </c>
      <c r="AW3135" s="46">
        <v>10</v>
      </c>
      <c r="AX3135" s="46">
        <v>4100</v>
      </c>
      <c r="AY3135" s="46">
        <v>21806.659</v>
      </c>
      <c r="AZ3135" s="46">
        <v>5.319</v>
      </c>
      <c r="BA3135" s="46" t="s">
        <v>63</v>
      </c>
      <c r="BB3135" s="46">
        <v>4400</v>
      </c>
      <c r="BC3135" s="46">
        <v>21888.440999999999</v>
      </c>
      <c r="BD3135" s="46">
        <v>4.9749999999999996</v>
      </c>
      <c r="BE3135" s="46">
        <v>729.8</v>
      </c>
      <c r="BF3135" s="46">
        <v>17317.099999999999</v>
      </c>
      <c r="BG3135" s="46">
        <v>4.95</v>
      </c>
      <c r="BH3135" s="46">
        <v>0</v>
      </c>
      <c r="BJ3135">
        <v>17317.099999999999</v>
      </c>
      <c r="BK3135">
        <v>4.95</v>
      </c>
      <c r="BL3135">
        <v>40.81</v>
      </c>
    </row>
    <row r="3136" spans="1:64" x14ac:dyDescent="0.25">
      <c r="A3136" s="136">
        <v>43266</v>
      </c>
      <c r="B3136" s="201" t="s">
        <v>124</v>
      </c>
      <c r="C3136" t="s">
        <v>125</v>
      </c>
      <c r="D3136">
        <v>100</v>
      </c>
      <c r="E3136">
        <v>100</v>
      </c>
      <c r="F3136">
        <v>-53.579000000000001</v>
      </c>
      <c r="G3136">
        <v>5927.9</v>
      </c>
      <c r="H3136">
        <v>0</v>
      </c>
      <c r="I3136" s="309">
        <v>570</v>
      </c>
      <c r="J3136">
        <v>5.7</v>
      </c>
      <c r="K3136" s="133">
        <v>1.2458491639051601E-3</v>
      </c>
      <c r="L3136" s="181">
        <v>16</v>
      </c>
      <c r="M3136" s="133">
        <v>0</v>
      </c>
    </row>
    <row r="3137" spans="1:64" x14ac:dyDescent="0.25">
      <c r="A3137" s="136">
        <v>43266</v>
      </c>
      <c r="B3137" s="201" t="s">
        <v>71</v>
      </c>
      <c r="C3137" t="s">
        <v>126</v>
      </c>
      <c r="D3137">
        <v>2300</v>
      </c>
      <c r="E3137">
        <v>2300</v>
      </c>
      <c r="F3137">
        <v>5.4530000000000003</v>
      </c>
      <c r="G3137">
        <v>1879.84</v>
      </c>
      <c r="H3137">
        <v>14.98</v>
      </c>
      <c r="I3137" s="309">
        <v>14421</v>
      </c>
      <c r="J3137">
        <v>6.27</v>
      </c>
      <c r="K3137" s="133">
        <v>3.1519983846800603E-2</v>
      </c>
      <c r="L3137" s="181">
        <v>253</v>
      </c>
      <c r="M3137" s="133">
        <v>2.74112170182471E-2</v>
      </c>
      <c r="N3137" s="73">
        <v>11555.406000000001</v>
      </c>
      <c r="O3137" s="73">
        <v>273.48289935379597</v>
      </c>
      <c r="P3137" s="182">
        <v>0</v>
      </c>
      <c r="Q3137" s="182">
        <v>0</v>
      </c>
      <c r="R3137" s="46">
        <v>0</v>
      </c>
      <c r="S3137" s="46">
        <v>3</v>
      </c>
      <c r="T3137" s="46">
        <v>1100</v>
      </c>
      <c r="U3137" s="46">
        <v>6.8620000000000001</v>
      </c>
      <c r="V3137" s="46" t="s">
        <v>68</v>
      </c>
      <c r="W3137" s="46">
        <v>1100</v>
      </c>
      <c r="X3137" s="46">
        <v>6.8620000000000001</v>
      </c>
      <c r="AF3137" s="46">
        <v>47</v>
      </c>
      <c r="AG3137" s="46">
        <v>23600</v>
      </c>
      <c r="AH3137" s="46">
        <v>150875.16</v>
      </c>
      <c r="AI3137" s="46">
        <v>6.3929999999999998</v>
      </c>
      <c r="AJ3137" s="46">
        <v>45</v>
      </c>
      <c r="AK3137" s="46">
        <v>20200</v>
      </c>
      <c r="AL3137" s="46">
        <v>130637.874</v>
      </c>
      <c r="AM3137" s="46">
        <v>6.4669999999999996</v>
      </c>
      <c r="AN3137" s="46" t="s">
        <v>63</v>
      </c>
      <c r="AO3137" s="46">
        <v>3400</v>
      </c>
      <c r="AP3137" s="46">
        <v>20237.286</v>
      </c>
      <c r="AQ3137" s="46">
        <v>5.952</v>
      </c>
      <c r="AR3137" s="46">
        <v>1494.8</v>
      </c>
      <c r="AS3137" s="46">
        <v>47</v>
      </c>
      <c r="AT3137" s="46">
        <v>23600</v>
      </c>
      <c r="AU3137" s="46">
        <v>150875.16</v>
      </c>
      <c r="AV3137" s="46">
        <v>6.3929999999999998</v>
      </c>
      <c r="AW3137" s="46">
        <v>48</v>
      </c>
      <c r="AX3137" s="46">
        <v>21300</v>
      </c>
      <c r="AY3137" s="46">
        <v>138170.666</v>
      </c>
      <c r="AZ3137" s="46">
        <v>6.4870000000000001</v>
      </c>
      <c r="BA3137" s="46" t="s">
        <v>63</v>
      </c>
      <c r="BB3137" s="46">
        <v>2300</v>
      </c>
      <c r="BC3137" s="46">
        <v>12704.494000000001</v>
      </c>
      <c r="BD3137" s="46">
        <v>5.524</v>
      </c>
      <c r="BE3137" s="46">
        <v>2002.2</v>
      </c>
      <c r="BF3137" s="46">
        <v>0</v>
      </c>
      <c r="BH3137" s="46">
        <v>7532.7920000000004</v>
      </c>
      <c r="BI3137">
        <v>6.85</v>
      </c>
      <c r="BJ3137">
        <v>-7532.7920000000004</v>
      </c>
      <c r="BK3137">
        <v>-6.85</v>
      </c>
      <c r="BL3137">
        <v>238.41</v>
      </c>
    </row>
    <row r="3138" spans="1:64" x14ac:dyDescent="0.25">
      <c r="A3138" s="136">
        <v>43266</v>
      </c>
      <c r="B3138" s="201" t="s">
        <v>79</v>
      </c>
      <c r="C3138" t="s">
        <v>143</v>
      </c>
      <c r="D3138">
        <v>6200</v>
      </c>
      <c r="E3138">
        <v>5700</v>
      </c>
      <c r="F3138">
        <v>15.932</v>
      </c>
      <c r="G3138">
        <v>-13156.74</v>
      </c>
      <c r="H3138">
        <v>-13.32</v>
      </c>
      <c r="I3138" s="309">
        <v>85622</v>
      </c>
      <c r="J3138">
        <v>13.81</v>
      </c>
      <c r="K3138" s="133">
        <v>0.187144030020856</v>
      </c>
      <c r="L3138" s="181">
        <v>-4183.1400000000003</v>
      </c>
      <c r="M3138" s="133">
        <v>0.215900720422115</v>
      </c>
      <c r="N3138" s="73">
        <v>-13659.7760000002</v>
      </c>
      <c r="O3138" s="73">
        <v>-994.38791784415105</v>
      </c>
      <c r="P3138" s="182">
        <v>8</v>
      </c>
      <c r="Q3138" s="182">
        <v>4000</v>
      </c>
      <c r="R3138" s="46">
        <v>14.288</v>
      </c>
      <c r="S3138" s="46">
        <v>0</v>
      </c>
      <c r="T3138" s="46">
        <v>0</v>
      </c>
      <c r="U3138" s="46">
        <v>0</v>
      </c>
      <c r="V3138" s="46" t="s">
        <v>62</v>
      </c>
      <c r="W3138" s="46">
        <v>4000</v>
      </c>
      <c r="X3138" s="46">
        <v>14.288</v>
      </c>
      <c r="AF3138" s="46">
        <v>21</v>
      </c>
      <c r="AG3138" s="46">
        <v>11000</v>
      </c>
      <c r="AH3138" s="46">
        <v>173841.6</v>
      </c>
      <c r="AI3138" s="46">
        <v>15.804</v>
      </c>
      <c r="AJ3138" s="46">
        <v>22</v>
      </c>
      <c r="AK3138" s="46">
        <v>8800</v>
      </c>
      <c r="AL3138" s="46">
        <v>132248.22399999999</v>
      </c>
      <c r="AM3138" s="46">
        <v>15.028</v>
      </c>
      <c r="AN3138" s="46" t="s">
        <v>63</v>
      </c>
      <c r="AO3138" s="46">
        <v>2200</v>
      </c>
      <c r="AP3138" s="46">
        <v>41593.375999999997</v>
      </c>
      <c r="AQ3138" s="46">
        <v>18.905999999999999</v>
      </c>
      <c r="AR3138" s="46">
        <v>-6828.8</v>
      </c>
      <c r="AS3138" s="46">
        <v>29</v>
      </c>
      <c r="AT3138" s="46">
        <v>15000</v>
      </c>
      <c r="AU3138" s="46">
        <v>231034</v>
      </c>
      <c r="AV3138" s="46">
        <v>15.401999999999999</v>
      </c>
      <c r="AW3138" s="46">
        <v>22</v>
      </c>
      <c r="AX3138" s="46">
        <v>8800</v>
      </c>
      <c r="AY3138" s="46">
        <v>132248.22399999999</v>
      </c>
      <c r="AZ3138" s="46">
        <v>15.028</v>
      </c>
      <c r="BA3138" s="46" t="s">
        <v>63</v>
      </c>
      <c r="BB3138" s="46">
        <v>6200</v>
      </c>
      <c r="BC3138" s="46">
        <v>98785.775999999998</v>
      </c>
      <c r="BD3138" s="46">
        <v>15.933</v>
      </c>
      <c r="BE3138" s="46">
        <v>-3291.2</v>
      </c>
      <c r="BF3138" s="46">
        <v>57192.3999999999</v>
      </c>
      <c r="BG3138" s="46">
        <v>14.3</v>
      </c>
      <c r="BH3138" s="46">
        <v>0</v>
      </c>
      <c r="BJ3138">
        <v>57192.4</v>
      </c>
      <c r="BK3138">
        <v>14.3</v>
      </c>
      <c r="BL3138">
        <v>-494.48</v>
      </c>
    </row>
    <row r="3139" spans="1:64" x14ac:dyDescent="0.25">
      <c r="A3139" s="136">
        <v>43266</v>
      </c>
      <c r="B3139" s="201" t="s">
        <v>65</v>
      </c>
      <c r="C3139" t="s">
        <v>127</v>
      </c>
      <c r="D3139">
        <v>21000</v>
      </c>
      <c r="E3139">
        <v>20500</v>
      </c>
      <c r="F3139">
        <v>9.0299999999999994</v>
      </c>
      <c r="G3139">
        <v>-4204.2299999999996</v>
      </c>
      <c r="H3139">
        <v>-2.21</v>
      </c>
      <c r="I3139" s="309">
        <v>185430</v>
      </c>
      <c r="J3139">
        <v>8.83</v>
      </c>
      <c r="K3139" s="133">
        <v>0.405294404320937</v>
      </c>
      <c r="L3139" s="181">
        <v>-4271.63</v>
      </c>
      <c r="M3139" s="133">
        <v>0.41448359104087601</v>
      </c>
      <c r="N3139" s="73">
        <v>-3446.6490000000399</v>
      </c>
      <c r="O3139" s="73">
        <v>92.005187183002207</v>
      </c>
      <c r="P3139" s="182">
        <v>4</v>
      </c>
      <c r="Q3139" s="182">
        <v>5500</v>
      </c>
      <c r="R3139" s="46">
        <v>9.2970000000000006</v>
      </c>
      <c r="S3139" s="46">
        <v>10</v>
      </c>
      <c r="T3139" s="46">
        <v>4100</v>
      </c>
      <c r="U3139" s="46">
        <v>11.945</v>
      </c>
      <c r="V3139" s="46" t="s">
        <v>62</v>
      </c>
      <c r="W3139" s="46">
        <v>1400</v>
      </c>
      <c r="X3139" s="46">
        <v>1.542</v>
      </c>
      <c r="AF3139" s="46">
        <v>194</v>
      </c>
      <c r="AG3139" s="46">
        <v>102700</v>
      </c>
      <c r="AH3139" s="46">
        <v>1160490.2309999999</v>
      </c>
      <c r="AI3139" s="46">
        <v>11.3</v>
      </c>
      <c r="AJ3139" s="46">
        <v>214</v>
      </c>
      <c r="AK3139" s="46">
        <v>92300</v>
      </c>
      <c r="AL3139" s="46">
        <v>969003.00600000005</v>
      </c>
      <c r="AM3139" s="46">
        <v>10.497999999999999</v>
      </c>
      <c r="AN3139" s="46" t="s">
        <v>63</v>
      </c>
      <c r="AO3139" s="46">
        <v>10400</v>
      </c>
      <c r="AP3139" s="46">
        <v>191487.22500000001</v>
      </c>
      <c r="AQ3139" s="46">
        <v>18.411999999999999</v>
      </c>
      <c r="AR3139" s="46">
        <v>-74024.600000000006</v>
      </c>
      <c r="AS3139" s="46">
        <v>199</v>
      </c>
      <c r="AT3139" s="46">
        <v>108300</v>
      </c>
      <c r="AU3139" s="46">
        <v>1212937.6810000001</v>
      </c>
      <c r="AV3139" s="46">
        <v>11.2</v>
      </c>
      <c r="AW3139" s="46">
        <v>224</v>
      </c>
      <c r="AX3139" s="46">
        <v>96400</v>
      </c>
      <c r="AY3139" s="46">
        <v>1017880.03</v>
      </c>
      <c r="AZ3139" s="46">
        <v>10.558999999999999</v>
      </c>
      <c r="BA3139" s="46" t="s">
        <v>63</v>
      </c>
      <c r="BB3139" s="46">
        <v>11900</v>
      </c>
      <c r="BC3139" s="46">
        <v>195057.65100000001</v>
      </c>
      <c r="BD3139" s="46">
        <v>16.390999999999998</v>
      </c>
      <c r="BE3139" s="46">
        <v>-61792.4</v>
      </c>
      <c r="BF3139" s="46">
        <v>52447.45</v>
      </c>
      <c r="BG3139" s="46">
        <v>9.5399999999999991</v>
      </c>
      <c r="BH3139" s="46">
        <v>48877.024000000099</v>
      </c>
      <c r="BI3139">
        <v>11.92</v>
      </c>
      <c r="BJ3139">
        <v>3570.4260000000099</v>
      </c>
      <c r="BK3139">
        <v>2.5499999999999998</v>
      </c>
      <c r="BL3139">
        <v>-8383.31</v>
      </c>
    </row>
    <row r="3140" spans="1:64" x14ac:dyDescent="0.25">
      <c r="A3140" s="136">
        <v>43266</v>
      </c>
      <c r="B3140" s="201" t="s">
        <v>77</v>
      </c>
      <c r="C3140" t="s">
        <v>128</v>
      </c>
      <c r="D3140">
        <v>4300</v>
      </c>
      <c r="E3140">
        <v>4300</v>
      </c>
      <c r="F3140">
        <v>5.9779999999999998</v>
      </c>
      <c r="G3140">
        <v>-595.27</v>
      </c>
      <c r="H3140">
        <v>-2.31</v>
      </c>
      <c r="I3140" s="309">
        <v>25112</v>
      </c>
      <c r="J3140">
        <v>5.84</v>
      </c>
      <c r="K3140" s="133">
        <v>5.4887305621028802E-2</v>
      </c>
      <c r="L3140" s="181">
        <v>0</v>
      </c>
      <c r="M3140" s="133">
        <v>5.6188387431200401E-2</v>
      </c>
      <c r="N3140" s="73">
        <v>-1272.2139999999999</v>
      </c>
      <c r="O3140" s="73">
        <v>-133.073774655173</v>
      </c>
      <c r="P3140" s="182">
        <v>6</v>
      </c>
      <c r="Q3140" s="182">
        <v>3000</v>
      </c>
      <c r="R3140" s="46">
        <v>6.798</v>
      </c>
      <c r="S3140" s="46">
        <v>0</v>
      </c>
      <c r="T3140" s="46">
        <v>0</v>
      </c>
      <c r="U3140" s="46">
        <v>0</v>
      </c>
      <c r="V3140" s="46" t="s">
        <v>62</v>
      </c>
      <c r="W3140" s="46">
        <v>3000</v>
      </c>
      <c r="X3140" s="46">
        <v>6.798</v>
      </c>
      <c r="AF3140" s="46">
        <v>39</v>
      </c>
      <c r="AG3140" s="46">
        <v>19500</v>
      </c>
      <c r="AH3140" s="46">
        <v>142169</v>
      </c>
      <c r="AI3140" s="46">
        <v>7.2910000000000004</v>
      </c>
      <c r="AJ3140" s="46">
        <v>39</v>
      </c>
      <c r="AK3140" s="46">
        <v>18200</v>
      </c>
      <c r="AL3140" s="46">
        <v>136881.78599999999</v>
      </c>
      <c r="AM3140" s="46">
        <v>7.5209999999999999</v>
      </c>
      <c r="AN3140" s="46" t="s">
        <v>63</v>
      </c>
      <c r="AO3140" s="46">
        <v>1300</v>
      </c>
      <c r="AP3140" s="46">
        <v>5287.2139999999999</v>
      </c>
      <c r="AQ3140" s="46">
        <v>4.0670000000000002</v>
      </c>
      <c r="AR3140" s="46">
        <v>4186</v>
      </c>
      <c r="AS3140" s="46">
        <v>45</v>
      </c>
      <c r="AT3140" s="46">
        <v>22500</v>
      </c>
      <c r="AU3140" s="46">
        <v>162594</v>
      </c>
      <c r="AV3140" s="46">
        <v>7.226</v>
      </c>
      <c r="AW3140" s="46">
        <v>39</v>
      </c>
      <c r="AX3140" s="46">
        <v>18200</v>
      </c>
      <c r="AY3140" s="46">
        <v>136881.78599999999</v>
      </c>
      <c r="AZ3140" s="46">
        <v>7.5209999999999999</v>
      </c>
      <c r="BA3140" s="46" t="s">
        <v>63</v>
      </c>
      <c r="BB3140" s="46">
        <v>4300</v>
      </c>
      <c r="BC3140" s="46">
        <v>25712.214</v>
      </c>
      <c r="BD3140" s="46">
        <v>5.98</v>
      </c>
      <c r="BE3140" s="46">
        <v>5369</v>
      </c>
      <c r="BF3140" s="46">
        <v>20425</v>
      </c>
      <c r="BG3140" s="46">
        <v>6.81</v>
      </c>
      <c r="BH3140" s="46">
        <v>0</v>
      </c>
      <c r="BJ3140">
        <v>20425</v>
      </c>
      <c r="BK3140">
        <v>6.81</v>
      </c>
      <c r="BL3140">
        <v>716.78</v>
      </c>
    </row>
    <row r="3141" spans="1:64" x14ac:dyDescent="0.25">
      <c r="A3141" s="136">
        <v>43266</v>
      </c>
      <c r="B3141" s="201" t="s">
        <v>67</v>
      </c>
      <c r="C3141" t="s">
        <v>129</v>
      </c>
      <c r="D3141">
        <v>100</v>
      </c>
      <c r="E3141">
        <v>100</v>
      </c>
      <c r="F3141">
        <v>-33.265000000000001</v>
      </c>
      <c r="G3141">
        <v>4341.5</v>
      </c>
      <c r="H3141">
        <v>0</v>
      </c>
      <c r="I3141" s="309">
        <v>1015</v>
      </c>
      <c r="J3141">
        <v>10.15</v>
      </c>
      <c r="K3141" s="133">
        <v>2.2184857918662098E-3</v>
      </c>
      <c r="L3141" s="181">
        <v>12</v>
      </c>
      <c r="M3141" s="133">
        <v>0</v>
      </c>
      <c r="N3141" s="73">
        <v>4368.6874999997499</v>
      </c>
      <c r="O3141" s="73">
        <v>419.05020693376002</v>
      </c>
      <c r="P3141" s="182">
        <v>0</v>
      </c>
      <c r="Q3141" s="182">
        <v>0</v>
      </c>
      <c r="R3141" s="46">
        <v>0</v>
      </c>
      <c r="S3141" s="46">
        <v>24</v>
      </c>
      <c r="T3141" s="46">
        <v>9600</v>
      </c>
      <c r="U3141" s="46">
        <v>8.9969999999999999</v>
      </c>
      <c r="V3141" s="46" t="s">
        <v>68</v>
      </c>
      <c r="W3141" s="46">
        <v>9600</v>
      </c>
      <c r="X3141" s="46">
        <v>8.9969999999999999</v>
      </c>
      <c r="AF3141" s="46">
        <v>192</v>
      </c>
      <c r="AG3141" s="46">
        <v>95000</v>
      </c>
      <c r="AH3141" s="46">
        <v>791793</v>
      </c>
      <c r="AI3141" s="46">
        <v>8.3350000000000009</v>
      </c>
      <c r="AJ3141" s="46">
        <v>196</v>
      </c>
      <c r="AK3141" s="46">
        <v>87900</v>
      </c>
      <c r="AL3141" s="46">
        <v>778079.67550000001</v>
      </c>
      <c r="AM3141" s="46">
        <v>8.8520000000000003</v>
      </c>
      <c r="AN3141" s="46" t="s">
        <v>63</v>
      </c>
      <c r="AO3141" s="46">
        <v>7100</v>
      </c>
      <c r="AP3141" s="46">
        <v>13713.324000000001</v>
      </c>
      <c r="AQ3141" s="46">
        <v>1.931</v>
      </c>
      <c r="AR3141" s="46">
        <v>45444.3</v>
      </c>
      <c r="AS3141" s="46">
        <v>192</v>
      </c>
      <c r="AT3141" s="46">
        <v>95000</v>
      </c>
      <c r="AU3141" s="46">
        <v>791793</v>
      </c>
      <c r="AV3141" s="46">
        <v>8.3350000000000009</v>
      </c>
      <c r="AW3141" s="46">
        <v>220</v>
      </c>
      <c r="AX3141" s="46">
        <v>97500</v>
      </c>
      <c r="AY3141" s="46">
        <v>864247.80350000004</v>
      </c>
      <c r="AZ3141" s="46">
        <v>8.8640000000000008</v>
      </c>
      <c r="BA3141" s="46" t="s">
        <v>69</v>
      </c>
      <c r="BB3141" s="46">
        <v>2500</v>
      </c>
      <c r="BC3141" s="46">
        <v>72454.804000000004</v>
      </c>
      <c r="BD3141" s="46">
        <v>28.981999999999999</v>
      </c>
      <c r="BE3141" s="46">
        <v>50255</v>
      </c>
      <c r="BF3141" s="46">
        <v>0</v>
      </c>
      <c r="BH3141" s="46">
        <v>86168.127999999997</v>
      </c>
      <c r="BI3141">
        <v>8.98</v>
      </c>
      <c r="BJ3141">
        <v>58741.48</v>
      </c>
      <c r="BK3141">
        <v>6.12</v>
      </c>
      <c r="BL3141">
        <v>4477.2700000000004</v>
      </c>
    </row>
    <row r="3142" spans="1:64" x14ac:dyDescent="0.25">
      <c r="A3142" s="136">
        <v>43266</v>
      </c>
      <c r="B3142" s="201" t="s">
        <v>78</v>
      </c>
      <c r="C3142" t="s">
        <v>142</v>
      </c>
      <c r="D3142">
        <v>200</v>
      </c>
      <c r="E3142">
        <v>200</v>
      </c>
      <c r="F3142">
        <v>2.077</v>
      </c>
      <c r="G3142">
        <v>1352.65</v>
      </c>
      <c r="H3142">
        <v>325.61</v>
      </c>
      <c r="I3142" s="309">
        <v>1768</v>
      </c>
      <c r="J3142">
        <v>8.84</v>
      </c>
      <c r="K3142" s="133">
        <v>3.86431810839355E-3</v>
      </c>
      <c r="L3142" s="181">
        <v>-66</v>
      </c>
      <c r="M3142" s="133">
        <v>9.0783061443510304E-4</v>
      </c>
      <c r="N3142" s="73">
        <v>1454.6510000000001</v>
      </c>
      <c r="O3142" s="73">
        <v>155.499858235294</v>
      </c>
      <c r="P3142" s="182">
        <v>0</v>
      </c>
      <c r="Q3142" s="182">
        <v>0</v>
      </c>
      <c r="R3142" s="46">
        <v>0</v>
      </c>
      <c r="S3142" s="46">
        <v>3</v>
      </c>
      <c r="T3142" s="46">
        <v>1200</v>
      </c>
      <c r="U3142" s="46">
        <v>9.923</v>
      </c>
      <c r="V3142" s="46" t="s">
        <v>68</v>
      </c>
      <c r="W3142" s="46">
        <v>1200</v>
      </c>
      <c r="X3142" s="46">
        <v>9.923</v>
      </c>
      <c r="AF3142" s="46">
        <v>14</v>
      </c>
      <c r="AG3142" s="46">
        <v>7000</v>
      </c>
      <c r="AH3142" s="46">
        <v>67625</v>
      </c>
      <c r="AI3142" s="46">
        <v>9.6609999999999996</v>
      </c>
      <c r="AJ3142" s="46">
        <v>15</v>
      </c>
      <c r="AK3142" s="46">
        <v>5600</v>
      </c>
      <c r="AL3142" s="46">
        <v>55310.559000000001</v>
      </c>
      <c r="AM3142" s="46">
        <v>9.8770000000000007</v>
      </c>
      <c r="AN3142" s="46" t="s">
        <v>63</v>
      </c>
      <c r="AO3142" s="46">
        <v>1400</v>
      </c>
      <c r="AP3142" s="46">
        <v>12314.441000000001</v>
      </c>
      <c r="AQ3142" s="46">
        <v>8.7959999999999994</v>
      </c>
      <c r="AR3142" s="46">
        <v>1209.5999999999999</v>
      </c>
      <c r="AS3142" s="46">
        <v>14</v>
      </c>
      <c r="AT3142" s="46">
        <v>7000</v>
      </c>
      <c r="AU3142" s="46">
        <v>67625</v>
      </c>
      <c r="AV3142" s="46">
        <v>9.6609999999999996</v>
      </c>
      <c r="AW3142" s="46">
        <v>18</v>
      </c>
      <c r="AX3142" s="46">
        <v>6800</v>
      </c>
      <c r="AY3142" s="46">
        <v>67209.650999999998</v>
      </c>
      <c r="AZ3142" s="46">
        <v>9.8840000000000003</v>
      </c>
      <c r="BA3142" s="46" t="s">
        <v>63</v>
      </c>
      <c r="BB3142" s="46">
        <v>200</v>
      </c>
      <c r="BC3142" s="46">
        <v>415.34899999999999</v>
      </c>
      <c r="BD3142" s="46">
        <v>2.077</v>
      </c>
      <c r="BE3142" s="46">
        <v>1516.4</v>
      </c>
      <c r="BF3142" s="46">
        <v>0</v>
      </c>
      <c r="BH3142" s="46">
        <v>11899.092000000001</v>
      </c>
      <c r="BI3142">
        <v>9.92</v>
      </c>
      <c r="BJ3142">
        <v>-11899.092000000001</v>
      </c>
      <c r="BK3142">
        <v>-9.92</v>
      </c>
      <c r="BL3142">
        <v>136.83000000000001</v>
      </c>
    </row>
    <row r="3143" spans="1:64" x14ac:dyDescent="0.25">
      <c r="A3143" s="136">
        <v>43266</v>
      </c>
      <c r="B3143" s="201" t="s">
        <v>72</v>
      </c>
      <c r="C3143" t="s">
        <v>130</v>
      </c>
      <c r="D3143">
        <v>2600</v>
      </c>
      <c r="E3143">
        <v>2600</v>
      </c>
      <c r="F3143">
        <v>6.3090000000000002</v>
      </c>
      <c r="G3143">
        <v>-1376.12</v>
      </c>
      <c r="H3143">
        <v>-8.3800000000000008</v>
      </c>
      <c r="I3143" s="309">
        <v>15028</v>
      </c>
      <c r="J3143">
        <v>5.78</v>
      </c>
      <c r="K3143" s="133">
        <v>3.2846703921345199E-2</v>
      </c>
      <c r="L3143" s="181">
        <v>-468</v>
      </c>
      <c r="M3143" s="133">
        <v>3.5854489801052498E-2</v>
      </c>
      <c r="N3143" s="73">
        <v>-16705.828000000001</v>
      </c>
      <c r="O3143" s="73">
        <v>-129.40581381031299</v>
      </c>
      <c r="P3143" s="182">
        <v>0</v>
      </c>
      <c r="Q3143" s="182">
        <v>0</v>
      </c>
      <c r="R3143" s="46">
        <v>0</v>
      </c>
      <c r="S3143" s="46">
        <v>15</v>
      </c>
      <c r="T3143" s="46">
        <v>6000</v>
      </c>
      <c r="U3143" s="46">
        <v>7.5030000000000001</v>
      </c>
      <c r="V3143" s="46" t="s">
        <v>68</v>
      </c>
      <c r="W3143" s="46">
        <v>6000</v>
      </c>
      <c r="X3143" s="46">
        <v>7.5030000000000001</v>
      </c>
      <c r="AF3143" s="46">
        <v>41</v>
      </c>
      <c r="AG3143" s="46">
        <v>20400</v>
      </c>
      <c r="AH3143" s="46">
        <v>149965</v>
      </c>
      <c r="AI3143" s="46">
        <v>7.351</v>
      </c>
      <c r="AJ3143" s="46">
        <v>41</v>
      </c>
      <c r="AK3143" s="46">
        <v>18400</v>
      </c>
      <c r="AL3143" s="46">
        <v>89393.376999999993</v>
      </c>
      <c r="AM3143" s="46">
        <v>4.8579999999999997</v>
      </c>
      <c r="AN3143" s="46" t="s">
        <v>63</v>
      </c>
      <c r="AO3143" s="46">
        <v>2000</v>
      </c>
      <c r="AP3143" s="46">
        <v>60571.623</v>
      </c>
      <c r="AQ3143" s="46">
        <v>30.286000000000001</v>
      </c>
      <c r="AR3143" s="46">
        <v>-45871.199999999997</v>
      </c>
      <c r="AS3143" s="46">
        <v>41</v>
      </c>
      <c r="AT3143" s="46">
        <v>20400</v>
      </c>
      <c r="AU3143" s="46">
        <v>149965</v>
      </c>
      <c r="AV3143" s="46">
        <v>7.351</v>
      </c>
      <c r="AW3143" s="46">
        <v>57</v>
      </c>
      <c r="AX3143" s="46">
        <v>24900</v>
      </c>
      <c r="AY3143" s="46">
        <v>134293.35699999999</v>
      </c>
      <c r="AZ3143" s="46">
        <v>5.3929999999999998</v>
      </c>
      <c r="BA3143" s="46" t="s">
        <v>69</v>
      </c>
      <c r="BB3143" s="46">
        <v>4500</v>
      </c>
      <c r="BC3143" s="46">
        <v>15671.643</v>
      </c>
      <c r="BD3143" s="46">
        <v>3.4830000000000001</v>
      </c>
      <c r="BE3143" s="46">
        <v>-39943.199999999997</v>
      </c>
      <c r="BF3143" s="46">
        <v>0</v>
      </c>
      <c r="BH3143" s="46">
        <v>44899.98</v>
      </c>
      <c r="BI3143">
        <v>7.48</v>
      </c>
      <c r="BJ3143">
        <v>-44899.98</v>
      </c>
      <c r="BK3143">
        <v>-7.48</v>
      </c>
      <c r="BL3143">
        <v>-7936.19</v>
      </c>
    </row>
    <row r="3144" spans="1:64" x14ac:dyDescent="0.25">
      <c r="A3144" s="136">
        <v>43266</v>
      </c>
      <c r="B3144" s="201" t="s">
        <v>70</v>
      </c>
      <c r="C3144" t="s">
        <v>131</v>
      </c>
      <c r="D3144">
        <v>12600</v>
      </c>
      <c r="E3144">
        <v>12600</v>
      </c>
      <c r="F3144">
        <v>11.313000000000001</v>
      </c>
      <c r="G3144">
        <v>-39479.769999999997</v>
      </c>
      <c r="H3144">
        <v>-27.69</v>
      </c>
      <c r="I3144" s="309">
        <v>103068</v>
      </c>
      <c r="J3144">
        <v>8.18</v>
      </c>
      <c r="K3144" s="133">
        <v>0.22527575723750401</v>
      </c>
      <c r="L3144" s="181">
        <v>-5292</v>
      </c>
      <c r="M3144" s="133">
        <v>0.31156670187902702</v>
      </c>
      <c r="N3144" s="73">
        <v>-34695.762999999999</v>
      </c>
      <c r="O3144" s="73">
        <v>-4051.2167194509402</v>
      </c>
      <c r="P3144" s="182">
        <v>4</v>
      </c>
      <c r="Q3144" s="182">
        <v>2000</v>
      </c>
      <c r="R3144" s="46">
        <v>8.4529999999999994</v>
      </c>
      <c r="S3144" s="46">
        <v>6</v>
      </c>
      <c r="T3144" s="46">
        <v>2400</v>
      </c>
      <c r="U3144" s="46">
        <v>9.4130000000000003</v>
      </c>
      <c r="V3144" s="46" t="s">
        <v>68</v>
      </c>
      <c r="W3144" s="46">
        <v>400</v>
      </c>
      <c r="X3144" s="46">
        <v>14.212999999999999</v>
      </c>
      <c r="AF3144" s="46">
        <v>141</v>
      </c>
      <c r="AG3144" s="46">
        <v>72100</v>
      </c>
      <c r="AH3144" s="46">
        <v>926228</v>
      </c>
      <c r="AI3144" s="46">
        <v>12.846</v>
      </c>
      <c r="AJ3144" s="46">
        <v>147</v>
      </c>
      <c r="AK3144" s="46">
        <v>59100</v>
      </c>
      <c r="AL3144" s="46">
        <v>777656.82900000003</v>
      </c>
      <c r="AM3144" s="46">
        <v>13.157999999999999</v>
      </c>
      <c r="AN3144" s="46" t="s">
        <v>63</v>
      </c>
      <c r="AO3144" s="46">
        <v>13000</v>
      </c>
      <c r="AP3144" s="46">
        <v>148571.171</v>
      </c>
      <c r="AQ3144" s="46">
        <v>11.429</v>
      </c>
      <c r="AR3144" s="46">
        <v>18439.2</v>
      </c>
      <c r="AS3144" s="46">
        <v>145</v>
      </c>
      <c r="AT3144" s="46">
        <v>74100</v>
      </c>
      <c r="AU3144" s="46">
        <v>943153</v>
      </c>
      <c r="AV3144" s="46">
        <v>12.728</v>
      </c>
      <c r="AW3144" s="46">
        <v>154</v>
      </c>
      <c r="AX3144" s="46">
        <v>61500</v>
      </c>
      <c r="AY3144" s="46">
        <v>800601.23699999996</v>
      </c>
      <c r="AZ3144" s="46">
        <v>13.018000000000001</v>
      </c>
      <c r="BA3144" s="46" t="s">
        <v>63</v>
      </c>
      <c r="BB3144" s="46">
        <v>12600</v>
      </c>
      <c r="BC3144" s="46">
        <v>142551.76300000001</v>
      </c>
      <c r="BD3144" s="46">
        <v>11.314</v>
      </c>
      <c r="BE3144" s="46">
        <v>17835</v>
      </c>
      <c r="BF3144" s="46">
        <v>16925</v>
      </c>
      <c r="BG3144" s="46">
        <v>8.4600000000000009</v>
      </c>
      <c r="BH3144" s="46">
        <v>22944.407999999901</v>
      </c>
      <c r="BI3144">
        <v>9.56</v>
      </c>
      <c r="BJ3144">
        <v>-6019.4080000000004</v>
      </c>
      <c r="BK3144">
        <v>-15.05</v>
      </c>
      <c r="BL3144">
        <v>2254.1799999999998</v>
      </c>
    </row>
    <row r="3145" spans="1:64" x14ac:dyDescent="0.25">
      <c r="A3145" s="136">
        <v>43266</v>
      </c>
      <c r="B3145" s="201" t="s">
        <v>137</v>
      </c>
      <c r="C3145" t="s">
        <v>149</v>
      </c>
      <c r="D3145">
        <v>100</v>
      </c>
      <c r="E3145">
        <v>100</v>
      </c>
      <c r="F3145">
        <v>-130.86000000000001</v>
      </c>
      <c r="G3145">
        <v>17801</v>
      </c>
      <c r="H3145">
        <v>0</v>
      </c>
      <c r="I3145" s="309">
        <v>4715</v>
      </c>
      <c r="J3145">
        <v>47.15</v>
      </c>
      <c r="K3145" s="133">
        <v>1.0305576855812E-2</v>
      </c>
      <c r="L3145" s="181">
        <v>-41</v>
      </c>
      <c r="M3145" s="133">
        <v>0</v>
      </c>
    </row>
    <row r="3146" spans="1:64" x14ac:dyDescent="0.25">
      <c r="A3146" s="136">
        <v>43266</v>
      </c>
      <c r="B3146" s="201" t="s">
        <v>835</v>
      </c>
      <c r="C3146" t="s">
        <v>839</v>
      </c>
      <c r="I3146" s="309">
        <v>1622.2</v>
      </c>
      <c r="K3146" s="133">
        <v>3.54564300646834E-3</v>
      </c>
      <c r="L3146" s="181">
        <v>0</v>
      </c>
      <c r="M3146" s="133">
        <v>3.8517940457458801E-3</v>
      </c>
    </row>
    <row r="3147" spans="1:64" x14ac:dyDescent="0.25">
      <c r="A3147" s="136">
        <v>43270</v>
      </c>
      <c r="B3147" s="201" t="s">
        <v>132</v>
      </c>
      <c r="C3147" t="s">
        <v>123</v>
      </c>
      <c r="D3147">
        <v>14008</v>
      </c>
      <c r="E3147">
        <v>14008</v>
      </c>
      <c r="F3147">
        <v>-0.25700000000000001</v>
      </c>
      <c r="G3147">
        <v>3740.136</v>
      </c>
      <c r="H3147">
        <v>0</v>
      </c>
      <c r="I3147" s="309">
        <v>140.08000000000001</v>
      </c>
      <c r="J3147">
        <v>0.01</v>
      </c>
      <c r="K3147" s="133">
        <v>2.9045859281354701E-4</v>
      </c>
      <c r="L3147" s="181">
        <v>0.26699999999982499</v>
      </c>
      <c r="M3147" s="133">
        <v>0</v>
      </c>
    </row>
    <row r="3148" spans="1:64" x14ac:dyDescent="0.25">
      <c r="A3148" s="136">
        <v>43270</v>
      </c>
      <c r="B3148" s="201" t="s">
        <v>61</v>
      </c>
      <c r="C3148" t="s">
        <v>136</v>
      </c>
      <c r="D3148">
        <v>4900</v>
      </c>
      <c r="E3148">
        <v>4400</v>
      </c>
      <c r="F3148">
        <v>4.8940000000000001</v>
      </c>
      <c r="G3148">
        <v>-4039.18</v>
      </c>
      <c r="H3148">
        <v>-16.84</v>
      </c>
      <c r="I3148" s="309">
        <v>19943</v>
      </c>
      <c r="J3148">
        <v>4.07</v>
      </c>
      <c r="K3148" s="133">
        <v>4.1352196719592803E-2</v>
      </c>
      <c r="L3148" s="181">
        <v>-1165.04</v>
      </c>
      <c r="M3148" s="133">
        <v>4.9727514673052399E-2</v>
      </c>
      <c r="N3148" s="73">
        <v>-3457.74099999999</v>
      </c>
      <c r="O3148" s="73">
        <v>-824.82389725536802</v>
      </c>
      <c r="P3148" s="182">
        <v>8</v>
      </c>
      <c r="Q3148" s="182">
        <v>4000</v>
      </c>
      <c r="R3148" s="46">
        <v>4.8440000000000003</v>
      </c>
      <c r="S3148" s="46">
        <v>0</v>
      </c>
      <c r="T3148" s="46">
        <v>0</v>
      </c>
      <c r="U3148" s="46">
        <v>0</v>
      </c>
      <c r="V3148" s="46" t="s">
        <v>62</v>
      </c>
      <c r="W3148" s="46">
        <v>4000</v>
      </c>
      <c r="X3148" s="46">
        <v>4.8440000000000003</v>
      </c>
      <c r="AF3148" s="46">
        <v>10</v>
      </c>
      <c r="AG3148" s="46">
        <v>5000</v>
      </c>
      <c r="AH3148" s="46">
        <v>26378</v>
      </c>
      <c r="AI3148" s="46">
        <v>5.2759999999999998</v>
      </c>
      <c r="AJ3148" s="46">
        <v>10</v>
      </c>
      <c r="AK3148" s="46">
        <v>4100</v>
      </c>
      <c r="AL3148" s="46">
        <v>21806.659</v>
      </c>
      <c r="AM3148" s="46">
        <v>5.319</v>
      </c>
      <c r="AN3148" s="46" t="s">
        <v>63</v>
      </c>
      <c r="AO3148" s="46">
        <v>900</v>
      </c>
      <c r="AP3148" s="46">
        <v>4571.3410000000003</v>
      </c>
      <c r="AQ3148" s="46">
        <v>5.0789999999999997</v>
      </c>
      <c r="AR3148" s="46">
        <v>176.3</v>
      </c>
      <c r="AS3148" s="46">
        <v>18</v>
      </c>
      <c r="AT3148" s="46">
        <v>9000</v>
      </c>
      <c r="AU3148" s="46">
        <v>45795.4</v>
      </c>
      <c r="AV3148" s="46">
        <v>5.0880000000000001</v>
      </c>
      <c r="AW3148" s="46">
        <v>10</v>
      </c>
      <c r="AX3148" s="46">
        <v>4100</v>
      </c>
      <c r="AY3148" s="46">
        <v>21806.659</v>
      </c>
      <c r="AZ3148" s="46">
        <v>5.319</v>
      </c>
      <c r="BA3148" s="46" t="s">
        <v>63</v>
      </c>
      <c r="BB3148" s="46">
        <v>4900</v>
      </c>
      <c r="BC3148" s="46">
        <v>23988.741000000002</v>
      </c>
      <c r="BD3148" s="46">
        <v>4.8959999999999999</v>
      </c>
      <c r="BE3148" s="46">
        <v>947.1</v>
      </c>
      <c r="BF3148" s="46">
        <v>19417.400000000001</v>
      </c>
      <c r="BG3148" s="46">
        <v>4.8499999999999996</v>
      </c>
      <c r="BH3148" s="46">
        <v>0</v>
      </c>
      <c r="BJ3148">
        <v>19417.400000000001</v>
      </c>
      <c r="BK3148">
        <v>4.8499999999999996</v>
      </c>
      <c r="BL3148">
        <v>43.32</v>
      </c>
    </row>
    <row r="3149" spans="1:64" x14ac:dyDescent="0.25">
      <c r="A3149" s="136">
        <v>43270</v>
      </c>
      <c r="B3149" s="201" t="s">
        <v>124</v>
      </c>
      <c r="C3149" t="s">
        <v>125</v>
      </c>
      <c r="D3149">
        <v>100</v>
      </c>
      <c r="E3149">
        <v>100</v>
      </c>
      <c r="F3149">
        <v>-53.579000000000001</v>
      </c>
      <c r="G3149">
        <v>5931.9</v>
      </c>
      <c r="H3149">
        <v>0</v>
      </c>
      <c r="I3149" s="309">
        <v>574</v>
      </c>
      <c r="J3149">
        <v>5.74</v>
      </c>
      <c r="K3149" s="133">
        <v>1.19020011618344E-3</v>
      </c>
      <c r="L3149" s="181">
        <v>4</v>
      </c>
      <c r="M3149" s="133">
        <v>0</v>
      </c>
    </row>
    <row r="3150" spans="1:64" x14ac:dyDescent="0.25">
      <c r="A3150" s="136">
        <v>43270</v>
      </c>
      <c r="B3150" s="201" t="s">
        <v>71</v>
      </c>
      <c r="C3150" t="s">
        <v>126</v>
      </c>
      <c r="D3150">
        <v>2300</v>
      </c>
      <c r="E3150">
        <v>2300</v>
      </c>
      <c r="F3150">
        <v>5.4530000000000003</v>
      </c>
      <c r="G3150">
        <v>2040.84</v>
      </c>
      <c r="H3150">
        <v>16.27</v>
      </c>
      <c r="I3150" s="309">
        <v>14582</v>
      </c>
      <c r="J3150">
        <v>6.34</v>
      </c>
      <c r="K3150" s="133">
        <v>3.0236059397538099E-2</v>
      </c>
      <c r="L3150" s="181">
        <v>161</v>
      </c>
      <c r="M3150" s="133">
        <v>2.6004338134277102E-2</v>
      </c>
      <c r="N3150" s="73">
        <v>11555.406000000001</v>
      </c>
      <c r="O3150" s="73">
        <v>273.48289935379597</v>
      </c>
      <c r="P3150" s="182">
        <v>0</v>
      </c>
      <c r="Q3150" s="182">
        <v>0</v>
      </c>
      <c r="R3150" s="46">
        <v>0</v>
      </c>
      <c r="S3150" s="46">
        <v>3</v>
      </c>
      <c r="T3150" s="46">
        <v>1100</v>
      </c>
      <c r="U3150" s="46">
        <v>6.8620000000000001</v>
      </c>
      <c r="V3150" s="46" t="s">
        <v>68</v>
      </c>
      <c r="W3150" s="46">
        <v>1100</v>
      </c>
      <c r="X3150" s="46">
        <v>6.8620000000000001</v>
      </c>
      <c r="AF3150" s="46">
        <v>47</v>
      </c>
      <c r="AG3150" s="46">
        <v>23600</v>
      </c>
      <c r="AH3150" s="46">
        <v>150875.16</v>
      </c>
      <c r="AI3150" s="46">
        <v>6.3929999999999998</v>
      </c>
      <c r="AJ3150" s="46">
        <v>45</v>
      </c>
      <c r="AK3150" s="46">
        <v>20200</v>
      </c>
      <c r="AL3150" s="46">
        <v>130637.874</v>
      </c>
      <c r="AM3150" s="46">
        <v>6.4669999999999996</v>
      </c>
      <c r="AN3150" s="46" t="s">
        <v>63</v>
      </c>
      <c r="AO3150" s="46">
        <v>3400</v>
      </c>
      <c r="AP3150" s="46">
        <v>20237.286</v>
      </c>
      <c r="AQ3150" s="46">
        <v>5.952</v>
      </c>
      <c r="AR3150" s="46">
        <v>1494.8</v>
      </c>
      <c r="AS3150" s="46">
        <v>47</v>
      </c>
      <c r="AT3150" s="46">
        <v>23600</v>
      </c>
      <c r="AU3150" s="46">
        <v>150875.16</v>
      </c>
      <c r="AV3150" s="46">
        <v>6.3929999999999998</v>
      </c>
      <c r="AW3150" s="46">
        <v>48</v>
      </c>
      <c r="AX3150" s="46">
        <v>21300</v>
      </c>
      <c r="AY3150" s="46">
        <v>138170.666</v>
      </c>
      <c r="AZ3150" s="46">
        <v>6.4870000000000001</v>
      </c>
      <c r="BA3150" s="46" t="s">
        <v>63</v>
      </c>
      <c r="BB3150" s="46">
        <v>2300</v>
      </c>
      <c r="BC3150" s="46">
        <v>12704.494000000001</v>
      </c>
      <c r="BD3150" s="46">
        <v>5.524</v>
      </c>
      <c r="BE3150" s="46">
        <v>2002.2</v>
      </c>
      <c r="BF3150" s="46">
        <v>0</v>
      </c>
      <c r="BH3150" s="46">
        <v>7532.7920000000004</v>
      </c>
      <c r="BI3150">
        <v>6.85</v>
      </c>
      <c r="BJ3150">
        <v>-7532.7920000000004</v>
      </c>
      <c r="BK3150">
        <v>-6.85</v>
      </c>
      <c r="BL3150">
        <v>235.77</v>
      </c>
    </row>
    <row r="3151" spans="1:64" x14ac:dyDescent="0.25">
      <c r="A3151" s="136">
        <v>43270</v>
      </c>
      <c r="B3151" s="201" t="s">
        <v>79</v>
      </c>
      <c r="C3151" t="s">
        <v>143</v>
      </c>
      <c r="D3151">
        <v>7700</v>
      </c>
      <c r="E3151">
        <v>6200</v>
      </c>
      <c r="F3151">
        <v>15.393000000000001</v>
      </c>
      <c r="G3151">
        <v>-20272.14</v>
      </c>
      <c r="H3151">
        <v>-17.100000000000001</v>
      </c>
      <c r="I3151" s="309">
        <v>98252</v>
      </c>
      <c r="J3151">
        <v>12.76</v>
      </c>
      <c r="K3151" s="133">
        <v>0.20372742476525299</v>
      </c>
      <c r="L3151" s="181">
        <v>-7115.4</v>
      </c>
      <c r="M3151" s="133">
        <v>0.24576209964902801</v>
      </c>
      <c r="N3151" s="73">
        <v>-20433.6760000002</v>
      </c>
      <c r="O3151" s="73">
        <v>-1603.09726546312</v>
      </c>
      <c r="P3151" s="182">
        <v>11</v>
      </c>
      <c r="Q3151" s="182">
        <v>5500</v>
      </c>
      <c r="R3151" s="46">
        <v>13.978</v>
      </c>
      <c r="S3151" s="46">
        <v>0</v>
      </c>
      <c r="T3151" s="46">
        <v>0</v>
      </c>
      <c r="U3151" s="46">
        <v>0</v>
      </c>
      <c r="V3151" s="46" t="s">
        <v>62</v>
      </c>
      <c r="W3151" s="46">
        <v>5500</v>
      </c>
      <c r="X3151" s="46">
        <v>13.978</v>
      </c>
      <c r="AF3151" s="46">
        <v>21</v>
      </c>
      <c r="AG3151" s="46">
        <v>11000</v>
      </c>
      <c r="AH3151" s="46">
        <v>173841.6</v>
      </c>
      <c r="AI3151" s="46">
        <v>15.804</v>
      </c>
      <c r="AJ3151" s="46">
        <v>22</v>
      </c>
      <c r="AK3151" s="46">
        <v>8800</v>
      </c>
      <c r="AL3151" s="46">
        <v>132248.22399999999</v>
      </c>
      <c r="AM3151" s="46">
        <v>15.028</v>
      </c>
      <c r="AN3151" s="46" t="s">
        <v>63</v>
      </c>
      <c r="AO3151" s="46">
        <v>2200</v>
      </c>
      <c r="AP3151" s="46">
        <v>41593.375999999997</v>
      </c>
      <c r="AQ3151" s="46">
        <v>18.905999999999999</v>
      </c>
      <c r="AR3151" s="46">
        <v>-6828.8</v>
      </c>
      <c r="AS3151" s="46">
        <v>32</v>
      </c>
      <c r="AT3151" s="46">
        <v>16500</v>
      </c>
      <c r="AU3151" s="46">
        <v>250779.9</v>
      </c>
      <c r="AV3151" s="46">
        <v>15.199</v>
      </c>
      <c r="AW3151" s="46">
        <v>22</v>
      </c>
      <c r="AX3151" s="46">
        <v>8800</v>
      </c>
      <c r="AY3151" s="46">
        <v>132248.22399999999</v>
      </c>
      <c r="AZ3151" s="46">
        <v>15.028</v>
      </c>
      <c r="BA3151" s="46" t="s">
        <v>63</v>
      </c>
      <c r="BB3151" s="46">
        <v>7700</v>
      </c>
      <c r="BC3151" s="46">
        <v>118531.67600000001</v>
      </c>
      <c r="BD3151" s="46">
        <v>15.394</v>
      </c>
      <c r="BE3151" s="46">
        <v>-1504.8</v>
      </c>
      <c r="BF3151" s="46">
        <v>76938.299999999901</v>
      </c>
      <c r="BG3151" s="46">
        <v>13.99</v>
      </c>
      <c r="BH3151" s="46">
        <v>0</v>
      </c>
      <c r="BJ3151">
        <v>76938.3</v>
      </c>
      <c r="BK3151">
        <v>13.99</v>
      </c>
      <c r="BL3151">
        <v>-535.16999999999996</v>
      </c>
    </row>
    <row r="3152" spans="1:64" x14ac:dyDescent="0.25">
      <c r="A3152" s="136">
        <v>43270</v>
      </c>
      <c r="B3152" s="201" t="s">
        <v>65</v>
      </c>
      <c r="C3152" t="s">
        <v>127</v>
      </c>
      <c r="D3152">
        <v>22500</v>
      </c>
      <c r="E3152">
        <v>21000</v>
      </c>
      <c r="F3152">
        <v>8.9979999999999993</v>
      </c>
      <c r="G3152">
        <v>-14364.23</v>
      </c>
      <c r="H3152">
        <v>-7.09</v>
      </c>
      <c r="I3152" s="309">
        <v>188100</v>
      </c>
      <c r="J3152">
        <v>8.36</v>
      </c>
      <c r="K3152" s="133">
        <v>0.390028992777186</v>
      </c>
      <c r="L3152" s="181">
        <v>-10160</v>
      </c>
      <c r="M3152" s="133">
        <v>0.419813501862352</v>
      </c>
      <c r="N3152" s="73">
        <v>-19096.649000000001</v>
      </c>
      <c r="O3152" s="73">
        <v>-1775.5021525479799</v>
      </c>
      <c r="P3152" s="182">
        <v>7</v>
      </c>
      <c r="Q3152" s="182">
        <v>7000</v>
      </c>
      <c r="R3152" s="46">
        <v>9.1359999999999992</v>
      </c>
      <c r="S3152" s="46">
        <v>10</v>
      </c>
      <c r="T3152" s="46">
        <v>4100</v>
      </c>
      <c r="U3152" s="46">
        <v>11.945</v>
      </c>
      <c r="V3152" s="46" t="s">
        <v>62</v>
      </c>
      <c r="W3152" s="46">
        <v>2900</v>
      </c>
      <c r="X3152" s="46">
        <v>5.165</v>
      </c>
      <c r="AF3152" s="46">
        <v>194</v>
      </c>
      <c r="AG3152" s="46">
        <v>102700</v>
      </c>
      <c r="AH3152" s="46">
        <v>1160490.2309999999</v>
      </c>
      <c r="AI3152" s="46">
        <v>11.3</v>
      </c>
      <c r="AJ3152" s="46">
        <v>214</v>
      </c>
      <c r="AK3152" s="46">
        <v>92300</v>
      </c>
      <c r="AL3152" s="46">
        <v>969003.00600000005</v>
      </c>
      <c r="AM3152" s="46">
        <v>10.497999999999999</v>
      </c>
      <c r="AN3152" s="46" t="s">
        <v>63</v>
      </c>
      <c r="AO3152" s="46">
        <v>10400</v>
      </c>
      <c r="AP3152" s="46">
        <v>191487.22500000001</v>
      </c>
      <c r="AQ3152" s="46">
        <v>18.411999999999999</v>
      </c>
      <c r="AR3152" s="46">
        <v>-74024.600000000006</v>
      </c>
      <c r="AS3152" s="46">
        <v>202</v>
      </c>
      <c r="AT3152" s="46">
        <v>109800</v>
      </c>
      <c r="AU3152" s="46">
        <v>1225767.6810000001</v>
      </c>
      <c r="AV3152" s="46">
        <v>11.164</v>
      </c>
      <c r="AW3152" s="46">
        <v>224</v>
      </c>
      <c r="AX3152" s="46">
        <v>96400</v>
      </c>
      <c r="AY3152" s="46">
        <v>1017880.03</v>
      </c>
      <c r="AZ3152" s="46">
        <v>10.558999999999999</v>
      </c>
      <c r="BA3152" s="46" t="s">
        <v>63</v>
      </c>
      <c r="BB3152" s="46">
        <v>13400</v>
      </c>
      <c r="BC3152" s="46">
        <v>207887.65100000001</v>
      </c>
      <c r="BD3152" s="46">
        <v>15.513999999999999</v>
      </c>
      <c r="BE3152" s="46">
        <v>-58322</v>
      </c>
      <c r="BF3152" s="46">
        <v>65277.45</v>
      </c>
      <c r="BG3152" s="46">
        <v>9.33</v>
      </c>
      <c r="BH3152" s="46">
        <v>48877.024000000099</v>
      </c>
      <c r="BI3152">
        <v>11.92</v>
      </c>
      <c r="BJ3152">
        <v>16400.425999999999</v>
      </c>
      <c r="BK3152">
        <v>5.66</v>
      </c>
      <c r="BL3152">
        <v>-8854.6200000000008</v>
      </c>
    </row>
    <row r="3153" spans="1:64" x14ac:dyDescent="0.25">
      <c r="A3153" s="136">
        <v>43270</v>
      </c>
      <c r="B3153" s="201" t="s">
        <v>77</v>
      </c>
      <c r="C3153" t="s">
        <v>128</v>
      </c>
      <c r="D3153">
        <v>4300</v>
      </c>
      <c r="E3153">
        <v>4300</v>
      </c>
      <c r="F3153">
        <v>5.9779999999999998</v>
      </c>
      <c r="G3153">
        <v>-595.27</v>
      </c>
      <c r="H3153">
        <v>-2.31</v>
      </c>
      <c r="I3153" s="309">
        <v>25112</v>
      </c>
      <c r="J3153">
        <v>5.84</v>
      </c>
      <c r="K3153" s="133">
        <v>5.2070218323342299E-2</v>
      </c>
      <c r="L3153" s="181">
        <v>0</v>
      </c>
      <c r="M3153" s="133">
        <v>5.3304522196444201E-2</v>
      </c>
      <c r="N3153" s="73">
        <v>-1272.2139999999999</v>
      </c>
      <c r="O3153" s="73">
        <v>-133.073774655173</v>
      </c>
      <c r="P3153" s="182">
        <v>6</v>
      </c>
      <c r="Q3153" s="182">
        <v>3000</v>
      </c>
      <c r="R3153" s="46">
        <v>6.798</v>
      </c>
      <c r="S3153" s="46">
        <v>0</v>
      </c>
      <c r="T3153" s="46">
        <v>0</v>
      </c>
      <c r="U3153" s="46">
        <v>0</v>
      </c>
      <c r="V3153" s="46" t="s">
        <v>62</v>
      </c>
      <c r="W3153" s="46">
        <v>3000</v>
      </c>
      <c r="X3153" s="46">
        <v>6.798</v>
      </c>
      <c r="AF3153" s="46">
        <v>39</v>
      </c>
      <c r="AG3153" s="46">
        <v>19500</v>
      </c>
      <c r="AH3153" s="46">
        <v>142169</v>
      </c>
      <c r="AI3153" s="46">
        <v>7.2910000000000004</v>
      </c>
      <c r="AJ3153" s="46">
        <v>39</v>
      </c>
      <c r="AK3153" s="46">
        <v>18200</v>
      </c>
      <c r="AL3153" s="46">
        <v>136881.78599999999</v>
      </c>
      <c r="AM3153" s="46">
        <v>7.5209999999999999</v>
      </c>
      <c r="AN3153" s="46" t="s">
        <v>63</v>
      </c>
      <c r="AO3153" s="46">
        <v>1300</v>
      </c>
      <c r="AP3153" s="46">
        <v>5287.2139999999999</v>
      </c>
      <c r="AQ3153" s="46">
        <v>4.0670000000000002</v>
      </c>
      <c r="AR3153" s="46">
        <v>4186</v>
      </c>
      <c r="AS3153" s="46">
        <v>45</v>
      </c>
      <c r="AT3153" s="46">
        <v>22500</v>
      </c>
      <c r="AU3153" s="46">
        <v>162594</v>
      </c>
      <c r="AV3153" s="46">
        <v>7.226</v>
      </c>
      <c r="AW3153" s="46">
        <v>39</v>
      </c>
      <c r="AX3153" s="46">
        <v>18200</v>
      </c>
      <c r="AY3153" s="46">
        <v>136881.78599999999</v>
      </c>
      <c r="AZ3153" s="46">
        <v>7.5209999999999999</v>
      </c>
      <c r="BA3153" s="46" t="s">
        <v>63</v>
      </c>
      <c r="BB3153" s="46">
        <v>4300</v>
      </c>
      <c r="BC3153" s="46">
        <v>25712.214</v>
      </c>
      <c r="BD3153" s="46">
        <v>5.98</v>
      </c>
      <c r="BE3153" s="46">
        <v>5369</v>
      </c>
      <c r="BF3153" s="46">
        <v>20425</v>
      </c>
      <c r="BG3153" s="46">
        <v>6.81</v>
      </c>
      <c r="BH3153" s="46">
        <v>0</v>
      </c>
      <c r="BJ3153">
        <v>20425</v>
      </c>
      <c r="BK3153">
        <v>6.81</v>
      </c>
      <c r="BL3153">
        <v>716.78</v>
      </c>
    </row>
    <row r="3154" spans="1:64" x14ac:dyDescent="0.25">
      <c r="A3154" s="136">
        <v>43270</v>
      </c>
      <c r="B3154" s="201" t="s">
        <v>67</v>
      </c>
      <c r="C3154" t="s">
        <v>129</v>
      </c>
      <c r="D3154">
        <v>100</v>
      </c>
      <c r="E3154">
        <v>100</v>
      </c>
      <c r="F3154">
        <v>-33.265000000000001</v>
      </c>
      <c r="G3154">
        <v>4255.5</v>
      </c>
      <c r="H3154">
        <v>0</v>
      </c>
      <c r="I3154" s="309">
        <v>929</v>
      </c>
      <c r="J3154">
        <v>9.2899999999999991</v>
      </c>
      <c r="K3154" s="133">
        <v>1.9262994911749399E-3</v>
      </c>
      <c r="L3154" s="181">
        <v>-86</v>
      </c>
      <c r="M3154" s="133">
        <v>0</v>
      </c>
      <c r="N3154" s="73">
        <v>4368.6874999997499</v>
      </c>
      <c r="O3154" s="73">
        <v>419.05020693376002</v>
      </c>
      <c r="P3154" s="182">
        <v>0</v>
      </c>
      <c r="Q3154" s="182">
        <v>0</v>
      </c>
      <c r="R3154" s="46">
        <v>0</v>
      </c>
      <c r="S3154" s="46">
        <v>24</v>
      </c>
      <c r="T3154" s="46">
        <v>9600</v>
      </c>
      <c r="U3154" s="46">
        <v>8.9969999999999999</v>
      </c>
      <c r="V3154" s="46" t="s">
        <v>68</v>
      </c>
      <c r="W3154" s="46">
        <v>9600</v>
      </c>
      <c r="X3154" s="46">
        <v>8.9969999999999999</v>
      </c>
      <c r="AF3154" s="46">
        <v>192</v>
      </c>
      <c r="AG3154" s="46">
        <v>95000</v>
      </c>
      <c r="AH3154" s="46">
        <v>791793</v>
      </c>
      <c r="AI3154" s="46">
        <v>8.3350000000000009</v>
      </c>
      <c r="AJ3154" s="46">
        <v>196</v>
      </c>
      <c r="AK3154" s="46">
        <v>87900</v>
      </c>
      <c r="AL3154" s="46">
        <v>778079.67550000001</v>
      </c>
      <c r="AM3154" s="46">
        <v>8.8520000000000003</v>
      </c>
      <c r="AN3154" s="46" t="s">
        <v>63</v>
      </c>
      <c r="AO3154" s="46">
        <v>7100</v>
      </c>
      <c r="AP3154" s="46">
        <v>13713.324000000001</v>
      </c>
      <c r="AQ3154" s="46">
        <v>1.931</v>
      </c>
      <c r="AR3154" s="46">
        <v>45444.3</v>
      </c>
      <c r="AS3154" s="46">
        <v>192</v>
      </c>
      <c r="AT3154" s="46">
        <v>95000</v>
      </c>
      <c r="AU3154" s="46">
        <v>791793</v>
      </c>
      <c r="AV3154" s="46">
        <v>8.3350000000000009</v>
      </c>
      <c r="AW3154" s="46">
        <v>220</v>
      </c>
      <c r="AX3154" s="46">
        <v>97500</v>
      </c>
      <c r="AY3154" s="46">
        <v>864247.80350000004</v>
      </c>
      <c r="AZ3154" s="46">
        <v>8.8640000000000008</v>
      </c>
      <c r="BA3154" s="46" t="s">
        <v>69</v>
      </c>
      <c r="BB3154" s="46">
        <v>2500</v>
      </c>
      <c r="BC3154" s="46">
        <v>72454.804000000004</v>
      </c>
      <c r="BD3154" s="46">
        <v>28.981999999999999</v>
      </c>
      <c r="BE3154" s="46">
        <v>50255</v>
      </c>
      <c r="BF3154" s="46">
        <v>0</v>
      </c>
      <c r="BH3154" s="46">
        <v>86168.127999999997</v>
      </c>
      <c r="BI3154">
        <v>8.98</v>
      </c>
      <c r="BJ3154">
        <v>58741.48</v>
      </c>
      <c r="BK3154">
        <v>6.12</v>
      </c>
      <c r="BL3154">
        <v>4891.74</v>
      </c>
    </row>
    <row r="3155" spans="1:64" x14ac:dyDescent="0.25">
      <c r="A3155" s="136">
        <v>43270</v>
      </c>
      <c r="B3155" s="201" t="s">
        <v>78</v>
      </c>
      <c r="C3155" t="s">
        <v>142</v>
      </c>
      <c r="D3155">
        <v>200</v>
      </c>
      <c r="E3155">
        <v>200</v>
      </c>
      <c r="F3155">
        <v>2.077</v>
      </c>
      <c r="G3155">
        <v>1192.6500000000001</v>
      </c>
      <c r="H3155">
        <v>287.10000000000002</v>
      </c>
      <c r="I3155" s="309">
        <v>1608</v>
      </c>
      <c r="J3155">
        <v>8.0399999999999991</v>
      </c>
      <c r="K3155" s="133">
        <v>3.3342191408065598E-3</v>
      </c>
      <c r="L3155" s="181">
        <v>-160</v>
      </c>
      <c r="M3155" s="133">
        <v>8.6123626874005303E-4</v>
      </c>
      <c r="N3155" s="73">
        <v>1454.6510000000001</v>
      </c>
      <c r="O3155" s="73">
        <v>155.499858235294</v>
      </c>
      <c r="P3155" s="182">
        <v>0</v>
      </c>
      <c r="Q3155" s="182">
        <v>0</v>
      </c>
      <c r="R3155" s="46">
        <v>0</v>
      </c>
      <c r="S3155" s="46">
        <v>3</v>
      </c>
      <c r="T3155" s="46">
        <v>1200</v>
      </c>
      <c r="U3155" s="46">
        <v>9.923</v>
      </c>
      <c r="V3155" s="46" t="s">
        <v>68</v>
      </c>
      <c r="W3155" s="46">
        <v>1200</v>
      </c>
      <c r="X3155" s="46">
        <v>9.923</v>
      </c>
      <c r="AF3155" s="46">
        <v>14</v>
      </c>
      <c r="AG3155" s="46">
        <v>7000</v>
      </c>
      <c r="AH3155" s="46">
        <v>67625</v>
      </c>
      <c r="AI3155" s="46">
        <v>9.6609999999999996</v>
      </c>
      <c r="AJ3155" s="46">
        <v>15</v>
      </c>
      <c r="AK3155" s="46">
        <v>5600</v>
      </c>
      <c r="AL3155" s="46">
        <v>55310.559000000001</v>
      </c>
      <c r="AM3155" s="46">
        <v>9.8770000000000007</v>
      </c>
      <c r="AN3155" s="46" t="s">
        <v>63</v>
      </c>
      <c r="AO3155" s="46">
        <v>1400</v>
      </c>
      <c r="AP3155" s="46">
        <v>12314.441000000001</v>
      </c>
      <c r="AQ3155" s="46">
        <v>8.7959999999999994</v>
      </c>
      <c r="AR3155" s="46">
        <v>1209.5999999999999</v>
      </c>
      <c r="AS3155" s="46">
        <v>14</v>
      </c>
      <c r="AT3155" s="46">
        <v>7000</v>
      </c>
      <c r="AU3155" s="46">
        <v>67625</v>
      </c>
      <c r="AV3155" s="46">
        <v>9.6609999999999996</v>
      </c>
      <c r="AW3155" s="46">
        <v>18</v>
      </c>
      <c r="AX3155" s="46">
        <v>6800</v>
      </c>
      <c r="AY3155" s="46">
        <v>67209.650999999998</v>
      </c>
      <c r="AZ3155" s="46">
        <v>9.8840000000000003</v>
      </c>
      <c r="BA3155" s="46" t="s">
        <v>63</v>
      </c>
      <c r="BB3155" s="46">
        <v>200</v>
      </c>
      <c r="BC3155" s="46">
        <v>415.34899999999999</v>
      </c>
      <c r="BD3155" s="46">
        <v>2.077</v>
      </c>
      <c r="BE3155" s="46">
        <v>1516.4</v>
      </c>
      <c r="BF3155" s="46">
        <v>0</v>
      </c>
      <c r="BH3155" s="46">
        <v>11899.092000000001</v>
      </c>
      <c r="BI3155">
        <v>9.92</v>
      </c>
      <c r="BJ3155">
        <v>-11899.092000000001</v>
      </c>
      <c r="BK3155">
        <v>-9.92</v>
      </c>
      <c r="BL3155">
        <v>150.44999999999999</v>
      </c>
    </row>
    <row r="3156" spans="1:64" x14ac:dyDescent="0.25">
      <c r="A3156" s="136">
        <v>43270</v>
      </c>
      <c r="B3156" s="201" t="s">
        <v>72</v>
      </c>
      <c r="C3156" t="s">
        <v>130</v>
      </c>
      <c r="D3156">
        <v>3100</v>
      </c>
      <c r="E3156">
        <v>2600</v>
      </c>
      <c r="F3156">
        <v>6.2060000000000004</v>
      </c>
      <c r="G3156">
        <v>-1941.12</v>
      </c>
      <c r="H3156">
        <v>-10.09</v>
      </c>
      <c r="I3156" s="309">
        <v>17298</v>
      </c>
      <c r="J3156">
        <v>5.58</v>
      </c>
      <c r="K3156" s="133">
        <v>3.5867737996064603E-2</v>
      </c>
      <c r="L3156" s="181">
        <v>-565</v>
      </c>
      <c r="M3156" s="133">
        <v>3.9892687908130803E-2</v>
      </c>
      <c r="N3156" s="73">
        <v>-19535.828000000001</v>
      </c>
      <c r="O3156" s="73">
        <v>-298.98788710246998</v>
      </c>
      <c r="P3156" s="182">
        <v>0</v>
      </c>
      <c r="Q3156" s="182">
        <v>0</v>
      </c>
      <c r="R3156" s="46">
        <v>0</v>
      </c>
      <c r="S3156" s="46">
        <v>14</v>
      </c>
      <c r="T3156" s="46">
        <v>5600</v>
      </c>
      <c r="U3156" s="46">
        <v>7.5659999999999998</v>
      </c>
      <c r="V3156" s="46" t="s">
        <v>68</v>
      </c>
      <c r="W3156" s="46">
        <v>5600</v>
      </c>
      <c r="X3156" s="46">
        <v>7.5659999999999998</v>
      </c>
      <c r="AF3156" s="46">
        <v>42</v>
      </c>
      <c r="AG3156" s="46">
        <v>20900</v>
      </c>
      <c r="AH3156" s="46">
        <v>152800</v>
      </c>
      <c r="AI3156" s="46">
        <v>7.3109999999999999</v>
      </c>
      <c r="AJ3156" s="46">
        <v>42</v>
      </c>
      <c r="AK3156" s="46">
        <v>18800</v>
      </c>
      <c r="AL3156" s="46">
        <v>92037.725000000006</v>
      </c>
      <c r="AM3156" s="46">
        <v>4.8959999999999999</v>
      </c>
      <c r="AN3156" s="46" t="s">
        <v>63</v>
      </c>
      <c r="AO3156" s="46">
        <v>2100</v>
      </c>
      <c r="AP3156" s="46">
        <v>60762.275000000001</v>
      </c>
      <c r="AQ3156" s="46">
        <v>28.934000000000001</v>
      </c>
      <c r="AR3156" s="46">
        <v>-45402</v>
      </c>
      <c r="AS3156" s="46">
        <v>42</v>
      </c>
      <c r="AT3156" s="46">
        <v>20900</v>
      </c>
      <c r="AU3156" s="46">
        <v>152800</v>
      </c>
      <c r="AV3156" s="46">
        <v>7.3109999999999999</v>
      </c>
      <c r="AW3156" s="46">
        <v>57</v>
      </c>
      <c r="AX3156" s="46">
        <v>24900</v>
      </c>
      <c r="AY3156" s="46">
        <v>134293.35699999999</v>
      </c>
      <c r="AZ3156" s="46">
        <v>5.3929999999999998</v>
      </c>
      <c r="BA3156" s="46" t="s">
        <v>69</v>
      </c>
      <c r="BB3156" s="46">
        <v>4000</v>
      </c>
      <c r="BC3156" s="46">
        <v>18506.643</v>
      </c>
      <c r="BD3156" s="46">
        <v>4.6269999999999998</v>
      </c>
      <c r="BE3156" s="46">
        <v>-40086.199999999997</v>
      </c>
      <c r="BF3156" s="46">
        <v>0</v>
      </c>
      <c r="BH3156" s="46">
        <v>42255.631999999998</v>
      </c>
      <c r="BI3156">
        <v>7.55</v>
      </c>
      <c r="BJ3156">
        <v>-42255.631999999998</v>
      </c>
      <c r="BK3156">
        <v>-7.55</v>
      </c>
      <c r="BL3156">
        <v>-8136.56</v>
      </c>
    </row>
    <row r="3157" spans="1:64" x14ac:dyDescent="0.25">
      <c r="A3157" s="136">
        <v>43270</v>
      </c>
      <c r="B3157" s="201" t="s">
        <v>70</v>
      </c>
      <c r="C3157" t="s">
        <v>131</v>
      </c>
      <c r="D3157">
        <v>14100</v>
      </c>
      <c r="E3157">
        <v>12600</v>
      </c>
      <c r="F3157">
        <v>10.919</v>
      </c>
      <c r="G3157">
        <v>-49471.77</v>
      </c>
      <c r="H3157">
        <v>-32.14</v>
      </c>
      <c r="I3157" s="309">
        <v>104481</v>
      </c>
      <c r="J3157">
        <v>7.41</v>
      </c>
      <c r="K3157" s="133">
        <v>0.21664337689714599</v>
      </c>
      <c r="L3157" s="181">
        <v>-9992</v>
      </c>
      <c r="M3157" s="133">
        <v>0.31922405007101401</v>
      </c>
      <c r="N3157" s="73">
        <v>-50180.762999999999</v>
      </c>
      <c r="O3157" s="73">
        <v>-6814.62943186142</v>
      </c>
      <c r="P3157" s="182">
        <v>6</v>
      </c>
      <c r="Q3157" s="182">
        <v>3000</v>
      </c>
      <c r="R3157" s="46">
        <v>8.0050000000000008</v>
      </c>
      <c r="S3157" s="46">
        <v>5</v>
      </c>
      <c r="T3157" s="46">
        <v>2000</v>
      </c>
      <c r="U3157" s="46">
        <v>9.4939999999999998</v>
      </c>
      <c r="V3157" s="46" t="s">
        <v>62</v>
      </c>
      <c r="W3157" s="46">
        <v>1000</v>
      </c>
      <c r="X3157" s="46">
        <v>5.0270000000000001</v>
      </c>
      <c r="AF3157" s="46">
        <v>142</v>
      </c>
      <c r="AG3157" s="46">
        <v>72600</v>
      </c>
      <c r="AH3157" s="46">
        <v>930513</v>
      </c>
      <c r="AI3157" s="46">
        <v>12.817</v>
      </c>
      <c r="AJ3157" s="46">
        <v>148</v>
      </c>
      <c r="AK3157" s="46">
        <v>59500</v>
      </c>
      <c r="AL3157" s="46">
        <v>781252.22499999998</v>
      </c>
      <c r="AM3157" s="46">
        <v>13.13</v>
      </c>
      <c r="AN3157" s="46" t="s">
        <v>63</v>
      </c>
      <c r="AO3157" s="46">
        <v>13100</v>
      </c>
      <c r="AP3157" s="46">
        <v>149260.77499999999</v>
      </c>
      <c r="AQ3157" s="46">
        <v>11.394</v>
      </c>
      <c r="AR3157" s="46">
        <v>18623.5</v>
      </c>
      <c r="AS3157" s="46">
        <v>148</v>
      </c>
      <c r="AT3157" s="46">
        <v>75600</v>
      </c>
      <c r="AU3157" s="46">
        <v>954558</v>
      </c>
      <c r="AV3157" s="46">
        <v>12.625999999999999</v>
      </c>
      <c r="AW3157" s="46">
        <v>154</v>
      </c>
      <c r="AX3157" s="46">
        <v>61500</v>
      </c>
      <c r="AY3157" s="46">
        <v>800601.23699999996</v>
      </c>
      <c r="AZ3157" s="46">
        <v>13.018000000000001</v>
      </c>
      <c r="BA3157" s="46" t="s">
        <v>63</v>
      </c>
      <c r="BB3157" s="46">
        <v>14100</v>
      </c>
      <c r="BC3157" s="46">
        <v>153956.76300000001</v>
      </c>
      <c r="BD3157" s="46">
        <v>10.919</v>
      </c>
      <c r="BE3157" s="46">
        <v>24108</v>
      </c>
      <c r="BF3157" s="46">
        <v>24045</v>
      </c>
      <c r="BG3157" s="46">
        <v>8.02</v>
      </c>
      <c r="BH3157" s="46">
        <v>19349.011999999999</v>
      </c>
      <c r="BI3157">
        <v>9.67</v>
      </c>
      <c r="BJ3157">
        <v>4695.9880000000103</v>
      </c>
      <c r="BK3157">
        <v>4.7</v>
      </c>
      <c r="BL3157">
        <v>2513.29</v>
      </c>
    </row>
    <row r="3158" spans="1:64" x14ac:dyDescent="0.25">
      <c r="A3158" s="136">
        <v>43270</v>
      </c>
      <c r="B3158" s="201" t="s">
        <v>137</v>
      </c>
      <c r="C3158" t="s">
        <v>149</v>
      </c>
      <c r="D3158">
        <v>100</v>
      </c>
      <c r="E3158">
        <v>100</v>
      </c>
      <c r="F3158">
        <v>-130.86000000000001</v>
      </c>
      <c r="G3158">
        <v>17537</v>
      </c>
      <c r="H3158">
        <v>0</v>
      </c>
      <c r="I3158" s="309">
        <v>4451</v>
      </c>
      <c r="J3158">
        <v>44.51</v>
      </c>
      <c r="K3158" s="133">
        <v>9.2292346988370692E-3</v>
      </c>
      <c r="L3158" s="181">
        <v>-264</v>
      </c>
      <c r="M3158" s="133">
        <v>0</v>
      </c>
    </row>
    <row r="3159" spans="1:64" x14ac:dyDescent="0.25">
      <c r="A3159" s="136">
        <v>43270</v>
      </c>
      <c r="B3159" s="201" t="s">
        <v>835</v>
      </c>
      <c r="C3159" t="s">
        <v>839</v>
      </c>
      <c r="I3159" s="309">
        <v>6801.76</v>
      </c>
      <c r="K3159" s="133">
        <v>1.41035810840625E-2</v>
      </c>
      <c r="L3159" s="181">
        <v>0</v>
      </c>
      <c r="M3159" s="133">
        <v>1.4394039676876001E-2</v>
      </c>
    </row>
    <row r="3160" spans="1:64" x14ac:dyDescent="0.25">
      <c r="A3160" s="136">
        <v>43272</v>
      </c>
      <c r="B3160" s="201" t="s">
        <v>132</v>
      </c>
      <c r="C3160" t="s">
        <v>123</v>
      </c>
      <c r="D3160">
        <v>14014</v>
      </c>
      <c r="E3160">
        <v>14014</v>
      </c>
      <c r="F3160">
        <v>-0.25700000000000001</v>
      </c>
      <c r="G3160">
        <v>3741.7379999999998</v>
      </c>
      <c r="H3160">
        <v>0</v>
      </c>
      <c r="I3160" s="309">
        <v>140.13999999999999</v>
      </c>
      <c r="J3160">
        <v>0.01</v>
      </c>
      <c r="K3160" s="133">
        <v>2.9266711210654002E-4</v>
      </c>
      <c r="L3160" s="181">
        <v>1.60199999999986</v>
      </c>
      <c r="M3160" s="133">
        <v>0</v>
      </c>
    </row>
    <row r="3161" spans="1:64" x14ac:dyDescent="0.25">
      <c r="A3161" s="136">
        <v>43272</v>
      </c>
      <c r="B3161" s="201" t="s">
        <v>61</v>
      </c>
      <c r="C3161" t="s">
        <v>136</v>
      </c>
      <c r="D3161">
        <v>4900</v>
      </c>
      <c r="E3161">
        <v>4900</v>
      </c>
      <c r="F3161">
        <v>4.8940000000000001</v>
      </c>
      <c r="G3161">
        <v>-4235.18</v>
      </c>
      <c r="H3161">
        <v>-17.649999999999999</v>
      </c>
      <c r="I3161" s="309">
        <v>19747</v>
      </c>
      <c r="J3161">
        <v>4.03</v>
      </c>
      <c r="K3161" s="133">
        <v>4.12394567059216E-2</v>
      </c>
      <c r="L3161" s="181">
        <v>-196</v>
      </c>
      <c r="M3161" s="133">
        <v>5.0084168421715598E-2</v>
      </c>
      <c r="N3161" s="73">
        <v>-3457.74099999999</v>
      </c>
      <c r="O3161" s="73">
        <v>-824.82389725536802</v>
      </c>
      <c r="P3161" s="182">
        <v>8</v>
      </c>
      <c r="Q3161" s="182">
        <v>4000</v>
      </c>
      <c r="R3161" s="46">
        <v>4.8440000000000003</v>
      </c>
      <c r="S3161" s="46">
        <v>0</v>
      </c>
      <c r="T3161" s="46">
        <v>0</v>
      </c>
      <c r="U3161" s="46">
        <v>0</v>
      </c>
      <c r="V3161" s="46" t="s">
        <v>62</v>
      </c>
      <c r="W3161" s="46">
        <v>4000</v>
      </c>
      <c r="X3161" s="46">
        <v>4.8440000000000003</v>
      </c>
      <c r="AF3161" s="46">
        <v>10</v>
      </c>
      <c r="AG3161" s="46">
        <v>5000</v>
      </c>
      <c r="AH3161" s="46">
        <v>26378</v>
      </c>
      <c r="AI3161" s="46">
        <v>5.2759999999999998</v>
      </c>
      <c r="AJ3161" s="46">
        <v>10</v>
      </c>
      <c r="AK3161" s="46">
        <v>4100</v>
      </c>
      <c r="AL3161" s="46">
        <v>21806.659</v>
      </c>
      <c r="AM3161" s="46">
        <v>5.319</v>
      </c>
      <c r="AN3161" s="46" t="s">
        <v>63</v>
      </c>
      <c r="AO3161" s="46">
        <v>900</v>
      </c>
      <c r="AP3161" s="46">
        <v>4571.3410000000003</v>
      </c>
      <c r="AQ3161" s="46">
        <v>5.0789999999999997</v>
      </c>
      <c r="AR3161" s="46">
        <v>176.3</v>
      </c>
      <c r="AS3161" s="46">
        <v>18</v>
      </c>
      <c r="AT3161" s="46">
        <v>9000</v>
      </c>
      <c r="AU3161" s="46">
        <v>45795.4</v>
      </c>
      <c r="AV3161" s="46">
        <v>5.0880000000000001</v>
      </c>
      <c r="AW3161" s="46">
        <v>10</v>
      </c>
      <c r="AX3161" s="46">
        <v>4100</v>
      </c>
      <c r="AY3161" s="46">
        <v>21806.659</v>
      </c>
      <c r="AZ3161" s="46">
        <v>5.319</v>
      </c>
      <c r="BA3161" s="46" t="s">
        <v>63</v>
      </c>
      <c r="BB3161" s="46">
        <v>4900</v>
      </c>
      <c r="BC3161" s="46">
        <v>23988.741000000002</v>
      </c>
      <c r="BD3161" s="46">
        <v>4.8959999999999999</v>
      </c>
      <c r="BE3161" s="46">
        <v>947.1</v>
      </c>
      <c r="BF3161" s="46">
        <v>19417.400000000001</v>
      </c>
      <c r="BG3161" s="46">
        <v>4.8499999999999996</v>
      </c>
      <c r="BH3161" s="46">
        <v>0</v>
      </c>
      <c r="BJ3161">
        <v>19417.400000000001</v>
      </c>
      <c r="BK3161">
        <v>4.8499999999999996</v>
      </c>
      <c r="BL3161">
        <v>43.75</v>
      </c>
    </row>
    <row r="3162" spans="1:64" x14ac:dyDescent="0.25">
      <c r="A3162" s="136">
        <v>43272</v>
      </c>
      <c r="B3162" s="201" t="s">
        <v>124</v>
      </c>
      <c r="C3162" t="s">
        <v>125</v>
      </c>
      <c r="D3162">
        <v>100</v>
      </c>
      <c r="E3162">
        <v>100</v>
      </c>
      <c r="F3162">
        <v>-53.579000000000001</v>
      </c>
      <c r="G3162">
        <v>5925.9</v>
      </c>
      <c r="H3162">
        <v>0</v>
      </c>
      <c r="I3162" s="309">
        <v>568</v>
      </c>
      <c r="J3162">
        <v>5.68</v>
      </c>
      <c r="K3162" s="133">
        <v>1.1862060773263499E-3</v>
      </c>
      <c r="L3162" s="181">
        <v>-6</v>
      </c>
      <c r="M3162" s="133">
        <v>0</v>
      </c>
    </row>
    <row r="3163" spans="1:64" x14ac:dyDescent="0.25">
      <c r="A3163" s="136">
        <v>43272</v>
      </c>
      <c r="B3163" s="201" t="s">
        <v>71</v>
      </c>
      <c r="C3163" t="s">
        <v>126</v>
      </c>
      <c r="D3163">
        <v>2300</v>
      </c>
      <c r="E3163">
        <v>2300</v>
      </c>
      <c r="F3163">
        <v>5.4530000000000003</v>
      </c>
      <c r="G3163">
        <v>1764.84</v>
      </c>
      <c r="H3163">
        <v>14.07</v>
      </c>
      <c r="I3163" s="309">
        <v>14306</v>
      </c>
      <c r="J3163">
        <v>6.22</v>
      </c>
      <c r="K3163" s="133">
        <v>2.9876521377166902E-2</v>
      </c>
      <c r="L3163" s="181">
        <v>-276</v>
      </c>
      <c r="M3163" s="133">
        <v>2.6190845437891099E-2</v>
      </c>
      <c r="N3163" s="73">
        <v>11555.406000000001</v>
      </c>
      <c r="O3163" s="73">
        <v>273.48289935379597</v>
      </c>
      <c r="P3163" s="182">
        <v>0</v>
      </c>
      <c r="Q3163" s="182">
        <v>0</v>
      </c>
      <c r="R3163" s="46">
        <v>0</v>
      </c>
      <c r="S3163" s="46">
        <v>3</v>
      </c>
      <c r="T3163" s="46">
        <v>1100</v>
      </c>
      <c r="U3163" s="46">
        <v>6.8620000000000001</v>
      </c>
      <c r="V3163" s="46" t="s">
        <v>68</v>
      </c>
      <c r="W3163" s="46">
        <v>1100</v>
      </c>
      <c r="X3163" s="46">
        <v>6.8620000000000001</v>
      </c>
      <c r="AF3163" s="46">
        <v>47</v>
      </c>
      <c r="AG3163" s="46">
        <v>23600</v>
      </c>
      <c r="AH3163" s="46">
        <v>150875.16</v>
      </c>
      <c r="AI3163" s="46">
        <v>6.3929999999999998</v>
      </c>
      <c r="AJ3163" s="46">
        <v>45</v>
      </c>
      <c r="AK3163" s="46">
        <v>20200</v>
      </c>
      <c r="AL3163" s="46">
        <v>130637.874</v>
      </c>
      <c r="AM3163" s="46">
        <v>6.4669999999999996</v>
      </c>
      <c r="AN3163" s="46" t="s">
        <v>63</v>
      </c>
      <c r="AO3163" s="46">
        <v>3400</v>
      </c>
      <c r="AP3163" s="46">
        <v>20237.286</v>
      </c>
      <c r="AQ3163" s="46">
        <v>5.952</v>
      </c>
      <c r="AR3163" s="46">
        <v>1494.8</v>
      </c>
      <c r="AS3163" s="46">
        <v>47</v>
      </c>
      <c r="AT3163" s="46">
        <v>23600</v>
      </c>
      <c r="AU3163" s="46">
        <v>150875.16</v>
      </c>
      <c r="AV3163" s="46">
        <v>6.3929999999999998</v>
      </c>
      <c r="AW3163" s="46">
        <v>48</v>
      </c>
      <c r="AX3163" s="46">
        <v>21300</v>
      </c>
      <c r="AY3163" s="46">
        <v>138170.666</v>
      </c>
      <c r="AZ3163" s="46">
        <v>6.4870000000000001</v>
      </c>
      <c r="BA3163" s="46" t="s">
        <v>63</v>
      </c>
      <c r="BB3163" s="46">
        <v>2300</v>
      </c>
      <c r="BC3163" s="46">
        <v>12704.494000000001</v>
      </c>
      <c r="BD3163" s="46">
        <v>5.524</v>
      </c>
      <c r="BE3163" s="46">
        <v>2002.2</v>
      </c>
      <c r="BF3163" s="46">
        <v>0</v>
      </c>
      <c r="BH3163" s="46">
        <v>7532.7920000000004</v>
      </c>
      <c r="BI3163">
        <v>6.85</v>
      </c>
      <c r="BJ3163">
        <v>-7532.7920000000004</v>
      </c>
      <c r="BK3163">
        <v>-6.85</v>
      </c>
      <c r="BL3163">
        <v>240.32</v>
      </c>
    </row>
    <row r="3164" spans="1:64" x14ac:dyDescent="0.25">
      <c r="A3164" s="136">
        <v>43272</v>
      </c>
      <c r="B3164" s="201" t="s">
        <v>79</v>
      </c>
      <c r="C3164" t="s">
        <v>143</v>
      </c>
      <c r="D3164">
        <v>7700</v>
      </c>
      <c r="E3164">
        <v>7700</v>
      </c>
      <c r="F3164">
        <v>15.393000000000001</v>
      </c>
      <c r="G3164">
        <v>-20580.14</v>
      </c>
      <c r="H3164">
        <v>-17.36</v>
      </c>
      <c r="I3164" s="309">
        <v>97944</v>
      </c>
      <c r="J3164">
        <v>12.72</v>
      </c>
      <c r="K3164" s="133">
        <v>0.204545366263472</v>
      </c>
      <c r="L3164" s="181">
        <v>-308</v>
      </c>
      <c r="M3164" s="133">
        <v>0.24752474503147801</v>
      </c>
      <c r="N3164" s="73">
        <v>-20433.6760000002</v>
      </c>
      <c r="O3164" s="73">
        <v>-1603.09726546312</v>
      </c>
      <c r="P3164" s="182">
        <v>11</v>
      </c>
      <c r="Q3164" s="182">
        <v>5500</v>
      </c>
      <c r="R3164" s="46">
        <v>13.978</v>
      </c>
      <c r="S3164" s="46">
        <v>0</v>
      </c>
      <c r="T3164" s="46">
        <v>0</v>
      </c>
      <c r="U3164" s="46">
        <v>0</v>
      </c>
      <c r="V3164" s="46" t="s">
        <v>62</v>
      </c>
      <c r="W3164" s="46">
        <v>5500</v>
      </c>
      <c r="X3164" s="46">
        <v>13.978</v>
      </c>
      <c r="AF3164" s="46">
        <v>21</v>
      </c>
      <c r="AG3164" s="46">
        <v>11000</v>
      </c>
      <c r="AH3164" s="46">
        <v>173841.6</v>
      </c>
      <c r="AI3164" s="46">
        <v>15.804</v>
      </c>
      <c r="AJ3164" s="46">
        <v>22</v>
      </c>
      <c r="AK3164" s="46">
        <v>8800</v>
      </c>
      <c r="AL3164" s="46">
        <v>132248.22399999999</v>
      </c>
      <c r="AM3164" s="46">
        <v>15.028</v>
      </c>
      <c r="AN3164" s="46" t="s">
        <v>63</v>
      </c>
      <c r="AO3164" s="46">
        <v>2200</v>
      </c>
      <c r="AP3164" s="46">
        <v>41593.375999999997</v>
      </c>
      <c r="AQ3164" s="46">
        <v>18.905999999999999</v>
      </c>
      <c r="AR3164" s="46">
        <v>-6828.8</v>
      </c>
      <c r="AS3164" s="46">
        <v>32</v>
      </c>
      <c r="AT3164" s="46">
        <v>16500</v>
      </c>
      <c r="AU3164" s="46">
        <v>250779.9</v>
      </c>
      <c r="AV3164" s="46">
        <v>15.199</v>
      </c>
      <c r="AW3164" s="46">
        <v>22</v>
      </c>
      <c r="AX3164" s="46">
        <v>8800</v>
      </c>
      <c r="AY3164" s="46">
        <v>132248.22399999999</v>
      </c>
      <c r="AZ3164" s="46">
        <v>15.028</v>
      </c>
      <c r="BA3164" s="46" t="s">
        <v>63</v>
      </c>
      <c r="BB3164" s="46">
        <v>7700</v>
      </c>
      <c r="BC3164" s="46">
        <v>118531.67600000001</v>
      </c>
      <c r="BD3164" s="46">
        <v>15.394</v>
      </c>
      <c r="BE3164" s="46">
        <v>-1504.8</v>
      </c>
      <c r="BF3164" s="46">
        <v>76938.299999999901</v>
      </c>
      <c r="BG3164" s="46">
        <v>13.99</v>
      </c>
      <c r="BH3164" s="46">
        <v>0</v>
      </c>
      <c r="BJ3164">
        <v>76938.3</v>
      </c>
      <c r="BK3164">
        <v>13.99</v>
      </c>
      <c r="BL3164">
        <v>-536.86</v>
      </c>
    </row>
    <row r="3165" spans="1:64" x14ac:dyDescent="0.25">
      <c r="A3165" s="136">
        <v>43272</v>
      </c>
      <c r="B3165" s="201" t="s">
        <v>65</v>
      </c>
      <c r="C3165" t="s">
        <v>127</v>
      </c>
      <c r="D3165">
        <v>22500</v>
      </c>
      <c r="E3165">
        <v>22500</v>
      </c>
      <c r="F3165">
        <v>8.9979999999999993</v>
      </c>
      <c r="G3165">
        <v>-14589.23</v>
      </c>
      <c r="H3165">
        <v>-7.2</v>
      </c>
      <c r="I3165" s="309">
        <v>187875</v>
      </c>
      <c r="J3165">
        <v>8.35</v>
      </c>
      <c r="K3165" s="133">
        <v>0.39235645559452198</v>
      </c>
      <c r="L3165" s="181">
        <v>-225</v>
      </c>
      <c r="M3165" s="133">
        <v>0.42282447194929601</v>
      </c>
      <c r="N3165" s="73">
        <v>-19096.649000000001</v>
      </c>
      <c r="O3165" s="73">
        <v>-1775.5021525479799</v>
      </c>
      <c r="P3165" s="182">
        <v>7</v>
      </c>
      <c r="Q3165" s="182">
        <v>7000</v>
      </c>
      <c r="R3165" s="46">
        <v>9.1359999999999992</v>
      </c>
      <c r="S3165" s="46">
        <v>10</v>
      </c>
      <c r="T3165" s="46">
        <v>4100</v>
      </c>
      <c r="U3165" s="46">
        <v>11.945</v>
      </c>
      <c r="V3165" s="46" t="s">
        <v>62</v>
      </c>
      <c r="W3165" s="46">
        <v>2900</v>
      </c>
      <c r="X3165" s="46">
        <v>5.165</v>
      </c>
      <c r="AF3165" s="46">
        <v>194</v>
      </c>
      <c r="AG3165" s="46">
        <v>102700</v>
      </c>
      <c r="AH3165" s="46">
        <v>1160490.2309999999</v>
      </c>
      <c r="AI3165" s="46">
        <v>11.3</v>
      </c>
      <c r="AJ3165" s="46">
        <v>214</v>
      </c>
      <c r="AK3165" s="46">
        <v>92300</v>
      </c>
      <c r="AL3165" s="46">
        <v>969003.00600000005</v>
      </c>
      <c r="AM3165" s="46">
        <v>10.497999999999999</v>
      </c>
      <c r="AN3165" s="46" t="s">
        <v>63</v>
      </c>
      <c r="AO3165" s="46">
        <v>10400</v>
      </c>
      <c r="AP3165" s="46">
        <v>191487.22500000001</v>
      </c>
      <c r="AQ3165" s="46">
        <v>18.411999999999999</v>
      </c>
      <c r="AR3165" s="46">
        <v>-74024.600000000006</v>
      </c>
      <c r="AS3165" s="46">
        <v>202</v>
      </c>
      <c r="AT3165" s="46">
        <v>109800</v>
      </c>
      <c r="AU3165" s="46">
        <v>1225767.6810000001</v>
      </c>
      <c r="AV3165" s="46">
        <v>11.164</v>
      </c>
      <c r="AW3165" s="46">
        <v>224</v>
      </c>
      <c r="AX3165" s="46">
        <v>96400</v>
      </c>
      <c r="AY3165" s="46">
        <v>1017880.03</v>
      </c>
      <c r="AZ3165" s="46">
        <v>10.558999999999999</v>
      </c>
      <c r="BA3165" s="46" t="s">
        <v>63</v>
      </c>
      <c r="BB3165" s="46">
        <v>13400</v>
      </c>
      <c r="BC3165" s="46">
        <v>207887.65100000001</v>
      </c>
      <c r="BD3165" s="46">
        <v>15.513999999999999</v>
      </c>
      <c r="BE3165" s="46">
        <v>-58322</v>
      </c>
      <c r="BF3165" s="46">
        <v>65277.45</v>
      </c>
      <c r="BG3165" s="46">
        <v>9.33</v>
      </c>
      <c r="BH3165" s="46">
        <v>48877.024000000099</v>
      </c>
      <c r="BI3165">
        <v>11.92</v>
      </c>
      <c r="BJ3165">
        <v>16400.425999999999</v>
      </c>
      <c r="BK3165">
        <v>5.66</v>
      </c>
      <c r="BL3165">
        <v>-8865.2199999999993</v>
      </c>
    </row>
    <row r="3166" spans="1:64" x14ac:dyDescent="0.25">
      <c r="A3166" s="136">
        <v>43272</v>
      </c>
      <c r="B3166" s="201" t="s">
        <v>77</v>
      </c>
      <c r="C3166" t="s">
        <v>128</v>
      </c>
      <c r="D3166">
        <v>4300</v>
      </c>
      <c r="E3166">
        <v>4300</v>
      </c>
      <c r="F3166">
        <v>5.9779999999999998</v>
      </c>
      <c r="G3166">
        <v>-595.27</v>
      </c>
      <c r="H3166">
        <v>-2.31</v>
      </c>
      <c r="I3166" s="309">
        <v>25112</v>
      </c>
      <c r="J3166">
        <v>5.84</v>
      </c>
      <c r="K3166" s="133">
        <v>5.2443674320104501E-2</v>
      </c>
      <c r="L3166" s="181">
        <v>0</v>
      </c>
      <c r="M3166" s="133">
        <v>5.3686830819488399E-2</v>
      </c>
      <c r="N3166" s="73">
        <v>-1272.2139999999999</v>
      </c>
      <c r="O3166" s="73">
        <v>-133.073774655173</v>
      </c>
      <c r="P3166" s="182">
        <v>6</v>
      </c>
      <c r="Q3166" s="182">
        <v>3000</v>
      </c>
      <c r="R3166" s="46">
        <v>6.798</v>
      </c>
      <c r="S3166" s="46">
        <v>0</v>
      </c>
      <c r="T3166" s="46">
        <v>0</v>
      </c>
      <c r="U3166" s="46">
        <v>0</v>
      </c>
      <c r="V3166" s="46" t="s">
        <v>62</v>
      </c>
      <c r="W3166" s="46">
        <v>3000</v>
      </c>
      <c r="X3166" s="46">
        <v>6.798</v>
      </c>
      <c r="AF3166" s="46">
        <v>39</v>
      </c>
      <c r="AG3166" s="46">
        <v>19500</v>
      </c>
      <c r="AH3166" s="46">
        <v>142169</v>
      </c>
      <c r="AI3166" s="46">
        <v>7.2910000000000004</v>
      </c>
      <c r="AJ3166" s="46">
        <v>39</v>
      </c>
      <c r="AK3166" s="46">
        <v>18200</v>
      </c>
      <c r="AL3166" s="46">
        <v>136881.78599999999</v>
      </c>
      <c r="AM3166" s="46">
        <v>7.5209999999999999</v>
      </c>
      <c r="AN3166" s="46" t="s">
        <v>63</v>
      </c>
      <c r="AO3166" s="46">
        <v>1300</v>
      </c>
      <c r="AP3166" s="46">
        <v>5287.2139999999999</v>
      </c>
      <c r="AQ3166" s="46">
        <v>4.0670000000000002</v>
      </c>
      <c r="AR3166" s="46">
        <v>4186</v>
      </c>
      <c r="AS3166" s="46">
        <v>45</v>
      </c>
      <c r="AT3166" s="46">
        <v>22500</v>
      </c>
      <c r="AU3166" s="46">
        <v>162594</v>
      </c>
      <c r="AV3166" s="46">
        <v>7.226</v>
      </c>
      <c r="AW3166" s="46">
        <v>39</v>
      </c>
      <c r="AX3166" s="46">
        <v>18200</v>
      </c>
      <c r="AY3166" s="46">
        <v>136881.78599999999</v>
      </c>
      <c r="AZ3166" s="46">
        <v>7.5209999999999999</v>
      </c>
      <c r="BA3166" s="46" t="s">
        <v>63</v>
      </c>
      <c r="BB3166" s="46">
        <v>4300</v>
      </c>
      <c r="BC3166" s="46">
        <v>25712.214</v>
      </c>
      <c r="BD3166" s="46">
        <v>5.98</v>
      </c>
      <c r="BE3166" s="46">
        <v>5369</v>
      </c>
      <c r="BF3166" s="46">
        <v>20425</v>
      </c>
      <c r="BG3166" s="46">
        <v>6.81</v>
      </c>
      <c r="BH3166" s="46">
        <v>0</v>
      </c>
      <c r="BJ3166">
        <v>20425</v>
      </c>
      <c r="BK3166">
        <v>6.81</v>
      </c>
      <c r="BL3166">
        <v>716.78</v>
      </c>
    </row>
    <row r="3167" spans="1:64" x14ac:dyDescent="0.25">
      <c r="A3167" s="136">
        <v>43272</v>
      </c>
      <c r="B3167" s="201" t="s">
        <v>67</v>
      </c>
      <c r="C3167" t="s">
        <v>129</v>
      </c>
      <c r="D3167">
        <v>100</v>
      </c>
      <c r="E3167">
        <v>100</v>
      </c>
      <c r="F3167">
        <v>-33.265000000000001</v>
      </c>
      <c r="G3167">
        <v>4274.5</v>
      </c>
      <c r="H3167">
        <v>0</v>
      </c>
      <c r="I3167" s="309">
        <v>948</v>
      </c>
      <c r="J3167">
        <v>9.48</v>
      </c>
      <c r="K3167" s="133">
        <v>1.97979465018553E-3</v>
      </c>
      <c r="L3167" s="181">
        <v>19</v>
      </c>
      <c r="M3167" s="133">
        <v>0</v>
      </c>
      <c r="N3167" s="73">
        <v>4368.6874999997499</v>
      </c>
      <c r="O3167" s="73">
        <v>419.05020693376002</v>
      </c>
      <c r="P3167" s="182">
        <v>0</v>
      </c>
      <c r="Q3167" s="182">
        <v>0</v>
      </c>
      <c r="R3167" s="46">
        <v>0</v>
      </c>
      <c r="S3167" s="46">
        <v>24</v>
      </c>
      <c r="T3167" s="46">
        <v>9600</v>
      </c>
      <c r="U3167" s="46">
        <v>8.9969999999999999</v>
      </c>
      <c r="V3167" s="46" t="s">
        <v>68</v>
      </c>
      <c r="W3167" s="46">
        <v>9600</v>
      </c>
      <c r="X3167" s="46">
        <v>8.9969999999999999</v>
      </c>
      <c r="AF3167" s="46">
        <v>192</v>
      </c>
      <c r="AG3167" s="46">
        <v>95000</v>
      </c>
      <c r="AH3167" s="46">
        <v>791793</v>
      </c>
      <c r="AI3167" s="46">
        <v>8.3350000000000009</v>
      </c>
      <c r="AJ3167" s="46">
        <v>196</v>
      </c>
      <c r="AK3167" s="46">
        <v>87900</v>
      </c>
      <c r="AL3167" s="46">
        <v>778079.67550000001</v>
      </c>
      <c r="AM3167" s="46">
        <v>8.8520000000000003</v>
      </c>
      <c r="AN3167" s="46" t="s">
        <v>63</v>
      </c>
      <c r="AO3167" s="46">
        <v>7100</v>
      </c>
      <c r="AP3167" s="46">
        <v>13713.324000000001</v>
      </c>
      <c r="AQ3167" s="46">
        <v>1.931</v>
      </c>
      <c r="AR3167" s="46">
        <v>45444.3</v>
      </c>
      <c r="AS3167" s="46">
        <v>192</v>
      </c>
      <c r="AT3167" s="46">
        <v>95000</v>
      </c>
      <c r="AU3167" s="46">
        <v>791793</v>
      </c>
      <c r="AV3167" s="46">
        <v>8.3350000000000009</v>
      </c>
      <c r="AW3167" s="46">
        <v>220</v>
      </c>
      <c r="AX3167" s="46">
        <v>97500</v>
      </c>
      <c r="AY3167" s="46">
        <v>864247.80350000004</v>
      </c>
      <c r="AZ3167" s="46">
        <v>8.8640000000000008</v>
      </c>
      <c r="BA3167" s="46" t="s">
        <v>69</v>
      </c>
      <c r="BB3167" s="46">
        <v>2500</v>
      </c>
      <c r="BC3167" s="46">
        <v>72454.804000000004</v>
      </c>
      <c r="BD3167" s="46">
        <v>28.981999999999999</v>
      </c>
      <c r="BE3167" s="46">
        <v>50255</v>
      </c>
      <c r="BF3167" s="46">
        <v>0</v>
      </c>
      <c r="BH3167" s="46">
        <v>86168.127999999997</v>
      </c>
      <c r="BI3167">
        <v>8.98</v>
      </c>
      <c r="BJ3167">
        <v>58741.48</v>
      </c>
      <c r="BK3167">
        <v>6.12</v>
      </c>
      <c r="BL3167">
        <v>4793.7</v>
      </c>
    </row>
    <row r="3168" spans="1:64" x14ac:dyDescent="0.25">
      <c r="A3168" s="136">
        <v>43272</v>
      </c>
      <c r="B3168" s="201" t="s">
        <v>78</v>
      </c>
      <c r="C3168" t="s">
        <v>142</v>
      </c>
      <c r="D3168">
        <v>200</v>
      </c>
      <c r="E3168">
        <v>200</v>
      </c>
      <c r="F3168">
        <v>2.077</v>
      </c>
      <c r="G3168">
        <v>1198.6500000000001</v>
      </c>
      <c r="H3168">
        <v>288.54000000000002</v>
      </c>
      <c r="I3168" s="309">
        <v>1614</v>
      </c>
      <c r="J3168">
        <v>8.07</v>
      </c>
      <c r="K3168" s="133">
        <v>3.3706630436702999E-3</v>
      </c>
      <c r="L3168" s="181">
        <v>6</v>
      </c>
      <c r="M3168" s="133">
        <v>8.6741319404489401E-4</v>
      </c>
      <c r="N3168" s="73">
        <v>1454.6510000000001</v>
      </c>
      <c r="O3168" s="73">
        <v>155.499858235294</v>
      </c>
      <c r="P3168" s="182">
        <v>0</v>
      </c>
      <c r="Q3168" s="182">
        <v>0</v>
      </c>
      <c r="R3168" s="46">
        <v>0</v>
      </c>
      <c r="S3168" s="46">
        <v>3</v>
      </c>
      <c r="T3168" s="46">
        <v>1200</v>
      </c>
      <c r="U3168" s="46">
        <v>9.923</v>
      </c>
      <c r="V3168" s="46" t="s">
        <v>68</v>
      </c>
      <c r="W3168" s="46">
        <v>1200</v>
      </c>
      <c r="X3168" s="46">
        <v>9.923</v>
      </c>
      <c r="AF3168" s="46">
        <v>14</v>
      </c>
      <c r="AG3168" s="46">
        <v>7000</v>
      </c>
      <c r="AH3168" s="46">
        <v>67625</v>
      </c>
      <c r="AI3168" s="46">
        <v>9.6609999999999996</v>
      </c>
      <c r="AJ3168" s="46">
        <v>15</v>
      </c>
      <c r="AK3168" s="46">
        <v>5600</v>
      </c>
      <c r="AL3168" s="46">
        <v>55310.559000000001</v>
      </c>
      <c r="AM3168" s="46">
        <v>9.8770000000000007</v>
      </c>
      <c r="AN3168" s="46" t="s">
        <v>63</v>
      </c>
      <c r="AO3168" s="46">
        <v>1400</v>
      </c>
      <c r="AP3168" s="46">
        <v>12314.441000000001</v>
      </c>
      <c r="AQ3168" s="46">
        <v>8.7959999999999994</v>
      </c>
      <c r="AR3168" s="46">
        <v>1209.5999999999999</v>
      </c>
      <c r="AS3168" s="46">
        <v>14</v>
      </c>
      <c r="AT3168" s="46">
        <v>7000</v>
      </c>
      <c r="AU3168" s="46">
        <v>67625</v>
      </c>
      <c r="AV3168" s="46">
        <v>9.6609999999999996</v>
      </c>
      <c r="AW3168" s="46">
        <v>18</v>
      </c>
      <c r="AX3168" s="46">
        <v>6800</v>
      </c>
      <c r="AY3168" s="46">
        <v>67209.650999999998</v>
      </c>
      <c r="AZ3168" s="46">
        <v>9.8840000000000003</v>
      </c>
      <c r="BA3168" s="46" t="s">
        <v>63</v>
      </c>
      <c r="BB3168" s="46">
        <v>200</v>
      </c>
      <c r="BC3168" s="46">
        <v>415.34899999999999</v>
      </c>
      <c r="BD3168" s="46">
        <v>2.077</v>
      </c>
      <c r="BE3168" s="46">
        <v>1516.4</v>
      </c>
      <c r="BF3168" s="46">
        <v>0</v>
      </c>
      <c r="BH3168" s="46">
        <v>11899.092000000001</v>
      </c>
      <c r="BI3168">
        <v>9.92</v>
      </c>
      <c r="BJ3168">
        <v>-11899.092000000001</v>
      </c>
      <c r="BK3168">
        <v>-9.92</v>
      </c>
      <c r="BL3168">
        <v>149.88999999999999</v>
      </c>
    </row>
    <row r="3169" spans="1:64" x14ac:dyDescent="0.25">
      <c r="A3169" s="136">
        <v>43272</v>
      </c>
      <c r="B3169" s="201" t="s">
        <v>72</v>
      </c>
      <c r="C3169" t="s">
        <v>130</v>
      </c>
      <c r="D3169">
        <v>3100</v>
      </c>
      <c r="E3169">
        <v>3100</v>
      </c>
      <c r="F3169">
        <v>6.2060000000000004</v>
      </c>
      <c r="G3169">
        <v>-2313.12</v>
      </c>
      <c r="H3169">
        <v>-12.02</v>
      </c>
      <c r="I3169" s="309">
        <v>16926</v>
      </c>
      <c r="J3169">
        <v>5.46</v>
      </c>
      <c r="K3169" s="133">
        <v>3.5348105747932797E-2</v>
      </c>
      <c r="L3169" s="181">
        <v>-372</v>
      </c>
      <c r="M3169" s="133">
        <v>4.0178804694385499E-2</v>
      </c>
      <c r="N3169" s="73">
        <v>-19535.828000000001</v>
      </c>
      <c r="O3169" s="73">
        <v>-298.98788710246998</v>
      </c>
      <c r="P3169" s="182">
        <v>0</v>
      </c>
      <c r="Q3169" s="182">
        <v>0</v>
      </c>
      <c r="R3169" s="46">
        <v>0</v>
      </c>
      <c r="S3169" s="46">
        <v>14</v>
      </c>
      <c r="T3169" s="46">
        <v>5600</v>
      </c>
      <c r="U3169" s="46">
        <v>7.5659999999999998</v>
      </c>
      <c r="V3169" s="46" t="s">
        <v>68</v>
      </c>
      <c r="W3169" s="46">
        <v>5600</v>
      </c>
      <c r="X3169" s="46">
        <v>7.5659999999999998</v>
      </c>
      <c r="AF3169" s="46">
        <v>42</v>
      </c>
      <c r="AG3169" s="46">
        <v>20900</v>
      </c>
      <c r="AH3169" s="46">
        <v>152800</v>
      </c>
      <c r="AI3169" s="46">
        <v>7.3109999999999999</v>
      </c>
      <c r="AJ3169" s="46">
        <v>42</v>
      </c>
      <c r="AK3169" s="46">
        <v>18800</v>
      </c>
      <c r="AL3169" s="46">
        <v>92037.725000000006</v>
      </c>
      <c r="AM3169" s="46">
        <v>4.8959999999999999</v>
      </c>
      <c r="AN3169" s="46" t="s">
        <v>63</v>
      </c>
      <c r="AO3169" s="46">
        <v>2100</v>
      </c>
      <c r="AP3169" s="46">
        <v>60762.275000000001</v>
      </c>
      <c r="AQ3169" s="46">
        <v>28.934000000000001</v>
      </c>
      <c r="AR3169" s="46">
        <v>-45402</v>
      </c>
      <c r="AS3169" s="46">
        <v>42</v>
      </c>
      <c r="AT3169" s="46">
        <v>20900</v>
      </c>
      <c r="AU3169" s="46">
        <v>152800</v>
      </c>
      <c r="AV3169" s="46">
        <v>7.3109999999999999</v>
      </c>
      <c r="AW3169" s="46">
        <v>57</v>
      </c>
      <c r="AX3169" s="46">
        <v>24900</v>
      </c>
      <c r="AY3169" s="46">
        <v>134293.35699999999</v>
      </c>
      <c r="AZ3169" s="46">
        <v>5.3929999999999998</v>
      </c>
      <c r="BA3169" s="46" t="s">
        <v>69</v>
      </c>
      <c r="BB3169" s="46">
        <v>4000</v>
      </c>
      <c r="BC3169" s="46">
        <v>18506.643</v>
      </c>
      <c r="BD3169" s="46">
        <v>4.6269999999999998</v>
      </c>
      <c r="BE3169" s="46">
        <v>-40086.199999999997</v>
      </c>
      <c r="BF3169" s="46">
        <v>0</v>
      </c>
      <c r="BH3169" s="46">
        <v>42255.631999999998</v>
      </c>
      <c r="BI3169">
        <v>7.55</v>
      </c>
      <c r="BJ3169">
        <v>-42255.631999999998</v>
      </c>
      <c r="BK3169">
        <v>-7.55</v>
      </c>
      <c r="BL3169">
        <v>-8315.3799999999992</v>
      </c>
    </row>
    <row r="3170" spans="1:64" x14ac:dyDescent="0.25">
      <c r="A3170" s="136">
        <v>43272</v>
      </c>
      <c r="B3170" s="201" t="s">
        <v>70</v>
      </c>
      <c r="C3170" t="s">
        <v>131</v>
      </c>
      <c r="D3170">
        <v>14200</v>
      </c>
      <c r="E3170">
        <v>13700</v>
      </c>
      <c r="F3170">
        <v>10.888</v>
      </c>
      <c r="G3170">
        <v>-51795.8</v>
      </c>
      <c r="H3170">
        <v>-33.5</v>
      </c>
      <c r="I3170" s="309">
        <v>102808</v>
      </c>
      <c r="J3170">
        <v>7.24</v>
      </c>
      <c r="K3170" s="133">
        <v>0.21470329999606999</v>
      </c>
      <c r="L3170" s="181">
        <v>-2324.0300000000102</v>
      </c>
      <c r="M3170" s="133">
        <v>0.32287318158054201</v>
      </c>
      <c r="N3170" s="73">
        <v>-50379.794999999998</v>
      </c>
      <c r="O3170" s="73">
        <v>-6860.3004226839303</v>
      </c>
      <c r="P3170" s="182">
        <v>6</v>
      </c>
      <c r="Q3170" s="182">
        <v>3000</v>
      </c>
      <c r="R3170" s="46">
        <v>7.9669999999999996</v>
      </c>
      <c r="S3170" s="46">
        <v>5</v>
      </c>
      <c r="T3170" s="46">
        <v>2000</v>
      </c>
      <c r="U3170" s="46">
        <v>9.4939999999999998</v>
      </c>
      <c r="V3170" s="46" t="s">
        <v>62</v>
      </c>
      <c r="W3170" s="46">
        <v>1000</v>
      </c>
      <c r="X3170" s="46">
        <v>4.9130000000000003</v>
      </c>
      <c r="AF3170" s="46">
        <v>143</v>
      </c>
      <c r="AG3170" s="46">
        <v>73100</v>
      </c>
      <c r="AH3170" s="46">
        <v>934303</v>
      </c>
      <c r="AI3170" s="46">
        <v>12.781000000000001</v>
      </c>
      <c r="AJ3170" s="46">
        <v>149</v>
      </c>
      <c r="AK3170" s="46">
        <v>59900</v>
      </c>
      <c r="AL3170" s="46">
        <v>784276.19299999997</v>
      </c>
      <c r="AM3170" s="46">
        <v>13.093</v>
      </c>
      <c r="AN3170" s="46" t="s">
        <v>63</v>
      </c>
      <c r="AO3170" s="46">
        <v>13200</v>
      </c>
      <c r="AP3170" s="46">
        <v>150026.807</v>
      </c>
      <c r="AQ3170" s="46">
        <v>11.366</v>
      </c>
      <c r="AR3170" s="46">
        <v>18688.8</v>
      </c>
      <c r="AS3170" s="46">
        <v>149</v>
      </c>
      <c r="AT3170" s="46">
        <v>76100</v>
      </c>
      <c r="AU3170" s="46">
        <v>958233</v>
      </c>
      <c r="AV3170" s="46">
        <v>12.592000000000001</v>
      </c>
      <c r="AW3170" s="46">
        <v>155</v>
      </c>
      <c r="AX3170" s="46">
        <v>61900</v>
      </c>
      <c r="AY3170" s="46">
        <v>803625.20499999996</v>
      </c>
      <c r="AZ3170" s="46">
        <v>12.983000000000001</v>
      </c>
      <c r="BA3170" s="46" t="s">
        <v>63</v>
      </c>
      <c r="BB3170" s="46">
        <v>14200</v>
      </c>
      <c r="BC3170" s="46">
        <v>154607.79500000001</v>
      </c>
      <c r="BD3170" s="46">
        <v>10.888</v>
      </c>
      <c r="BE3170" s="46">
        <v>24202.9</v>
      </c>
      <c r="BF3170" s="46">
        <v>23930</v>
      </c>
      <c r="BG3170" s="46">
        <v>7.98</v>
      </c>
      <c r="BH3170" s="46">
        <v>19349.011999999999</v>
      </c>
      <c r="BI3170">
        <v>9.67</v>
      </c>
      <c r="BJ3170">
        <v>4580.9880000000103</v>
      </c>
      <c r="BK3170">
        <v>4.58</v>
      </c>
      <c r="BL3170">
        <v>2581.33</v>
      </c>
    </row>
    <row r="3171" spans="1:64" x14ac:dyDescent="0.25">
      <c r="A3171" s="136">
        <v>43272</v>
      </c>
      <c r="B3171" s="201" t="s">
        <v>137</v>
      </c>
      <c r="C3171" t="s">
        <v>149</v>
      </c>
      <c r="D3171">
        <v>100</v>
      </c>
      <c r="E3171">
        <v>100</v>
      </c>
      <c r="F3171">
        <v>-130.86000000000001</v>
      </c>
      <c r="G3171">
        <v>17775</v>
      </c>
      <c r="H3171">
        <v>0</v>
      </c>
      <c r="I3171" s="309">
        <v>4689</v>
      </c>
      <c r="J3171">
        <v>46.89</v>
      </c>
      <c r="K3171" s="133">
        <v>9.7924653108860307E-3</v>
      </c>
      <c r="L3171" s="181">
        <v>238</v>
      </c>
      <c r="M3171" s="133">
        <v>0</v>
      </c>
    </row>
    <row r="3172" spans="1:64" x14ac:dyDescent="0.25">
      <c r="A3172" s="136">
        <v>43272</v>
      </c>
      <c r="B3172" s="201" t="s">
        <v>835</v>
      </c>
      <c r="C3172" t="s">
        <v>839</v>
      </c>
      <c r="I3172" s="309">
        <v>6160.4</v>
      </c>
      <c r="K3172" s="133">
        <v>1.2865323800636E-2</v>
      </c>
      <c r="L3172" s="181">
        <v>0</v>
      </c>
      <c r="M3172" s="133">
        <v>1.31579909127426E-2</v>
      </c>
    </row>
    <row r="3173" spans="1:64" x14ac:dyDescent="0.25">
      <c r="A3173" s="136">
        <v>43285</v>
      </c>
      <c r="B3173" s="201" t="s">
        <v>132</v>
      </c>
      <c r="C3173" t="s">
        <v>123</v>
      </c>
      <c r="D3173">
        <v>14030</v>
      </c>
      <c r="E3173">
        <v>14030</v>
      </c>
      <c r="F3173">
        <v>-0.25700000000000001</v>
      </c>
      <c r="G3173">
        <v>3746.01</v>
      </c>
      <c r="H3173">
        <v>0</v>
      </c>
      <c r="I3173" s="309">
        <v>140.30000000000001</v>
      </c>
      <c r="J3173">
        <v>0.01</v>
      </c>
      <c r="K3173" s="133">
        <v>2.9487815972824798E-4</v>
      </c>
      <c r="L3173" s="181">
        <v>4.2720000000003902</v>
      </c>
      <c r="M3173" s="133">
        <v>0</v>
      </c>
    </row>
    <row r="3174" spans="1:64" x14ac:dyDescent="0.25">
      <c r="A3174" s="136">
        <v>43285</v>
      </c>
      <c r="B3174" s="201" t="s">
        <v>61</v>
      </c>
      <c r="C3174" t="s">
        <v>136</v>
      </c>
      <c r="D3174">
        <v>5400</v>
      </c>
      <c r="E3174">
        <v>5400</v>
      </c>
      <c r="F3174">
        <v>4.8179999999999996</v>
      </c>
      <c r="G3174">
        <v>-4201.22</v>
      </c>
      <c r="H3174">
        <v>-16.149999999999999</v>
      </c>
      <c r="I3174" s="309">
        <v>21816</v>
      </c>
      <c r="J3174">
        <v>4.04</v>
      </c>
      <c r="K3174" s="133">
        <v>4.5852187688036103E-2</v>
      </c>
      <c r="L3174" s="181">
        <v>33.96</v>
      </c>
      <c r="M3174" s="133">
        <v>5.4682180718780997E-2</v>
      </c>
      <c r="N3174" s="73">
        <v>-4100.0410000000002</v>
      </c>
      <c r="O3174" s="73">
        <v>-1009.3573841133</v>
      </c>
      <c r="P3174" s="182">
        <v>9</v>
      </c>
      <c r="Q3174" s="182">
        <v>4500</v>
      </c>
      <c r="R3174" s="46">
        <v>4.7569999999999997</v>
      </c>
      <c r="S3174" s="46">
        <v>0</v>
      </c>
      <c r="T3174" s="46">
        <v>0</v>
      </c>
      <c r="U3174" s="46">
        <v>0</v>
      </c>
      <c r="V3174" s="46" t="s">
        <v>62</v>
      </c>
      <c r="W3174" s="46">
        <v>4500</v>
      </c>
      <c r="X3174" s="46">
        <v>4.7569999999999997</v>
      </c>
      <c r="AF3174" s="46">
        <v>10</v>
      </c>
      <c r="AG3174" s="46">
        <v>5000</v>
      </c>
      <c r="AH3174" s="46">
        <v>26378</v>
      </c>
      <c r="AI3174" s="46">
        <v>5.2759999999999998</v>
      </c>
      <c r="AJ3174" s="46">
        <v>10</v>
      </c>
      <c r="AK3174" s="46">
        <v>4100</v>
      </c>
      <c r="AL3174" s="46">
        <v>21806.659</v>
      </c>
      <c r="AM3174" s="46">
        <v>5.319</v>
      </c>
      <c r="AN3174" s="46" t="s">
        <v>63</v>
      </c>
      <c r="AO3174" s="46">
        <v>900</v>
      </c>
      <c r="AP3174" s="46">
        <v>4571.3410000000003</v>
      </c>
      <c r="AQ3174" s="46">
        <v>5.0789999999999997</v>
      </c>
      <c r="AR3174" s="46">
        <v>176.3</v>
      </c>
      <c r="AS3174" s="46">
        <v>19</v>
      </c>
      <c r="AT3174" s="46">
        <v>9500</v>
      </c>
      <c r="AU3174" s="46">
        <v>47830.7</v>
      </c>
      <c r="AV3174" s="46">
        <v>5.0350000000000001</v>
      </c>
      <c r="AW3174" s="46">
        <v>10</v>
      </c>
      <c r="AX3174" s="46">
        <v>4100</v>
      </c>
      <c r="AY3174" s="46">
        <v>21806.659</v>
      </c>
      <c r="AZ3174" s="46">
        <v>5.319</v>
      </c>
      <c r="BA3174" s="46" t="s">
        <v>63</v>
      </c>
      <c r="BB3174" s="46">
        <v>5400</v>
      </c>
      <c r="BC3174" s="46">
        <v>26024.041000000001</v>
      </c>
      <c r="BD3174" s="46">
        <v>4.819</v>
      </c>
      <c r="BE3174" s="46">
        <v>1164.4000000000001</v>
      </c>
      <c r="BF3174" s="46">
        <v>21452.7</v>
      </c>
      <c r="BG3174" s="46">
        <v>4.7699999999999996</v>
      </c>
      <c r="BH3174" s="46">
        <v>0</v>
      </c>
      <c r="BJ3174">
        <v>21452.7</v>
      </c>
      <c r="BK3174">
        <v>4.7699999999999996</v>
      </c>
      <c r="BL3174">
        <v>43.64</v>
      </c>
    </row>
    <row r="3175" spans="1:64" x14ac:dyDescent="0.25">
      <c r="A3175" s="136">
        <v>43285</v>
      </c>
      <c r="B3175" s="201" t="s">
        <v>124</v>
      </c>
      <c r="C3175" t="s">
        <v>125</v>
      </c>
      <c r="D3175">
        <v>100</v>
      </c>
      <c r="E3175">
        <v>100</v>
      </c>
      <c r="F3175">
        <v>-53.579000000000001</v>
      </c>
      <c r="G3175">
        <v>5873.9</v>
      </c>
      <c r="H3175">
        <v>0</v>
      </c>
      <c r="I3175" s="309">
        <v>516</v>
      </c>
      <c r="J3175">
        <v>5.16</v>
      </c>
      <c r="K3175" s="133">
        <v>1.08451269009106E-3</v>
      </c>
      <c r="L3175" s="181">
        <v>-52</v>
      </c>
      <c r="M3175" s="133">
        <v>0</v>
      </c>
    </row>
    <row r="3176" spans="1:64" x14ac:dyDescent="0.25">
      <c r="A3176" s="136">
        <v>43285</v>
      </c>
      <c r="B3176" s="201" t="s">
        <v>71</v>
      </c>
      <c r="C3176" t="s">
        <v>126</v>
      </c>
      <c r="D3176">
        <v>2800</v>
      </c>
      <c r="E3176">
        <v>2800</v>
      </c>
      <c r="F3176">
        <v>5.29</v>
      </c>
      <c r="G3176">
        <v>1177.08</v>
      </c>
      <c r="H3176">
        <v>7.94</v>
      </c>
      <c r="I3176" s="309">
        <v>15988</v>
      </c>
      <c r="J3176">
        <v>5.71</v>
      </c>
      <c r="K3176" s="133">
        <v>3.3603079242588901E-2</v>
      </c>
      <c r="L3176" s="181">
        <v>-587.76</v>
      </c>
      <c r="M3176" s="133">
        <v>3.1129129247913799E-2</v>
      </c>
      <c r="N3176" s="73">
        <v>17325.135999999999</v>
      </c>
      <c r="O3176" s="73">
        <v>214.62840872600401</v>
      </c>
      <c r="P3176" s="182">
        <v>0</v>
      </c>
      <c r="Q3176" s="182">
        <v>0</v>
      </c>
      <c r="R3176" s="46">
        <v>0</v>
      </c>
      <c r="S3176" s="46">
        <v>2</v>
      </c>
      <c r="T3176" s="46">
        <v>700</v>
      </c>
      <c r="U3176" s="46">
        <v>6.9829999999999997</v>
      </c>
      <c r="V3176" s="46" t="s">
        <v>68</v>
      </c>
      <c r="W3176" s="46">
        <v>700</v>
      </c>
      <c r="X3176" s="46">
        <v>6.9829999999999997</v>
      </c>
      <c r="AF3176" s="46">
        <v>48</v>
      </c>
      <c r="AG3176" s="46">
        <v>24100</v>
      </c>
      <c r="AH3176" s="46">
        <v>153145.43</v>
      </c>
      <c r="AI3176" s="46">
        <v>6.3550000000000004</v>
      </c>
      <c r="AJ3176" s="46">
        <v>46</v>
      </c>
      <c r="AK3176" s="46">
        <v>20600</v>
      </c>
      <c r="AL3176" s="46">
        <v>133289.97399999999</v>
      </c>
      <c r="AM3176" s="46">
        <v>6.47</v>
      </c>
      <c r="AN3176" s="46" t="s">
        <v>63</v>
      </c>
      <c r="AO3176" s="46">
        <v>3500</v>
      </c>
      <c r="AP3176" s="46">
        <v>19855.455999999998</v>
      </c>
      <c r="AQ3176" s="46">
        <v>5.673</v>
      </c>
      <c r="AR3176" s="46">
        <v>2369</v>
      </c>
      <c r="AS3176" s="46">
        <v>48</v>
      </c>
      <c r="AT3176" s="46">
        <v>24100</v>
      </c>
      <c r="AU3176" s="46">
        <v>153145.43</v>
      </c>
      <c r="AV3176" s="46">
        <v>6.3550000000000004</v>
      </c>
      <c r="AW3176" s="46">
        <v>48</v>
      </c>
      <c r="AX3176" s="46">
        <v>21300</v>
      </c>
      <c r="AY3176" s="46">
        <v>138170.666</v>
      </c>
      <c r="AZ3176" s="46">
        <v>6.4870000000000001</v>
      </c>
      <c r="BA3176" s="46" t="s">
        <v>63</v>
      </c>
      <c r="BB3176" s="46">
        <v>2800</v>
      </c>
      <c r="BC3176" s="46">
        <v>14974.763999999999</v>
      </c>
      <c r="BD3176" s="46">
        <v>5.3479999999999999</v>
      </c>
      <c r="BE3176" s="46">
        <v>2811.6</v>
      </c>
      <c r="BF3176" s="46">
        <v>0</v>
      </c>
      <c r="BH3176" s="46">
        <v>4880.69200000001</v>
      </c>
      <c r="BI3176">
        <v>6.97</v>
      </c>
      <c r="BJ3176">
        <v>-4880.692</v>
      </c>
      <c r="BK3176">
        <v>-6.97</v>
      </c>
      <c r="BL3176">
        <v>414.89</v>
      </c>
    </row>
    <row r="3177" spans="1:64" x14ac:dyDescent="0.25">
      <c r="A3177" s="136">
        <v>43285</v>
      </c>
      <c r="B3177" s="201" t="s">
        <v>79</v>
      </c>
      <c r="C3177" t="s">
        <v>143</v>
      </c>
      <c r="D3177">
        <v>7300</v>
      </c>
      <c r="E3177">
        <v>7300</v>
      </c>
      <c r="F3177">
        <v>15.516</v>
      </c>
      <c r="G3177">
        <v>-18220.52</v>
      </c>
      <c r="H3177">
        <v>-16.09</v>
      </c>
      <c r="I3177" s="309">
        <v>95046</v>
      </c>
      <c r="J3177">
        <v>13.02</v>
      </c>
      <c r="K3177" s="133">
        <v>0.199764715392239</v>
      </c>
      <c r="L3177" s="181">
        <v>2359.62</v>
      </c>
      <c r="M3177" s="133">
        <v>0.23806003546987001</v>
      </c>
      <c r="N3177" s="73">
        <v>-17133.184000000201</v>
      </c>
      <c r="O3177" s="73">
        <v>-1300.2746703113301</v>
      </c>
      <c r="P3177" s="182">
        <v>10</v>
      </c>
      <c r="Q3177" s="182">
        <v>5000</v>
      </c>
      <c r="R3177" s="46">
        <v>13.791</v>
      </c>
      <c r="S3177" s="46">
        <v>0</v>
      </c>
      <c r="T3177" s="46">
        <v>0</v>
      </c>
      <c r="U3177" s="46">
        <v>0</v>
      </c>
      <c r="V3177" s="46" t="s">
        <v>62</v>
      </c>
      <c r="W3177" s="46">
        <v>5000</v>
      </c>
      <c r="X3177" s="46">
        <v>13.791</v>
      </c>
      <c r="AF3177" s="46">
        <v>22</v>
      </c>
      <c r="AG3177" s="46">
        <v>11500</v>
      </c>
      <c r="AH3177" s="46">
        <v>181771.9</v>
      </c>
      <c r="AI3177" s="46">
        <v>15.805999999999999</v>
      </c>
      <c r="AJ3177" s="46">
        <v>23</v>
      </c>
      <c r="AK3177" s="46">
        <v>9200</v>
      </c>
      <c r="AL3177" s="46">
        <v>137505.71599999999</v>
      </c>
      <c r="AM3177" s="46">
        <v>14.946</v>
      </c>
      <c r="AN3177" s="46" t="s">
        <v>63</v>
      </c>
      <c r="AO3177" s="46">
        <v>2300</v>
      </c>
      <c r="AP3177" s="46">
        <v>44266.184000000001</v>
      </c>
      <c r="AQ3177" s="46">
        <v>19.245999999999999</v>
      </c>
      <c r="AR3177" s="46">
        <v>-7912</v>
      </c>
      <c r="AS3177" s="46">
        <v>32</v>
      </c>
      <c r="AT3177" s="46">
        <v>16500</v>
      </c>
      <c r="AU3177" s="46">
        <v>250779.9</v>
      </c>
      <c r="AV3177" s="46">
        <v>15.199</v>
      </c>
      <c r="AW3177" s="46">
        <v>23</v>
      </c>
      <c r="AX3177" s="46">
        <v>9200</v>
      </c>
      <c r="AY3177" s="46">
        <v>137505.71599999999</v>
      </c>
      <c r="AZ3177" s="46">
        <v>14.946</v>
      </c>
      <c r="BA3177" s="46" t="s">
        <v>63</v>
      </c>
      <c r="BB3177" s="46">
        <v>7300</v>
      </c>
      <c r="BC3177" s="46">
        <v>113274.18399999999</v>
      </c>
      <c r="BD3177" s="46">
        <v>15.516999999999999</v>
      </c>
      <c r="BE3177" s="46">
        <v>-2327.6</v>
      </c>
      <c r="BF3177" s="46">
        <v>69007.999999999898</v>
      </c>
      <c r="BG3177" s="46">
        <v>13.8</v>
      </c>
      <c r="BH3177" s="46">
        <v>0</v>
      </c>
      <c r="BJ3177">
        <v>69008</v>
      </c>
      <c r="BK3177">
        <v>13.8</v>
      </c>
      <c r="BL3177">
        <v>-607.67999999999995</v>
      </c>
    </row>
    <row r="3178" spans="1:64" x14ac:dyDescent="0.25">
      <c r="A3178" s="136">
        <v>43285</v>
      </c>
      <c r="B3178" s="201" t="s">
        <v>65</v>
      </c>
      <c r="C3178" t="s">
        <v>127</v>
      </c>
      <c r="D3178">
        <v>25000</v>
      </c>
      <c r="E3178">
        <v>24500</v>
      </c>
      <c r="F3178">
        <v>8.8879999999999999</v>
      </c>
      <c r="G3178">
        <v>-41944.23</v>
      </c>
      <c r="H3178">
        <v>-18.88</v>
      </c>
      <c r="I3178" s="309">
        <v>180250</v>
      </c>
      <c r="J3178">
        <v>7.21</v>
      </c>
      <c r="K3178" s="133">
        <v>0.378843822459136</v>
      </c>
      <c r="L3178" s="181">
        <v>-27355</v>
      </c>
      <c r="M3178" s="133">
        <v>0.467000895542659</v>
      </c>
      <c r="N3178" s="73">
        <v>-45976.648999999998</v>
      </c>
      <c r="O3178" s="73">
        <v>-5772.0565030817397</v>
      </c>
      <c r="P3178" s="182">
        <v>12</v>
      </c>
      <c r="Q3178" s="182">
        <v>9500</v>
      </c>
      <c r="R3178" s="46">
        <v>8.8059999999999992</v>
      </c>
      <c r="S3178" s="46">
        <v>10</v>
      </c>
      <c r="T3178" s="46">
        <v>4100</v>
      </c>
      <c r="U3178" s="46">
        <v>11.945</v>
      </c>
      <c r="V3178" s="46" t="s">
        <v>62</v>
      </c>
      <c r="W3178" s="46">
        <v>5400</v>
      </c>
      <c r="X3178" s="46">
        <v>6.423</v>
      </c>
      <c r="AF3178" s="46">
        <v>194</v>
      </c>
      <c r="AG3178" s="46">
        <v>102700</v>
      </c>
      <c r="AH3178" s="46">
        <v>1160490.2309999999</v>
      </c>
      <c r="AI3178" s="46">
        <v>11.3</v>
      </c>
      <c r="AJ3178" s="46">
        <v>214</v>
      </c>
      <c r="AK3178" s="46">
        <v>92300</v>
      </c>
      <c r="AL3178" s="46">
        <v>969003.00600000005</v>
      </c>
      <c r="AM3178" s="46">
        <v>10.497999999999999</v>
      </c>
      <c r="AN3178" s="46" t="s">
        <v>63</v>
      </c>
      <c r="AO3178" s="46">
        <v>10400</v>
      </c>
      <c r="AP3178" s="46">
        <v>191487.22500000001</v>
      </c>
      <c r="AQ3178" s="46">
        <v>18.411999999999999</v>
      </c>
      <c r="AR3178" s="46">
        <v>-74024.600000000006</v>
      </c>
      <c r="AS3178" s="46">
        <v>207</v>
      </c>
      <c r="AT3178" s="46">
        <v>112300</v>
      </c>
      <c r="AU3178" s="46">
        <v>1245497.6810000001</v>
      </c>
      <c r="AV3178" s="46">
        <v>11.090999999999999</v>
      </c>
      <c r="AW3178" s="46">
        <v>224</v>
      </c>
      <c r="AX3178" s="46">
        <v>96400</v>
      </c>
      <c r="AY3178" s="46">
        <v>1017880.03</v>
      </c>
      <c r="AZ3178" s="46">
        <v>10.558999999999999</v>
      </c>
      <c r="BA3178" s="46" t="s">
        <v>63</v>
      </c>
      <c r="BB3178" s="46">
        <v>15900</v>
      </c>
      <c r="BC3178" s="46">
        <v>227617.65100000001</v>
      </c>
      <c r="BD3178" s="46">
        <v>14.316000000000001</v>
      </c>
      <c r="BE3178" s="46">
        <v>-51284.800000000003</v>
      </c>
      <c r="BF3178" s="46">
        <v>85007.45</v>
      </c>
      <c r="BG3178" s="46">
        <v>8.9499999999999993</v>
      </c>
      <c r="BH3178" s="46">
        <v>48877.024000000099</v>
      </c>
      <c r="BI3178">
        <v>11.92</v>
      </c>
      <c r="BJ3178">
        <v>36130.425999999999</v>
      </c>
      <c r="BK3178">
        <v>6.69</v>
      </c>
      <c r="BL3178">
        <v>-10266.93</v>
      </c>
    </row>
    <row r="3179" spans="1:64" x14ac:dyDescent="0.25">
      <c r="A3179" s="136">
        <v>43285</v>
      </c>
      <c r="B3179" s="201" t="s">
        <v>77</v>
      </c>
      <c r="C3179" t="s">
        <v>128</v>
      </c>
      <c r="D3179">
        <v>4300</v>
      </c>
      <c r="E3179">
        <v>4300</v>
      </c>
      <c r="F3179">
        <v>5.9779999999999998</v>
      </c>
      <c r="G3179">
        <v>-595.27</v>
      </c>
      <c r="H3179">
        <v>-2.31</v>
      </c>
      <c r="I3179" s="309">
        <v>25112</v>
      </c>
      <c r="J3179">
        <v>5.84</v>
      </c>
      <c r="K3179" s="133">
        <v>5.2779617584431698E-2</v>
      </c>
      <c r="L3179" s="181">
        <v>0</v>
      </c>
      <c r="M3179" s="133">
        <v>5.4030737485653603E-2</v>
      </c>
      <c r="N3179" s="73">
        <v>-1272.2139999999999</v>
      </c>
      <c r="O3179" s="73">
        <v>-133.073774655173</v>
      </c>
      <c r="P3179" s="182">
        <v>6</v>
      </c>
      <c r="Q3179" s="182">
        <v>3000</v>
      </c>
      <c r="R3179" s="46">
        <v>6.798</v>
      </c>
      <c r="S3179" s="46">
        <v>0</v>
      </c>
      <c r="T3179" s="46">
        <v>0</v>
      </c>
      <c r="U3179" s="46">
        <v>0</v>
      </c>
      <c r="V3179" s="46" t="s">
        <v>62</v>
      </c>
      <c r="W3179" s="46">
        <v>3000</v>
      </c>
      <c r="X3179" s="46">
        <v>6.798</v>
      </c>
      <c r="AF3179" s="46">
        <v>39</v>
      </c>
      <c r="AG3179" s="46">
        <v>19500</v>
      </c>
      <c r="AH3179" s="46">
        <v>142169</v>
      </c>
      <c r="AI3179" s="46">
        <v>7.2910000000000004</v>
      </c>
      <c r="AJ3179" s="46">
        <v>39</v>
      </c>
      <c r="AK3179" s="46">
        <v>18200</v>
      </c>
      <c r="AL3179" s="46">
        <v>136881.78599999999</v>
      </c>
      <c r="AM3179" s="46">
        <v>7.5209999999999999</v>
      </c>
      <c r="AN3179" s="46" t="s">
        <v>63</v>
      </c>
      <c r="AO3179" s="46">
        <v>1300</v>
      </c>
      <c r="AP3179" s="46">
        <v>5287.2139999999999</v>
      </c>
      <c r="AQ3179" s="46">
        <v>4.0670000000000002</v>
      </c>
      <c r="AR3179" s="46">
        <v>4186</v>
      </c>
      <c r="AS3179" s="46">
        <v>45</v>
      </c>
      <c r="AT3179" s="46">
        <v>22500</v>
      </c>
      <c r="AU3179" s="46">
        <v>162594</v>
      </c>
      <c r="AV3179" s="46">
        <v>7.226</v>
      </c>
      <c r="AW3179" s="46">
        <v>39</v>
      </c>
      <c r="AX3179" s="46">
        <v>18200</v>
      </c>
      <c r="AY3179" s="46">
        <v>136881.78599999999</v>
      </c>
      <c r="AZ3179" s="46">
        <v>7.5209999999999999</v>
      </c>
      <c r="BA3179" s="46" t="s">
        <v>63</v>
      </c>
      <c r="BB3179" s="46">
        <v>4300</v>
      </c>
      <c r="BC3179" s="46">
        <v>25712.214</v>
      </c>
      <c r="BD3179" s="46">
        <v>5.98</v>
      </c>
      <c r="BE3179" s="46">
        <v>5369</v>
      </c>
      <c r="BF3179" s="46">
        <v>20425</v>
      </c>
      <c r="BG3179" s="46">
        <v>6.81</v>
      </c>
      <c r="BH3179" s="46">
        <v>0</v>
      </c>
      <c r="BJ3179">
        <v>20425</v>
      </c>
      <c r="BK3179">
        <v>6.81</v>
      </c>
      <c r="BL3179">
        <v>716.78</v>
      </c>
    </row>
    <row r="3180" spans="1:64" x14ac:dyDescent="0.25">
      <c r="A3180" s="136">
        <v>43285</v>
      </c>
      <c r="B3180" s="201" t="s">
        <v>67</v>
      </c>
      <c r="C3180" t="s">
        <v>129</v>
      </c>
      <c r="D3180">
        <v>100</v>
      </c>
      <c r="E3180">
        <v>100</v>
      </c>
      <c r="F3180">
        <v>-33.265000000000001</v>
      </c>
      <c r="G3180">
        <v>4336.5</v>
      </c>
      <c r="H3180">
        <v>0</v>
      </c>
      <c r="I3180" s="309">
        <v>1010</v>
      </c>
      <c r="J3180">
        <v>10.1</v>
      </c>
      <c r="K3180" s="133">
        <v>2.12278646703871E-3</v>
      </c>
      <c r="L3180" s="181">
        <v>62</v>
      </c>
      <c r="M3180" s="133">
        <v>0</v>
      </c>
      <c r="N3180" s="73">
        <v>4368.6874999997499</v>
      </c>
      <c r="O3180" s="73">
        <v>419.05020693376002</v>
      </c>
      <c r="P3180" s="182">
        <v>0</v>
      </c>
      <c r="Q3180" s="182">
        <v>0</v>
      </c>
      <c r="R3180" s="46">
        <v>0</v>
      </c>
      <c r="S3180" s="46">
        <v>24</v>
      </c>
      <c r="T3180" s="46">
        <v>9600</v>
      </c>
      <c r="U3180" s="46">
        <v>8.9969999999999999</v>
      </c>
      <c r="V3180" s="46" t="s">
        <v>68</v>
      </c>
      <c r="W3180" s="46">
        <v>9600</v>
      </c>
      <c r="X3180" s="46">
        <v>8.9969999999999999</v>
      </c>
      <c r="AF3180" s="46">
        <v>192</v>
      </c>
      <c r="AG3180" s="46">
        <v>95000</v>
      </c>
      <c r="AH3180" s="46">
        <v>791793</v>
      </c>
      <c r="AI3180" s="46">
        <v>8.3350000000000009</v>
      </c>
      <c r="AJ3180" s="46">
        <v>196</v>
      </c>
      <c r="AK3180" s="46">
        <v>87900</v>
      </c>
      <c r="AL3180" s="46">
        <v>778079.67550000001</v>
      </c>
      <c r="AM3180" s="46">
        <v>8.8520000000000003</v>
      </c>
      <c r="AN3180" s="46" t="s">
        <v>63</v>
      </c>
      <c r="AO3180" s="46">
        <v>7100</v>
      </c>
      <c r="AP3180" s="46">
        <v>13713.324000000001</v>
      </c>
      <c r="AQ3180" s="46">
        <v>1.931</v>
      </c>
      <c r="AR3180" s="46">
        <v>45444.3</v>
      </c>
      <c r="AS3180" s="46">
        <v>192</v>
      </c>
      <c r="AT3180" s="46">
        <v>95000</v>
      </c>
      <c r="AU3180" s="46">
        <v>791793</v>
      </c>
      <c r="AV3180" s="46">
        <v>8.3350000000000009</v>
      </c>
      <c r="AW3180" s="46">
        <v>220</v>
      </c>
      <c r="AX3180" s="46">
        <v>97500</v>
      </c>
      <c r="AY3180" s="46">
        <v>864247.80350000004</v>
      </c>
      <c r="AZ3180" s="46">
        <v>8.8640000000000008</v>
      </c>
      <c r="BA3180" s="46" t="s">
        <v>69</v>
      </c>
      <c r="BB3180" s="46">
        <v>2500</v>
      </c>
      <c r="BC3180" s="46">
        <v>72454.804000000004</v>
      </c>
      <c r="BD3180" s="46">
        <v>28.981999999999999</v>
      </c>
      <c r="BE3180" s="46">
        <v>50255</v>
      </c>
      <c r="BF3180" s="46">
        <v>0</v>
      </c>
      <c r="BH3180" s="46">
        <v>86168.127999999997</v>
      </c>
      <c r="BI3180">
        <v>8.98</v>
      </c>
      <c r="BJ3180">
        <v>58741.48</v>
      </c>
      <c r="BK3180">
        <v>6.12</v>
      </c>
      <c r="BL3180">
        <v>4499.4399999999996</v>
      </c>
    </row>
    <row r="3181" spans="1:64" x14ac:dyDescent="0.25">
      <c r="A3181" s="136">
        <v>43285</v>
      </c>
      <c r="B3181" s="201" t="s">
        <v>78</v>
      </c>
      <c r="C3181" t="s">
        <v>142</v>
      </c>
      <c r="D3181">
        <v>200</v>
      </c>
      <c r="E3181">
        <v>200</v>
      </c>
      <c r="F3181">
        <v>2.077</v>
      </c>
      <c r="G3181">
        <v>1120.6500000000001</v>
      </c>
      <c r="H3181">
        <v>269.77</v>
      </c>
      <c r="I3181" s="309">
        <v>1536</v>
      </c>
      <c r="J3181">
        <v>7.68</v>
      </c>
      <c r="K3181" s="133">
        <v>3.22831684492223E-3</v>
      </c>
      <c r="L3181" s="181">
        <v>-78</v>
      </c>
      <c r="M3181" s="133">
        <v>8.72969662459927E-4</v>
      </c>
      <c r="N3181" s="73">
        <v>1454.6510000000001</v>
      </c>
      <c r="O3181" s="73">
        <v>155.499858235294</v>
      </c>
      <c r="P3181" s="182">
        <v>0</v>
      </c>
      <c r="Q3181" s="182">
        <v>0</v>
      </c>
      <c r="R3181" s="46">
        <v>0</v>
      </c>
      <c r="S3181" s="46">
        <v>3</v>
      </c>
      <c r="T3181" s="46">
        <v>1200</v>
      </c>
      <c r="U3181" s="46">
        <v>9.923</v>
      </c>
      <c r="V3181" s="46" t="s">
        <v>68</v>
      </c>
      <c r="W3181" s="46">
        <v>1200</v>
      </c>
      <c r="X3181" s="46">
        <v>9.923</v>
      </c>
      <c r="AF3181" s="46">
        <v>14</v>
      </c>
      <c r="AG3181" s="46">
        <v>7000</v>
      </c>
      <c r="AH3181" s="46">
        <v>67625</v>
      </c>
      <c r="AI3181" s="46">
        <v>9.6609999999999996</v>
      </c>
      <c r="AJ3181" s="46">
        <v>15</v>
      </c>
      <c r="AK3181" s="46">
        <v>5600</v>
      </c>
      <c r="AL3181" s="46">
        <v>55310.559000000001</v>
      </c>
      <c r="AM3181" s="46">
        <v>9.8770000000000007</v>
      </c>
      <c r="AN3181" s="46" t="s">
        <v>63</v>
      </c>
      <c r="AO3181" s="46">
        <v>1400</v>
      </c>
      <c r="AP3181" s="46">
        <v>12314.441000000001</v>
      </c>
      <c r="AQ3181" s="46">
        <v>8.7959999999999994</v>
      </c>
      <c r="AR3181" s="46">
        <v>1209.5999999999999</v>
      </c>
      <c r="AS3181" s="46">
        <v>14</v>
      </c>
      <c r="AT3181" s="46">
        <v>7000</v>
      </c>
      <c r="AU3181" s="46">
        <v>67625</v>
      </c>
      <c r="AV3181" s="46">
        <v>9.6609999999999996</v>
      </c>
      <c r="AW3181" s="46">
        <v>18</v>
      </c>
      <c r="AX3181" s="46">
        <v>6800</v>
      </c>
      <c r="AY3181" s="46">
        <v>67209.650999999998</v>
      </c>
      <c r="AZ3181" s="46">
        <v>9.8840000000000003</v>
      </c>
      <c r="BA3181" s="46" t="s">
        <v>63</v>
      </c>
      <c r="BB3181" s="46">
        <v>200</v>
      </c>
      <c r="BC3181" s="46">
        <v>415.34899999999999</v>
      </c>
      <c r="BD3181" s="46">
        <v>2.077</v>
      </c>
      <c r="BE3181" s="46">
        <v>1516.4</v>
      </c>
      <c r="BF3181" s="46">
        <v>0</v>
      </c>
      <c r="BH3181" s="46">
        <v>11899.092000000001</v>
      </c>
      <c r="BI3181">
        <v>9.92</v>
      </c>
      <c r="BJ3181">
        <v>-11899.092000000001</v>
      </c>
      <c r="BK3181">
        <v>-9.92</v>
      </c>
      <c r="BL3181">
        <v>157.5</v>
      </c>
    </row>
    <row r="3182" spans="1:64" x14ac:dyDescent="0.25">
      <c r="A3182" s="136">
        <v>43285</v>
      </c>
      <c r="B3182" s="201" t="s">
        <v>72</v>
      </c>
      <c r="C3182" t="s">
        <v>130</v>
      </c>
      <c r="D3182">
        <v>3100</v>
      </c>
      <c r="E3182">
        <v>3100</v>
      </c>
      <c r="F3182">
        <v>6.2060000000000004</v>
      </c>
      <c r="G3182">
        <v>-2375.12</v>
      </c>
      <c r="H3182">
        <v>-12.34</v>
      </c>
      <c r="I3182" s="309">
        <v>16864</v>
      </c>
      <c r="J3182">
        <v>5.44</v>
      </c>
      <c r="K3182" s="133">
        <v>3.54442286932087E-2</v>
      </c>
      <c r="L3182" s="181">
        <v>-62</v>
      </c>
      <c r="M3182" s="133">
        <v>4.0436181756172002E-2</v>
      </c>
      <c r="N3182" s="73">
        <v>-19535.828000000001</v>
      </c>
      <c r="O3182" s="73">
        <v>-298.98788710246998</v>
      </c>
      <c r="P3182" s="182">
        <v>0</v>
      </c>
      <c r="Q3182" s="182">
        <v>0</v>
      </c>
      <c r="R3182" s="46">
        <v>0</v>
      </c>
      <c r="S3182" s="46">
        <v>14</v>
      </c>
      <c r="T3182" s="46">
        <v>5600</v>
      </c>
      <c r="U3182" s="46">
        <v>7.5659999999999998</v>
      </c>
      <c r="V3182" s="46" t="s">
        <v>68</v>
      </c>
      <c r="W3182" s="46">
        <v>5600</v>
      </c>
      <c r="X3182" s="46">
        <v>7.5659999999999998</v>
      </c>
      <c r="AF3182" s="46">
        <v>42</v>
      </c>
      <c r="AG3182" s="46">
        <v>20900</v>
      </c>
      <c r="AH3182" s="46">
        <v>152800</v>
      </c>
      <c r="AI3182" s="46">
        <v>7.3109999999999999</v>
      </c>
      <c r="AJ3182" s="46">
        <v>42</v>
      </c>
      <c r="AK3182" s="46">
        <v>18800</v>
      </c>
      <c r="AL3182" s="46">
        <v>92037.725000000006</v>
      </c>
      <c r="AM3182" s="46">
        <v>4.8959999999999999</v>
      </c>
      <c r="AN3182" s="46" t="s">
        <v>63</v>
      </c>
      <c r="AO3182" s="46">
        <v>2100</v>
      </c>
      <c r="AP3182" s="46">
        <v>60762.275000000001</v>
      </c>
      <c r="AQ3182" s="46">
        <v>28.934000000000001</v>
      </c>
      <c r="AR3182" s="46">
        <v>-45402</v>
      </c>
      <c r="AS3182" s="46">
        <v>42</v>
      </c>
      <c r="AT3182" s="46">
        <v>20900</v>
      </c>
      <c r="AU3182" s="46">
        <v>152800</v>
      </c>
      <c r="AV3182" s="46">
        <v>7.3109999999999999</v>
      </c>
      <c r="AW3182" s="46">
        <v>57</v>
      </c>
      <c r="AX3182" s="46">
        <v>24900</v>
      </c>
      <c r="AY3182" s="46">
        <v>134293.35699999999</v>
      </c>
      <c r="AZ3182" s="46">
        <v>5.3929999999999998</v>
      </c>
      <c r="BA3182" s="46" t="s">
        <v>69</v>
      </c>
      <c r="BB3182" s="46">
        <v>4000</v>
      </c>
      <c r="BC3182" s="46">
        <v>18506.643</v>
      </c>
      <c r="BD3182" s="46">
        <v>4.6269999999999998</v>
      </c>
      <c r="BE3182" s="46">
        <v>-40086.199999999997</v>
      </c>
      <c r="BF3182" s="46">
        <v>0</v>
      </c>
      <c r="BH3182" s="46">
        <v>42255.631999999998</v>
      </c>
      <c r="BI3182">
        <v>7.55</v>
      </c>
      <c r="BJ3182">
        <v>-42255.631999999998</v>
      </c>
      <c r="BK3182">
        <v>-7.55</v>
      </c>
      <c r="BL3182">
        <v>-8345.9599999999991</v>
      </c>
    </row>
    <row r="3183" spans="1:64" x14ac:dyDescent="0.25">
      <c r="A3183" s="136">
        <v>43285</v>
      </c>
      <c r="B3183" s="201" t="s">
        <v>70</v>
      </c>
      <c r="C3183" t="s">
        <v>131</v>
      </c>
      <c r="D3183">
        <v>13700</v>
      </c>
      <c r="E3183">
        <v>13700</v>
      </c>
      <c r="F3183">
        <v>11.009</v>
      </c>
      <c r="G3183">
        <v>-49305.59</v>
      </c>
      <c r="H3183">
        <v>-32.69</v>
      </c>
      <c r="I3183" s="309">
        <v>101517</v>
      </c>
      <c r="J3183">
        <v>7.41</v>
      </c>
      <c r="K3183" s="133">
        <v>0.21336526116274099</v>
      </c>
      <c r="L3183" s="181">
        <v>2490.21000000001</v>
      </c>
      <c r="M3183" s="133">
        <v>0.31699421086705698</v>
      </c>
      <c r="N3183" s="73">
        <v>-46980.585000000101</v>
      </c>
      <c r="O3183" s="73">
        <v>-6194.8673756596399</v>
      </c>
      <c r="P3183" s="182">
        <v>4</v>
      </c>
      <c r="Q3183" s="182">
        <v>2000</v>
      </c>
      <c r="R3183" s="46">
        <v>7.8380000000000001</v>
      </c>
      <c r="S3183" s="46">
        <v>4</v>
      </c>
      <c r="T3183" s="46">
        <v>1600</v>
      </c>
      <c r="U3183" s="46">
        <v>9.3800000000000008</v>
      </c>
      <c r="V3183" s="46" t="s">
        <v>62</v>
      </c>
      <c r="W3183" s="46">
        <v>400</v>
      </c>
      <c r="X3183" s="46">
        <v>1.67</v>
      </c>
      <c r="AF3183" s="46">
        <v>145</v>
      </c>
      <c r="AG3183" s="46">
        <v>74100</v>
      </c>
      <c r="AH3183" s="46">
        <v>942538</v>
      </c>
      <c r="AI3183" s="46">
        <v>12.72</v>
      </c>
      <c r="AJ3183" s="46">
        <v>151</v>
      </c>
      <c r="AK3183" s="46">
        <v>60800</v>
      </c>
      <c r="AL3183" s="46">
        <v>792028.42299999995</v>
      </c>
      <c r="AM3183" s="46">
        <v>13.026999999999999</v>
      </c>
      <c r="AN3183" s="46" t="s">
        <v>63</v>
      </c>
      <c r="AO3183" s="46">
        <v>13300</v>
      </c>
      <c r="AP3183" s="46">
        <v>150509.57699999999</v>
      </c>
      <c r="AQ3183" s="46">
        <v>11.317</v>
      </c>
      <c r="AR3183" s="46">
        <v>18665.599999999999</v>
      </c>
      <c r="AS3183" s="46">
        <v>149</v>
      </c>
      <c r="AT3183" s="46">
        <v>76100</v>
      </c>
      <c r="AU3183" s="46">
        <v>958233</v>
      </c>
      <c r="AV3183" s="46">
        <v>12.592000000000001</v>
      </c>
      <c r="AW3183" s="46">
        <v>156</v>
      </c>
      <c r="AX3183" s="46">
        <v>62400</v>
      </c>
      <c r="AY3183" s="46">
        <v>807406.41500000004</v>
      </c>
      <c r="AZ3183" s="46">
        <v>12.939</v>
      </c>
      <c r="BA3183" s="46" t="s">
        <v>63</v>
      </c>
      <c r="BB3183" s="46">
        <v>13700</v>
      </c>
      <c r="BC3183" s="46">
        <v>150826.58499999999</v>
      </c>
      <c r="BD3183" s="46">
        <v>11.009</v>
      </c>
      <c r="BE3183" s="46">
        <v>21652.799999999999</v>
      </c>
      <c r="BF3183" s="46">
        <v>15695</v>
      </c>
      <c r="BG3183" s="46">
        <v>7.85</v>
      </c>
      <c r="BH3183" s="46">
        <v>15377.992</v>
      </c>
      <c r="BI3183">
        <v>9.61</v>
      </c>
      <c r="BJ3183">
        <v>317.00800000000203</v>
      </c>
      <c r="BK3183">
        <v>0.79</v>
      </c>
      <c r="BL3183">
        <v>2518.9699999999998</v>
      </c>
    </row>
    <row r="3184" spans="1:64" x14ac:dyDescent="0.25">
      <c r="A3184" s="136">
        <v>43285</v>
      </c>
      <c r="B3184" s="201" t="s">
        <v>137</v>
      </c>
      <c r="C3184" t="s">
        <v>149</v>
      </c>
      <c r="D3184">
        <v>100</v>
      </c>
      <c r="E3184">
        <v>100</v>
      </c>
      <c r="F3184">
        <v>-130.86000000000001</v>
      </c>
      <c r="G3184">
        <v>17916</v>
      </c>
      <c r="H3184">
        <v>0</v>
      </c>
      <c r="I3184" s="309">
        <v>4830</v>
      </c>
      <c r="J3184">
        <v>48.3</v>
      </c>
      <c r="K3184" s="133">
        <v>1.0151543203759401E-2</v>
      </c>
      <c r="L3184" s="181">
        <v>141</v>
      </c>
      <c r="M3184" s="133">
        <v>0</v>
      </c>
    </row>
    <row r="3185" spans="1:64" x14ac:dyDescent="0.25">
      <c r="A3185" s="136">
        <v>43285</v>
      </c>
      <c r="B3185" s="201" t="s">
        <v>835</v>
      </c>
      <c r="C3185" t="s">
        <v>839</v>
      </c>
      <c r="I3185" s="309">
        <v>11164.43</v>
      </c>
      <c r="K3185" s="133">
        <v>2.34650504120801E-2</v>
      </c>
      <c r="L3185" s="181">
        <v>0</v>
      </c>
      <c r="M3185" s="133">
        <v>2.3759928571808399E-2</v>
      </c>
    </row>
    <row r="3186" spans="1:64" x14ac:dyDescent="0.25">
      <c r="A3186" s="136">
        <v>43305</v>
      </c>
      <c r="B3186" s="201" t="s">
        <v>132</v>
      </c>
      <c r="C3186" t="s">
        <v>123</v>
      </c>
      <c r="D3186">
        <v>14050</v>
      </c>
      <c r="E3186">
        <v>14050</v>
      </c>
      <c r="F3186">
        <v>-0.25700000000000001</v>
      </c>
      <c r="G3186">
        <v>3751.35</v>
      </c>
      <c r="H3186">
        <v>0</v>
      </c>
      <c r="I3186" s="309">
        <v>140.5</v>
      </c>
      <c r="J3186">
        <v>0.01</v>
      </c>
      <c r="K3186" s="133">
        <v>2.9559038889007599E-4</v>
      </c>
      <c r="L3186" s="181">
        <v>5.3399999999996899</v>
      </c>
      <c r="M3186" s="133">
        <v>0</v>
      </c>
    </row>
    <row r="3187" spans="1:64" x14ac:dyDescent="0.25">
      <c r="A3187" s="136">
        <v>43305</v>
      </c>
      <c r="B3187" s="201" t="s">
        <v>61</v>
      </c>
      <c r="C3187" t="s">
        <v>136</v>
      </c>
      <c r="D3187">
        <v>4600</v>
      </c>
      <c r="E3187">
        <v>4600</v>
      </c>
      <c r="F3187">
        <v>4.9210000000000003</v>
      </c>
      <c r="G3187">
        <v>-2766.67</v>
      </c>
      <c r="H3187">
        <v>-12.21</v>
      </c>
      <c r="I3187" s="309">
        <v>19872</v>
      </c>
      <c r="J3187">
        <v>4.32</v>
      </c>
      <c r="K3187" s="133">
        <v>4.18076313738334E-2</v>
      </c>
      <c r="L3187" s="181">
        <v>1434.55</v>
      </c>
      <c r="M3187" s="133">
        <v>4.7628279496470499E-2</v>
      </c>
      <c r="N3187" s="73">
        <v>-2819.913</v>
      </c>
      <c r="O3187" s="73">
        <v>-653.94502169373504</v>
      </c>
      <c r="P3187" s="182">
        <v>7</v>
      </c>
      <c r="Q3187" s="182">
        <v>3500</v>
      </c>
      <c r="R3187" s="46">
        <v>4.577</v>
      </c>
      <c r="S3187" s="46">
        <v>0</v>
      </c>
      <c r="T3187" s="46">
        <v>0</v>
      </c>
      <c r="U3187" s="46">
        <v>0</v>
      </c>
      <c r="V3187" s="46" t="s">
        <v>62</v>
      </c>
      <c r="W3187" s="46">
        <v>3500</v>
      </c>
      <c r="X3187" s="46">
        <v>4.577</v>
      </c>
      <c r="AF3187" s="46">
        <v>12</v>
      </c>
      <c r="AG3187" s="46">
        <v>6000</v>
      </c>
      <c r="AH3187" s="46">
        <v>31773.599999999999</v>
      </c>
      <c r="AI3187" s="46">
        <v>5.2960000000000003</v>
      </c>
      <c r="AJ3187" s="46">
        <v>12</v>
      </c>
      <c r="AK3187" s="46">
        <v>4900</v>
      </c>
      <c r="AL3187" s="46">
        <v>25184.787</v>
      </c>
      <c r="AM3187" s="46">
        <v>5.14</v>
      </c>
      <c r="AN3187" s="46" t="s">
        <v>63</v>
      </c>
      <c r="AO3187" s="46">
        <v>1100</v>
      </c>
      <c r="AP3187" s="46">
        <v>6588.8130000000001</v>
      </c>
      <c r="AQ3187" s="46">
        <v>5.99</v>
      </c>
      <c r="AR3187" s="46">
        <v>-764.4</v>
      </c>
      <c r="AS3187" s="46">
        <v>19</v>
      </c>
      <c r="AT3187" s="46">
        <v>9500</v>
      </c>
      <c r="AU3187" s="46">
        <v>47830.7</v>
      </c>
      <c r="AV3187" s="46">
        <v>5.0350000000000001</v>
      </c>
      <c r="AW3187" s="46">
        <v>12</v>
      </c>
      <c r="AX3187" s="46">
        <v>4900</v>
      </c>
      <c r="AY3187" s="46">
        <v>25184.787</v>
      </c>
      <c r="AZ3187" s="46">
        <v>5.14</v>
      </c>
      <c r="BA3187" s="46" t="s">
        <v>63</v>
      </c>
      <c r="BB3187" s="46">
        <v>4600</v>
      </c>
      <c r="BC3187" s="46">
        <v>22645.913</v>
      </c>
      <c r="BD3187" s="46">
        <v>4.923</v>
      </c>
      <c r="BE3187" s="46">
        <v>514.5</v>
      </c>
      <c r="BF3187" s="46">
        <v>16057.1</v>
      </c>
      <c r="BG3187" s="46">
        <v>4.59</v>
      </c>
      <c r="BH3187" s="46">
        <v>0</v>
      </c>
      <c r="BJ3187">
        <v>16057.1</v>
      </c>
      <c r="BK3187">
        <v>4.59</v>
      </c>
      <c r="BL3187">
        <v>-176.94</v>
      </c>
    </row>
    <row r="3188" spans="1:64" x14ac:dyDescent="0.25">
      <c r="A3188" s="136">
        <v>43305</v>
      </c>
      <c r="B3188" s="201" t="s">
        <v>124</v>
      </c>
      <c r="C3188" t="s">
        <v>125</v>
      </c>
      <c r="D3188">
        <v>100</v>
      </c>
      <c r="E3188">
        <v>100</v>
      </c>
      <c r="F3188">
        <v>-53.82</v>
      </c>
      <c r="G3188">
        <v>5943</v>
      </c>
      <c r="H3188">
        <v>0</v>
      </c>
      <c r="I3188" s="309">
        <v>561</v>
      </c>
      <c r="J3188">
        <v>5.61</v>
      </c>
      <c r="K3188" s="133">
        <v>1.18025770937603E-3</v>
      </c>
      <c r="L3188" s="181">
        <v>69.100000000000406</v>
      </c>
      <c r="M3188" s="133">
        <v>0</v>
      </c>
    </row>
    <row r="3189" spans="1:64" x14ac:dyDescent="0.25">
      <c r="A3189" s="136">
        <v>43305</v>
      </c>
      <c r="B3189" s="201" t="s">
        <v>71</v>
      </c>
      <c r="C3189" t="s">
        <v>126</v>
      </c>
      <c r="D3189">
        <v>2000</v>
      </c>
      <c r="E3189">
        <v>2000</v>
      </c>
      <c r="F3189">
        <v>4.9969999999999999</v>
      </c>
      <c r="G3189">
        <v>2306.15</v>
      </c>
      <c r="H3189">
        <v>23.07</v>
      </c>
      <c r="I3189" s="309">
        <v>12300</v>
      </c>
      <c r="J3189">
        <v>6.15</v>
      </c>
      <c r="K3189" s="133">
        <v>2.5877308066533398E-2</v>
      </c>
      <c r="L3189" s="181">
        <v>1129.07</v>
      </c>
      <c r="M3189" s="133">
        <v>2.1025523188676801E-2</v>
      </c>
      <c r="N3189" s="73">
        <v>16957.824000000001</v>
      </c>
      <c r="O3189" s="73">
        <v>369.00366035889101</v>
      </c>
      <c r="P3189" s="182">
        <v>0</v>
      </c>
      <c r="Q3189" s="182">
        <v>0</v>
      </c>
      <c r="R3189" s="46">
        <v>0</v>
      </c>
      <c r="S3189" s="46">
        <v>4</v>
      </c>
      <c r="T3189" s="46">
        <v>1500</v>
      </c>
      <c r="U3189" s="46">
        <v>6.48</v>
      </c>
      <c r="V3189" s="46" t="s">
        <v>68</v>
      </c>
      <c r="W3189" s="46">
        <v>1500</v>
      </c>
      <c r="X3189" s="46">
        <v>6.48</v>
      </c>
      <c r="AF3189" s="46">
        <v>48</v>
      </c>
      <c r="AG3189" s="46">
        <v>24100</v>
      </c>
      <c r="AH3189" s="46">
        <v>153145.43</v>
      </c>
      <c r="AI3189" s="46">
        <v>6.3550000000000004</v>
      </c>
      <c r="AJ3189" s="46">
        <v>46</v>
      </c>
      <c r="AK3189" s="46">
        <v>20600</v>
      </c>
      <c r="AL3189" s="46">
        <v>133289.97399999999</v>
      </c>
      <c r="AM3189" s="46">
        <v>6.47</v>
      </c>
      <c r="AN3189" s="46" t="s">
        <v>63</v>
      </c>
      <c r="AO3189" s="46">
        <v>3500</v>
      </c>
      <c r="AP3189" s="46">
        <v>19855.455999999998</v>
      </c>
      <c r="AQ3189" s="46">
        <v>5.673</v>
      </c>
      <c r="AR3189" s="46">
        <v>2369</v>
      </c>
      <c r="AS3189" s="46">
        <v>48</v>
      </c>
      <c r="AT3189" s="46">
        <v>24100</v>
      </c>
      <c r="AU3189" s="46">
        <v>153145.43</v>
      </c>
      <c r="AV3189" s="46">
        <v>6.3550000000000004</v>
      </c>
      <c r="AW3189" s="46">
        <v>50</v>
      </c>
      <c r="AX3189" s="46">
        <v>22100</v>
      </c>
      <c r="AY3189" s="46">
        <v>142987.35399999999</v>
      </c>
      <c r="AZ3189" s="46">
        <v>6.47</v>
      </c>
      <c r="BA3189" s="46" t="s">
        <v>63</v>
      </c>
      <c r="BB3189" s="46">
        <v>2000</v>
      </c>
      <c r="BC3189" s="46">
        <v>10158.075999999999</v>
      </c>
      <c r="BD3189" s="46">
        <v>5.0789999999999997</v>
      </c>
      <c r="BE3189" s="46">
        <v>2541.5</v>
      </c>
      <c r="BF3189" s="46">
        <v>0</v>
      </c>
      <c r="BH3189" s="46">
        <v>9697.3799999999992</v>
      </c>
      <c r="BI3189">
        <v>6.46</v>
      </c>
      <c r="BJ3189">
        <v>-9697.3799999999992</v>
      </c>
      <c r="BK3189">
        <v>-6.46</v>
      </c>
      <c r="BL3189">
        <v>385.2</v>
      </c>
    </row>
    <row r="3190" spans="1:64" x14ac:dyDescent="0.25">
      <c r="A3190" s="136">
        <v>43305</v>
      </c>
      <c r="B3190" s="201" t="s">
        <v>79</v>
      </c>
      <c r="C3190" t="s">
        <v>143</v>
      </c>
      <c r="D3190">
        <v>9820</v>
      </c>
      <c r="E3190">
        <v>9820</v>
      </c>
      <c r="F3190">
        <v>10.863</v>
      </c>
      <c r="G3190">
        <v>-16429.47</v>
      </c>
      <c r="H3190">
        <v>-15.4</v>
      </c>
      <c r="I3190" s="309">
        <v>90245.8</v>
      </c>
      <c r="J3190">
        <v>9.19</v>
      </c>
      <c r="K3190" s="133">
        <v>0.189863281976484</v>
      </c>
      <c r="L3190" s="181">
        <v>1791.05</v>
      </c>
      <c r="M3190" s="133">
        <v>0.22442835974557901</v>
      </c>
      <c r="N3190" s="73">
        <v>-16345.8560000002</v>
      </c>
      <c r="O3190" s="73">
        <v>-1775.83511652176</v>
      </c>
      <c r="P3190" s="182">
        <v>11</v>
      </c>
      <c r="Q3190" s="182">
        <v>7920</v>
      </c>
      <c r="R3190" s="46">
        <v>8.7059999999999995</v>
      </c>
      <c r="S3190" s="46">
        <v>1</v>
      </c>
      <c r="T3190" s="46">
        <v>400</v>
      </c>
      <c r="U3190" s="46">
        <v>9.1999999999999993</v>
      </c>
      <c r="V3190" s="46" t="s">
        <v>62</v>
      </c>
      <c r="W3190" s="46">
        <v>7520</v>
      </c>
      <c r="X3190" s="46">
        <v>8.68</v>
      </c>
      <c r="AF3190" s="46">
        <v>22</v>
      </c>
      <c r="AG3190" s="46">
        <v>11500</v>
      </c>
      <c r="AH3190" s="46">
        <v>181771.9</v>
      </c>
      <c r="AI3190" s="46">
        <v>15.805999999999999</v>
      </c>
      <c r="AJ3190" s="46">
        <v>23</v>
      </c>
      <c r="AK3190" s="46">
        <v>9200</v>
      </c>
      <c r="AL3190" s="46">
        <v>140425.71599999999</v>
      </c>
      <c r="AM3190" s="46">
        <v>15.263999999999999</v>
      </c>
      <c r="AN3190" s="46" t="s">
        <v>63</v>
      </c>
      <c r="AO3190" s="46">
        <v>2300</v>
      </c>
      <c r="AP3190" s="46">
        <v>41346.184000000001</v>
      </c>
      <c r="AQ3190" s="46">
        <v>17.977</v>
      </c>
      <c r="AR3190" s="46">
        <v>-4986.3999999999996</v>
      </c>
      <c r="AS3190" s="46">
        <v>33</v>
      </c>
      <c r="AT3190" s="46">
        <v>19420</v>
      </c>
      <c r="AU3190" s="46">
        <v>250786.652</v>
      </c>
      <c r="AV3190" s="46">
        <v>12.914</v>
      </c>
      <c r="AW3190" s="46">
        <v>24</v>
      </c>
      <c r="AX3190" s="46">
        <v>9600</v>
      </c>
      <c r="AY3190" s="46">
        <v>144096.796</v>
      </c>
      <c r="AZ3190" s="46">
        <v>15.01</v>
      </c>
      <c r="BA3190" s="46" t="s">
        <v>63</v>
      </c>
      <c r="BB3190" s="46">
        <v>9820</v>
      </c>
      <c r="BC3190" s="46">
        <v>106689.856</v>
      </c>
      <c r="BD3190" s="46">
        <v>10.865</v>
      </c>
      <c r="BE3190" s="46">
        <v>20121.599999999999</v>
      </c>
      <c r="BF3190" s="46">
        <v>69014.751999999906</v>
      </c>
      <c r="BG3190" s="46">
        <v>8.7100000000000009</v>
      </c>
      <c r="BH3190" s="46">
        <v>3671.0799999999899</v>
      </c>
      <c r="BI3190">
        <v>9.18</v>
      </c>
      <c r="BJ3190">
        <v>65343.671999999999</v>
      </c>
      <c r="BK3190">
        <v>8.69</v>
      </c>
      <c r="BL3190">
        <v>-542.59</v>
      </c>
    </row>
    <row r="3191" spans="1:64" x14ac:dyDescent="0.25">
      <c r="A3191" s="136">
        <v>43305</v>
      </c>
      <c r="B3191" s="201" t="s">
        <v>65</v>
      </c>
      <c r="C3191" t="s">
        <v>127</v>
      </c>
      <c r="D3191">
        <v>24400</v>
      </c>
      <c r="E3191">
        <v>24400</v>
      </c>
      <c r="F3191">
        <v>8.91</v>
      </c>
      <c r="G3191">
        <v>-33926.11</v>
      </c>
      <c r="H3191">
        <v>-15.6</v>
      </c>
      <c r="I3191" s="309">
        <v>183488</v>
      </c>
      <c r="J3191">
        <v>7.52</v>
      </c>
      <c r="K3191" s="133">
        <v>0.38603052865951798</v>
      </c>
      <c r="L3191" s="181">
        <v>8018.12</v>
      </c>
      <c r="M3191" s="133">
        <v>0.45740584573017701</v>
      </c>
      <c r="N3191" s="73">
        <v>-36744.533000000098</v>
      </c>
      <c r="O3191" s="73">
        <v>-4280.5736161279901</v>
      </c>
      <c r="P3191" s="182">
        <v>12</v>
      </c>
      <c r="Q3191" s="182">
        <v>9500</v>
      </c>
      <c r="R3191" s="46">
        <v>8.4990000000000006</v>
      </c>
      <c r="S3191" s="46">
        <v>8</v>
      </c>
      <c r="T3191" s="46">
        <v>3300</v>
      </c>
      <c r="U3191" s="46">
        <v>12.547000000000001</v>
      </c>
      <c r="V3191" s="46" t="s">
        <v>62</v>
      </c>
      <c r="W3191" s="46">
        <v>6200</v>
      </c>
      <c r="X3191" s="46">
        <v>6.3440000000000003</v>
      </c>
      <c r="AF3191" s="46">
        <v>198</v>
      </c>
      <c r="AG3191" s="46">
        <v>104700</v>
      </c>
      <c r="AH3191" s="46">
        <v>1177455.2309999999</v>
      </c>
      <c r="AI3191" s="46">
        <v>11.246</v>
      </c>
      <c r="AJ3191" s="46">
        <v>222</v>
      </c>
      <c r="AK3191" s="46">
        <v>95700</v>
      </c>
      <c r="AL3191" s="46">
        <v>995392.55</v>
      </c>
      <c r="AM3191" s="46">
        <v>10.401</v>
      </c>
      <c r="AN3191" s="46" t="s">
        <v>63</v>
      </c>
      <c r="AO3191" s="46">
        <v>9000</v>
      </c>
      <c r="AP3191" s="46">
        <v>182062.68100000001</v>
      </c>
      <c r="AQ3191" s="46">
        <v>20.228999999999999</v>
      </c>
      <c r="AR3191" s="46">
        <v>-80866.5</v>
      </c>
      <c r="AS3191" s="46">
        <v>211</v>
      </c>
      <c r="AT3191" s="46">
        <v>114300</v>
      </c>
      <c r="AU3191" s="46">
        <v>1259552.6810000001</v>
      </c>
      <c r="AV3191" s="46">
        <v>11.02</v>
      </c>
      <c r="AW3191" s="46">
        <v>230</v>
      </c>
      <c r="AX3191" s="46">
        <v>99000</v>
      </c>
      <c r="AY3191" s="46">
        <v>1036715.1459999999</v>
      </c>
      <c r="AZ3191" s="46">
        <v>10.472</v>
      </c>
      <c r="BA3191" s="46" t="s">
        <v>63</v>
      </c>
      <c r="BB3191" s="46">
        <v>15300</v>
      </c>
      <c r="BC3191" s="46">
        <v>222837.535</v>
      </c>
      <c r="BD3191" s="46">
        <v>14.565</v>
      </c>
      <c r="BE3191" s="46">
        <v>-54252</v>
      </c>
      <c r="BF3191" s="46">
        <v>82097.45</v>
      </c>
      <c r="BG3191" s="46">
        <v>8.64</v>
      </c>
      <c r="BH3191" s="46">
        <v>41322.5960000001</v>
      </c>
      <c r="BI3191">
        <v>12.52</v>
      </c>
      <c r="BJ3191">
        <v>40774.853999999999</v>
      </c>
      <c r="BK3191">
        <v>6.58</v>
      </c>
      <c r="BL3191">
        <v>-10753.52</v>
      </c>
    </row>
    <row r="3192" spans="1:64" x14ac:dyDescent="0.25">
      <c r="A3192" s="136">
        <v>43305</v>
      </c>
      <c r="B3192" s="201" t="s">
        <v>77</v>
      </c>
      <c r="C3192" t="s">
        <v>128</v>
      </c>
      <c r="D3192">
        <v>5800</v>
      </c>
      <c r="E3192">
        <v>5800</v>
      </c>
      <c r="F3192">
        <v>5.5330000000000004</v>
      </c>
      <c r="G3192">
        <v>-7149.27</v>
      </c>
      <c r="H3192">
        <v>-22.28</v>
      </c>
      <c r="I3192" s="309">
        <v>24940</v>
      </c>
      <c r="J3192">
        <v>4.3</v>
      </c>
      <c r="K3192" s="133">
        <v>5.2469923835718899E-2</v>
      </c>
      <c r="L3192" s="181">
        <v>-6554</v>
      </c>
      <c r="M3192" s="133">
        <v>6.7510888245542106E-2</v>
      </c>
      <c r="N3192" s="73">
        <v>-8406.2139999999999</v>
      </c>
      <c r="O3192" s="73">
        <v>-1872.5736713270201</v>
      </c>
      <c r="P3192" s="182">
        <v>9</v>
      </c>
      <c r="Q3192" s="182">
        <v>4500</v>
      </c>
      <c r="R3192" s="46">
        <v>6.0110000000000001</v>
      </c>
      <c r="S3192" s="46">
        <v>0</v>
      </c>
      <c r="T3192" s="46">
        <v>0</v>
      </c>
      <c r="U3192" s="46">
        <v>0</v>
      </c>
      <c r="V3192" s="46" t="s">
        <v>62</v>
      </c>
      <c r="W3192" s="46">
        <v>4500</v>
      </c>
      <c r="X3192" s="46">
        <v>6.0110000000000001</v>
      </c>
      <c r="AF3192" s="46">
        <v>39</v>
      </c>
      <c r="AG3192" s="46">
        <v>19500</v>
      </c>
      <c r="AH3192" s="46">
        <v>142169</v>
      </c>
      <c r="AI3192" s="46">
        <v>7.2910000000000004</v>
      </c>
      <c r="AJ3192" s="46">
        <v>39</v>
      </c>
      <c r="AK3192" s="46">
        <v>18200</v>
      </c>
      <c r="AL3192" s="46">
        <v>136881.78599999999</v>
      </c>
      <c r="AM3192" s="46">
        <v>7.5209999999999999</v>
      </c>
      <c r="AN3192" s="46" t="s">
        <v>63</v>
      </c>
      <c r="AO3192" s="46">
        <v>1300</v>
      </c>
      <c r="AP3192" s="46">
        <v>5287.2139999999999</v>
      </c>
      <c r="AQ3192" s="46">
        <v>4.0670000000000002</v>
      </c>
      <c r="AR3192" s="46">
        <v>4186</v>
      </c>
      <c r="AS3192" s="46">
        <v>48</v>
      </c>
      <c r="AT3192" s="46">
        <v>24000</v>
      </c>
      <c r="AU3192" s="46">
        <v>169264</v>
      </c>
      <c r="AV3192" s="46">
        <v>7.0529999999999999</v>
      </c>
      <c r="AW3192" s="46">
        <v>39</v>
      </c>
      <c r="AX3192" s="46">
        <v>18200</v>
      </c>
      <c r="AY3192" s="46">
        <v>136881.78599999999</v>
      </c>
      <c r="AZ3192" s="46">
        <v>7.5209999999999999</v>
      </c>
      <c r="BA3192" s="46" t="s">
        <v>63</v>
      </c>
      <c r="BB3192" s="46">
        <v>5800</v>
      </c>
      <c r="BC3192" s="46">
        <v>32382.214</v>
      </c>
      <c r="BD3192" s="46">
        <v>5.5830000000000002</v>
      </c>
      <c r="BE3192" s="46">
        <v>8517.6</v>
      </c>
      <c r="BF3192" s="46">
        <v>27095</v>
      </c>
      <c r="BG3192" s="46">
        <v>6.02</v>
      </c>
      <c r="BH3192" s="46">
        <v>0</v>
      </c>
      <c r="BJ3192">
        <v>27095</v>
      </c>
      <c r="BK3192">
        <v>6.02</v>
      </c>
      <c r="BL3192">
        <v>973.49</v>
      </c>
    </row>
    <row r="3193" spans="1:64" x14ac:dyDescent="0.25">
      <c r="A3193" s="136">
        <v>43305</v>
      </c>
      <c r="B3193" s="201" t="s">
        <v>67</v>
      </c>
      <c r="C3193" t="s">
        <v>129</v>
      </c>
      <c r="D3193">
        <v>100</v>
      </c>
      <c r="E3193">
        <v>100</v>
      </c>
      <c r="F3193">
        <v>-33.265000000000001</v>
      </c>
      <c r="G3193">
        <v>4412.5</v>
      </c>
      <c r="H3193">
        <v>0</v>
      </c>
      <c r="I3193" s="309">
        <v>1086</v>
      </c>
      <c r="J3193">
        <v>10.86</v>
      </c>
      <c r="K3193" s="133">
        <v>2.28477695611831E-3</v>
      </c>
      <c r="L3193" s="181">
        <v>76</v>
      </c>
      <c r="M3193" s="133">
        <v>0</v>
      </c>
      <c r="N3193" s="73">
        <v>4368.6874999997499</v>
      </c>
      <c r="O3193" s="73">
        <v>419.05020693376002</v>
      </c>
      <c r="P3193" s="182">
        <v>0</v>
      </c>
      <c r="Q3193" s="182">
        <v>0</v>
      </c>
      <c r="R3193" s="46">
        <v>0</v>
      </c>
      <c r="S3193" s="46">
        <v>24</v>
      </c>
      <c r="T3193" s="46">
        <v>9600</v>
      </c>
      <c r="U3193" s="46">
        <v>8.9969999999999999</v>
      </c>
      <c r="V3193" s="46" t="s">
        <v>68</v>
      </c>
      <c r="W3193" s="46">
        <v>9600</v>
      </c>
      <c r="X3193" s="46">
        <v>8.9969999999999999</v>
      </c>
      <c r="AF3193" s="46">
        <v>192</v>
      </c>
      <c r="AG3193" s="46">
        <v>95000</v>
      </c>
      <c r="AH3193" s="46">
        <v>791793</v>
      </c>
      <c r="AI3193" s="46">
        <v>8.3350000000000009</v>
      </c>
      <c r="AJ3193" s="46">
        <v>196</v>
      </c>
      <c r="AK3193" s="46">
        <v>87900</v>
      </c>
      <c r="AL3193" s="46">
        <v>778079.67550000001</v>
      </c>
      <c r="AM3193" s="46">
        <v>8.8520000000000003</v>
      </c>
      <c r="AN3193" s="46" t="s">
        <v>63</v>
      </c>
      <c r="AO3193" s="46">
        <v>7100</v>
      </c>
      <c r="AP3193" s="46">
        <v>13713.324000000001</v>
      </c>
      <c r="AQ3193" s="46">
        <v>1.931</v>
      </c>
      <c r="AR3193" s="46">
        <v>45444.3</v>
      </c>
      <c r="AS3193" s="46">
        <v>192</v>
      </c>
      <c r="AT3193" s="46">
        <v>95000</v>
      </c>
      <c r="AU3193" s="46">
        <v>791793</v>
      </c>
      <c r="AV3193" s="46">
        <v>8.3350000000000009</v>
      </c>
      <c r="AW3193" s="46">
        <v>220</v>
      </c>
      <c r="AX3193" s="46">
        <v>97500</v>
      </c>
      <c r="AY3193" s="46">
        <v>864247.80350000004</v>
      </c>
      <c r="AZ3193" s="46">
        <v>8.8640000000000008</v>
      </c>
      <c r="BA3193" s="46" t="s">
        <v>69</v>
      </c>
      <c r="BB3193" s="46">
        <v>2500</v>
      </c>
      <c r="BC3193" s="46">
        <v>72454.804000000004</v>
      </c>
      <c r="BD3193" s="46">
        <v>28.981999999999999</v>
      </c>
      <c r="BE3193" s="46">
        <v>50255</v>
      </c>
      <c r="BF3193" s="46">
        <v>0</v>
      </c>
      <c r="BH3193" s="46">
        <v>86168.127999999997</v>
      </c>
      <c r="BI3193">
        <v>8.98</v>
      </c>
      <c r="BJ3193">
        <v>58741.48</v>
      </c>
      <c r="BK3193">
        <v>6.12</v>
      </c>
      <c r="BL3193">
        <v>4184.5600000000004</v>
      </c>
    </row>
    <row r="3194" spans="1:64" x14ac:dyDescent="0.25">
      <c r="A3194" s="136">
        <v>43305</v>
      </c>
      <c r="B3194" s="201" t="s">
        <v>78</v>
      </c>
      <c r="C3194" t="s">
        <v>142</v>
      </c>
      <c r="D3194">
        <v>200</v>
      </c>
      <c r="E3194">
        <v>200</v>
      </c>
      <c r="F3194">
        <v>2.077</v>
      </c>
      <c r="G3194">
        <v>1118.6500000000001</v>
      </c>
      <c r="H3194">
        <v>269.27999999999997</v>
      </c>
      <c r="I3194" s="309">
        <v>1534</v>
      </c>
      <c r="J3194">
        <v>7.67</v>
      </c>
      <c r="K3194" s="133">
        <v>3.2273000466717201E-3</v>
      </c>
      <c r="L3194" s="181">
        <v>-2</v>
      </c>
      <c r="M3194" s="133">
        <v>8.7383251263696202E-4</v>
      </c>
      <c r="N3194" s="73">
        <v>1454.6510000000001</v>
      </c>
      <c r="O3194" s="73">
        <v>155.499858235294</v>
      </c>
      <c r="P3194" s="182">
        <v>0</v>
      </c>
      <c r="Q3194" s="182">
        <v>0</v>
      </c>
      <c r="R3194" s="46">
        <v>0</v>
      </c>
      <c r="S3194" s="46">
        <v>3</v>
      </c>
      <c r="T3194" s="46">
        <v>1200</v>
      </c>
      <c r="U3194" s="46">
        <v>9.923</v>
      </c>
      <c r="V3194" s="46" t="s">
        <v>68</v>
      </c>
      <c r="W3194" s="46">
        <v>1200</v>
      </c>
      <c r="X3194" s="46">
        <v>9.923</v>
      </c>
      <c r="AF3194" s="46">
        <v>14</v>
      </c>
      <c r="AG3194" s="46">
        <v>7000</v>
      </c>
      <c r="AH3194" s="46">
        <v>67625</v>
      </c>
      <c r="AI3194" s="46">
        <v>9.6609999999999996</v>
      </c>
      <c r="AJ3194" s="46">
        <v>15</v>
      </c>
      <c r="AK3194" s="46">
        <v>5600</v>
      </c>
      <c r="AL3194" s="46">
        <v>55310.559000000001</v>
      </c>
      <c r="AM3194" s="46">
        <v>9.8770000000000007</v>
      </c>
      <c r="AN3194" s="46" t="s">
        <v>63</v>
      </c>
      <c r="AO3194" s="46">
        <v>1400</v>
      </c>
      <c r="AP3194" s="46">
        <v>12314.441000000001</v>
      </c>
      <c r="AQ3194" s="46">
        <v>8.7959999999999994</v>
      </c>
      <c r="AR3194" s="46">
        <v>1209.5999999999999</v>
      </c>
      <c r="AS3194" s="46">
        <v>14</v>
      </c>
      <c r="AT3194" s="46">
        <v>7000</v>
      </c>
      <c r="AU3194" s="46">
        <v>67625</v>
      </c>
      <c r="AV3194" s="46">
        <v>9.6609999999999996</v>
      </c>
      <c r="AW3194" s="46">
        <v>18</v>
      </c>
      <c r="AX3194" s="46">
        <v>6800</v>
      </c>
      <c r="AY3194" s="46">
        <v>67209.650999999998</v>
      </c>
      <c r="AZ3194" s="46">
        <v>9.8840000000000003</v>
      </c>
      <c r="BA3194" s="46" t="s">
        <v>63</v>
      </c>
      <c r="BB3194" s="46">
        <v>200</v>
      </c>
      <c r="BC3194" s="46">
        <v>415.34899999999999</v>
      </c>
      <c r="BD3194" s="46">
        <v>2.077</v>
      </c>
      <c r="BE3194" s="46">
        <v>1516.4</v>
      </c>
      <c r="BF3194" s="46">
        <v>0</v>
      </c>
      <c r="BH3194" s="46">
        <v>11899.092000000001</v>
      </c>
      <c r="BI3194">
        <v>9.92</v>
      </c>
      <c r="BJ3194">
        <v>-11899.092000000001</v>
      </c>
      <c r="BK3194">
        <v>-9.92</v>
      </c>
      <c r="BL3194">
        <v>157.71</v>
      </c>
    </row>
    <row r="3195" spans="1:64" x14ac:dyDescent="0.25">
      <c r="A3195" s="136">
        <v>43305</v>
      </c>
      <c r="B3195" s="201" t="s">
        <v>72</v>
      </c>
      <c r="C3195" t="s">
        <v>130</v>
      </c>
      <c r="D3195">
        <v>3100</v>
      </c>
      <c r="E3195">
        <v>3100</v>
      </c>
      <c r="F3195">
        <v>6.2060000000000004</v>
      </c>
      <c r="G3195">
        <v>-1600.12</v>
      </c>
      <c r="H3195">
        <v>-8.31</v>
      </c>
      <c r="I3195" s="309">
        <v>17639</v>
      </c>
      <c r="J3195">
        <v>5.69</v>
      </c>
      <c r="K3195" s="133">
        <v>3.7109742844356301E-2</v>
      </c>
      <c r="L3195" s="181">
        <v>775</v>
      </c>
      <c r="M3195" s="133">
        <v>4.0476149200732003E-2</v>
      </c>
      <c r="N3195" s="73">
        <v>-1633.74799999999</v>
      </c>
      <c r="O3195" s="73">
        <v>-298.98788710246998</v>
      </c>
      <c r="P3195" s="182">
        <v>0</v>
      </c>
      <c r="Q3195" s="182">
        <v>0</v>
      </c>
      <c r="R3195" s="46">
        <v>0</v>
      </c>
      <c r="S3195" s="46">
        <v>14</v>
      </c>
      <c r="T3195" s="46">
        <v>5600</v>
      </c>
      <c r="U3195" s="46">
        <v>7.5659999999999998</v>
      </c>
      <c r="V3195" s="46" t="s">
        <v>68</v>
      </c>
      <c r="W3195" s="46">
        <v>5600</v>
      </c>
      <c r="X3195" s="46">
        <v>7.5659999999999998</v>
      </c>
      <c r="AF3195" s="46">
        <v>42</v>
      </c>
      <c r="AG3195" s="46">
        <v>20900</v>
      </c>
      <c r="AH3195" s="46">
        <v>152800</v>
      </c>
      <c r="AI3195" s="46">
        <v>7.3109999999999999</v>
      </c>
      <c r="AJ3195" s="46">
        <v>42</v>
      </c>
      <c r="AK3195" s="46">
        <v>18800</v>
      </c>
      <c r="AL3195" s="46">
        <v>92037.725000000006</v>
      </c>
      <c r="AM3195" s="46">
        <v>4.8959999999999999</v>
      </c>
      <c r="AN3195" s="46" t="s">
        <v>63</v>
      </c>
      <c r="AO3195" s="46">
        <v>2100</v>
      </c>
      <c r="AP3195" s="46">
        <v>60762.275000000001</v>
      </c>
      <c r="AQ3195" s="46">
        <v>28.934000000000001</v>
      </c>
      <c r="AR3195" s="46">
        <v>-45402</v>
      </c>
      <c r="AS3195" s="46">
        <v>42</v>
      </c>
      <c r="AT3195" s="46">
        <v>20900</v>
      </c>
      <c r="AU3195" s="46">
        <v>152800</v>
      </c>
      <c r="AV3195" s="46">
        <v>7.3109999999999999</v>
      </c>
      <c r="AW3195" s="46">
        <v>57</v>
      </c>
      <c r="AX3195" s="46">
        <v>24900</v>
      </c>
      <c r="AY3195" s="46">
        <v>134293.35699999999</v>
      </c>
      <c r="AZ3195" s="46">
        <v>5.3929999999999998</v>
      </c>
      <c r="BA3195" s="46" t="s">
        <v>69</v>
      </c>
      <c r="BB3195" s="46">
        <v>4000</v>
      </c>
      <c r="BC3195" s="46">
        <v>18506.643</v>
      </c>
      <c r="BD3195" s="46">
        <v>4.6269999999999998</v>
      </c>
      <c r="BE3195" s="46">
        <v>-40086.199999999997</v>
      </c>
      <c r="BF3195" s="46">
        <v>0</v>
      </c>
      <c r="BH3195" s="46">
        <v>42255.631999999998</v>
      </c>
      <c r="BI3195">
        <v>7.55</v>
      </c>
      <c r="BJ3195">
        <v>-42255.631999999998</v>
      </c>
      <c r="BK3195">
        <v>-7.55</v>
      </c>
      <c r="BL3195">
        <v>-7979.26</v>
      </c>
    </row>
    <row r="3196" spans="1:64" x14ac:dyDescent="0.25">
      <c r="A3196" s="136">
        <v>43305</v>
      </c>
      <c r="B3196" s="201" t="s">
        <v>70</v>
      </c>
      <c r="C3196" t="s">
        <v>131</v>
      </c>
      <c r="D3196">
        <v>13700</v>
      </c>
      <c r="E3196">
        <v>13700</v>
      </c>
      <c r="F3196">
        <v>11.009</v>
      </c>
      <c r="G3196">
        <v>-46428.59</v>
      </c>
      <c r="H3196">
        <v>-30.78</v>
      </c>
      <c r="I3196" s="309">
        <v>104394</v>
      </c>
      <c r="J3196">
        <v>7.62</v>
      </c>
      <c r="K3196" s="133">
        <v>0.21962891856078701</v>
      </c>
      <c r="L3196" s="181">
        <v>2877</v>
      </c>
      <c r="M3196" s="133">
        <v>0.31730753047337001</v>
      </c>
      <c r="N3196" s="73">
        <v>-46980.585000000101</v>
      </c>
      <c r="O3196" s="73">
        <v>-6194.8673756596399</v>
      </c>
      <c r="P3196" s="182">
        <v>4</v>
      </c>
      <c r="Q3196" s="182">
        <v>2000</v>
      </c>
      <c r="R3196" s="46">
        <v>7.8380000000000001</v>
      </c>
      <c r="S3196" s="46">
        <v>4</v>
      </c>
      <c r="T3196" s="46">
        <v>1600</v>
      </c>
      <c r="U3196" s="46">
        <v>9.3800000000000008</v>
      </c>
      <c r="V3196" s="46" t="s">
        <v>62</v>
      </c>
      <c r="W3196" s="46">
        <v>400</v>
      </c>
      <c r="X3196" s="46">
        <v>1.67</v>
      </c>
      <c r="AF3196" s="46">
        <v>145</v>
      </c>
      <c r="AG3196" s="46">
        <v>74100</v>
      </c>
      <c r="AH3196" s="46">
        <v>942538</v>
      </c>
      <c r="AI3196" s="46">
        <v>12.72</v>
      </c>
      <c r="AJ3196" s="46">
        <v>151</v>
      </c>
      <c r="AK3196" s="46">
        <v>60800</v>
      </c>
      <c r="AL3196" s="46">
        <v>792028.42299999995</v>
      </c>
      <c r="AM3196" s="46">
        <v>13.026999999999999</v>
      </c>
      <c r="AN3196" s="46" t="s">
        <v>63</v>
      </c>
      <c r="AO3196" s="46">
        <v>13300</v>
      </c>
      <c r="AP3196" s="46">
        <v>150509.57699999999</v>
      </c>
      <c r="AQ3196" s="46">
        <v>11.317</v>
      </c>
      <c r="AR3196" s="46">
        <v>18665.599999999999</v>
      </c>
      <c r="AS3196" s="46">
        <v>149</v>
      </c>
      <c r="AT3196" s="46">
        <v>76100</v>
      </c>
      <c r="AU3196" s="46">
        <v>958233</v>
      </c>
      <c r="AV3196" s="46">
        <v>12.592000000000001</v>
      </c>
      <c r="AW3196" s="46">
        <v>156</v>
      </c>
      <c r="AX3196" s="46">
        <v>62400</v>
      </c>
      <c r="AY3196" s="46">
        <v>807406.41500000004</v>
      </c>
      <c r="AZ3196" s="46">
        <v>12.939</v>
      </c>
      <c r="BA3196" s="46" t="s">
        <v>63</v>
      </c>
      <c r="BB3196" s="46">
        <v>13700</v>
      </c>
      <c r="BC3196" s="46">
        <v>150826.58499999999</v>
      </c>
      <c r="BD3196" s="46">
        <v>11.009</v>
      </c>
      <c r="BE3196" s="46">
        <v>21652.799999999999</v>
      </c>
      <c r="BF3196" s="46">
        <v>15695</v>
      </c>
      <c r="BG3196" s="46">
        <v>7.85</v>
      </c>
      <c r="BH3196" s="46">
        <v>15377.992</v>
      </c>
      <c r="BI3196">
        <v>9.61</v>
      </c>
      <c r="BJ3196">
        <v>317.00800000000203</v>
      </c>
      <c r="BK3196">
        <v>0.79</v>
      </c>
      <c r="BL3196">
        <v>2449.5500000000002</v>
      </c>
    </row>
    <row r="3197" spans="1:64" x14ac:dyDescent="0.25">
      <c r="A3197" s="136">
        <v>43305</v>
      </c>
      <c r="B3197" s="201" t="s">
        <v>137</v>
      </c>
      <c r="C3197" t="s">
        <v>149</v>
      </c>
      <c r="D3197">
        <v>100</v>
      </c>
      <c r="E3197">
        <v>100</v>
      </c>
      <c r="F3197">
        <v>-130.86000000000001</v>
      </c>
      <c r="G3197">
        <v>17904</v>
      </c>
      <c r="H3197">
        <v>0</v>
      </c>
      <c r="I3197" s="309">
        <v>4818</v>
      </c>
      <c r="J3197">
        <v>48.18</v>
      </c>
      <c r="K3197" s="133">
        <v>1.01363309158177E-2</v>
      </c>
      <c r="L3197" s="181">
        <v>-12</v>
      </c>
      <c r="M3197" s="133">
        <v>0</v>
      </c>
    </row>
    <row r="3198" spans="1:64" x14ac:dyDescent="0.25">
      <c r="A3198" s="136">
        <v>43305</v>
      </c>
      <c r="B3198" s="201" t="s">
        <v>835</v>
      </c>
      <c r="C3198" t="s">
        <v>839</v>
      </c>
      <c r="I3198" s="309">
        <v>14301.62</v>
      </c>
      <c r="K3198" s="133">
        <v>3.00884086658939E-2</v>
      </c>
      <c r="L3198" s="181">
        <v>0</v>
      </c>
      <c r="M3198" s="133">
        <v>3.0383999054783999E-2</v>
      </c>
    </row>
    <row r="3199" spans="1:64" x14ac:dyDescent="0.25">
      <c r="A3199" s="136">
        <v>43426</v>
      </c>
      <c r="B3199" s="201" t="s">
        <v>132</v>
      </c>
      <c r="C3199" t="s">
        <v>123</v>
      </c>
      <c r="D3199">
        <v>89</v>
      </c>
      <c r="E3199">
        <v>89</v>
      </c>
      <c r="F3199">
        <v>-42.073999999999998</v>
      </c>
      <c r="G3199">
        <v>3745.4760000000001</v>
      </c>
      <c r="H3199">
        <v>0</v>
      </c>
      <c r="I3199" s="309">
        <v>0.89</v>
      </c>
      <c r="J3199">
        <v>0.01</v>
      </c>
      <c r="K3199" s="133">
        <v>1.9890575463178302E-6</v>
      </c>
      <c r="L3199" s="181">
        <v>-5.8739999999997998</v>
      </c>
      <c r="M3199" s="133">
        <v>0</v>
      </c>
    </row>
    <row r="3200" spans="1:64" x14ac:dyDescent="0.25">
      <c r="A3200" s="136">
        <v>43426</v>
      </c>
      <c r="B3200" s="201" t="s">
        <v>61</v>
      </c>
      <c r="C3200" t="s">
        <v>136</v>
      </c>
      <c r="D3200">
        <v>4200</v>
      </c>
      <c r="E3200">
        <v>4200</v>
      </c>
      <c r="F3200">
        <v>4.8070000000000004</v>
      </c>
      <c r="G3200">
        <v>-2593.44</v>
      </c>
      <c r="H3200">
        <v>-12.83</v>
      </c>
      <c r="I3200" s="309">
        <v>17598</v>
      </c>
      <c r="J3200">
        <v>4.1900000000000004</v>
      </c>
      <c r="K3200" s="133">
        <v>3.9329701910226098E-2</v>
      </c>
      <c r="L3200" s="181">
        <v>173.23</v>
      </c>
      <c r="M3200" s="133">
        <v>4.51257709022738E-2</v>
      </c>
      <c r="N3200" s="73">
        <v>-1922.893</v>
      </c>
      <c r="O3200" s="73">
        <v>-441.82334563218399</v>
      </c>
      <c r="P3200" s="182">
        <v>6</v>
      </c>
      <c r="Q3200" s="182">
        <v>3000</v>
      </c>
      <c r="R3200" s="46">
        <v>4.4720000000000004</v>
      </c>
      <c r="S3200" s="46">
        <v>0</v>
      </c>
      <c r="T3200" s="46">
        <v>0</v>
      </c>
      <c r="U3200" s="46">
        <v>0</v>
      </c>
      <c r="V3200" s="46" t="s">
        <v>62</v>
      </c>
      <c r="W3200" s="46">
        <v>3000</v>
      </c>
      <c r="X3200" s="46">
        <v>4.4720000000000004</v>
      </c>
      <c r="AF3200" s="46">
        <v>13</v>
      </c>
      <c r="AG3200" s="46">
        <v>6500</v>
      </c>
      <c r="AH3200" s="46">
        <v>34383.9</v>
      </c>
      <c r="AI3200" s="46">
        <v>5.29</v>
      </c>
      <c r="AJ3200" s="46">
        <v>13</v>
      </c>
      <c r="AK3200" s="46">
        <v>5300</v>
      </c>
      <c r="AL3200" s="46">
        <v>27637.807000000001</v>
      </c>
      <c r="AM3200" s="46">
        <v>5.2149999999999999</v>
      </c>
      <c r="AN3200" s="46" t="s">
        <v>63</v>
      </c>
      <c r="AO3200" s="46">
        <v>1200</v>
      </c>
      <c r="AP3200" s="46">
        <v>6746.0929999999998</v>
      </c>
      <c r="AQ3200" s="46">
        <v>5.6219999999999999</v>
      </c>
      <c r="AR3200" s="46">
        <v>-397.5</v>
      </c>
      <c r="AS3200" s="46">
        <v>19</v>
      </c>
      <c r="AT3200" s="46">
        <v>9500</v>
      </c>
      <c r="AU3200" s="46">
        <v>47830.7</v>
      </c>
      <c r="AV3200" s="46">
        <v>5.0350000000000001</v>
      </c>
      <c r="AW3200" s="46">
        <v>13</v>
      </c>
      <c r="AX3200" s="46">
        <v>5300</v>
      </c>
      <c r="AY3200" s="46">
        <v>27637.807000000001</v>
      </c>
      <c r="AZ3200" s="46">
        <v>5.2149999999999999</v>
      </c>
      <c r="BA3200" s="46" t="s">
        <v>63</v>
      </c>
      <c r="BB3200" s="46">
        <v>4200</v>
      </c>
      <c r="BC3200" s="46">
        <v>20192.893</v>
      </c>
      <c r="BD3200" s="46">
        <v>4.8079999999999998</v>
      </c>
      <c r="BE3200" s="46">
        <v>954</v>
      </c>
      <c r="BF3200" s="46">
        <v>13446.8</v>
      </c>
      <c r="BG3200" s="46">
        <v>4.4800000000000004</v>
      </c>
      <c r="BH3200" s="46">
        <v>0</v>
      </c>
      <c r="BJ3200">
        <v>13446.8</v>
      </c>
      <c r="BK3200">
        <v>4.4800000000000004</v>
      </c>
      <c r="BL3200">
        <v>-94.87</v>
      </c>
    </row>
    <row r="3201" spans="1:64" x14ac:dyDescent="0.25">
      <c r="A3201" s="136">
        <v>43426</v>
      </c>
      <c r="B3201" s="201" t="s">
        <v>124</v>
      </c>
      <c r="C3201" t="s">
        <v>125</v>
      </c>
      <c r="D3201">
        <v>100</v>
      </c>
      <c r="E3201">
        <v>100</v>
      </c>
      <c r="F3201">
        <v>-53.82</v>
      </c>
      <c r="G3201">
        <v>5918</v>
      </c>
      <c r="H3201">
        <v>0</v>
      </c>
      <c r="I3201" s="309">
        <v>536</v>
      </c>
      <c r="J3201">
        <v>5.36</v>
      </c>
      <c r="K3201" s="133">
        <v>1.1979043200296201E-3</v>
      </c>
      <c r="L3201" s="181">
        <v>-25</v>
      </c>
      <c r="M3201" s="133">
        <v>0</v>
      </c>
    </row>
    <row r="3202" spans="1:64" x14ac:dyDescent="0.25">
      <c r="A3202" s="136">
        <v>43426</v>
      </c>
      <c r="B3202" s="201" t="s">
        <v>71</v>
      </c>
      <c r="C3202" t="s">
        <v>126</v>
      </c>
      <c r="D3202">
        <v>1300</v>
      </c>
      <c r="E3202">
        <v>1300</v>
      </c>
      <c r="F3202">
        <v>4.3460000000000001</v>
      </c>
      <c r="G3202">
        <v>1759.58</v>
      </c>
      <c r="H3202">
        <v>31.16</v>
      </c>
      <c r="I3202" s="309">
        <v>7410</v>
      </c>
      <c r="J3202">
        <v>5.7</v>
      </c>
      <c r="K3202" s="133">
        <v>1.6560580245185499E-2</v>
      </c>
      <c r="L3202" s="181">
        <v>-546.57000000000005</v>
      </c>
      <c r="M3202" s="133">
        <v>1.26281017313092E-2</v>
      </c>
      <c r="N3202" s="73">
        <v>2372.0360000000101</v>
      </c>
      <c r="O3202" s="73">
        <v>368.308010873147</v>
      </c>
      <c r="P3202" s="182">
        <v>0</v>
      </c>
      <c r="Q3202" s="182">
        <v>0</v>
      </c>
      <c r="R3202" s="46">
        <v>0</v>
      </c>
      <c r="S3202" s="46">
        <v>6</v>
      </c>
      <c r="T3202" s="46">
        <v>2300</v>
      </c>
      <c r="U3202" s="46">
        <v>6.39</v>
      </c>
      <c r="V3202" s="46" t="s">
        <v>68</v>
      </c>
      <c r="W3202" s="46">
        <v>2300</v>
      </c>
      <c r="X3202" s="46">
        <v>6.39</v>
      </c>
      <c r="AF3202" s="46">
        <v>49</v>
      </c>
      <c r="AG3202" s="46">
        <v>24600</v>
      </c>
      <c r="AH3202" s="46">
        <v>156135.73000000001</v>
      </c>
      <c r="AI3202" s="46">
        <v>6.3470000000000004</v>
      </c>
      <c r="AJ3202" s="46">
        <v>47</v>
      </c>
      <c r="AK3202" s="46">
        <v>21000</v>
      </c>
      <c r="AL3202" s="46">
        <v>135662.35399999999</v>
      </c>
      <c r="AM3202" s="46">
        <v>6.46</v>
      </c>
      <c r="AN3202" s="46" t="s">
        <v>63</v>
      </c>
      <c r="AO3202" s="46">
        <v>3600</v>
      </c>
      <c r="AP3202" s="46">
        <v>20473.376</v>
      </c>
      <c r="AQ3202" s="46">
        <v>5.6870000000000003</v>
      </c>
      <c r="AR3202" s="46">
        <v>2373</v>
      </c>
      <c r="AS3202" s="46">
        <v>49</v>
      </c>
      <c r="AT3202" s="46">
        <v>24600</v>
      </c>
      <c r="AU3202" s="46">
        <v>156135.73000000001</v>
      </c>
      <c r="AV3202" s="46">
        <v>6.3470000000000004</v>
      </c>
      <c r="AW3202" s="46">
        <v>53</v>
      </c>
      <c r="AX3202" s="46">
        <v>23300</v>
      </c>
      <c r="AY3202" s="46">
        <v>150320.27799999999</v>
      </c>
      <c r="AZ3202" s="46">
        <v>6.452</v>
      </c>
      <c r="BA3202" s="46" t="s">
        <v>63</v>
      </c>
      <c r="BB3202" s="46">
        <v>1300</v>
      </c>
      <c r="BC3202" s="46">
        <v>5815.4520000000002</v>
      </c>
      <c r="BD3202" s="46">
        <v>4.4729999999999999</v>
      </c>
      <c r="BE3202" s="46">
        <v>2446.5</v>
      </c>
      <c r="BF3202" s="46">
        <v>0</v>
      </c>
      <c r="BH3202" s="46">
        <v>14657.924000000001</v>
      </c>
      <c r="BI3202">
        <v>6.37</v>
      </c>
      <c r="BJ3202">
        <v>-14657.924000000001</v>
      </c>
      <c r="BK3202">
        <v>-6.37</v>
      </c>
      <c r="BL3202">
        <v>416.32</v>
      </c>
    </row>
    <row r="3203" spans="1:64" x14ac:dyDescent="0.25">
      <c r="A3203" s="136">
        <v>43426</v>
      </c>
      <c r="B3203" s="201" t="s">
        <v>79</v>
      </c>
      <c r="C3203" t="s">
        <v>143</v>
      </c>
      <c r="D3203">
        <v>11920</v>
      </c>
      <c r="E3203">
        <v>11420</v>
      </c>
      <c r="F3203">
        <v>10.387</v>
      </c>
      <c r="G3203">
        <v>-33584.54</v>
      </c>
      <c r="H3203">
        <v>-27.12</v>
      </c>
      <c r="I3203" s="309">
        <v>90234.4</v>
      </c>
      <c r="J3203">
        <v>7.57</v>
      </c>
      <c r="K3203" s="133">
        <v>0.20166451040164199</v>
      </c>
      <c r="L3203" s="181">
        <v>-17155.07</v>
      </c>
      <c r="M3203" s="133">
        <v>0.27672246852143201</v>
      </c>
      <c r="N3203" s="73">
        <v>-32885.1960000002</v>
      </c>
      <c r="O3203" s="73">
        <v>-4307.8313764089398</v>
      </c>
      <c r="P3203" s="182">
        <v>14</v>
      </c>
      <c r="Q3203" s="182">
        <v>9420</v>
      </c>
      <c r="R3203" s="46">
        <v>8.0079999999999991</v>
      </c>
      <c r="S3203" s="46">
        <v>0</v>
      </c>
      <c r="T3203" s="46">
        <v>0</v>
      </c>
      <c r="U3203" s="46">
        <v>0</v>
      </c>
      <c r="V3203" s="46" t="s">
        <v>62</v>
      </c>
      <c r="W3203" s="46">
        <v>9420</v>
      </c>
      <c r="X3203" s="46">
        <v>8.0079999999999991</v>
      </c>
      <c r="AF3203" s="46">
        <v>24</v>
      </c>
      <c r="AG3203" s="46">
        <v>12500</v>
      </c>
      <c r="AH3203" s="46">
        <v>195607.5</v>
      </c>
      <c r="AI3203" s="46">
        <v>15.648999999999999</v>
      </c>
      <c r="AJ3203" s="46">
        <v>25</v>
      </c>
      <c r="AK3203" s="46">
        <v>10000</v>
      </c>
      <c r="AL3203" s="46">
        <v>147288.356</v>
      </c>
      <c r="AM3203" s="46">
        <v>14.728999999999999</v>
      </c>
      <c r="AN3203" s="46" t="s">
        <v>63</v>
      </c>
      <c r="AO3203" s="46">
        <v>2500</v>
      </c>
      <c r="AP3203" s="46">
        <v>48319.144</v>
      </c>
      <c r="AQ3203" s="46">
        <v>19.327999999999999</v>
      </c>
      <c r="AR3203" s="46">
        <v>-9200</v>
      </c>
      <c r="AS3203" s="46">
        <v>38</v>
      </c>
      <c r="AT3203" s="46">
        <v>21920</v>
      </c>
      <c r="AU3203" s="46">
        <v>271123.152</v>
      </c>
      <c r="AV3203" s="46">
        <v>12.369</v>
      </c>
      <c r="AW3203" s="46">
        <v>25</v>
      </c>
      <c r="AX3203" s="46">
        <v>10000</v>
      </c>
      <c r="AY3203" s="46">
        <v>147288.356</v>
      </c>
      <c r="AZ3203" s="46">
        <v>14.728999999999999</v>
      </c>
      <c r="BA3203" s="46" t="s">
        <v>63</v>
      </c>
      <c r="BB3203" s="46">
        <v>11920</v>
      </c>
      <c r="BC3203" s="46">
        <v>123834.796</v>
      </c>
      <c r="BD3203" s="46">
        <v>10.388999999999999</v>
      </c>
      <c r="BE3203" s="46">
        <v>23600</v>
      </c>
      <c r="BF3203" s="46">
        <v>75515.651999999798</v>
      </c>
      <c r="BG3203" s="46">
        <v>8.02</v>
      </c>
      <c r="BH3203" s="46">
        <v>0</v>
      </c>
      <c r="BJ3203">
        <v>75515.652000000002</v>
      </c>
      <c r="BK3203">
        <v>8.02</v>
      </c>
      <c r="BL3203">
        <v>-1215.32</v>
      </c>
    </row>
    <row r="3204" spans="1:64" x14ac:dyDescent="0.25">
      <c r="A3204" s="136">
        <v>43426</v>
      </c>
      <c r="B3204" s="201" t="s">
        <v>65</v>
      </c>
      <c r="C3204" t="s">
        <v>127</v>
      </c>
      <c r="D3204">
        <v>26100</v>
      </c>
      <c r="E3204">
        <v>26100</v>
      </c>
      <c r="F3204">
        <v>8.7509999999999994</v>
      </c>
      <c r="G3204">
        <v>-40752.839999999997</v>
      </c>
      <c r="H3204">
        <v>-17.84</v>
      </c>
      <c r="I3204" s="309">
        <v>187659</v>
      </c>
      <c r="J3204">
        <v>7.19</v>
      </c>
      <c r="K3204" s="133">
        <v>0.41939837088141302</v>
      </c>
      <c r="L3204" s="181">
        <v>-6826.73</v>
      </c>
      <c r="M3204" s="133">
        <v>0.51047673485431599</v>
      </c>
      <c r="N3204" s="73">
        <v>-45818.258999999998</v>
      </c>
      <c r="O3204" s="73">
        <v>-5798.3152440293597</v>
      </c>
      <c r="P3204" s="182">
        <v>17</v>
      </c>
      <c r="Q3204" s="182">
        <v>8700</v>
      </c>
      <c r="R3204" s="46">
        <v>7.3179999999999996</v>
      </c>
      <c r="S3204" s="46">
        <v>8</v>
      </c>
      <c r="T3204" s="46">
        <v>3300</v>
      </c>
      <c r="U3204" s="46">
        <v>12.547000000000001</v>
      </c>
      <c r="V3204" s="46" t="s">
        <v>62</v>
      </c>
      <c r="W3204" s="46">
        <v>5400</v>
      </c>
      <c r="X3204" s="46">
        <v>4.1230000000000002</v>
      </c>
      <c r="AF3204" s="46">
        <v>210</v>
      </c>
      <c r="AG3204" s="46">
        <v>113800</v>
      </c>
      <c r="AH3204" s="46">
        <v>1252111.6810000001</v>
      </c>
      <c r="AI3204" s="46">
        <v>11.003</v>
      </c>
      <c r="AJ3204" s="46">
        <v>238</v>
      </c>
      <c r="AK3204" s="46">
        <v>102300</v>
      </c>
      <c r="AL3204" s="46">
        <v>1041991.824</v>
      </c>
      <c r="AM3204" s="46">
        <v>10.186</v>
      </c>
      <c r="AN3204" s="46" t="s">
        <v>63</v>
      </c>
      <c r="AO3204" s="46">
        <v>11500</v>
      </c>
      <c r="AP3204" s="46">
        <v>210119.85699999999</v>
      </c>
      <c r="AQ3204" s="46">
        <v>18.271000000000001</v>
      </c>
      <c r="AR3204" s="46">
        <v>-83579.100000000006</v>
      </c>
      <c r="AS3204" s="46">
        <v>228</v>
      </c>
      <c r="AT3204" s="46">
        <v>122600</v>
      </c>
      <c r="AU3204" s="46">
        <v>1317149.6810000001</v>
      </c>
      <c r="AV3204" s="46">
        <v>10.743</v>
      </c>
      <c r="AW3204" s="46">
        <v>246</v>
      </c>
      <c r="AX3204" s="46">
        <v>105600</v>
      </c>
      <c r="AY3204" s="46">
        <v>1083314.42</v>
      </c>
      <c r="AZ3204" s="46">
        <v>10.259</v>
      </c>
      <c r="BA3204" s="46" t="s">
        <v>63</v>
      </c>
      <c r="BB3204" s="46">
        <v>17000</v>
      </c>
      <c r="BC3204" s="46">
        <v>233835.261</v>
      </c>
      <c r="BD3204" s="46">
        <v>13.755000000000001</v>
      </c>
      <c r="BE3204" s="46">
        <v>-51110.400000000001</v>
      </c>
      <c r="BF3204" s="46">
        <v>65038</v>
      </c>
      <c r="BG3204" s="46">
        <v>7.48</v>
      </c>
      <c r="BH3204" s="46">
        <v>41322.595999999801</v>
      </c>
      <c r="BI3204">
        <v>12.52</v>
      </c>
      <c r="BJ3204">
        <v>23715.403999999999</v>
      </c>
      <c r="BK3204">
        <v>4.3899999999999997</v>
      </c>
      <c r="BL3204">
        <v>-11624.35</v>
      </c>
    </row>
    <row r="3205" spans="1:64" x14ac:dyDescent="0.25">
      <c r="A3205" s="136">
        <v>43426</v>
      </c>
      <c r="B3205" s="201" t="s">
        <v>77</v>
      </c>
      <c r="C3205" t="s">
        <v>150</v>
      </c>
      <c r="D3205">
        <v>5600</v>
      </c>
      <c r="E3205">
        <v>5600</v>
      </c>
      <c r="F3205">
        <v>5.5229999999999997</v>
      </c>
      <c r="G3205">
        <v>-7799.04</v>
      </c>
      <c r="H3205">
        <v>-25.22</v>
      </c>
      <c r="I3205" s="309">
        <v>23128</v>
      </c>
      <c r="J3205">
        <v>4.13</v>
      </c>
      <c r="K3205" s="133">
        <v>5.1688677450830098E-2</v>
      </c>
      <c r="L3205" s="181">
        <v>-649.77</v>
      </c>
      <c r="M3205" s="133">
        <v>6.9118721682329701E-2</v>
      </c>
      <c r="N3205" s="73">
        <v>-7463.9859999999999</v>
      </c>
      <c r="O3205" s="73">
        <v>-1626.2859829439301</v>
      </c>
      <c r="P3205" s="182">
        <v>8</v>
      </c>
      <c r="Q3205" s="182">
        <v>4000</v>
      </c>
      <c r="R3205" s="46">
        <v>5.399</v>
      </c>
      <c r="S3205" s="46">
        <v>0</v>
      </c>
      <c r="T3205" s="46">
        <v>0</v>
      </c>
      <c r="U3205" s="46">
        <v>0</v>
      </c>
      <c r="V3205" s="46" t="s">
        <v>62</v>
      </c>
      <c r="W3205" s="46">
        <v>4000</v>
      </c>
      <c r="X3205" s="46">
        <v>5.399</v>
      </c>
      <c r="AF3205" s="46">
        <v>42</v>
      </c>
      <c r="AG3205" s="46">
        <v>21000</v>
      </c>
      <c r="AH3205" s="46">
        <v>151219</v>
      </c>
      <c r="AI3205" s="46">
        <v>7.2009999999999996</v>
      </c>
      <c r="AJ3205" s="46">
        <v>42</v>
      </c>
      <c r="AK3205" s="46">
        <v>19400</v>
      </c>
      <c r="AL3205" s="46">
        <v>141634.014</v>
      </c>
      <c r="AM3205" s="46">
        <v>7.3010000000000002</v>
      </c>
      <c r="AN3205" s="46" t="s">
        <v>63</v>
      </c>
      <c r="AO3205" s="46">
        <v>1600</v>
      </c>
      <c r="AP3205" s="46">
        <v>9584.9860000000008</v>
      </c>
      <c r="AQ3205" s="46">
        <v>5.9909999999999997</v>
      </c>
      <c r="AR3205" s="46">
        <v>1940</v>
      </c>
      <c r="AS3205" s="46">
        <v>50</v>
      </c>
      <c r="AT3205" s="46">
        <v>25000</v>
      </c>
      <c r="AU3205" s="46">
        <v>172566</v>
      </c>
      <c r="AV3205" s="46">
        <v>6.9029999999999996</v>
      </c>
      <c r="AW3205" s="46">
        <v>42</v>
      </c>
      <c r="AX3205" s="46">
        <v>19400</v>
      </c>
      <c r="AY3205" s="46">
        <v>141634.014</v>
      </c>
      <c r="AZ3205" s="46">
        <v>7.3010000000000002</v>
      </c>
      <c r="BA3205" s="46" t="s">
        <v>63</v>
      </c>
      <c r="BB3205" s="46">
        <v>5600</v>
      </c>
      <c r="BC3205" s="46">
        <v>30931.986000000001</v>
      </c>
      <c r="BD3205" s="46">
        <v>5.524</v>
      </c>
      <c r="BE3205" s="46">
        <v>7721.2</v>
      </c>
      <c r="BF3205" s="46">
        <v>21347</v>
      </c>
      <c r="BG3205" s="46">
        <v>5.34</v>
      </c>
      <c r="BH3205" s="46">
        <v>0</v>
      </c>
      <c r="BJ3205">
        <v>21347</v>
      </c>
      <c r="BK3205">
        <v>5.34</v>
      </c>
      <c r="BL3205">
        <v>469.73</v>
      </c>
    </row>
    <row r="3206" spans="1:64" x14ac:dyDescent="0.25">
      <c r="A3206" s="136">
        <v>43426</v>
      </c>
      <c r="B3206" s="201" t="s">
        <v>67</v>
      </c>
      <c r="C3206" t="s">
        <v>129</v>
      </c>
      <c r="D3206">
        <v>630</v>
      </c>
      <c r="E3206">
        <v>130</v>
      </c>
      <c r="F3206">
        <v>0.315</v>
      </c>
      <c r="G3206">
        <v>4217.79</v>
      </c>
      <c r="H3206">
        <v>2125.4</v>
      </c>
      <c r="I3206" s="309">
        <v>4416.3</v>
      </c>
      <c r="J3206">
        <v>7.01</v>
      </c>
      <c r="K3206" s="133">
        <v>9.8699717323634095E-3</v>
      </c>
      <c r="L3206" s="181">
        <v>-194.71</v>
      </c>
      <c r="M3206" s="133">
        <v>4.43649228673655E-4</v>
      </c>
      <c r="N3206" s="73">
        <v>4231.8874999997497</v>
      </c>
      <c r="O3206" s="73">
        <v>600.81982333093401</v>
      </c>
      <c r="P3206" s="182">
        <v>1</v>
      </c>
      <c r="Q3206" s="182">
        <v>30</v>
      </c>
      <c r="R3206" s="46">
        <v>0</v>
      </c>
      <c r="S3206" s="46">
        <v>23</v>
      </c>
      <c r="T3206" s="46">
        <v>9200</v>
      </c>
      <c r="U3206" s="46">
        <v>9.0169999999999995</v>
      </c>
      <c r="V3206" s="46" t="s">
        <v>68</v>
      </c>
      <c r="W3206" s="46">
        <v>9170</v>
      </c>
      <c r="X3206" s="46">
        <v>9.0459999999999994</v>
      </c>
      <c r="AF3206" s="46">
        <v>193</v>
      </c>
      <c r="AG3206" s="46">
        <v>95500</v>
      </c>
      <c r="AH3206" s="46">
        <v>795318</v>
      </c>
      <c r="AI3206" s="46">
        <v>8.3279999999999994</v>
      </c>
      <c r="AJ3206" s="46">
        <v>197</v>
      </c>
      <c r="AK3206" s="46">
        <v>88300</v>
      </c>
      <c r="AL3206" s="46">
        <v>781491.25549999997</v>
      </c>
      <c r="AM3206" s="46">
        <v>8.85</v>
      </c>
      <c r="AN3206" s="46" t="s">
        <v>63</v>
      </c>
      <c r="AO3206" s="46">
        <v>7200</v>
      </c>
      <c r="AP3206" s="46">
        <v>13826.744000000001</v>
      </c>
      <c r="AQ3206" s="46">
        <v>1.92</v>
      </c>
      <c r="AR3206" s="46">
        <v>46092.6</v>
      </c>
      <c r="AS3206" s="46">
        <v>194</v>
      </c>
      <c r="AT3206" s="46">
        <v>95530</v>
      </c>
      <c r="AU3206" s="46">
        <v>795323</v>
      </c>
      <c r="AV3206" s="46">
        <v>8.3249999999999993</v>
      </c>
      <c r="AW3206" s="46">
        <v>220</v>
      </c>
      <c r="AX3206" s="46">
        <v>97500</v>
      </c>
      <c r="AY3206" s="46">
        <v>864247.80350000004</v>
      </c>
      <c r="AZ3206" s="46">
        <v>8.8640000000000008</v>
      </c>
      <c r="BA3206" s="46" t="s">
        <v>69</v>
      </c>
      <c r="BB3206" s="46">
        <v>1970</v>
      </c>
      <c r="BC3206" s="46">
        <v>68924.804000000004</v>
      </c>
      <c r="BD3206" s="46">
        <v>34.987000000000002</v>
      </c>
      <c r="BE3206" s="46">
        <v>51490.67</v>
      </c>
      <c r="BF3206" s="46">
        <v>5</v>
      </c>
      <c r="BG3206" s="46">
        <v>0.17</v>
      </c>
      <c r="BH3206" s="46">
        <v>82756.548000000097</v>
      </c>
      <c r="BI3206">
        <v>9</v>
      </c>
      <c r="BJ3206">
        <v>55098.06</v>
      </c>
      <c r="BK3206">
        <v>6.01</v>
      </c>
      <c r="BL3206">
        <v>6575.26</v>
      </c>
    </row>
    <row r="3207" spans="1:64" x14ac:dyDescent="0.25">
      <c r="A3207" s="136">
        <v>43426</v>
      </c>
      <c r="B3207" s="201" t="s">
        <v>78</v>
      </c>
      <c r="C3207" t="s">
        <v>142</v>
      </c>
      <c r="D3207">
        <v>200</v>
      </c>
      <c r="E3207">
        <v>200</v>
      </c>
      <c r="F3207">
        <v>2.077</v>
      </c>
      <c r="G3207">
        <v>1304.6500000000001</v>
      </c>
      <c r="H3207">
        <v>314.06</v>
      </c>
      <c r="I3207" s="309">
        <v>1720</v>
      </c>
      <c r="J3207">
        <v>8.6</v>
      </c>
      <c r="K3207" s="133">
        <v>3.8440213254681702E-3</v>
      </c>
      <c r="L3207" s="181">
        <v>186</v>
      </c>
      <c r="M3207" s="133">
        <v>9.2826410321697895E-4</v>
      </c>
      <c r="N3207" s="73">
        <v>1454.6510000000001</v>
      </c>
      <c r="O3207" s="73">
        <v>155.499858235294</v>
      </c>
      <c r="P3207" s="182">
        <v>0</v>
      </c>
      <c r="Q3207" s="182">
        <v>0</v>
      </c>
      <c r="R3207" s="46">
        <v>0</v>
      </c>
      <c r="S3207" s="46">
        <v>3</v>
      </c>
      <c r="T3207" s="46">
        <v>1200</v>
      </c>
      <c r="U3207" s="46">
        <v>9.923</v>
      </c>
      <c r="V3207" s="46" t="s">
        <v>68</v>
      </c>
      <c r="W3207" s="46">
        <v>1200</v>
      </c>
      <c r="X3207" s="46">
        <v>9.923</v>
      </c>
      <c r="AF3207" s="46">
        <v>14</v>
      </c>
      <c r="AG3207" s="46">
        <v>7000</v>
      </c>
      <c r="AH3207" s="46">
        <v>67625</v>
      </c>
      <c r="AI3207" s="46">
        <v>9.6609999999999996</v>
      </c>
      <c r="AJ3207" s="46">
        <v>15</v>
      </c>
      <c r="AK3207" s="46">
        <v>5600</v>
      </c>
      <c r="AL3207" s="46">
        <v>55310.559000000001</v>
      </c>
      <c r="AM3207" s="46">
        <v>9.8770000000000007</v>
      </c>
      <c r="AN3207" s="46" t="s">
        <v>63</v>
      </c>
      <c r="AO3207" s="46">
        <v>1400</v>
      </c>
      <c r="AP3207" s="46">
        <v>12314.441000000001</v>
      </c>
      <c r="AQ3207" s="46">
        <v>8.7959999999999994</v>
      </c>
      <c r="AR3207" s="46">
        <v>1209.5999999999999</v>
      </c>
      <c r="AS3207" s="46">
        <v>14</v>
      </c>
      <c r="AT3207" s="46">
        <v>7000</v>
      </c>
      <c r="AU3207" s="46">
        <v>67625</v>
      </c>
      <c r="AV3207" s="46">
        <v>9.6609999999999996</v>
      </c>
      <c r="AW3207" s="46">
        <v>18</v>
      </c>
      <c r="AX3207" s="46">
        <v>6800</v>
      </c>
      <c r="AY3207" s="46">
        <v>67209.650999999998</v>
      </c>
      <c r="AZ3207" s="46">
        <v>9.8840000000000003</v>
      </c>
      <c r="BA3207" s="46" t="s">
        <v>63</v>
      </c>
      <c r="BB3207" s="46">
        <v>200</v>
      </c>
      <c r="BC3207" s="46">
        <v>415.34899999999999</v>
      </c>
      <c r="BD3207" s="46">
        <v>2.077</v>
      </c>
      <c r="BE3207" s="46">
        <v>1516.4</v>
      </c>
      <c r="BF3207" s="46">
        <v>0</v>
      </c>
      <c r="BH3207" s="46">
        <v>11899.092000000001</v>
      </c>
      <c r="BI3207">
        <v>9.92</v>
      </c>
      <c r="BJ3207">
        <v>-11899.092000000001</v>
      </c>
      <c r="BK3207">
        <v>-9.92</v>
      </c>
      <c r="BL3207">
        <v>140.65</v>
      </c>
    </row>
    <row r="3208" spans="1:64" x14ac:dyDescent="0.25">
      <c r="A3208" s="136">
        <v>43426</v>
      </c>
      <c r="B3208" s="201" t="s">
        <v>72</v>
      </c>
      <c r="C3208" t="s">
        <v>130</v>
      </c>
      <c r="D3208">
        <v>400</v>
      </c>
      <c r="E3208">
        <v>400</v>
      </c>
      <c r="F3208">
        <v>0.373</v>
      </c>
      <c r="G3208">
        <v>2010.74</v>
      </c>
      <c r="H3208">
        <v>1347.72</v>
      </c>
      <c r="I3208" s="309">
        <v>2160</v>
      </c>
      <c r="J3208">
        <v>5.4</v>
      </c>
      <c r="K3208" s="133">
        <v>4.8273756180297897E-3</v>
      </c>
      <c r="L3208" s="181">
        <v>3610.86</v>
      </c>
      <c r="M3208" s="133">
        <v>3.33580594790336E-4</v>
      </c>
      <c r="N3208" s="73">
        <v>2837.03800000001</v>
      </c>
      <c r="O3208" s="73">
        <v>381.19932992519</v>
      </c>
      <c r="P3208" s="182">
        <v>0</v>
      </c>
      <c r="Q3208" s="182">
        <v>0</v>
      </c>
      <c r="R3208" s="46">
        <v>0</v>
      </c>
      <c r="S3208" s="46">
        <v>19</v>
      </c>
      <c r="T3208" s="46">
        <v>8300</v>
      </c>
      <c r="U3208" s="46">
        <v>7.41</v>
      </c>
      <c r="V3208" s="46" t="s">
        <v>68</v>
      </c>
      <c r="W3208" s="46">
        <v>8300</v>
      </c>
      <c r="X3208" s="46">
        <v>7.41</v>
      </c>
      <c r="AF3208" s="46">
        <v>42</v>
      </c>
      <c r="AG3208" s="46">
        <v>20900</v>
      </c>
      <c r="AH3208" s="46">
        <v>152800</v>
      </c>
      <c r="AI3208" s="46">
        <v>7.3109999999999999</v>
      </c>
      <c r="AJ3208" s="46">
        <v>42</v>
      </c>
      <c r="AK3208" s="46">
        <v>18800</v>
      </c>
      <c r="AL3208" s="46">
        <v>92037.725000000006</v>
      </c>
      <c r="AM3208" s="46">
        <v>4.8959999999999999</v>
      </c>
      <c r="AN3208" s="46" t="s">
        <v>63</v>
      </c>
      <c r="AO3208" s="46">
        <v>2100</v>
      </c>
      <c r="AP3208" s="46">
        <v>60762.275000000001</v>
      </c>
      <c r="AQ3208" s="46">
        <v>28.934000000000001</v>
      </c>
      <c r="AR3208" s="46">
        <v>-45402</v>
      </c>
      <c r="AS3208" s="46">
        <v>42</v>
      </c>
      <c r="AT3208" s="46">
        <v>20900</v>
      </c>
      <c r="AU3208" s="46">
        <v>152800</v>
      </c>
      <c r="AV3208" s="46">
        <v>7.3109999999999999</v>
      </c>
      <c r="AW3208" s="46">
        <v>62</v>
      </c>
      <c r="AX3208" s="46">
        <v>27600</v>
      </c>
      <c r="AY3208" s="46">
        <v>153383.223</v>
      </c>
      <c r="AZ3208" s="46">
        <v>5.5570000000000004</v>
      </c>
      <c r="BA3208" s="46" t="s">
        <v>69</v>
      </c>
      <c r="BB3208" s="46">
        <v>6700</v>
      </c>
      <c r="BC3208" s="46">
        <v>583.22299999999996</v>
      </c>
      <c r="BD3208" s="46">
        <v>8.6999999999999994E-2</v>
      </c>
      <c r="BE3208" s="46">
        <v>-36658.6</v>
      </c>
      <c r="BF3208" s="46">
        <v>0</v>
      </c>
      <c r="BH3208" s="46">
        <v>61345.498</v>
      </c>
      <c r="BI3208">
        <v>7.39</v>
      </c>
      <c r="BJ3208">
        <v>-60179.052000000003</v>
      </c>
      <c r="BK3208">
        <v>-7.25</v>
      </c>
      <c r="BL3208">
        <v>-8407.7800000000007</v>
      </c>
    </row>
    <row r="3209" spans="1:64" x14ac:dyDescent="0.25">
      <c r="A3209" s="136">
        <v>43426</v>
      </c>
      <c r="B3209" s="201" t="s">
        <v>70</v>
      </c>
      <c r="C3209" t="s">
        <v>131</v>
      </c>
      <c r="D3209">
        <v>14400</v>
      </c>
      <c r="E3209">
        <v>14400</v>
      </c>
      <c r="F3209">
        <v>10.782999999999999</v>
      </c>
      <c r="G3209">
        <v>-61392.91</v>
      </c>
      <c r="H3209">
        <v>-39.53</v>
      </c>
      <c r="I3209" s="309">
        <v>93888</v>
      </c>
      <c r="J3209">
        <v>6.52</v>
      </c>
      <c r="K3209" s="133">
        <v>0.209829926863695</v>
      </c>
      <c r="L3209" s="181">
        <v>-14964.32</v>
      </c>
      <c r="M3209" s="133">
        <v>0.34703670318494401</v>
      </c>
      <c r="N3209" s="73">
        <v>-62548.9010000001</v>
      </c>
      <c r="O3209" s="73">
        <v>-9707.7059859472192</v>
      </c>
      <c r="P3209" s="182">
        <v>1</v>
      </c>
      <c r="Q3209" s="182">
        <v>500</v>
      </c>
      <c r="R3209" s="46">
        <v>6.85</v>
      </c>
      <c r="S3209" s="46">
        <v>0</v>
      </c>
      <c r="T3209" s="46">
        <v>0</v>
      </c>
      <c r="U3209" s="46">
        <v>0</v>
      </c>
      <c r="V3209" s="46" t="s">
        <v>62</v>
      </c>
      <c r="W3209" s="46">
        <v>500</v>
      </c>
      <c r="X3209" s="46">
        <v>6.85</v>
      </c>
      <c r="AF3209" s="46">
        <v>152</v>
      </c>
      <c r="AG3209" s="46">
        <v>77600</v>
      </c>
      <c r="AH3209" s="46">
        <v>968553</v>
      </c>
      <c r="AI3209" s="46">
        <v>12.481</v>
      </c>
      <c r="AJ3209" s="46">
        <v>158</v>
      </c>
      <c r="AK3209" s="46">
        <v>63700</v>
      </c>
      <c r="AL3209" s="46">
        <v>816293.09900000005</v>
      </c>
      <c r="AM3209" s="46">
        <v>12.815</v>
      </c>
      <c r="AN3209" s="46" t="s">
        <v>63</v>
      </c>
      <c r="AO3209" s="46">
        <v>13900</v>
      </c>
      <c r="AP3209" s="46">
        <v>152259.90100000001</v>
      </c>
      <c r="AQ3209" s="46">
        <v>10.954000000000001</v>
      </c>
      <c r="AR3209" s="46">
        <v>21275.8</v>
      </c>
      <c r="AS3209" s="46">
        <v>153</v>
      </c>
      <c r="AT3209" s="46">
        <v>78100</v>
      </c>
      <c r="AU3209" s="46">
        <v>971983</v>
      </c>
      <c r="AV3209" s="46">
        <v>12.445</v>
      </c>
      <c r="AW3209" s="46">
        <v>159</v>
      </c>
      <c r="AX3209" s="46">
        <v>63700</v>
      </c>
      <c r="AY3209" s="46">
        <v>816698.09900000005</v>
      </c>
      <c r="AZ3209" s="46">
        <v>12.821</v>
      </c>
      <c r="BA3209" s="46" t="s">
        <v>63</v>
      </c>
      <c r="BB3209" s="46">
        <v>14400</v>
      </c>
      <c r="BC3209" s="46">
        <v>155284.90100000001</v>
      </c>
      <c r="BD3209" s="46">
        <v>10.784000000000001</v>
      </c>
      <c r="BE3209" s="46">
        <v>23951.200000000001</v>
      </c>
      <c r="BF3209" s="46">
        <v>3430</v>
      </c>
      <c r="BG3209" s="46">
        <v>6.86</v>
      </c>
      <c r="BH3209" s="46">
        <v>405</v>
      </c>
      <c r="BJ3209">
        <v>3025</v>
      </c>
      <c r="BK3209">
        <v>6.05</v>
      </c>
      <c r="BL3209">
        <v>3263.16</v>
      </c>
    </row>
    <row r="3210" spans="1:64" x14ac:dyDescent="0.25">
      <c r="A3210" s="136">
        <v>43426</v>
      </c>
      <c r="B3210" s="201" t="s">
        <v>137</v>
      </c>
      <c r="C3210" t="s">
        <v>149</v>
      </c>
      <c r="D3210">
        <v>100</v>
      </c>
      <c r="E3210">
        <v>100</v>
      </c>
      <c r="F3210">
        <v>-130.86000000000001</v>
      </c>
      <c r="G3210">
        <v>16687</v>
      </c>
      <c r="H3210">
        <v>0</v>
      </c>
      <c r="I3210" s="309">
        <v>3601</v>
      </c>
      <c r="J3210">
        <v>36.01</v>
      </c>
      <c r="K3210" s="133">
        <v>8.0478609261691106E-3</v>
      </c>
      <c r="L3210" s="181">
        <v>-1217</v>
      </c>
      <c r="M3210" s="133">
        <v>0</v>
      </c>
    </row>
    <row r="3211" spans="1:64" x14ac:dyDescent="0.25">
      <c r="A3211" s="136">
        <v>43426</v>
      </c>
      <c r="B3211" s="201" t="s">
        <v>835</v>
      </c>
      <c r="C3211" t="s">
        <v>839</v>
      </c>
      <c r="I3211" s="309">
        <v>15096.5</v>
      </c>
      <c r="K3211" s="133">
        <v>3.3739109267401299E-2</v>
      </c>
      <c r="L3211" s="181">
        <v>0</v>
      </c>
      <c r="M3211" s="133">
        <v>3.3741098324947601E-2</v>
      </c>
    </row>
    <row r="3212" spans="1:64" x14ac:dyDescent="0.25">
      <c r="A3212" s="136">
        <v>43550</v>
      </c>
      <c r="B3212" s="201" t="s">
        <v>132</v>
      </c>
      <c r="C3212" t="s">
        <v>123</v>
      </c>
      <c r="D3212">
        <v>5001789</v>
      </c>
      <c r="E3212">
        <v>5001789</v>
      </c>
      <c r="F3212">
        <v>8.9999999999999993E-3</v>
      </c>
      <c r="G3212">
        <v>3819.67</v>
      </c>
      <c r="H3212">
        <v>11.11</v>
      </c>
      <c r="I3212" s="309">
        <v>50017.89</v>
      </c>
      <c r="J3212">
        <v>0.01</v>
      </c>
      <c r="K3212" s="133">
        <v>9.9693629469787104E-2</v>
      </c>
      <c r="L3212" s="181">
        <v>74.19399999999996</v>
      </c>
      <c r="M3212" s="133">
        <v>0</v>
      </c>
    </row>
    <row r="3213" spans="1:64" x14ac:dyDescent="0.25">
      <c r="A3213" s="136">
        <v>43550</v>
      </c>
      <c r="B3213" s="201" t="s">
        <v>61</v>
      </c>
      <c r="C3213" t="s">
        <v>136</v>
      </c>
      <c r="D3213">
        <v>2700</v>
      </c>
      <c r="E3213">
        <v>2700</v>
      </c>
      <c r="F3213">
        <v>4.952</v>
      </c>
      <c r="G3213">
        <v>-1327.58</v>
      </c>
      <c r="H3213">
        <v>-9.93</v>
      </c>
      <c r="I3213" s="309">
        <v>12042</v>
      </c>
      <c r="J3213">
        <v>4.46</v>
      </c>
      <c r="K3213" s="133">
        <v>2.4001625939742286E-2</v>
      </c>
      <c r="L3213" s="181">
        <v>1265.8600000000001</v>
      </c>
      <c r="M3213" s="133">
        <v>2.6647704545047307E-2</v>
      </c>
      <c r="N3213" s="73">
        <v>-763.30900000000474</v>
      </c>
      <c r="O3213" s="73">
        <v>-163.36773993576119</v>
      </c>
      <c r="P3213" s="182">
        <v>2</v>
      </c>
      <c r="Q3213" s="182">
        <v>1000</v>
      </c>
      <c r="R3213" s="46">
        <v>4.82</v>
      </c>
      <c r="S3213" s="46">
        <v>0</v>
      </c>
      <c r="T3213" s="46">
        <v>0</v>
      </c>
      <c r="U3213" s="46">
        <v>0</v>
      </c>
      <c r="V3213" s="46" t="s">
        <v>62</v>
      </c>
      <c r="W3213" s="46">
        <v>1000</v>
      </c>
      <c r="X3213" s="46">
        <v>4.82</v>
      </c>
      <c r="AF3213" s="46">
        <v>18</v>
      </c>
      <c r="AG3213" s="46">
        <v>9000</v>
      </c>
      <c r="AH3213" s="46">
        <v>45060.400000000009</v>
      </c>
      <c r="AI3213" s="46">
        <v>5.0069999999999997</v>
      </c>
      <c r="AJ3213" s="46">
        <v>18</v>
      </c>
      <c r="AK3213" s="46">
        <v>7300</v>
      </c>
      <c r="AL3213" s="46">
        <v>36518.690999999984</v>
      </c>
      <c r="AM3213" s="46">
        <v>5.0030000000000001</v>
      </c>
      <c r="AN3213" s="46" t="s">
        <v>63</v>
      </c>
      <c r="AO3213" s="46">
        <v>1700</v>
      </c>
      <c r="AP3213" s="46">
        <v>8541.7090000000007</v>
      </c>
      <c r="AQ3213" s="46">
        <v>5.0250000000000004</v>
      </c>
      <c r="AR3213" s="46">
        <v>-29.2</v>
      </c>
      <c r="AS3213" s="46">
        <v>20</v>
      </c>
      <c r="AT3213" s="46">
        <v>10000</v>
      </c>
      <c r="AU3213" s="46">
        <v>49891</v>
      </c>
      <c r="AV3213" s="46">
        <v>4.9889999999999999</v>
      </c>
      <c r="AW3213" s="46">
        <v>18</v>
      </c>
      <c r="AX3213" s="46">
        <v>7300</v>
      </c>
      <c r="AY3213" s="46">
        <v>36518.690999999984</v>
      </c>
      <c r="AZ3213" s="46">
        <v>5.0030000000000001</v>
      </c>
      <c r="BA3213" s="46" t="s">
        <v>63</v>
      </c>
      <c r="BB3213" s="46">
        <v>2700</v>
      </c>
      <c r="BC3213" s="46">
        <v>13372.308999999999</v>
      </c>
      <c r="BD3213" s="46">
        <v>4.9530000000000003</v>
      </c>
      <c r="BE3213" s="46">
        <v>102.2</v>
      </c>
      <c r="BF3213" s="46">
        <v>4830.5999999999913</v>
      </c>
      <c r="BG3213" s="46">
        <v>4.83</v>
      </c>
      <c r="BH3213" s="46">
        <v>0</v>
      </c>
      <c r="BJ3213">
        <v>4830.5999999999985</v>
      </c>
      <c r="BK3213">
        <v>4.83</v>
      </c>
      <c r="BL3213">
        <v>-6.55</v>
      </c>
    </row>
    <row r="3214" spans="1:64" x14ac:dyDescent="0.25">
      <c r="A3214" s="136">
        <v>43550</v>
      </c>
      <c r="B3214" s="201" t="s">
        <v>124</v>
      </c>
      <c r="C3214" t="s">
        <v>125</v>
      </c>
      <c r="D3214">
        <v>100</v>
      </c>
      <c r="E3214">
        <v>100</v>
      </c>
      <c r="F3214">
        <v>-53.82</v>
      </c>
      <c r="G3214">
        <v>5927</v>
      </c>
      <c r="H3214">
        <v>0</v>
      </c>
      <c r="I3214" s="309">
        <v>545</v>
      </c>
      <c r="J3214">
        <v>5.45</v>
      </c>
      <c r="K3214" s="133">
        <v>1.086271893137315E-3</v>
      </c>
      <c r="L3214" s="181">
        <v>9</v>
      </c>
      <c r="M3214" s="133">
        <v>0</v>
      </c>
    </row>
    <row r="3215" spans="1:64" x14ac:dyDescent="0.25">
      <c r="A3215" s="136">
        <v>43550</v>
      </c>
      <c r="B3215" s="201" t="s">
        <v>71</v>
      </c>
      <c r="C3215" t="s">
        <v>126</v>
      </c>
      <c r="D3215">
        <v>1100</v>
      </c>
      <c r="E3215">
        <v>1100</v>
      </c>
      <c r="F3215">
        <v>3.7570000000000001</v>
      </c>
      <c r="G3215">
        <v>2577.46</v>
      </c>
      <c r="H3215">
        <v>62.37</v>
      </c>
      <c r="I3215" s="309">
        <v>6710</v>
      </c>
      <c r="J3215">
        <v>6.1</v>
      </c>
      <c r="K3215" s="133">
        <v>1.3374099821929143E-2</v>
      </c>
      <c r="L3215" s="181">
        <v>817.88000000000011</v>
      </c>
      <c r="M3215" s="133">
        <v>8.2368110995700537E-3</v>
      </c>
      <c r="N3215" s="73">
        <v>2545.2720000000054</v>
      </c>
      <c r="O3215" s="73">
        <v>436.73216570512909</v>
      </c>
      <c r="P3215" s="182">
        <v>0</v>
      </c>
      <c r="Q3215" s="182">
        <v>0</v>
      </c>
      <c r="R3215" s="46">
        <v>0</v>
      </c>
      <c r="S3215" s="46">
        <v>7</v>
      </c>
      <c r="T3215" s="46">
        <v>2700</v>
      </c>
      <c r="U3215" s="46">
        <v>6.468</v>
      </c>
      <c r="V3215" s="46" t="s">
        <v>68</v>
      </c>
      <c r="W3215" s="46">
        <v>2700</v>
      </c>
      <c r="X3215" s="46">
        <v>6.468</v>
      </c>
      <c r="AF3215" s="46">
        <v>51</v>
      </c>
      <c r="AG3215" s="46">
        <v>25600</v>
      </c>
      <c r="AH3215" s="46">
        <v>162451.32999999999</v>
      </c>
      <c r="AI3215" s="46">
        <v>6.3460000000000001</v>
      </c>
      <c r="AJ3215" s="46">
        <v>49</v>
      </c>
      <c r="AK3215" s="46">
        <v>21800</v>
      </c>
      <c r="AL3215" s="46">
        <v>140734.78599999999</v>
      </c>
      <c r="AM3215" s="46">
        <v>6.4560000000000004</v>
      </c>
      <c r="AN3215" s="46" t="s">
        <v>63</v>
      </c>
      <c r="AO3215" s="46">
        <v>3800</v>
      </c>
      <c r="AP3215" s="46">
        <v>21716.544000000002</v>
      </c>
      <c r="AQ3215" s="46">
        <v>5.7149999999999999</v>
      </c>
      <c r="AR3215" s="46">
        <v>2398</v>
      </c>
      <c r="AS3215" s="46">
        <v>51</v>
      </c>
      <c r="AT3215" s="46">
        <v>25600</v>
      </c>
      <c r="AU3215" s="46">
        <v>162451.32999999999</v>
      </c>
      <c r="AV3215" s="46">
        <v>6.3460000000000001</v>
      </c>
      <c r="AW3215" s="46">
        <v>56</v>
      </c>
      <c r="AX3215" s="46">
        <v>24500</v>
      </c>
      <c r="AY3215" s="46">
        <v>158152.70199999999</v>
      </c>
      <c r="AZ3215" s="46">
        <v>6.4550000000000001</v>
      </c>
      <c r="BA3215" s="46" t="s">
        <v>63</v>
      </c>
      <c r="BB3215" s="46">
        <v>1100</v>
      </c>
      <c r="BC3215" s="46">
        <v>4298.6279999999997</v>
      </c>
      <c r="BD3215" s="46">
        <v>3.9079999999999999</v>
      </c>
      <c r="BE3215" s="46">
        <v>2670.5</v>
      </c>
      <c r="BF3215" s="46">
        <v>0</v>
      </c>
      <c r="BH3215" s="46">
        <v>17417.915999999997</v>
      </c>
      <c r="BI3215">
        <v>6.45</v>
      </c>
      <c r="BJ3215">
        <v>-17417.916000000001</v>
      </c>
      <c r="BK3215">
        <v>-6.45</v>
      </c>
      <c r="BL3215">
        <v>393.11</v>
      </c>
    </row>
    <row r="3216" spans="1:64" x14ac:dyDescent="0.25">
      <c r="A3216" s="136">
        <v>43550</v>
      </c>
      <c r="B3216" s="201" t="s">
        <v>79</v>
      </c>
      <c r="C3216" t="s">
        <v>143</v>
      </c>
      <c r="D3216">
        <v>10120</v>
      </c>
      <c r="E3216">
        <v>10120</v>
      </c>
      <c r="F3216">
        <v>10.694000000000001</v>
      </c>
      <c r="G3216">
        <v>-22309.32</v>
      </c>
      <c r="H3216">
        <v>-20.61</v>
      </c>
      <c r="I3216" s="309">
        <v>85918.8</v>
      </c>
      <c r="J3216">
        <v>8.49</v>
      </c>
      <c r="K3216" s="133">
        <v>0.17124986703135106</v>
      </c>
      <c r="L3216" s="181">
        <v>11275.220000000001</v>
      </c>
      <c r="M3216" s="133">
        <v>0.21571589872127062</v>
      </c>
      <c r="N3216" s="73">
        <v>-18683.636000000231</v>
      </c>
      <c r="O3216" s="73">
        <v>-2110.0897380791225</v>
      </c>
      <c r="P3216" s="182">
        <v>9</v>
      </c>
      <c r="Q3216" s="182">
        <v>6920</v>
      </c>
      <c r="R3216" s="46">
        <v>6.18</v>
      </c>
      <c r="S3216" s="46">
        <v>0</v>
      </c>
      <c r="T3216" s="46">
        <v>0</v>
      </c>
      <c r="U3216" s="46">
        <v>0</v>
      </c>
      <c r="V3216" s="46" t="s">
        <v>62</v>
      </c>
      <c r="W3216" s="46">
        <v>6920</v>
      </c>
      <c r="X3216" s="46">
        <v>6.18</v>
      </c>
      <c r="AF3216" s="46">
        <v>31</v>
      </c>
      <c r="AG3216" s="46">
        <v>16000</v>
      </c>
      <c r="AH3216" s="46">
        <v>236219.59999999986</v>
      </c>
      <c r="AI3216" s="46">
        <v>14.763999999999999</v>
      </c>
      <c r="AJ3216" s="46">
        <v>32</v>
      </c>
      <c r="AK3216" s="46">
        <v>12800</v>
      </c>
      <c r="AL3216" s="46">
        <v>170788.11599999983</v>
      </c>
      <c r="AM3216" s="46">
        <v>13.343</v>
      </c>
      <c r="AN3216" s="46" t="s">
        <v>63</v>
      </c>
      <c r="AO3216" s="46">
        <v>3200</v>
      </c>
      <c r="AP3216" s="46">
        <v>65431.483999999997</v>
      </c>
      <c r="AQ3216" s="46">
        <v>20.446999999999999</v>
      </c>
      <c r="AR3216" s="46">
        <v>-18188.8</v>
      </c>
      <c r="AS3216" s="46">
        <v>40</v>
      </c>
      <c r="AT3216" s="46">
        <v>22920</v>
      </c>
      <c r="AU3216" s="46">
        <v>279033.75199999975</v>
      </c>
      <c r="AV3216" s="46">
        <v>12.173999999999999</v>
      </c>
      <c r="AW3216" s="46">
        <v>32</v>
      </c>
      <c r="AX3216" s="46">
        <v>12800</v>
      </c>
      <c r="AY3216" s="46">
        <v>170788.11599999983</v>
      </c>
      <c r="AZ3216" s="46">
        <v>13.343</v>
      </c>
      <c r="BA3216" s="46" t="s">
        <v>63</v>
      </c>
      <c r="BB3216" s="46">
        <v>10120</v>
      </c>
      <c r="BC3216" s="46">
        <v>108245.636</v>
      </c>
      <c r="BD3216" s="46">
        <v>10.696</v>
      </c>
      <c r="BE3216" s="46">
        <v>14963.2</v>
      </c>
      <c r="BF3216" s="46">
        <v>42814.151999999885</v>
      </c>
      <c r="BG3216" s="46">
        <v>6.19</v>
      </c>
      <c r="BH3216" s="46">
        <v>0</v>
      </c>
      <c r="BJ3216">
        <v>42814.152000000002</v>
      </c>
      <c r="BK3216">
        <v>6.19</v>
      </c>
      <c r="BL3216">
        <v>-2142.38</v>
      </c>
    </row>
    <row r="3217" spans="1:64" x14ac:dyDescent="0.25">
      <c r="A3217" s="136">
        <v>43550</v>
      </c>
      <c r="B3217" s="201" t="s">
        <v>65</v>
      </c>
      <c r="C3217" t="s">
        <v>127</v>
      </c>
      <c r="D3217">
        <v>23600</v>
      </c>
      <c r="E3217">
        <v>23600</v>
      </c>
      <c r="F3217">
        <v>8.8670000000000009</v>
      </c>
      <c r="G3217">
        <v>-20234.55</v>
      </c>
      <c r="H3217">
        <v>-9.67</v>
      </c>
      <c r="I3217" s="309">
        <v>189036</v>
      </c>
      <c r="J3217">
        <v>8.01</v>
      </c>
      <c r="K3217" s="133">
        <v>0.37677888732312925</v>
      </c>
      <c r="L3217" s="181">
        <v>20518.289999999997</v>
      </c>
      <c r="M3217" s="133">
        <v>0.41710957160804973</v>
      </c>
      <c r="N3217" s="73">
        <v>-23336.985000000073</v>
      </c>
      <c r="O3217" s="73">
        <v>-2363.0153578474205</v>
      </c>
      <c r="P3217" s="182">
        <v>5</v>
      </c>
      <c r="Q3217" s="182">
        <v>2800</v>
      </c>
      <c r="R3217" s="46">
        <v>7.444</v>
      </c>
      <c r="S3217" s="46">
        <v>2</v>
      </c>
      <c r="T3217" s="46">
        <v>800</v>
      </c>
      <c r="U3217" s="46">
        <v>7.4349999999999996</v>
      </c>
      <c r="V3217" s="46" t="s">
        <v>62</v>
      </c>
      <c r="W3217" s="46">
        <v>2000</v>
      </c>
      <c r="X3217" s="46">
        <v>7.4480000000000004</v>
      </c>
      <c r="AF3217" s="46">
        <v>226</v>
      </c>
      <c r="AG3217" s="46">
        <v>121700</v>
      </c>
      <c r="AH3217" s="46">
        <v>1310489.6810000001</v>
      </c>
      <c r="AI3217" s="46">
        <v>10.768000000000001</v>
      </c>
      <c r="AJ3217" s="46">
        <v>255</v>
      </c>
      <c r="AK3217" s="46">
        <v>109300</v>
      </c>
      <c r="AL3217" s="46">
        <v>1112018.642</v>
      </c>
      <c r="AM3217" s="46">
        <v>10.173999999999999</v>
      </c>
      <c r="AN3217" s="46" t="s">
        <v>63</v>
      </c>
      <c r="AO3217" s="46">
        <v>12400</v>
      </c>
      <c r="AP3217" s="46">
        <v>198471.03899999999</v>
      </c>
      <c r="AQ3217" s="46">
        <v>16.006</v>
      </c>
      <c r="AR3217" s="46">
        <v>-64924.2</v>
      </c>
      <c r="AS3217" s="46">
        <v>232</v>
      </c>
      <c r="AT3217" s="46">
        <v>124600</v>
      </c>
      <c r="AU3217" s="46">
        <v>1332644.6810000001</v>
      </c>
      <c r="AV3217" s="46">
        <v>10.695</v>
      </c>
      <c r="AW3217" s="46">
        <v>257</v>
      </c>
      <c r="AX3217" s="46">
        <v>110100</v>
      </c>
      <c r="AY3217" s="46">
        <v>1117950.6940000001</v>
      </c>
      <c r="AZ3217" s="46">
        <v>10.154</v>
      </c>
      <c r="BA3217" s="46" t="s">
        <v>63</v>
      </c>
      <c r="BB3217" s="46">
        <v>14500</v>
      </c>
      <c r="BC3217" s="46">
        <v>214693.98699999999</v>
      </c>
      <c r="BD3217" s="46">
        <v>14.805999999999999</v>
      </c>
      <c r="BE3217" s="46">
        <v>-59564.1</v>
      </c>
      <c r="BF3217" s="46">
        <v>22155</v>
      </c>
      <c r="BG3217" s="46">
        <v>7.91</v>
      </c>
      <c r="BH3217" s="46">
        <v>5932.0520000001416</v>
      </c>
      <c r="BI3217">
        <v>7.42</v>
      </c>
      <c r="BJ3217">
        <v>16222.948000000004</v>
      </c>
      <c r="BK3217">
        <v>8.11</v>
      </c>
      <c r="BL3217">
        <v>-8105.39</v>
      </c>
    </row>
    <row r="3218" spans="1:64" x14ac:dyDescent="0.25">
      <c r="A3218" s="136">
        <v>43550</v>
      </c>
      <c r="B3218" s="201" t="s">
        <v>77</v>
      </c>
      <c r="C3218" t="s">
        <v>150</v>
      </c>
      <c r="D3218">
        <v>5100</v>
      </c>
      <c r="E3218">
        <v>5100</v>
      </c>
      <c r="F3218">
        <v>5.5359999999999996</v>
      </c>
      <c r="G3218">
        <v>-5232.83</v>
      </c>
      <c r="H3218">
        <v>-18.53</v>
      </c>
      <c r="I3218" s="309">
        <v>23001</v>
      </c>
      <c r="J3218">
        <v>4.51</v>
      </c>
      <c r="K3218" s="133">
        <v>4.5844660209268584E-2</v>
      </c>
      <c r="L3218" s="181">
        <v>2566.21</v>
      </c>
      <c r="M3218" s="133">
        <v>5.6274524705719482E-2</v>
      </c>
      <c r="N3218" s="73">
        <v>-4819.7780000000021</v>
      </c>
      <c r="O3218" s="73">
        <v>-920.60087654584254</v>
      </c>
      <c r="P3218" s="182">
        <v>6</v>
      </c>
      <c r="Q3218" s="182">
        <v>3000</v>
      </c>
      <c r="R3218" s="46">
        <v>4.95</v>
      </c>
      <c r="S3218" s="46">
        <v>0</v>
      </c>
      <c r="T3218" s="46">
        <v>0</v>
      </c>
      <c r="U3218" s="46">
        <v>0</v>
      </c>
      <c r="V3218" s="46" t="s">
        <v>62</v>
      </c>
      <c r="W3218" s="46">
        <v>3000</v>
      </c>
      <c r="X3218" s="46">
        <v>4.95</v>
      </c>
      <c r="AF3218" s="46">
        <v>47</v>
      </c>
      <c r="AG3218" s="46">
        <v>23500</v>
      </c>
      <c r="AH3218" s="46">
        <v>164039</v>
      </c>
      <c r="AI3218" s="46">
        <v>6.98</v>
      </c>
      <c r="AJ3218" s="46">
        <v>47</v>
      </c>
      <c r="AK3218" s="46">
        <v>21400</v>
      </c>
      <c r="AL3218" s="46">
        <v>150392.22200000001</v>
      </c>
      <c r="AM3218" s="46">
        <v>7.0279999999999996</v>
      </c>
      <c r="AN3218" s="46" t="s">
        <v>63</v>
      </c>
      <c r="AO3218" s="46">
        <v>2100</v>
      </c>
      <c r="AP3218" s="46">
        <v>13646.778</v>
      </c>
      <c r="AQ3218" s="46">
        <v>6.4980000000000002</v>
      </c>
      <c r="AR3218" s="46">
        <v>1027.2</v>
      </c>
      <c r="AS3218" s="46">
        <v>53</v>
      </c>
      <c r="AT3218" s="46">
        <v>26500</v>
      </c>
      <c r="AU3218" s="46">
        <v>178631</v>
      </c>
      <c r="AV3218" s="46">
        <v>6.7409999999999997</v>
      </c>
      <c r="AW3218" s="46">
        <v>47</v>
      </c>
      <c r="AX3218" s="46">
        <v>21400</v>
      </c>
      <c r="AY3218" s="46">
        <v>150392.22200000001</v>
      </c>
      <c r="AZ3218" s="46">
        <v>7.0279999999999996</v>
      </c>
      <c r="BA3218" s="46" t="s">
        <v>63</v>
      </c>
      <c r="BB3218" s="46">
        <v>5100</v>
      </c>
      <c r="BC3218" s="46">
        <v>28238.777999999998</v>
      </c>
      <c r="BD3218" s="46">
        <v>5.5369999999999999</v>
      </c>
      <c r="BE3218" s="46">
        <v>6141.8</v>
      </c>
      <c r="BF3218" s="46">
        <v>14592</v>
      </c>
      <c r="BG3218" s="46">
        <v>4.8600000000000003</v>
      </c>
      <c r="BH3218" s="46">
        <v>0</v>
      </c>
      <c r="BJ3218">
        <v>14591.999999999998</v>
      </c>
      <c r="BK3218">
        <v>4.8600000000000003</v>
      </c>
      <c r="BL3218">
        <v>227.76</v>
      </c>
    </row>
    <row r="3219" spans="1:64" x14ac:dyDescent="0.25">
      <c r="A3219" s="136">
        <v>43550</v>
      </c>
      <c r="B3219" s="201" t="s">
        <v>67</v>
      </c>
      <c r="C3219" t="s">
        <v>129</v>
      </c>
      <c r="D3219">
        <v>230</v>
      </c>
      <c r="E3219">
        <v>230</v>
      </c>
      <c r="F3219">
        <v>-11.728999999999999</v>
      </c>
      <c r="G3219">
        <v>4411.17</v>
      </c>
      <c r="H3219">
        <v>0</v>
      </c>
      <c r="I3219" s="309">
        <v>1713.5</v>
      </c>
      <c r="J3219">
        <v>7.45</v>
      </c>
      <c r="K3219" s="133">
        <v>3.4152786952124569E-3</v>
      </c>
      <c r="L3219" s="181">
        <v>193.38000000000011</v>
      </c>
      <c r="M3219" s="133">
        <v>0</v>
      </c>
      <c r="N3219" s="73">
        <v>4362.583499999957</v>
      </c>
      <c r="O3219" s="73">
        <v>600.60636477272476</v>
      </c>
      <c r="P3219" s="182">
        <v>1</v>
      </c>
      <c r="Q3219" s="182">
        <v>30</v>
      </c>
      <c r="R3219" s="46">
        <v>0</v>
      </c>
      <c r="S3219" s="46">
        <v>24</v>
      </c>
      <c r="T3219" s="46">
        <v>9600</v>
      </c>
      <c r="U3219" s="46">
        <v>8.9429999999999996</v>
      </c>
      <c r="V3219" s="46" t="s">
        <v>68</v>
      </c>
      <c r="W3219" s="46">
        <v>9570</v>
      </c>
      <c r="X3219" s="46">
        <v>8.9710000000000001</v>
      </c>
      <c r="AF3219" s="46">
        <v>193</v>
      </c>
      <c r="AG3219" s="46">
        <v>95500</v>
      </c>
      <c r="AH3219" s="46">
        <v>795318</v>
      </c>
      <c r="AI3219" s="46">
        <v>8.3279999999999994</v>
      </c>
      <c r="AJ3219" s="46">
        <v>197</v>
      </c>
      <c r="AK3219" s="46">
        <v>88300</v>
      </c>
      <c r="AL3219" s="46">
        <v>781491.25550000009</v>
      </c>
      <c r="AM3219" s="46">
        <v>8.85</v>
      </c>
      <c r="AN3219" s="46" t="s">
        <v>63</v>
      </c>
      <c r="AO3219" s="46">
        <v>7200</v>
      </c>
      <c r="AP3219" s="46">
        <v>13826.744000000001</v>
      </c>
      <c r="AQ3219" s="46">
        <v>1.92</v>
      </c>
      <c r="AR3219" s="46">
        <v>46092.6</v>
      </c>
      <c r="AS3219" s="46">
        <v>194</v>
      </c>
      <c r="AT3219" s="46">
        <v>95530</v>
      </c>
      <c r="AU3219" s="46">
        <v>795323</v>
      </c>
      <c r="AV3219" s="46">
        <v>8.3249999999999993</v>
      </c>
      <c r="AW3219" s="46">
        <v>221</v>
      </c>
      <c r="AX3219" s="46">
        <v>97900</v>
      </c>
      <c r="AY3219" s="46">
        <v>867143.89950000017</v>
      </c>
      <c r="AZ3219" s="46">
        <v>8.8569999999999993</v>
      </c>
      <c r="BA3219" s="46" t="s">
        <v>69</v>
      </c>
      <c r="BB3219" s="46">
        <v>2370</v>
      </c>
      <c r="BC3219" s="46">
        <v>71820.899999999994</v>
      </c>
      <c r="BD3219" s="46">
        <v>30.303999999999998</v>
      </c>
      <c r="BE3219" s="46">
        <v>50821.96</v>
      </c>
      <c r="BF3219" s="46">
        <v>5</v>
      </c>
      <c r="BG3219" s="46">
        <v>0.17</v>
      </c>
      <c r="BH3219" s="46">
        <v>85652.644000000088</v>
      </c>
      <c r="BI3219">
        <v>8.92</v>
      </c>
      <c r="BJ3219">
        <v>57994.155999999995</v>
      </c>
      <c r="BK3219">
        <v>6.06</v>
      </c>
      <c r="BL3219">
        <v>6186.93</v>
      </c>
    </row>
    <row r="3220" spans="1:64" x14ac:dyDescent="0.25">
      <c r="A3220" s="136">
        <v>43550</v>
      </c>
      <c r="B3220" s="201" t="s">
        <v>78</v>
      </c>
      <c r="C3220" t="s">
        <v>142</v>
      </c>
      <c r="D3220">
        <v>200</v>
      </c>
      <c r="E3220">
        <v>200</v>
      </c>
      <c r="F3220">
        <v>2.077</v>
      </c>
      <c r="G3220">
        <v>1608.65</v>
      </c>
      <c r="H3220">
        <v>387.25</v>
      </c>
      <c r="I3220" s="309">
        <v>2024</v>
      </c>
      <c r="J3220">
        <v>10.119999999999999</v>
      </c>
      <c r="K3220" s="133">
        <v>4.0341547003851837E-3</v>
      </c>
      <c r="L3220" s="181">
        <v>304</v>
      </c>
      <c r="M3220" s="133">
        <v>8.2785877213685066E-4</v>
      </c>
      <c r="N3220" s="73">
        <v>1454.650999999996</v>
      </c>
      <c r="O3220" s="73">
        <v>155.49985823529371</v>
      </c>
      <c r="P3220" s="182">
        <v>0</v>
      </c>
      <c r="Q3220" s="182">
        <v>0</v>
      </c>
      <c r="R3220" s="46">
        <v>0</v>
      </c>
      <c r="S3220" s="46">
        <v>3</v>
      </c>
      <c r="T3220" s="46">
        <v>1200</v>
      </c>
      <c r="U3220" s="46">
        <v>9.923</v>
      </c>
      <c r="V3220" s="46" t="s">
        <v>68</v>
      </c>
      <c r="W3220" s="46">
        <v>1200</v>
      </c>
      <c r="X3220" s="46">
        <v>9.923</v>
      </c>
      <c r="AF3220" s="46">
        <v>14</v>
      </c>
      <c r="AG3220" s="46">
        <v>7000</v>
      </c>
      <c r="AH3220" s="46">
        <v>67625</v>
      </c>
      <c r="AI3220" s="46">
        <v>9.6609999999999996</v>
      </c>
      <c r="AJ3220" s="46">
        <v>15</v>
      </c>
      <c r="AK3220" s="46">
        <v>5600</v>
      </c>
      <c r="AL3220" s="46">
        <v>55310.559000000008</v>
      </c>
      <c r="AM3220" s="46">
        <v>9.8770000000000007</v>
      </c>
      <c r="AN3220" s="46" t="s">
        <v>63</v>
      </c>
      <c r="AO3220" s="46">
        <v>1400</v>
      </c>
      <c r="AP3220" s="46">
        <v>12314.441000000001</v>
      </c>
      <c r="AQ3220" s="46">
        <v>8.7959999999999994</v>
      </c>
      <c r="AR3220" s="46">
        <v>1209.5999999999999</v>
      </c>
      <c r="AS3220" s="46">
        <v>14</v>
      </c>
      <c r="AT3220" s="46">
        <v>7000</v>
      </c>
      <c r="AU3220" s="46">
        <v>67625</v>
      </c>
      <c r="AV3220" s="46">
        <v>9.6609999999999996</v>
      </c>
      <c r="AW3220" s="46">
        <v>18</v>
      </c>
      <c r="AX3220" s="46">
        <v>6800</v>
      </c>
      <c r="AY3220" s="46">
        <v>67209.651000000013</v>
      </c>
      <c r="AZ3220" s="46">
        <v>9.8840000000000003</v>
      </c>
      <c r="BA3220" s="46" t="s">
        <v>63</v>
      </c>
      <c r="BB3220" s="46">
        <v>200</v>
      </c>
      <c r="BC3220" s="46">
        <v>415.34899999999999</v>
      </c>
      <c r="BD3220" s="46">
        <v>2.077</v>
      </c>
      <c r="BE3220" s="46">
        <v>1516.4</v>
      </c>
      <c r="BF3220" s="46">
        <v>0</v>
      </c>
      <c r="BH3220" s="46">
        <v>11899.092000000004</v>
      </c>
      <c r="BI3220">
        <v>9.92</v>
      </c>
      <c r="BJ3220">
        <v>-11899.092000000001</v>
      </c>
      <c r="BK3220">
        <v>-9.92</v>
      </c>
      <c r="BL3220">
        <v>119.53</v>
      </c>
    </row>
    <row r="3221" spans="1:64" x14ac:dyDescent="0.25">
      <c r="A3221" s="136">
        <v>43550</v>
      </c>
      <c r="B3221" s="201" t="s">
        <v>72</v>
      </c>
      <c r="C3221" t="s">
        <v>130</v>
      </c>
      <c r="D3221">
        <v>100</v>
      </c>
      <c r="E3221">
        <v>100</v>
      </c>
      <c r="F3221">
        <v>-18.477</v>
      </c>
      <c r="G3221">
        <v>2461.6999999999998</v>
      </c>
      <c r="H3221">
        <v>0</v>
      </c>
      <c r="I3221" s="309">
        <v>614</v>
      </c>
      <c r="J3221">
        <v>6.14</v>
      </c>
      <c r="K3221" s="133">
        <v>1.2237998942868098E-3</v>
      </c>
      <c r="L3221" s="181">
        <v>450.95999999999981</v>
      </c>
      <c r="M3221" s="133">
        <v>0</v>
      </c>
      <c r="N3221" s="73">
        <v>-1498.9659999999872</v>
      </c>
      <c r="O3221" s="73">
        <v>376.42007904191922</v>
      </c>
      <c r="P3221" s="182">
        <v>0</v>
      </c>
      <c r="Q3221" s="182">
        <v>0</v>
      </c>
      <c r="R3221" s="46">
        <v>0</v>
      </c>
      <c r="S3221" s="46">
        <v>20</v>
      </c>
      <c r="T3221" s="46">
        <v>8600</v>
      </c>
      <c r="U3221" s="46">
        <v>7.3840000000000003</v>
      </c>
      <c r="V3221" s="46" t="s">
        <v>68</v>
      </c>
      <c r="W3221" s="46">
        <v>8600</v>
      </c>
      <c r="X3221" s="46">
        <v>7.3840000000000003</v>
      </c>
      <c r="AF3221" s="46">
        <v>42</v>
      </c>
      <c r="AG3221" s="46">
        <v>20900</v>
      </c>
      <c r="AH3221" s="46">
        <v>152800</v>
      </c>
      <c r="AI3221" s="46">
        <v>7.3109999999999999</v>
      </c>
      <c r="AJ3221" s="46">
        <v>42</v>
      </c>
      <c r="AK3221" s="46">
        <v>18800</v>
      </c>
      <c r="AL3221" s="46">
        <v>92037.725000000035</v>
      </c>
      <c r="AM3221" s="46">
        <v>4.8959999999999999</v>
      </c>
      <c r="AN3221" s="46" t="s">
        <v>63</v>
      </c>
      <c r="AO3221" s="46">
        <v>2100</v>
      </c>
      <c r="AP3221" s="46">
        <v>60762.275000000001</v>
      </c>
      <c r="AQ3221" s="46">
        <v>28.934000000000001</v>
      </c>
      <c r="AR3221" s="46">
        <v>-45402</v>
      </c>
      <c r="AS3221" s="46">
        <v>42</v>
      </c>
      <c r="AT3221" s="46">
        <v>20900</v>
      </c>
      <c r="AU3221" s="46">
        <v>152800</v>
      </c>
      <c r="AV3221" s="46">
        <v>7.3109999999999999</v>
      </c>
      <c r="AW3221" s="46">
        <v>63</v>
      </c>
      <c r="AX3221" s="46">
        <v>27900</v>
      </c>
      <c r="AY3221" s="46">
        <v>155380.21900000001</v>
      </c>
      <c r="AZ3221" s="46">
        <v>5.569</v>
      </c>
      <c r="BA3221" s="46" t="s">
        <v>69</v>
      </c>
      <c r="BB3221" s="46">
        <v>7000</v>
      </c>
      <c r="BC3221" s="46">
        <v>2580.2190000000001</v>
      </c>
      <c r="BD3221" s="46">
        <v>0.36899999999999999</v>
      </c>
      <c r="BE3221" s="46">
        <v>-36407.800000000003</v>
      </c>
      <c r="BF3221" s="46">
        <v>0</v>
      </c>
      <c r="BH3221" s="46">
        <v>63342.493999999977</v>
      </c>
      <c r="BI3221">
        <v>7.37</v>
      </c>
      <c r="BJ3221">
        <v>-58182.056000000004</v>
      </c>
      <c r="BK3221">
        <v>-6.77</v>
      </c>
      <c r="BL3221">
        <v>-7394.46</v>
      </c>
    </row>
    <row r="3222" spans="1:64" x14ac:dyDescent="0.25">
      <c r="A3222" s="136">
        <v>43550</v>
      </c>
      <c r="B3222" s="201" t="s">
        <v>70</v>
      </c>
      <c r="C3222" t="s">
        <v>131</v>
      </c>
      <c r="D3222">
        <v>13000</v>
      </c>
      <c r="E3222">
        <v>13000</v>
      </c>
      <c r="F3222">
        <v>11.115</v>
      </c>
      <c r="G3222">
        <v>-39455.74</v>
      </c>
      <c r="H3222">
        <v>-27.31</v>
      </c>
      <c r="I3222" s="309">
        <v>105040</v>
      </c>
      <c r="J3222">
        <v>8.08</v>
      </c>
      <c r="K3222" s="133">
        <v>0.20936146725714413</v>
      </c>
      <c r="L3222" s="181">
        <v>21937.170000000006</v>
      </c>
      <c r="M3222" s="133">
        <v>0.28800304777995822</v>
      </c>
      <c r="N3222" s="73">
        <v>-40369.72900000005</v>
      </c>
      <c r="O3222" s="73">
        <v>-5037.3962715980088</v>
      </c>
      <c r="P3222" s="182">
        <v>0</v>
      </c>
      <c r="Q3222" s="182">
        <v>0</v>
      </c>
      <c r="R3222" s="46">
        <v>0</v>
      </c>
      <c r="S3222" s="46">
        <v>3</v>
      </c>
      <c r="T3222" s="46">
        <v>1200</v>
      </c>
      <c r="U3222" s="46">
        <v>7.843</v>
      </c>
      <c r="V3222" s="46" t="s">
        <v>68</v>
      </c>
      <c r="W3222" s="46">
        <v>1200</v>
      </c>
      <c r="X3222" s="46">
        <v>7.843</v>
      </c>
      <c r="AF3222" s="46">
        <v>155</v>
      </c>
      <c r="AG3222" s="46">
        <v>79100</v>
      </c>
      <c r="AH3222" s="46">
        <v>978978</v>
      </c>
      <c r="AI3222" s="46">
        <v>12.375999999999999</v>
      </c>
      <c r="AJ3222" s="46">
        <v>161</v>
      </c>
      <c r="AK3222" s="46">
        <v>64900</v>
      </c>
      <c r="AL3222" s="46">
        <v>824685.68299999973</v>
      </c>
      <c r="AM3222" s="46">
        <v>12.707000000000001</v>
      </c>
      <c r="AN3222" s="46" t="s">
        <v>63</v>
      </c>
      <c r="AO3222" s="46">
        <v>14200</v>
      </c>
      <c r="AP3222" s="46">
        <v>154292.31700000001</v>
      </c>
      <c r="AQ3222" s="46">
        <v>10.866</v>
      </c>
      <c r="AR3222" s="46">
        <v>21481.9</v>
      </c>
      <c r="AS3222" s="46">
        <v>155</v>
      </c>
      <c r="AT3222" s="46">
        <v>79100</v>
      </c>
      <c r="AU3222" s="46">
        <v>978978</v>
      </c>
      <c r="AV3222" s="46">
        <v>12.375999999999999</v>
      </c>
      <c r="AW3222" s="46">
        <v>165</v>
      </c>
      <c r="AX3222" s="46">
        <v>66100</v>
      </c>
      <c r="AY3222" s="46">
        <v>834478.27099999972</v>
      </c>
      <c r="AZ3222" s="46">
        <v>12.624000000000001</v>
      </c>
      <c r="BA3222" s="46" t="s">
        <v>63</v>
      </c>
      <c r="BB3222" s="46">
        <v>13000</v>
      </c>
      <c r="BC3222" s="46">
        <v>144499.72899999999</v>
      </c>
      <c r="BD3222" s="46">
        <v>11.115</v>
      </c>
      <c r="BE3222" s="46">
        <v>16392.8</v>
      </c>
      <c r="BF3222" s="46">
        <v>0</v>
      </c>
      <c r="BH3222" s="46">
        <v>9792.5879999999888</v>
      </c>
      <c r="BI3222">
        <v>8.16</v>
      </c>
      <c r="BJ3222">
        <v>-9792.5880000000179</v>
      </c>
      <c r="BK3222">
        <v>-8.16</v>
      </c>
      <c r="BL3222">
        <v>2658.65</v>
      </c>
    </row>
    <row r="3223" spans="1:64" x14ac:dyDescent="0.25">
      <c r="A3223" s="136">
        <v>43550</v>
      </c>
      <c r="B3223" s="201" t="s">
        <v>628</v>
      </c>
      <c r="C3223" t="s">
        <v>629</v>
      </c>
      <c r="D3223">
        <v>100</v>
      </c>
      <c r="E3223">
        <v>100</v>
      </c>
      <c r="F3223">
        <v>-22.33</v>
      </c>
      <c r="G3223">
        <v>3639</v>
      </c>
      <c r="H3223">
        <v>0</v>
      </c>
      <c r="I3223" s="309">
        <v>1406</v>
      </c>
      <c r="J3223">
        <v>14.06</v>
      </c>
      <c r="K3223" s="133">
        <v>2.8023821683505774E-3</v>
      </c>
      <c r="M3223" s="133">
        <v>0</v>
      </c>
    </row>
    <row r="3224" spans="1:64" x14ac:dyDescent="0.25">
      <c r="A3224" s="136">
        <v>43550</v>
      </c>
      <c r="B3224" s="201" t="s">
        <v>630</v>
      </c>
      <c r="C3224" t="s">
        <v>631</v>
      </c>
      <c r="D3224">
        <v>100</v>
      </c>
      <c r="E3224">
        <v>100</v>
      </c>
      <c r="F3224">
        <v>-94.45</v>
      </c>
      <c r="G3224">
        <v>13167</v>
      </c>
      <c r="H3224">
        <v>0</v>
      </c>
      <c r="I3224" s="309">
        <v>3722</v>
      </c>
      <c r="J3224">
        <v>37.22</v>
      </c>
      <c r="K3224" s="133">
        <v>7.4185394243249285E-3</v>
      </c>
      <c r="M3224" s="133">
        <v>0</v>
      </c>
    </row>
    <row r="3225" spans="1:64" x14ac:dyDescent="0.25">
      <c r="A3225" s="136">
        <v>43550</v>
      </c>
      <c r="B3225" s="201" t="s">
        <v>137</v>
      </c>
      <c r="C3225" t="s">
        <v>149</v>
      </c>
      <c r="D3225">
        <v>100</v>
      </c>
      <c r="E3225">
        <v>100</v>
      </c>
      <c r="F3225">
        <v>-130.86000000000001</v>
      </c>
      <c r="G3225">
        <v>16796</v>
      </c>
      <c r="H3225">
        <v>0</v>
      </c>
      <c r="I3225" s="309">
        <v>3710</v>
      </c>
      <c r="J3225">
        <v>37.1</v>
      </c>
      <c r="K3225" s="133">
        <v>7.3946215110815379E-3</v>
      </c>
      <c r="L3225" s="181">
        <v>109</v>
      </c>
      <c r="M3225" s="133">
        <v>0</v>
      </c>
    </row>
    <row r="3226" spans="1:64" x14ac:dyDescent="0.25">
      <c r="A3226" s="136">
        <v>43550</v>
      </c>
      <c r="B3226" s="201" t="s">
        <v>835</v>
      </c>
      <c r="C3226" t="s">
        <v>839</v>
      </c>
      <c r="I3226" s="309">
        <v>16215.82</v>
      </c>
      <c r="K3226" s="133">
        <v>3.2320714660869602E-2</v>
      </c>
      <c r="L3226" s="181">
        <v>0</v>
      </c>
      <c r="M3226" s="133">
        <v>0.13201434413065671</v>
      </c>
    </row>
    <row r="3227" spans="1:64" x14ac:dyDescent="0.25">
      <c r="A3227" s="136">
        <v>43552</v>
      </c>
      <c r="B3227" s="201" t="s">
        <v>132</v>
      </c>
      <c r="C3227" t="s">
        <v>123</v>
      </c>
      <c r="D3227">
        <v>7002047</v>
      </c>
      <c r="E3227">
        <v>5002047</v>
      </c>
      <c r="F3227">
        <v>8.9999999999999993E-3</v>
      </c>
      <c r="G3227">
        <v>3822.25</v>
      </c>
      <c r="H3227">
        <v>11.11</v>
      </c>
      <c r="I3227" s="309">
        <v>70020.47</v>
      </c>
      <c r="J3227">
        <v>0.01</v>
      </c>
      <c r="K3227" s="133">
        <v>0.13532471403279456</v>
      </c>
      <c r="L3227" s="181">
        <v>2.5799999999999272</v>
      </c>
      <c r="M3227" s="133">
        <v>0</v>
      </c>
    </row>
    <row r="3228" spans="1:64" x14ac:dyDescent="0.25">
      <c r="A3228" s="136">
        <v>43552</v>
      </c>
      <c r="B3228" s="201" t="s">
        <v>61</v>
      </c>
      <c r="C3228" t="s">
        <v>136</v>
      </c>
      <c r="D3228">
        <v>2700</v>
      </c>
      <c r="E3228">
        <v>2700</v>
      </c>
      <c r="F3228">
        <v>4.952</v>
      </c>
      <c r="G3228">
        <v>-1354.58</v>
      </c>
      <c r="H3228">
        <v>-10.130000000000001</v>
      </c>
      <c r="I3228" s="309">
        <v>12015</v>
      </c>
      <c r="J3228">
        <v>4.45</v>
      </c>
      <c r="K3228" s="133">
        <v>2.3220730153682579E-2</v>
      </c>
      <c r="L3228" s="181">
        <v>-27</v>
      </c>
      <c r="M3228" s="133">
        <v>2.5838652471749608E-2</v>
      </c>
      <c r="N3228" s="73">
        <v>-763.30900000000474</v>
      </c>
      <c r="O3228" s="73">
        <v>-163.36773993576119</v>
      </c>
      <c r="P3228" s="182">
        <v>2</v>
      </c>
      <c r="Q3228" s="182">
        <v>1000</v>
      </c>
      <c r="R3228" s="46">
        <v>4.82</v>
      </c>
      <c r="S3228" s="46">
        <v>0</v>
      </c>
      <c r="T3228" s="46">
        <v>0</v>
      </c>
      <c r="U3228" s="46">
        <v>0</v>
      </c>
      <c r="V3228" s="46" t="s">
        <v>62</v>
      </c>
      <c r="W3228" s="46">
        <v>1000</v>
      </c>
      <c r="X3228" s="46">
        <v>4.82</v>
      </c>
      <c r="AF3228" s="46">
        <v>18</v>
      </c>
      <c r="AG3228" s="46">
        <v>9000</v>
      </c>
      <c r="AH3228" s="46">
        <v>45060.400000000009</v>
      </c>
      <c r="AI3228" s="46">
        <v>5.0069999999999997</v>
      </c>
      <c r="AJ3228" s="46">
        <v>18</v>
      </c>
      <c r="AK3228" s="46">
        <v>7300</v>
      </c>
      <c r="AL3228" s="46">
        <v>36518.690999999984</v>
      </c>
      <c r="AM3228" s="46">
        <v>5.0030000000000001</v>
      </c>
      <c r="AN3228" s="46" t="s">
        <v>63</v>
      </c>
      <c r="AO3228" s="46">
        <v>1700</v>
      </c>
      <c r="AP3228" s="46">
        <v>8541.7090000000007</v>
      </c>
      <c r="AQ3228" s="46">
        <v>5.0250000000000004</v>
      </c>
      <c r="AR3228" s="46">
        <v>-29.2</v>
      </c>
      <c r="AS3228" s="46">
        <v>20</v>
      </c>
      <c r="AT3228" s="46">
        <v>10000</v>
      </c>
      <c r="AU3228" s="46">
        <v>49891</v>
      </c>
      <c r="AV3228" s="46">
        <v>4.9889999999999999</v>
      </c>
      <c r="AW3228" s="46">
        <v>18</v>
      </c>
      <c r="AX3228" s="46">
        <v>7300</v>
      </c>
      <c r="AY3228" s="46">
        <v>36518.690999999984</v>
      </c>
      <c r="AZ3228" s="46">
        <v>5.0030000000000001</v>
      </c>
      <c r="BA3228" s="46" t="s">
        <v>63</v>
      </c>
      <c r="BB3228" s="46">
        <v>2700</v>
      </c>
      <c r="BC3228" s="46">
        <v>13372.308999999999</v>
      </c>
      <c r="BD3228" s="46">
        <v>4.9530000000000003</v>
      </c>
      <c r="BE3228" s="46">
        <v>102.2</v>
      </c>
      <c r="BF3228" s="46">
        <v>4830.5999999999913</v>
      </c>
      <c r="BG3228" s="46">
        <v>4.83</v>
      </c>
      <c r="BH3228" s="46">
        <v>0</v>
      </c>
      <c r="BJ3228">
        <v>4830.5999999999985</v>
      </c>
      <c r="BK3228">
        <v>4.83</v>
      </c>
      <c r="BL3228">
        <v>-6.56</v>
      </c>
    </row>
    <row r="3229" spans="1:64" x14ac:dyDescent="0.25">
      <c r="A3229" s="136">
        <v>43552</v>
      </c>
      <c r="B3229" s="201" t="s">
        <v>124</v>
      </c>
      <c r="C3229" t="s">
        <v>125</v>
      </c>
      <c r="D3229">
        <v>100</v>
      </c>
      <c r="E3229">
        <v>100</v>
      </c>
      <c r="F3229">
        <v>-53.82</v>
      </c>
      <c r="G3229">
        <v>5927</v>
      </c>
      <c r="H3229">
        <v>0</v>
      </c>
      <c r="I3229" s="309">
        <v>545</v>
      </c>
      <c r="J3229">
        <v>5.45</v>
      </c>
      <c r="K3229" s="133">
        <v>1.0532915467130258E-3</v>
      </c>
      <c r="L3229" s="181">
        <v>0</v>
      </c>
      <c r="M3229" s="133">
        <v>0</v>
      </c>
    </row>
    <row r="3230" spans="1:64" x14ac:dyDescent="0.25">
      <c r="A3230" s="136">
        <v>43552</v>
      </c>
      <c r="B3230" s="201" t="s">
        <v>71</v>
      </c>
      <c r="C3230" t="s">
        <v>126</v>
      </c>
      <c r="D3230">
        <v>1100</v>
      </c>
      <c r="E3230">
        <v>1100</v>
      </c>
      <c r="F3230">
        <v>3.7570000000000001</v>
      </c>
      <c r="G3230">
        <v>2566.46</v>
      </c>
      <c r="H3230">
        <v>62.1</v>
      </c>
      <c r="I3230" s="309">
        <v>6699</v>
      </c>
      <c r="J3230">
        <v>6.09</v>
      </c>
      <c r="K3230" s="133">
        <v>1.2946789121890937E-2</v>
      </c>
      <c r="L3230" s="181">
        <v>-11</v>
      </c>
      <c r="M3230" s="133">
        <v>7.9867329329421071E-3</v>
      </c>
      <c r="N3230" s="73">
        <v>2545.2720000000054</v>
      </c>
      <c r="O3230" s="73">
        <v>436.73216570512909</v>
      </c>
      <c r="P3230" s="182">
        <v>0</v>
      </c>
      <c r="Q3230" s="182">
        <v>0</v>
      </c>
      <c r="R3230" s="46">
        <v>0</v>
      </c>
      <c r="S3230" s="46">
        <v>7</v>
      </c>
      <c r="T3230" s="46">
        <v>2700</v>
      </c>
      <c r="U3230" s="46">
        <v>6.468</v>
      </c>
      <c r="V3230" s="46" t="s">
        <v>68</v>
      </c>
      <c r="W3230" s="46">
        <v>2700</v>
      </c>
      <c r="X3230" s="46">
        <v>6.468</v>
      </c>
      <c r="AF3230" s="46">
        <v>51</v>
      </c>
      <c r="AG3230" s="46">
        <v>25600</v>
      </c>
      <c r="AH3230" s="46">
        <v>162451.32999999999</v>
      </c>
      <c r="AI3230" s="46">
        <v>6.3460000000000001</v>
      </c>
      <c r="AJ3230" s="46">
        <v>49</v>
      </c>
      <c r="AK3230" s="46">
        <v>21800</v>
      </c>
      <c r="AL3230" s="46">
        <v>140734.78599999999</v>
      </c>
      <c r="AM3230" s="46">
        <v>6.4560000000000004</v>
      </c>
      <c r="AN3230" s="46" t="s">
        <v>63</v>
      </c>
      <c r="AO3230" s="46">
        <v>3800</v>
      </c>
      <c r="AP3230" s="46">
        <v>21716.544000000002</v>
      </c>
      <c r="AQ3230" s="46">
        <v>5.7149999999999999</v>
      </c>
      <c r="AR3230" s="46">
        <v>2398</v>
      </c>
      <c r="AS3230" s="46">
        <v>51</v>
      </c>
      <c r="AT3230" s="46">
        <v>25600</v>
      </c>
      <c r="AU3230" s="46">
        <v>162451.32999999999</v>
      </c>
      <c r="AV3230" s="46">
        <v>6.3460000000000001</v>
      </c>
      <c r="AW3230" s="46">
        <v>56</v>
      </c>
      <c r="AX3230" s="46">
        <v>24500</v>
      </c>
      <c r="AY3230" s="46">
        <v>158152.70199999999</v>
      </c>
      <c r="AZ3230" s="46">
        <v>6.4550000000000001</v>
      </c>
      <c r="BA3230" s="46" t="s">
        <v>63</v>
      </c>
      <c r="BB3230" s="46">
        <v>1100</v>
      </c>
      <c r="BC3230" s="46">
        <v>4298.6279999999997</v>
      </c>
      <c r="BD3230" s="46">
        <v>3.9079999999999999</v>
      </c>
      <c r="BE3230" s="46">
        <v>2670.5</v>
      </c>
      <c r="BF3230" s="46">
        <v>0</v>
      </c>
      <c r="BH3230" s="46">
        <v>17417.915999999997</v>
      </c>
      <c r="BI3230">
        <v>6.45</v>
      </c>
      <c r="BJ3230">
        <v>-17417.916000000001</v>
      </c>
      <c r="BK3230">
        <v>-6.45</v>
      </c>
      <c r="BL3230">
        <v>393.76</v>
      </c>
    </row>
    <row r="3231" spans="1:64" x14ac:dyDescent="0.25">
      <c r="A3231" s="136">
        <v>43552</v>
      </c>
      <c r="B3231" s="201" t="s">
        <v>79</v>
      </c>
      <c r="C3231" t="s">
        <v>143</v>
      </c>
      <c r="D3231">
        <v>10120</v>
      </c>
      <c r="E3231">
        <v>10120</v>
      </c>
      <c r="F3231">
        <v>10.694000000000001</v>
      </c>
      <c r="G3231">
        <v>-21803.32</v>
      </c>
      <c r="H3231">
        <v>-20.149999999999999</v>
      </c>
      <c r="I3231" s="309">
        <v>86424.8</v>
      </c>
      <c r="J3231">
        <v>8.5399999999999991</v>
      </c>
      <c r="K3231" s="133">
        <v>0.16702846103919985</v>
      </c>
      <c r="L3231" s="181">
        <v>506</v>
      </c>
      <c r="M3231" s="133">
        <v>0.20916653928925313</v>
      </c>
      <c r="N3231" s="73">
        <v>-18683.636000000231</v>
      </c>
      <c r="O3231" s="73">
        <v>-2110.0897380791225</v>
      </c>
      <c r="P3231" s="182">
        <v>9</v>
      </c>
      <c r="Q3231" s="182">
        <v>6920</v>
      </c>
      <c r="R3231" s="46">
        <v>6.18</v>
      </c>
      <c r="S3231" s="46">
        <v>0</v>
      </c>
      <c r="T3231" s="46">
        <v>0</v>
      </c>
      <c r="U3231" s="46">
        <v>0</v>
      </c>
      <c r="V3231" s="46" t="s">
        <v>62</v>
      </c>
      <c r="W3231" s="46">
        <v>6920</v>
      </c>
      <c r="X3231" s="46">
        <v>6.18</v>
      </c>
      <c r="AF3231" s="46">
        <v>31</v>
      </c>
      <c r="AG3231" s="46">
        <v>16000</v>
      </c>
      <c r="AH3231" s="46">
        <v>236219.59999999986</v>
      </c>
      <c r="AI3231" s="46">
        <v>14.763999999999999</v>
      </c>
      <c r="AJ3231" s="46">
        <v>32</v>
      </c>
      <c r="AK3231" s="46">
        <v>12800</v>
      </c>
      <c r="AL3231" s="46">
        <v>170788.11599999983</v>
      </c>
      <c r="AM3231" s="46">
        <v>13.343</v>
      </c>
      <c r="AN3231" s="46" t="s">
        <v>63</v>
      </c>
      <c r="AO3231" s="46">
        <v>3200</v>
      </c>
      <c r="AP3231" s="46">
        <v>65431.483999999997</v>
      </c>
      <c r="AQ3231" s="46">
        <v>20.446999999999999</v>
      </c>
      <c r="AR3231" s="46">
        <v>-18188.8</v>
      </c>
      <c r="AS3231" s="46">
        <v>40</v>
      </c>
      <c r="AT3231" s="46">
        <v>22920</v>
      </c>
      <c r="AU3231" s="46">
        <v>279033.75199999975</v>
      </c>
      <c r="AV3231" s="46">
        <v>12.173999999999999</v>
      </c>
      <c r="AW3231" s="46">
        <v>32</v>
      </c>
      <c r="AX3231" s="46">
        <v>12800</v>
      </c>
      <c r="AY3231" s="46">
        <v>170788.11599999983</v>
      </c>
      <c r="AZ3231" s="46">
        <v>13.343</v>
      </c>
      <c r="BA3231" s="46" t="s">
        <v>63</v>
      </c>
      <c r="BB3231" s="46">
        <v>10120</v>
      </c>
      <c r="BC3231" s="46">
        <v>108245.636</v>
      </c>
      <c r="BD3231" s="46">
        <v>10.696</v>
      </c>
      <c r="BE3231" s="46">
        <v>14963.2</v>
      </c>
      <c r="BF3231" s="46">
        <v>42814.151999999885</v>
      </c>
      <c r="BG3231" s="46">
        <v>6.19</v>
      </c>
      <c r="BH3231" s="46">
        <v>0</v>
      </c>
      <c r="BJ3231">
        <v>42814.152000000002</v>
      </c>
      <c r="BK3231">
        <v>6.19</v>
      </c>
      <c r="BL3231">
        <v>-2129.84</v>
      </c>
    </row>
    <row r="3232" spans="1:64" x14ac:dyDescent="0.25">
      <c r="A3232" s="136">
        <v>43552</v>
      </c>
      <c r="B3232" s="201" t="s">
        <v>65</v>
      </c>
      <c r="C3232" t="s">
        <v>127</v>
      </c>
      <c r="D3232">
        <v>24100</v>
      </c>
      <c r="E3232">
        <v>23600</v>
      </c>
      <c r="F3232">
        <v>8.8480000000000008</v>
      </c>
      <c r="G3232">
        <v>-22835.55</v>
      </c>
      <c r="H3232">
        <v>-10.71</v>
      </c>
      <c r="I3232" s="309">
        <v>190390</v>
      </c>
      <c r="J3232">
        <v>7.9</v>
      </c>
      <c r="K3232" s="133">
        <v>0.3679562891352165</v>
      </c>
      <c r="L3232" s="181">
        <v>-2601</v>
      </c>
      <c r="M3232" s="133">
        <v>0.41208930157474427</v>
      </c>
      <c r="N3232" s="73">
        <v>-27117.985000000073</v>
      </c>
      <c r="O3232" s="73">
        <v>-2889.2421878797736</v>
      </c>
      <c r="P3232" s="182">
        <v>6</v>
      </c>
      <c r="Q3232" s="182">
        <v>3300</v>
      </c>
      <c r="R3232" s="46">
        <v>7.5129999999999999</v>
      </c>
      <c r="S3232" s="46">
        <v>2</v>
      </c>
      <c r="T3232" s="46">
        <v>800</v>
      </c>
      <c r="U3232" s="46">
        <v>7.4349999999999996</v>
      </c>
      <c r="V3232" s="46" t="s">
        <v>62</v>
      </c>
      <c r="W3232" s="46">
        <v>2500</v>
      </c>
      <c r="X3232" s="46">
        <v>7.5380000000000003</v>
      </c>
      <c r="AF3232" s="46">
        <v>226</v>
      </c>
      <c r="AG3232" s="46">
        <v>121700</v>
      </c>
      <c r="AH3232" s="46">
        <v>1310489.6810000001</v>
      </c>
      <c r="AI3232" s="46">
        <v>10.768000000000001</v>
      </c>
      <c r="AJ3232" s="46">
        <v>255</v>
      </c>
      <c r="AK3232" s="46">
        <v>109300</v>
      </c>
      <c r="AL3232" s="46">
        <v>1112018.642</v>
      </c>
      <c r="AM3232" s="46">
        <v>10.173999999999999</v>
      </c>
      <c r="AN3232" s="46" t="s">
        <v>63</v>
      </c>
      <c r="AO3232" s="46">
        <v>12400</v>
      </c>
      <c r="AP3232" s="46">
        <v>198471.03899999999</v>
      </c>
      <c r="AQ3232" s="46">
        <v>16.006</v>
      </c>
      <c r="AR3232" s="46">
        <v>-64924.2</v>
      </c>
      <c r="AS3232" s="46">
        <v>233</v>
      </c>
      <c r="AT3232" s="46">
        <v>125100</v>
      </c>
      <c r="AU3232" s="46">
        <v>1336599.6810000001</v>
      </c>
      <c r="AV3232" s="46">
        <v>10.683999999999999</v>
      </c>
      <c r="AW3232" s="46">
        <v>257</v>
      </c>
      <c r="AX3232" s="46">
        <v>110100</v>
      </c>
      <c r="AY3232" s="46">
        <v>1117950.6940000001</v>
      </c>
      <c r="AZ3232" s="46">
        <v>10.154</v>
      </c>
      <c r="BA3232" s="46" t="s">
        <v>63</v>
      </c>
      <c r="BB3232" s="46">
        <v>15000</v>
      </c>
      <c r="BC3232" s="46">
        <v>218648.98699999999</v>
      </c>
      <c r="BD3232" s="46">
        <v>14.577</v>
      </c>
      <c r="BE3232" s="46">
        <v>-58353</v>
      </c>
      <c r="BF3232" s="46">
        <v>26110</v>
      </c>
      <c r="BG3232" s="46">
        <v>7.91</v>
      </c>
      <c r="BH3232" s="46">
        <v>5932.0520000001416</v>
      </c>
      <c r="BI3232">
        <v>7.42</v>
      </c>
      <c r="BJ3232">
        <v>20177.948000000004</v>
      </c>
      <c r="BK3232">
        <v>8.07</v>
      </c>
      <c r="BL3232">
        <v>-8218.25</v>
      </c>
    </row>
    <row r="3233" spans="1:64" x14ac:dyDescent="0.25">
      <c r="A3233" s="136">
        <v>43552</v>
      </c>
      <c r="B3233" s="201" t="s">
        <v>77</v>
      </c>
      <c r="C3233" t="s">
        <v>150</v>
      </c>
      <c r="D3233">
        <v>5100</v>
      </c>
      <c r="E3233">
        <v>5100</v>
      </c>
      <c r="F3233">
        <v>5.5359999999999996</v>
      </c>
      <c r="G3233">
        <v>-5385.83</v>
      </c>
      <c r="H3233">
        <v>-19.079999999999998</v>
      </c>
      <c r="I3233" s="309">
        <v>22848</v>
      </c>
      <c r="J3233">
        <v>4.4800000000000004</v>
      </c>
      <c r="K3233" s="133">
        <v>4.4157073870273789E-2</v>
      </c>
      <c r="L3233" s="181">
        <v>-153</v>
      </c>
      <c r="M3233" s="133">
        <v>5.4565971505197493E-2</v>
      </c>
      <c r="N3233" s="73">
        <v>-4819.7780000000021</v>
      </c>
      <c r="O3233" s="73">
        <v>-920.60087654584254</v>
      </c>
      <c r="P3233" s="182">
        <v>6</v>
      </c>
      <c r="Q3233" s="182">
        <v>3000</v>
      </c>
      <c r="R3233" s="46">
        <v>4.95</v>
      </c>
      <c r="S3233" s="46">
        <v>0</v>
      </c>
      <c r="T3233" s="46">
        <v>0</v>
      </c>
      <c r="U3233" s="46">
        <v>0</v>
      </c>
      <c r="V3233" s="46" t="s">
        <v>62</v>
      </c>
      <c r="W3233" s="46">
        <v>3000</v>
      </c>
      <c r="X3233" s="46">
        <v>4.95</v>
      </c>
      <c r="AF3233" s="46">
        <v>47</v>
      </c>
      <c r="AG3233" s="46">
        <v>23500</v>
      </c>
      <c r="AH3233" s="46">
        <v>164039</v>
      </c>
      <c r="AI3233" s="46">
        <v>6.98</v>
      </c>
      <c r="AJ3233" s="46">
        <v>47</v>
      </c>
      <c r="AK3233" s="46">
        <v>21400</v>
      </c>
      <c r="AL3233" s="46">
        <v>150392.22200000001</v>
      </c>
      <c r="AM3233" s="46">
        <v>7.0279999999999996</v>
      </c>
      <c r="AN3233" s="46" t="s">
        <v>63</v>
      </c>
      <c r="AO3233" s="46">
        <v>2100</v>
      </c>
      <c r="AP3233" s="46">
        <v>13646.778</v>
      </c>
      <c r="AQ3233" s="46">
        <v>6.4980000000000002</v>
      </c>
      <c r="AR3233" s="46">
        <v>1027.2</v>
      </c>
      <c r="AS3233" s="46">
        <v>53</v>
      </c>
      <c r="AT3233" s="46">
        <v>26500</v>
      </c>
      <c r="AU3233" s="46">
        <v>178631</v>
      </c>
      <c r="AV3233" s="46">
        <v>6.7409999999999997</v>
      </c>
      <c r="AW3233" s="46">
        <v>47</v>
      </c>
      <c r="AX3233" s="46">
        <v>21400</v>
      </c>
      <c r="AY3233" s="46">
        <v>150392.22200000001</v>
      </c>
      <c r="AZ3233" s="46">
        <v>7.0279999999999996</v>
      </c>
      <c r="BA3233" s="46" t="s">
        <v>63</v>
      </c>
      <c r="BB3233" s="46">
        <v>5100</v>
      </c>
      <c r="BC3233" s="46">
        <v>28238.777999999998</v>
      </c>
      <c r="BD3233" s="46">
        <v>5.5369999999999999</v>
      </c>
      <c r="BE3233" s="46">
        <v>6141.8</v>
      </c>
      <c r="BF3233" s="46">
        <v>14592</v>
      </c>
      <c r="BG3233" s="46">
        <v>4.8600000000000003</v>
      </c>
      <c r="BH3233" s="46">
        <v>0</v>
      </c>
      <c r="BJ3233">
        <v>14591.999999999998</v>
      </c>
      <c r="BK3233">
        <v>4.8600000000000003</v>
      </c>
      <c r="BL3233">
        <v>229.29</v>
      </c>
    </row>
    <row r="3234" spans="1:64" x14ac:dyDescent="0.25">
      <c r="A3234" s="136">
        <v>43552</v>
      </c>
      <c r="B3234" s="201" t="s">
        <v>67</v>
      </c>
      <c r="C3234" t="s">
        <v>129</v>
      </c>
      <c r="D3234">
        <v>230</v>
      </c>
      <c r="E3234">
        <v>230</v>
      </c>
      <c r="F3234">
        <v>-11.728999999999999</v>
      </c>
      <c r="G3234">
        <v>4411.17</v>
      </c>
      <c r="H3234">
        <v>0</v>
      </c>
      <c r="I3234" s="309">
        <v>1713.5</v>
      </c>
      <c r="J3234">
        <v>7.45</v>
      </c>
      <c r="K3234" s="133">
        <v>3.3115872757665502E-3</v>
      </c>
      <c r="L3234" s="181">
        <v>0</v>
      </c>
      <c r="M3234" s="133">
        <v>0</v>
      </c>
      <c r="N3234" s="73">
        <v>4362.583499999957</v>
      </c>
      <c r="O3234" s="73">
        <v>600.60636477272476</v>
      </c>
      <c r="P3234" s="182">
        <v>1</v>
      </c>
      <c r="Q3234" s="182">
        <v>30</v>
      </c>
      <c r="R3234" s="46">
        <v>0</v>
      </c>
      <c r="S3234" s="46">
        <v>24</v>
      </c>
      <c r="T3234" s="46">
        <v>9600</v>
      </c>
      <c r="U3234" s="46">
        <v>8.9429999999999996</v>
      </c>
      <c r="V3234" s="46" t="s">
        <v>68</v>
      </c>
      <c r="W3234" s="46">
        <v>9570</v>
      </c>
      <c r="X3234" s="46">
        <v>8.9710000000000001</v>
      </c>
      <c r="AF3234" s="46">
        <v>193</v>
      </c>
      <c r="AG3234" s="46">
        <v>95500</v>
      </c>
      <c r="AH3234" s="46">
        <v>795318</v>
      </c>
      <c r="AI3234" s="46">
        <v>8.3279999999999994</v>
      </c>
      <c r="AJ3234" s="46">
        <v>197</v>
      </c>
      <c r="AK3234" s="46">
        <v>88300</v>
      </c>
      <c r="AL3234" s="46">
        <v>781491.25550000009</v>
      </c>
      <c r="AM3234" s="46">
        <v>8.85</v>
      </c>
      <c r="AN3234" s="46" t="s">
        <v>63</v>
      </c>
      <c r="AO3234" s="46">
        <v>7200</v>
      </c>
      <c r="AP3234" s="46">
        <v>13826.744000000001</v>
      </c>
      <c r="AQ3234" s="46">
        <v>1.92</v>
      </c>
      <c r="AR3234" s="46">
        <v>46092.6</v>
      </c>
      <c r="AS3234" s="46">
        <v>194</v>
      </c>
      <c r="AT3234" s="46">
        <v>95530</v>
      </c>
      <c r="AU3234" s="46">
        <v>795323</v>
      </c>
      <c r="AV3234" s="46">
        <v>8.3249999999999993</v>
      </c>
      <c r="AW3234" s="46">
        <v>221</v>
      </c>
      <c r="AX3234" s="46">
        <v>97900</v>
      </c>
      <c r="AY3234" s="46">
        <v>867143.89950000017</v>
      </c>
      <c r="AZ3234" s="46">
        <v>8.8569999999999993</v>
      </c>
      <c r="BA3234" s="46" t="s">
        <v>69</v>
      </c>
      <c r="BB3234" s="46">
        <v>2370</v>
      </c>
      <c r="BC3234" s="46">
        <v>71820.899999999994</v>
      </c>
      <c r="BD3234" s="46">
        <v>30.303999999999998</v>
      </c>
      <c r="BE3234" s="46">
        <v>50821.96</v>
      </c>
      <c r="BF3234" s="46">
        <v>5</v>
      </c>
      <c r="BG3234" s="46">
        <v>0.17</v>
      </c>
      <c r="BH3234" s="46">
        <v>85652.644000000088</v>
      </c>
      <c r="BI3234">
        <v>8.92</v>
      </c>
      <c r="BJ3234">
        <v>57994.155999999995</v>
      </c>
      <c r="BK3234">
        <v>6.06</v>
      </c>
      <c r="BL3234">
        <v>6186.93</v>
      </c>
    </row>
    <row r="3235" spans="1:64" x14ac:dyDescent="0.25">
      <c r="A3235" s="136">
        <v>43552</v>
      </c>
      <c r="B3235" s="201" t="s">
        <v>78</v>
      </c>
      <c r="C3235" t="s">
        <v>142</v>
      </c>
      <c r="D3235">
        <v>200</v>
      </c>
      <c r="E3235">
        <v>200</v>
      </c>
      <c r="F3235">
        <v>2.077</v>
      </c>
      <c r="G3235">
        <v>1652.65</v>
      </c>
      <c r="H3235">
        <v>397.85</v>
      </c>
      <c r="I3235" s="309">
        <v>2068</v>
      </c>
      <c r="J3235">
        <v>10.34</v>
      </c>
      <c r="K3235" s="133">
        <v>3.996709942389977E-3</v>
      </c>
      <c r="L3235" s="181">
        <v>44</v>
      </c>
      <c r="M3235" s="133">
        <v>8.0272411729771591E-4</v>
      </c>
      <c r="N3235" s="73">
        <v>1454.650999999996</v>
      </c>
      <c r="O3235" s="73">
        <v>155.49985823529371</v>
      </c>
      <c r="P3235" s="182">
        <v>0</v>
      </c>
      <c r="Q3235" s="182">
        <v>0</v>
      </c>
      <c r="R3235" s="46">
        <v>0</v>
      </c>
      <c r="S3235" s="46">
        <v>3</v>
      </c>
      <c r="T3235" s="46">
        <v>1200</v>
      </c>
      <c r="U3235" s="46">
        <v>9.923</v>
      </c>
      <c r="V3235" s="46" t="s">
        <v>68</v>
      </c>
      <c r="W3235" s="46">
        <v>1200</v>
      </c>
      <c r="X3235" s="46">
        <v>9.923</v>
      </c>
      <c r="AF3235" s="46">
        <v>14</v>
      </c>
      <c r="AG3235" s="46">
        <v>7000</v>
      </c>
      <c r="AH3235" s="46">
        <v>67625</v>
      </c>
      <c r="AI3235" s="46">
        <v>9.6609999999999996</v>
      </c>
      <c r="AJ3235" s="46">
        <v>15</v>
      </c>
      <c r="AK3235" s="46">
        <v>5600</v>
      </c>
      <c r="AL3235" s="46">
        <v>55310.559000000008</v>
      </c>
      <c r="AM3235" s="46">
        <v>9.8770000000000007</v>
      </c>
      <c r="AN3235" s="46" t="s">
        <v>63</v>
      </c>
      <c r="AO3235" s="46">
        <v>1400</v>
      </c>
      <c r="AP3235" s="46">
        <v>12314.441000000001</v>
      </c>
      <c r="AQ3235" s="46">
        <v>8.7959999999999994</v>
      </c>
      <c r="AR3235" s="46">
        <v>1209.5999999999999</v>
      </c>
      <c r="AS3235" s="46">
        <v>14</v>
      </c>
      <c r="AT3235" s="46">
        <v>7000</v>
      </c>
      <c r="AU3235" s="46">
        <v>67625</v>
      </c>
      <c r="AV3235" s="46">
        <v>9.6609999999999996</v>
      </c>
      <c r="AW3235" s="46">
        <v>18</v>
      </c>
      <c r="AX3235" s="46">
        <v>6800</v>
      </c>
      <c r="AY3235" s="46">
        <v>67209.651000000013</v>
      </c>
      <c r="AZ3235" s="46">
        <v>9.8840000000000003</v>
      </c>
      <c r="BA3235" s="46" t="s">
        <v>63</v>
      </c>
      <c r="BB3235" s="46">
        <v>200</v>
      </c>
      <c r="BC3235" s="46">
        <v>415.34899999999999</v>
      </c>
      <c r="BD3235" s="46">
        <v>2.077</v>
      </c>
      <c r="BE3235" s="46">
        <v>1516.4</v>
      </c>
      <c r="BF3235" s="46">
        <v>0</v>
      </c>
      <c r="BH3235" s="46">
        <v>11899.092000000004</v>
      </c>
      <c r="BI3235">
        <v>9.92</v>
      </c>
      <c r="BJ3235">
        <v>-11899.092000000001</v>
      </c>
      <c r="BK3235">
        <v>-9.92</v>
      </c>
      <c r="BL3235">
        <v>116.98</v>
      </c>
    </row>
    <row r="3236" spans="1:64" x14ac:dyDescent="0.25">
      <c r="A3236" s="136">
        <v>43552</v>
      </c>
      <c r="B3236" s="201" t="s">
        <v>72</v>
      </c>
      <c r="C3236" t="s">
        <v>130</v>
      </c>
      <c r="D3236">
        <v>100</v>
      </c>
      <c r="E3236">
        <v>100</v>
      </c>
      <c r="F3236">
        <v>-18.477</v>
      </c>
      <c r="G3236">
        <v>2437.6999999999998</v>
      </c>
      <c r="H3236">
        <v>0</v>
      </c>
      <c r="I3236" s="309">
        <v>590</v>
      </c>
      <c r="J3236">
        <v>5.9</v>
      </c>
      <c r="K3236" s="133">
        <v>1.1402605735058445E-3</v>
      </c>
      <c r="L3236" s="181">
        <v>-24</v>
      </c>
      <c r="M3236" s="133">
        <v>0</v>
      </c>
      <c r="N3236" s="73">
        <v>-1498.9659999999872</v>
      </c>
      <c r="O3236" s="73">
        <v>376.42007904191922</v>
      </c>
      <c r="P3236" s="182">
        <v>0</v>
      </c>
      <c r="Q3236" s="182">
        <v>0</v>
      </c>
      <c r="R3236" s="46">
        <v>0</v>
      </c>
      <c r="S3236" s="46">
        <v>20</v>
      </c>
      <c r="T3236" s="46">
        <v>8600</v>
      </c>
      <c r="U3236" s="46">
        <v>7.3840000000000003</v>
      </c>
      <c r="V3236" s="46" t="s">
        <v>68</v>
      </c>
      <c r="W3236" s="46">
        <v>8600</v>
      </c>
      <c r="X3236" s="46">
        <v>7.3840000000000003</v>
      </c>
      <c r="AF3236" s="46">
        <v>42</v>
      </c>
      <c r="AG3236" s="46">
        <v>20900</v>
      </c>
      <c r="AH3236" s="46">
        <v>152800</v>
      </c>
      <c r="AI3236" s="46">
        <v>7.3109999999999999</v>
      </c>
      <c r="AJ3236" s="46">
        <v>42</v>
      </c>
      <c r="AK3236" s="46">
        <v>18800</v>
      </c>
      <c r="AL3236" s="46">
        <v>92037.725000000035</v>
      </c>
      <c r="AM3236" s="46">
        <v>4.8959999999999999</v>
      </c>
      <c r="AN3236" s="46" t="s">
        <v>63</v>
      </c>
      <c r="AO3236" s="46">
        <v>2100</v>
      </c>
      <c r="AP3236" s="46">
        <v>60762.275000000001</v>
      </c>
      <c r="AQ3236" s="46">
        <v>28.934000000000001</v>
      </c>
      <c r="AR3236" s="46">
        <v>-45402</v>
      </c>
      <c r="AS3236" s="46">
        <v>42</v>
      </c>
      <c r="AT3236" s="46">
        <v>20900</v>
      </c>
      <c r="AU3236" s="46">
        <v>152800</v>
      </c>
      <c r="AV3236" s="46">
        <v>7.3109999999999999</v>
      </c>
      <c r="AW3236" s="46">
        <v>63</v>
      </c>
      <c r="AX3236" s="46">
        <v>27900</v>
      </c>
      <c r="AY3236" s="46">
        <v>155380.21900000001</v>
      </c>
      <c r="AZ3236" s="46">
        <v>5.569</v>
      </c>
      <c r="BA3236" s="46" t="s">
        <v>69</v>
      </c>
      <c r="BB3236" s="46">
        <v>7000</v>
      </c>
      <c r="BC3236" s="46">
        <v>2580.2190000000001</v>
      </c>
      <c r="BD3236" s="46">
        <v>0.36899999999999999</v>
      </c>
      <c r="BE3236" s="46">
        <v>-36407.800000000003</v>
      </c>
      <c r="BF3236" s="46">
        <v>0</v>
      </c>
      <c r="BH3236" s="46">
        <v>63342.493999999977</v>
      </c>
      <c r="BI3236">
        <v>7.37</v>
      </c>
      <c r="BJ3236">
        <v>-58182.056000000004</v>
      </c>
      <c r="BK3236">
        <v>-6.77</v>
      </c>
      <c r="BL3236">
        <v>-7695.25</v>
      </c>
    </row>
    <row r="3237" spans="1:64" x14ac:dyDescent="0.25">
      <c r="A3237" s="136">
        <v>43552</v>
      </c>
      <c r="B3237" s="201" t="s">
        <v>70</v>
      </c>
      <c r="C3237" t="s">
        <v>131</v>
      </c>
      <c r="D3237">
        <v>13500</v>
      </c>
      <c r="E3237">
        <v>13500</v>
      </c>
      <c r="F3237">
        <v>10.994999999999999</v>
      </c>
      <c r="G3237">
        <v>-41110.74</v>
      </c>
      <c r="H3237">
        <v>-27.7</v>
      </c>
      <c r="I3237" s="309">
        <v>107325</v>
      </c>
      <c r="J3237">
        <v>7.95</v>
      </c>
      <c r="K3237" s="133">
        <v>0.20742112890087247</v>
      </c>
      <c r="L3237" s="181">
        <v>-1655</v>
      </c>
      <c r="M3237" s="133">
        <v>0.2868735966460414</v>
      </c>
      <c r="N3237" s="73">
        <v>-42194.72900000005</v>
      </c>
      <c r="O3237" s="73">
        <v>-5358.7841976493073</v>
      </c>
      <c r="P3237" s="182">
        <v>1</v>
      </c>
      <c r="Q3237" s="182">
        <v>500</v>
      </c>
      <c r="R3237" s="46">
        <v>7.87</v>
      </c>
      <c r="S3237" s="46">
        <v>3</v>
      </c>
      <c r="T3237" s="46">
        <v>1200</v>
      </c>
      <c r="U3237" s="46">
        <v>7.843</v>
      </c>
      <c r="V3237" s="46" t="s">
        <v>68</v>
      </c>
      <c r="W3237" s="46">
        <v>700</v>
      </c>
      <c r="X3237" s="46">
        <v>7.8239999999999998</v>
      </c>
      <c r="AF3237" s="46">
        <v>155</v>
      </c>
      <c r="AG3237" s="46">
        <v>79100</v>
      </c>
      <c r="AH3237" s="46">
        <v>978978</v>
      </c>
      <c r="AI3237" s="46">
        <v>12.375999999999999</v>
      </c>
      <c r="AJ3237" s="46">
        <v>161</v>
      </c>
      <c r="AK3237" s="46">
        <v>64900</v>
      </c>
      <c r="AL3237" s="46">
        <v>824685.68299999973</v>
      </c>
      <c r="AM3237" s="46">
        <v>12.707000000000001</v>
      </c>
      <c r="AN3237" s="46" t="s">
        <v>63</v>
      </c>
      <c r="AO3237" s="46">
        <v>14200</v>
      </c>
      <c r="AP3237" s="46">
        <v>154292.31700000001</v>
      </c>
      <c r="AQ3237" s="46">
        <v>10.866</v>
      </c>
      <c r="AR3237" s="46">
        <v>21481.9</v>
      </c>
      <c r="AS3237" s="46">
        <v>156</v>
      </c>
      <c r="AT3237" s="46">
        <v>79600</v>
      </c>
      <c r="AU3237" s="46">
        <v>982918</v>
      </c>
      <c r="AV3237" s="46">
        <v>12.348000000000001</v>
      </c>
      <c r="AW3237" s="46">
        <v>165</v>
      </c>
      <c r="AX3237" s="46">
        <v>66100</v>
      </c>
      <c r="AY3237" s="46">
        <v>834478.27099999972</v>
      </c>
      <c r="AZ3237" s="46">
        <v>12.624000000000001</v>
      </c>
      <c r="BA3237" s="46" t="s">
        <v>63</v>
      </c>
      <c r="BB3237" s="46">
        <v>13500</v>
      </c>
      <c r="BC3237" s="46">
        <v>148439.72899999999</v>
      </c>
      <c r="BD3237" s="46">
        <v>10.996</v>
      </c>
      <c r="BE3237" s="46">
        <v>18243.599999999999</v>
      </c>
      <c r="BF3237" s="46">
        <v>3940</v>
      </c>
      <c r="BG3237" s="46">
        <v>7.88</v>
      </c>
      <c r="BH3237" s="46">
        <v>9792.5879999999888</v>
      </c>
      <c r="BI3237">
        <v>8.16</v>
      </c>
      <c r="BJ3237">
        <v>-5852.5880000000179</v>
      </c>
      <c r="BK3237">
        <v>-8.36</v>
      </c>
      <c r="BL3237">
        <v>2702.13</v>
      </c>
    </row>
    <row r="3238" spans="1:64" x14ac:dyDescent="0.25">
      <c r="A3238" s="136">
        <v>43552</v>
      </c>
      <c r="B3238" s="201" t="s">
        <v>628</v>
      </c>
      <c r="C3238" t="s">
        <v>629</v>
      </c>
      <c r="D3238">
        <v>100</v>
      </c>
      <c r="E3238">
        <v>100</v>
      </c>
      <c r="F3238">
        <v>-22.33</v>
      </c>
      <c r="G3238">
        <v>3624</v>
      </c>
      <c r="H3238">
        <v>0</v>
      </c>
      <c r="I3238" s="309">
        <v>1391</v>
      </c>
      <c r="J3238">
        <v>13.91</v>
      </c>
      <c r="K3238" s="133">
        <v>2.6883092504180165E-3</v>
      </c>
      <c r="L3238" s="181">
        <v>-15</v>
      </c>
      <c r="M3238" s="133">
        <v>0</v>
      </c>
    </row>
    <row r="3239" spans="1:64" x14ac:dyDescent="0.25">
      <c r="A3239" s="136">
        <v>43552</v>
      </c>
      <c r="B3239" s="201" t="s">
        <v>630</v>
      </c>
      <c r="C3239" t="s">
        <v>631</v>
      </c>
      <c r="D3239">
        <v>100</v>
      </c>
      <c r="E3239">
        <v>100</v>
      </c>
      <c r="F3239">
        <v>-94.45</v>
      </c>
      <c r="G3239">
        <v>12777</v>
      </c>
      <c r="H3239">
        <v>0</v>
      </c>
      <c r="I3239" s="309">
        <v>3332</v>
      </c>
      <c r="J3239">
        <v>33.32</v>
      </c>
      <c r="K3239" s="133">
        <v>6.4395732727482611E-3</v>
      </c>
      <c r="L3239" s="181">
        <v>-390</v>
      </c>
      <c r="M3239" s="133">
        <v>0</v>
      </c>
    </row>
    <row r="3240" spans="1:64" x14ac:dyDescent="0.25">
      <c r="A3240" s="136">
        <v>43552</v>
      </c>
      <c r="B3240" s="201" t="s">
        <v>137</v>
      </c>
      <c r="C3240" t="s">
        <v>149</v>
      </c>
      <c r="D3240">
        <v>100</v>
      </c>
      <c r="E3240">
        <v>100</v>
      </c>
      <c r="F3240">
        <v>-130.86000000000001</v>
      </c>
      <c r="G3240">
        <v>16829</v>
      </c>
      <c r="H3240">
        <v>0</v>
      </c>
      <c r="I3240" s="309">
        <v>3743</v>
      </c>
      <c r="J3240">
        <v>37.43</v>
      </c>
      <c r="K3240" s="133">
        <v>7.2338903841226709E-3</v>
      </c>
      <c r="L3240" s="181">
        <v>33</v>
      </c>
      <c r="M3240" s="133">
        <v>0</v>
      </c>
    </row>
    <row r="3241" spans="1:64" x14ac:dyDescent="0.25">
      <c r="A3241" s="136">
        <v>43552</v>
      </c>
      <c r="B3241" s="201" t="s">
        <v>835</v>
      </c>
      <c r="C3241" t="s">
        <v>839</v>
      </c>
      <c r="I3241" s="309">
        <v>8320.82</v>
      </c>
      <c r="K3241" s="133">
        <v>1.6081191500404917E-2</v>
      </c>
      <c r="L3241" s="181">
        <v>0</v>
      </c>
      <c r="M3241" s="133">
        <v>0.15140590553319946</v>
      </c>
    </row>
    <row r="3242" spans="1:64" x14ac:dyDescent="0.25">
      <c r="A3242" s="136">
        <v>43553</v>
      </c>
      <c r="B3242" s="201" t="s">
        <v>132</v>
      </c>
      <c r="C3242" t="s">
        <v>123</v>
      </c>
      <c r="D3242">
        <v>7002337</v>
      </c>
      <c r="E3242">
        <v>7002337</v>
      </c>
      <c r="F3242">
        <v>8.9999999999999993E-3</v>
      </c>
      <c r="G3242">
        <v>3825.15</v>
      </c>
      <c r="H3242">
        <v>11.11</v>
      </c>
      <c r="I3242" s="309">
        <v>70023.37</v>
      </c>
      <c r="J3242">
        <v>0.01</v>
      </c>
      <c r="K3242" s="133">
        <v>0.12952612073177219</v>
      </c>
      <c r="L3242" s="181">
        <v>2.9000000000000909</v>
      </c>
      <c r="M3242" s="133">
        <v>0</v>
      </c>
    </row>
    <row r="3243" spans="1:64" x14ac:dyDescent="0.25">
      <c r="A3243" s="136">
        <v>43553</v>
      </c>
      <c r="B3243" s="201" t="s">
        <v>61</v>
      </c>
      <c r="C3243" t="s">
        <v>136</v>
      </c>
      <c r="D3243">
        <v>2700</v>
      </c>
      <c r="E3243">
        <v>2700</v>
      </c>
      <c r="F3243">
        <v>4.952</v>
      </c>
      <c r="G3243">
        <v>-1138.58</v>
      </c>
      <c r="H3243">
        <v>-8.52</v>
      </c>
      <c r="I3243" s="309">
        <v>12231</v>
      </c>
      <c r="J3243">
        <v>4.53</v>
      </c>
      <c r="K3243" s="133">
        <v>2.2624360733713701E-2</v>
      </c>
      <c r="L3243" s="181">
        <v>216</v>
      </c>
      <c r="M3243" s="133">
        <v>2.4730455463841387E-2</v>
      </c>
      <c r="N3243" s="73">
        <v>-763.30900000000474</v>
      </c>
      <c r="O3243" s="73">
        <v>-163.36773993576119</v>
      </c>
      <c r="P3243" s="182">
        <v>2</v>
      </c>
      <c r="Q3243" s="182">
        <v>1000</v>
      </c>
      <c r="R3243" s="46">
        <v>4.82</v>
      </c>
      <c r="S3243" s="46">
        <v>0</v>
      </c>
      <c r="T3243" s="46">
        <v>0</v>
      </c>
      <c r="U3243" s="46">
        <v>0</v>
      </c>
      <c r="V3243" s="46" t="s">
        <v>62</v>
      </c>
      <c r="W3243" s="46">
        <v>1000</v>
      </c>
      <c r="X3243" s="46">
        <v>4.82</v>
      </c>
      <c r="AF3243" s="46">
        <v>18</v>
      </c>
      <c r="AG3243" s="46">
        <v>9000</v>
      </c>
      <c r="AH3243" s="46">
        <v>45060.400000000009</v>
      </c>
      <c r="AI3243" s="46">
        <v>5.0069999999999997</v>
      </c>
      <c r="AJ3243" s="46">
        <v>18</v>
      </c>
      <c r="AK3243" s="46">
        <v>7300</v>
      </c>
      <c r="AL3243" s="46">
        <v>36518.690999999984</v>
      </c>
      <c r="AM3243" s="46">
        <v>5.0030000000000001</v>
      </c>
      <c r="AN3243" s="46" t="s">
        <v>63</v>
      </c>
      <c r="AO3243" s="46">
        <v>1700</v>
      </c>
      <c r="AP3243" s="46">
        <v>8541.7090000000007</v>
      </c>
      <c r="AQ3243" s="46">
        <v>5.0250000000000004</v>
      </c>
      <c r="AR3243" s="46">
        <v>-29.2</v>
      </c>
      <c r="AS3243" s="46">
        <v>20</v>
      </c>
      <c r="AT3243" s="46">
        <v>10000</v>
      </c>
      <c r="AU3243" s="46">
        <v>49891</v>
      </c>
      <c r="AV3243" s="46">
        <v>4.9889999999999999</v>
      </c>
      <c r="AW3243" s="46">
        <v>18</v>
      </c>
      <c r="AX3243" s="46">
        <v>7300</v>
      </c>
      <c r="AY3243" s="46">
        <v>36518.690999999984</v>
      </c>
      <c r="AZ3243" s="46">
        <v>5.0030000000000001</v>
      </c>
      <c r="BA3243" s="46" t="s">
        <v>63</v>
      </c>
      <c r="BB3243" s="46">
        <v>2700</v>
      </c>
      <c r="BC3243" s="46">
        <v>13372.308999999999</v>
      </c>
      <c r="BD3243" s="46">
        <v>4.9530000000000003</v>
      </c>
      <c r="BE3243" s="46">
        <v>102.2</v>
      </c>
      <c r="BF3243" s="46">
        <v>4830.5999999999913</v>
      </c>
      <c r="BG3243" s="46">
        <v>4.83</v>
      </c>
      <c r="BH3243" s="46">
        <v>0</v>
      </c>
      <c r="BJ3243">
        <v>4830.5999999999985</v>
      </c>
      <c r="BK3243">
        <v>4.83</v>
      </c>
      <c r="BL3243">
        <v>-6.45</v>
      </c>
    </row>
    <row r="3244" spans="1:64" x14ac:dyDescent="0.25">
      <c r="A3244" s="136">
        <v>43553</v>
      </c>
      <c r="B3244" s="201" t="s">
        <v>124</v>
      </c>
      <c r="C3244" t="s">
        <v>125</v>
      </c>
      <c r="D3244">
        <v>100</v>
      </c>
      <c r="E3244">
        <v>100</v>
      </c>
      <c r="F3244">
        <v>-53.82</v>
      </c>
      <c r="G3244">
        <v>5939</v>
      </c>
      <c r="H3244">
        <v>0</v>
      </c>
      <c r="I3244" s="309">
        <v>557</v>
      </c>
      <c r="J3244">
        <v>5.57</v>
      </c>
      <c r="K3244" s="133">
        <v>1.0303138687497776E-3</v>
      </c>
      <c r="L3244" s="181">
        <v>12</v>
      </c>
      <c r="M3244" s="133">
        <v>0</v>
      </c>
    </row>
    <row r="3245" spans="1:64" x14ac:dyDescent="0.25">
      <c r="A3245" s="136">
        <v>43553</v>
      </c>
      <c r="B3245" s="201" t="s">
        <v>71</v>
      </c>
      <c r="C3245" t="s">
        <v>126</v>
      </c>
      <c r="D3245">
        <v>1100</v>
      </c>
      <c r="E3245">
        <v>1100</v>
      </c>
      <c r="F3245">
        <v>3.7570000000000001</v>
      </c>
      <c r="G3245">
        <v>2786.46</v>
      </c>
      <c r="H3245">
        <v>67.42</v>
      </c>
      <c r="I3245" s="309">
        <v>6919</v>
      </c>
      <c r="J3245">
        <v>6.29</v>
      </c>
      <c r="K3245" s="133">
        <v>1.2798458990807381E-2</v>
      </c>
      <c r="L3245" s="181">
        <v>220</v>
      </c>
      <c r="M3245" s="133">
        <v>7.6441890038836729E-3</v>
      </c>
      <c r="N3245" s="73">
        <v>2545.2720000000054</v>
      </c>
      <c r="O3245" s="73">
        <v>436.73216570512909</v>
      </c>
      <c r="P3245" s="182">
        <v>0</v>
      </c>
      <c r="Q3245" s="182">
        <v>0</v>
      </c>
      <c r="R3245" s="46">
        <v>0</v>
      </c>
      <c r="S3245" s="46">
        <v>7</v>
      </c>
      <c r="T3245" s="46">
        <v>2700</v>
      </c>
      <c r="U3245" s="46">
        <v>6.468</v>
      </c>
      <c r="V3245" s="46" t="s">
        <v>68</v>
      </c>
      <c r="W3245" s="46">
        <v>2700</v>
      </c>
      <c r="X3245" s="46">
        <v>6.468</v>
      </c>
      <c r="AF3245" s="46">
        <v>51</v>
      </c>
      <c r="AG3245" s="46">
        <v>25600</v>
      </c>
      <c r="AH3245" s="46">
        <v>162451.32999999999</v>
      </c>
      <c r="AI3245" s="46">
        <v>6.3460000000000001</v>
      </c>
      <c r="AJ3245" s="46">
        <v>49</v>
      </c>
      <c r="AK3245" s="46">
        <v>21800</v>
      </c>
      <c r="AL3245" s="46">
        <v>140734.78599999999</v>
      </c>
      <c r="AM3245" s="46">
        <v>6.4560000000000004</v>
      </c>
      <c r="AN3245" s="46" t="s">
        <v>63</v>
      </c>
      <c r="AO3245" s="46">
        <v>3800</v>
      </c>
      <c r="AP3245" s="46">
        <v>21716.544000000002</v>
      </c>
      <c r="AQ3245" s="46">
        <v>5.7149999999999999</v>
      </c>
      <c r="AR3245" s="46">
        <v>2398</v>
      </c>
      <c r="AS3245" s="46">
        <v>51</v>
      </c>
      <c r="AT3245" s="46">
        <v>25600</v>
      </c>
      <c r="AU3245" s="46">
        <v>162451.32999999999</v>
      </c>
      <c r="AV3245" s="46">
        <v>6.3460000000000001</v>
      </c>
      <c r="AW3245" s="46">
        <v>56</v>
      </c>
      <c r="AX3245" s="46">
        <v>24500</v>
      </c>
      <c r="AY3245" s="46">
        <v>158152.70199999999</v>
      </c>
      <c r="AZ3245" s="46">
        <v>6.4550000000000001</v>
      </c>
      <c r="BA3245" s="46" t="s">
        <v>63</v>
      </c>
      <c r="BB3245" s="46">
        <v>1100</v>
      </c>
      <c r="BC3245" s="46">
        <v>4298.6279999999997</v>
      </c>
      <c r="BD3245" s="46">
        <v>3.9079999999999999</v>
      </c>
      <c r="BE3245" s="46">
        <v>2670.5</v>
      </c>
      <c r="BF3245" s="46">
        <v>0</v>
      </c>
      <c r="BH3245" s="46">
        <v>17417.915999999997</v>
      </c>
      <c r="BI3245">
        <v>6.45</v>
      </c>
      <c r="BJ3245">
        <v>-17417.916000000001</v>
      </c>
      <c r="BK3245">
        <v>-6.45</v>
      </c>
      <c r="BL3245">
        <v>381.24</v>
      </c>
    </row>
    <row r="3246" spans="1:64" x14ac:dyDescent="0.25">
      <c r="A3246" s="136">
        <v>43553</v>
      </c>
      <c r="B3246" s="201" t="s">
        <v>79</v>
      </c>
      <c r="C3246" t="s">
        <v>143</v>
      </c>
      <c r="D3246">
        <v>10120</v>
      </c>
      <c r="E3246">
        <v>10120</v>
      </c>
      <c r="F3246">
        <v>10.694000000000001</v>
      </c>
      <c r="G3246">
        <v>-19880.52</v>
      </c>
      <c r="H3246">
        <v>-18.37</v>
      </c>
      <c r="I3246" s="309">
        <v>88347.6</v>
      </c>
      <c r="J3246">
        <v>8.73</v>
      </c>
      <c r="K3246" s="133">
        <v>0.16342146777514877</v>
      </c>
      <c r="L3246" s="181">
        <v>1922.7999999999993</v>
      </c>
      <c r="M3246" s="133">
        <v>0.20019557095999138</v>
      </c>
      <c r="N3246" s="73">
        <v>-18683.636000000231</v>
      </c>
      <c r="O3246" s="73">
        <v>-2110.0897380791225</v>
      </c>
      <c r="P3246" s="182">
        <v>9</v>
      </c>
      <c r="Q3246" s="182">
        <v>6920</v>
      </c>
      <c r="R3246" s="46">
        <v>6.18</v>
      </c>
      <c r="S3246" s="46">
        <v>0</v>
      </c>
      <c r="T3246" s="46">
        <v>0</v>
      </c>
      <c r="U3246" s="46">
        <v>0</v>
      </c>
      <c r="V3246" s="46" t="s">
        <v>62</v>
      </c>
      <c r="W3246" s="46">
        <v>6920</v>
      </c>
      <c r="X3246" s="46">
        <v>6.18</v>
      </c>
      <c r="AF3246" s="46">
        <v>31</v>
      </c>
      <c r="AG3246" s="46">
        <v>16000</v>
      </c>
      <c r="AH3246" s="46">
        <v>236219.59999999986</v>
      </c>
      <c r="AI3246" s="46">
        <v>14.763999999999999</v>
      </c>
      <c r="AJ3246" s="46">
        <v>32</v>
      </c>
      <c r="AK3246" s="46">
        <v>12800</v>
      </c>
      <c r="AL3246" s="46">
        <v>170788.11599999983</v>
      </c>
      <c r="AM3246" s="46">
        <v>13.343</v>
      </c>
      <c r="AN3246" s="46" t="s">
        <v>63</v>
      </c>
      <c r="AO3246" s="46">
        <v>3200</v>
      </c>
      <c r="AP3246" s="46">
        <v>65431.483999999997</v>
      </c>
      <c r="AQ3246" s="46">
        <v>20.446999999999999</v>
      </c>
      <c r="AR3246" s="46">
        <v>-18188.8</v>
      </c>
      <c r="AS3246" s="46">
        <v>40</v>
      </c>
      <c r="AT3246" s="46">
        <v>22920</v>
      </c>
      <c r="AU3246" s="46">
        <v>279033.75199999975</v>
      </c>
      <c r="AV3246" s="46">
        <v>12.173999999999999</v>
      </c>
      <c r="AW3246" s="46">
        <v>32</v>
      </c>
      <c r="AX3246" s="46">
        <v>12800</v>
      </c>
      <c r="AY3246" s="46">
        <v>170788.11599999983</v>
      </c>
      <c r="AZ3246" s="46">
        <v>13.343</v>
      </c>
      <c r="BA3246" s="46" t="s">
        <v>63</v>
      </c>
      <c r="BB3246" s="46">
        <v>10120</v>
      </c>
      <c r="BC3246" s="46">
        <v>108245.636</v>
      </c>
      <c r="BD3246" s="46">
        <v>10.696</v>
      </c>
      <c r="BE3246" s="46">
        <v>14963.2</v>
      </c>
      <c r="BF3246" s="46">
        <v>42814.151999999885</v>
      </c>
      <c r="BG3246" s="46">
        <v>6.19</v>
      </c>
      <c r="BH3246" s="46">
        <v>0</v>
      </c>
      <c r="BJ3246">
        <v>42814.152000000002</v>
      </c>
      <c r="BK3246">
        <v>6.19</v>
      </c>
      <c r="BL3246">
        <v>-2083.48</v>
      </c>
    </row>
    <row r="3247" spans="1:64" x14ac:dyDescent="0.25">
      <c r="A3247" s="136">
        <v>43553</v>
      </c>
      <c r="B3247" s="201" t="s">
        <v>65</v>
      </c>
      <c r="C3247" t="s">
        <v>127</v>
      </c>
      <c r="D3247">
        <v>22500</v>
      </c>
      <c r="E3247">
        <v>22500</v>
      </c>
      <c r="F3247">
        <v>8.8889999999999993</v>
      </c>
      <c r="G3247">
        <v>-6948.82</v>
      </c>
      <c r="H3247">
        <v>-3.47</v>
      </c>
      <c r="I3247" s="309">
        <v>193050</v>
      </c>
      <c r="J3247">
        <v>8.58</v>
      </c>
      <c r="K3247" s="133">
        <v>0.35709531842395792</v>
      </c>
      <c r="L3247" s="181">
        <v>15886.73</v>
      </c>
      <c r="M3247" s="133">
        <v>0.36994893712673321</v>
      </c>
      <c r="N3247" s="73">
        <v>-13706.245000000083</v>
      </c>
      <c r="O3247" s="73">
        <v>-1112.1581055785382</v>
      </c>
      <c r="P3247" s="182">
        <v>5</v>
      </c>
      <c r="Q3247" s="182">
        <v>2800</v>
      </c>
      <c r="R3247" s="46">
        <v>7.415</v>
      </c>
      <c r="S3247" s="46">
        <v>5</v>
      </c>
      <c r="T3247" s="46">
        <v>2000</v>
      </c>
      <c r="U3247" s="46">
        <v>7.984</v>
      </c>
      <c r="V3247" s="46" t="s">
        <v>62</v>
      </c>
      <c r="W3247" s="46">
        <v>800</v>
      </c>
      <c r="X3247" s="46">
        <v>5.9930000000000003</v>
      </c>
      <c r="AF3247" s="46">
        <v>227</v>
      </c>
      <c r="AG3247" s="46">
        <v>122200</v>
      </c>
      <c r="AH3247" s="46">
        <v>1314524.6810000001</v>
      </c>
      <c r="AI3247" s="46">
        <v>10.757</v>
      </c>
      <c r="AJ3247" s="46">
        <v>256</v>
      </c>
      <c r="AK3247" s="46">
        <v>109700</v>
      </c>
      <c r="AL3247" s="46">
        <v>1115250.402</v>
      </c>
      <c r="AM3247" s="46">
        <v>10.166</v>
      </c>
      <c r="AN3247" s="46" t="s">
        <v>63</v>
      </c>
      <c r="AO3247" s="46">
        <v>12500</v>
      </c>
      <c r="AP3247" s="46">
        <v>199274.27900000001</v>
      </c>
      <c r="AQ3247" s="46">
        <v>15.942</v>
      </c>
      <c r="AR3247" s="46">
        <v>-64832.7</v>
      </c>
      <c r="AS3247" s="46">
        <v>233</v>
      </c>
      <c r="AT3247" s="46">
        <v>125100</v>
      </c>
      <c r="AU3247" s="46">
        <v>1336599.6810000001</v>
      </c>
      <c r="AV3247" s="46">
        <v>10.683999999999999</v>
      </c>
      <c r="AW3247" s="46">
        <v>261</v>
      </c>
      <c r="AX3247" s="46">
        <v>111700</v>
      </c>
      <c r="AY3247" s="46">
        <v>1131177.4340000001</v>
      </c>
      <c r="AZ3247" s="46">
        <v>10.127000000000001</v>
      </c>
      <c r="BA3247" s="46" t="s">
        <v>63</v>
      </c>
      <c r="BB3247" s="46">
        <v>13400</v>
      </c>
      <c r="BC3247" s="46">
        <v>205422.247</v>
      </c>
      <c r="BD3247" s="46">
        <v>15.33</v>
      </c>
      <c r="BE3247" s="46">
        <v>-62216.9</v>
      </c>
      <c r="BF3247" s="46">
        <v>22075</v>
      </c>
      <c r="BG3247" s="46">
        <v>7.88</v>
      </c>
      <c r="BH3247" s="46">
        <v>15927.032000000123</v>
      </c>
      <c r="BI3247">
        <v>7.96</v>
      </c>
      <c r="BJ3247">
        <v>6147.9679999999935</v>
      </c>
      <c r="BK3247">
        <v>7.68</v>
      </c>
      <c r="BL3247">
        <v>-7556.26</v>
      </c>
    </row>
    <row r="3248" spans="1:64" x14ac:dyDescent="0.25">
      <c r="A3248" s="136">
        <v>43553</v>
      </c>
      <c r="B3248" s="201" t="s">
        <v>77</v>
      </c>
      <c r="C3248" t="s">
        <v>150</v>
      </c>
      <c r="D3248">
        <v>5100</v>
      </c>
      <c r="E3248">
        <v>5100</v>
      </c>
      <c r="F3248">
        <v>5.5359999999999996</v>
      </c>
      <c r="G3248">
        <v>-4518.83</v>
      </c>
      <c r="H3248">
        <v>-16.010000000000002</v>
      </c>
      <c r="I3248" s="309">
        <v>23715</v>
      </c>
      <c r="J3248">
        <v>4.6500000000000004</v>
      </c>
      <c r="K3248" s="133">
        <v>4.38669540348312E-2</v>
      </c>
      <c r="L3248" s="181">
        <v>867</v>
      </c>
      <c r="M3248" s="133">
        <v>5.2225685129126634E-2</v>
      </c>
      <c r="N3248" s="73">
        <v>-4819.7780000000021</v>
      </c>
      <c r="O3248" s="73">
        <v>-920.60087654584254</v>
      </c>
      <c r="P3248" s="182">
        <v>6</v>
      </c>
      <c r="Q3248" s="182">
        <v>3000</v>
      </c>
      <c r="R3248" s="46">
        <v>4.95</v>
      </c>
      <c r="S3248" s="46">
        <v>0</v>
      </c>
      <c r="T3248" s="46">
        <v>0</v>
      </c>
      <c r="U3248" s="46">
        <v>0</v>
      </c>
      <c r="V3248" s="46" t="s">
        <v>62</v>
      </c>
      <c r="W3248" s="46">
        <v>3000</v>
      </c>
      <c r="X3248" s="46">
        <v>4.95</v>
      </c>
      <c r="AF3248" s="46">
        <v>47</v>
      </c>
      <c r="AG3248" s="46">
        <v>23500</v>
      </c>
      <c r="AH3248" s="46">
        <v>164039</v>
      </c>
      <c r="AI3248" s="46">
        <v>6.98</v>
      </c>
      <c r="AJ3248" s="46">
        <v>47</v>
      </c>
      <c r="AK3248" s="46">
        <v>21400</v>
      </c>
      <c r="AL3248" s="46">
        <v>150392.22200000001</v>
      </c>
      <c r="AM3248" s="46">
        <v>7.0279999999999996</v>
      </c>
      <c r="AN3248" s="46" t="s">
        <v>63</v>
      </c>
      <c r="AO3248" s="46">
        <v>2100</v>
      </c>
      <c r="AP3248" s="46">
        <v>13646.778</v>
      </c>
      <c r="AQ3248" s="46">
        <v>6.4980000000000002</v>
      </c>
      <c r="AR3248" s="46">
        <v>1027.2</v>
      </c>
      <c r="AS3248" s="46">
        <v>53</v>
      </c>
      <c r="AT3248" s="46">
        <v>26500</v>
      </c>
      <c r="AU3248" s="46">
        <v>178631</v>
      </c>
      <c r="AV3248" s="46">
        <v>6.7409999999999997</v>
      </c>
      <c r="AW3248" s="46">
        <v>47</v>
      </c>
      <c r="AX3248" s="46">
        <v>21400</v>
      </c>
      <c r="AY3248" s="46">
        <v>150392.22200000001</v>
      </c>
      <c r="AZ3248" s="46">
        <v>7.0279999999999996</v>
      </c>
      <c r="BA3248" s="46" t="s">
        <v>63</v>
      </c>
      <c r="BB3248" s="46">
        <v>5100</v>
      </c>
      <c r="BC3248" s="46">
        <v>28238.777999999998</v>
      </c>
      <c r="BD3248" s="46">
        <v>5.5369999999999999</v>
      </c>
      <c r="BE3248" s="46">
        <v>6141.8</v>
      </c>
      <c r="BF3248" s="46">
        <v>14592</v>
      </c>
      <c r="BG3248" s="46">
        <v>4.8600000000000003</v>
      </c>
      <c r="BH3248" s="46">
        <v>0</v>
      </c>
      <c r="BJ3248">
        <v>14591.999999999998</v>
      </c>
      <c r="BK3248">
        <v>4.8600000000000003</v>
      </c>
      <c r="BL3248">
        <v>220.9</v>
      </c>
    </row>
    <row r="3249" spans="1:64" x14ac:dyDescent="0.25">
      <c r="A3249" s="136">
        <v>43553</v>
      </c>
      <c r="B3249" s="201" t="s">
        <v>67</v>
      </c>
      <c r="C3249" t="s">
        <v>129</v>
      </c>
      <c r="D3249">
        <v>230</v>
      </c>
      <c r="E3249">
        <v>230</v>
      </c>
      <c r="F3249">
        <v>-11.728999999999999</v>
      </c>
      <c r="G3249">
        <v>4489.37</v>
      </c>
      <c r="H3249">
        <v>0</v>
      </c>
      <c r="I3249" s="309">
        <v>1791.7</v>
      </c>
      <c r="J3249">
        <v>7.79</v>
      </c>
      <c r="K3249" s="133">
        <v>3.3142071070717712E-3</v>
      </c>
      <c r="L3249" s="181">
        <v>78.199999999999818</v>
      </c>
      <c r="M3249" s="133">
        <v>0</v>
      </c>
      <c r="N3249" s="73">
        <v>4362.583499999957</v>
      </c>
      <c r="O3249" s="73">
        <v>600.60636477272476</v>
      </c>
      <c r="P3249" s="182">
        <v>1</v>
      </c>
      <c r="Q3249" s="182">
        <v>30</v>
      </c>
      <c r="R3249" s="46">
        <v>0</v>
      </c>
      <c r="S3249" s="46">
        <v>24</v>
      </c>
      <c r="T3249" s="46">
        <v>9600</v>
      </c>
      <c r="U3249" s="46">
        <v>8.9429999999999996</v>
      </c>
      <c r="V3249" s="46" t="s">
        <v>68</v>
      </c>
      <c r="W3249" s="46">
        <v>9570</v>
      </c>
      <c r="X3249" s="46">
        <v>8.9710000000000001</v>
      </c>
      <c r="AF3249" s="46">
        <v>193</v>
      </c>
      <c r="AG3249" s="46">
        <v>95500</v>
      </c>
      <c r="AH3249" s="46">
        <v>795318</v>
      </c>
      <c r="AI3249" s="46">
        <v>8.3279999999999994</v>
      </c>
      <c r="AJ3249" s="46">
        <v>197</v>
      </c>
      <c r="AK3249" s="46">
        <v>88300</v>
      </c>
      <c r="AL3249" s="46">
        <v>781491.25550000009</v>
      </c>
      <c r="AM3249" s="46">
        <v>8.85</v>
      </c>
      <c r="AN3249" s="46" t="s">
        <v>63</v>
      </c>
      <c r="AO3249" s="46">
        <v>7200</v>
      </c>
      <c r="AP3249" s="46">
        <v>13826.744000000001</v>
      </c>
      <c r="AQ3249" s="46">
        <v>1.92</v>
      </c>
      <c r="AR3249" s="46">
        <v>46092.6</v>
      </c>
      <c r="AS3249" s="46">
        <v>194</v>
      </c>
      <c r="AT3249" s="46">
        <v>95530</v>
      </c>
      <c r="AU3249" s="46">
        <v>795323</v>
      </c>
      <c r="AV3249" s="46">
        <v>8.3249999999999993</v>
      </c>
      <c r="AW3249" s="46">
        <v>221</v>
      </c>
      <c r="AX3249" s="46">
        <v>97900</v>
      </c>
      <c r="AY3249" s="46">
        <v>867143.89950000017</v>
      </c>
      <c r="AZ3249" s="46">
        <v>8.8569999999999993</v>
      </c>
      <c r="BA3249" s="46" t="s">
        <v>69</v>
      </c>
      <c r="BB3249" s="46">
        <v>2370</v>
      </c>
      <c r="BC3249" s="46">
        <v>71820.899999999994</v>
      </c>
      <c r="BD3249" s="46">
        <v>30.303999999999998</v>
      </c>
      <c r="BE3249" s="46">
        <v>50821.96</v>
      </c>
      <c r="BF3249" s="46">
        <v>5</v>
      </c>
      <c r="BG3249" s="46">
        <v>0.17</v>
      </c>
      <c r="BH3249" s="46">
        <v>85652.644000000088</v>
      </c>
      <c r="BI3249">
        <v>8.92</v>
      </c>
      <c r="BJ3249">
        <v>57994.155999999995</v>
      </c>
      <c r="BK3249">
        <v>6.06</v>
      </c>
      <c r="BL3249">
        <v>5916.89</v>
      </c>
    </row>
    <row r="3250" spans="1:64" x14ac:dyDescent="0.25">
      <c r="A3250" s="136">
        <v>43553</v>
      </c>
      <c r="B3250" s="201" t="s">
        <v>78</v>
      </c>
      <c r="C3250" t="s">
        <v>142</v>
      </c>
      <c r="D3250">
        <v>200</v>
      </c>
      <c r="E3250">
        <v>200</v>
      </c>
      <c r="F3250">
        <v>2.077</v>
      </c>
      <c r="G3250">
        <v>1776.65</v>
      </c>
      <c r="H3250">
        <v>427.7</v>
      </c>
      <c r="I3250" s="309">
        <v>2192</v>
      </c>
      <c r="J3250">
        <v>10.96</v>
      </c>
      <c r="K3250" s="133">
        <v>4.0546642734282093E-3</v>
      </c>
      <c r="L3250" s="181">
        <v>124</v>
      </c>
      <c r="M3250" s="133">
        <v>7.6829598812427295E-4</v>
      </c>
      <c r="N3250" s="73">
        <v>1454.650999999996</v>
      </c>
      <c r="O3250" s="73">
        <v>155.49985823529371</v>
      </c>
      <c r="P3250" s="182">
        <v>0</v>
      </c>
      <c r="Q3250" s="182">
        <v>0</v>
      </c>
      <c r="R3250" s="46">
        <v>0</v>
      </c>
      <c r="S3250" s="46">
        <v>3</v>
      </c>
      <c r="T3250" s="46">
        <v>1200</v>
      </c>
      <c r="U3250" s="46">
        <v>9.923</v>
      </c>
      <c r="V3250" s="46" t="s">
        <v>68</v>
      </c>
      <c r="W3250" s="46">
        <v>1200</v>
      </c>
      <c r="X3250" s="46">
        <v>9.923</v>
      </c>
      <c r="AF3250" s="46">
        <v>14</v>
      </c>
      <c r="AG3250" s="46">
        <v>7000</v>
      </c>
      <c r="AH3250" s="46">
        <v>67625</v>
      </c>
      <c r="AI3250" s="46">
        <v>9.6609999999999996</v>
      </c>
      <c r="AJ3250" s="46">
        <v>15</v>
      </c>
      <c r="AK3250" s="46">
        <v>5600</v>
      </c>
      <c r="AL3250" s="46">
        <v>55310.559000000008</v>
      </c>
      <c r="AM3250" s="46">
        <v>9.8770000000000007</v>
      </c>
      <c r="AN3250" s="46" t="s">
        <v>63</v>
      </c>
      <c r="AO3250" s="46">
        <v>1400</v>
      </c>
      <c r="AP3250" s="46">
        <v>12314.441000000001</v>
      </c>
      <c r="AQ3250" s="46">
        <v>8.7959999999999994</v>
      </c>
      <c r="AR3250" s="46">
        <v>1209.5999999999999</v>
      </c>
      <c r="AS3250" s="46">
        <v>14</v>
      </c>
      <c r="AT3250" s="46">
        <v>7000</v>
      </c>
      <c r="AU3250" s="46">
        <v>67625</v>
      </c>
      <c r="AV3250" s="46">
        <v>9.6609999999999996</v>
      </c>
      <c r="AW3250" s="46">
        <v>18</v>
      </c>
      <c r="AX3250" s="46">
        <v>6800</v>
      </c>
      <c r="AY3250" s="46">
        <v>67209.651000000013</v>
      </c>
      <c r="AZ3250" s="46">
        <v>9.8840000000000003</v>
      </c>
      <c r="BA3250" s="46" t="s">
        <v>63</v>
      </c>
      <c r="BB3250" s="46">
        <v>200</v>
      </c>
      <c r="BC3250" s="46">
        <v>415.34899999999999</v>
      </c>
      <c r="BD3250" s="46">
        <v>2.077</v>
      </c>
      <c r="BE3250" s="46">
        <v>1516.4</v>
      </c>
      <c r="BF3250" s="46">
        <v>0</v>
      </c>
      <c r="BH3250" s="46">
        <v>11899.092000000004</v>
      </c>
      <c r="BI3250">
        <v>9.92</v>
      </c>
      <c r="BJ3250">
        <v>-11899.092000000001</v>
      </c>
      <c r="BK3250">
        <v>-9.92</v>
      </c>
      <c r="BL3250">
        <v>110.36</v>
      </c>
    </row>
    <row r="3251" spans="1:64" x14ac:dyDescent="0.25">
      <c r="A3251" s="136">
        <v>43553</v>
      </c>
      <c r="B3251" s="201" t="s">
        <v>72</v>
      </c>
      <c r="C3251" t="s">
        <v>130</v>
      </c>
      <c r="D3251">
        <v>100</v>
      </c>
      <c r="E3251">
        <v>100</v>
      </c>
      <c r="F3251">
        <v>-18.477</v>
      </c>
      <c r="G3251">
        <v>2449.6999999999998</v>
      </c>
      <c r="H3251">
        <v>0</v>
      </c>
      <c r="I3251" s="309">
        <v>602</v>
      </c>
      <c r="J3251">
        <v>6.02</v>
      </c>
      <c r="K3251" s="133">
        <v>1.1135528707134042E-3</v>
      </c>
      <c r="L3251" s="181">
        <v>12</v>
      </c>
      <c r="M3251" s="133">
        <v>0</v>
      </c>
      <c r="N3251" s="73">
        <v>-1498.9659999999872</v>
      </c>
      <c r="O3251" s="73">
        <v>376.42007904191922</v>
      </c>
      <c r="P3251" s="182">
        <v>0</v>
      </c>
      <c r="Q3251" s="182">
        <v>0</v>
      </c>
      <c r="R3251" s="46">
        <v>0</v>
      </c>
      <c r="S3251" s="46">
        <v>20</v>
      </c>
      <c r="T3251" s="46">
        <v>8600</v>
      </c>
      <c r="U3251" s="46">
        <v>7.3840000000000003</v>
      </c>
      <c r="V3251" s="46" t="s">
        <v>68</v>
      </c>
      <c r="W3251" s="46">
        <v>8600</v>
      </c>
      <c r="X3251" s="46">
        <v>7.3840000000000003</v>
      </c>
      <c r="AF3251" s="46">
        <v>42</v>
      </c>
      <c r="AG3251" s="46">
        <v>20900</v>
      </c>
      <c r="AH3251" s="46">
        <v>152800</v>
      </c>
      <c r="AI3251" s="46">
        <v>7.3109999999999999</v>
      </c>
      <c r="AJ3251" s="46">
        <v>42</v>
      </c>
      <c r="AK3251" s="46">
        <v>18800</v>
      </c>
      <c r="AL3251" s="46">
        <v>92037.725000000035</v>
      </c>
      <c r="AM3251" s="46">
        <v>4.8959999999999999</v>
      </c>
      <c r="AN3251" s="46" t="s">
        <v>63</v>
      </c>
      <c r="AO3251" s="46">
        <v>2100</v>
      </c>
      <c r="AP3251" s="46">
        <v>60762.275000000001</v>
      </c>
      <c r="AQ3251" s="46">
        <v>28.934000000000001</v>
      </c>
      <c r="AR3251" s="46">
        <v>-45402</v>
      </c>
      <c r="AS3251" s="46">
        <v>42</v>
      </c>
      <c r="AT3251" s="46">
        <v>20900</v>
      </c>
      <c r="AU3251" s="46">
        <v>152800</v>
      </c>
      <c r="AV3251" s="46">
        <v>7.3109999999999999</v>
      </c>
      <c r="AW3251" s="46">
        <v>63</v>
      </c>
      <c r="AX3251" s="46">
        <v>27900</v>
      </c>
      <c r="AY3251" s="46">
        <v>155380.21900000001</v>
      </c>
      <c r="AZ3251" s="46">
        <v>5.569</v>
      </c>
      <c r="BA3251" s="46" t="s">
        <v>69</v>
      </c>
      <c r="BB3251" s="46">
        <v>7000</v>
      </c>
      <c r="BC3251" s="46">
        <v>2580.2190000000001</v>
      </c>
      <c r="BD3251" s="46">
        <v>0.36899999999999999</v>
      </c>
      <c r="BE3251" s="46">
        <v>-36407.800000000003</v>
      </c>
      <c r="BF3251" s="46">
        <v>0</v>
      </c>
      <c r="BH3251" s="46">
        <v>63342.493999999977</v>
      </c>
      <c r="BI3251">
        <v>7.37</v>
      </c>
      <c r="BJ3251">
        <v>-58182.056000000004</v>
      </c>
      <c r="BK3251">
        <v>-6.77</v>
      </c>
      <c r="BL3251">
        <v>-7541.86</v>
      </c>
    </row>
    <row r="3252" spans="1:64" x14ac:dyDescent="0.25">
      <c r="A3252" s="136">
        <v>43553</v>
      </c>
      <c r="B3252" s="201" t="s">
        <v>70</v>
      </c>
      <c r="C3252" t="s">
        <v>131</v>
      </c>
      <c r="D3252">
        <v>13100</v>
      </c>
      <c r="E3252">
        <v>13100</v>
      </c>
      <c r="F3252">
        <v>11.082000000000001</v>
      </c>
      <c r="G3252">
        <v>-37498</v>
      </c>
      <c r="H3252">
        <v>-25.83</v>
      </c>
      <c r="I3252" s="309">
        <v>107682</v>
      </c>
      <c r="J3252">
        <v>8.2200000000000006</v>
      </c>
      <c r="K3252" s="133">
        <v>0.19918538243216077</v>
      </c>
      <c r="L3252" s="181">
        <v>3612.739999999998</v>
      </c>
      <c r="M3252" s="133">
        <v>0.26854751789065118</v>
      </c>
      <c r="N3252" s="73">
        <v>-38287.993000000046</v>
      </c>
      <c r="O3252" s="73">
        <v>-4689.8099268995156</v>
      </c>
      <c r="P3252" s="182">
        <v>0</v>
      </c>
      <c r="Q3252" s="182">
        <v>0</v>
      </c>
      <c r="R3252" s="46">
        <v>0</v>
      </c>
      <c r="S3252" s="46">
        <v>3</v>
      </c>
      <c r="T3252" s="46">
        <v>1200</v>
      </c>
      <c r="U3252" s="46">
        <v>7.8929999999999998</v>
      </c>
      <c r="V3252" s="46" t="s">
        <v>68</v>
      </c>
      <c r="W3252" s="46">
        <v>1200</v>
      </c>
      <c r="X3252" s="46">
        <v>7.8929999999999998</v>
      </c>
      <c r="AF3252" s="46">
        <v>156</v>
      </c>
      <c r="AG3252" s="46">
        <v>79600</v>
      </c>
      <c r="AH3252" s="46">
        <v>982918</v>
      </c>
      <c r="AI3252" s="46">
        <v>12.348000000000001</v>
      </c>
      <c r="AJ3252" s="46">
        <v>162</v>
      </c>
      <c r="AK3252" s="46">
        <v>65300</v>
      </c>
      <c r="AL3252" s="46">
        <v>827881.4789999997</v>
      </c>
      <c r="AM3252" s="46">
        <v>12.678000000000001</v>
      </c>
      <c r="AN3252" s="46" t="s">
        <v>63</v>
      </c>
      <c r="AO3252" s="46">
        <v>14300</v>
      </c>
      <c r="AP3252" s="46">
        <v>155036.52100000001</v>
      </c>
      <c r="AQ3252" s="46">
        <v>10.842000000000001</v>
      </c>
      <c r="AR3252" s="46">
        <v>21549</v>
      </c>
      <c r="AS3252" s="46">
        <v>156</v>
      </c>
      <c r="AT3252" s="46">
        <v>79600</v>
      </c>
      <c r="AU3252" s="46">
        <v>982918</v>
      </c>
      <c r="AV3252" s="46">
        <v>12.348000000000001</v>
      </c>
      <c r="AW3252" s="46">
        <v>166</v>
      </c>
      <c r="AX3252" s="46">
        <v>66500</v>
      </c>
      <c r="AY3252" s="46">
        <v>837734.00699999975</v>
      </c>
      <c r="AZ3252" s="46">
        <v>12.598000000000001</v>
      </c>
      <c r="BA3252" s="46" t="s">
        <v>63</v>
      </c>
      <c r="BB3252" s="46">
        <v>13100</v>
      </c>
      <c r="BC3252" s="46">
        <v>145183.99299999999</v>
      </c>
      <c r="BD3252" s="46">
        <v>11.083</v>
      </c>
      <c r="BE3252" s="46">
        <v>16625</v>
      </c>
      <c r="BF3252" s="46">
        <v>0</v>
      </c>
      <c r="BH3252" s="46">
        <v>9852.5280000000494</v>
      </c>
      <c r="BI3252">
        <v>8.2100000000000009</v>
      </c>
      <c r="BJ3252">
        <v>-9852.5280000000203</v>
      </c>
      <c r="BK3252">
        <v>-8.2100000000000009</v>
      </c>
      <c r="BL3252">
        <v>2621.53</v>
      </c>
    </row>
    <row r="3253" spans="1:64" x14ac:dyDescent="0.25">
      <c r="A3253" s="136">
        <v>43553</v>
      </c>
      <c r="B3253" s="201" t="s">
        <v>628</v>
      </c>
      <c r="C3253" t="s">
        <v>629</v>
      </c>
      <c r="D3253">
        <v>100</v>
      </c>
      <c r="E3253">
        <v>100</v>
      </c>
      <c r="F3253">
        <v>-22.33</v>
      </c>
      <c r="G3253">
        <v>3748</v>
      </c>
      <c r="H3253">
        <v>0</v>
      </c>
      <c r="I3253" s="309">
        <v>1515</v>
      </c>
      <c r="J3253">
        <v>15.15</v>
      </c>
      <c r="K3253" s="133">
        <v>2.8023797327754274E-3</v>
      </c>
      <c r="L3253" s="181">
        <v>124</v>
      </c>
      <c r="M3253" s="133">
        <v>0</v>
      </c>
    </row>
    <row r="3254" spans="1:64" x14ac:dyDescent="0.25">
      <c r="A3254" s="136">
        <v>43553</v>
      </c>
      <c r="B3254" s="201" t="s">
        <v>630</v>
      </c>
      <c r="C3254" t="s">
        <v>631</v>
      </c>
      <c r="D3254">
        <v>100</v>
      </c>
      <c r="E3254">
        <v>100</v>
      </c>
      <c r="F3254">
        <v>-94.45</v>
      </c>
      <c r="G3254">
        <v>12849</v>
      </c>
      <c r="H3254">
        <v>0</v>
      </c>
      <c r="I3254" s="309">
        <v>3404</v>
      </c>
      <c r="J3254">
        <v>34.04</v>
      </c>
      <c r="K3254" s="133">
        <v>6.2965680596485515E-3</v>
      </c>
      <c r="L3254" s="181">
        <v>72</v>
      </c>
      <c r="M3254" s="133">
        <v>0</v>
      </c>
    </row>
    <row r="3255" spans="1:64" x14ac:dyDescent="0.25">
      <c r="A3255" s="136">
        <v>43553</v>
      </c>
      <c r="B3255" s="201" t="s">
        <v>137</v>
      </c>
      <c r="C3255" t="s">
        <v>149</v>
      </c>
      <c r="D3255">
        <v>100</v>
      </c>
      <c r="E3255">
        <v>100</v>
      </c>
      <c r="F3255">
        <v>-130.86000000000001</v>
      </c>
      <c r="G3255">
        <v>16865</v>
      </c>
      <c r="H3255">
        <v>0</v>
      </c>
      <c r="I3255" s="309">
        <v>3779</v>
      </c>
      <c r="J3255">
        <v>37.79</v>
      </c>
      <c r="K3255" s="133">
        <v>6.990226409345439E-3</v>
      </c>
      <c r="L3255" s="181">
        <v>36</v>
      </c>
      <c r="M3255" s="133">
        <v>0</v>
      </c>
    </row>
    <row r="3256" spans="1:64" x14ac:dyDescent="0.25">
      <c r="A3256" s="136">
        <v>43553</v>
      </c>
      <c r="B3256" s="201" t="s">
        <v>835</v>
      </c>
      <c r="C3256" t="s">
        <v>839</v>
      </c>
      <c r="I3256" s="309">
        <v>24803.29</v>
      </c>
      <c r="K3256" s="133">
        <v>4.5880024555875538E-2</v>
      </c>
      <c r="L3256" s="181">
        <v>0</v>
      </c>
      <c r="M3256" s="133">
        <v>0.17540614528764772</v>
      </c>
    </row>
    <row r="3257" spans="1:64" x14ac:dyDescent="0.25">
      <c r="A3257" s="136">
        <v>43556</v>
      </c>
      <c r="B3257" s="201" t="s">
        <v>132</v>
      </c>
      <c r="C3257" t="s">
        <v>123</v>
      </c>
      <c r="D3257">
        <v>7002726</v>
      </c>
      <c r="E3257">
        <v>7002726</v>
      </c>
      <c r="F3257">
        <v>8.9999999999999993E-3</v>
      </c>
      <c r="G3257">
        <v>3829.04</v>
      </c>
      <c r="H3257">
        <v>11.11</v>
      </c>
      <c r="I3257" s="309">
        <v>70027.259999999995</v>
      </c>
      <c r="J3257">
        <v>0.01</v>
      </c>
      <c r="K3257" s="133">
        <v>0.13068531350138299</v>
      </c>
      <c r="L3257" s="181">
        <v>3.8899999999998727</v>
      </c>
      <c r="M3257" s="133">
        <v>0</v>
      </c>
    </row>
    <row r="3258" spans="1:64" x14ac:dyDescent="0.25">
      <c r="A3258" s="136">
        <v>43556</v>
      </c>
      <c r="B3258" s="201" t="s">
        <v>61</v>
      </c>
      <c r="C3258" t="s">
        <v>136</v>
      </c>
      <c r="D3258">
        <v>2700</v>
      </c>
      <c r="E3258">
        <v>2700</v>
      </c>
      <c r="F3258">
        <v>4.952</v>
      </c>
      <c r="G3258">
        <v>-841.58</v>
      </c>
      <c r="H3258">
        <v>-6.29</v>
      </c>
      <c r="I3258" s="309">
        <v>12528</v>
      </c>
      <c r="J3258">
        <v>4.6399999999999997</v>
      </c>
      <c r="K3258" s="133">
        <v>2.3379832475886191E-2</v>
      </c>
      <c r="L3258" s="181">
        <v>296.99999999999989</v>
      </c>
      <c r="M3258" s="133">
        <v>2.4950394370446879E-2</v>
      </c>
      <c r="N3258" s="73">
        <v>-763.30900000000474</v>
      </c>
      <c r="O3258" s="73">
        <v>-163.36773993576119</v>
      </c>
      <c r="P3258" s="182">
        <v>2</v>
      </c>
      <c r="Q3258" s="182">
        <v>1000</v>
      </c>
      <c r="R3258" s="46">
        <v>4.82</v>
      </c>
      <c r="S3258" s="46">
        <v>0</v>
      </c>
      <c r="T3258" s="46">
        <v>0</v>
      </c>
      <c r="U3258" s="46">
        <v>0</v>
      </c>
      <c r="V3258" s="46" t="s">
        <v>62</v>
      </c>
      <c r="W3258" s="46">
        <v>1000</v>
      </c>
      <c r="X3258" s="46">
        <v>4.82</v>
      </c>
      <c r="AF3258" s="46">
        <v>18</v>
      </c>
      <c r="AG3258" s="46">
        <v>9000</v>
      </c>
      <c r="AH3258" s="46">
        <v>45060.400000000009</v>
      </c>
      <c r="AI3258" s="46">
        <v>5.0069999999999997</v>
      </c>
      <c r="AJ3258" s="46">
        <v>18</v>
      </c>
      <c r="AK3258" s="46">
        <v>7300</v>
      </c>
      <c r="AL3258" s="46">
        <v>36518.690999999984</v>
      </c>
      <c r="AM3258" s="46">
        <v>5.0030000000000001</v>
      </c>
      <c r="AN3258" s="46" t="s">
        <v>63</v>
      </c>
      <c r="AO3258" s="46">
        <v>1700</v>
      </c>
      <c r="AP3258" s="46">
        <v>8541.7090000000007</v>
      </c>
      <c r="AQ3258" s="46">
        <v>5.0250000000000004</v>
      </c>
      <c r="AR3258" s="46">
        <v>-29.2</v>
      </c>
      <c r="AS3258" s="46">
        <v>20</v>
      </c>
      <c r="AT3258" s="46">
        <v>10000</v>
      </c>
      <c r="AU3258" s="46">
        <v>49891</v>
      </c>
      <c r="AV3258" s="46">
        <v>4.9889999999999999</v>
      </c>
      <c r="AW3258" s="46">
        <v>18</v>
      </c>
      <c r="AX3258" s="46">
        <v>7300</v>
      </c>
      <c r="AY3258" s="46">
        <v>36518.690999999984</v>
      </c>
      <c r="AZ3258" s="46">
        <v>5.0030000000000001</v>
      </c>
      <c r="BA3258" s="46" t="s">
        <v>63</v>
      </c>
      <c r="BB3258" s="46">
        <v>2700</v>
      </c>
      <c r="BC3258" s="46">
        <v>13372.308999999999</v>
      </c>
      <c r="BD3258" s="46">
        <v>4.9530000000000003</v>
      </c>
      <c r="BE3258" s="46">
        <v>102.2</v>
      </c>
      <c r="BF3258" s="46">
        <v>4830.5999999999913</v>
      </c>
      <c r="BG3258" s="46">
        <v>4.83</v>
      </c>
      <c r="BH3258" s="46">
        <v>0</v>
      </c>
      <c r="BJ3258">
        <v>4830.5999999999985</v>
      </c>
      <c r="BK3258">
        <v>4.83</v>
      </c>
      <c r="BL3258">
        <v>-6.29</v>
      </c>
    </row>
    <row r="3259" spans="1:64" x14ac:dyDescent="0.25">
      <c r="A3259" s="136">
        <v>43556</v>
      </c>
      <c r="B3259" s="201" t="s">
        <v>124</v>
      </c>
      <c r="C3259" t="s">
        <v>125</v>
      </c>
      <c r="D3259">
        <v>100</v>
      </c>
      <c r="E3259">
        <v>100</v>
      </c>
      <c r="F3259">
        <v>-53.82</v>
      </c>
      <c r="G3259">
        <v>5946</v>
      </c>
      <c r="H3259">
        <v>0</v>
      </c>
      <c r="I3259" s="309">
        <v>564</v>
      </c>
      <c r="J3259">
        <v>5.64</v>
      </c>
      <c r="K3259" s="133">
        <v>1.052540350925911E-3</v>
      </c>
      <c r="L3259" s="181">
        <v>7</v>
      </c>
      <c r="M3259" s="133">
        <v>0</v>
      </c>
    </row>
    <row r="3260" spans="1:64" x14ac:dyDescent="0.25">
      <c r="A3260" s="136">
        <v>43556</v>
      </c>
      <c r="B3260" s="201" t="s">
        <v>71</v>
      </c>
      <c r="C3260" t="s">
        <v>126</v>
      </c>
      <c r="D3260">
        <v>700</v>
      </c>
      <c r="E3260">
        <v>700</v>
      </c>
      <c r="F3260">
        <v>2.2519999999999998</v>
      </c>
      <c r="G3260">
        <v>2903.85</v>
      </c>
      <c r="H3260">
        <v>184.21</v>
      </c>
      <c r="I3260" s="309">
        <v>4480</v>
      </c>
      <c r="J3260">
        <v>6.4</v>
      </c>
      <c r="K3260" s="133">
        <v>8.3606042059363138E-3</v>
      </c>
      <c r="L3260" s="181">
        <v>117.38999999999987</v>
      </c>
      <c r="M3260" s="133">
        <v>2.9414210533898486E-3</v>
      </c>
      <c r="N3260" s="73">
        <v>-1586.2319999999945</v>
      </c>
      <c r="O3260" s="73">
        <v>453.09128174727073</v>
      </c>
      <c r="P3260" s="182">
        <v>0</v>
      </c>
      <c r="Q3260" s="182">
        <v>0</v>
      </c>
      <c r="R3260" s="46">
        <v>0</v>
      </c>
      <c r="S3260" s="46">
        <v>8</v>
      </c>
      <c r="T3260" s="46">
        <v>3100</v>
      </c>
      <c r="U3260" s="46">
        <v>6.4610000000000003</v>
      </c>
      <c r="V3260" s="46" t="s">
        <v>68</v>
      </c>
      <c r="W3260" s="46">
        <v>3100</v>
      </c>
      <c r="X3260" s="46">
        <v>6.4610000000000003</v>
      </c>
      <c r="AF3260" s="46">
        <v>51</v>
      </c>
      <c r="AG3260" s="46">
        <v>25600</v>
      </c>
      <c r="AH3260" s="46">
        <v>162451.32999999999</v>
      </c>
      <c r="AI3260" s="46">
        <v>6.3460000000000001</v>
      </c>
      <c r="AJ3260" s="46">
        <v>49</v>
      </c>
      <c r="AK3260" s="46">
        <v>21800</v>
      </c>
      <c r="AL3260" s="46">
        <v>140734.78599999999</v>
      </c>
      <c r="AM3260" s="46">
        <v>6.4560000000000004</v>
      </c>
      <c r="AN3260" s="46" t="s">
        <v>63</v>
      </c>
      <c r="AO3260" s="46">
        <v>3800</v>
      </c>
      <c r="AP3260" s="46">
        <v>21716.544000000002</v>
      </c>
      <c r="AQ3260" s="46">
        <v>5.7149999999999999</v>
      </c>
      <c r="AR3260" s="46">
        <v>2398</v>
      </c>
      <c r="AS3260" s="46">
        <v>51</v>
      </c>
      <c r="AT3260" s="46">
        <v>25600</v>
      </c>
      <c r="AU3260" s="46">
        <v>162451.32999999999</v>
      </c>
      <c r="AV3260" s="46">
        <v>6.3460000000000001</v>
      </c>
      <c r="AW3260" s="46">
        <v>57</v>
      </c>
      <c r="AX3260" s="46">
        <v>24900</v>
      </c>
      <c r="AY3260" s="46">
        <v>160708.89799999999</v>
      </c>
      <c r="AZ3260" s="46">
        <v>6.4539999999999997</v>
      </c>
      <c r="BA3260" s="46" t="s">
        <v>63</v>
      </c>
      <c r="BB3260" s="46">
        <v>700</v>
      </c>
      <c r="BC3260" s="46">
        <v>1742.432</v>
      </c>
      <c r="BD3260" s="46">
        <v>2.4889999999999999</v>
      </c>
      <c r="BE3260" s="46">
        <v>2689.2</v>
      </c>
      <c r="BF3260" s="46">
        <v>0</v>
      </c>
      <c r="BH3260" s="46">
        <v>19974.111999999994</v>
      </c>
      <c r="BI3260">
        <v>6.44</v>
      </c>
      <c r="BJ3260">
        <v>-19974.112000000001</v>
      </c>
      <c r="BK3260">
        <v>-6.44</v>
      </c>
      <c r="BL3260">
        <v>374.69</v>
      </c>
    </row>
    <row r="3261" spans="1:64" x14ac:dyDescent="0.25">
      <c r="A3261" s="136">
        <v>43556</v>
      </c>
      <c r="B3261" s="201" t="s">
        <v>79</v>
      </c>
      <c r="C3261" t="s">
        <v>143</v>
      </c>
      <c r="D3261">
        <v>9720</v>
      </c>
      <c r="E3261">
        <v>9720</v>
      </c>
      <c r="F3261">
        <v>10.760999999999999</v>
      </c>
      <c r="G3261">
        <v>-16242.03</v>
      </c>
      <c r="H3261">
        <v>-15.53</v>
      </c>
      <c r="I3261" s="309">
        <v>88354.8</v>
      </c>
      <c r="J3261">
        <v>9.09</v>
      </c>
      <c r="K3261" s="133">
        <v>0.164888284038987</v>
      </c>
      <c r="L3261" s="181">
        <v>3638.49</v>
      </c>
      <c r="M3261" s="133">
        <v>0.19519926268428697</v>
      </c>
      <c r="N3261" s="73">
        <v>-16162.516000000236</v>
      </c>
      <c r="O3261" s="73">
        <v>-1775.212609011015</v>
      </c>
      <c r="P3261" s="182">
        <v>8</v>
      </c>
      <c r="Q3261" s="182">
        <v>6420</v>
      </c>
      <c r="R3261" s="46">
        <v>5.5919999999999996</v>
      </c>
      <c r="S3261" s="46">
        <v>0</v>
      </c>
      <c r="T3261" s="46">
        <v>0</v>
      </c>
      <c r="U3261" s="46">
        <v>0</v>
      </c>
      <c r="V3261" s="46" t="s">
        <v>62</v>
      </c>
      <c r="W3261" s="46">
        <v>6420</v>
      </c>
      <c r="X3261" s="46">
        <v>5.5919999999999996</v>
      </c>
      <c r="AF3261" s="46">
        <v>32</v>
      </c>
      <c r="AG3261" s="46">
        <v>16500</v>
      </c>
      <c r="AH3261" s="46">
        <v>243089.89999999985</v>
      </c>
      <c r="AI3261" s="46">
        <v>14.733000000000001</v>
      </c>
      <c r="AJ3261" s="46">
        <v>33</v>
      </c>
      <c r="AK3261" s="46">
        <v>13200</v>
      </c>
      <c r="AL3261" s="46">
        <v>174419.23599999983</v>
      </c>
      <c r="AM3261" s="46">
        <v>13.214</v>
      </c>
      <c r="AN3261" s="46" t="s">
        <v>63</v>
      </c>
      <c r="AO3261" s="46">
        <v>3300</v>
      </c>
      <c r="AP3261" s="46">
        <v>68670.664000000004</v>
      </c>
      <c r="AQ3261" s="46">
        <v>20.809000000000001</v>
      </c>
      <c r="AR3261" s="46">
        <v>-20050.8</v>
      </c>
      <c r="AS3261" s="46">
        <v>40</v>
      </c>
      <c r="AT3261" s="46">
        <v>22920</v>
      </c>
      <c r="AU3261" s="46">
        <v>279033.75199999975</v>
      </c>
      <c r="AV3261" s="46">
        <v>12.173999999999999</v>
      </c>
      <c r="AW3261" s="46">
        <v>33</v>
      </c>
      <c r="AX3261" s="46">
        <v>13200</v>
      </c>
      <c r="AY3261" s="46">
        <v>174419.23599999983</v>
      </c>
      <c r="AZ3261" s="46">
        <v>13.214</v>
      </c>
      <c r="BA3261" s="46" t="s">
        <v>63</v>
      </c>
      <c r="BB3261" s="46">
        <v>9720</v>
      </c>
      <c r="BC3261" s="46">
        <v>104614.516</v>
      </c>
      <c r="BD3261" s="46">
        <v>10.763</v>
      </c>
      <c r="BE3261" s="46">
        <v>13728</v>
      </c>
      <c r="BF3261" s="46">
        <v>35943.851999999897</v>
      </c>
      <c r="BG3261" s="46">
        <v>5.6</v>
      </c>
      <c r="BH3261" s="46">
        <v>0</v>
      </c>
      <c r="BJ3261">
        <v>35943.851999999999</v>
      </c>
      <c r="BK3261">
        <v>5.6</v>
      </c>
      <c r="BL3261">
        <v>-2205.81</v>
      </c>
    </row>
    <row r="3262" spans="1:64" x14ac:dyDescent="0.25">
      <c r="A3262" s="136">
        <v>43556</v>
      </c>
      <c r="B3262" s="201" t="s">
        <v>65</v>
      </c>
      <c r="C3262" t="s">
        <v>127</v>
      </c>
      <c r="D3262">
        <v>21700</v>
      </c>
      <c r="E3262">
        <v>21700</v>
      </c>
      <c r="F3262">
        <v>8.891</v>
      </c>
      <c r="G3262">
        <v>-3060.9</v>
      </c>
      <c r="H3262">
        <v>-1.59</v>
      </c>
      <c r="I3262" s="309">
        <v>189875</v>
      </c>
      <c r="J3262">
        <v>8.75</v>
      </c>
      <c r="K3262" s="133">
        <v>0.35434592044691016</v>
      </c>
      <c r="L3262" s="181">
        <v>3887.9199999999996</v>
      </c>
      <c r="M3262" s="133">
        <v>0.36005819129823841</v>
      </c>
      <c r="N3262" s="73">
        <v>-3220.3250000000698</v>
      </c>
      <c r="O3262" s="73">
        <v>118.6462959451671</v>
      </c>
      <c r="P3262" s="182">
        <v>4</v>
      </c>
      <c r="Q3262" s="182">
        <v>2300</v>
      </c>
      <c r="R3262" s="46">
        <v>7.1660000000000004</v>
      </c>
      <c r="S3262" s="46">
        <v>6</v>
      </c>
      <c r="T3262" s="46">
        <v>2400</v>
      </c>
      <c r="U3262" s="46">
        <v>8.1129999999999995</v>
      </c>
      <c r="V3262" s="46" t="s">
        <v>68</v>
      </c>
      <c r="W3262" s="46">
        <v>100</v>
      </c>
      <c r="X3262" s="46">
        <v>29.893999999999998</v>
      </c>
      <c r="AF3262" s="46">
        <v>228</v>
      </c>
      <c r="AG3262" s="46">
        <v>122700</v>
      </c>
      <c r="AH3262" s="46">
        <v>1318809.6810000001</v>
      </c>
      <c r="AI3262" s="46">
        <v>10.747999999999999</v>
      </c>
      <c r="AJ3262" s="46">
        <v>257</v>
      </c>
      <c r="AK3262" s="46">
        <v>110100</v>
      </c>
      <c r="AL3262" s="46">
        <v>1118817.8259999999</v>
      </c>
      <c r="AM3262" s="46">
        <v>10.162000000000001</v>
      </c>
      <c r="AN3262" s="46" t="s">
        <v>63</v>
      </c>
      <c r="AO3262" s="46">
        <v>12600</v>
      </c>
      <c r="AP3262" s="46">
        <v>199991.85500000001</v>
      </c>
      <c r="AQ3262" s="46">
        <v>15.872</v>
      </c>
      <c r="AR3262" s="46">
        <v>-64518.6</v>
      </c>
      <c r="AS3262" s="46">
        <v>233</v>
      </c>
      <c r="AT3262" s="46">
        <v>125100</v>
      </c>
      <c r="AU3262" s="46">
        <v>1336599.6810000001</v>
      </c>
      <c r="AV3262" s="46">
        <v>10.683999999999999</v>
      </c>
      <c r="AW3262" s="46">
        <v>263</v>
      </c>
      <c r="AX3262" s="46">
        <v>112500</v>
      </c>
      <c r="AY3262" s="46">
        <v>1138240.3540000003</v>
      </c>
      <c r="AZ3262" s="46">
        <v>10.118</v>
      </c>
      <c r="BA3262" s="46" t="s">
        <v>63</v>
      </c>
      <c r="BB3262" s="46">
        <v>12600</v>
      </c>
      <c r="BC3262" s="46">
        <v>198359.32699999999</v>
      </c>
      <c r="BD3262" s="46">
        <v>15.743</v>
      </c>
      <c r="BE3262" s="46">
        <v>-63675</v>
      </c>
      <c r="BF3262" s="46">
        <v>17790</v>
      </c>
      <c r="BG3262" s="46">
        <v>7.73</v>
      </c>
      <c r="BH3262" s="46">
        <v>19422.528000000399</v>
      </c>
      <c r="BI3262">
        <v>8.09</v>
      </c>
      <c r="BJ3262">
        <v>-1632.5280000000203</v>
      </c>
      <c r="BK3262">
        <v>-16.329999999999998</v>
      </c>
      <c r="BL3262">
        <v>-7373.55</v>
      </c>
    </row>
    <row r="3263" spans="1:64" x14ac:dyDescent="0.25">
      <c r="A3263" s="136">
        <v>43556</v>
      </c>
      <c r="B3263" s="201" t="s">
        <v>77</v>
      </c>
      <c r="C3263" t="s">
        <v>150</v>
      </c>
      <c r="D3263">
        <v>5100</v>
      </c>
      <c r="E3263">
        <v>5100</v>
      </c>
      <c r="F3263">
        <v>5.5359999999999996</v>
      </c>
      <c r="G3263">
        <v>-3753.83</v>
      </c>
      <c r="H3263">
        <v>-13.3</v>
      </c>
      <c r="I3263" s="309">
        <v>24480</v>
      </c>
      <c r="J3263">
        <v>4.8</v>
      </c>
      <c r="K3263" s="133">
        <v>4.5684730125294858E-2</v>
      </c>
      <c r="L3263" s="181">
        <v>765</v>
      </c>
      <c r="M3263" s="133">
        <v>5.2690151305288146E-2</v>
      </c>
      <c r="N3263" s="73">
        <v>-4819.7780000000021</v>
      </c>
      <c r="O3263" s="73">
        <v>-920.60087654584254</v>
      </c>
      <c r="P3263" s="182">
        <v>6</v>
      </c>
      <c r="Q3263" s="182">
        <v>3000</v>
      </c>
      <c r="R3263" s="46">
        <v>4.95</v>
      </c>
      <c r="S3263" s="46">
        <v>0</v>
      </c>
      <c r="T3263" s="46">
        <v>0</v>
      </c>
      <c r="U3263" s="46">
        <v>0</v>
      </c>
      <c r="V3263" s="46" t="s">
        <v>62</v>
      </c>
      <c r="W3263" s="46">
        <v>3000</v>
      </c>
      <c r="X3263" s="46">
        <v>4.95</v>
      </c>
      <c r="AF3263" s="46">
        <v>47</v>
      </c>
      <c r="AG3263" s="46">
        <v>23500</v>
      </c>
      <c r="AH3263" s="46">
        <v>164039</v>
      </c>
      <c r="AI3263" s="46">
        <v>6.98</v>
      </c>
      <c r="AJ3263" s="46">
        <v>47</v>
      </c>
      <c r="AK3263" s="46">
        <v>21400</v>
      </c>
      <c r="AL3263" s="46">
        <v>150392.22200000001</v>
      </c>
      <c r="AM3263" s="46">
        <v>7.0279999999999996</v>
      </c>
      <c r="AN3263" s="46" t="s">
        <v>63</v>
      </c>
      <c r="AO3263" s="46">
        <v>2100</v>
      </c>
      <c r="AP3263" s="46">
        <v>13646.778</v>
      </c>
      <c r="AQ3263" s="46">
        <v>6.4980000000000002</v>
      </c>
      <c r="AR3263" s="46">
        <v>1027.2</v>
      </c>
      <c r="AS3263" s="46">
        <v>53</v>
      </c>
      <c r="AT3263" s="46">
        <v>26500</v>
      </c>
      <c r="AU3263" s="46">
        <v>178631</v>
      </c>
      <c r="AV3263" s="46">
        <v>6.7409999999999997</v>
      </c>
      <c r="AW3263" s="46">
        <v>47</v>
      </c>
      <c r="AX3263" s="46">
        <v>21400</v>
      </c>
      <c r="AY3263" s="46">
        <v>150392.22200000001</v>
      </c>
      <c r="AZ3263" s="46">
        <v>7.0279999999999996</v>
      </c>
      <c r="BA3263" s="46" t="s">
        <v>63</v>
      </c>
      <c r="BB3263" s="46">
        <v>5100</v>
      </c>
      <c r="BC3263" s="46">
        <v>28238.777999999998</v>
      </c>
      <c r="BD3263" s="46">
        <v>5.5369999999999999</v>
      </c>
      <c r="BE3263" s="46">
        <v>6141.8</v>
      </c>
      <c r="BF3263" s="46">
        <v>14592</v>
      </c>
      <c r="BG3263" s="46">
        <v>4.8600000000000003</v>
      </c>
      <c r="BH3263" s="46">
        <v>0</v>
      </c>
      <c r="BJ3263">
        <v>14591.999999999998</v>
      </c>
      <c r="BK3263">
        <v>4.8600000000000003</v>
      </c>
      <c r="BL3263">
        <v>214</v>
      </c>
    </row>
    <row r="3264" spans="1:64" x14ac:dyDescent="0.25">
      <c r="A3264" s="136">
        <v>43556</v>
      </c>
      <c r="B3264" s="201" t="s">
        <v>67</v>
      </c>
      <c r="C3264" t="s">
        <v>129</v>
      </c>
      <c r="D3264">
        <v>230</v>
      </c>
      <c r="E3264">
        <v>230</v>
      </c>
      <c r="F3264">
        <v>-11.728999999999999</v>
      </c>
      <c r="G3264">
        <v>4537.67</v>
      </c>
      <c r="H3264">
        <v>0</v>
      </c>
      <c r="I3264" s="309">
        <v>1840</v>
      </c>
      <c r="J3264">
        <v>8</v>
      </c>
      <c r="K3264" s="133">
        <v>3.4338195845809859E-3</v>
      </c>
      <c r="L3264" s="181">
        <v>48.300000000000182</v>
      </c>
      <c r="M3264" s="133">
        <v>0</v>
      </c>
      <c r="N3264" s="73">
        <v>4362.583499999957</v>
      </c>
      <c r="O3264" s="73">
        <v>600.60636477272476</v>
      </c>
      <c r="P3264" s="182">
        <v>1</v>
      </c>
      <c r="Q3264" s="182">
        <v>30</v>
      </c>
      <c r="R3264" s="46">
        <v>0</v>
      </c>
      <c r="S3264" s="46">
        <v>24</v>
      </c>
      <c r="T3264" s="46">
        <v>9600</v>
      </c>
      <c r="U3264" s="46">
        <v>8.9429999999999996</v>
      </c>
      <c r="V3264" s="46" t="s">
        <v>68</v>
      </c>
      <c r="W3264" s="46">
        <v>9570</v>
      </c>
      <c r="X3264" s="46">
        <v>8.9710000000000001</v>
      </c>
      <c r="AF3264" s="46">
        <v>193</v>
      </c>
      <c r="AG3264" s="46">
        <v>95500</v>
      </c>
      <c r="AH3264" s="46">
        <v>795318</v>
      </c>
      <c r="AI3264" s="46">
        <v>8.3279999999999994</v>
      </c>
      <c r="AJ3264" s="46">
        <v>197</v>
      </c>
      <c r="AK3264" s="46">
        <v>88300</v>
      </c>
      <c r="AL3264" s="46">
        <v>781491.25550000009</v>
      </c>
      <c r="AM3264" s="46">
        <v>8.85</v>
      </c>
      <c r="AN3264" s="46" t="s">
        <v>63</v>
      </c>
      <c r="AO3264" s="46">
        <v>7200</v>
      </c>
      <c r="AP3264" s="46">
        <v>13826.744000000001</v>
      </c>
      <c r="AQ3264" s="46">
        <v>1.92</v>
      </c>
      <c r="AR3264" s="46">
        <v>46092.6</v>
      </c>
      <c r="AS3264" s="46">
        <v>194</v>
      </c>
      <c r="AT3264" s="46">
        <v>95530</v>
      </c>
      <c r="AU3264" s="46">
        <v>795323</v>
      </c>
      <c r="AV3264" s="46">
        <v>8.3249999999999993</v>
      </c>
      <c r="AW3264" s="46">
        <v>221</v>
      </c>
      <c r="AX3264" s="46">
        <v>97900</v>
      </c>
      <c r="AY3264" s="46">
        <v>867143.89950000017</v>
      </c>
      <c r="AZ3264" s="46">
        <v>8.8569999999999993</v>
      </c>
      <c r="BA3264" s="46" t="s">
        <v>69</v>
      </c>
      <c r="BB3264" s="46">
        <v>2370</v>
      </c>
      <c r="BC3264" s="46">
        <v>71820.899999999994</v>
      </c>
      <c r="BD3264" s="46">
        <v>30.303999999999998</v>
      </c>
      <c r="BE3264" s="46">
        <v>50821.96</v>
      </c>
      <c r="BF3264" s="46">
        <v>5</v>
      </c>
      <c r="BG3264" s="46">
        <v>0.17</v>
      </c>
      <c r="BH3264" s="46">
        <v>85652.644000000088</v>
      </c>
      <c r="BI3264">
        <v>8.92</v>
      </c>
      <c r="BJ3264">
        <v>57994.155999999995</v>
      </c>
      <c r="BK3264">
        <v>6.06</v>
      </c>
      <c r="BL3264">
        <v>5761.58</v>
      </c>
    </row>
    <row r="3265" spans="1:64" x14ac:dyDescent="0.25">
      <c r="A3265" s="136">
        <v>43556</v>
      </c>
      <c r="B3265" s="201" t="s">
        <v>78</v>
      </c>
      <c r="C3265" t="s">
        <v>142</v>
      </c>
      <c r="D3265">
        <v>200</v>
      </c>
      <c r="E3265">
        <v>200</v>
      </c>
      <c r="F3265">
        <v>2.077</v>
      </c>
      <c r="G3265">
        <v>1798.65</v>
      </c>
      <c r="H3265">
        <v>432.99</v>
      </c>
      <c r="I3265" s="309">
        <v>2214</v>
      </c>
      <c r="J3265">
        <v>11.07</v>
      </c>
      <c r="K3265" s="133">
        <v>4.1317807392729907E-3</v>
      </c>
      <c r="L3265" s="181">
        <v>22</v>
      </c>
      <c r="M3265" s="133">
        <v>7.7512878503027834E-4</v>
      </c>
      <c r="N3265" s="73">
        <v>1454.650999999996</v>
      </c>
      <c r="O3265" s="73">
        <v>155.49985823529371</v>
      </c>
      <c r="P3265" s="182">
        <v>0</v>
      </c>
      <c r="Q3265" s="182">
        <v>0</v>
      </c>
      <c r="R3265" s="46">
        <v>0</v>
      </c>
      <c r="S3265" s="46">
        <v>3</v>
      </c>
      <c r="T3265" s="46">
        <v>1200</v>
      </c>
      <c r="U3265" s="46">
        <v>9.923</v>
      </c>
      <c r="V3265" s="46" t="s">
        <v>68</v>
      </c>
      <c r="W3265" s="46">
        <v>1200</v>
      </c>
      <c r="X3265" s="46">
        <v>9.923</v>
      </c>
      <c r="AF3265" s="46">
        <v>14</v>
      </c>
      <c r="AG3265" s="46">
        <v>7000</v>
      </c>
      <c r="AH3265" s="46">
        <v>67625</v>
      </c>
      <c r="AI3265" s="46">
        <v>9.6609999999999996</v>
      </c>
      <c r="AJ3265" s="46">
        <v>15</v>
      </c>
      <c r="AK3265" s="46">
        <v>5600</v>
      </c>
      <c r="AL3265" s="46">
        <v>55310.559000000008</v>
      </c>
      <c r="AM3265" s="46">
        <v>9.8770000000000007</v>
      </c>
      <c r="AN3265" s="46" t="s">
        <v>63</v>
      </c>
      <c r="AO3265" s="46">
        <v>1400</v>
      </c>
      <c r="AP3265" s="46">
        <v>12314.441000000001</v>
      </c>
      <c r="AQ3265" s="46">
        <v>8.7959999999999994</v>
      </c>
      <c r="AR3265" s="46">
        <v>1209.5999999999999</v>
      </c>
      <c r="AS3265" s="46">
        <v>14</v>
      </c>
      <c r="AT3265" s="46">
        <v>7000</v>
      </c>
      <c r="AU3265" s="46">
        <v>67625</v>
      </c>
      <c r="AV3265" s="46">
        <v>9.6609999999999996</v>
      </c>
      <c r="AW3265" s="46">
        <v>18</v>
      </c>
      <c r="AX3265" s="46">
        <v>6800</v>
      </c>
      <c r="AY3265" s="46">
        <v>67209.651000000013</v>
      </c>
      <c r="AZ3265" s="46">
        <v>9.8840000000000003</v>
      </c>
      <c r="BA3265" s="46" t="s">
        <v>63</v>
      </c>
      <c r="BB3265" s="46">
        <v>200</v>
      </c>
      <c r="BC3265" s="46">
        <v>415.34899999999999</v>
      </c>
      <c r="BD3265" s="46">
        <v>2.077</v>
      </c>
      <c r="BE3265" s="46">
        <v>1516.4</v>
      </c>
      <c r="BF3265" s="46">
        <v>0</v>
      </c>
      <c r="BH3265" s="46">
        <v>11899.092000000004</v>
      </c>
      <c r="BI3265">
        <v>9.92</v>
      </c>
      <c r="BJ3265">
        <v>-11899.092000000001</v>
      </c>
      <c r="BK3265">
        <v>-9.92</v>
      </c>
      <c r="BL3265">
        <v>109.27</v>
      </c>
    </row>
    <row r="3266" spans="1:64" x14ac:dyDescent="0.25">
      <c r="A3266" s="136">
        <v>43556</v>
      </c>
      <c r="B3266" s="201" t="s">
        <v>72</v>
      </c>
      <c r="C3266" t="s">
        <v>130</v>
      </c>
      <c r="D3266">
        <v>100</v>
      </c>
      <c r="E3266">
        <v>100</v>
      </c>
      <c r="F3266">
        <v>-18.477</v>
      </c>
      <c r="G3266">
        <v>2463.6999999999998</v>
      </c>
      <c r="H3266">
        <v>0</v>
      </c>
      <c r="I3266" s="309">
        <v>616</v>
      </c>
      <c r="J3266">
        <v>6.16</v>
      </c>
      <c r="K3266" s="133">
        <v>1.1495830783162431E-3</v>
      </c>
      <c r="L3266" s="181">
        <v>14</v>
      </c>
      <c r="M3266" s="133">
        <v>0</v>
      </c>
      <c r="N3266" s="73">
        <v>-1498.9659999999872</v>
      </c>
      <c r="O3266" s="73">
        <v>376.42007904191922</v>
      </c>
      <c r="P3266" s="182">
        <v>0</v>
      </c>
      <c r="Q3266" s="182">
        <v>0</v>
      </c>
      <c r="R3266" s="46">
        <v>0</v>
      </c>
      <c r="S3266" s="46">
        <v>20</v>
      </c>
      <c r="T3266" s="46">
        <v>8600</v>
      </c>
      <c r="U3266" s="46">
        <v>7.3840000000000003</v>
      </c>
      <c r="V3266" s="46" t="s">
        <v>68</v>
      </c>
      <c r="W3266" s="46">
        <v>8600</v>
      </c>
      <c r="X3266" s="46">
        <v>7.3840000000000003</v>
      </c>
      <c r="AF3266" s="46">
        <v>42</v>
      </c>
      <c r="AG3266" s="46">
        <v>20900</v>
      </c>
      <c r="AH3266" s="46">
        <v>152800</v>
      </c>
      <c r="AI3266" s="46">
        <v>7.3109999999999999</v>
      </c>
      <c r="AJ3266" s="46">
        <v>42</v>
      </c>
      <c r="AK3266" s="46">
        <v>18800</v>
      </c>
      <c r="AL3266" s="46">
        <v>92037.725000000035</v>
      </c>
      <c r="AM3266" s="46">
        <v>4.8959999999999999</v>
      </c>
      <c r="AN3266" s="46" t="s">
        <v>63</v>
      </c>
      <c r="AO3266" s="46">
        <v>2100</v>
      </c>
      <c r="AP3266" s="46">
        <v>60762.275000000001</v>
      </c>
      <c r="AQ3266" s="46">
        <v>28.934000000000001</v>
      </c>
      <c r="AR3266" s="46">
        <v>-45402</v>
      </c>
      <c r="AS3266" s="46">
        <v>42</v>
      </c>
      <c r="AT3266" s="46">
        <v>20900</v>
      </c>
      <c r="AU3266" s="46">
        <v>152800</v>
      </c>
      <c r="AV3266" s="46">
        <v>7.3109999999999999</v>
      </c>
      <c r="AW3266" s="46">
        <v>63</v>
      </c>
      <c r="AX3266" s="46">
        <v>27900</v>
      </c>
      <c r="AY3266" s="46">
        <v>155380.21900000001</v>
      </c>
      <c r="AZ3266" s="46">
        <v>5.569</v>
      </c>
      <c r="BA3266" s="46" t="s">
        <v>69</v>
      </c>
      <c r="BB3266" s="46">
        <v>7000</v>
      </c>
      <c r="BC3266" s="46">
        <v>2580.2190000000001</v>
      </c>
      <c r="BD3266" s="46">
        <v>0.36899999999999999</v>
      </c>
      <c r="BE3266" s="46">
        <v>-36407.800000000003</v>
      </c>
      <c r="BF3266" s="46">
        <v>0</v>
      </c>
      <c r="BH3266" s="46">
        <v>63342.493999999977</v>
      </c>
      <c r="BI3266">
        <v>7.37</v>
      </c>
      <c r="BJ3266">
        <v>-58182.056000000004</v>
      </c>
      <c r="BK3266">
        <v>-6.77</v>
      </c>
      <c r="BL3266">
        <v>-7370.45</v>
      </c>
    </row>
    <row r="3267" spans="1:64" x14ac:dyDescent="0.25">
      <c r="A3267" s="136">
        <v>43556</v>
      </c>
      <c r="B3267" s="201" t="s">
        <v>70</v>
      </c>
      <c r="C3267" t="s">
        <v>131</v>
      </c>
      <c r="D3267">
        <v>12700</v>
      </c>
      <c r="E3267">
        <v>12700</v>
      </c>
      <c r="F3267">
        <v>11.156000000000001</v>
      </c>
      <c r="G3267">
        <v>-31186.51</v>
      </c>
      <c r="H3267">
        <v>-22.01</v>
      </c>
      <c r="I3267" s="309">
        <v>110490</v>
      </c>
      <c r="J3267">
        <v>8.6999999999999993</v>
      </c>
      <c r="K3267" s="133">
        <v>0.20619713364149628</v>
      </c>
      <c r="L3267" s="181">
        <v>6311.4900000000016</v>
      </c>
      <c r="M3267" s="133">
        <v>0.26439759495276299</v>
      </c>
      <c r="N3267" s="73">
        <v>-30174.505000000048</v>
      </c>
      <c r="O3267" s="73">
        <v>-3435.0134108769994</v>
      </c>
      <c r="P3267" s="182">
        <v>0</v>
      </c>
      <c r="Q3267" s="182">
        <v>0</v>
      </c>
      <c r="R3267" s="46">
        <v>0</v>
      </c>
      <c r="S3267" s="46">
        <v>4</v>
      </c>
      <c r="T3267" s="46">
        <v>1600</v>
      </c>
      <c r="U3267" s="46">
        <v>8.1150000000000002</v>
      </c>
      <c r="V3267" s="46" t="s">
        <v>68</v>
      </c>
      <c r="W3267" s="46">
        <v>1600</v>
      </c>
      <c r="X3267" s="46">
        <v>8.1150000000000002</v>
      </c>
      <c r="AF3267" s="46">
        <v>156</v>
      </c>
      <c r="AG3267" s="46">
        <v>79600</v>
      </c>
      <c r="AH3267" s="46">
        <v>982918</v>
      </c>
      <c r="AI3267" s="46">
        <v>12.348000000000001</v>
      </c>
      <c r="AJ3267" s="46">
        <v>162</v>
      </c>
      <c r="AK3267" s="46">
        <v>65300</v>
      </c>
      <c r="AL3267" s="46">
        <v>827881.4789999997</v>
      </c>
      <c r="AM3267" s="46">
        <v>12.678000000000001</v>
      </c>
      <c r="AN3267" s="46" t="s">
        <v>63</v>
      </c>
      <c r="AO3267" s="46">
        <v>14300</v>
      </c>
      <c r="AP3267" s="46">
        <v>155036.52100000001</v>
      </c>
      <c r="AQ3267" s="46">
        <v>10.842000000000001</v>
      </c>
      <c r="AR3267" s="46">
        <v>21549</v>
      </c>
      <c r="AS3267" s="46">
        <v>156</v>
      </c>
      <c r="AT3267" s="46">
        <v>79600</v>
      </c>
      <c r="AU3267" s="46">
        <v>982918</v>
      </c>
      <c r="AV3267" s="46">
        <v>12.348000000000001</v>
      </c>
      <c r="AW3267" s="46">
        <v>167</v>
      </c>
      <c r="AX3267" s="46">
        <v>66900</v>
      </c>
      <c r="AY3267" s="46">
        <v>841237.49499999976</v>
      </c>
      <c r="AZ3267" s="46">
        <v>12.574999999999999</v>
      </c>
      <c r="BA3267" s="46" t="s">
        <v>63</v>
      </c>
      <c r="BB3267" s="46">
        <v>12700</v>
      </c>
      <c r="BC3267" s="46">
        <v>141680.505</v>
      </c>
      <c r="BD3267" s="46">
        <v>11.156000000000001</v>
      </c>
      <c r="BE3267" s="46">
        <v>15186.3</v>
      </c>
      <c r="BF3267" s="46">
        <v>0</v>
      </c>
      <c r="BH3267" s="46">
        <v>13356.016000000061</v>
      </c>
      <c r="BI3267">
        <v>8.35</v>
      </c>
      <c r="BJ3267">
        <v>-13356.016000000003</v>
      </c>
      <c r="BK3267">
        <v>-8.35</v>
      </c>
      <c r="BL3267">
        <v>2476.9</v>
      </c>
    </row>
    <row r="3268" spans="1:64" x14ac:dyDescent="0.25">
      <c r="A3268" s="136">
        <v>43556</v>
      </c>
      <c r="B3268" s="201" t="s">
        <v>628</v>
      </c>
      <c r="C3268" t="s">
        <v>629</v>
      </c>
      <c r="D3268">
        <v>100</v>
      </c>
      <c r="E3268">
        <v>100</v>
      </c>
      <c r="F3268">
        <v>-22.33</v>
      </c>
      <c r="G3268">
        <v>3759</v>
      </c>
      <c r="H3268">
        <v>0</v>
      </c>
      <c r="I3268" s="309">
        <v>1526</v>
      </c>
      <c r="J3268">
        <v>15.26</v>
      </c>
      <c r="K3268" s="133">
        <v>2.8478308076470569E-3</v>
      </c>
      <c r="L3268" s="181">
        <v>11</v>
      </c>
      <c r="M3268" s="133">
        <v>0</v>
      </c>
    </row>
    <row r="3269" spans="1:64" x14ac:dyDescent="0.25">
      <c r="A3269" s="136">
        <v>43556</v>
      </c>
      <c r="B3269" s="201" t="s">
        <v>630</v>
      </c>
      <c r="C3269" t="s">
        <v>631</v>
      </c>
      <c r="D3269">
        <v>100</v>
      </c>
      <c r="E3269">
        <v>100</v>
      </c>
      <c r="F3269">
        <v>-94.45</v>
      </c>
      <c r="G3269">
        <v>12897</v>
      </c>
      <c r="H3269">
        <v>0</v>
      </c>
      <c r="I3269" s="309">
        <v>3452</v>
      </c>
      <c r="J3269">
        <v>34.520000000000003</v>
      </c>
      <c r="K3269" s="133">
        <v>6.4421441336812843E-3</v>
      </c>
      <c r="L3269" s="181">
        <v>48</v>
      </c>
      <c r="M3269" s="133">
        <v>0</v>
      </c>
    </row>
    <row r="3270" spans="1:64" x14ac:dyDescent="0.25">
      <c r="A3270" s="136">
        <v>43556</v>
      </c>
      <c r="B3270" s="201" t="s">
        <v>137</v>
      </c>
      <c r="C3270" t="s">
        <v>149</v>
      </c>
      <c r="D3270">
        <v>100</v>
      </c>
      <c r="E3270">
        <v>100</v>
      </c>
      <c r="F3270">
        <v>-130.86000000000001</v>
      </c>
      <c r="G3270">
        <v>16976</v>
      </c>
      <c r="H3270">
        <v>0</v>
      </c>
      <c r="I3270" s="309">
        <v>3890</v>
      </c>
      <c r="J3270">
        <v>38.9</v>
      </c>
      <c r="K3270" s="133">
        <v>7.2595424913152367E-3</v>
      </c>
      <c r="L3270" s="181">
        <v>111</v>
      </c>
      <c r="M3270" s="133">
        <v>0</v>
      </c>
    </row>
    <row r="3271" spans="1:64" x14ac:dyDescent="0.25">
      <c r="A3271" s="136">
        <v>43556</v>
      </c>
      <c r="B3271" s="201" t="s">
        <v>835</v>
      </c>
      <c r="C3271" t="s">
        <v>839</v>
      </c>
      <c r="I3271" s="309">
        <v>21509.38</v>
      </c>
      <c r="K3271" s="133">
        <v>4.0140940378366616E-2</v>
      </c>
      <c r="L3271" s="181">
        <v>0</v>
      </c>
      <c r="M3271" s="133">
        <v>0.17082625387974959</v>
      </c>
    </row>
    <row r="3272" spans="1:64" x14ac:dyDescent="0.25">
      <c r="A3272" s="136">
        <v>43557</v>
      </c>
      <c r="B3272" s="201" t="s">
        <v>132</v>
      </c>
      <c r="C3272" t="s">
        <v>123</v>
      </c>
      <c r="D3272">
        <v>9000000</v>
      </c>
      <c r="E3272">
        <v>7000000</v>
      </c>
      <c r="F3272">
        <v>0.01</v>
      </c>
      <c r="G3272">
        <v>3840.37</v>
      </c>
      <c r="H3272">
        <v>0</v>
      </c>
      <c r="I3272" s="309">
        <v>90000</v>
      </c>
      <c r="J3272">
        <v>0.01</v>
      </c>
      <c r="K3272" s="133">
        <v>0.16784635613113927</v>
      </c>
      <c r="L3272" s="181">
        <v>11.329999999999927</v>
      </c>
      <c r="M3272" s="133">
        <v>0</v>
      </c>
    </row>
    <row r="3273" spans="1:64" x14ac:dyDescent="0.25">
      <c r="A3273" s="136">
        <v>43557</v>
      </c>
      <c r="B3273" s="201" t="s">
        <v>61</v>
      </c>
      <c r="C3273" t="s">
        <v>136</v>
      </c>
      <c r="D3273">
        <v>2700</v>
      </c>
      <c r="E3273">
        <v>2700</v>
      </c>
      <c r="F3273">
        <v>4.952</v>
      </c>
      <c r="G3273">
        <v>-922.58</v>
      </c>
      <c r="H3273">
        <v>-6.9</v>
      </c>
      <c r="I3273" s="309">
        <v>12447</v>
      </c>
      <c r="J3273">
        <v>4.6100000000000003</v>
      </c>
      <c r="K3273" s="133">
        <v>2.3213151052936563E-2</v>
      </c>
      <c r="L3273" s="181">
        <v>-81</v>
      </c>
      <c r="M3273" s="133">
        <v>2.4933725400041743E-2</v>
      </c>
      <c r="N3273" s="73">
        <v>-763.30900000000474</v>
      </c>
      <c r="O3273" s="73">
        <v>-163.36773993576119</v>
      </c>
      <c r="P3273" s="182">
        <v>2</v>
      </c>
      <c r="Q3273" s="182">
        <v>1000</v>
      </c>
      <c r="R3273" s="46">
        <v>4.82</v>
      </c>
      <c r="S3273" s="46">
        <v>0</v>
      </c>
      <c r="T3273" s="46">
        <v>0</v>
      </c>
      <c r="U3273" s="46">
        <v>0</v>
      </c>
      <c r="V3273" s="46" t="s">
        <v>62</v>
      </c>
      <c r="W3273" s="46">
        <v>1000</v>
      </c>
      <c r="X3273" s="46">
        <v>4.82</v>
      </c>
      <c r="AF3273" s="46">
        <v>18</v>
      </c>
      <c r="AG3273" s="46">
        <v>9000</v>
      </c>
      <c r="AH3273" s="46">
        <v>45060.400000000009</v>
      </c>
      <c r="AI3273" s="46">
        <v>5.0069999999999997</v>
      </c>
      <c r="AJ3273" s="46">
        <v>18</v>
      </c>
      <c r="AK3273" s="46">
        <v>7300</v>
      </c>
      <c r="AL3273" s="46">
        <v>36518.690999999984</v>
      </c>
      <c r="AM3273" s="46">
        <v>5.0030000000000001</v>
      </c>
      <c r="AN3273" s="46" t="s">
        <v>63</v>
      </c>
      <c r="AO3273" s="46">
        <v>1700</v>
      </c>
      <c r="AP3273" s="46">
        <v>8541.7090000000007</v>
      </c>
      <c r="AQ3273" s="46">
        <v>5.0250000000000004</v>
      </c>
      <c r="AR3273" s="46">
        <v>-29.2</v>
      </c>
      <c r="AS3273" s="46">
        <v>20</v>
      </c>
      <c r="AT3273" s="46">
        <v>10000</v>
      </c>
      <c r="AU3273" s="46">
        <v>49891</v>
      </c>
      <c r="AV3273" s="46">
        <v>4.9889999999999999</v>
      </c>
      <c r="AW3273" s="46">
        <v>18</v>
      </c>
      <c r="AX3273" s="46">
        <v>7300</v>
      </c>
      <c r="AY3273" s="46">
        <v>36518.690999999984</v>
      </c>
      <c r="AZ3273" s="46">
        <v>5.0030000000000001</v>
      </c>
      <c r="BA3273" s="46" t="s">
        <v>63</v>
      </c>
      <c r="BB3273" s="46">
        <v>2700</v>
      </c>
      <c r="BC3273" s="46">
        <v>13372.308999999999</v>
      </c>
      <c r="BD3273" s="46">
        <v>4.9530000000000003</v>
      </c>
      <c r="BE3273" s="46">
        <v>102.2</v>
      </c>
      <c r="BF3273" s="46">
        <v>4830.5999999999913</v>
      </c>
      <c r="BG3273" s="46">
        <v>4.83</v>
      </c>
      <c r="BH3273" s="46">
        <v>0</v>
      </c>
      <c r="BJ3273">
        <v>4830.5999999999985</v>
      </c>
      <c r="BK3273">
        <v>4.83</v>
      </c>
      <c r="BL3273">
        <v>-6.33</v>
      </c>
    </row>
    <row r="3274" spans="1:64" x14ac:dyDescent="0.25">
      <c r="A3274" s="136">
        <v>43557</v>
      </c>
      <c r="B3274" s="201" t="s">
        <v>124</v>
      </c>
      <c r="C3274" t="s">
        <v>125</v>
      </c>
      <c r="D3274">
        <v>100</v>
      </c>
      <c r="E3274">
        <v>100</v>
      </c>
      <c r="F3274">
        <v>-53.82</v>
      </c>
      <c r="G3274">
        <v>5948</v>
      </c>
      <c r="H3274">
        <v>0</v>
      </c>
      <c r="I3274" s="309">
        <v>566</v>
      </c>
      <c r="J3274">
        <v>5.66</v>
      </c>
      <c r="K3274" s="133">
        <v>1.0555670841136092E-3</v>
      </c>
      <c r="L3274" s="181">
        <v>2</v>
      </c>
      <c r="M3274" s="133">
        <v>0</v>
      </c>
    </row>
    <row r="3275" spans="1:64" x14ac:dyDescent="0.25">
      <c r="A3275" s="136">
        <v>43557</v>
      </c>
      <c r="B3275" s="201" t="s">
        <v>71</v>
      </c>
      <c r="C3275" t="s">
        <v>126</v>
      </c>
      <c r="D3275">
        <v>700</v>
      </c>
      <c r="E3275">
        <v>700</v>
      </c>
      <c r="F3275">
        <v>2.2519999999999998</v>
      </c>
      <c r="G3275">
        <v>2875.85</v>
      </c>
      <c r="H3275">
        <v>182.43</v>
      </c>
      <c r="I3275" s="309">
        <v>4452</v>
      </c>
      <c r="J3275">
        <v>6.36</v>
      </c>
      <c r="K3275" s="133">
        <v>8.302799749953689E-3</v>
      </c>
      <c r="L3275" s="181">
        <v>-28</v>
      </c>
      <c r="M3275" s="133">
        <v>2.9394559357343911E-3</v>
      </c>
      <c r="N3275" s="73">
        <v>-1586.2319999999945</v>
      </c>
      <c r="O3275" s="73">
        <v>453.09128174727073</v>
      </c>
      <c r="P3275" s="182">
        <v>0</v>
      </c>
      <c r="Q3275" s="182">
        <v>0</v>
      </c>
      <c r="R3275" s="46">
        <v>0</v>
      </c>
      <c r="S3275" s="46">
        <v>8</v>
      </c>
      <c r="T3275" s="46">
        <v>3100</v>
      </c>
      <c r="U3275" s="46">
        <v>6.4610000000000003</v>
      </c>
      <c r="V3275" s="46" t="s">
        <v>68</v>
      </c>
      <c r="W3275" s="46">
        <v>3100</v>
      </c>
      <c r="X3275" s="46">
        <v>6.4610000000000003</v>
      </c>
      <c r="AF3275" s="46">
        <v>51</v>
      </c>
      <c r="AG3275" s="46">
        <v>25600</v>
      </c>
      <c r="AH3275" s="46">
        <v>162451.32999999999</v>
      </c>
      <c r="AI3275" s="46">
        <v>6.3460000000000001</v>
      </c>
      <c r="AJ3275" s="46">
        <v>49</v>
      </c>
      <c r="AK3275" s="46">
        <v>21800</v>
      </c>
      <c r="AL3275" s="46">
        <v>140734.78599999999</v>
      </c>
      <c r="AM3275" s="46">
        <v>6.4560000000000004</v>
      </c>
      <c r="AN3275" s="46" t="s">
        <v>63</v>
      </c>
      <c r="AO3275" s="46">
        <v>3800</v>
      </c>
      <c r="AP3275" s="46">
        <v>21716.544000000002</v>
      </c>
      <c r="AQ3275" s="46">
        <v>5.7149999999999999</v>
      </c>
      <c r="AR3275" s="46">
        <v>2398</v>
      </c>
      <c r="AS3275" s="46">
        <v>51</v>
      </c>
      <c r="AT3275" s="46">
        <v>25600</v>
      </c>
      <c r="AU3275" s="46">
        <v>162451.32999999999</v>
      </c>
      <c r="AV3275" s="46">
        <v>6.3460000000000001</v>
      </c>
      <c r="AW3275" s="46">
        <v>57</v>
      </c>
      <c r="AX3275" s="46">
        <v>24900</v>
      </c>
      <c r="AY3275" s="46">
        <v>160708.89799999999</v>
      </c>
      <c r="AZ3275" s="46">
        <v>6.4539999999999997</v>
      </c>
      <c r="BA3275" s="46" t="s">
        <v>63</v>
      </c>
      <c r="BB3275" s="46">
        <v>700</v>
      </c>
      <c r="BC3275" s="46">
        <v>1742.432</v>
      </c>
      <c r="BD3275" s="46">
        <v>2.4889999999999999</v>
      </c>
      <c r="BE3275" s="46">
        <v>2689.2</v>
      </c>
      <c r="BF3275" s="46">
        <v>0</v>
      </c>
      <c r="BH3275" s="46">
        <v>19974.111999999994</v>
      </c>
      <c r="BI3275">
        <v>6.44</v>
      </c>
      <c r="BJ3275">
        <v>-19974.112000000001</v>
      </c>
      <c r="BK3275">
        <v>-6.44</v>
      </c>
      <c r="BL3275">
        <v>377.04</v>
      </c>
    </row>
    <row r="3276" spans="1:64" x14ac:dyDescent="0.25">
      <c r="A3276" s="136">
        <v>43557</v>
      </c>
      <c r="B3276" s="201" t="s">
        <v>79</v>
      </c>
      <c r="C3276" t="s">
        <v>143</v>
      </c>
      <c r="D3276">
        <v>9720</v>
      </c>
      <c r="E3276">
        <v>9720</v>
      </c>
      <c r="F3276">
        <v>10.760999999999999</v>
      </c>
      <c r="G3276">
        <v>-15658.83</v>
      </c>
      <c r="H3276">
        <v>-14.97</v>
      </c>
      <c r="I3276" s="309">
        <v>88938</v>
      </c>
      <c r="J3276">
        <v>9.15</v>
      </c>
      <c r="K3276" s="133">
        <v>0.16586576912879183</v>
      </c>
      <c r="L3276" s="181">
        <v>583.20000000000073</v>
      </c>
      <c r="M3276" s="133">
        <v>0.19506885309298036</v>
      </c>
      <c r="N3276" s="73">
        <v>-16162.516000000236</v>
      </c>
      <c r="O3276" s="73">
        <v>-1775.212609011015</v>
      </c>
      <c r="P3276" s="182">
        <v>8</v>
      </c>
      <c r="Q3276" s="182">
        <v>6420</v>
      </c>
      <c r="R3276" s="46">
        <v>5.5919999999999996</v>
      </c>
      <c r="S3276" s="46">
        <v>0</v>
      </c>
      <c r="T3276" s="46">
        <v>0</v>
      </c>
      <c r="U3276" s="46">
        <v>0</v>
      </c>
      <c r="V3276" s="46" t="s">
        <v>62</v>
      </c>
      <c r="W3276" s="46">
        <v>6420</v>
      </c>
      <c r="X3276" s="46">
        <v>5.5919999999999996</v>
      </c>
      <c r="AF3276" s="46">
        <v>32</v>
      </c>
      <c r="AG3276" s="46">
        <v>16500</v>
      </c>
      <c r="AH3276" s="46">
        <v>243089.89999999985</v>
      </c>
      <c r="AI3276" s="46">
        <v>14.733000000000001</v>
      </c>
      <c r="AJ3276" s="46">
        <v>33</v>
      </c>
      <c r="AK3276" s="46">
        <v>13200</v>
      </c>
      <c r="AL3276" s="46">
        <v>174419.23599999983</v>
      </c>
      <c r="AM3276" s="46">
        <v>13.214</v>
      </c>
      <c r="AN3276" s="46" t="s">
        <v>63</v>
      </c>
      <c r="AO3276" s="46">
        <v>3300</v>
      </c>
      <c r="AP3276" s="46">
        <v>68670.664000000004</v>
      </c>
      <c r="AQ3276" s="46">
        <v>20.809000000000001</v>
      </c>
      <c r="AR3276" s="46">
        <v>-20050.8</v>
      </c>
      <c r="AS3276" s="46">
        <v>40</v>
      </c>
      <c r="AT3276" s="46">
        <v>22920</v>
      </c>
      <c r="AU3276" s="46">
        <v>279033.75199999975</v>
      </c>
      <c r="AV3276" s="46">
        <v>12.173999999999999</v>
      </c>
      <c r="AW3276" s="46">
        <v>33</v>
      </c>
      <c r="AX3276" s="46">
        <v>13200</v>
      </c>
      <c r="AY3276" s="46">
        <v>174419.23599999983</v>
      </c>
      <c r="AZ3276" s="46">
        <v>13.214</v>
      </c>
      <c r="BA3276" s="46" t="s">
        <v>63</v>
      </c>
      <c r="BB3276" s="46">
        <v>9720</v>
      </c>
      <c r="BC3276" s="46">
        <v>104614.516</v>
      </c>
      <c r="BD3276" s="46">
        <v>10.763</v>
      </c>
      <c r="BE3276" s="46">
        <v>13728</v>
      </c>
      <c r="BF3276" s="46">
        <v>35943.851999999897</v>
      </c>
      <c r="BG3276" s="46">
        <v>5.6</v>
      </c>
      <c r="BH3276" s="46">
        <v>0</v>
      </c>
      <c r="BJ3276">
        <v>35943.851999999999</v>
      </c>
      <c r="BK3276">
        <v>5.6</v>
      </c>
      <c r="BL3276">
        <v>-2191.34</v>
      </c>
    </row>
    <row r="3277" spans="1:64" x14ac:dyDescent="0.25">
      <c r="A3277" s="136">
        <v>43557</v>
      </c>
      <c r="B3277" s="201" t="s">
        <v>65</v>
      </c>
      <c r="C3277" t="s">
        <v>127</v>
      </c>
      <c r="D3277">
        <v>21700</v>
      </c>
      <c r="E3277">
        <v>21700</v>
      </c>
      <c r="F3277">
        <v>8.891</v>
      </c>
      <c r="G3277">
        <v>-2626.9</v>
      </c>
      <c r="H3277">
        <v>-1.36</v>
      </c>
      <c r="I3277" s="309">
        <v>190309</v>
      </c>
      <c r="J3277">
        <v>8.77</v>
      </c>
      <c r="K3277" s="133">
        <v>0.35491857987734426</v>
      </c>
      <c r="L3277" s="181">
        <v>434</v>
      </c>
      <c r="M3277" s="133">
        <v>0.35981764202090971</v>
      </c>
      <c r="N3277" s="73">
        <v>-3220.3250000000698</v>
      </c>
      <c r="O3277" s="73">
        <v>118.6462959451671</v>
      </c>
      <c r="P3277" s="182">
        <v>4</v>
      </c>
      <c r="Q3277" s="182">
        <v>2300</v>
      </c>
      <c r="R3277" s="46">
        <v>7.1660000000000004</v>
      </c>
      <c r="S3277" s="46">
        <v>6</v>
      </c>
      <c r="T3277" s="46">
        <v>2400</v>
      </c>
      <c r="U3277" s="46">
        <v>8.1129999999999995</v>
      </c>
      <c r="V3277" s="46" t="s">
        <v>68</v>
      </c>
      <c r="W3277" s="46">
        <v>100</v>
      </c>
      <c r="X3277" s="46">
        <v>29.893999999999998</v>
      </c>
      <c r="AF3277" s="46">
        <v>228</v>
      </c>
      <c r="AG3277" s="46">
        <v>122700</v>
      </c>
      <c r="AH3277" s="46">
        <v>1318809.6810000001</v>
      </c>
      <c r="AI3277" s="46">
        <v>10.747999999999999</v>
      </c>
      <c r="AJ3277" s="46">
        <v>257</v>
      </c>
      <c r="AK3277" s="46">
        <v>110100</v>
      </c>
      <c r="AL3277" s="46">
        <v>1118817.8259999999</v>
      </c>
      <c r="AM3277" s="46">
        <v>10.162000000000001</v>
      </c>
      <c r="AN3277" s="46" t="s">
        <v>63</v>
      </c>
      <c r="AO3277" s="46">
        <v>12600</v>
      </c>
      <c r="AP3277" s="46">
        <v>199991.85500000001</v>
      </c>
      <c r="AQ3277" s="46">
        <v>15.872</v>
      </c>
      <c r="AR3277" s="46">
        <v>-64518.6</v>
      </c>
      <c r="AS3277" s="46">
        <v>233</v>
      </c>
      <c r="AT3277" s="46">
        <v>125100</v>
      </c>
      <c r="AU3277" s="46">
        <v>1336599.6810000001</v>
      </c>
      <c r="AV3277" s="46">
        <v>10.683999999999999</v>
      </c>
      <c r="AW3277" s="46">
        <v>263</v>
      </c>
      <c r="AX3277" s="46">
        <v>112500</v>
      </c>
      <c r="AY3277" s="46">
        <v>1138240.3540000003</v>
      </c>
      <c r="AZ3277" s="46">
        <v>10.118</v>
      </c>
      <c r="BA3277" s="46" t="s">
        <v>63</v>
      </c>
      <c r="BB3277" s="46">
        <v>12600</v>
      </c>
      <c r="BC3277" s="46">
        <v>198359.32699999999</v>
      </c>
      <c r="BD3277" s="46">
        <v>15.743</v>
      </c>
      <c r="BE3277" s="46">
        <v>-63675</v>
      </c>
      <c r="BF3277" s="46">
        <v>17790</v>
      </c>
      <c r="BG3277" s="46">
        <v>7.73</v>
      </c>
      <c r="BH3277" s="46">
        <v>19422.528000000399</v>
      </c>
      <c r="BI3277">
        <v>8.09</v>
      </c>
      <c r="BJ3277">
        <v>-1632.5280000000203</v>
      </c>
      <c r="BK3277">
        <v>-16.329999999999998</v>
      </c>
      <c r="BL3277">
        <v>-7356.74</v>
      </c>
    </row>
    <row r="3278" spans="1:64" x14ac:dyDescent="0.25">
      <c r="A3278" s="136">
        <v>43557</v>
      </c>
      <c r="B3278" s="201" t="s">
        <v>77</v>
      </c>
      <c r="C3278" t="s">
        <v>150</v>
      </c>
      <c r="D3278">
        <v>4700</v>
      </c>
      <c r="E3278">
        <v>4700</v>
      </c>
      <c r="F3278">
        <v>5.5839999999999996</v>
      </c>
      <c r="G3278">
        <v>-2932.83</v>
      </c>
      <c r="H3278">
        <v>-11.17</v>
      </c>
      <c r="I3278" s="309">
        <v>23312</v>
      </c>
      <c r="J3278">
        <v>4.96</v>
      </c>
      <c r="K3278" s="133">
        <v>4.3475936156990212E-2</v>
      </c>
      <c r="L3278" s="181">
        <v>821</v>
      </c>
      <c r="M3278" s="133">
        <v>4.8945545364235649E-2</v>
      </c>
      <c r="N3278" s="73">
        <v>-3296.7740000000049</v>
      </c>
      <c r="O3278" s="73">
        <v>-560.19551362725554</v>
      </c>
      <c r="P3278" s="182">
        <v>5</v>
      </c>
      <c r="Q3278" s="182">
        <v>2500</v>
      </c>
      <c r="R3278" s="46">
        <v>4.6059999999999999</v>
      </c>
      <c r="S3278" s="46">
        <v>0</v>
      </c>
      <c r="T3278" s="46">
        <v>0</v>
      </c>
      <c r="U3278" s="46">
        <v>0</v>
      </c>
      <c r="V3278" s="46" t="s">
        <v>62</v>
      </c>
      <c r="W3278" s="46">
        <v>2500</v>
      </c>
      <c r="X3278" s="46">
        <v>4.6059999999999999</v>
      </c>
      <c r="AF3278" s="46">
        <v>48</v>
      </c>
      <c r="AG3278" s="46">
        <v>24000</v>
      </c>
      <c r="AH3278" s="46">
        <v>167379</v>
      </c>
      <c r="AI3278" s="46">
        <v>6.9740000000000002</v>
      </c>
      <c r="AJ3278" s="46">
        <v>48</v>
      </c>
      <c r="AK3278" s="46">
        <v>21800</v>
      </c>
      <c r="AL3278" s="46">
        <v>152381.22600000002</v>
      </c>
      <c r="AM3278" s="46">
        <v>6.99</v>
      </c>
      <c r="AN3278" s="46" t="s">
        <v>63</v>
      </c>
      <c r="AO3278" s="46">
        <v>2200</v>
      </c>
      <c r="AP3278" s="46">
        <v>14997.773999999999</v>
      </c>
      <c r="AQ3278" s="46">
        <v>6.8170000000000002</v>
      </c>
      <c r="AR3278" s="46">
        <v>348.8</v>
      </c>
      <c r="AS3278" s="46">
        <v>53</v>
      </c>
      <c r="AT3278" s="46">
        <v>26500</v>
      </c>
      <c r="AU3278" s="46">
        <v>178631</v>
      </c>
      <c r="AV3278" s="46">
        <v>6.7409999999999997</v>
      </c>
      <c r="AW3278" s="46">
        <v>48</v>
      </c>
      <c r="AX3278" s="46">
        <v>21800</v>
      </c>
      <c r="AY3278" s="46">
        <v>152381.22600000002</v>
      </c>
      <c r="AZ3278" s="46">
        <v>6.99</v>
      </c>
      <c r="BA3278" s="46" t="s">
        <v>63</v>
      </c>
      <c r="BB3278" s="46">
        <v>4700</v>
      </c>
      <c r="BC3278" s="46">
        <v>26249.774000000001</v>
      </c>
      <c r="BD3278" s="46">
        <v>5.585</v>
      </c>
      <c r="BE3278" s="46">
        <v>5428.2</v>
      </c>
      <c r="BF3278" s="46">
        <v>11252</v>
      </c>
      <c r="BG3278" s="46">
        <v>4.5</v>
      </c>
      <c r="BH3278" s="46">
        <v>0</v>
      </c>
      <c r="BJ3278">
        <v>11252.000000000002</v>
      </c>
      <c r="BK3278">
        <v>4.5</v>
      </c>
      <c r="BL3278">
        <v>70.319999999999993</v>
      </c>
    </row>
    <row r="3279" spans="1:64" x14ac:dyDescent="0.25">
      <c r="A3279" s="136">
        <v>43557</v>
      </c>
      <c r="B3279" s="201" t="s">
        <v>67</v>
      </c>
      <c r="C3279" t="s">
        <v>129</v>
      </c>
      <c r="D3279">
        <v>230</v>
      </c>
      <c r="E3279">
        <v>230</v>
      </c>
      <c r="F3279">
        <v>-11.728999999999999</v>
      </c>
      <c r="G3279">
        <v>4512.37</v>
      </c>
      <c r="H3279">
        <v>0</v>
      </c>
      <c r="I3279" s="309">
        <v>1814.7</v>
      </c>
      <c r="J3279">
        <v>7.89</v>
      </c>
      <c r="K3279" s="133">
        <v>3.3843420274575382E-3</v>
      </c>
      <c r="L3279" s="181">
        <v>-25.300000000000182</v>
      </c>
      <c r="M3279" s="133">
        <v>0</v>
      </c>
      <c r="N3279" s="73">
        <v>4362.583499999957</v>
      </c>
      <c r="O3279" s="73">
        <v>600.60636477272476</v>
      </c>
      <c r="P3279" s="182">
        <v>1</v>
      </c>
      <c r="Q3279" s="182">
        <v>30</v>
      </c>
      <c r="R3279" s="46">
        <v>0</v>
      </c>
      <c r="S3279" s="46">
        <v>24</v>
      </c>
      <c r="T3279" s="46">
        <v>9600</v>
      </c>
      <c r="U3279" s="46">
        <v>8.9429999999999996</v>
      </c>
      <c r="V3279" s="46" t="s">
        <v>68</v>
      </c>
      <c r="W3279" s="46">
        <v>9570</v>
      </c>
      <c r="X3279" s="46">
        <v>8.9710000000000001</v>
      </c>
      <c r="AF3279" s="46">
        <v>193</v>
      </c>
      <c r="AG3279" s="46">
        <v>95500</v>
      </c>
      <c r="AH3279" s="46">
        <v>795318</v>
      </c>
      <c r="AI3279" s="46">
        <v>8.3279999999999994</v>
      </c>
      <c r="AJ3279" s="46">
        <v>197</v>
      </c>
      <c r="AK3279" s="46">
        <v>88300</v>
      </c>
      <c r="AL3279" s="46">
        <v>781491.25550000009</v>
      </c>
      <c r="AM3279" s="46">
        <v>8.85</v>
      </c>
      <c r="AN3279" s="46" t="s">
        <v>63</v>
      </c>
      <c r="AO3279" s="46">
        <v>7200</v>
      </c>
      <c r="AP3279" s="46">
        <v>13826.744000000001</v>
      </c>
      <c r="AQ3279" s="46">
        <v>1.92</v>
      </c>
      <c r="AR3279" s="46">
        <v>46092.6</v>
      </c>
      <c r="AS3279" s="46">
        <v>194</v>
      </c>
      <c r="AT3279" s="46">
        <v>95530</v>
      </c>
      <c r="AU3279" s="46">
        <v>795323</v>
      </c>
      <c r="AV3279" s="46">
        <v>8.3249999999999993</v>
      </c>
      <c r="AW3279" s="46">
        <v>221</v>
      </c>
      <c r="AX3279" s="46">
        <v>97900</v>
      </c>
      <c r="AY3279" s="46">
        <v>867143.89950000017</v>
      </c>
      <c r="AZ3279" s="46">
        <v>8.8569999999999993</v>
      </c>
      <c r="BA3279" s="46" t="s">
        <v>69</v>
      </c>
      <c r="BB3279" s="46">
        <v>2370</v>
      </c>
      <c r="BC3279" s="46">
        <v>71820.899999999994</v>
      </c>
      <c r="BD3279" s="46">
        <v>30.303999999999998</v>
      </c>
      <c r="BE3279" s="46">
        <v>50821.96</v>
      </c>
      <c r="BF3279" s="46">
        <v>5</v>
      </c>
      <c r="BG3279" s="46">
        <v>0.17</v>
      </c>
      <c r="BH3279" s="46">
        <v>85652.644000000088</v>
      </c>
      <c r="BI3279">
        <v>8.92</v>
      </c>
      <c r="BJ3279">
        <v>57994.155999999995</v>
      </c>
      <c r="BK3279">
        <v>6.06</v>
      </c>
      <c r="BL3279">
        <v>5841.9</v>
      </c>
    </row>
    <row r="3280" spans="1:64" x14ac:dyDescent="0.25">
      <c r="A3280" s="136">
        <v>43557</v>
      </c>
      <c r="B3280" s="201" t="s">
        <v>78</v>
      </c>
      <c r="C3280" t="s">
        <v>142</v>
      </c>
      <c r="D3280">
        <v>200</v>
      </c>
      <c r="E3280">
        <v>200</v>
      </c>
      <c r="F3280">
        <v>2.077</v>
      </c>
      <c r="G3280">
        <v>1794.65</v>
      </c>
      <c r="H3280">
        <v>432.03</v>
      </c>
      <c r="I3280" s="309">
        <v>2210</v>
      </c>
      <c r="J3280">
        <v>11.05</v>
      </c>
      <c r="K3280" s="133">
        <v>4.121560522775753E-3</v>
      </c>
      <c r="L3280" s="181">
        <v>-4</v>
      </c>
      <c r="M3280" s="133">
        <v>7.7461093354520762E-4</v>
      </c>
      <c r="N3280" s="73">
        <v>1454.650999999996</v>
      </c>
      <c r="O3280" s="73">
        <v>155.49985823529371</v>
      </c>
      <c r="P3280" s="182">
        <v>0</v>
      </c>
      <c r="Q3280" s="182">
        <v>0</v>
      </c>
      <c r="R3280" s="46">
        <v>0</v>
      </c>
      <c r="S3280" s="46">
        <v>3</v>
      </c>
      <c r="T3280" s="46">
        <v>1200</v>
      </c>
      <c r="U3280" s="46">
        <v>9.923</v>
      </c>
      <c r="V3280" s="46" t="s">
        <v>68</v>
      </c>
      <c r="W3280" s="46">
        <v>1200</v>
      </c>
      <c r="X3280" s="46">
        <v>9.923</v>
      </c>
      <c r="AF3280" s="46">
        <v>14</v>
      </c>
      <c r="AG3280" s="46">
        <v>7000</v>
      </c>
      <c r="AH3280" s="46">
        <v>67625</v>
      </c>
      <c r="AI3280" s="46">
        <v>9.6609999999999996</v>
      </c>
      <c r="AJ3280" s="46">
        <v>15</v>
      </c>
      <c r="AK3280" s="46">
        <v>5600</v>
      </c>
      <c r="AL3280" s="46">
        <v>55310.559000000008</v>
      </c>
      <c r="AM3280" s="46">
        <v>9.8770000000000007</v>
      </c>
      <c r="AN3280" s="46" t="s">
        <v>63</v>
      </c>
      <c r="AO3280" s="46">
        <v>1400</v>
      </c>
      <c r="AP3280" s="46">
        <v>12314.441000000001</v>
      </c>
      <c r="AQ3280" s="46">
        <v>8.7959999999999994</v>
      </c>
      <c r="AR3280" s="46">
        <v>1209.5999999999999</v>
      </c>
      <c r="AS3280" s="46">
        <v>14</v>
      </c>
      <c r="AT3280" s="46">
        <v>7000</v>
      </c>
      <c r="AU3280" s="46">
        <v>67625</v>
      </c>
      <c r="AV3280" s="46">
        <v>9.6609999999999996</v>
      </c>
      <c r="AW3280" s="46">
        <v>18</v>
      </c>
      <c r="AX3280" s="46">
        <v>6800</v>
      </c>
      <c r="AY3280" s="46">
        <v>67209.651000000013</v>
      </c>
      <c r="AZ3280" s="46">
        <v>9.8840000000000003</v>
      </c>
      <c r="BA3280" s="46" t="s">
        <v>63</v>
      </c>
      <c r="BB3280" s="46">
        <v>200</v>
      </c>
      <c r="BC3280" s="46">
        <v>415.34899999999999</v>
      </c>
      <c r="BD3280" s="46">
        <v>2.077</v>
      </c>
      <c r="BE3280" s="46">
        <v>1516.4</v>
      </c>
      <c r="BF3280" s="46">
        <v>0</v>
      </c>
      <c r="BH3280" s="46">
        <v>11899.092000000004</v>
      </c>
      <c r="BI3280">
        <v>9.92</v>
      </c>
      <c r="BJ3280">
        <v>-11899.092000000001</v>
      </c>
      <c r="BK3280">
        <v>-9.92</v>
      </c>
      <c r="BL3280">
        <v>109.47</v>
      </c>
    </row>
    <row r="3281" spans="1:64" x14ac:dyDescent="0.25">
      <c r="A3281" s="136">
        <v>43557</v>
      </c>
      <c r="B3281" s="201" t="s">
        <v>72</v>
      </c>
      <c r="C3281" t="s">
        <v>130</v>
      </c>
      <c r="D3281">
        <v>100</v>
      </c>
      <c r="E3281">
        <v>100</v>
      </c>
      <c r="F3281">
        <v>-18.477</v>
      </c>
      <c r="G3281">
        <v>2462.6999999999998</v>
      </c>
      <c r="H3281">
        <v>0</v>
      </c>
      <c r="I3281" s="309">
        <v>615</v>
      </c>
      <c r="J3281">
        <v>6.15</v>
      </c>
      <c r="K3281" s="133">
        <v>1.1469501002294518E-3</v>
      </c>
      <c r="L3281" s="181">
        <v>-1</v>
      </c>
      <c r="M3281" s="133">
        <v>0</v>
      </c>
      <c r="N3281" s="73">
        <v>-1498.9659999999872</v>
      </c>
      <c r="O3281" s="73">
        <v>376.42007904191922</v>
      </c>
      <c r="P3281" s="182">
        <v>0</v>
      </c>
      <c r="Q3281" s="182">
        <v>0</v>
      </c>
      <c r="R3281" s="46">
        <v>0</v>
      </c>
      <c r="S3281" s="46">
        <v>20</v>
      </c>
      <c r="T3281" s="46">
        <v>8600</v>
      </c>
      <c r="U3281" s="46">
        <v>7.3840000000000003</v>
      </c>
      <c r="V3281" s="46" t="s">
        <v>68</v>
      </c>
      <c r="W3281" s="46">
        <v>8600</v>
      </c>
      <c r="X3281" s="46">
        <v>7.3840000000000003</v>
      </c>
      <c r="AF3281" s="46">
        <v>42</v>
      </c>
      <c r="AG3281" s="46">
        <v>20900</v>
      </c>
      <c r="AH3281" s="46">
        <v>152800</v>
      </c>
      <c r="AI3281" s="46">
        <v>7.3109999999999999</v>
      </c>
      <c r="AJ3281" s="46">
        <v>42</v>
      </c>
      <c r="AK3281" s="46">
        <v>18800</v>
      </c>
      <c r="AL3281" s="46">
        <v>92037.725000000035</v>
      </c>
      <c r="AM3281" s="46">
        <v>4.8959999999999999</v>
      </c>
      <c r="AN3281" s="46" t="s">
        <v>63</v>
      </c>
      <c r="AO3281" s="46">
        <v>2100</v>
      </c>
      <c r="AP3281" s="46">
        <v>60762.275000000001</v>
      </c>
      <c r="AQ3281" s="46">
        <v>28.934000000000001</v>
      </c>
      <c r="AR3281" s="46">
        <v>-45402</v>
      </c>
      <c r="AS3281" s="46">
        <v>42</v>
      </c>
      <c r="AT3281" s="46">
        <v>20900</v>
      </c>
      <c r="AU3281" s="46">
        <v>152800</v>
      </c>
      <c r="AV3281" s="46">
        <v>7.3109999999999999</v>
      </c>
      <c r="AW3281" s="46">
        <v>63</v>
      </c>
      <c r="AX3281" s="46">
        <v>27900</v>
      </c>
      <c r="AY3281" s="46">
        <v>155380.21900000001</v>
      </c>
      <c r="AZ3281" s="46">
        <v>5.569</v>
      </c>
      <c r="BA3281" s="46" t="s">
        <v>69</v>
      </c>
      <c r="BB3281" s="46">
        <v>7000</v>
      </c>
      <c r="BC3281" s="46">
        <v>2580.2190000000001</v>
      </c>
      <c r="BD3281" s="46">
        <v>0.36899999999999999</v>
      </c>
      <c r="BE3281" s="46">
        <v>-36407.800000000003</v>
      </c>
      <c r="BF3281" s="46">
        <v>0</v>
      </c>
      <c r="BH3281" s="46">
        <v>63342.493999999977</v>
      </c>
      <c r="BI3281">
        <v>7.37</v>
      </c>
      <c r="BJ3281">
        <v>-58182.056000000004</v>
      </c>
      <c r="BK3281">
        <v>-6.77</v>
      </c>
      <c r="BL3281">
        <v>-7382.44</v>
      </c>
    </row>
    <row r="3282" spans="1:64" x14ac:dyDescent="0.25">
      <c r="A3282" s="136">
        <v>43557</v>
      </c>
      <c r="B3282" s="201" t="s">
        <v>70</v>
      </c>
      <c r="C3282" t="s">
        <v>131</v>
      </c>
      <c r="D3282">
        <v>12700</v>
      </c>
      <c r="E3282">
        <v>12700</v>
      </c>
      <c r="F3282">
        <v>11.156000000000001</v>
      </c>
      <c r="G3282">
        <v>-32456.51</v>
      </c>
      <c r="H3282">
        <v>-22.91</v>
      </c>
      <c r="I3282" s="309">
        <v>109220</v>
      </c>
      <c r="J3282">
        <v>8.6</v>
      </c>
      <c r="K3282" s="133">
        <v>0.20369087796270036</v>
      </c>
      <c r="L3282" s="181">
        <v>-1270</v>
      </c>
      <c r="M3282" s="133">
        <v>0.26422095503196574</v>
      </c>
      <c r="N3282" s="73">
        <v>-30174.505000000048</v>
      </c>
      <c r="O3282" s="73">
        <v>-3435.0134108769994</v>
      </c>
      <c r="P3282" s="182">
        <v>0</v>
      </c>
      <c r="Q3282" s="182">
        <v>0</v>
      </c>
      <c r="R3282" s="46">
        <v>0</v>
      </c>
      <c r="S3282" s="46">
        <v>4</v>
      </c>
      <c r="T3282" s="46">
        <v>1600</v>
      </c>
      <c r="U3282" s="46">
        <v>8.1150000000000002</v>
      </c>
      <c r="V3282" s="46" t="s">
        <v>68</v>
      </c>
      <c r="W3282" s="46">
        <v>1600</v>
      </c>
      <c r="X3282" s="46">
        <v>8.1150000000000002</v>
      </c>
      <c r="AF3282" s="46">
        <v>156</v>
      </c>
      <c r="AG3282" s="46">
        <v>79600</v>
      </c>
      <c r="AH3282" s="46">
        <v>982918</v>
      </c>
      <c r="AI3282" s="46">
        <v>12.348000000000001</v>
      </c>
      <c r="AJ3282" s="46">
        <v>162</v>
      </c>
      <c r="AK3282" s="46">
        <v>65300</v>
      </c>
      <c r="AL3282" s="46">
        <v>827881.4789999997</v>
      </c>
      <c r="AM3282" s="46">
        <v>12.678000000000001</v>
      </c>
      <c r="AN3282" s="46" t="s">
        <v>63</v>
      </c>
      <c r="AO3282" s="46">
        <v>14300</v>
      </c>
      <c r="AP3282" s="46">
        <v>155036.52100000001</v>
      </c>
      <c r="AQ3282" s="46">
        <v>10.842000000000001</v>
      </c>
      <c r="AR3282" s="46">
        <v>21549</v>
      </c>
      <c r="AS3282" s="46">
        <v>156</v>
      </c>
      <c r="AT3282" s="46">
        <v>79600</v>
      </c>
      <c r="AU3282" s="46">
        <v>982918</v>
      </c>
      <c r="AV3282" s="46">
        <v>12.348000000000001</v>
      </c>
      <c r="AW3282" s="46">
        <v>167</v>
      </c>
      <c r="AX3282" s="46">
        <v>66900</v>
      </c>
      <c r="AY3282" s="46">
        <v>841237.49499999976</v>
      </c>
      <c r="AZ3282" s="46">
        <v>12.574999999999999</v>
      </c>
      <c r="BA3282" s="46" t="s">
        <v>63</v>
      </c>
      <c r="BB3282" s="46">
        <v>12700</v>
      </c>
      <c r="BC3282" s="46">
        <v>141680.505</v>
      </c>
      <c r="BD3282" s="46">
        <v>11.156000000000001</v>
      </c>
      <c r="BE3282" s="46">
        <v>15186.3</v>
      </c>
      <c r="BF3282" s="46">
        <v>0</v>
      </c>
      <c r="BH3282" s="46">
        <v>13356.016000000061</v>
      </c>
      <c r="BI3282">
        <v>8.35</v>
      </c>
      <c r="BJ3282">
        <v>-13356.016000000003</v>
      </c>
      <c r="BK3282">
        <v>-8.35</v>
      </c>
      <c r="BL3282">
        <v>2505.6999999999998</v>
      </c>
    </row>
    <row r="3283" spans="1:64" x14ac:dyDescent="0.25">
      <c r="A3283" s="136">
        <v>43557</v>
      </c>
      <c r="B3283" s="201" t="s">
        <v>628</v>
      </c>
      <c r="C3283" t="s">
        <v>629</v>
      </c>
      <c r="D3283">
        <v>100</v>
      </c>
      <c r="E3283">
        <v>100</v>
      </c>
      <c r="F3283">
        <v>-22.33</v>
      </c>
      <c r="G3283">
        <v>3724</v>
      </c>
      <c r="H3283">
        <v>0</v>
      </c>
      <c r="I3283" s="309">
        <v>1491</v>
      </c>
      <c r="J3283">
        <v>14.91</v>
      </c>
      <c r="K3283" s="133">
        <v>2.7806546332392072E-3</v>
      </c>
      <c r="L3283" s="181">
        <v>-35</v>
      </c>
      <c r="M3283" s="133">
        <v>0</v>
      </c>
    </row>
    <row r="3284" spans="1:64" x14ac:dyDescent="0.25">
      <c r="A3284" s="136">
        <v>43557</v>
      </c>
      <c r="B3284" s="201" t="s">
        <v>630</v>
      </c>
      <c r="C3284" t="s">
        <v>631</v>
      </c>
      <c r="D3284">
        <v>100</v>
      </c>
      <c r="E3284">
        <v>100</v>
      </c>
      <c r="F3284">
        <v>-94.45</v>
      </c>
      <c r="G3284">
        <v>12915</v>
      </c>
      <c r="H3284">
        <v>0</v>
      </c>
      <c r="I3284" s="309">
        <v>3470</v>
      </c>
      <c r="J3284">
        <v>34.700000000000003</v>
      </c>
      <c r="K3284" s="133">
        <v>6.4714095086117031E-3</v>
      </c>
      <c r="L3284" s="181">
        <v>18</v>
      </c>
      <c r="M3284" s="133">
        <v>0</v>
      </c>
    </row>
    <row r="3285" spans="1:64" x14ac:dyDescent="0.25">
      <c r="A3285" s="136">
        <v>43557</v>
      </c>
      <c r="B3285" s="201" t="s">
        <v>137</v>
      </c>
      <c r="C3285" t="s">
        <v>149</v>
      </c>
      <c r="D3285">
        <v>100</v>
      </c>
      <c r="E3285">
        <v>100</v>
      </c>
      <c r="F3285">
        <v>-130.86000000000001</v>
      </c>
      <c r="G3285">
        <v>16949</v>
      </c>
      <c r="H3285">
        <v>0</v>
      </c>
      <c r="I3285" s="309">
        <v>3863</v>
      </c>
      <c r="J3285">
        <v>38.630000000000003</v>
      </c>
      <c r="K3285" s="133">
        <v>7.2043385970510113E-3</v>
      </c>
      <c r="L3285" s="181">
        <v>-27</v>
      </c>
      <c r="M3285" s="133">
        <v>0</v>
      </c>
    </row>
    <row r="3286" spans="1:64" x14ac:dyDescent="0.25">
      <c r="A3286" s="136">
        <v>43557</v>
      </c>
      <c r="B3286" s="201" t="s">
        <v>835</v>
      </c>
      <c r="C3286" t="s">
        <v>839</v>
      </c>
      <c r="I3286" s="309">
        <v>3496.97</v>
      </c>
      <c r="K3286" s="133">
        <v>6.5217074666656678E-3</v>
      </c>
      <c r="L3286" s="181">
        <v>0</v>
      </c>
      <c r="M3286" s="133">
        <v>0.17436806359780493</v>
      </c>
    </row>
    <row r="3287" spans="1:64" x14ac:dyDescent="0.25">
      <c r="A3287" s="136">
        <v>43558</v>
      </c>
      <c r="B3287" s="201" t="s">
        <v>132</v>
      </c>
      <c r="C3287" t="s">
        <v>123</v>
      </c>
      <c r="D3287">
        <v>10000000</v>
      </c>
      <c r="E3287">
        <v>9000000</v>
      </c>
      <c r="F3287">
        <v>0.01</v>
      </c>
      <c r="G3287">
        <v>3844.85</v>
      </c>
      <c r="H3287">
        <v>0</v>
      </c>
      <c r="I3287" s="309">
        <v>100000</v>
      </c>
      <c r="J3287">
        <v>0.01</v>
      </c>
      <c r="K3287" s="133">
        <v>0.18148540028900823</v>
      </c>
      <c r="L3287" s="181">
        <v>4.4800000000000182</v>
      </c>
      <c r="M3287" s="133">
        <v>0</v>
      </c>
    </row>
    <row r="3288" spans="1:64" x14ac:dyDescent="0.25">
      <c r="A3288" s="136">
        <v>43558</v>
      </c>
      <c r="B3288" s="201" t="s">
        <v>61</v>
      </c>
      <c r="C3288" t="s">
        <v>136</v>
      </c>
      <c r="D3288">
        <v>2700</v>
      </c>
      <c r="E3288">
        <v>2700</v>
      </c>
      <c r="F3288">
        <v>4.952</v>
      </c>
      <c r="G3288">
        <v>-787.58</v>
      </c>
      <c r="H3288">
        <v>-5.89</v>
      </c>
      <c r="I3288" s="309">
        <v>12582</v>
      </c>
      <c r="J3288">
        <v>4.66</v>
      </c>
      <c r="K3288" s="133">
        <v>2.2834493064363016E-2</v>
      </c>
      <c r="L3288" s="181">
        <v>135</v>
      </c>
      <c r="M3288" s="133">
        <v>2.4263835779959188E-2</v>
      </c>
      <c r="N3288" s="73">
        <v>-763.30900000000474</v>
      </c>
      <c r="O3288" s="73">
        <v>-163.36773993576119</v>
      </c>
      <c r="P3288" s="182">
        <v>2</v>
      </c>
      <c r="Q3288" s="182">
        <v>1000</v>
      </c>
      <c r="R3288" s="46">
        <v>4.82</v>
      </c>
      <c r="S3288" s="46">
        <v>0</v>
      </c>
      <c r="T3288" s="46">
        <v>0</v>
      </c>
      <c r="U3288" s="46">
        <v>0</v>
      </c>
      <c r="V3288" s="46" t="s">
        <v>62</v>
      </c>
      <c r="W3288" s="46">
        <v>1000</v>
      </c>
      <c r="X3288" s="46">
        <v>4.82</v>
      </c>
      <c r="AF3288" s="46">
        <v>18</v>
      </c>
      <c r="AG3288" s="46">
        <v>9000</v>
      </c>
      <c r="AH3288" s="46">
        <v>45060.400000000009</v>
      </c>
      <c r="AI3288" s="46">
        <v>5.0069999999999997</v>
      </c>
      <c r="AJ3288" s="46">
        <v>18</v>
      </c>
      <c r="AK3288" s="46">
        <v>7300</v>
      </c>
      <c r="AL3288" s="46">
        <v>36518.690999999984</v>
      </c>
      <c r="AM3288" s="46">
        <v>5.0030000000000001</v>
      </c>
      <c r="AN3288" s="46" t="s">
        <v>63</v>
      </c>
      <c r="AO3288" s="46">
        <v>1700</v>
      </c>
      <c r="AP3288" s="46">
        <v>8541.7090000000007</v>
      </c>
      <c r="AQ3288" s="46">
        <v>5.0250000000000004</v>
      </c>
      <c r="AR3288" s="46">
        <v>-29.2</v>
      </c>
      <c r="AS3288" s="46">
        <v>20</v>
      </c>
      <c r="AT3288" s="46">
        <v>10000</v>
      </c>
      <c r="AU3288" s="46">
        <v>49891</v>
      </c>
      <c r="AV3288" s="46">
        <v>4.9889999999999999</v>
      </c>
      <c r="AW3288" s="46">
        <v>18</v>
      </c>
      <c r="AX3288" s="46">
        <v>7300</v>
      </c>
      <c r="AY3288" s="46">
        <v>36518.690999999984</v>
      </c>
      <c r="AZ3288" s="46">
        <v>5.0030000000000001</v>
      </c>
      <c r="BA3288" s="46" t="s">
        <v>63</v>
      </c>
      <c r="BB3288" s="46">
        <v>2700</v>
      </c>
      <c r="BC3288" s="46">
        <v>13372.308999999999</v>
      </c>
      <c r="BD3288" s="46">
        <v>4.9530000000000003</v>
      </c>
      <c r="BE3288" s="46">
        <v>102.2</v>
      </c>
      <c r="BF3288" s="46">
        <v>4830.5999999999913</v>
      </c>
      <c r="BG3288" s="46">
        <v>4.83</v>
      </c>
      <c r="BH3288" s="46">
        <v>0</v>
      </c>
      <c r="BJ3288">
        <v>4830.5999999999985</v>
      </c>
      <c r="BK3288">
        <v>4.83</v>
      </c>
      <c r="BL3288">
        <v>-6.27</v>
      </c>
    </row>
    <row r="3289" spans="1:64" x14ac:dyDescent="0.25">
      <c r="A3289" s="136">
        <v>43558</v>
      </c>
      <c r="B3289" s="201" t="s">
        <v>124</v>
      </c>
      <c r="C3289" t="s">
        <v>125</v>
      </c>
      <c r="D3289">
        <v>100</v>
      </c>
      <c r="E3289">
        <v>100</v>
      </c>
      <c r="F3289">
        <v>-53.82</v>
      </c>
      <c r="G3289">
        <v>5952</v>
      </c>
      <c r="H3289">
        <v>0</v>
      </c>
      <c r="I3289" s="309">
        <v>570</v>
      </c>
      <c r="J3289">
        <v>5.7</v>
      </c>
      <c r="K3289" s="133">
        <v>1.0344667816473471E-3</v>
      </c>
      <c r="L3289" s="181">
        <v>4</v>
      </c>
      <c r="M3289" s="133">
        <v>0</v>
      </c>
      <c r="N3289" s="73">
        <v>5573.0690000000113</v>
      </c>
      <c r="O3289" s="73">
        <v>1102.4501845505636</v>
      </c>
      <c r="P3289" s="182">
        <v>0</v>
      </c>
      <c r="Q3289" s="182">
        <v>0</v>
      </c>
      <c r="R3289" s="46">
        <v>0</v>
      </c>
      <c r="S3289" s="46">
        <v>5</v>
      </c>
      <c r="T3289" s="46">
        <v>2300</v>
      </c>
      <c r="U3289" s="46">
        <v>4.99</v>
      </c>
      <c r="V3289" s="46" t="s">
        <v>68</v>
      </c>
      <c r="W3289" s="46">
        <v>2300</v>
      </c>
      <c r="X3289" s="46">
        <v>4.99</v>
      </c>
      <c r="AF3289" s="46">
        <v>50</v>
      </c>
      <c r="AG3289" s="46">
        <v>36700</v>
      </c>
      <c r="AH3289" s="46">
        <v>180101.02000000002</v>
      </c>
      <c r="AI3289" s="46">
        <v>4.907</v>
      </c>
      <c r="AJ3289" s="46">
        <v>58</v>
      </c>
      <c r="AK3289" s="46">
        <v>35300</v>
      </c>
      <c r="AL3289" s="46">
        <v>178266.546</v>
      </c>
      <c r="AM3289" s="46">
        <v>5.05</v>
      </c>
      <c r="AN3289" s="46" t="s">
        <v>63</v>
      </c>
      <c r="AO3289" s="46">
        <v>1400</v>
      </c>
      <c r="AP3289" s="46">
        <v>1834.4739999999999</v>
      </c>
      <c r="AQ3289" s="46">
        <v>1.31</v>
      </c>
      <c r="AR3289" s="46">
        <v>5047.8999999999996</v>
      </c>
      <c r="AS3289" s="46">
        <v>51</v>
      </c>
      <c r="AT3289" s="46">
        <v>37700</v>
      </c>
      <c r="AU3289" s="46">
        <v>185106.62</v>
      </c>
      <c r="AV3289" s="46">
        <v>4.91</v>
      </c>
      <c r="AW3289" s="46">
        <v>63</v>
      </c>
      <c r="AX3289" s="46">
        <v>37600</v>
      </c>
      <c r="AY3289" s="46">
        <v>189713.68900000001</v>
      </c>
      <c r="AZ3289" s="46">
        <v>5.0460000000000003</v>
      </c>
      <c r="BA3289" s="46" t="s">
        <v>63</v>
      </c>
      <c r="BB3289" s="46">
        <v>100</v>
      </c>
      <c r="BC3289" s="46">
        <v>4607.0690000000004</v>
      </c>
      <c r="BD3289" s="46">
        <v>46.070999999999998</v>
      </c>
      <c r="BE3289" s="46">
        <v>5113.6000000000004</v>
      </c>
      <c r="BF3289" s="46">
        <v>5005.5999999999767</v>
      </c>
      <c r="BH3289" s="46">
        <v>11447.143000000011</v>
      </c>
      <c r="BI3289">
        <v>4.9800000000000004</v>
      </c>
      <c r="BJ3289">
        <v>2772.5950000000003</v>
      </c>
      <c r="BK3289">
        <v>1.21</v>
      </c>
      <c r="BL3289">
        <v>885.6</v>
      </c>
    </row>
    <row r="3290" spans="1:64" x14ac:dyDescent="0.25">
      <c r="A3290" s="136">
        <v>43558</v>
      </c>
      <c r="B3290" s="201" t="s">
        <v>71</v>
      </c>
      <c r="C3290" t="s">
        <v>126</v>
      </c>
      <c r="D3290">
        <v>700</v>
      </c>
      <c r="E3290">
        <v>700</v>
      </c>
      <c r="F3290">
        <v>2.2519999999999998</v>
      </c>
      <c r="G3290">
        <v>2896.85</v>
      </c>
      <c r="H3290">
        <v>183.76</v>
      </c>
      <c r="I3290" s="309">
        <v>4473</v>
      </c>
      <c r="J3290">
        <v>6.39</v>
      </c>
      <c r="K3290" s="133">
        <v>8.1178419549273392E-3</v>
      </c>
      <c r="L3290" s="181">
        <v>21</v>
      </c>
      <c r="M3290" s="133">
        <v>2.8604821366552033E-3</v>
      </c>
      <c r="N3290" s="73">
        <v>-1586.2319999999945</v>
      </c>
      <c r="O3290" s="73">
        <v>453.09128174727073</v>
      </c>
      <c r="P3290" s="182">
        <v>0</v>
      </c>
      <c r="Q3290" s="182">
        <v>0</v>
      </c>
      <c r="R3290" s="46">
        <v>0</v>
      </c>
      <c r="S3290" s="46">
        <v>8</v>
      </c>
      <c r="T3290" s="46">
        <v>3100</v>
      </c>
      <c r="U3290" s="46">
        <v>6.4610000000000003</v>
      </c>
      <c r="V3290" s="46" t="s">
        <v>68</v>
      </c>
      <c r="W3290" s="46">
        <v>3100</v>
      </c>
      <c r="X3290" s="46">
        <v>6.4610000000000003</v>
      </c>
      <c r="AF3290" s="46">
        <v>51</v>
      </c>
      <c r="AG3290" s="46">
        <v>25600</v>
      </c>
      <c r="AH3290" s="46">
        <v>162451.32999999999</v>
      </c>
      <c r="AI3290" s="46">
        <v>6.3460000000000001</v>
      </c>
      <c r="AJ3290" s="46">
        <v>49</v>
      </c>
      <c r="AK3290" s="46">
        <v>21800</v>
      </c>
      <c r="AL3290" s="46">
        <v>140734.78599999999</v>
      </c>
      <c r="AM3290" s="46">
        <v>6.4560000000000004</v>
      </c>
      <c r="AN3290" s="46" t="s">
        <v>63</v>
      </c>
      <c r="AO3290" s="46">
        <v>3800</v>
      </c>
      <c r="AP3290" s="46">
        <v>21716.544000000002</v>
      </c>
      <c r="AQ3290" s="46">
        <v>5.7149999999999999</v>
      </c>
      <c r="AR3290" s="46">
        <v>2398</v>
      </c>
      <c r="AS3290" s="46">
        <v>51</v>
      </c>
      <c r="AT3290" s="46">
        <v>25600</v>
      </c>
      <c r="AU3290" s="46">
        <v>162451.32999999999</v>
      </c>
      <c r="AV3290" s="46">
        <v>6.3460000000000001</v>
      </c>
      <c r="AW3290" s="46">
        <v>57</v>
      </c>
      <c r="AX3290" s="46">
        <v>24900</v>
      </c>
      <c r="AY3290" s="46">
        <v>160708.89799999999</v>
      </c>
      <c r="AZ3290" s="46">
        <v>6.4539999999999997</v>
      </c>
      <c r="BA3290" s="46" t="s">
        <v>63</v>
      </c>
      <c r="BB3290" s="46">
        <v>700</v>
      </c>
      <c r="BC3290" s="46">
        <v>1742.432</v>
      </c>
      <c r="BD3290" s="46">
        <v>2.4889999999999999</v>
      </c>
      <c r="BE3290" s="46">
        <v>2689.2</v>
      </c>
      <c r="BF3290" s="46">
        <v>0</v>
      </c>
      <c r="BH3290" s="46">
        <v>19974.111999999994</v>
      </c>
      <c r="BI3290">
        <v>6.44</v>
      </c>
      <c r="BJ3290">
        <v>-19974.112000000001</v>
      </c>
      <c r="BK3290">
        <v>-6.44</v>
      </c>
      <c r="BL3290">
        <v>375.27</v>
      </c>
    </row>
    <row r="3291" spans="1:64" x14ac:dyDescent="0.25">
      <c r="A3291" s="136">
        <v>43558</v>
      </c>
      <c r="B3291" s="201" t="s">
        <v>79</v>
      </c>
      <c r="C3291" t="s">
        <v>143</v>
      </c>
      <c r="D3291">
        <v>8920</v>
      </c>
      <c r="E3291">
        <v>8920</v>
      </c>
      <c r="F3291">
        <v>10.87</v>
      </c>
      <c r="G3291">
        <v>-10880.64</v>
      </c>
      <c r="H3291">
        <v>-11.22</v>
      </c>
      <c r="I3291" s="309">
        <v>86078</v>
      </c>
      <c r="J3291">
        <v>9.65</v>
      </c>
      <c r="K3291" s="133">
        <v>0.1562190028607725</v>
      </c>
      <c r="L3291" s="181">
        <v>4778.1900000000005</v>
      </c>
      <c r="M3291" s="133">
        <v>0.17596577591877846</v>
      </c>
      <c r="N3291" s="73">
        <v>-10363.452000000238</v>
      </c>
      <c r="O3291" s="73">
        <v>-1066.7631590113529</v>
      </c>
      <c r="P3291" s="182">
        <v>8</v>
      </c>
      <c r="Q3291" s="182">
        <v>6420</v>
      </c>
      <c r="R3291" s="46">
        <v>5.5919999999999996</v>
      </c>
      <c r="S3291" s="46">
        <v>2</v>
      </c>
      <c r="T3291" s="46">
        <v>800</v>
      </c>
      <c r="U3291" s="46">
        <v>9.57</v>
      </c>
      <c r="V3291" s="46" t="s">
        <v>62</v>
      </c>
      <c r="W3291" s="46">
        <v>5620</v>
      </c>
      <c r="X3291" s="46">
        <v>5.0259999999999998</v>
      </c>
      <c r="AF3291" s="46">
        <v>32</v>
      </c>
      <c r="AG3291" s="46">
        <v>16500</v>
      </c>
      <c r="AH3291" s="46">
        <v>243089.89999999985</v>
      </c>
      <c r="AI3291" s="46">
        <v>14.733000000000001</v>
      </c>
      <c r="AJ3291" s="46">
        <v>33</v>
      </c>
      <c r="AK3291" s="46">
        <v>13200</v>
      </c>
      <c r="AL3291" s="46">
        <v>174419.23599999983</v>
      </c>
      <c r="AM3291" s="46">
        <v>13.214</v>
      </c>
      <c r="AN3291" s="46" t="s">
        <v>63</v>
      </c>
      <c r="AO3291" s="46">
        <v>3300</v>
      </c>
      <c r="AP3291" s="46">
        <v>68670.664000000004</v>
      </c>
      <c r="AQ3291" s="46">
        <v>20.809000000000001</v>
      </c>
      <c r="AR3291" s="46">
        <v>-20050.8</v>
      </c>
      <c r="AS3291" s="46">
        <v>40</v>
      </c>
      <c r="AT3291" s="46">
        <v>22920</v>
      </c>
      <c r="AU3291" s="46">
        <v>279033.75199999975</v>
      </c>
      <c r="AV3291" s="46">
        <v>12.173999999999999</v>
      </c>
      <c r="AW3291" s="46">
        <v>35</v>
      </c>
      <c r="AX3291" s="46">
        <v>14000</v>
      </c>
      <c r="AY3291" s="46">
        <v>182057.0999999998</v>
      </c>
      <c r="AZ3291" s="46">
        <v>13.004</v>
      </c>
      <c r="BA3291" s="46" t="s">
        <v>63</v>
      </c>
      <c r="BB3291" s="46">
        <v>8920</v>
      </c>
      <c r="BC3291" s="46">
        <v>96976.652000000002</v>
      </c>
      <c r="BD3291" s="46">
        <v>10.872</v>
      </c>
      <c r="BE3291" s="46">
        <v>11620</v>
      </c>
      <c r="BF3291" s="46">
        <v>35943.851999999897</v>
      </c>
      <c r="BG3291" s="46">
        <v>5.6</v>
      </c>
      <c r="BH3291" s="46">
        <v>7637.8639999999723</v>
      </c>
      <c r="BI3291">
        <v>9.5500000000000007</v>
      </c>
      <c r="BJ3291">
        <v>28305.987999999998</v>
      </c>
      <c r="BK3291">
        <v>5.04</v>
      </c>
      <c r="BL3291">
        <v>-2077.8000000000002</v>
      </c>
    </row>
    <row r="3292" spans="1:64" x14ac:dyDescent="0.25">
      <c r="A3292" s="136">
        <v>43558</v>
      </c>
      <c r="B3292" s="201" t="s">
        <v>65</v>
      </c>
      <c r="C3292" t="s">
        <v>127</v>
      </c>
      <c r="D3292">
        <v>21700</v>
      </c>
      <c r="E3292">
        <v>21700</v>
      </c>
      <c r="F3292">
        <v>8.891</v>
      </c>
      <c r="G3292">
        <v>1930.1</v>
      </c>
      <c r="H3292">
        <v>1</v>
      </c>
      <c r="I3292" s="309">
        <v>194866</v>
      </c>
      <c r="J3292">
        <v>8.98</v>
      </c>
      <c r="K3292" s="133">
        <v>0.35365334012717881</v>
      </c>
      <c r="L3292" s="181">
        <v>4557</v>
      </c>
      <c r="M3292" s="133">
        <v>0.35015049041620061</v>
      </c>
      <c r="N3292" s="73">
        <v>-3220.3250000000698</v>
      </c>
      <c r="O3292" s="73">
        <v>118.6462959451671</v>
      </c>
      <c r="P3292" s="182">
        <v>4</v>
      </c>
      <c r="Q3292" s="182">
        <v>2300</v>
      </c>
      <c r="R3292" s="46">
        <v>7.1660000000000004</v>
      </c>
      <c r="S3292" s="46">
        <v>6</v>
      </c>
      <c r="T3292" s="46">
        <v>2400</v>
      </c>
      <c r="U3292" s="46">
        <v>8.1129999999999995</v>
      </c>
      <c r="V3292" s="46" t="s">
        <v>68</v>
      </c>
      <c r="W3292" s="46">
        <v>100</v>
      </c>
      <c r="X3292" s="46">
        <v>29.893999999999998</v>
      </c>
      <c r="AF3292" s="46">
        <v>228</v>
      </c>
      <c r="AG3292" s="46">
        <v>122700</v>
      </c>
      <c r="AH3292" s="46">
        <v>1318809.6810000001</v>
      </c>
      <c r="AI3292" s="46">
        <v>10.747999999999999</v>
      </c>
      <c r="AJ3292" s="46">
        <v>257</v>
      </c>
      <c r="AK3292" s="46">
        <v>110100</v>
      </c>
      <c r="AL3292" s="46">
        <v>1118817.8259999999</v>
      </c>
      <c r="AM3292" s="46">
        <v>10.162000000000001</v>
      </c>
      <c r="AN3292" s="46" t="s">
        <v>63</v>
      </c>
      <c r="AO3292" s="46">
        <v>12600</v>
      </c>
      <c r="AP3292" s="46">
        <v>199991.85500000001</v>
      </c>
      <c r="AQ3292" s="46">
        <v>15.872</v>
      </c>
      <c r="AR3292" s="46">
        <v>-64518.6</v>
      </c>
      <c r="AS3292" s="46">
        <v>233</v>
      </c>
      <c r="AT3292" s="46">
        <v>125100</v>
      </c>
      <c r="AU3292" s="46">
        <v>1336599.6810000001</v>
      </c>
      <c r="AV3292" s="46">
        <v>10.683999999999999</v>
      </c>
      <c r="AW3292" s="46">
        <v>263</v>
      </c>
      <c r="AX3292" s="46">
        <v>112500</v>
      </c>
      <c r="AY3292" s="46">
        <v>1138240.3540000003</v>
      </c>
      <c r="AZ3292" s="46">
        <v>10.118</v>
      </c>
      <c r="BA3292" s="46" t="s">
        <v>63</v>
      </c>
      <c r="BB3292" s="46">
        <v>12600</v>
      </c>
      <c r="BC3292" s="46">
        <v>198359.32699999999</v>
      </c>
      <c r="BD3292" s="46">
        <v>15.743</v>
      </c>
      <c r="BE3292" s="46">
        <v>-63675</v>
      </c>
      <c r="BF3292" s="46">
        <v>17790</v>
      </c>
      <c r="BG3292" s="46">
        <v>7.73</v>
      </c>
      <c r="BH3292" s="46">
        <v>19422.528000000399</v>
      </c>
      <c r="BI3292">
        <v>8.09</v>
      </c>
      <c r="BJ3292">
        <v>-1632.5280000000203</v>
      </c>
      <c r="BK3292">
        <v>-16.329999999999998</v>
      </c>
      <c r="BL3292">
        <v>-7184.7</v>
      </c>
    </row>
    <row r="3293" spans="1:64" x14ac:dyDescent="0.25">
      <c r="A3293" s="136">
        <v>43558</v>
      </c>
      <c r="B3293" s="201" t="s">
        <v>77</v>
      </c>
      <c r="C3293" t="s">
        <v>150</v>
      </c>
      <c r="D3293">
        <v>5200</v>
      </c>
      <c r="E3293">
        <v>4700</v>
      </c>
      <c r="F3293">
        <v>5.5140000000000002</v>
      </c>
      <c r="G3293">
        <v>-2882.83</v>
      </c>
      <c r="H3293">
        <v>-10.050000000000001</v>
      </c>
      <c r="I3293" s="309">
        <v>25792</v>
      </c>
      <c r="J3293">
        <v>4.96</v>
      </c>
      <c r="K3293" s="133">
        <v>4.6808714442541005E-2</v>
      </c>
      <c r="L3293" s="181">
        <v>50</v>
      </c>
      <c r="M3293" s="133">
        <v>5.2040630007692622E-2</v>
      </c>
      <c r="N3293" s="73">
        <v>-3959.7740000000085</v>
      </c>
      <c r="O3293" s="73">
        <v>-712.99878618556886</v>
      </c>
      <c r="P3293" s="182">
        <v>6</v>
      </c>
      <c r="Q3293" s="182">
        <v>3000</v>
      </c>
      <c r="R3293" s="46">
        <v>4.6470000000000002</v>
      </c>
      <c r="S3293" s="46">
        <v>0</v>
      </c>
      <c r="T3293" s="46">
        <v>0</v>
      </c>
      <c r="U3293" s="46">
        <v>0</v>
      </c>
      <c r="V3293" s="46" t="s">
        <v>62</v>
      </c>
      <c r="W3293" s="46">
        <v>3000</v>
      </c>
      <c r="X3293" s="46">
        <v>4.6470000000000002</v>
      </c>
      <c r="AF3293" s="46">
        <v>48</v>
      </c>
      <c r="AG3293" s="46">
        <v>24000</v>
      </c>
      <c r="AH3293" s="46">
        <v>167379</v>
      </c>
      <c r="AI3293" s="46">
        <v>6.9740000000000002</v>
      </c>
      <c r="AJ3293" s="46">
        <v>48</v>
      </c>
      <c r="AK3293" s="46">
        <v>21800</v>
      </c>
      <c r="AL3293" s="46">
        <v>152381.22600000002</v>
      </c>
      <c r="AM3293" s="46">
        <v>6.99</v>
      </c>
      <c r="AN3293" s="46" t="s">
        <v>63</v>
      </c>
      <c r="AO3293" s="46">
        <v>2200</v>
      </c>
      <c r="AP3293" s="46">
        <v>14997.773999999999</v>
      </c>
      <c r="AQ3293" s="46">
        <v>6.8170000000000002</v>
      </c>
      <c r="AR3293" s="46">
        <v>348.8</v>
      </c>
      <c r="AS3293" s="46">
        <v>54</v>
      </c>
      <c r="AT3293" s="46">
        <v>27000</v>
      </c>
      <c r="AU3293" s="46">
        <v>181061</v>
      </c>
      <c r="AV3293" s="46">
        <v>6.7060000000000004</v>
      </c>
      <c r="AW3293" s="46">
        <v>48</v>
      </c>
      <c r="AX3293" s="46">
        <v>21800</v>
      </c>
      <c r="AY3293" s="46">
        <v>152381.22600000002</v>
      </c>
      <c r="AZ3293" s="46">
        <v>6.99</v>
      </c>
      <c r="BA3293" s="46" t="s">
        <v>63</v>
      </c>
      <c r="BB3293" s="46">
        <v>5200</v>
      </c>
      <c r="BC3293" s="46">
        <v>28679.774000000001</v>
      </c>
      <c r="BD3293" s="46">
        <v>5.5149999999999997</v>
      </c>
      <c r="BE3293" s="46">
        <v>6191.2</v>
      </c>
      <c r="BF3293" s="46">
        <v>13682</v>
      </c>
      <c r="BG3293" s="46">
        <v>4.5599999999999996</v>
      </c>
      <c r="BH3293" s="46">
        <v>0</v>
      </c>
      <c r="BJ3293">
        <v>13682.000000000002</v>
      </c>
      <c r="BK3293">
        <v>4.5599999999999996</v>
      </c>
      <c r="BL3293">
        <v>70.319999999999993</v>
      </c>
    </row>
    <row r="3294" spans="1:64" x14ac:dyDescent="0.25">
      <c r="A3294" s="136">
        <v>43558</v>
      </c>
      <c r="B3294" s="201" t="s">
        <v>67</v>
      </c>
      <c r="C3294" t="s">
        <v>129</v>
      </c>
      <c r="D3294">
        <v>230</v>
      </c>
      <c r="E3294">
        <v>230</v>
      </c>
      <c r="F3294">
        <v>-11.728999999999999</v>
      </c>
      <c r="G3294">
        <v>4549.17</v>
      </c>
      <c r="H3294">
        <v>0</v>
      </c>
      <c r="I3294" s="309">
        <v>1851.5</v>
      </c>
      <c r="J3294">
        <v>8.0500000000000007</v>
      </c>
      <c r="K3294" s="133">
        <v>3.3602021863509877E-3</v>
      </c>
      <c r="L3294" s="181">
        <v>36.800000000000182</v>
      </c>
      <c r="M3294" s="133">
        <v>0</v>
      </c>
      <c r="N3294" s="73">
        <v>4362.583499999957</v>
      </c>
      <c r="O3294" s="73">
        <v>600.60636477272476</v>
      </c>
      <c r="P3294" s="182">
        <v>1</v>
      </c>
      <c r="Q3294" s="182">
        <v>30</v>
      </c>
      <c r="R3294" s="46">
        <v>0</v>
      </c>
      <c r="S3294" s="46">
        <v>24</v>
      </c>
      <c r="T3294" s="46">
        <v>9600</v>
      </c>
      <c r="U3294" s="46">
        <v>8.9429999999999996</v>
      </c>
      <c r="V3294" s="46" t="s">
        <v>68</v>
      </c>
      <c r="W3294" s="46">
        <v>9570</v>
      </c>
      <c r="X3294" s="46">
        <v>8.9710000000000001</v>
      </c>
      <c r="AF3294" s="46">
        <v>193</v>
      </c>
      <c r="AG3294" s="46">
        <v>95500</v>
      </c>
      <c r="AH3294" s="46">
        <v>795318</v>
      </c>
      <c r="AI3294" s="46">
        <v>8.3279999999999994</v>
      </c>
      <c r="AJ3294" s="46">
        <v>197</v>
      </c>
      <c r="AK3294" s="46">
        <v>88300</v>
      </c>
      <c r="AL3294" s="46">
        <v>781491.25550000009</v>
      </c>
      <c r="AM3294" s="46">
        <v>8.85</v>
      </c>
      <c r="AN3294" s="46" t="s">
        <v>63</v>
      </c>
      <c r="AO3294" s="46">
        <v>7200</v>
      </c>
      <c r="AP3294" s="46">
        <v>13826.744000000001</v>
      </c>
      <c r="AQ3294" s="46">
        <v>1.92</v>
      </c>
      <c r="AR3294" s="46">
        <v>46092.6</v>
      </c>
      <c r="AS3294" s="46">
        <v>194</v>
      </c>
      <c r="AT3294" s="46">
        <v>95530</v>
      </c>
      <c r="AU3294" s="46">
        <v>795323</v>
      </c>
      <c r="AV3294" s="46">
        <v>8.3249999999999993</v>
      </c>
      <c r="AW3294" s="46">
        <v>221</v>
      </c>
      <c r="AX3294" s="46">
        <v>97900</v>
      </c>
      <c r="AY3294" s="46">
        <v>867143.89950000017</v>
      </c>
      <c r="AZ3294" s="46">
        <v>8.8569999999999993</v>
      </c>
      <c r="BA3294" s="46" t="s">
        <v>69</v>
      </c>
      <c r="BB3294" s="46">
        <v>2370</v>
      </c>
      <c r="BC3294" s="46">
        <v>71820.899999999994</v>
      </c>
      <c r="BD3294" s="46">
        <v>30.303999999999998</v>
      </c>
      <c r="BE3294" s="46">
        <v>50821.96</v>
      </c>
      <c r="BF3294" s="46">
        <v>5</v>
      </c>
      <c r="BG3294" s="46">
        <v>0.17</v>
      </c>
      <c r="BH3294" s="46">
        <v>85652.644000000088</v>
      </c>
      <c r="BI3294">
        <v>8.92</v>
      </c>
      <c r="BJ3294">
        <v>57994.155999999995</v>
      </c>
      <c r="BK3294">
        <v>6.06</v>
      </c>
      <c r="BL3294">
        <v>5725.79</v>
      </c>
    </row>
    <row r="3295" spans="1:64" x14ac:dyDescent="0.25">
      <c r="A3295" s="136">
        <v>43558</v>
      </c>
      <c r="B3295" s="201" t="s">
        <v>78</v>
      </c>
      <c r="C3295" t="s">
        <v>142</v>
      </c>
      <c r="D3295">
        <v>200</v>
      </c>
      <c r="E3295">
        <v>200</v>
      </c>
      <c r="F3295">
        <v>2.077</v>
      </c>
      <c r="G3295">
        <v>1822.65</v>
      </c>
      <c r="H3295">
        <v>438.77</v>
      </c>
      <c r="I3295" s="309">
        <v>2238</v>
      </c>
      <c r="J3295">
        <v>11.19</v>
      </c>
      <c r="K3295" s="133">
        <v>4.0616432584680041E-3</v>
      </c>
      <c r="L3295" s="181">
        <v>28</v>
      </c>
      <c r="M3295" s="133">
        <v>7.5379961010039553E-4</v>
      </c>
      <c r="N3295" s="73">
        <v>1454.650999999996</v>
      </c>
      <c r="O3295" s="73">
        <v>155.49985823529371</v>
      </c>
      <c r="P3295" s="182">
        <v>0</v>
      </c>
      <c r="Q3295" s="182">
        <v>0</v>
      </c>
      <c r="R3295" s="46">
        <v>0</v>
      </c>
      <c r="S3295" s="46">
        <v>3</v>
      </c>
      <c r="T3295" s="46">
        <v>1200</v>
      </c>
      <c r="U3295" s="46">
        <v>9.923</v>
      </c>
      <c r="V3295" s="46" t="s">
        <v>68</v>
      </c>
      <c r="W3295" s="46">
        <v>1200</v>
      </c>
      <c r="X3295" s="46">
        <v>9.923</v>
      </c>
      <c r="AF3295" s="46">
        <v>14</v>
      </c>
      <c r="AG3295" s="46">
        <v>7000</v>
      </c>
      <c r="AH3295" s="46">
        <v>67625</v>
      </c>
      <c r="AI3295" s="46">
        <v>9.6609999999999996</v>
      </c>
      <c r="AJ3295" s="46">
        <v>15</v>
      </c>
      <c r="AK3295" s="46">
        <v>5600</v>
      </c>
      <c r="AL3295" s="46">
        <v>55310.559000000008</v>
      </c>
      <c r="AM3295" s="46">
        <v>9.8770000000000007</v>
      </c>
      <c r="AN3295" s="46" t="s">
        <v>63</v>
      </c>
      <c r="AO3295" s="46">
        <v>1400</v>
      </c>
      <c r="AP3295" s="46">
        <v>12314.441000000001</v>
      </c>
      <c r="AQ3295" s="46">
        <v>8.7959999999999994</v>
      </c>
      <c r="AR3295" s="46">
        <v>1209.5999999999999</v>
      </c>
      <c r="AS3295" s="46">
        <v>14</v>
      </c>
      <c r="AT3295" s="46">
        <v>7000</v>
      </c>
      <c r="AU3295" s="46">
        <v>67625</v>
      </c>
      <c r="AV3295" s="46">
        <v>9.6609999999999996</v>
      </c>
      <c r="AW3295" s="46">
        <v>18</v>
      </c>
      <c r="AX3295" s="46">
        <v>6800</v>
      </c>
      <c r="AY3295" s="46">
        <v>67209.651000000013</v>
      </c>
      <c r="AZ3295" s="46">
        <v>9.8840000000000003</v>
      </c>
      <c r="BA3295" s="46" t="s">
        <v>63</v>
      </c>
      <c r="BB3295" s="46">
        <v>200</v>
      </c>
      <c r="BC3295" s="46">
        <v>415.34899999999999</v>
      </c>
      <c r="BD3295" s="46">
        <v>2.077</v>
      </c>
      <c r="BE3295" s="46">
        <v>1516.4</v>
      </c>
      <c r="BF3295" s="46">
        <v>0</v>
      </c>
      <c r="BH3295" s="46">
        <v>11899.092000000004</v>
      </c>
      <c r="BI3295">
        <v>9.92</v>
      </c>
      <c r="BJ3295">
        <v>-11899.092000000001</v>
      </c>
      <c r="BK3295">
        <v>-9.92</v>
      </c>
      <c r="BL3295">
        <v>108.1</v>
      </c>
    </row>
    <row r="3296" spans="1:64" x14ac:dyDescent="0.25">
      <c r="A3296" s="136">
        <v>43558</v>
      </c>
      <c r="B3296" s="201" t="s">
        <v>72</v>
      </c>
      <c r="C3296" t="s">
        <v>130</v>
      </c>
      <c r="D3296">
        <v>100</v>
      </c>
      <c r="E3296">
        <v>100</v>
      </c>
      <c r="F3296">
        <v>-18.477</v>
      </c>
      <c r="G3296">
        <v>2472.6999999999998</v>
      </c>
      <c r="H3296">
        <v>0</v>
      </c>
      <c r="I3296" s="309">
        <v>625</v>
      </c>
      <c r="J3296">
        <v>6.25</v>
      </c>
      <c r="K3296" s="133">
        <v>1.1342837518063015E-3</v>
      </c>
      <c r="L3296" s="181">
        <v>10</v>
      </c>
      <c r="M3296" s="133">
        <v>0</v>
      </c>
      <c r="N3296" s="73">
        <v>-1498.9659999999872</v>
      </c>
      <c r="O3296" s="73">
        <v>376.42007904191922</v>
      </c>
      <c r="P3296" s="182">
        <v>0</v>
      </c>
      <c r="Q3296" s="182">
        <v>0</v>
      </c>
      <c r="R3296" s="46">
        <v>0</v>
      </c>
      <c r="S3296" s="46">
        <v>20</v>
      </c>
      <c r="T3296" s="46">
        <v>8600</v>
      </c>
      <c r="U3296" s="46">
        <v>7.3840000000000003</v>
      </c>
      <c r="V3296" s="46" t="s">
        <v>68</v>
      </c>
      <c r="W3296" s="46">
        <v>8600</v>
      </c>
      <c r="X3296" s="46">
        <v>7.3840000000000003</v>
      </c>
      <c r="AF3296" s="46">
        <v>42</v>
      </c>
      <c r="AG3296" s="46">
        <v>20900</v>
      </c>
      <c r="AH3296" s="46">
        <v>152800</v>
      </c>
      <c r="AI3296" s="46">
        <v>7.3109999999999999</v>
      </c>
      <c r="AJ3296" s="46">
        <v>42</v>
      </c>
      <c r="AK3296" s="46">
        <v>18800</v>
      </c>
      <c r="AL3296" s="46">
        <v>92037.725000000035</v>
      </c>
      <c r="AM3296" s="46">
        <v>4.8959999999999999</v>
      </c>
      <c r="AN3296" s="46" t="s">
        <v>63</v>
      </c>
      <c r="AO3296" s="46">
        <v>2100</v>
      </c>
      <c r="AP3296" s="46">
        <v>60762.275000000001</v>
      </c>
      <c r="AQ3296" s="46">
        <v>28.934000000000001</v>
      </c>
      <c r="AR3296" s="46">
        <v>-45402</v>
      </c>
      <c r="AS3296" s="46">
        <v>42</v>
      </c>
      <c r="AT3296" s="46">
        <v>20900</v>
      </c>
      <c r="AU3296" s="46">
        <v>152800</v>
      </c>
      <c r="AV3296" s="46">
        <v>7.3109999999999999</v>
      </c>
      <c r="AW3296" s="46">
        <v>63</v>
      </c>
      <c r="AX3296" s="46">
        <v>27900</v>
      </c>
      <c r="AY3296" s="46">
        <v>155380.21900000001</v>
      </c>
      <c r="AZ3296" s="46">
        <v>5.569</v>
      </c>
      <c r="BA3296" s="46" t="s">
        <v>69</v>
      </c>
      <c r="BB3296" s="46">
        <v>7000</v>
      </c>
      <c r="BC3296" s="46">
        <v>2580.2190000000001</v>
      </c>
      <c r="BD3296" s="46">
        <v>0.36899999999999999</v>
      </c>
      <c r="BE3296" s="46">
        <v>-36407.800000000003</v>
      </c>
      <c r="BF3296" s="46">
        <v>0</v>
      </c>
      <c r="BH3296" s="46">
        <v>63342.493999999977</v>
      </c>
      <c r="BI3296">
        <v>7.37</v>
      </c>
      <c r="BJ3296">
        <v>-58182.056000000004</v>
      </c>
      <c r="BK3296">
        <v>-6.77</v>
      </c>
      <c r="BL3296">
        <v>-7264.32</v>
      </c>
    </row>
    <row r="3297" spans="1:64" x14ac:dyDescent="0.25">
      <c r="A3297" s="136">
        <v>43558</v>
      </c>
      <c r="B3297" s="201" t="s">
        <v>70</v>
      </c>
      <c r="C3297" t="s">
        <v>131</v>
      </c>
      <c r="D3297">
        <v>12300</v>
      </c>
      <c r="E3297">
        <v>12300</v>
      </c>
      <c r="F3297">
        <v>11.224</v>
      </c>
      <c r="G3297">
        <v>-27234.14</v>
      </c>
      <c r="H3297">
        <v>-19.73</v>
      </c>
      <c r="I3297" s="309">
        <v>110823</v>
      </c>
      <c r="J3297">
        <v>9.01</v>
      </c>
      <c r="K3297" s="133">
        <v>0.20112756516228761</v>
      </c>
      <c r="L3297" s="181">
        <v>5222.369999999999</v>
      </c>
      <c r="M3297" s="133">
        <v>0.25055355315655653</v>
      </c>
      <c r="N3297" s="73">
        <v>4514.9909999999945</v>
      </c>
      <c r="O3297" s="73">
        <v>-2920.2737523153287</v>
      </c>
      <c r="P3297" s="182">
        <v>0</v>
      </c>
      <c r="Q3297" s="182">
        <v>0</v>
      </c>
      <c r="R3297" s="46">
        <v>0</v>
      </c>
      <c r="S3297" s="46">
        <v>5</v>
      </c>
      <c r="T3297" s="46">
        <v>2000</v>
      </c>
      <c r="U3297" s="46">
        <v>8.3059999999999992</v>
      </c>
      <c r="V3297" s="46" t="s">
        <v>68</v>
      </c>
      <c r="W3297" s="46">
        <v>2000</v>
      </c>
      <c r="X3297" s="46">
        <v>8.3059999999999992</v>
      </c>
      <c r="AF3297" s="46">
        <v>156</v>
      </c>
      <c r="AG3297" s="46">
        <v>79600</v>
      </c>
      <c r="AH3297" s="46">
        <v>982918</v>
      </c>
      <c r="AI3297" s="46">
        <v>12.348000000000001</v>
      </c>
      <c r="AJ3297" s="46">
        <v>162</v>
      </c>
      <c r="AK3297" s="46">
        <v>65300</v>
      </c>
      <c r="AL3297" s="46">
        <v>827881.4789999997</v>
      </c>
      <c r="AM3297" s="46">
        <v>12.678000000000001</v>
      </c>
      <c r="AN3297" s="46" t="s">
        <v>63</v>
      </c>
      <c r="AO3297" s="46">
        <v>14300</v>
      </c>
      <c r="AP3297" s="46">
        <v>155036.52100000001</v>
      </c>
      <c r="AQ3297" s="46">
        <v>10.842000000000001</v>
      </c>
      <c r="AR3297" s="46">
        <v>21549</v>
      </c>
      <c r="AS3297" s="46">
        <v>156</v>
      </c>
      <c r="AT3297" s="46">
        <v>79600</v>
      </c>
      <c r="AU3297" s="46">
        <v>982918</v>
      </c>
      <c r="AV3297" s="46">
        <v>12.348000000000001</v>
      </c>
      <c r="AW3297" s="46">
        <v>168</v>
      </c>
      <c r="AX3297" s="46">
        <v>67300</v>
      </c>
      <c r="AY3297" s="46">
        <v>844856.86699999974</v>
      </c>
      <c r="AZ3297" s="46">
        <v>12.554</v>
      </c>
      <c r="BA3297" s="46" t="s">
        <v>63</v>
      </c>
      <c r="BB3297" s="46">
        <v>12300</v>
      </c>
      <c r="BC3297" s="46">
        <v>138061.133</v>
      </c>
      <c r="BD3297" s="46">
        <v>11.224</v>
      </c>
      <c r="BE3297" s="46">
        <v>13863.8</v>
      </c>
      <c r="BF3297" s="46">
        <v>0</v>
      </c>
      <c r="BH3297" s="46">
        <v>16975.388000000035</v>
      </c>
      <c r="BI3297">
        <v>8.49</v>
      </c>
      <c r="BJ3297">
        <v>-16975.388000000006</v>
      </c>
      <c r="BK3297">
        <v>-8.49</v>
      </c>
      <c r="BL3297">
        <v>2391.6799999999998</v>
      </c>
    </row>
    <row r="3298" spans="1:64" x14ac:dyDescent="0.25">
      <c r="A3298" s="136">
        <v>43558</v>
      </c>
      <c r="B3298" s="201" t="s">
        <v>628</v>
      </c>
      <c r="C3298" t="s">
        <v>629</v>
      </c>
      <c r="D3298">
        <v>100</v>
      </c>
      <c r="E3298">
        <v>100</v>
      </c>
      <c r="F3298">
        <v>-22.33</v>
      </c>
      <c r="G3298">
        <v>3756</v>
      </c>
      <c r="H3298">
        <v>0</v>
      </c>
      <c r="I3298" s="309">
        <v>1523</v>
      </c>
      <c r="J3298">
        <v>15.23</v>
      </c>
      <c r="K3298" s="133">
        <v>2.7640226464015955E-3</v>
      </c>
      <c r="L3298" s="181">
        <v>32</v>
      </c>
      <c r="M3298" s="133">
        <v>0</v>
      </c>
    </row>
    <row r="3299" spans="1:64" x14ac:dyDescent="0.25">
      <c r="A3299" s="136">
        <v>43558</v>
      </c>
      <c r="B3299" s="201" t="s">
        <v>630</v>
      </c>
      <c r="C3299" t="s">
        <v>631</v>
      </c>
      <c r="D3299">
        <v>100</v>
      </c>
      <c r="E3299">
        <v>100</v>
      </c>
      <c r="F3299">
        <v>-94.45</v>
      </c>
      <c r="G3299">
        <v>12814</v>
      </c>
      <c r="H3299">
        <v>0</v>
      </c>
      <c r="I3299" s="309">
        <v>3369</v>
      </c>
      <c r="J3299">
        <v>33.69</v>
      </c>
      <c r="K3299" s="133">
        <v>6.1142431357366876E-3</v>
      </c>
      <c r="L3299" s="181">
        <v>-101</v>
      </c>
      <c r="M3299" s="133">
        <v>0</v>
      </c>
    </row>
    <row r="3300" spans="1:64" x14ac:dyDescent="0.25">
      <c r="A3300" s="136">
        <v>43558</v>
      </c>
      <c r="B3300" s="201" t="s">
        <v>137</v>
      </c>
      <c r="C3300" t="s">
        <v>149</v>
      </c>
      <c r="D3300">
        <v>100</v>
      </c>
      <c r="E3300">
        <v>100</v>
      </c>
      <c r="F3300">
        <v>-130.86000000000001</v>
      </c>
      <c r="G3300">
        <v>16975</v>
      </c>
      <c r="H3300">
        <v>0</v>
      </c>
      <c r="I3300" s="309">
        <v>3889</v>
      </c>
      <c r="J3300">
        <v>38.89</v>
      </c>
      <c r="K3300" s="133">
        <v>7.0579672172395302E-3</v>
      </c>
      <c r="L3300" s="181">
        <v>26</v>
      </c>
      <c r="M3300" s="133">
        <v>0</v>
      </c>
    </row>
    <row r="3301" spans="1:64" x14ac:dyDescent="0.25">
      <c r="A3301" s="136">
        <v>43558</v>
      </c>
      <c r="B3301" s="201" t="s">
        <v>835</v>
      </c>
      <c r="C3301" t="s">
        <v>839</v>
      </c>
      <c r="I3301" s="309">
        <v>2329.0100000000002</v>
      </c>
      <c r="K3301" s="133">
        <v>4.2268131212710308E-3</v>
      </c>
      <c r="L3301" s="181">
        <v>0</v>
      </c>
      <c r="M3301" s="133">
        <v>0.18571221341027927</v>
      </c>
    </row>
    <row r="3302" spans="1:64" x14ac:dyDescent="0.25">
      <c r="A3302" s="136">
        <v>43559</v>
      </c>
      <c r="B3302" s="201" t="s">
        <v>132</v>
      </c>
      <c r="C3302" t="s">
        <v>123</v>
      </c>
      <c r="D3302">
        <v>10000465</v>
      </c>
      <c r="E3302">
        <v>10000465</v>
      </c>
      <c r="F3302">
        <v>0.01</v>
      </c>
      <c r="G3302">
        <v>3849.5</v>
      </c>
      <c r="H3302">
        <v>0</v>
      </c>
      <c r="I3302" s="309">
        <v>100004.65</v>
      </c>
      <c r="J3302">
        <v>0.01</v>
      </c>
      <c r="K3302" s="133">
        <v>0.18158634150713501</v>
      </c>
      <c r="L3302" s="181">
        <v>4.6500000000000909</v>
      </c>
      <c r="M3302" s="133">
        <v>0</v>
      </c>
    </row>
    <row r="3303" spans="1:64" x14ac:dyDescent="0.25">
      <c r="A3303" s="136">
        <v>43559</v>
      </c>
      <c r="B3303" s="201" t="s">
        <v>61</v>
      </c>
      <c r="C3303" t="s">
        <v>136</v>
      </c>
      <c r="D3303">
        <v>2300</v>
      </c>
      <c r="E3303">
        <v>2300</v>
      </c>
      <c r="F3303">
        <v>4.992</v>
      </c>
      <c r="G3303">
        <v>-693.52</v>
      </c>
      <c r="H3303">
        <v>-6.04</v>
      </c>
      <c r="I3303" s="309">
        <v>10787</v>
      </c>
      <c r="J3303">
        <v>4.6900000000000004</v>
      </c>
      <c r="K3303" s="133">
        <v>1.9586807871808616E-2</v>
      </c>
      <c r="L3303" s="181">
        <v>94.060000000000059</v>
      </c>
      <c r="M3303" s="133">
        <v>2.084608691095358E-2</v>
      </c>
      <c r="N3303" s="73">
        <v>-581.44500000000517</v>
      </c>
      <c r="O3303" s="73">
        <v>-122.60638765822894</v>
      </c>
      <c r="P3303" s="182">
        <v>2</v>
      </c>
      <c r="Q3303" s="182">
        <v>1000</v>
      </c>
      <c r="R3303" s="46">
        <v>4.82</v>
      </c>
      <c r="S3303" s="46">
        <v>1</v>
      </c>
      <c r="T3303" s="46">
        <v>400</v>
      </c>
      <c r="U3303" s="46">
        <v>4.74</v>
      </c>
      <c r="V3303" s="46" t="s">
        <v>62</v>
      </c>
      <c r="W3303" s="46">
        <v>600</v>
      </c>
      <c r="X3303" s="46">
        <v>4.8730000000000002</v>
      </c>
      <c r="AF3303" s="46">
        <v>18</v>
      </c>
      <c r="AG3303" s="46">
        <v>9000</v>
      </c>
      <c r="AH3303" s="46">
        <v>45060.400000000009</v>
      </c>
      <c r="AI3303" s="46">
        <v>5.0069999999999997</v>
      </c>
      <c r="AJ3303" s="46">
        <v>18</v>
      </c>
      <c r="AK3303" s="46">
        <v>7300</v>
      </c>
      <c r="AL3303" s="46">
        <v>36518.690999999984</v>
      </c>
      <c r="AM3303" s="46">
        <v>5.0030000000000001</v>
      </c>
      <c r="AN3303" s="46" t="s">
        <v>63</v>
      </c>
      <c r="AO3303" s="46">
        <v>1700</v>
      </c>
      <c r="AP3303" s="46">
        <v>8541.7090000000007</v>
      </c>
      <c r="AQ3303" s="46">
        <v>5.0250000000000004</v>
      </c>
      <c r="AR3303" s="46">
        <v>-29.2</v>
      </c>
      <c r="AS3303" s="46">
        <v>20</v>
      </c>
      <c r="AT3303" s="46">
        <v>10000</v>
      </c>
      <c r="AU3303" s="46">
        <v>49891</v>
      </c>
      <c r="AV3303" s="46">
        <v>4.9889999999999999</v>
      </c>
      <c r="AW3303" s="46">
        <v>19</v>
      </c>
      <c r="AX3303" s="46">
        <v>7700</v>
      </c>
      <c r="AY3303" s="46">
        <v>38407.554999999986</v>
      </c>
      <c r="AZ3303" s="46">
        <v>4.9880000000000004</v>
      </c>
      <c r="BA3303" s="46" t="s">
        <v>63</v>
      </c>
      <c r="BB3303" s="46">
        <v>2300</v>
      </c>
      <c r="BC3303" s="46">
        <v>11483.445</v>
      </c>
      <c r="BD3303" s="46">
        <v>4.9930000000000003</v>
      </c>
      <c r="BE3303" s="46">
        <v>-7.7</v>
      </c>
      <c r="BF3303" s="46">
        <v>4830.5999999999913</v>
      </c>
      <c r="BG3303" s="46">
        <v>4.83</v>
      </c>
      <c r="BH3303" s="46">
        <v>1888.8640000000014</v>
      </c>
      <c r="BI3303">
        <v>4.72</v>
      </c>
      <c r="BJ3303">
        <v>2941.735999999999</v>
      </c>
      <c r="BK3303">
        <v>4.9000000000000004</v>
      </c>
      <c r="BL3303">
        <v>-6.23</v>
      </c>
    </row>
    <row r="3304" spans="1:64" x14ac:dyDescent="0.25">
      <c r="A3304" s="136">
        <v>43559</v>
      </c>
      <c r="B3304" s="201" t="s">
        <v>124</v>
      </c>
      <c r="C3304" t="s">
        <v>125</v>
      </c>
      <c r="D3304">
        <v>100</v>
      </c>
      <c r="E3304">
        <v>100</v>
      </c>
      <c r="F3304">
        <v>-53.82</v>
      </c>
      <c r="G3304">
        <v>5963</v>
      </c>
      <c r="H3304">
        <v>0</v>
      </c>
      <c r="I3304" s="309">
        <v>581</v>
      </c>
      <c r="J3304">
        <v>5.81</v>
      </c>
      <c r="K3304" s="133">
        <v>1.0549675881636048E-3</v>
      </c>
      <c r="L3304" s="181">
        <v>11</v>
      </c>
      <c r="M3304" s="133">
        <v>0</v>
      </c>
      <c r="N3304" s="73">
        <v>5573.0690000000113</v>
      </c>
      <c r="O3304" s="73">
        <v>1102.4501845505636</v>
      </c>
      <c r="P3304" s="182">
        <v>0</v>
      </c>
      <c r="Q3304" s="182">
        <v>0</v>
      </c>
      <c r="R3304" s="46">
        <v>0</v>
      </c>
      <c r="S3304" s="46">
        <v>5</v>
      </c>
      <c r="T3304" s="46">
        <v>2300</v>
      </c>
      <c r="U3304" s="46">
        <v>4.99</v>
      </c>
      <c r="V3304" s="46" t="s">
        <v>68</v>
      </c>
      <c r="W3304" s="46">
        <v>2300</v>
      </c>
      <c r="X3304" s="46">
        <v>4.99</v>
      </c>
      <c r="AF3304" s="46">
        <v>50</v>
      </c>
      <c r="AG3304" s="46">
        <v>36700</v>
      </c>
      <c r="AH3304" s="46">
        <v>180101.02000000002</v>
      </c>
      <c r="AI3304" s="46">
        <v>4.907</v>
      </c>
      <c r="AJ3304" s="46">
        <v>58</v>
      </c>
      <c r="AK3304" s="46">
        <v>35300</v>
      </c>
      <c r="AL3304" s="46">
        <v>178266.546</v>
      </c>
      <c r="AM3304" s="46">
        <v>5.05</v>
      </c>
      <c r="AN3304" s="46" t="s">
        <v>63</v>
      </c>
      <c r="AO3304" s="46">
        <v>1400</v>
      </c>
      <c r="AP3304" s="46">
        <v>1834.4739999999999</v>
      </c>
      <c r="AQ3304" s="46">
        <v>1.31</v>
      </c>
      <c r="AR3304" s="46">
        <v>5047.8999999999996</v>
      </c>
      <c r="AS3304" s="46">
        <v>51</v>
      </c>
      <c r="AT3304" s="46">
        <v>37700</v>
      </c>
      <c r="AU3304" s="46">
        <v>185106.62</v>
      </c>
      <c r="AV3304" s="46">
        <v>4.91</v>
      </c>
      <c r="AW3304" s="46">
        <v>63</v>
      </c>
      <c r="AX3304" s="46">
        <v>37600</v>
      </c>
      <c r="AY3304" s="46">
        <v>189713.68900000001</v>
      </c>
      <c r="AZ3304" s="46">
        <v>5.0460000000000003</v>
      </c>
      <c r="BA3304" s="46" t="s">
        <v>63</v>
      </c>
      <c r="BB3304" s="46">
        <v>100</v>
      </c>
      <c r="BC3304" s="46">
        <v>4607.0690000000004</v>
      </c>
      <c r="BD3304" s="46">
        <v>46.070999999999998</v>
      </c>
      <c r="BE3304" s="46">
        <v>5113.6000000000004</v>
      </c>
      <c r="BF3304" s="46">
        <v>5005.5999999999767</v>
      </c>
      <c r="BH3304" s="46">
        <v>11447.143000000011</v>
      </c>
      <c r="BI3304">
        <v>4.9800000000000004</v>
      </c>
      <c r="BJ3304">
        <v>2772.5950000000003</v>
      </c>
      <c r="BK3304">
        <v>1.21</v>
      </c>
      <c r="BL3304">
        <v>868.83</v>
      </c>
    </row>
    <row r="3305" spans="1:64" x14ac:dyDescent="0.25">
      <c r="A3305" s="136">
        <v>43559</v>
      </c>
      <c r="B3305" s="201" t="s">
        <v>71</v>
      </c>
      <c r="C3305" t="s">
        <v>126</v>
      </c>
      <c r="D3305">
        <v>700</v>
      </c>
      <c r="E3305">
        <v>300</v>
      </c>
      <c r="F3305">
        <v>2.2519999999999998</v>
      </c>
      <c r="G3305">
        <v>2973.85</v>
      </c>
      <c r="H3305">
        <v>188.65</v>
      </c>
      <c r="I3305" s="309">
        <v>4550</v>
      </c>
      <c r="J3305">
        <v>6.5</v>
      </c>
      <c r="K3305" s="133">
        <v>8.2617943651366651E-3</v>
      </c>
      <c r="L3305" s="181">
        <v>77</v>
      </c>
      <c r="M3305" s="133">
        <v>2.8619400414527812E-3</v>
      </c>
      <c r="N3305" s="73">
        <v>3002.904000000005</v>
      </c>
      <c r="O3305" s="73">
        <v>453.09128174727073</v>
      </c>
      <c r="P3305" s="182">
        <v>0</v>
      </c>
      <c r="Q3305" s="182">
        <v>0</v>
      </c>
      <c r="R3305" s="46">
        <v>0</v>
      </c>
      <c r="S3305" s="46">
        <v>8</v>
      </c>
      <c r="T3305" s="46">
        <v>3100</v>
      </c>
      <c r="U3305" s="46">
        <v>6.4610000000000003</v>
      </c>
      <c r="V3305" s="46" t="s">
        <v>68</v>
      </c>
      <c r="W3305" s="46">
        <v>3100</v>
      </c>
      <c r="X3305" s="46">
        <v>6.4610000000000003</v>
      </c>
      <c r="AF3305" s="46">
        <v>51</v>
      </c>
      <c r="AG3305" s="46">
        <v>25600</v>
      </c>
      <c r="AH3305" s="46">
        <v>162451.32999999999</v>
      </c>
      <c r="AI3305" s="46">
        <v>6.3460000000000001</v>
      </c>
      <c r="AJ3305" s="46">
        <v>49</v>
      </c>
      <c r="AK3305" s="46">
        <v>21800</v>
      </c>
      <c r="AL3305" s="46">
        <v>140734.78599999999</v>
      </c>
      <c r="AM3305" s="46">
        <v>6.4560000000000004</v>
      </c>
      <c r="AN3305" s="46" t="s">
        <v>63</v>
      </c>
      <c r="AO3305" s="46">
        <v>3800</v>
      </c>
      <c r="AP3305" s="46">
        <v>21716.544000000002</v>
      </c>
      <c r="AQ3305" s="46">
        <v>5.7149999999999999</v>
      </c>
      <c r="AR3305" s="46">
        <v>2398</v>
      </c>
      <c r="AS3305" s="46">
        <v>51</v>
      </c>
      <c r="AT3305" s="46">
        <v>25600</v>
      </c>
      <c r="AU3305" s="46">
        <v>162451.32999999999</v>
      </c>
      <c r="AV3305" s="46">
        <v>6.3460000000000001</v>
      </c>
      <c r="AW3305" s="46">
        <v>57</v>
      </c>
      <c r="AX3305" s="46">
        <v>24900</v>
      </c>
      <c r="AY3305" s="46">
        <v>160708.89799999999</v>
      </c>
      <c r="AZ3305" s="46">
        <v>6.4539999999999997</v>
      </c>
      <c r="BA3305" s="46" t="s">
        <v>63</v>
      </c>
      <c r="BB3305" s="46">
        <v>700</v>
      </c>
      <c r="BC3305" s="46">
        <v>1742.432</v>
      </c>
      <c r="BD3305" s="46">
        <v>2.4889999999999999</v>
      </c>
      <c r="BE3305" s="46">
        <v>2689.2</v>
      </c>
      <c r="BF3305" s="46">
        <v>0</v>
      </c>
      <c r="BH3305" s="46">
        <v>19974.111999999994</v>
      </c>
      <c r="BI3305">
        <v>6.44</v>
      </c>
      <c r="BJ3305">
        <v>-19974.112000000001</v>
      </c>
      <c r="BK3305">
        <v>-6.44</v>
      </c>
      <c r="BL3305">
        <v>368.92</v>
      </c>
    </row>
    <row r="3306" spans="1:64" x14ac:dyDescent="0.25">
      <c r="A3306" s="136">
        <v>43559</v>
      </c>
      <c r="B3306" s="201" t="s">
        <v>79</v>
      </c>
      <c r="C3306" t="s">
        <v>143</v>
      </c>
      <c r="D3306">
        <v>9420</v>
      </c>
      <c r="E3306">
        <v>8920</v>
      </c>
      <c r="F3306">
        <v>10.795999999999999</v>
      </c>
      <c r="G3306">
        <v>-13339.13</v>
      </c>
      <c r="H3306">
        <v>-13.12</v>
      </c>
      <c r="I3306" s="309">
        <v>88359.6</v>
      </c>
      <c r="J3306">
        <v>9.3800000000000008</v>
      </c>
      <c r="K3306" s="133">
        <v>0.16044150448038016</v>
      </c>
      <c r="L3306" s="181">
        <v>-2458.4899999999998</v>
      </c>
      <c r="M3306" s="133">
        <v>0.18466241636385827</v>
      </c>
      <c r="N3306" s="73">
        <v>-12509.552000000243</v>
      </c>
      <c r="O3306" s="73">
        <v>-1320.3059370644396</v>
      </c>
      <c r="P3306" s="182">
        <v>8</v>
      </c>
      <c r="Q3306" s="182">
        <v>6420</v>
      </c>
      <c r="R3306" s="46">
        <v>5.2690000000000001</v>
      </c>
      <c r="S3306" s="46">
        <v>1</v>
      </c>
      <c r="T3306" s="46">
        <v>400</v>
      </c>
      <c r="U3306" s="46">
        <v>9.43</v>
      </c>
      <c r="V3306" s="46" t="s">
        <v>62</v>
      </c>
      <c r="W3306" s="46">
        <v>6020</v>
      </c>
      <c r="X3306" s="46">
        <v>4.9930000000000003</v>
      </c>
      <c r="AF3306" s="46">
        <v>33</v>
      </c>
      <c r="AG3306" s="46">
        <v>17000</v>
      </c>
      <c r="AH3306" s="46">
        <v>249900.19999999984</v>
      </c>
      <c r="AI3306" s="46">
        <v>14.7</v>
      </c>
      <c r="AJ3306" s="46">
        <v>34</v>
      </c>
      <c r="AK3306" s="46">
        <v>13600</v>
      </c>
      <c r="AL3306" s="46">
        <v>178294.11199999982</v>
      </c>
      <c r="AM3306" s="46">
        <v>13.11</v>
      </c>
      <c r="AN3306" s="46" t="s">
        <v>63</v>
      </c>
      <c r="AO3306" s="46">
        <v>3400</v>
      </c>
      <c r="AP3306" s="46">
        <v>71606.088000000003</v>
      </c>
      <c r="AQ3306" s="46">
        <v>21.061</v>
      </c>
      <c r="AR3306" s="46">
        <v>-21624</v>
      </c>
      <c r="AS3306" s="46">
        <v>41</v>
      </c>
      <c r="AT3306" s="46">
        <v>23420</v>
      </c>
      <c r="AU3306" s="46">
        <v>283774.05199999973</v>
      </c>
      <c r="AV3306" s="46">
        <v>12.117000000000001</v>
      </c>
      <c r="AW3306" s="46">
        <v>35</v>
      </c>
      <c r="AX3306" s="46">
        <v>14000</v>
      </c>
      <c r="AY3306" s="46">
        <v>182057.0999999998</v>
      </c>
      <c r="AZ3306" s="46">
        <v>13.004</v>
      </c>
      <c r="BA3306" s="46" t="s">
        <v>63</v>
      </c>
      <c r="BB3306" s="46">
        <v>9420</v>
      </c>
      <c r="BC3306" s="46">
        <v>101716.952</v>
      </c>
      <c r="BD3306" s="46">
        <v>10.798</v>
      </c>
      <c r="BE3306" s="46">
        <v>12418</v>
      </c>
      <c r="BF3306" s="46">
        <v>33873.851999999897</v>
      </c>
      <c r="BG3306" s="46">
        <v>5.28</v>
      </c>
      <c r="BH3306" s="46">
        <v>3762.987999999983</v>
      </c>
      <c r="BI3306">
        <v>9.41</v>
      </c>
      <c r="BJ3306">
        <v>30110.864000000001</v>
      </c>
      <c r="BK3306">
        <v>5</v>
      </c>
      <c r="BL3306">
        <v>-2305.33</v>
      </c>
    </row>
    <row r="3307" spans="1:64" x14ac:dyDescent="0.25">
      <c r="A3307" s="136">
        <v>43559</v>
      </c>
      <c r="B3307" s="201" t="s">
        <v>65</v>
      </c>
      <c r="C3307" t="s">
        <v>127</v>
      </c>
      <c r="D3307">
        <v>20900</v>
      </c>
      <c r="E3307">
        <v>20900</v>
      </c>
      <c r="F3307">
        <v>8.8849999999999998</v>
      </c>
      <c r="G3307">
        <v>5537.84</v>
      </c>
      <c r="H3307">
        <v>2.98</v>
      </c>
      <c r="I3307" s="309">
        <v>191235</v>
      </c>
      <c r="J3307">
        <v>9.15</v>
      </c>
      <c r="K3307" s="133">
        <v>0.347240493498222</v>
      </c>
      <c r="L3307" s="181">
        <v>3607.7400000000002</v>
      </c>
      <c r="M3307" s="133">
        <v>0.33718500002414981</v>
      </c>
      <c r="N3307" s="73">
        <v>210.4189999999071</v>
      </c>
      <c r="O3307" s="73">
        <v>493.37653997250237</v>
      </c>
      <c r="P3307" s="182">
        <v>4</v>
      </c>
      <c r="Q3307" s="182">
        <v>2300</v>
      </c>
      <c r="R3307" s="46">
        <v>7.1660000000000004</v>
      </c>
      <c r="S3307" s="46">
        <v>8</v>
      </c>
      <c r="T3307" s="46">
        <v>3200</v>
      </c>
      <c r="U3307" s="46">
        <v>8.3529999999999998</v>
      </c>
      <c r="V3307" s="46" t="s">
        <v>68</v>
      </c>
      <c r="W3307" s="46">
        <v>900</v>
      </c>
      <c r="X3307" s="46">
        <v>11.385999999999999</v>
      </c>
      <c r="AF3307" s="46">
        <v>228</v>
      </c>
      <c r="AG3307" s="46">
        <v>122700</v>
      </c>
      <c r="AH3307" s="46">
        <v>1318809.6810000001</v>
      </c>
      <c r="AI3307" s="46">
        <v>10.747999999999999</v>
      </c>
      <c r="AJ3307" s="46">
        <v>257</v>
      </c>
      <c r="AK3307" s="46">
        <v>110100</v>
      </c>
      <c r="AL3307" s="46">
        <v>1118817.8259999999</v>
      </c>
      <c r="AM3307" s="46">
        <v>10.162000000000001</v>
      </c>
      <c r="AN3307" s="46" t="s">
        <v>63</v>
      </c>
      <c r="AO3307" s="46">
        <v>12600</v>
      </c>
      <c r="AP3307" s="46">
        <v>199991.85500000001</v>
      </c>
      <c r="AQ3307" s="46">
        <v>15.872</v>
      </c>
      <c r="AR3307" s="46">
        <v>-64518.6</v>
      </c>
      <c r="AS3307" s="46">
        <v>233</v>
      </c>
      <c r="AT3307" s="46">
        <v>125100</v>
      </c>
      <c r="AU3307" s="46">
        <v>1336599.6810000001</v>
      </c>
      <c r="AV3307" s="46">
        <v>10.683999999999999</v>
      </c>
      <c r="AW3307" s="46">
        <v>265</v>
      </c>
      <c r="AX3307" s="46">
        <v>113300</v>
      </c>
      <c r="AY3307" s="46">
        <v>1145479.0980000002</v>
      </c>
      <c r="AZ3307" s="46">
        <v>10.11</v>
      </c>
      <c r="BA3307" s="46" t="s">
        <v>63</v>
      </c>
      <c r="BB3307" s="46">
        <v>11800</v>
      </c>
      <c r="BC3307" s="46">
        <v>191120.58300000001</v>
      </c>
      <c r="BD3307" s="46">
        <v>16.196999999999999</v>
      </c>
      <c r="BE3307" s="46">
        <v>-65034.2</v>
      </c>
      <c r="BF3307" s="46">
        <v>17790</v>
      </c>
      <c r="BG3307" s="46">
        <v>7.73</v>
      </c>
      <c r="BH3307" s="46">
        <v>26661.272000000346</v>
      </c>
      <c r="BI3307">
        <v>8.33</v>
      </c>
      <c r="BJ3307">
        <v>-8871.2719999999972</v>
      </c>
      <c r="BK3307">
        <v>-9.86</v>
      </c>
      <c r="BL3307">
        <v>-7051.21</v>
      </c>
    </row>
    <row r="3308" spans="1:64" x14ac:dyDescent="0.25">
      <c r="A3308" s="136">
        <v>43559</v>
      </c>
      <c r="B3308" s="201" t="s">
        <v>77</v>
      </c>
      <c r="C3308" t="s">
        <v>150</v>
      </c>
      <c r="D3308">
        <v>4800</v>
      </c>
      <c r="E3308">
        <v>4800</v>
      </c>
      <c r="F3308">
        <v>5.548</v>
      </c>
      <c r="G3308">
        <v>-2773.88</v>
      </c>
      <c r="H3308">
        <v>-10.42</v>
      </c>
      <c r="I3308" s="309">
        <v>23856</v>
      </c>
      <c r="J3308">
        <v>4.97</v>
      </c>
      <c r="K3308" s="133">
        <v>4.3317223379055005E-2</v>
      </c>
      <c r="L3308" s="181">
        <v>108.94999999999982</v>
      </c>
      <c r="M3308" s="133">
        <v>4.8353976379838591E-2</v>
      </c>
      <c r="N3308" s="73">
        <v>-2510.8260000000046</v>
      </c>
      <c r="O3308" s="73">
        <v>-391.77789220272996</v>
      </c>
      <c r="P3308" s="182">
        <v>5</v>
      </c>
      <c r="Q3308" s="182">
        <v>2500</v>
      </c>
      <c r="R3308" s="46">
        <v>4.2619999999999996</v>
      </c>
      <c r="S3308" s="46">
        <v>0</v>
      </c>
      <c r="T3308" s="46">
        <v>0</v>
      </c>
      <c r="U3308" s="46">
        <v>0</v>
      </c>
      <c r="V3308" s="46" t="s">
        <v>62</v>
      </c>
      <c r="W3308" s="46">
        <v>2500</v>
      </c>
      <c r="X3308" s="46">
        <v>4.2619999999999996</v>
      </c>
      <c r="AF3308" s="46">
        <v>49</v>
      </c>
      <c r="AG3308" s="46">
        <v>24500</v>
      </c>
      <c r="AH3308" s="46">
        <v>170669</v>
      </c>
      <c r="AI3308" s="46">
        <v>6.9660000000000002</v>
      </c>
      <c r="AJ3308" s="46">
        <v>49</v>
      </c>
      <c r="AK3308" s="46">
        <v>22200</v>
      </c>
      <c r="AL3308" s="46">
        <v>154426.17400000003</v>
      </c>
      <c r="AM3308" s="46">
        <v>6.9560000000000004</v>
      </c>
      <c r="AN3308" s="46" t="s">
        <v>63</v>
      </c>
      <c r="AO3308" s="46">
        <v>2300</v>
      </c>
      <c r="AP3308" s="46">
        <v>16242.825999999999</v>
      </c>
      <c r="AQ3308" s="46">
        <v>7.0620000000000003</v>
      </c>
      <c r="AR3308" s="46">
        <v>-222</v>
      </c>
      <c r="AS3308" s="46">
        <v>54</v>
      </c>
      <c r="AT3308" s="46">
        <v>27000</v>
      </c>
      <c r="AU3308" s="46">
        <v>181061</v>
      </c>
      <c r="AV3308" s="46">
        <v>6.7060000000000004</v>
      </c>
      <c r="AW3308" s="46">
        <v>49</v>
      </c>
      <c r="AX3308" s="46">
        <v>22200</v>
      </c>
      <c r="AY3308" s="46">
        <v>154426.17400000003</v>
      </c>
      <c r="AZ3308" s="46">
        <v>6.9560000000000004</v>
      </c>
      <c r="BA3308" s="46" t="s">
        <v>63</v>
      </c>
      <c r="BB3308" s="46">
        <v>4800</v>
      </c>
      <c r="BC3308" s="46">
        <v>26634.826000000001</v>
      </c>
      <c r="BD3308" s="46">
        <v>5.5490000000000004</v>
      </c>
      <c r="BE3308" s="46">
        <v>5550</v>
      </c>
      <c r="BF3308" s="46">
        <v>10392</v>
      </c>
      <c r="BG3308" s="46">
        <v>4.16</v>
      </c>
      <c r="BH3308" s="46">
        <v>0</v>
      </c>
      <c r="BJ3308">
        <v>10392.000000000002</v>
      </c>
      <c r="BK3308">
        <v>4.16</v>
      </c>
      <c r="BL3308">
        <v>-44.67</v>
      </c>
    </row>
    <row r="3309" spans="1:64" x14ac:dyDescent="0.25">
      <c r="A3309" s="136">
        <v>43559</v>
      </c>
      <c r="B3309" s="201" t="s">
        <v>67</v>
      </c>
      <c r="C3309" t="s">
        <v>129</v>
      </c>
      <c r="D3309">
        <v>230</v>
      </c>
      <c r="E3309">
        <v>230</v>
      </c>
      <c r="F3309">
        <v>-11.728999999999999</v>
      </c>
      <c r="G3309">
        <v>4567.57</v>
      </c>
      <c r="H3309">
        <v>0</v>
      </c>
      <c r="I3309" s="309">
        <v>1869.9</v>
      </c>
      <c r="J3309">
        <v>8.1300000000000008</v>
      </c>
      <c r="K3309" s="133">
        <v>3.3953251172239673E-3</v>
      </c>
      <c r="L3309" s="181">
        <v>18.399999999999636</v>
      </c>
      <c r="M3309" s="133">
        <v>0</v>
      </c>
      <c r="N3309" s="73">
        <v>4362.583499999957</v>
      </c>
      <c r="O3309" s="73">
        <v>600.60636477272476</v>
      </c>
      <c r="P3309" s="182">
        <v>1</v>
      </c>
      <c r="Q3309" s="182">
        <v>30</v>
      </c>
      <c r="R3309" s="46">
        <v>0</v>
      </c>
      <c r="S3309" s="46">
        <v>24</v>
      </c>
      <c r="T3309" s="46">
        <v>9600</v>
      </c>
      <c r="U3309" s="46">
        <v>8.9429999999999996</v>
      </c>
      <c r="V3309" s="46" t="s">
        <v>68</v>
      </c>
      <c r="W3309" s="46">
        <v>9570</v>
      </c>
      <c r="X3309" s="46">
        <v>8.9710000000000001</v>
      </c>
      <c r="AF3309" s="46">
        <v>193</v>
      </c>
      <c r="AG3309" s="46">
        <v>95500</v>
      </c>
      <c r="AH3309" s="46">
        <v>795318</v>
      </c>
      <c r="AI3309" s="46">
        <v>8.3279999999999994</v>
      </c>
      <c r="AJ3309" s="46">
        <v>197</v>
      </c>
      <c r="AK3309" s="46">
        <v>88300</v>
      </c>
      <c r="AL3309" s="46">
        <v>781491.25550000009</v>
      </c>
      <c r="AM3309" s="46">
        <v>8.85</v>
      </c>
      <c r="AN3309" s="46" t="s">
        <v>63</v>
      </c>
      <c r="AO3309" s="46">
        <v>7200</v>
      </c>
      <c r="AP3309" s="46">
        <v>13826.744000000001</v>
      </c>
      <c r="AQ3309" s="46">
        <v>1.92</v>
      </c>
      <c r="AR3309" s="46">
        <v>46092.6</v>
      </c>
      <c r="AS3309" s="46">
        <v>194</v>
      </c>
      <c r="AT3309" s="46">
        <v>95530</v>
      </c>
      <c r="AU3309" s="46">
        <v>795323</v>
      </c>
      <c r="AV3309" s="46">
        <v>8.3249999999999993</v>
      </c>
      <c r="AW3309" s="46">
        <v>221</v>
      </c>
      <c r="AX3309" s="46">
        <v>97900</v>
      </c>
      <c r="AY3309" s="46">
        <v>867143.89950000017</v>
      </c>
      <c r="AZ3309" s="46">
        <v>8.8569999999999993</v>
      </c>
      <c r="BA3309" s="46" t="s">
        <v>69</v>
      </c>
      <c r="BB3309" s="46">
        <v>2370</v>
      </c>
      <c r="BC3309" s="46">
        <v>71820.899999999994</v>
      </c>
      <c r="BD3309" s="46">
        <v>30.303999999999998</v>
      </c>
      <c r="BE3309" s="46">
        <v>50821.96</v>
      </c>
      <c r="BF3309" s="46">
        <v>5</v>
      </c>
      <c r="BG3309" s="46">
        <v>0.17</v>
      </c>
      <c r="BH3309" s="46">
        <v>85652.644000000088</v>
      </c>
      <c r="BI3309">
        <v>8.92</v>
      </c>
      <c r="BJ3309">
        <v>57994.155999999995</v>
      </c>
      <c r="BK3309">
        <v>6.06</v>
      </c>
      <c r="BL3309">
        <v>5669.45</v>
      </c>
    </row>
    <row r="3310" spans="1:64" x14ac:dyDescent="0.25">
      <c r="A3310" s="136">
        <v>43559</v>
      </c>
      <c r="B3310" s="201" t="s">
        <v>78</v>
      </c>
      <c r="C3310" t="s">
        <v>142</v>
      </c>
      <c r="D3310">
        <v>200</v>
      </c>
      <c r="E3310">
        <v>200</v>
      </c>
      <c r="F3310">
        <v>2.077</v>
      </c>
      <c r="G3310">
        <v>1824.65</v>
      </c>
      <c r="H3310">
        <v>439.25</v>
      </c>
      <c r="I3310" s="309">
        <v>2240</v>
      </c>
      <c r="J3310">
        <v>11.2</v>
      </c>
      <c r="K3310" s="133">
        <v>4.0673449182211273E-3</v>
      </c>
      <c r="L3310" s="181">
        <v>2</v>
      </c>
      <c r="M3310" s="133">
        <v>7.5418379990318965E-4</v>
      </c>
      <c r="N3310" s="73">
        <v>1454.650999999996</v>
      </c>
      <c r="O3310" s="73">
        <v>155.49985823529371</v>
      </c>
      <c r="P3310" s="182">
        <v>0</v>
      </c>
      <c r="Q3310" s="182">
        <v>0</v>
      </c>
      <c r="R3310" s="46">
        <v>0</v>
      </c>
      <c r="S3310" s="46">
        <v>3</v>
      </c>
      <c r="T3310" s="46">
        <v>1200</v>
      </c>
      <c r="U3310" s="46">
        <v>9.923</v>
      </c>
      <c r="V3310" s="46" t="s">
        <v>68</v>
      </c>
      <c r="W3310" s="46">
        <v>1200</v>
      </c>
      <c r="X3310" s="46">
        <v>9.923</v>
      </c>
      <c r="AF3310" s="46">
        <v>14</v>
      </c>
      <c r="AG3310" s="46">
        <v>7000</v>
      </c>
      <c r="AH3310" s="46">
        <v>67625</v>
      </c>
      <c r="AI3310" s="46">
        <v>9.6609999999999996</v>
      </c>
      <c r="AJ3310" s="46">
        <v>15</v>
      </c>
      <c r="AK3310" s="46">
        <v>5600</v>
      </c>
      <c r="AL3310" s="46">
        <v>55310.559000000008</v>
      </c>
      <c r="AM3310" s="46">
        <v>9.8770000000000007</v>
      </c>
      <c r="AN3310" s="46" t="s">
        <v>63</v>
      </c>
      <c r="AO3310" s="46">
        <v>1400</v>
      </c>
      <c r="AP3310" s="46">
        <v>12314.441000000001</v>
      </c>
      <c r="AQ3310" s="46">
        <v>8.7959999999999994</v>
      </c>
      <c r="AR3310" s="46">
        <v>1209.5999999999999</v>
      </c>
      <c r="AS3310" s="46">
        <v>14</v>
      </c>
      <c r="AT3310" s="46">
        <v>7000</v>
      </c>
      <c r="AU3310" s="46">
        <v>67625</v>
      </c>
      <c r="AV3310" s="46">
        <v>9.6609999999999996</v>
      </c>
      <c r="AW3310" s="46">
        <v>18</v>
      </c>
      <c r="AX3310" s="46">
        <v>6800</v>
      </c>
      <c r="AY3310" s="46">
        <v>67209.651000000013</v>
      </c>
      <c r="AZ3310" s="46">
        <v>9.8840000000000003</v>
      </c>
      <c r="BA3310" s="46" t="s">
        <v>63</v>
      </c>
      <c r="BB3310" s="46">
        <v>200</v>
      </c>
      <c r="BC3310" s="46">
        <v>415.34899999999999</v>
      </c>
      <c r="BD3310" s="46">
        <v>2.077</v>
      </c>
      <c r="BE3310" s="46">
        <v>1516.4</v>
      </c>
      <c r="BF3310" s="46">
        <v>0</v>
      </c>
      <c r="BH3310" s="46">
        <v>11899.092000000004</v>
      </c>
      <c r="BI3310">
        <v>9.92</v>
      </c>
      <c r="BJ3310">
        <v>-11899.092000000001</v>
      </c>
      <c r="BK3310">
        <v>-9.92</v>
      </c>
      <c r="BL3310">
        <v>108</v>
      </c>
    </row>
    <row r="3311" spans="1:64" x14ac:dyDescent="0.25">
      <c r="A3311" s="136">
        <v>43559</v>
      </c>
      <c r="B3311" s="201" t="s">
        <v>72</v>
      </c>
      <c r="C3311" t="s">
        <v>130</v>
      </c>
      <c r="D3311">
        <v>100</v>
      </c>
      <c r="E3311">
        <v>100</v>
      </c>
      <c r="F3311">
        <v>-18.477</v>
      </c>
      <c r="G3311">
        <v>2474.6999999999998</v>
      </c>
      <c r="H3311">
        <v>0</v>
      </c>
      <c r="I3311" s="309">
        <v>627</v>
      </c>
      <c r="J3311">
        <v>6.27</v>
      </c>
      <c r="K3311" s="133">
        <v>1.1384934213056459E-3</v>
      </c>
      <c r="L3311" s="181">
        <v>2</v>
      </c>
      <c r="M3311" s="133">
        <v>0</v>
      </c>
      <c r="N3311" s="73">
        <v>-1498.9659999999872</v>
      </c>
      <c r="O3311" s="73">
        <v>376.42007904191922</v>
      </c>
      <c r="P3311" s="182">
        <v>0</v>
      </c>
      <c r="Q3311" s="182">
        <v>0</v>
      </c>
      <c r="R3311" s="46">
        <v>0</v>
      </c>
      <c r="S3311" s="46">
        <v>20</v>
      </c>
      <c r="T3311" s="46">
        <v>8600</v>
      </c>
      <c r="U3311" s="46">
        <v>7.3840000000000003</v>
      </c>
      <c r="V3311" s="46" t="s">
        <v>68</v>
      </c>
      <c r="W3311" s="46">
        <v>8600</v>
      </c>
      <c r="X3311" s="46">
        <v>7.3840000000000003</v>
      </c>
      <c r="AF3311" s="46">
        <v>42</v>
      </c>
      <c r="AG3311" s="46">
        <v>20900</v>
      </c>
      <c r="AH3311" s="46">
        <v>152800</v>
      </c>
      <c r="AI3311" s="46">
        <v>7.3109999999999999</v>
      </c>
      <c r="AJ3311" s="46">
        <v>42</v>
      </c>
      <c r="AK3311" s="46">
        <v>18800</v>
      </c>
      <c r="AL3311" s="46">
        <v>92037.725000000035</v>
      </c>
      <c r="AM3311" s="46">
        <v>4.8959999999999999</v>
      </c>
      <c r="AN3311" s="46" t="s">
        <v>63</v>
      </c>
      <c r="AO3311" s="46">
        <v>2100</v>
      </c>
      <c r="AP3311" s="46">
        <v>60762.275000000001</v>
      </c>
      <c r="AQ3311" s="46">
        <v>28.934000000000001</v>
      </c>
      <c r="AR3311" s="46">
        <v>-45402</v>
      </c>
      <c r="AS3311" s="46">
        <v>42</v>
      </c>
      <c r="AT3311" s="46">
        <v>20900</v>
      </c>
      <c r="AU3311" s="46">
        <v>152800</v>
      </c>
      <c r="AV3311" s="46">
        <v>7.3109999999999999</v>
      </c>
      <c r="AW3311" s="46">
        <v>63</v>
      </c>
      <c r="AX3311" s="46">
        <v>27900</v>
      </c>
      <c r="AY3311" s="46">
        <v>155380.21900000001</v>
      </c>
      <c r="AZ3311" s="46">
        <v>5.569</v>
      </c>
      <c r="BA3311" s="46" t="s">
        <v>69</v>
      </c>
      <c r="BB3311" s="46">
        <v>7000</v>
      </c>
      <c r="BC3311" s="46">
        <v>2580.2190000000001</v>
      </c>
      <c r="BD3311" s="46">
        <v>0.36899999999999999</v>
      </c>
      <c r="BE3311" s="46">
        <v>-36407.800000000003</v>
      </c>
      <c r="BF3311" s="46">
        <v>0</v>
      </c>
      <c r="BH3311" s="46">
        <v>63342.493999999977</v>
      </c>
      <c r="BI3311">
        <v>7.37</v>
      </c>
      <c r="BJ3311">
        <v>-58182.056000000004</v>
      </c>
      <c r="BK3311">
        <v>-6.77</v>
      </c>
      <c r="BL3311">
        <v>-7241.15</v>
      </c>
    </row>
    <row r="3312" spans="1:64" x14ac:dyDescent="0.25">
      <c r="A3312" s="136">
        <v>43559</v>
      </c>
      <c r="B3312" s="201" t="s">
        <v>70</v>
      </c>
      <c r="C3312" t="s">
        <v>131</v>
      </c>
      <c r="D3312">
        <v>12300</v>
      </c>
      <c r="E3312">
        <v>12300</v>
      </c>
      <c r="F3312">
        <v>11.224</v>
      </c>
      <c r="G3312">
        <v>-28095.14</v>
      </c>
      <c r="H3312">
        <v>-20.350000000000001</v>
      </c>
      <c r="I3312" s="309">
        <v>109962</v>
      </c>
      <c r="J3312">
        <v>8.94</v>
      </c>
      <c r="K3312" s="133">
        <v>0.19966668834706769</v>
      </c>
      <c r="L3312" s="181">
        <v>-861</v>
      </c>
      <c r="M3312" s="133">
        <v>0.2506812530371173</v>
      </c>
      <c r="N3312" s="73">
        <v>4514.9909999999945</v>
      </c>
      <c r="O3312" s="73">
        <v>-2920.2737523153287</v>
      </c>
      <c r="P3312" s="182">
        <v>0</v>
      </c>
      <c r="Q3312" s="182">
        <v>0</v>
      </c>
      <c r="R3312" s="46">
        <v>0</v>
      </c>
      <c r="S3312" s="46">
        <v>5</v>
      </c>
      <c r="T3312" s="46">
        <v>2000</v>
      </c>
      <c r="U3312" s="46">
        <v>8.3059999999999992</v>
      </c>
      <c r="V3312" s="46" t="s">
        <v>68</v>
      </c>
      <c r="W3312" s="46">
        <v>2000</v>
      </c>
      <c r="X3312" s="46">
        <v>8.3059999999999992</v>
      </c>
      <c r="AF3312" s="46">
        <v>156</v>
      </c>
      <c r="AG3312" s="46">
        <v>79600</v>
      </c>
      <c r="AH3312" s="46">
        <v>982918</v>
      </c>
      <c r="AI3312" s="46">
        <v>12.348000000000001</v>
      </c>
      <c r="AJ3312" s="46">
        <v>162</v>
      </c>
      <c r="AK3312" s="46">
        <v>65300</v>
      </c>
      <c r="AL3312" s="46">
        <v>827881.4789999997</v>
      </c>
      <c r="AM3312" s="46">
        <v>12.678000000000001</v>
      </c>
      <c r="AN3312" s="46" t="s">
        <v>63</v>
      </c>
      <c r="AO3312" s="46">
        <v>14300</v>
      </c>
      <c r="AP3312" s="46">
        <v>155036.52100000001</v>
      </c>
      <c r="AQ3312" s="46">
        <v>10.842000000000001</v>
      </c>
      <c r="AR3312" s="46">
        <v>21549</v>
      </c>
      <c r="AS3312" s="46">
        <v>156</v>
      </c>
      <c r="AT3312" s="46">
        <v>79600</v>
      </c>
      <c r="AU3312" s="46">
        <v>982918</v>
      </c>
      <c r="AV3312" s="46">
        <v>12.348000000000001</v>
      </c>
      <c r="AW3312" s="46">
        <v>168</v>
      </c>
      <c r="AX3312" s="46">
        <v>67300</v>
      </c>
      <c r="AY3312" s="46">
        <v>844856.86699999974</v>
      </c>
      <c r="AZ3312" s="46">
        <v>12.554</v>
      </c>
      <c r="BA3312" s="46" t="s">
        <v>63</v>
      </c>
      <c r="BB3312" s="46">
        <v>12300</v>
      </c>
      <c r="BC3312" s="46">
        <v>138061.133</v>
      </c>
      <c r="BD3312" s="46">
        <v>11.224</v>
      </c>
      <c r="BE3312" s="46">
        <v>13863.8</v>
      </c>
      <c r="BF3312" s="46">
        <v>0</v>
      </c>
      <c r="BH3312" s="46">
        <v>16975.388000000035</v>
      </c>
      <c r="BI3312">
        <v>8.49</v>
      </c>
      <c r="BJ3312">
        <v>-16975.388000000006</v>
      </c>
      <c r="BK3312">
        <v>-8.49</v>
      </c>
      <c r="BL3312">
        <v>2410.4</v>
      </c>
    </row>
    <row r="3313" spans="1:64" x14ac:dyDescent="0.25">
      <c r="A3313" s="136">
        <v>43559</v>
      </c>
      <c r="B3313" s="201" t="s">
        <v>628</v>
      </c>
      <c r="C3313" t="s">
        <v>629</v>
      </c>
      <c r="D3313">
        <v>100</v>
      </c>
      <c r="E3313">
        <v>100</v>
      </c>
      <c r="F3313">
        <v>-22.33</v>
      </c>
      <c r="G3313">
        <v>3731</v>
      </c>
      <c r="H3313">
        <v>0</v>
      </c>
      <c r="I3313" s="309">
        <v>1498</v>
      </c>
      <c r="J3313">
        <v>14.98</v>
      </c>
      <c r="K3313" s="133">
        <v>2.7200369140603789E-3</v>
      </c>
      <c r="L3313" s="181">
        <v>-25</v>
      </c>
      <c r="M3313" s="133">
        <v>0</v>
      </c>
    </row>
    <row r="3314" spans="1:64" x14ac:dyDescent="0.25">
      <c r="A3314" s="136">
        <v>43559</v>
      </c>
      <c r="B3314" s="201" t="s">
        <v>630</v>
      </c>
      <c r="C3314" t="s">
        <v>631</v>
      </c>
      <c r="D3314">
        <v>100</v>
      </c>
      <c r="E3314">
        <v>100</v>
      </c>
      <c r="F3314">
        <v>-94.45</v>
      </c>
      <c r="G3314">
        <v>13015</v>
      </c>
      <c r="H3314">
        <v>0</v>
      </c>
      <c r="I3314" s="309">
        <v>3570</v>
      </c>
      <c r="J3314">
        <v>35.700000000000003</v>
      </c>
      <c r="K3314" s="133">
        <v>6.4823309634149213E-3</v>
      </c>
      <c r="L3314" s="181">
        <v>201</v>
      </c>
      <c r="M3314" s="133">
        <v>0</v>
      </c>
    </row>
    <row r="3315" spans="1:64" x14ac:dyDescent="0.25">
      <c r="A3315" s="136">
        <v>43559</v>
      </c>
      <c r="B3315" s="201" t="s">
        <v>137</v>
      </c>
      <c r="C3315" t="s">
        <v>149</v>
      </c>
      <c r="D3315">
        <v>100</v>
      </c>
      <c r="E3315">
        <v>100</v>
      </c>
      <c r="F3315">
        <v>-130.86000000000001</v>
      </c>
      <c r="G3315">
        <v>16944</v>
      </c>
      <c r="H3315">
        <v>0</v>
      </c>
      <c r="I3315" s="309">
        <v>3858</v>
      </c>
      <c r="J3315">
        <v>38.58</v>
      </c>
      <c r="K3315" s="133">
        <v>7.0052753100433521E-3</v>
      </c>
      <c r="L3315" s="181">
        <v>-31</v>
      </c>
      <c r="M3315" s="133">
        <v>0</v>
      </c>
    </row>
    <row r="3316" spans="1:64" x14ac:dyDescent="0.25">
      <c r="A3316" s="136">
        <v>43559</v>
      </c>
      <c r="B3316" s="201" t="s">
        <v>835</v>
      </c>
      <c r="C3316" t="s">
        <v>839</v>
      </c>
      <c r="I3316" s="309">
        <v>7729.67</v>
      </c>
      <c r="K3316" s="133">
        <v>1.4035372318761742E-2</v>
      </c>
      <c r="L3316" s="181">
        <v>0</v>
      </c>
      <c r="M3316" s="133">
        <v>0.19562171382589674</v>
      </c>
    </row>
    <row r="3317" spans="1:64" x14ac:dyDescent="0.25">
      <c r="A3317" s="136">
        <v>43563</v>
      </c>
      <c r="B3317" s="201" t="s">
        <v>132</v>
      </c>
      <c r="C3317" t="s">
        <v>123</v>
      </c>
      <c r="D3317">
        <v>11001004</v>
      </c>
      <c r="E3317">
        <v>10001004</v>
      </c>
      <c r="F3317">
        <v>0.01</v>
      </c>
      <c r="G3317">
        <v>3854.89</v>
      </c>
      <c r="H3317">
        <v>0</v>
      </c>
      <c r="I3317">
        <v>110010.04</v>
      </c>
      <c r="J3317">
        <v>0.01</v>
      </c>
      <c r="K3317" s="133">
        <v>0.20004474410675141</v>
      </c>
      <c r="L3317" s="181">
        <v>5.3899999999998727</v>
      </c>
      <c r="M3317" s="133">
        <v>0</v>
      </c>
    </row>
    <row r="3318" spans="1:64" x14ac:dyDescent="0.25">
      <c r="A3318" s="136">
        <v>43563</v>
      </c>
      <c r="B3318" s="201" t="s">
        <v>61</v>
      </c>
      <c r="C3318" t="s">
        <v>136</v>
      </c>
      <c r="D3318">
        <v>2300</v>
      </c>
      <c r="E3318">
        <v>2300</v>
      </c>
      <c r="F3318">
        <v>4.992</v>
      </c>
      <c r="G3318">
        <v>-693.52</v>
      </c>
      <c r="H3318">
        <v>-6.04</v>
      </c>
      <c r="I3318">
        <v>10787</v>
      </c>
      <c r="J3318">
        <v>4.6900000000000004</v>
      </c>
      <c r="K3318" s="133">
        <v>1.9615324698359603E-2</v>
      </c>
      <c r="L3318" s="181">
        <v>0</v>
      </c>
      <c r="M3318" s="133">
        <v>2.087643714712259E-2</v>
      </c>
      <c r="N3318" s="73">
        <v>-581.44500000000517</v>
      </c>
      <c r="O3318" s="73">
        <v>-122.60638765822894</v>
      </c>
      <c r="P3318" s="182">
        <v>2</v>
      </c>
      <c r="Q3318" s="182">
        <v>1000</v>
      </c>
      <c r="R3318" s="46">
        <v>4.82</v>
      </c>
      <c r="S3318" s="46">
        <v>1</v>
      </c>
      <c r="T3318" s="46">
        <v>400</v>
      </c>
      <c r="U3318" s="46">
        <v>4.74</v>
      </c>
      <c r="V3318" s="46" t="s">
        <v>62</v>
      </c>
      <c r="W3318" s="46">
        <v>600</v>
      </c>
      <c r="X3318" s="46">
        <v>4.8730000000000002</v>
      </c>
      <c r="AF3318" s="46">
        <v>18</v>
      </c>
      <c r="AG3318" s="46">
        <v>9000</v>
      </c>
      <c r="AH3318" s="46">
        <v>45060.400000000009</v>
      </c>
      <c r="AI3318" s="46">
        <v>5.0069999999999997</v>
      </c>
      <c r="AJ3318" s="46">
        <v>18</v>
      </c>
      <c r="AK3318" s="46">
        <v>7300</v>
      </c>
      <c r="AL3318" s="46">
        <v>36518.690999999984</v>
      </c>
      <c r="AM3318" s="46">
        <v>5.0030000000000001</v>
      </c>
      <c r="AN3318" s="46" t="s">
        <v>63</v>
      </c>
      <c r="AO3318" s="46">
        <v>1700</v>
      </c>
      <c r="AP3318" s="46">
        <v>8541.7090000000007</v>
      </c>
      <c r="AQ3318" s="46">
        <v>5.0250000000000004</v>
      </c>
      <c r="AR3318" s="46">
        <v>-29.2</v>
      </c>
      <c r="AS3318" s="46">
        <v>20</v>
      </c>
      <c r="AT3318" s="46">
        <v>10000</v>
      </c>
      <c r="AU3318" s="46">
        <v>49891</v>
      </c>
      <c r="AV3318" s="46">
        <v>4.9889999999999999</v>
      </c>
      <c r="AW3318" s="46">
        <v>19</v>
      </c>
      <c r="AX3318" s="46">
        <v>7700</v>
      </c>
      <c r="AY3318" s="46">
        <v>38407.554999999986</v>
      </c>
      <c r="AZ3318" s="46">
        <v>4.9880000000000004</v>
      </c>
      <c r="BA3318" s="46" t="s">
        <v>63</v>
      </c>
      <c r="BB3318" s="46">
        <v>2300</v>
      </c>
      <c r="BC3318" s="46">
        <v>11483.445</v>
      </c>
      <c r="BD3318" s="46">
        <v>4.9930000000000003</v>
      </c>
      <c r="BE3318" s="46">
        <v>-7.7</v>
      </c>
      <c r="BF3318" s="46">
        <v>4830.5999999999913</v>
      </c>
      <c r="BG3318" s="46">
        <v>4.83</v>
      </c>
      <c r="BH3318" s="46">
        <v>1888.8640000000014</v>
      </c>
      <c r="BI3318">
        <v>4.72</v>
      </c>
      <c r="BJ3318">
        <v>2941.735999999999</v>
      </c>
      <c r="BK3318">
        <v>4.9000000000000004</v>
      </c>
      <c r="BL3318">
        <v>-6.23</v>
      </c>
    </row>
    <row r="3319" spans="1:64" x14ac:dyDescent="0.25">
      <c r="A3319" s="136">
        <v>43563</v>
      </c>
      <c r="B3319" s="201" t="s">
        <v>124</v>
      </c>
      <c r="C3319" t="s">
        <v>125</v>
      </c>
      <c r="D3319">
        <v>100</v>
      </c>
      <c r="E3319">
        <v>100</v>
      </c>
      <c r="F3319">
        <v>-53.82</v>
      </c>
      <c r="G3319">
        <v>5964</v>
      </c>
      <c r="H3319">
        <v>0</v>
      </c>
      <c r="I3319">
        <v>582</v>
      </c>
      <c r="J3319">
        <v>5.82</v>
      </c>
      <c r="K3319" s="133">
        <v>1.0583219592514405E-3</v>
      </c>
      <c r="L3319" s="181">
        <v>1</v>
      </c>
      <c r="M3319" s="133">
        <v>0</v>
      </c>
      <c r="N3319" s="73">
        <v>5573.0690000000113</v>
      </c>
      <c r="O3319" s="73">
        <v>1102.4501845505636</v>
      </c>
      <c r="P3319" s="182">
        <v>0</v>
      </c>
      <c r="Q3319" s="182">
        <v>0</v>
      </c>
      <c r="R3319" s="46">
        <v>0</v>
      </c>
      <c r="S3319" s="46">
        <v>5</v>
      </c>
      <c r="T3319" s="46">
        <v>2300</v>
      </c>
      <c r="U3319" s="46">
        <v>4.99</v>
      </c>
      <c r="V3319" s="46" t="s">
        <v>68</v>
      </c>
      <c r="W3319" s="46">
        <v>2300</v>
      </c>
      <c r="X3319" s="46">
        <v>4.99</v>
      </c>
      <c r="AF3319" s="46">
        <v>50</v>
      </c>
      <c r="AG3319" s="46">
        <v>36700</v>
      </c>
      <c r="AH3319" s="46">
        <v>180101.02000000002</v>
      </c>
      <c r="AI3319" s="46">
        <v>4.907</v>
      </c>
      <c r="AJ3319" s="46">
        <v>58</v>
      </c>
      <c r="AK3319" s="46">
        <v>35300</v>
      </c>
      <c r="AL3319" s="46">
        <v>178266.546</v>
      </c>
      <c r="AM3319" s="46">
        <v>5.05</v>
      </c>
      <c r="AN3319" s="46" t="s">
        <v>63</v>
      </c>
      <c r="AO3319" s="46">
        <v>1400</v>
      </c>
      <c r="AP3319" s="46">
        <v>1834.4739999999999</v>
      </c>
      <c r="AQ3319" s="46">
        <v>1.31</v>
      </c>
      <c r="AR3319" s="46">
        <v>5047.8999999999996</v>
      </c>
      <c r="AS3319" s="46">
        <v>51</v>
      </c>
      <c r="AT3319" s="46">
        <v>37700</v>
      </c>
      <c r="AU3319" s="46">
        <v>185106.62</v>
      </c>
      <c r="AV3319" s="46">
        <v>4.91</v>
      </c>
      <c r="AW3319" s="46">
        <v>63</v>
      </c>
      <c r="AX3319" s="46">
        <v>37600</v>
      </c>
      <c r="AY3319" s="46">
        <v>189713.68900000001</v>
      </c>
      <c r="AZ3319" s="46">
        <v>5.0460000000000003</v>
      </c>
      <c r="BA3319" s="46" t="s">
        <v>63</v>
      </c>
      <c r="BB3319" s="46">
        <v>100</v>
      </c>
      <c r="BC3319" s="46">
        <v>4607.0690000000004</v>
      </c>
      <c r="BD3319" s="46">
        <v>46.070999999999998</v>
      </c>
      <c r="BE3319" s="46">
        <v>5113.6000000000004</v>
      </c>
      <c r="BF3319" s="46">
        <v>5005.5999999999767</v>
      </c>
      <c r="BH3319" s="46">
        <v>11447.143000000011</v>
      </c>
      <c r="BI3319">
        <v>4.9800000000000004</v>
      </c>
      <c r="BJ3319">
        <v>2772.5950000000003</v>
      </c>
      <c r="BK3319">
        <v>1.21</v>
      </c>
      <c r="BL3319">
        <v>867.34</v>
      </c>
    </row>
    <row r="3320" spans="1:64" x14ac:dyDescent="0.25">
      <c r="A3320" s="136">
        <v>43563</v>
      </c>
      <c r="B3320" s="201" t="s">
        <v>71</v>
      </c>
      <c r="C3320" t="s">
        <v>126</v>
      </c>
      <c r="D3320">
        <v>300</v>
      </c>
      <c r="E3320">
        <v>300</v>
      </c>
      <c r="F3320">
        <v>-3.4809999999999999</v>
      </c>
      <c r="G3320">
        <v>3012.3</v>
      </c>
      <c r="H3320">
        <v>0</v>
      </c>
      <c r="I3320">
        <v>1968</v>
      </c>
      <c r="J3320">
        <v>6.56</v>
      </c>
      <c r="K3320" s="133">
        <v>3.5786556972626027E-3</v>
      </c>
      <c r="L3320" s="181">
        <v>38.450000000000273</v>
      </c>
      <c r="M3320" s="133">
        <v>0</v>
      </c>
      <c r="N3320" s="73">
        <v>1033.9000000000055</v>
      </c>
      <c r="O3320" s="73">
        <v>457.89878995433872</v>
      </c>
      <c r="P3320" s="182">
        <v>0</v>
      </c>
      <c r="Q3320" s="182">
        <v>0</v>
      </c>
      <c r="R3320" s="46">
        <v>0</v>
      </c>
      <c r="S3320" s="46">
        <v>9</v>
      </c>
      <c r="T3320" s="46">
        <v>3500</v>
      </c>
      <c r="U3320" s="46">
        <v>6.4729999999999999</v>
      </c>
      <c r="V3320" s="46" t="s">
        <v>68</v>
      </c>
      <c r="W3320" s="46">
        <v>3500</v>
      </c>
      <c r="X3320" s="46">
        <v>6.4729999999999999</v>
      </c>
      <c r="AF3320" s="46">
        <v>51</v>
      </c>
      <c r="AG3320" s="46">
        <v>25600</v>
      </c>
      <c r="AH3320" s="46">
        <v>162451.32999999999</v>
      </c>
      <c r="AI3320" s="46">
        <v>6.3460000000000001</v>
      </c>
      <c r="AJ3320" s="46">
        <v>49</v>
      </c>
      <c r="AK3320" s="46">
        <v>21800</v>
      </c>
      <c r="AL3320" s="46">
        <v>140734.78599999999</v>
      </c>
      <c r="AM3320" s="46">
        <v>6.4560000000000004</v>
      </c>
      <c r="AN3320" s="46" t="s">
        <v>63</v>
      </c>
      <c r="AO3320" s="46">
        <v>3800</v>
      </c>
      <c r="AP3320" s="46">
        <v>21716.544000000002</v>
      </c>
      <c r="AQ3320" s="46">
        <v>5.7149999999999999</v>
      </c>
      <c r="AR3320" s="46">
        <v>2398</v>
      </c>
      <c r="AS3320" s="46">
        <v>51</v>
      </c>
      <c r="AT3320" s="46">
        <v>25600</v>
      </c>
      <c r="AU3320" s="46">
        <v>162451.32999999999</v>
      </c>
      <c r="AV3320" s="46">
        <v>6.3460000000000001</v>
      </c>
      <c r="AW3320" s="46">
        <v>58</v>
      </c>
      <c r="AX3320" s="46">
        <v>25300</v>
      </c>
      <c r="AY3320" s="46">
        <v>163329.03</v>
      </c>
      <c r="AZ3320" s="46">
        <v>6.4560000000000004</v>
      </c>
      <c r="BA3320" s="46" t="s">
        <v>63</v>
      </c>
      <c r="BB3320" s="46">
        <v>300</v>
      </c>
      <c r="BC3320" s="46">
        <v>877.7</v>
      </c>
      <c r="BD3320" s="46">
        <v>2.9260000000000002</v>
      </c>
      <c r="BE3320" s="46">
        <v>2783</v>
      </c>
      <c r="BF3320" s="46">
        <v>0</v>
      </c>
      <c r="BH3320" s="46">
        <v>22594.244000000006</v>
      </c>
      <c r="BI3320">
        <v>6.46</v>
      </c>
      <c r="BJ3320">
        <v>-20838.844000000001</v>
      </c>
      <c r="BK3320">
        <v>-5.95</v>
      </c>
      <c r="BL3320">
        <v>365.55</v>
      </c>
    </row>
    <row r="3321" spans="1:64" x14ac:dyDescent="0.25">
      <c r="A3321" s="136">
        <v>43563</v>
      </c>
      <c r="B3321" s="201" t="s">
        <v>79</v>
      </c>
      <c r="C3321" t="s">
        <v>143</v>
      </c>
      <c r="D3321">
        <v>9420</v>
      </c>
      <c r="E3321">
        <v>9420</v>
      </c>
      <c r="F3321">
        <v>10.795999999999999</v>
      </c>
      <c r="G3321">
        <v>-14940.53</v>
      </c>
      <c r="H3321">
        <v>-14.69</v>
      </c>
      <c r="I3321">
        <v>86758.2</v>
      </c>
      <c r="J3321">
        <v>9.2100000000000009</v>
      </c>
      <c r="K3321" s="133">
        <v>0.1577630725174026</v>
      </c>
      <c r="L3321" s="181">
        <v>-1601.4000000000015</v>
      </c>
      <c r="M3321" s="133">
        <v>0.18493127008072721</v>
      </c>
      <c r="N3321" s="73">
        <v>-12509.552000000243</v>
      </c>
      <c r="O3321" s="73">
        <v>-1320.3059370644396</v>
      </c>
      <c r="P3321" s="182">
        <v>8</v>
      </c>
      <c r="Q3321" s="182">
        <v>6420</v>
      </c>
      <c r="R3321" s="46">
        <v>5.2690000000000001</v>
      </c>
      <c r="S3321" s="46">
        <v>1</v>
      </c>
      <c r="T3321" s="46">
        <v>400</v>
      </c>
      <c r="U3321" s="46">
        <v>9.43</v>
      </c>
      <c r="V3321" s="46" t="s">
        <v>62</v>
      </c>
      <c r="W3321" s="46">
        <v>6020</v>
      </c>
      <c r="X3321" s="46">
        <v>4.9930000000000003</v>
      </c>
      <c r="AF3321" s="46">
        <v>33</v>
      </c>
      <c r="AG3321" s="46">
        <v>17000</v>
      </c>
      <c r="AH3321" s="46">
        <v>249900.19999999984</v>
      </c>
      <c r="AI3321" s="46">
        <v>14.7</v>
      </c>
      <c r="AJ3321" s="46">
        <v>34</v>
      </c>
      <c r="AK3321" s="46">
        <v>13600</v>
      </c>
      <c r="AL3321" s="46">
        <v>178294.11199999982</v>
      </c>
      <c r="AM3321" s="46">
        <v>13.11</v>
      </c>
      <c r="AN3321" s="46" t="s">
        <v>63</v>
      </c>
      <c r="AO3321" s="46">
        <v>3400</v>
      </c>
      <c r="AP3321" s="46">
        <v>71606.088000000003</v>
      </c>
      <c r="AQ3321" s="46">
        <v>21.061</v>
      </c>
      <c r="AR3321" s="46">
        <v>-21624</v>
      </c>
      <c r="AS3321" s="46">
        <v>41</v>
      </c>
      <c r="AT3321" s="46">
        <v>23420</v>
      </c>
      <c r="AU3321" s="46">
        <v>283774.05199999973</v>
      </c>
      <c r="AV3321" s="46">
        <v>12.117000000000001</v>
      </c>
      <c r="AW3321" s="46">
        <v>35</v>
      </c>
      <c r="AX3321" s="46">
        <v>14000</v>
      </c>
      <c r="AY3321" s="46">
        <v>182057.0999999998</v>
      </c>
      <c r="AZ3321" s="46">
        <v>13.004</v>
      </c>
      <c r="BA3321" s="46" t="s">
        <v>63</v>
      </c>
      <c r="BB3321" s="46">
        <v>9420</v>
      </c>
      <c r="BC3321" s="46">
        <v>101716.952</v>
      </c>
      <c r="BD3321" s="46">
        <v>10.798</v>
      </c>
      <c r="BE3321" s="46">
        <v>12418</v>
      </c>
      <c r="BF3321" s="46">
        <v>33873.851999999897</v>
      </c>
      <c r="BG3321" s="46">
        <v>5.28</v>
      </c>
      <c r="BH3321" s="46">
        <v>3762.987999999983</v>
      </c>
      <c r="BI3321">
        <v>9.41</v>
      </c>
      <c r="BJ3321">
        <v>30110.864000000001</v>
      </c>
      <c r="BK3321">
        <v>5</v>
      </c>
      <c r="BL3321">
        <v>-2347.88</v>
      </c>
    </row>
    <row r="3322" spans="1:64" x14ac:dyDescent="0.25">
      <c r="A3322" s="136">
        <v>43563</v>
      </c>
      <c r="B3322" s="201" t="s">
        <v>65</v>
      </c>
      <c r="C3322" t="s">
        <v>127</v>
      </c>
      <c r="D3322">
        <v>20500</v>
      </c>
      <c r="E3322">
        <v>20500</v>
      </c>
      <c r="F3322">
        <v>8.8780000000000001</v>
      </c>
      <c r="G3322">
        <v>4560.12</v>
      </c>
      <c r="H3322">
        <v>2.5099999999999998</v>
      </c>
      <c r="I3322">
        <v>186550</v>
      </c>
      <c r="J3322">
        <v>9.1</v>
      </c>
      <c r="K3322" s="133">
        <v>0.33922673796968422</v>
      </c>
      <c r="L3322" s="181">
        <v>-977.72000000000025</v>
      </c>
      <c r="M3322" s="133">
        <v>0.33093451265555762</v>
      </c>
      <c r="N3322" s="73">
        <v>4172.7029999998922</v>
      </c>
      <c r="O3322" s="73">
        <v>909.58335540901578</v>
      </c>
      <c r="P3322" s="182">
        <v>4</v>
      </c>
      <c r="Q3322" s="182">
        <v>2300</v>
      </c>
      <c r="R3322" s="46">
        <v>7.1660000000000004</v>
      </c>
      <c r="S3322" s="46">
        <v>9</v>
      </c>
      <c r="T3322" s="46">
        <v>3600</v>
      </c>
      <c r="U3322" s="46">
        <v>8.4570000000000007</v>
      </c>
      <c r="V3322" s="46" t="s">
        <v>68</v>
      </c>
      <c r="W3322" s="46">
        <v>1300</v>
      </c>
      <c r="X3322" s="46">
        <v>10.741</v>
      </c>
      <c r="AF3322" s="46">
        <v>228</v>
      </c>
      <c r="AG3322" s="46">
        <v>122700</v>
      </c>
      <c r="AH3322" s="46">
        <v>1318809.6810000001</v>
      </c>
      <c r="AI3322" s="46">
        <v>10.747999999999999</v>
      </c>
      <c r="AJ3322" s="46">
        <v>257</v>
      </c>
      <c r="AK3322" s="46">
        <v>110100</v>
      </c>
      <c r="AL3322" s="46">
        <v>1118817.8259999999</v>
      </c>
      <c r="AM3322" s="46">
        <v>10.162000000000001</v>
      </c>
      <c r="AN3322" s="46" t="s">
        <v>63</v>
      </c>
      <c r="AO3322" s="46">
        <v>12600</v>
      </c>
      <c r="AP3322" s="46">
        <v>199991.85500000001</v>
      </c>
      <c r="AQ3322" s="46">
        <v>15.872</v>
      </c>
      <c r="AR3322" s="46">
        <v>-64518.6</v>
      </c>
      <c r="AS3322" s="46">
        <v>233</v>
      </c>
      <c r="AT3322" s="46">
        <v>125100</v>
      </c>
      <c r="AU3322" s="46">
        <v>1336599.6810000001</v>
      </c>
      <c r="AV3322" s="46">
        <v>10.683999999999999</v>
      </c>
      <c r="AW3322" s="46">
        <v>266</v>
      </c>
      <c r="AX3322" s="46">
        <v>113700</v>
      </c>
      <c r="AY3322" s="46">
        <v>1149186.3820000002</v>
      </c>
      <c r="AZ3322" s="46">
        <v>10.106999999999999</v>
      </c>
      <c r="BA3322" s="46" t="s">
        <v>63</v>
      </c>
      <c r="BB3322" s="46">
        <v>11400</v>
      </c>
      <c r="BC3322" s="46">
        <v>187413.299</v>
      </c>
      <c r="BD3322" s="46">
        <v>16.440000000000001</v>
      </c>
      <c r="BE3322" s="46">
        <v>-65604.899999999994</v>
      </c>
      <c r="BF3322" s="46">
        <v>17790</v>
      </c>
      <c r="BG3322" s="46">
        <v>7.73</v>
      </c>
      <c r="BH3322" s="46">
        <v>30368.556000000332</v>
      </c>
      <c r="BI3322">
        <v>8.44</v>
      </c>
      <c r="BJ3322">
        <v>-12578.556000000011</v>
      </c>
      <c r="BK3322">
        <v>-9.68</v>
      </c>
      <c r="BL3322">
        <v>-7089.96</v>
      </c>
    </row>
    <row r="3323" spans="1:64" x14ac:dyDescent="0.25">
      <c r="A3323" s="136">
        <v>43563</v>
      </c>
      <c r="B3323" s="201" t="s">
        <v>77</v>
      </c>
      <c r="C3323" t="s">
        <v>150</v>
      </c>
      <c r="D3323">
        <v>4800</v>
      </c>
      <c r="E3323">
        <v>4800</v>
      </c>
      <c r="F3323">
        <v>5.548</v>
      </c>
      <c r="G3323">
        <v>-3349.88</v>
      </c>
      <c r="H3323">
        <v>-12.58</v>
      </c>
      <c r="I3323">
        <v>23280</v>
      </c>
      <c r="J3323">
        <v>4.8499999999999996</v>
      </c>
      <c r="K3323" s="133">
        <v>4.2332878370057614E-2</v>
      </c>
      <c r="L3323" s="181">
        <v>-576</v>
      </c>
      <c r="M3323" s="133">
        <v>4.8424375904176545E-2</v>
      </c>
      <c r="N3323" s="73">
        <v>-2510.8260000000046</v>
      </c>
      <c r="O3323" s="73">
        <v>-391.77789220272996</v>
      </c>
      <c r="P3323" s="182">
        <v>5</v>
      </c>
      <c r="Q3323" s="182">
        <v>2500</v>
      </c>
      <c r="R3323" s="46">
        <v>4.2619999999999996</v>
      </c>
      <c r="S3323" s="46">
        <v>0</v>
      </c>
      <c r="T3323" s="46">
        <v>0</v>
      </c>
      <c r="U3323" s="46">
        <v>0</v>
      </c>
      <c r="V3323" s="46" t="s">
        <v>62</v>
      </c>
      <c r="W3323" s="46">
        <v>2500</v>
      </c>
      <c r="X3323" s="46">
        <v>4.2619999999999996</v>
      </c>
      <c r="AF3323" s="46">
        <v>49</v>
      </c>
      <c r="AG3323" s="46">
        <v>24500</v>
      </c>
      <c r="AH3323" s="46">
        <v>170669</v>
      </c>
      <c r="AI3323" s="46">
        <v>6.9660000000000002</v>
      </c>
      <c r="AJ3323" s="46">
        <v>49</v>
      </c>
      <c r="AK3323" s="46">
        <v>22200</v>
      </c>
      <c r="AL3323" s="46">
        <v>154426.17400000003</v>
      </c>
      <c r="AM3323" s="46">
        <v>6.9560000000000004</v>
      </c>
      <c r="AN3323" s="46" t="s">
        <v>63</v>
      </c>
      <c r="AO3323" s="46">
        <v>2300</v>
      </c>
      <c r="AP3323" s="46">
        <v>16242.825999999999</v>
      </c>
      <c r="AQ3323" s="46">
        <v>7.0620000000000003</v>
      </c>
      <c r="AR3323" s="46">
        <v>-222</v>
      </c>
      <c r="AS3323" s="46">
        <v>54</v>
      </c>
      <c r="AT3323" s="46">
        <v>27000</v>
      </c>
      <c r="AU3323" s="46">
        <v>181061</v>
      </c>
      <c r="AV3323" s="46">
        <v>6.7060000000000004</v>
      </c>
      <c r="AW3323" s="46">
        <v>49</v>
      </c>
      <c r="AX3323" s="46">
        <v>22200</v>
      </c>
      <c r="AY3323" s="46">
        <v>154426.17400000003</v>
      </c>
      <c r="AZ3323" s="46">
        <v>6.9560000000000004</v>
      </c>
      <c r="BA3323" s="46" t="s">
        <v>63</v>
      </c>
      <c r="BB3323" s="46">
        <v>4800</v>
      </c>
      <c r="BC3323" s="46">
        <v>26634.826000000001</v>
      </c>
      <c r="BD3323" s="46">
        <v>5.5490000000000004</v>
      </c>
      <c r="BE3323" s="46">
        <v>5550</v>
      </c>
      <c r="BF3323" s="46">
        <v>10392</v>
      </c>
      <c r="BG3323" s="46">
        <v>4.16</v>
      </c>
      <c r="BH3323" s="46">
        <v>0</v>
      </c>
      <c r="BJ3323">
        <v>10392.000000000002</v>
      </c>
      <c r="BK3323">
        <v>4.16</v>
      </c>
      <c r="BL3323">
        <v>-45.77</v>
      </c>
    </row>
    <row r="3324" spans="1:64" x14ac:dyDescent="0.25">
      <c r="A3324" s="136">
        <v>43563</v>
      </c>
      <c r="B3324" s="201" t="s">
        <v>67</v>
      </c>
      <c r="C3324" t="s">
        <v>129</v>
      </c>
      <c r="D3324">
        <v>230</v>
      </c>
      <c r="E3324">
        <v>230</v>
      </c>
      <c r="F3324">
        <v>-11.728999999999999</v>
      </c>
      <c r="G3324">
        <v>4574.47</v>
      </c>
      <c r="H3324">
        <v>0</v>
      </c>
      <c r="I3324">
        <v>1876.8</v>
      </c>
      <c r="J3324">
        <v>8.16</v>
      </c>
      <c r="K3324" s="133">
        <v>3.4128155551943359E-3</v>
      </c>
      <c r="L3324" s="181">
        <v>6.9000000000005457</v>
      </c>
      <c r="M3324" s="133">
        <v>0</v>
      </c>
      <c r="N3324" s="73">
        <v>4362.583499999957</v>
      </c>
      <c r="O3324" s="73">
        <v>600.60636477272476</v>
      </c>
      <c r="P3324" s="182">
        <v>1</v>
      </c>
      <c r="Q3324" s="182">
        <v>30</v>
      </c>
      <c r="R3324" s="46">
        <v>0</v>
      </c>
      <c r="S3324" s="46">
        <v>24</v>
      </c>
      <c r="T3324" s="46">
        <v>9600</v>
      </c>
      <c r="U3324" s="46">
        <v>8.9429999999999996</v>
      </c>
      <c r="V3324" s="46" t="s">
        <v>68</v>
      </c>
      <c r="W3324" s="46">
        <v>9570</v>
      </c>
      <c r="X3324" s="46">
        <v>8.9710000000000001</v>
      </c>
      <c r="AF3324" s="46">
        <v>193</v>
      </c>
      <c r="AG3324" s="46">
        <v>95500</v>
      </c>
      <c r="AH3324" s="46">
        <v>795318</v>
      </c>
      <c r="AI3324" s="46">
        <v>8.3279999999999994</v>
      </c>
      <c r="AJ3324" s="46">
        <v>197</v>
      </c>
      <c r="AK3324" s="46">
        <v>88300</v>
      </c>
      <c r="AL3324" s="46">
        <v>781491.25550000009</v>
      </c>
      <c r="AM3324" s="46">
        <v>8.85</v>
      </c>
      <c r="AN3324" s="46" t="s">
        <v>63</v>
      </c>
      <c r="AO3324" s="46">
        <v>7200</v>
      </c>
      <c r="AP3324" s="46">
        <v>13826.744000000001</v>
      </c>
      <c r="AQ3324" s="46">
        <v>1.92</v>
      </c>
      <c r="AR3324" s="46">
        <v>46092.6</v>
      </c>
      <c r="AS3324" s="46">
        <v>194</v>
      </c>
      <c r="AT3324" s="46">
        <v>95530</v>
      </c>
      <c r="AU3324" s="46">
        <v>795323</v>
      </c>
      <c r="AV3324" s="46">
        <v>8.3249999999999993</v>
      </c>
      <c r="AW3324" s="46">
        <v>221</v>
      </c>
      <c r="AX3324" s="46">
        <v>97900</v>
      </c>
      <c r="AY3324" s="46">
        <v>867143.89950000017</v>
      </c>
      <c r="AZ3324" s="46">
        <v>8.8569999999999993</v>
      </c>
      <c r="BA3324" s="46" t="s">
        <v>69</v>
      </c>
      <c r="BB3324" s="46">
        <v>2370</v>
      </c>
      <c r="BC3324" s="46">
        <v>71820.899999999994</v>
      </c>
      <c r="BD3324" s="46">
        <v>30.303999999999998</v>
      </c>
      <c r="BE3324" s="46">
        <v>50821.96</v>
      </c>
      <c r="BF3324" s="46">
        <v>5</v>
      </c>
      <c r="BG3324" s="46">
        <v>0.17</v>
      </c>
      <c r="BH3324" s="46">
        <v>85652.644000000088</v>
      </c>
      <c r="BI3324">
        <v>8.92</v>
      </c>
      <c r="BJ3324">
        <v>57994.155999999995</v>
      </c>
      <c r="BK3324">
        <v>6.06</v>
      </c>
      <c r="BL3324">
        <v>5648.6</v>
      </c>
    </row>
    <row r="3325" spans="1:64" x14ac:dyDescent="0.25">
      <c r="A3325" s="136">
        <v>43563</v>
      </c>
      <c r="B3325" s="201" t="s">
        <v>78</v>
      </c>
      <c r="C3325" t="s">
        <v>142</v>
      </c>
      <c r="D3325">
        <v>200</v>
      </c>
      <c r="E3325">
        <v>200</v>
      </c>
      <c r="F3325">
        <v>2.077</v>
      </c>
      <c r="G3325">
        <v>1780.65</v>
      </c>
      <c r="H3325">
        <v>428.66</v>
      </c>
      <c r="I3325">
        <v>2196</v>
      </c>
      <c r="J3325">
        <v>10.98</v>
      </c>
      <c r="K3325" s="133">
        <v>3.9932560524332701E-3</v>
      </c>
      <c r="L3325" s="181">
        <v>-44</v>
      </c>
      <c r="M3325" s="133">
        <v>7.5528183122866956E-4</v>
      </c>
      <c r="N3325" s="73">
        <v>1454.650999999996</v>
      </c>
      <c r="O3325" s="73">
        <v>155.49985823529371</v>
      </c>
      <c r="P3325" s="182">
        <v>0</v>
      </c>
      <c r="Q3325" s="182">
        <v>0</v>
      </c>
      <c r="R3325" s="46">
        <v>0</v>
      </c>
      <c r="S3325" s="46">
        <v>3</v>
      </c>
      <c r="T3325" s="46">
        <v>1200</v>
      </c>
      <c r="U3325" s="46">
        <v>9.923</v>
      </c>
      <c r="V3325" s="46" t="s">
        <v>68</v>
      </c>
      <c r="W3325" s="46">
        <v>1200</v>
      </c>
      <c r="X3325" s="46">
        <v>9.923</v>
      </c>
      <c r="AF3325" s="46">
        <v>14</v>
      </c>
      <c r="AG3325" s="46">
        <v>7000</v>
      </c>
      <c r="AH3325" s="46">
        <v>67625</v>
      </c>
      <c r="AI3325" s="46">
        <v>9.6609999999999996</v>
      </c>
      <c r="AJ3325" s="46">
        <v>15</v>
      </c>
      <c r="AK3325" s="46">
        <v>5600</v>
      </c>
      <c r="AL3325" s="46">
        <v>55310.559000000008</v>
      </c>
      <c r="AM3325" s="46">
        <v>9.8770000000000007</v>
      </c>
      <c r="AN3325" s="46" t="s">
        <v>63</v>
      </c>
      <c r="AO3325" s="46">
        <v>1400</v>
      </c>
      <c r="AP3325" s="46">
        <v>12314.441000000001</v>
      </c>
      <c r="AQ3325" s="46">
        <v>8.7959999999999994</v>
      </c>
      <c r="AR3325" s="46">
        <v>1209.5999999999999</v>
      </c>
      <c r="AS3325" s="46">
        <v>14</v>
      </c>
      <c r="AT3325" s="46">
        <v>7000</v>
      </c>
      <c r="AU3325" s="46">
        <v>67625</v>
      </c>
      <c r="AV3325" s="46">
        <v>9.6609999999999996</v>
      </c>
      <c r="AW3325" s="46">
        <v>18</v>
      </c>
      <c r="AX3325" s="46">
        <v>6800</v>
      </c>
      <c r="AY3325" s="46">
        <v>67209.651000000013</v>
      </c>
      <c r="AZ3325" s="46">
        <v>9.8840000000000003</v>
      </c>
      <c r="BA3325" s="46" t="s">
        <v>63</v>
      </c>
      <c r="BB3325" s="46">
        <v>200</v>
      </c>
      <c r="BC3325" s="46">
        <v>415.34899999999999</v>
      </c>
      <c r="BD3325" s="46">
        <v>2.077</v>
      </c>
      <c r="BE3325" s="46">
        <v>1516.4</v>
      </c>
      <c r="BF3325" s="46">
        <v>0</v>
      </c>
      <c r="BH3325" s="46">
        <v>11899.092000000004</v>
      </c>
      <c r="BI3325">
        <v>9.92</v>
      </c>
      <c r="BJ3325">
        <v>-11899.092000000001</v>
      </c>
      <c r="BK3325">
        <v>-9.92</v>
      </c>
      <c r="BL3325">
        <v>110.16</v>
      </c>
    </row>
    <row r="3326" spans="1:64" x14ac:dyDescent="0.25">
      <c r="A3326" s="136">
        <v>43563</v>
      </c>
      <c r="B3326" s="201" t="s">
        <v>72</v>
      </c>
      <c r="C3326" t="s">
        <v>130</v>
      </c>
      <c r="D3326">
        <v>100</v>
      </c>
      <c r="E3326">
        <v>100</v>
      </c>
      <c r="F3326">
        <v>-18.477</v>
      </c>
      <c r="G3326">
        <v>2458.6999999999998</v>
      </c>
      <c r="H3326">
        <v>0</v>
      </c>
      <c r="I3326">
        <v>611</v>
      </c>
      <c r="J3326">
        <v>6.11</v>
      </c>
      <c r="K3326" s="133">
        <v>1.1110562149529728E-3</v>
      </c>
      <c r="L3326" s="181">
        <v>-16</v>
      </c>
      <c r="M3326" s="133">
        <v>0</v>
      </c>
      <c r="N3326" s="73">
        <v>-1498.9659999999872</v>
      </c>
      <c r="O3326" s="73">
        <v>376.42007904191922</v>
      </c>
      <c r="P3326" s="182">
        <v>0</v>
      </c>
      <c r="Q3326" s="182">
        <v>0</v>
      </c>
      <c r="R3326" s="46">
        <v>0</v>
      </c>
      <c r="S3326" s="46">
        <v>20</v>
      </c>
      <c r="T3326" s="46">
        <v>8600</v>
      </c>
      <c r="U3326" s="46">
        <v>7.3840000000000003</v>
      </c>
      <c r="V3326" s="46" t="s">
        <v>68</v>
      </c>
      <c r="W3326" s="46">
        <v>8600</v>
      </c>
      <c r="X3326" s="46">
        <v>7.3840000000000003</v>
      </c>
      <c r="AF3326" s="46">
        <v>42</v>
      </c>
      <c r="AG3326" s="46">
        <v>20900</v>
      </c>
      <c r="AH3326" s="46">
        <v>152800</v>
      </c>
      <c r="AI3326" s="46">
        <v>7.3109999999999999</v>
      </c>
      <c r="AJ3326" s="46">
        <v>42</v>
      </c>
      <c r="AK3326" s="46">
        <v>18800</v>
      </c>
      <c r="AL3326" s="46">
        <v>92037.725000000035</v>
      </c>
      <c r="AM3326" s="46">
        <v>4.8959999999999999</v>
      </c>
      <c r="AN3326" s="46" t="s">
        <v>63</v>
      </c>
      <c r="AO3326" s="46">
        <v>2100</v>
      </c>
      <c r="AP3326" s="46">
        <v>60762.275000000001</v>
      </c>
      <c r="AQ3326" s="46">
        <v>28.934000000000001</v>
      </c>
      <c r="AR3326" s="46">
        <v>-45402</v>
      </c>
      <c r="AS3326" s="46">
        <v>42</v>
      </c>
      <c r="AT3326" s="46">
        <v>20900</v>
      </c>
      <c r="AU3326" s="46">
        <v>152800</v>
      </c>
      <c r="AV3326" s="46">
        <v>7.3109999999999999</v>
      </c>
      <c r="AW3326" s="46">
        <v>63</v>
      </c>
      <c r="AX3326" s="46">
        <v>27900</v>
      </c>
      <c r="AY3326" s="46">
        <v>155380.21900000001</v>
      </c>
      <c r="AZ3326" s="46">
        <v>5.569</v>
      </c>
      <c r="BA3326" s="46" t="s">
        <v>69</v>
      </c>
      <c r="BB3326" s="46">
        <v>7000</v>
      </c>
      <c r="BC3326" s="46">
        <v>2580.2190000000001</v>
      </c>
      <c r="BD3326" s="46">
        <v>0.36899999999999999</v>
      </c>
      <c r="BE3326" s="46">
        <v>-36407.800000000003</v>
      </c>
      <c r="BF3326" s="46">
        <v>0</v>
      </c>
      <c r="BH3326" s="46">
        <v>63342.493999999977</v>
      </c>
      <c r="BI3326">
        <v>7.37</v>
      </c>
      <c r="BJ3326">
        <v>-58182.056000000004</v>
      </c>
      <c r="BK3326">
        <v>-6.77</v>
      </c>
      <c r="BL3326">
        <v>-7430.77</v>
      </c>
    </row>
    <row r="3327" spans="1:64" x14ac:dyDescent="0.25">
      <c r="A3327" s="136">
        <v>43563</v>
      </c>
      <c r="B3327" s="201" t="s">
        <v>70</v>
      </c>
      <c r="C3327" t="s">
        <v>131</v>
      </c>
      <c r="D3327">
        <v>11900</v>
      </c>
      <c r="E3327">
        <v>11900</v>
      </c>
      <c r="F3327">
        <v>11.288</v>
      </c>
      <c r="G3327">
        <v>-25325.88</v>
      </c>
      <c r="H3327">
        <v>-18.850000000000001</v>
      </c>
      <c r="I3327">
        <v>109004</v>
      </c>
      <c r="J3327">
        <v>9.16</v>
      </c>
      <c r="K3327" s="133">
        <v>0.19821533822378695</v>
      </c>
      <c r="L3327" s="181">
        <v>2769.2599999999984</v>
      </c>
      <c r="M3327" s="133">
        <v>0.24426849104400497</v>
      </c>
      <c r="N3327" s="73">
        <v>-23187.869000000035</v>
      </c>
      <c r="O3327" s="73">
        <v>-2481.3998999464707</v>
      </c>
      <c r="P3327" s="182">
        <v>0</v>
      </c>
      <c r="Q3327" s="182">
        <v>0</v>
      </c>
      <c r="R3327" s="46">
        <v>0</v>
      </c>
      <c r="S3327" s="46">
        <v>6</v>
      </c>
      <c r="T3327" s="46">
        <v>2400</v>
      </c>
      <c r="U3327" s="46">
        <v>8.4779999999999998</v>
      </c>
      <c r="V3327" s="46" t="s">
        <v>68</v>
      </c>
      <c r="W3327" s="46">
        <v>2400</v>
      </c>
      <c r="X3327" s="46">
        <v>8.4779999999999998</v>
      </c>
      <c r="AF3327" s="46">
        <v>156</v>
      </c>
      <c r="AG3327" s="46">
        <v>79600</v>
      </c>
      <c r="AH3327" s="46">
        <v>982918</v>
      </c>
      <c r="AI3327" s="46">
        <v>12.348000000000001</v>
      </c>
      <c r="AJ3327" s="46">
        <v>162</v>
      </c>
      <c r="AK3327" s="46">
        <v>65300</v>
      </c>
      <c r="AL3327" s="46">
        <v>827881.4789999997</v>
      </c>
      <c r="AM3327" s="46">
        <v>12.678000000000001</v>
      </c>
      <c r="AN3327" s="46" t="s">
        <v>63</v>
      </c>
      <c r="AO3327" s="46">
        <v>14300</v>
      </c>
      <c r="AP3327" s="46">
        <v>155036.52100000001</v>
      </c>
      <c r="AQ3327" s="46">
        <v>10.842000000000001</v>
      </c>
      <c r="AR3327" s="46">
        <v>21549</v>
      </c>
      <c r="AS3327" s="46">
        <v>156</v>
      </c>
      <c r="AT3327" s="46">
        <v>79600</v>
      </c>
      <c r="AU3327" s="46">
        <v>982918</v>
      </c>
      <c r="AV3327" s="46">
        <v>12.348000000000001</v>
      </c>
      <c r="AW3327" s="46">
        <v>169</v>
      </c>
      <c r="AX3327" s="46">
        <v>67700</v>
      </c>
      <c r="AY3327" s="46">
        <v>848584.1309999997</v>
      </c>
      <c r="AZ3327" s="46">
        <v>12.534000000000001</v>
      </c>
      <c r="BA3327" s="46" t="s">
        <v>63</v>
      </c>
      <c r="BB3327" s="46">
        <v>11900</v>
      </c>
      <c r="BC3327" s="46">
        <v>134333.86900000001</v>
      </c>
      <c r="BD3327" s="46">
        <v>11.289</v>
      </c>
      <c r="BE3327" s="46">
        <v>12592.2</v>
      </c>
      <c r="BF3327" s="46">
        <v>0</v>
      </c>
      <c r="BH3327" s="46">
        <v>20702.652000000002</v>
      </c>
      <c r="BI3327">
        <v>8.6300000000000008</v>
      </c>
      <c r="BJ3327">
        <v>-20702.652000000002</v>
      </c>
      <c r="BK3327">
        <v>-8.6300000000000008</v>
      </c>
      <c r="BL3327">
        <v>2352.5100000000002</v>
      </c>
    </row>
    <row r="3328" spans="1:64" x14ac:dyDescent="0.25">
      <c r="A3328" s="136">
        <v>43563</v>
      </c>
      <c r="B3328" s="201" t="s">
        <v>628</v>
      </c>
      <c r="C3328" t="s">
        <v>629</v>
      </c>
      <c r="D3328">
        <v>100</v>
      </c>
      <c r="E3328">
        <v>100</v>
      </c>
      <c r="F3328">
        <v>-22.33</v>
      </c>
      <c r="G3328">
        <v>3683</v>
      </c>
      <c r="H3328">
        <v>0</v>
      </c>
      <c r="I3328">
        <v>1450</v>
      </c>
      <c r="J3328">
        <v>14.5</v>
      </c>
      <c r="K3328" s="133">
        <v>2.6367127850766129E-3</v>
      </c>
      <c r="L3328" s="181">
        <v>-48</v>
      </c>
      <c r="M3328" s="133">
        <v>0</v>
      </c>
    </row>
    <row r="3329" spans="1:64" x14ac:dyDescent="0.25">
      <c r="A3329" s="136">
        <v>43563</v>
      </c>
      <c r="B3329" s="201" t="s">
        <v>630</v>
      </c>
      <c r="C3329" t="s">
        <v>631</v>
      </c>
      <c r="D3329">
        <v>100</v>
      </c>
      <c r="E3329">
        <v>100</v>
      </c>
      <c r="F3329">
        <v>-94.45</v>
      </c>
      <c r="G3329">
        <v>12782</v>
      </c>
      <c r="H3329">
        <v>0</v>
      </c>
      <c r="I3329">
        <v>3337</v>
      </c>
      <c r="J3329">
        <v>33.369999999999997</v>
      </c>
      <c r="K3329" s="133">
        <v>6.0680762508970049E-3</v>
      </c>
      <c r="L3329" s="181">
        <v>-233</v>
      </c>
      <c r="M3329" s="133">
        <v>0</v>
      </c>
    </row>
    <row r="3330" spans="1:64" x14ac:dyDescent="0.25">
      <c r="A3330" s="136">
        <v>43563</v>
      </c>
      <c r="B3330" s="201" t="s">
        <v>137</v>
      </c>
      <c r="C3330" t="s">
        <v>149</v>
      </c>
      <c r="D3330">
        <v>100</v>
      </c>
      <c r="E3330">
        <v>100</v>
      </c>
      <c r="F3330">
        <v>-130.86000000000001</v>
      </c>
      <c r="G3330">
        <v>16846</v>
      </c>
      <c r="H3330">
        <v>0</v>
      </c>
      <c r="I3330">
        <v>3760</v>
      </c>
      <c r="J3330">
        <v>37.6</v>
      </c>
      <c r="K3330" s="133">
        <v>6.8372690150952167E-3</v>
      </c>
      <c r="L3330" s="181">
        <v>-98</v>
      </c>
      <c r="M3330" s="133">
        <v>0</v>
      </c>
    </row>
    <row r="3331" spans="1:64" x14ac:dyDescent="0.25">
      <c r="A3331" s="136">
        <v>43563</v>
      </c>
      <c r="B3331" s="201" t="s">
        <v>835</v>
      </c>
      <c r="C3331" t="s">
        <v>839</v>
      </c>
      <c r="I3331">
        <v>7757.13</v>
      </c>
      <c r="K3331" s="133">
        <v>1.4105740583794031E-2</v>
      </c>
      <c r="L3331" s="181">
        <v>0</v>
      </c>
      <c r="M3331" s="133">
        <v>0.21415048469054543</v>
      </c>
    </row>
    <row r="3332" spans="1:64" x14ac:dyDescent="0.25">
      <c r="A3332" s="136">
        <v>43564</v>
      </c>
      <c r="B3332" t="s">
        <v>132</v>
      </c>
      <c r="C3332" t="s">
        <v>123</v>
      </c>
      <c r="D3332">
        <v>11003217</v>
      </c>
      <c r="E3332">
        <v>11003217</v>
      </c>
      <c r="F3332">
        <v>0.01</v>
      </c>
      <c r="G3332">
        <v>3877.02</v>
      </c>
      <c r="H3332">
        <v>0</v>
      </c>
      <c r="I3332">
        <v>110032.17</v>
      </c>
      <c r="J3332">
        <v>0.01</v>
      </c>
      <c r="K3332" s="133">
        <v>0.19850310718076014</v>
      </c>
      <c r="L3332" s="181">
        <v>22.130000000000109</v>
      </c>
      <c r="M3332" s="133">
        <v>0</v>
      </c>
    </row>
    <row r="3333" spans="1:64" x14ac:dyDescent="0.25">
      <c r="A3333" s="136">
        <v>43564</v>
      </c>
      <c r="B3333" t="s">
        <v>61</v>
      </c>
      <c r="C3333" t="s">
        <v>136</v>
      </c>
      <c r="D3333">
        <v>2300</v>
      </c>
      <c r="E3333">
        <v>2300</v>
      </c>
      <c r="F3333">
        <v>4.992</v>
      </c>
      <c r="G3333">
        <v>-601.52</v>
      </c>
      <c r="H3333">
        <v>-5.24</v>
      </c>
      <c r="I3333">
        <v>10879</v>
      </c>
      <c r="J3333">
        <v>4.7300000000000004</v>
      </c>
      <c r="K3333" s="133">
        <v>1.9626217523652307E-2</v>
      </c>
      <c r="L3333" s="181">
        <v>92</v>
      </c>
      <c r="M3333" s="133">
        <v>2.0711387333821194E-2</v>
      </c>
      <c r="N3333" s="73">
        <v>-581.44500000000517</v>
      </c>
      <c r="O3333" s="73">
        <v>-122.60638765822894</v>
      </c>
      <c r="P3333" s="182">
        <v>2</v>
      </c>
      <c r="Q3333" s="182">
        <v>1000</v>
      </c>
      <c r="R3333" s="46">
        <v>4.82</v>
      </c>
      <c r="S3333" s="46">
        <v>1</v>
      </c>
      <c r="T3333" s="46">
        <v>400</v>
      </c>
      <c r="U3333" s="46">
        <v>4.74</v>
      </c>
      <c r="V3333" s="46" t="s">
        <v>62</v>
      </c>
      <c r="W3333" s="46">
        <v>600</v>
      </c>
      <c r="X3333" s="46">
        <v>4.8730000000000002</v>
      </c>
      <c r="AF3333" s="46">
        <v>18</v>
      </c>
      <c r="AG3333" s="46">
        <v>9000</v>
      </c>
      <c r="AH3333" s="46">
        <v>45060.400000000009</v>
      </c>
      <c r="AI3333" s="46">
        <v>5.0069999999999997</v>
      </c>
      <c r="AJ3333" s="46">
        <v>18</v>
      </c>
      <c r="AK3333" s="46">
        <v>7300</v>
      </c>
      <c r="AL3333" s="46">
        <v>36518.690999999984</v>
      </c>
      <c r="AM3333" s="46">
        <v>5.0030000000000001</v>
      </c>
      <c r="AN3333" s="46" t="s">
        <v>63</v>
      </c>
      <c r="AO3333" s="46">
        <v>1700</v>
      </c>
      <c r="AP3333" s="46">
        <v>8541.7090000000007</v>
      </c>
      <c r="AQ3333" s="46">
        <v>5.0250000000000004</v>
      </c>
      <c r="AR3333" s="46">
        <v>-29.2</v>
      </c>
      <c r="AS3333" s="46">
        <v>20</v>
      </c>
      <c r="AT3333" s="46">
        <v>10000</v>
      </c>
      <c r="AU3333" s="46">
        <v>49891</v>
      </c>
      <c r="AV3333" s="46">
        <v>4.9889999999999999</v>
      </c>
      <c r="AW3333" s="46">
        <v>19</v>
      </c>
      <c r="AX3333" s="46">
        <v>7700</v>
      </c>
      <c r="AY3333" s="46">
        <v>38407.554999999986</v>
      </c>
      <c r="AZ3333" s="46">
        <v>4.9880000000000004</v>
      </c>
      <c r="BA3333" s="46" t="s">
        <v>63</v>
      </c>
      <c r="BB3333" s="46">
        <v>2300</v>
      </c>
      <c r="BC3333" s="46">
        <v>11483.445</v>
      </c>
      <c r="BD3333" s="46">
        <v>4.9930000000000003</v>
      </c>
      <c r="BE3333" s="46">
        <v>-7.7</v>
      </c>
      <c r="BF3333" s="46">
        <v>4830.5999999999913</v>
      </c>
      <c r="BG3333" s="46">
        <v>4.83</v>
      </c>
      <c r="BH3333" s="46">
        <v>1888.8640000000014</v>
      </c>
      <c r="BI3333">
        <v>4.72</v>
      </c>
      <c r="BJ3333">
        <v>2941.735999999999</v>
      </c>
      <c r="BK3333">
        <v>4.9000000000000004</v>
      </c>
      <c r="BL3333">
        <v>-6.17</v>
      </c>
    </row>
    <row r="3334" spans="1:64" x14ac:dyDescent="0.25">
      <c r="A3334" s="136">
        <v>43564</v>
      </c>
      <c r="B3334" t="s">
        <v>124</v>
      </c>
      <c r="C3334" t="s">
        <v>125</v>
      </c>
      <c r="D3334">
        <v>100</v>
      </c>
      <c r="E3334">
        <v>100</v>
      </c>
      <c r="F3334">
        <v>-53.82</v>
      </c>
      <c r="G3334">
        <v>5960</v>
      </c>
      <c r="H3334">
        <v>0</v>
      </c>
      <c r="I3334">
        <v>578</v>
      </c>
      <c r="J3334">
        <v>5.78</v>
      </c>
      <c r="K3334" s="133">
        <v>1.0427386458930997E-3</v>
      </c>
      <c r="L3334" s="181">
        <v>-4</v>
      </c>
      <c r="M3334" s="133">
        <v>0</v>
      </c>
      <c r="N3334" s="73">
        <v>5573.0690000000113</v>
      </c>
      <c r="O3334" s="73">
        <v>1102.4501845505636</v>
      </c>
      <c r="P3334" s="182">
        <v>0</v>
      </c>
      <c r="Q3334" s="182">
        <v>0</v>
      </c>
      <c r="R3334" s="46">
        <v>0</v>
      </c>
      <c r="S3334" s="46">
        <v>5</v>
      </c>
      <c r="T3334" s="46">
        <v>2300</v>
      </c>
      <c r="U3334" s="46">
        <v>4.99</v>
      </c>
      <c r="V3334" s="46" t="s">
        <v>68</v>
      </c>
      <c r="W3334" s="46">
        <v>2300</v>
      </c>
      <c r="X3334" s="46">
        <v>4.99</v>
      </c>
      <c r="AF3334" s="46">
        <v>50</v>
      </c>
      <c r="AG3334" s="46">
        <v>36700</v>
      </c>
      <c r="AH3334" s="46">
        <v>180101.02000000002</v>
      </c>
      <c r="AI3334" s="46">
        <v>4.907</v>
      </c>
      <c r="AJ3334" s="46">
        <v>58</v>
      </c>
      <c r="AK3334" s="46">
        <v>35300</v>
      </c>
      <c r="AL3334" s="46">
        <v>178266.546</v>
      </c>
      <c r="AM3334" s="46">
        <v>5.05</v>
      </c>
      <c r="AN3334" s="46" t="s">
        <v>63</v>
      </c>
      <c r="AO3334" s="46">
        <v>1400</v>
      </c>
      <c r="AP3334" s="46">
        <v>1834.4739999999999</v>
      </c>
      <c r="AQ3334" s="46">
        <v>1.31</v>
      </c>
      <c r="AR3334" s="46">
        <v>5047.8999999999996</v>
      </c>
      <c r="AS3334" s="46">
        <v>51</v>
      </c>
      <c r="AT3334" s="46">
        <v>37700</v>
      </c>
      <c r="AU3334" s="46">
        <v>185106.62</v>
      </c>
      <c r="AV3334" s="46">
        <v>4.91</v>
      </c>
      <c r="AW3334" s="46">
        <v>63</v>
      </c>
      <c r="AX3334" s="46">
        <v>37600</v>
      </c>
      <c r="AY3334" s="46">
        <v>189713.68900000001</v>
      </c>
      <c r="AZ3334" s="46">
        <v>5.0460000000000003</v>
      </c>
      <c r="BA3334" s="46" t="s">
        <v>63</v>
      </c>
      <c r="BB3334" s="46">
        <v>100</v>
      </c>
      <c r="BC3334" s="46">
        <v>4607.0690000000004</v>
      </c>
      <c r="BD3334" s="46">
        <v>46.070999999999998</v>
      </c>
      <c r="BE3334" s="46">
        <v>5113.6000000000004</v>
      </c>
      <c r="BF3334" s="46">
        <v>5005.5999999999767</v>
      </c>
      <c r="BH3334" s="46">
        <v>11447.143000000011</v>
      </c>
      <c r="BI3334">
        <v>4.9800000000000004</v>
      </c>
      <c r="BJ3334">
        <v>2772.5950000000003</v>
      </c>
      <c r="BK3334">
        <v>1.21</v>
      </c>
      <c r="BL3334">
        <v>873.34</v>
      </c>
    </row>
    <row r="3335" spans="1:64" x14ac:dyDescent="0.25">
      <c r="A3335" s="136">
        <v>43564</v>
      </c>
      <c r="B3335" t="s">
        <v>71</v>
      </c>
      <c r="C3335" t="s">
        <v>126</v>
      </c>
      <c r="D3335">
        <v>300</v>
      </c>
      <c r="E3335">
        <v>300</v>
      </c>
      <c r="F3335">
        <v>-3.4809999999999999</v>
      </c>
      <c r="G3335">
        <v>2991.3</v>
      </c>
      <c r="H3335">
        <v>0</v>
      </c>
      <c r="I3335">
        <v>1947</v>
      </c>
      <c r="J3335">
        <v>6.49</v>
      </c>
      <c r="K3335" s="133">
        <v>3.5124777570136076E-3</v>
      </c>
      <c r="L3335" s="181">
        <v>-21</v>
      </c>
      <c r="M3335" s="133">
        <v>0</v>
      </c>
      <c r="N3335" s="73">
        <v>2956.6600000000053</v>
      </c>
      <c r="O3335" s="73">
        <v>457.89878995433872</v>
      </c>
      <c r="P3335" s="182">
        <v>0</v>
      </c>
      <c r="Q3335" s="182">
        <v>0</v>
      </c>
      <c r="R3335" s="46">
        <v>0</v>
      </c>
      <c r="S3335" s="46">
        <v>9</v>
      </c>
      <c r="T3335" s="46">
        <v>3500</v>
      </c>
      <c r="U3335" s="46">
        <v>6.4729999999999999</v>
      </c>
      <c r="V3335" s="46" t="s">
        <v>68</v>
      </c>
      <c r="W3335" s="46">
        <v>3500</v>
      </c>
      <c r="X3335" s="46">
        <v>6.4729999999999999</v>
      </c>
      <c r="AF3335" s="46">
        <v>51</v>
      </c>
      <c r="AG3335" s="46">
        <v>25600</v>
      </c>
      <c r="AH3335" s="46">
        <v>162451.32999999999</v>
      </c>
      <c r="AI3335" s="46">
        <v>6.3460000000000001</v>
      </c>
      <c r="AJ3335" s="46">
        <v>49</v>
      </c>
      <c r="AK3335" s="46">
        <v>21800</v>
      </c>
      <c r="AL3335" s="46">
        <v>140734.78599999999</v>
      </c>
      <c r="AM3335" s="46">
        <v>6.4560000000000004</v>
      </c>
      <c r="AN3335" s="46" t="s">
        <v>63</v>
      </c>
      <c r="AO3335" s="46">
        <v>3800</v>
      </c>
      <c r="AP3335" s="46">
        <v>21716.544000000002</v>
      </c>
      <c r="AQ3335" s="46">
        <v>5.7149999999999999</v>
      </c>
      <c r="AR3335" s="46">
        <v>2398</v>
      </c>
      <c r="AS3335" s="46">
        <v>51</v>
      </c>
      <c r="AT3335" s="46">
        <v>25600</v>
      </c>
      <c r="AU3335" s="46">
        <v>162451.32999999999</v>
      </c>
      <c r="AV3335" s="46">
        <v>6.3460000000000001</v>
      </c>
      <c r="AW3335" s="46">
        <v>58</v>
      </c>
      <c r="AX3335" s="46">
        <v>25300</v>
      </c>
      <c r="AY3335" s="46">
        <v>163329.03</v>
      </c>
      <c r="AZ3335" s="46">
        <v>6.4560000000000004</v>
      </c>
      <c r="BA3335" s="46" t="s">
        <v>63</v>
      </c>
      <c r="BB3335" s="46">
        <v>300</v>
      </c>
      <c r="BC3335" s="46">
        <v>877.7</v>
      </c>
      <c r="BD3335" s="46">
        <v>2.9260000000000002</v>
      </c>
      <c r="BE3335" s="46">
        <v>2783</v>
      </c>
      <c r="BF3335" s="46">
        <v>0</v>
      </c>
      <c r="BH3335" s="46">
        <v>22594.244000000006</v>
      </c>
      <c r="BI3335">
        <v>6.46</v>
      </c>
      <c r="BJ3335">
        <v>-20838.844000000001</v>
      </c>
      <c r="BK3335">
        <v>-5.95</v>
      </c>
      <c r="BL3335">
        <v>369.49</v>
      </c>
    </row>
    <row r="3336" spans="1:64" x14ac:dyDescent="0.25">
      <c r="A3336" s="136">
        <v>43564</v>
      </c>
      <c r="B3336" t="s">
        <v>79</v>
      </c>
      <c r="C3336" t="s">
        <v>143</v>
      </c>
      <c r="D3336">
        <v>9920</v>
      </c>
      <c r="E3336">
        <v>9420</v>
      </c>
      <c r="F3336">
        <v>10.718</v>
      </c>
      <c r="G3336">
        <v>-14167.02</v>
      </c>
      <c r="H3336">
        <v>-13.32</v>
      </c>
      <c r="I3336">
        <v>92156.800000000003</v>
      </c>
      <c r="J3336">
        <v>9.2899999999999991</v>
      </c>
      <c r="K3336" s="133">
        <v>0.1662551156433239</v>
      </c>
      <c r="L3336" s="181">
        <v>773.51000000000022</v>
      </c>
      <c r="M3336" s="133">
        <v>0.19181307282522783</v>
      </c>
      <c r="N3336" s="73">
        <v>-14681.452000000252</v>
      </c>
      <c r="O3336" s="73">
        <v>-1588.1072807359581</v>
      </c>
      <c r="P3336" s="182">
        <v>8</v>
      </c>
      <c r="Q3336" s="182">
        <v>6420</v>
      </c>
      <c r="R3336" s="46">
        <v>4.968</v>
      </c>
      <c r="S3336" s="46">
        <v>0</v>
      </c>
      <c r="T3336" s="46">
        <v>0</v>
      </c>
      <c r="U3336" s="46">
        <v>0</v>
      </c>
      <c r="V3336" s="46" t="s">
        <v>62</v>
      </c>
      <c r="W3336" s="46">
        <v>6420</v>
      </c>
      <c r="X3336" s="46">
        <v>4.968</v>
      </c>
      <c r="AF3336" s="46">
        <v>34</v>
      </c>
      <c r="AG3336" s="46">
        <v>17500</v>
      </c>
      <c r="AH3336" s="46">
        <v>256460.49999999983</v>
      </c>
      <c r="AI3336" s="46">
        <v>14.654999999999999</v>
      </c>
      <c r="AJ3336" s="46">
        <v>35</v>
      </c>
      <c r="AK3336" s="46">
        <v>14000</v>
      </c>
      <c r="AL3336" s="46">
        <v>182057.0999999998</v>
      </c>
      <c r="AM3336" s="46">
        <v>13.004</v>
      </c>
      <c r="AN3336" s="46" t="s">
        <v>63</v>
      </c>
      <c r="AO3336" s="46">
        <v>3500</v>
      </c>
      <c r="AP3336" s="46">
        <v>74403.399999999994</v>
      </c>
      <c r="AQ3336" s="46">
        <v>21.257999999999999</v>
      </c>
      <c r="AR3336" s="46">
        <v>-23114</v>
      </c>
      <c r="AS3336" s="46">
        <v>42</v>
      </c>
      <c r="AT3336" s="46">
        <v>23920</v>
      </c>
      <c r="AU3336" s="46">
        <v>288399.35199999972</v>
      </c>
      <c r="AV3336" s="46">
        <v>12.057</v>
      </c>
      <c r="AW3336" s="46">
        <v>35</v>
      </c>
      <c r="AX3336" s="46">
        <v>14000</v>
      </c>
      <c r="AY3336" s="46">
        <v>182057.0999999998</v>
      </c>
      <c r="AZ3336" s="46">
        <v>13.004</v>
      </c>
      <c r="BA3336" s="46" t="s">
        <v>63</v>
      </c>
      <c r="BB3336" s="46">
        <v>9920</v>
      </c>
      <c r="BC3336" s="46">
        <v>106342.25199999999</v>
      </c>
      <c r="BD3336" s="46">
        <v>10.72</v>
      </c>
      <c r="BE3336" s="46">
        <v>13258</v>
      </c>
      <c r="BF3336" s="46">
        <v>31938.851999999897</v>
      </c>
      <c r="BG3336" s="46">
        <v>4.97</v>
      </c>
      <c r="BH3336" s="46">
        <v>0</v>
      </c>
      <c r="BJ3336">
        <v>31938.851999999999</v>
      </c>
      <c r="BK3336">
        <v>4.97</v>
      </c>
      <c r="BL3336">
        <v>-2488.0500000000002</v>
      </c>
    </row>
    <row r="3337" spans="1:64" x14ac:dyDescent="0.25">
      <c r="A3337" s="136">
        <v>43564</v>
      </c>
      <c r="B3337" t="s">
        <v>65</v>
      </c>
      <c r="C3337" t="s">
        <v>127</v>
      </c>
      <c r="D3337">
        <v>20100</v>
      </c>
      <c r="E3337">
        <v>20100</v>
      </c>
      <c r="F3337">
        <v>8.8680000000000003</v>
      </c>
      <c r="G3337">
        <v>8683.3700000000008</v>
      </c>
      <c r="H3337">
        <v>4.87</v>
      </c>
      <c r="I3337">
        <v>186930</v>
      </c>
      <c r="J3337">
        <v>9.3000000000000007</v>
      </c>
      <c r="K3337" s="133">
        <v>0.33723033750310921</v>
      </c>
      <c r="L3337" s="181">
        <v>4123.2500000000009</v>
      </c>
      <c r="M3337" s="133">
        <v>0.3215651377183536</v>
      </c>
      <c r="N3337" s="73">
        <v>6008.9509999999427</v>
      </c>
      <c r="O3337" s="73">
        <v>1096.5201756662907</v>
      </c>
      <c r="P3337" s="182">
        <v>4</v>
      </c>
      <c r="Q3337" s="182">
        <v>2300</v>
      </c>
      <c r="R3337" s="46">
        <v>7.1660000000000004</v>
      </c>
      <c r="S3337" s="46">
        <v>10</v>
      </c>
      <c r="T3337" s="46">
        <v>4000</v>
      </c>
      <c r="U3337" s="46">
        <v>8.5489999999999995</v>
      </c>
      <c r="V3337" s="46" t="s">
        <v>68</v>
      </c>
      <c r="W3337" s="46">
        <v>1700</v>
      </c>
      <c r="X3337" s="46">
        <v>10.42</v>
      </c>
      <c r="AF3337" s="46">
        <v>228</v>
      </c>
      <c r="AG3337" s="46">
        <v>122700</v>
      </c>
      <c r="AH3337" s="46">
        <v>1318809.6810000001</v>
      </c>
      <c r="AI3337" s="46">
        <v>10.747999999999999</v>
      </c>
      <c r="AJ3337" s="46">
        <v>257</v>
      </c>
      <c r="AK3337" s="46">
        <v>110100</v>
      </c>
      <c r="AL3337" s="46">
        <v>1118817.8259999999</v>
      </c>
      <c r="AM3337" s="46">
        <v>10.162000000000001</v>
      </c>
      <c r="AN3337" s="46" t="s">
        <v>63</v>
      </c>
      <c r="AO3337" s="46">
        <v>12600</v>
      </c>
      <c r="AP3337" s="46">
        <v>199991.85500000001</v>
      </c>
      <c r="AQ3337" s="46">
        <v>15.872</v>
      </c>
      <c r="AR3337" s="46">
        <v>-64518.6</v>
      </c>
      <c r="AS3337" s="46">
        <v>233</v>
      </c>
      <c r="AT3337" s="46">
        <v>125100</v>
      </c>
      <c r="AU3337" s="46">
        <v>1336599.6810000001</v>
      </c>
      <c r="AV3337" s="46">
        <v>10.683999999999999</v>
      </c>
      <c r="AW3337" s="46">
        <v>267</v>
      </c>
      <c r="AX3337" s="46">
        <v>114100</v>
      </c>
      <c r="AY3337" s="46">
        <v>1152929.6300000001</v>
      </c>
      <c r="AZ3337" s="46">
        <v>10.105</v>
      </c>
      <c r="BA3337" s="46" t="s">
        <v>63</v>
      </c>
      <c r="BB3337" s="46">
        <v>11000</v>
      </c>
      <c r="BC3337" s="46">
        <v>183670.05100000001</v>
      </c>
      <c r="BD3337" s="46">
        <v>16.696999999999999</v>
      </c>
      <c r="BE3337" s="46">
        <v>-66063.899999999994</v>
      </c>
      <c r="BF3337" s="46">
        <v>17790</v>
      </c>
      <c r="BG3337" s="46">
        <v>7.73</v>
      </c>
      <c r="BH3337" s="46">
        <v>34111.804000000237</v>
      </c>
      <c r="BI3337">
        <v>8.5299999999999994</v>
      </c>
      <c r="BJ3337">
        <v>-16321.804000000004</v>
      </c>
      <c r="BK3337">
        <v>-9.6</v>
      </c>
      <c r="BL3337">
        <v>-6937.48</v>
      </c>
    </row>
    <row r="3338" spans="1:64" x14ac:dyDescent="0.25">
      <c r="A3338" s="136">
        <v>43564</v>
      </c>
      <c r="B3338" t="s">
        <v>77</v>
      </c>
      <c r="C3338" t="s">
        <v>150</v>
      </c>
      <c r="D3338">
        <v>4800</v>
      </c>
      <c r="E3338">
        <v>4800</v>
      </c>
      <c r="F3338">
        <v>5.548</v>
      </c>
      <c r="G3338">
        <v>-3109.88</v>
      </c>
      <c r="H3338">
        <v>-11.68</v>
      </c>
      <c r="I3338">
        <v>23520</v>
      </c>
      <c r="J3338">
        <v>4.9000000000000004</v>
      </c>
      <c r="K3338" s="133">
        <v>4.243116427578842E-2</v>
      </c>
      <c r="L3338" s="181">
        <v>240</v>
      </c>
      <c r="M3338" s="133">
        <v>4.8041531161757335E-2</v>
      </c>
      <c r="N3338" s="73">
        <v>-2510.8260000000046</v>
      </c>
      <c r="O3338" s="73">
        <v>-391.77789220272996</v>
      </c>
      <c r="P3338" s="182">
        <v>5</v>
      </c>
      <c r="Q3338" s="182">
        <v>2500</v>
      </c>
      <c r="R3338" s="46">
        <v>4.2619999999999996</v>
      </c>
      <c r="S3338" s="46">
        <v>0</v>
      </c>
      <c r="T3338" s="46">
        <v>0</v>
      </c>
      <c r="U3338" s="46">
        <v>0</v>
      </c>
      <c r="V3338" s="46" t="s">
        <v>62</v>
      </c>
      <c r="W3338" s="46">
        <v>2500</v>
      </c>
      <c r="X3338" s="46">
        <v>4.2619999999999996</v>
      </c>
      <c r="AF3338" s="46">
        <v>49</v>
      </c>
      <c r="AG3338" s="46">
        <v>24500</v>
      </c>
      <c r="AH3338" s="46">
        <v>170669</v>
      </c>
      <c r="AI3338" s="46">
        <v>6.9660000000000002</v>
      </c>
      <c r="AJ3338" s="46">
        <v>49</v>
      </c>
      <c r="AK3338" s="46">
        <v>22200</v>
      </c>
      <c r="AL3338" s="46">
        <v>154426.17400000003</v>
      </c>
      <c r="AM3338" s="46">
        <v>6.9560000000000004</v>
      </c>
      <c r="AN3338" s="46" t="s">
        <v>63</v>
      </c>
      <c r="AO3338" s="46">
        <v>2300</v>
      </c>
      <c r="AP3338" s="46">
        <v>16242.825999999999</v>
      </c>
      <c r="AQ3338" s="46">
        <v>7.0620000000000003</v>
      </c>
      <c r="AR3338" s="46">
        <v>-222</v>
      </c>
      <c r="AS3338" s="46">
        <v>54</v>
      </c>
      <c r="AT3338" s="46">
        <v>27000</v>
      </c>
      <c r="AU3338" s="46">
        <v>181061</v>
      </c>
      <c r="AV3338" s="46">
        <v>6.7060000000000004</v>
      </c>
      <c r="AW3338" s="46">
        <v>49</v>
      </c>
      <c r="AX3338" s="46">
        <v>22200</v>
      </c>
      <c r="AY3338" s="46">
        <v>154426.17400000003</v>
      </c>
      <c r="AZ3338" s="46">
        <v>6.9560000000000004</v>
      </c>
      <c r="BA3338" s="46" t="s">
        <v>63</v>
      </c>
      <c r="BB3338" s="46">
        <v>4800</v>
      </c>
      <c r="BC3338" s="46">
        <v>26634.826000000001</v>
      </c>
      <c r="BD3338" s="46">
        <v>5.5490000000000004</v>
      </c>
      <c r="BE3338" s="46">
        <v>5550</v>
      </c>
      <c r="BF3338" s="46">
        <v>10392</v>
      </c>
      <c r="BG3338" s="46">
        <v>4.16</v>
      </c>
      <c r="BH3338" s="46">
        <v>0</v>
      </c>
      <c r="BJ3338">
        <v>10392.000000000002</v>
      </c>
      <c r="BK3338">
        <v>4.16</v>
      </c>
      <c r="BL3338">
        <v>-45.31</v>
      </c>
    </row>
    <row r="3339" spans="1:64" x14ac:dyDescent="0.25">
      <c r="A3339" s="136">
        <v>43564</v>
      </c>
      <c r="B3339" t="s">
        <v>67</v>
      </c>
      <c r="C3339" t="s">
        <v>129</v>
      </c>
      <c r="D3339">
        <v>230</v>
      </c>
      <c r="E3339">
        <v>230</v>
      </c>
      <c r="F3339">
        <v>-11.728999999999999</v>
      </c>
      <c r="G3339">
        <v>4539.97</v>
      </c>
      <c r="H3339">
        <v>0</v>
      </c>
      <c r="I3339">
        <v>1842.3</v>
      </c>
      <c r="J3339">
        <v>8.01</v>
      </c>
      <c r="K3339" s="133">
        <v>3.3235941303267433E-3</v>
      </c>
      <c r="L3339" s="181">
        <v>-34.5</v>
      </c>
      <c r="M3339" s="133">
        <v>0</v>
      </c>
      <c r="N3339" s="73">
        <v>4362.583499999957</v>
      </c>
      <c r="O3339" s="73">
        <v>600.60636477272476</v>
      </c>
      <c r="P3339" s="182">
        <v>1</v>
      </c>
      <c r="Q3339" s="182">
        <v>30</v>
      </c>
      <c r="R3339" s="46">
        <v>0</v>
      </c>
      <c r="S3339" s="46">
        <v>24</v>
      </c>
      <c r="T3339" s="46">
        <v>9600</v>
      </c>
      <c r="U3339" s="46">
        <v>8.9429999999999996</v>
      </c>
      <c r="V3339" s="46" t="s">
        <v>68</v>
      </c>
      <c r="W3339" s="46">
        <v>9570</v>
      </c>
      <c r="X3339" s="46">
        <v>8.9710000000000001</v>
      </c>
      <c r="AF3339" s="46">
        <v>193</v>
      </c>
      <c r="AG3339" s="46">
        <v>95500</v>
      </c>
      <c r="AH3339" s="46">
        <v>795318</v>
      </c>
      <c r="AI3339" s="46">
        <v>8.3279999999999994</v>
      </c>
      <c r="AJ3339" s="46">
        <v>197</v>
      </c>
      <c r="AK3339" s="46">
        <v>88300</v>
      </c>
      <c r="AL3339" s="46">
        <v>781491.25550000009</v>
      </c>
      <c r="AM3339" s="46">
        <v>8.85</v>
      </c>
      <c r="AN3339" s="46" t="s">
        <v>63</v>
      </c>
      <c r="AO3339" s="46">
        <v>7200</v>
      </c>
      <c r="AP3339" s="46">
        <v>13826.744000000001</v>
      </c>
      <c r="AQ3339" s="46">
        <v>1.92</v>
      </c>
      <c r="AR3339" s="46">
        <v>46092.6</v>
      </c>
      <c r="AS3339" s="46">
        <v>194</v>
      </c>
      <c r="AT3339" s="46">
        <v>95530</v>
      </c>
      <c r="AU3339" s="46">
        <v>795323</v>
      </c>
      <c r="AV3339" s="46">
        <v>8.3249999999999993</v>
      </c>
      <c r="AW3339" s="46">
        <v>221</v>
      </c>
      <c r="AX3339" s="46">
        <v>97900</v>
      </c>
      <c r="AY3339" s="46">
        <v>867143.89950000017</v>
      </c>
      <c r="AZ3339" s="46">
        <v>8.8569999999999993</v>
      </c>
      <c r="BA3339" s="46" t="s">
        <v>69</v>
      </c>
      <c r="BB3339" s="46">
        <v>2370</v>
      </c>
      <c r="BC3339" s="46">
        <v>71820.899999999994</v>
      </c>
      <c r="BD3339" s="46">
        <v>30.303999999999998</v>
      </c>
      <c r="BE3339" s="46">
        <v>50821.96</v>
      </c>
      <c r="BF3339" s="46">
        <v>5</v>
      </c>
      <c r="BG3339" s="46">
        <v>0.17</v>
      </c>
      <c r="BH3339" s="46">
        <v>85652.644000000088</v>
      </c>
      <c r="BI3339">
        <v>8.92</v>
      </c>
      <c r="BJ3339">
        <v>57994.155999999995</v>
      </c>
      <c r="BK3339">
        <v>6.06</v>
      </c>
      <c r="BL3339">
        <v>5754.38</v>
      </c>
    </row>
    <row r="3340" spans="1:64" x14ac:dyDescent="0.25">
      <c r="A3340" s="136">
        <v>43564</v>
      </c>
      <c r="B3340" t="s">
        <v>78</v>
      </c>
      <c r="C3340" t="s">
        <v>142</v>
      </c>
      <c r="D3340">
        <v>200</v>
      </c>
      <c r="E3340">
        <v>200</v>
      </c>
      <c r="F3340">
        <v>2.077</v>
      </c>
      <c r="G3340">
        <v>1920.65</v>
      </c>
      <c r="H3340">
        <v>462.36</v>
      </c>
      <c r="I3340">
        <v>2336</v>
      </c>
      <c r="J3340">
        <v>11.68</v>
      </c>
      <c r="K3340" s="133">
        <v>4.2142516899762649E-3</v>
      </c>
      <c r="L3340" s="181">
        <v>140</v>
      </c>
      <c r="M3340" s="133">
        <v>7.4931054770190119E-4</v>
      </c>
      <c r="N3340" s="73">
        <v>1454.650999999996</v>
      </c>
      <c r="O3340" s="73">
        <v>155.49985823529371</v>
      </c>
      <c r="P3340" s="182">
        <v>0</v>
      </c>
      <c r="Q3340" s="182">
        <v>0</v>
      </c>
      <c r="R3340" s="46">
        <v>0</v>
      </c>
      <c r="S3340" s="46">
        <v>3</v>
      </c>
      <c r="T3340" s="46">
        <v>1200</v>
      </c>
      <c r="U3340" s="46">
        <v>9.923</v>
      </c>
      <c r="V3340" s="46" t="s">
        <v>68</v>
      </c>
      <c r="W3340" s="46">
        <v>1200</v>
      </c>
      <c r="X3340" s="46">
        <v>9.923</v>
      </c>
      <c r="AF3340" s="46">
        <v>14</v>
      </c>
      <c r="AG3340" s="46">
        <v>7000</v>
      </c>
      <c r="AH3340" s="46">
        <v>67625</v>
      </c>
      <c r="AI3340" s="46">
        <v>9.6609999999999996</v>
      </c>
      <c r="AJ3340" s="46">
        <v>15</v>
      </c>
      <c r="AK3340" s="46">
        <v>5600</v>
      </c>
      <c r="AL3340" s="46">
        <v>55310.559000000008</v>
      </c>
      <c r="AM3340" s="46">
        <v>9.8770000000000007</v>
      </c>
      <c r="AN3340" s="46" t="s">
        <v>63</v>
      </c>
      <c r="AO3340" s="46">
        <v>1400</v>
      </c>
      <c r="AP3340" s="46">
        <v>12314.441000000001</v>
      </c>
      <c r="AQ3340" s="46">
        <v>8.7959999999999994</v>
      </c>
      <c r="AR3340" s="46">
        <v>1209.5999999999999</v>
      </c>
      <c r="AS3340" s="46">
        <v>14</v>
      </c>
      <c r="AT3340" s="46">
        <v>7000</v>
      </c>
      <c r="AU3340" s="46">
        <v>67625</v>
      </c>
      <c r="AV3340" s="46">
        <v>9.6609999999999996</v>
      </c>
      <c r="AW3340" s="46">
        <v>18</v>
      </c>
      <c r="AX3340" s="46">
        <v>6800</v>
      </c>
      <c r="AY3340" s="46">
        <v>67209.651000000013</v>
      </c>
      <c r="AZ3340" s="46">
        <v>9.8840000000000003</v>
      </c>
      <c r="BA3340" s="46" t="s">
        <v>63</v>
      </c>
      <c r="BB3340" s="46">
        <v>200</v>
      </c>
      <c r="BC3340" s="46">
        <v>415.34899999999999</v>
      </c>
      <c r="BD3340" s="46">
        <v>2.077</v>
      </c>
      <c r="BE3340" s="46">
        <v>1516.4</v>
      </c>
      <c r="BF3340" s="46">
        <v>0</v>
      </c>
      <c r="BH3340" s="46">
        <v>11899.092000000004</v>
      </c>
      <c r="BI3340">
        <v>9.92</v>
      </c>
      <c r="BJ3340">
        <v>-11899.092000000001</v>
      </c>
      <c r="BK3340">
        <v>-9.92</v>
      </c>
      <c r="BL3340">
        <v>103.56</v>
      </c>
    </row>
    <row r="3341" spans="1:64" x14ac:dyDescent="0.25">
      <c r="A3341" s="136">
        <v>43564</v>
      </c>
      <c r="B3341" t="s">
        <v>72</v>
      </c>
      <c r="C3341" t="s">
        <v>130</v>
      </c>
      <c r="D3341">
        <v>100</v>
      </c>
      <c r="E3341">
        <v>100</v>
      </c>
      <c r="F3341">
        <v>-18.477</v>
      </c>
      <c r="G3341">
        <v>2467.6999999999998</v>
      </c>
      <c r="H3341">
        <v>0</v>
      </c>
      <c r="I3341">
        <v>620</v>
      </c>
      <c r="J3341">
        <v>6.2</v>
      </c>
      <c r="K3341" s="133">
        <v>1.1185085820998649E-3</v>
      </c>
      <c r="L3341" s="181">
        <v>9</v>
      </c>
      <c r="M3341" s="133">
        <v>0</v>
      </c>
      <c r="N3341" s="73">
        <v>-1498.9659999999872</v>
      </c>
      <c r="O3341" s="73">
        <v>376.42007904191922</v>
      </c>
      <c r="P3341" s="182">
        <v>0</v>
      </c>
      <c r="Q3341" s="182">
        <v>0</v>
      </c>
      <c r="R3341" s="46">
        <v>0</v>
      </c>
      <c r="S3341" s="46">
        <v>20</v>
      </c>
      <c r="T3341" s="46">
        <v>8600</v>
      </c>
      <c r="U3341" s="46">
        <v>7.3840000000000003</v>
      </c>
      <c r="V3341" s="46" t="s">
        <v>68</v>
      </c>
      <c r="W3341" s="46">
        <v>8600</v>
      </c>
      <c r="X3341" s="46">
        <v>7.3840000000000003</v>
      </c>
      <c r="AF3341" s="46">
        <v>42</v>
      </c>
      <c r="AG3341" s="46">
        <v>20900</v>
      </c>
      <c r="AH3341" s="46">
        <v>152800</v>
      </c>
      <c r="AI3341" s="46">
        <v>7.3109999999999999</v>
      </c>
      <c r="AJ3341" s="46">
        <v>42</v>
      </c>
      <c r="AK3341" s="46">
        <v>18800</v>
      </c>
      <c r="AL3341" s="46">
        <v>92037.725000000035</v>
      </c>
      <c r="AM3341" s="46">
        <v>4.8959999999999999</v>
      </c>
      <c r="AN3341" s="46" t="s">
        <v>63</v>
      </c>
      <c r="AO3341" s="46">
        <v>2100</v>
      </c>
      <c r="AP3341" s="46">
        <v>60762.275000000001</v>
      </c>
      <c r="AQ3341" s="46">
        <v>28.934000000000001</v>
      </c>
      <c r="AR3341" s="46">
        <v>-45402</v>
      </c>
      <c r="AS3341" s="46">
        <v>42</v>
      </c>
      <c r="AT3341" s="46">
        <v>20900</v>
      </c>
      <c r="AU3341" s="46">
        <v>152800</v>
      </c>
      <c r="AV3341" s="46">
        <v>7.3109999999999999</v>
      </c>
      <c r="AW3341" s="46">
        <v>63</v>
      </c>
      <c r="AX3341" s="46">
        <v>27900</v>
      </c>
      <c r="AY3341" s="46">
        <v>155380.21900000001</v>
      </c>
      <c r="AZ3341" s="46">
        <v>5.569</v>
      </c>
      <c r="BA3341" s="46" t="s">
        <v>69</v>
      </c>
      <c r="BB3341" s="46">
        <v>7000</v>
      </c>
      <c r="BC3341" s="46">
        <v>2580.2190000000001</v>
      </c>
      <c r="BD3341" s="46">
        <v>0.36899999999999999</v>
      </c>
      <c r="BE3341" s="46">
        <v>-36407.800000000003</v>
      </c>
      <c r="BF3341" s="46">
        <v>0</v>
      </c>
      <c r="BH3341" s="46">
        <v>63342.493999999977</v>
      </c>
      <c r="BI3341">
        <v>7.37</v>
      </c>
      <c r="BJ3341">
        <v>-58182.056000000004</v>
      </c>
      <c r="BK3341">
        <v>-6.77</v>
      </c>
      <c r="BL3341">
        <v>-7322.9</v>
      </c>
    </row>
    <row r="3342" spans="1:64" x14ac:dyDescent="0.25">
      <c r="A3342" s="136">
        <v>43564</v>
      </c>
      <c r="B3342" t="s">
        <v>70</v>
      </c>
      <c r="C3342" t="s">
        <v>131</v>
      </c>
      <c r="D3342">
        <v>11900</v>
      </c>
      <c r="E3342">
        <v>11900</v>
      </c>
      <c r="F3342">
        <v>11.288</v>
      </c>
      <c r="G3342">
        <v>-26158.880000000001</v>
      </c>
      <c r="H3342">
        <v>-19.47</v>
      </c>
      <c r="I3342">
        <v>108171</v>
      </c>
      <c r="J3342">
        <v>9.09</v>
      </c>
      <c r="K3342" s="133">
        <v>0.19514547070052335</v>
      </c>
      <c r="L3342" s="181">
        <v>-833</v>
      </c>
      <c r="M3342" s="133">
        <v>0.24233729614910482</v>
      </c>
      <c r="N3342" s="73">
        <v>-23187.869000000035</v>
      </c>
      <c r="O3342" s="73">
        <v>-2481.3998999464707</v>
      </c>
      <c r="P3342" s="182">
        <v>0</v>
      </c>
      <c r="Q3342" s="182">
        <v>0</v>
      </c>
      <c r="R3342" s="46">
        <v>0</v>
      </c>
      <c r="S3342" s="46">
        <v>6</v>
      </c>
      <c r="T3342" s="46">
        <v>2400</v>
      </c>
      <c r="U3342" s="46">
        <v>8.4779999999999998</v>
      </c>
      <c r="V3342" s="46" t="s">
        <v>68</v>
      </c>
      <c r="W3342" s="46">
        <v>2400</v>
      </c>
      <c r="X3342" s="46">
        <v>8.4779999999999998</v>
      </c>
      <c r="AF3342" s="46">
        <v>156</v>
      </c>
      <c r="AG3342" s="46">
        <v>79600</v>
      </c>
      <c r="AH3342" s="46">
        <v>982918</v>
      </c>
      <c r="AI3342" s="46">
        <v>12.348000000000001</v>
      </c>
      <c r="AJ3342" s="46">
        <v>162</v>
      </c>
      <c r="AK3342" s="46">
        <v>65300</v>
      </c>
      <c r="AL3342" s="46">
        <v>827881.4789999997</v>
      </c>
      <c r="AM3342" s="46">
        <v>12.678000000000001</v>
      </c>
      <c r="AN3342" s="46" t="s">
        <v>63</v>
      </c>
      <c r="AO3342" s="46">
        <v>14300</v>
      </c>
      <c r="AP3342" s="46">
        <v>155036.52100000001</v>
      </c>
      <c r="AQ3342" s="46">
        <v>10.842000000000001</v>
      </c>
      <c r="AR3342" s="46">
        <v>21549</v>
      </c>
      <c r="AS3342" s="46">
        <v>156</v>
      </c>
      <c r="AT3342" s="46">
        <v>79600</v>
      </c>
      <c r="AU3342" s="46">
        <v>982918</v>
      </c>
      <c r="AV3342" s="46">
        <v>12.348000000000001</v>
      </c>
      <c r="AW3342" s="46">
        <v>169</v>
      </c>
      <c r="AX3342" s="46">
        <v>67700</v>
      </c>
      <c r="AY3342" s="46">
        <v>848584.1309999997</v>
      </c>
      <c r="AZ3342" s="46">
        <v>12.534000000000001</v>
      </c>
      <c r="BA3342" s="46" t="s">
        <v>63</v>
      </c>
      <c r="BB3342" s="46">
        <v>11900</v>
      </c>
      <c r="BC3342" s="46">
        <v>134333.86900000001</v>
      </c>
      <c r="BD3342" s="46">
        <v>11.289</v>
      </c>
      <c r="BE3342" s="46">
        <v>12592.2</v>
      </c>
      <c r="BF3342" s="46">
        <v>0</v>
      </c>
      <c r="BH3342" s="46">
        <v>20702.652000000002</v>
      </c>
      <c r="BI3342">
        <v>8.6300000000000008</v>
      </c>
      <c r="BJ3342">
        <v>-20702.652000000002</v>
      </c>
      <c r="BK3342">
        <v>-8.6300000000000008</v>
      </c>
      <c r="BL3342">
        <v>2370.63</v>
      </c>
    </row>
    <row r="3343" spans="1:64" x14ac:dyDescent="0.25">
      <c r="A3343" s="136">
        <v>43564</v>
      </c>
      <c r="B3343" t="s">
        <v>628</v>
      </c>
      <c r="C3343" t="s">
        <v>629</v>
      </c>
      <c r="D3343">
        <v>100</v>
      </c>
      <c r="E3343">
        <v>100</v>
      </c>
      <c r="F3343">
        <v>-22.33</v>
      </c>
      <c r="G3343">
        <v>3723</v>
      </c>
      <c r="H3343">
        <v>0</v>
      </c>
      <c r="I3343">
        <v>1490</v>
      </c>
      <c r="J3343">
        <v>14.9</v>
      </c>
      <c r="K3343" s="133">
        <v>2.6880286892399978E-3</v>
      </c>
      <c r="L3343" s="181">
        <v>40</v>
      </c>
      <c r="M3343" s="133">
        <v>0</v>
      </c>
    </row>
    <row r="3344" spans="1:64" x14ac:dyDescent="0.25">
      <c r="A3344" s="136">
        <v>43564</v>
      </c>
      <c r="B3344" t="s">
        <v>630</v>
      </c>
      <c r="C3344" t="s">
        <v>631</v>
      </c>
      <c r="D3344">
        <v>100</v>
      </c>
      <c r="E3344">
        <v>100</v>
      </c>
      <c r="F3344">
        <v>-94.45</v>
      </c>
      <c r="G3344">
        <v>12624</v>
      </c>
      <c r="H3344">
        <v>0</v>
      </c>
      <c r="I3344">
        <v>3179</v>
      </c>
      <c r="J3344">
        <v>31.79</v>
      </c>
      <c r="K3344" s="133">
        <v>5.7350625524120484E-3</v>
      </c>
      <c r="L3344" s="181">
        <v>-158</v>
      </c>
      <c r="M3344" s="133">
        <v>0</v>
      </c>
    </row>
    <row r="3345" spans="1:64" x14ac:dyDescent="0.25">
      <c r="A3345" s="136">
        <v>43564</v>
      </c>
      <c r="B3345" t="s">
        <v>137</v>
      </c>
      <c r="C3345" t="s">
        <v>149</v>
      </c>
      <c r="D3345">
        <v>100</v>
      </c>
      <c r="E3345">
        <v>100</v>
      </c>
      <c r="F3345">
        <v>-130.86000000000001</v>
      </c>
      <c r="G3345">
        <v>16851</v>
      </c>
      <c r="H3345">
        <v>0</v>
      </c>
      <c r="I3345">
        <v>3765</v>
      </c>
      <c r="J3345">
        <v>37.65</v>
      </c>
      <c r="K3345" s="133">
        <v>6.7922335671064373E-3</v>
      </c>
      <c r="L3345" s="181">
        <v>5</v>
      </c>
      <c r="M3345" s="133">
        <v>0</v>
      </c>
    </row>
    <row r="3346" spans="1:64" x14ac:dyDescent="0.25">
      <c r="A3346" s="136">
        <v>43564</v>
      </c>
      <c r="B3346" t="s">
        <v>835</v>
      </c>
      <c r="C3346" t="s">
        <v>839</v>
      </c>
      <c r="I3346">
        <v>6863.29</v>
      </c>
      <c r="K3346" s="133">
        <v>1.2381691558774485E-2</v>
      </c>
      <c r="L3346" s="181">
        <v>0</v>
      </c>
      <c r="M3346" s="133">
        <v>0.21088479873953464</v>
      </c>
    </row>
    <row r="3347" spans="1:64" x14ac:dyDescent="0.25">
      <c r="A3347" s="136">
        <v>43565</v>
      </c>
      <c r="B3347" t="s">
        <v>132</v>
      </c>
      <c r="C3347" t="s">
        <v>123</v>
      </c>
      <c r="D3347">
        <v>10003728</v>
      </c>
      <c r="E3347">
        <v>10003728</v>
      </c>
      <c r="F3347">
        <v>0.01</v>
      </c>
      <c r="G3347">
        <v>3882.13</v>
      </c>
      <c r="H3347">
        <v>0</v>
      </c>
      <c r="I3347">
        <v>100037.28</v>
      </c>
      <c r="J3347">
        <v>0.01</v>
      </c>
      <c r="K3347" s="133">
        <v>0.18123313880435452</v>
      </c>
      <c r="L3347" s="181">
        <v>5.1100000000001273</v>
      </c>
      <c r="M3347" s="133">
        <v>0</v>
      </c>
    </row>
    <row r="3348" spans="1:64" x14ac:dyDescent="0.25">
      <c r="A3348" s="136">
        <v>43565</v>
      </c>
      <c r="B3348" t="s">
        <v>61</v>
      </c>
      <c r="C3348" t="s">
        <v>136</v>
      </c>
      <c r="D3348">
        <v>2300</v>
      </c>
      <c r="E3348">
        <v>2300</v>
      </c>
      <c r="F3348">
        <v>4.992</v>
      </c>
      <c r="G3348">
        <v>-509.52</v>
      </c>
      <c r="H3348">
        <v>-4.4400000000000004</v>
      </c>
      <c r="I3348">
        <v>10971</v>
      </c>
      <c r="J3348">
        <v>4.7699999999999996</v>
      </c>
      <c r="K3348" s="133">
        <v>1.9875678005465299E-2</v>
      </c>
      <c r="L3348" s="181">
        <v>92</v>
      </c>
      <c r="M3348" s="133">
        <v>2.079875297195374E-2</v>
      </c>
      <c r="N3348" s="73">
        <v>-581.44500000000517</v>
      </c>
      <c r="O3348" s="73">
        <v>-122.60638765822894</v>
      </c>
      <c r="P3348" s="182">
        <v>2</v>
      </c>
      <c r="Q3348" s="182">
        <v>1000</v>
      </c>
      <c r="R3348" s="46">
        <v>4.82</v>
      </c>
      <c r="S3348" s="46">
        <v>1</v>
      </c>
      <c r="T3348" s="46">
        <v>400</v>
      </c>
      <c r="U3348" s="46">
        <v>4.74</v>
      </c>
      <c r="V3348" s="46" t="s">
        <v>62</v>
      </c>
      <c r="W3348" s="46">
        <v>600</v>
      </c>
      <c r="X3348" s="46">
        <v>4.8730000000000002</v>
      </c>
      <c r="AF3348" s="46">
        <v>18</v>
      </c>
      <c r="AG3348" s="46">
        <v>9000</v>
      </c>
      <c r="AH3348" s="46">
        <v>45060.400000000009</v>
      </c>
      <c r="AI3348" s="46">
        <v>5.0069999999999997</v>
      </c>
      <c r="AJ3348" s="46">
        <v>18</v>
      </c>
      <c r="AK3348" s="46">
        <v>7300</v>
      </c>
      <c r="AL3348" s="46">
        <v>36518.690999999984</v>
      </c>
      <c r="AM3348" s="46">
        <v>5.0030000000000001</v>
      </c>
      <c r="AN3348" s="46" t="s">
        <v>63</v>
      </c>
      <c r="AO3348" s="46">
        <v>1700</v>
      </c>
      <c r="AP3348" s="46">
        <v>8541.7090000000007</v>
      </c>
      <c r="AQ3348" s="46">
        <v>5.0250000000000004</v>
      </c>
      <c r="AR3348" s="46">
        <v>-29.2</v>
      </c>
      <c r="AS3348" s="46">
        <v>20</v>
      </c>
      <c r="AT3348" s="46">
        <v>10000</v>
      </c>
      <c r="AU3348" s="46">
        <v>49891</v>
      </c>
      <c r="AV3348" s="46">
        <v>4.9889999999999999</v>
      </c>
      <c r="AW3348" s="46">
        <v>19</v>
      </c>
      <c r="AX3348" s="46">
        <v>7700</v>
      </c>
      <c r="AY3348" s="46">
        <v>38407.554999999986</v>
      </c>
      <c r="AZ3348" s="46">
        <v>4.9880000000000004</v>
      </c>
      <c r="BA3348" s="46" t="s">
        <v>63</v>
      </c>
      <c r="BB3348" s="46">
        <v>2300</v>
      </c>
      <c r="BC3348" s="46">
        <v>11483.445</v>
      </c>
      <c r="BD3348" s="46">
        <v>4.9930000000000003</v>
      </c>
      <c r="BE3348" s="46">
        <v>-7.7</v>
      </c>
      <c r="BF3348" s="46">
        <v>4830.5999999999913</v>
      </c>
      <c r="BG3348" s="46">
        <v>4.83</v>
      </c>
      <c r="BH3348" s="46">
        <v>1888.8640000000014</v>
      </c>
      <c r="BI3348">
        <v>4.72</v>
      </c>
      <c r="BJ3348">
        <v>2941.735999999999</v>
      </c>
      <c r="BK3348">
        <v>4.9000000000000004</v>
      </c>
      <c r="BL3348">
        <v>-6.12</v>
      </c>
    </row>
    <row r="3349" spans="1:64" x14ac:dyDescent="0.25">
      <c r="A3349" s="136">
        <v>43565</v>
      </c>
      <c r="B3349" t="s">
        <v>124</v>
      </c>
      <c r="C3349" t="s">
        <v>125</v>
      </c>
      <c r="D3349">
        <v>100</v>
      </c>
      <c r="E3349">
        <v>100</v>
      </c>
      <c r="F3349">
        <v>-53.82</v>
      </c>
      <c r="G3349">
        <v>5957</v>
      </c>
      <c r="H3349">
        <v>0</v>
      </c>
      <c r="I3349">
        <v>575</v>
      </c>
      <c r="J3349">
        <v>5.75</v>
      </c>
      <c r="K3349" s="133">
        <v>1.0417022015443028E-3</v>
      </c>
      <c r="L3349" s="181">
        <v>-3</v>
      </c>
      <c r="M3349" s="133">
        <v>0</v>
      </c>
      <c r="N3349" s="73">
        <v>5573.0690000000113</v>
      </c>
      <c r="O3349" s="73">
        <v>1102.4501845505636</v>
      </c>
      <c r="P3349" s="182">
        <v>0</v>
      </c>
      <c r="Q3349" s="182">
        <v>0</v>
      </c>
      <c r="R3349" s="46">
        <v>0</v>
      </c>
      <c r="S3349" s="46">
        <v>5</v>
      </c>
      <c r="T3349" s="46">
        <v>2300</v>
      </c>
      <c r="U3349" s="46">
        <v>4.99</v>
      </c>
      <c r="V3349" s="46" t="s">
        <v>68</v>
      </c>
      <c r="W3349" s="46">
        <v>2300</v>
      </c>
      <c r="X3349" s="46">
        <v>4.99</v>
      </c>
      <c r="AF3349" s="46">
        <v>50</v>
      </c>
      <c r="AG3349" s="46">
        <v>36700</v>
      </c>
      <c r="AH3349" s="46">
        <v>180101.02000000002</v>
      </c>
      <c r="AI3349" s="46">
        <v>4.907</v>
      </c>
      <c r="AJ3349" s="46">
        <v>58</v>
      </c>
      <c r="AK3349" s="46">
        <v>35300</v>
      </c>
      <c r="AL3349" s="46">
        <v>178266.546</v>
      </c>
      <c r="AM3349" s="46">
        <v>5.05</v>
      </c>
      <c r="AN3349" s="46" t="s">
        <v>63</v>
      </c>
      <c r="AO3349" s="46">
        <v>1400</v>
      </c>
      <c r="AP3349" s="46">
        <v>1834.4739999999999</v>
      </c>
      <c r="AQ3349" s="46">
        <v>1.31</v>
      </c>
      <c r="AR3349" s="46">
        <v>5047.8999999999996</v>
      </c>
      <c r="AS3349" s="46">
        <v>51</v>
      </c>
      <c r="AT3349" s="46">
        <v>37700</v>
      </c>
      <c r="AU3349" s="46">
        <v>185106.62</v>
      </c>
      <c r="AV3349" s="46">
        <v>4.91</v>
      </c>
      <c r="AW3349" s="46">
        <v>63</v>
      </c>
      <c r="AX3349" s="46">
        <v>37600</v>
      </c>
      <c r="AY3349" s="46">
        <v>189713.68900000001</v>
      </c>
      <c r="AZ3349" s="46">
        <v>5.0460000000000003</v>
      </c>
      <c r="BA3349" s="46" t="s">
        <v>63</v>
      </c>
      <c r="BB3349" s="46">
        <v>100</v>
      </c>
      <c r="BC3349" s="46">
        <v>4607.0690000000004</v>
      </c>
      <c r="BD3349" s="46">
        <v>46.070999999999998</v>
      </c>
      <c r="BE3349" s="46">
        <v>5113.6000000000004</v>
      </c>
      <c r="BF3349" s="46">
        <v>5005.5999999999767</v>
      </c>
      <c r="BH3349" s="46">
        <v>11447.143000000011</v>
      </c>
      <c r="BI3349">
        <v>4.9800000000000004</v>
      </c>
      <c r="BJ3349">
        <v>2772.5950000000003</v>
      </c>
      <c r="BK3349">
        <v>1.21</v>
      </c>
      <c r="BL3349">
        <v>877.9</v>
      </c>
    </row>
    <row r="3350" spans="1:64" x14ac:dyDescent="0.25">
      <c r="A3350" s="136">
        <v>43565</v>
      </c>
      <c r="B3350" t="s">
        <v>71</v>
      </c>
      <c r="C3350" t="s">
        <v>126</v>
      </c>
      <c r="D3350">
        <v>800</v>
      </c>
      <c r="E3350">
        <v>300</v>
      </c>
      <c r="F3350">
        <v>2.7010000000000001</v>
      </c>
      <c r="G3350">
        <v>2983.11</v>
      </c>
      <c r="H3350">
        <v>138.06</v>
      </c>
      <c r="I3350">
        <v>5144</v>
      </c>
      <c r="J3350">
        <v>6.43</v>
      </c>
      <c r="K3350" s="133">
        <v>9.319158477815467E-3</v>
      </c>
      <c r="L3350" s="181">
        <v>-8.1900000000000546</v>
      </c>
      <c r="M3350" s="133">
        <v>3.9147893396435972E-3</v>
      </c>
      <c r="N3350" s="73">
        <v>-2171.3999999999946</v>
      </c>
      <c r="O3350" s="73">
        <v>461.2692500000008</v>
      </c>
      <c r="P3350" s="182">
        <v>0</v>
      </c>
      <c r="Q3350" s="182">
        <v>0</v>
      </c>
      <c r="R3350" s="46">
        <v>0</v>
      </c>
      <c r="S3350" s="46">
        <v>8</v>
      </c>
      <c r="T3350" s="46">
        <v>3100</v>
      </c>
      <c r="U3350" s="46">
        <v>6.4169999999999998</v>
      </c>
      <c r="V3350" s="46" t="s">
        <v>68</v>
      </c>
      <c r="W3350" s="46">
        <v>3100</v>
      </c>
      <c r="X3350" s="46">
        <v>6.4169999999999998</v>
      </c>
      <c r="AF3350" s="46">
        <v>52</v>
      </c>
      <c r="AG3350" s="46">
        <v>26100</v>
      </c>
      <c r="AH3350" s="46">
        <v>165656.62999999998</v>
      </c>
      <c r="AI3350" s="46">
        <v>6.3470000000000004</v>
      </c>
      <c r="AJ3350" s="46">
        <v>50</v>
      </c>
      <c r="AK3350" s="46">
        <v>22200</v>
      </c>
      <c r="AL3350" s="46">
        <v>143498.78200000001</v>
      </c>
      <c r="AM3350" s="46">
        <v>6.4640000000000004</v>
      </c>
      <c r="AN3350" s="46" t="s">
        <v>63</v>
      </c>
      <c r="AO3350" s="46">
        <v>3900</v>
      </c>
      <c r="AP3350" s="46">
        <v>22157.848000000002</v>
      </c>
      <c r="AQ3350" s="46">
        <v>5.681</v>
      </c>
      <c r="AR3350" s="46">
        <v>2597.4</v>
      </c>
      <c r="AS3350" s="46">
        <v>52</v>
      </c>
      <c r="AT3350" s="46">
        <v>26100</v>
      </c>
      <c r="AU3350" s="46">
        <v>165656.62999999998</v>
      </c>
      <c r="AV3350" s="46">
        <v>6.3470000000000004</v>
      </c>
      <c r="AW3350" s="46">
        <v>58</v>
      </c>
      <c r="AX3350" s="46">
        <v>25300</v>
      </c>
      <c r="AY3350" s="46">
        <v>163329.03</v>
      </c>
      <c r="AZ3350" s="46">
        <v>6.4560000000000004</v>
      </c>
      <c r="BA3350" s="46" t="s">
        <v>63</v>
      </c>
      <c r="BB3350" s="46">
        <v>800</v>
      </c>
      <c r="BC3350" s="46">
        <v>2327.6</v>
      </c>
      <c r="BD3350" s="46">
        <v>2.91</v>
      </c>
      <c r="BE3350" s="46">
        <v>2757.7</v>
      </c>
      <c r="BF3350" s="46">
        <v>0</v>
      </c>
      <c r="BH3350" s="46">
        <v>19830.247999999992</v>
      </c>
      <c r="BI3350">
        <v>6.4</v>
      </c>
      <c r="BJ3350">
        <v>-19830.248000000003</v>
      </c>
      <c r="BK3350">
        <v>-6.4</v>
      </c>
      <c r="BL3350">
        <v>403.95</v>
      </c>
    </row>
    <row r="3351" spans="1:64" x14ac:dyDescent="0.25">
      <c r="A3351" s="136">
        <v>43565</v>
      </c>
      <c r="B3351" t="s">
        <v>79</v>
      </c>
      <c r="C3351" t="s">
        <v>143</v>
      </c>
      <c r="D3351">
        <v>9920</v>
      </c>
      <c r="E3351">
        <v>9920</v>
      </c>
      <c r="F3351">
        <v>10.718</v>
      </c>
      <c r="G3351">
        <v>-15357.42</v>
      </c>
      <c r="H3351">
        <v>-14.44</v>
      </c>
      <c r="I3351">
        <v>90966.399999999994</v>
      </c>
      <c r="J3351">
        <v>9.17</v>
      </c>
      <c r="K3351" s="133">
        <v>0.16479982460271245</v>
      </c>
      <c r="L3351" s="181">
        <v>-1190.3999999999996</v>
      </c>
      <c r="M3351" s="133">
        <v>0.19262218673147855</v>
      </c>
      <c r="N3351" s="73">
        <v>-14681.452000000252</v>
      </c>
      <c r="O3351" s="73">
        <v>-1588.1072807359581</v>
      </c>
      <c r="P3351" s="182">
        <v>8</v>
      </c>
      <c r="Q3351" s="182">
        <v>6420</v>
      </c>
      <c r="R3351" s="46">
        <v>4.968</v>
      </c>
      <c r="S3351" s="46">
        <v>0</v>
      </c>
      <c r="T3351" s="46">
        <v>0</v>
      </c>
      <c r="U3351" s="46">
        <v>0</v>
      </c>
      <c r="V3351" s="46" t="s">
        <v>62</v>
      </c>
      <c r="W3351" s="46">
        <v>6420</v>
      </c>
      <c r="X3351" s="46">
        <v>4.968</v>
      </c>
      <c r="AF3351" s="46">
        <v>34</v>
      </c>
      <c r="AG3351" s="46">
        <v>17500</v>
      </c>
      <c r="AH3351" s="46">
        <v>256460.49999999983</v>
      </c>
      <c r="AI3351" s="46">
        <v>14.654999999999999</v>
      </c>
      <c r="AJ3351" s="46">
        <v>35</v>
      </c>
      <c r="AK3351" s="46">
        <v>14000</v>
      </c>
      <c r="AL3351" s="46">
        <v>182057.0999999998</v>
      </c>
      <c r="AM3351" s="46">
        <v>13.004</v>
      </c>
      <c r="AN3351" s="46" t="s">
        <v>63</v>
      </c>
      <c r="AO3351" s="46">
        <v>3500</v>
      </c>
      <c r="AP3351" s="46">
        <v>74403.399999999994</v>
      </c>
      <c r="AQ3351" s="46">
        <v>21.257999999999999</v>
      </c>
      <c r="AR3351" s="46">
        <v>-23114</v>
      </c>
      <c r="AS3351" s="46">
        <v>42</v>
      </c>
      <c r="AT3351" s="46">
        <v>23920</v>
      </c>
      <c r="AU3351" s="46">
        <v>288399.35199999972</v>
      </c>
      <c r="AV3351" s="46">
        <v>12.057</v>
      </c>
      <c r="AW3351" s="46">
        <v>35</v>
      </c>
      <c r="AX3351" s="46">
        <v>14000</v>
      </c>
      <c r="AY3351" s="46">
        <v>182057.0999999998</v>
      </c>
      <c r="AZ3351" s="46">
        <v>13.004</v>
      </c>
      <c r="BA3351" s="46" t="s">
        <v>63</v>
      </c>
      <c r="BB3351" s="46">
        <v>9920</v>
      </c>
      <c r="BC3351" s="46">
        <v>106342.25199999999</v>
      </c>
      <c r="BD3351" s="46">
        <v>10.72</v>
      </c>
      <c r="BE3351" s="46">
        <v>13258</v>
      </c>
      <c r="BF3351" s="46">
        <v>31938.851999999897</v>
      </c>
      <c r="BG3351" s="46">
        <v>4.97</v>
      </c>
      <c r="BH3351" s="46">
        <v>0</v>
      </c>
      <c r="BJ3351">
        <v>31938.851999999999</v>
      </c>
      <c r="BK3351">
        <v>4.97</v>
      </c>
      <c r="BL3351">
        <v>-2520.61</v>
      </c>
    </row>
    <row r="3352" spans="1:64" x14ac:dyDescent="0.25">
      <c r="A3352" s="136">
        <v>43565</v>
      </c>
      <c r="B3352" t="s">
        <v>65</v>
      </c>
      <c r="C3352" t="s">
        <v>127</v>
      </c>
      <c r="D3352">
        <v>20200</v>
      </c>
      <c r="E3352">
        <v>19700</v>
      </c>
      <c r="F3352">
        <v>8.8689999999999998</v>
      </c>
      <c r="G3352">
        <v>8099.63</v>
      </c>
      <c r="H3352">
        <v>4.5199999999999996</v>
      </c>
      <c r="I3352">
        <v>187254</v>
      </c>
      <c r="J3352">
        <v>9.27</v>
      </c>
      <c r="K3352" s="133">
        <v>0.3392398331269163</v>
      </c>
      <c r="L3352" s="181">
        <v>-583.74000000000069</v>
      </c>
      <c r="M3352" s="133">
        <v>0.32456608981788276</v>
      </c>
      <c r="N3352" s="73">
        <v>5231.2149999999092</v>
      </c>
      <c r="O3352" s="73">
        <v>1017.9884492237445</v>
      </c>
      <c r="P3352" s="182">
        <v>4</v>
      </c>
      <c r="Q3352" s="182">
        <v>2000</v>
      </c>
      <c r="R3352" s="46">
        <v>8.0399999999999991</v>
      </c>
      <c r="S3352" s="46">
        <v>9</v>
      </c>
      <c r="T3352" s="46">
        <v>3600</v>
      </c>
      <c r="U3352" s="46">
        <v>8.4570000000000007</v>
      </c>
      <c r="V3352" s="46" t="s">
        <v>68</v>
      </c>
      <c r="W3352" s="46">
        <v>1600</v>
      </c>
      <c r="X3352" s="46">
        <v>8.9779999999999998</v>
      </c>
      <c r="AF3352" s="46">
        <v>229</v>
      </c>
      <c r="AG3352" s="46">
        <v>123500</v>
      </c>
      <c r="AH3352" s="46">
        <v>1323846.6810000001</v>
      </c>
      <c r="AI3352" s="46">
        <v>10.718999999999999</v>
      </c>
      <c r="AJ3352" s="46">
        <v>259</v>
      </c>
      <c r="AK3352" s="46">
        <v>110900</v>
      </c>
      <c r="AL3352" s="46">
        <v>1126288.3379999998</v>
      </c>
      <c r="AM3352" s="46">
        <v>10.156000000000001</v>
      </c>
      <c r="AN3352" s="46" t="s">
        <v>63</v>
      </c>
      <c r="AO3352" s="46">
        <v>12600</v>
      </c>
      <c r="AP3352" s="46">
        <v>197558.34299999999</v>
      </c>
      <c r="AQ3352" s="46">
        <v>15.679</v>
      </c>
      <c r="AR3352" s="46">
        <v>-62436.7</v>
      </c>
      <c r="AS3352" s="46">
        <v>234</v>
      </c>
      <c r="AT3352" s="46">
        <v>125600</v>
      </c>
      <c r="AU3352" s="46">
        <v>1341234.6810000001</v>
      </c>
      <c r="AV3352" s="46">
        <v>10.679</v>
      </c>
      <c r="AW3352" s="46">
        <v>268</v>
      </c>
      <c r="AX3352" s="46">
        <v>114500</v>
      </c>
      <c r="AY3352" s="46">
        <v>1156656.8940000001</v>
      </c>
      <c r="AZ3352" s="46">
        <v>10.102</v>
      </c>
      <c r="BA3352" s="46" t="s">
        <v>63</v>
      </c>
      <c r="BB3352" s="46">
        <v>11100</v>
      </c>
      <c r="BC3352" s="46">
        <v>184577.78700000001</v>
      </c>
      <c r="BD3352" s="46">
        <v>16.629000000000001</v>
      </c>
      <c r="BE3352" s="46">
        <v>-66066.5</v>
      </c>
      <c r="BF3352" s="46">
        <v>17388</v>
      </c>
      <c r="BG3352" s="46">
        <v>8.69</v>
      </c>
      <c r="BH3352" s="46">
        <v>30368.556000000332</v>
      </c>
      <c r="BI3352">
        <v>8.44</v>
      </c>
      <c r="BJ3352">
        <v>-12980.555999999982</v>
      </c>
      <c r="BK3352">
        <v>-8.11</v>
      </c>
      <c r="BL3352">
        <v>-6735.35</v>
      </c>
    </row>
    <row r="3353" spans="1:64" x14ac:dyDescent="0.25">
      <c r="A3353" s="136">
        <v>43565</v>
      </c>
      <c r="B3353" t="s">
        <v>77</v>
      </c>
      <c r="C3353" t="s">
        <v>150</v>
      </c>
      <c r="D3353">
        <v>5800</v>
      </c>
      <c r="E3353">
        <v>4800</v>
      </c>
      <c r="F3353">
        <v>5.4329999999999998</v>
      </c>
      <c r="G3353">
        <v>-3379.88</v>
      </c>
      <c r="H3353">
        <v>-10.73</v>
      </c>
      <c r="I3353">
        <v>28130</v>
      </c>
      <c r="J3353">
        <v>4.8499999999999996</v>
      </c>
      <c r="K3353" s="133">
        <v>5.0961883355549978E-2</v>
      </c>
      <c r="L3353" s="181">
        <v>-270</v>
      </c>
      <c r="M3353" s="133">
        <v>5.7085063245907473E-2</v>
      </c>
      <c r="N3353" s="73">
        <v>-3768.8260000000046</v>
      </c>
      <c r="O3353" s="73">
        <v>-670.88122936345064</v>
      </c>
      <c r="P3353" s="182">
        <v>7</v>
      </c>
      <c r="Q3353" s="182">
        <v>3500</v>
      </c>
      <c r="R3353" s="46">
        <v>4.4359999999999999</v>
      </c>
      <c r="S3353" s="46">
        <v>0</v>
      </c>
      <c r="T3353" s="46">
        <v>0</v>
      </c>
      <c r="U3353" s="46">
        <v>0</v>
      </c>
      <c r="V3353" s="46" t="s">
        <v>62</v>
      </c>
      <c r="W3353" s="46">
        <v>3500</v>
      </c>
      <c r="X3353" s="46">
        <v>4.4359999999999999</v>
      </c>
      <c r="AF3353" s="46">
        <v>49</v>
      </c>
      <c r="AG3353" s="46">
        <v>24500</v>
      </c>
      <c r="AH3353" s="46">
        <v>170669</v>
      </c>
      <c r="AI3353" s="46">
        <v>6.9660000000000002</v>
      </c>
      <c r="AJ3353" s="46">
        <v>49</v>
      </c>
      <c r="AK3353" s="46">
        <v>22200</v>
      </c>
      <c r="AL3353" s="46">
        <v>154426.17400000003</v>
      </c>
      <c r="AM3353" s="46">
        <v>6.9560000000000004</v>
      </c>
      <c r="AN3353" s="46" t="s">
        <v>63</v>
      </c>
      <c r="AO3353" s="46">
        <v>2300</v>
      </c>
      <c r="AP3353" s="46">
        <v>16242.825999999999</v>
      </c>
      <c r="AQ3353" s="46">
        <v>7.0620000000000003</v>
      </c>
      <c r="AR3353" s="46">
        <v>-222</v>
      </c>
      <c r="AS3353" s="46">
        <v>56</v>
      </c>
      <c r="AT3353" s="46">
        <v>28000</v>
      </c>
      <c r="AU3353" s="46">
        <v>185941</v>
      </c>
      <c r="AV3353" s="46">
        <v>6.641</v>
      </c>
      <c r="AW3353" s="46">
        <v>49</v>
      </c>
      <c r="AX3353" s="46">
        <v>22200</v>
      </c>
      <c r="AY3353" s="46">
        <v>154426.17400000003</v>
      </c>
      <c r="AZ3353" s="46">
        <v>6.9560000000000004</v>
      </c>
      <c r="BA3353" s="46" t="s">
        <v>63</v>
      </c>
      <c r="BB3353" s="46">
        <v>5800</v>
      </c>
      <c r="BC3353" s="46">
        <v>31514.826000000001</v>
      </c>
      <c r="BD3353" s="46">
        <v>5.4340000000000002</v>
      </c>
      <c r="BE3353" s="46">
        <v>6993</v>
      </c>
      <c r="BF3353" s="46">
        <v>15272</v>
      </c>
      <c r="BG3353" s="46">
        <v>4.3600000000000003</v>
      </c>
      <c r="BH3353" s="46">
        <v>0</v>
      </c>
      <c r="BJ3353">
        <v>15272.000000000002</v>
      </c>
      <c r="BK3353">
        <v>4.3600000000000003</v>
      </c>
      <c r="BL3353">
        <v>-45.77</v>
      </c>
    </row>
    <row r="3354" spans="1:64" x14ac:dyDescent="0.25">
      <c r="A3354" s="136">
        <v>43565</v>
      </c>
      <c r="B3354" t="s">
        <v>67</v>
      </c>
      <c r="C3354" t="s">
        <v>129</v>
      </c>
      <c r="D3354">
        <v>230</v>
      </c>
      <c r="E3354">
        <v>230</v>
      </c>
      <c r="F3354">
        <v>-11.728999999999999</v>
      </c>
      <c r="G3354">
        <v>4583.67</v>
      </c>
      <c r="H3354">
        <v>0</v>
      </c>
      <c r="I3354">
        <v>1886</v>
      </c>
      <c r="J3354">
        <v>8.1999999999999993</v>
      </c>
      <c r="K3354" s="133">
        <v>3.4167832210653133E-3</v>
      </c>
      <c r="L3354" s="181">
        <v>43.699999999999818</v>
      </c>
      <c r="M3354" s="133">
        <v>0</v>
      </c>
      <c r="N3354" s="73">
        <v>4362.583499999957</v>
      </c>
      <c r="O3354" s="73">
        <v>600.60636477272476</v>
      </c>
      <c r="P3354" s="182">
        <v>1</v>
      </c>
      <c r="Q3354" s="182">
        <v>30</v>
      </c>
      <c r="R3354" s="46">
        <v>0</v>
      </c>
      <c r="S3354" s="46">
        <v>24</v>
      </c>
      <c r="T3354" s="46">
        <v>9600</v>
      </c>
      <c r="U3354" s="46">
        <v>8.9429999999999996</v>
      </c>
      <c r="V3354" s="46" t="s">
        <v>68</v>
      </c>
      <c r="W3354" s="46">
        <v>9570</v>
      </c>
      <c r="X3354" s="46">
        <v>8.9710000000000001</v>
      </c>
      <c r="AF3354" s="46">
        <v>193</v>
      </c>
      <c r="AG3354" s="46">
        <v>95500</v>
      </c>
      <c r="AH3354" s="46">
        <v>795318</v>
      </c>
      <c r="AI3354" s="46">
        <v>8.3279999999999994</v>
      </c>
      <c r="AJ3354" s="46">
        <v>197</v>
      </c>
      <c r="AK3354" s="46">
        <v>88300</v>
      </c>
      <c r="AL3354" s="46">
        <v>781491.25550000009</v>
      </c>
      <c r="AM3354" s="46">
        <v>8.85</v>
      </c>
      <c r="AN3354" s="46" t="s">
        <v>63</v>
      </c>
      <c r="AO3354" s="46">
        <v>7200</v>
      </c>
      <c r="AP3354" s="46">
        <v>13826.744000000001</v>
      </c>
      <c r="AQ3354" s="46">
        <v>1.92</v>
      </c>
      <c r="AR3354" s="46">
        <v>46092.6</v>
      </c>
      <c r="AS3354" s="46">
        <v>194</v>
      </c>
      <c r="AT3354" s="46">
        <v>95530</v>
      </c>
      <c r="AU3354" s="46">
        <v>795323</v>
      </c>
      <c r="AV3354" s="46">
        <v>8.3249999999999993</v>
      </c>
      <c r="AW3354" s="46">
        <v>221</v>
      </c>
      <c r="AX3354" s="46">
        <v>97900</v>
      </c>
      <c r="AY3354" s="46">
        <v>867143.89950000017</v>
      </c>
      <c r="AZ3354" s="46">
        <v>8.8569999999999993</v>
      </c>
      <c r="BA3354" s="46" t="s">
        <v>69</v>
      </c>
      <c r="BB3354" s="46">
        <v>2370</v>
      </c>
      <c r="BC3354" s="46">
        <v>71820.899999999994</v>
      </c>
      <c r="BD3354" s="46">
        <v>30.303999999999998</v>
      </c>
      <c r="BE3354" s="46">
        <v>50821.96</v>
      </c>
      <c r="BF3354" s="46">
        <v>5</v>
      </c>
      <c r="BG3354" s="46">
        <v>0.17</v>
      </c>
      <c r="BH3354" s="46">
        <v>85652.644000000088</v>
      </c>
      <c r="BI3354">
        <v>8.92</v>
      </c>
      <c r="BJ3354">
        <v>57994.155999999995</v>
      </c>
      <c r="BK3354">
        <v>6.06</v>
      </c>
      <c r="BL3354">
        <v>5621.05</v>
      </c>
    </row>
    <row r="3355" spans="1:64" x14ac:dyDescent="0.25">
      <c r="A3355" s="136">
        <v>43565</v>
      </c>
      <c r="B3355" t="s">
        <v>78</v>
      </c>
      <c r="C3355" t="s">
        <v>142</v>
      </c>
      <c r="D3355">
        <v>200</v>
      </c>
      <c r="E3355">
        <v>200</v>
      </c>
      <c r="F3355">
        <v>2.077</v>
      </c>
      <c r="G3355">
        <v>1824.65</v>
      </c>
      <c r="H3355">
        <v>439.25</v>
      </c>
      <c r="I3355">
        <v>2240</v>
      </c>
      <c r="J3355">
        <v>11.2</v>
      </c>
      <c r="K3355" s="133">
        <v>4.0581094460160668E-3</v>
      </c>
      <c r="L3355" s="181">
        <v>-96</v>
      </c>
      <c r="M3355" s="133">
        <v>7.5247132071552358E-4</v>
      </c>
      <c r="N3355" s="73">
        <v>1454.650999999996</v>
      </c>
      <c r="O3355" s="73">
        <v>155.49985823529371</v>
      </c>
      <c r="P3355" s="182">
        <v>0</v>
      </c>
      <c r="Q3355" s="182">
        <v>0</v>
      </c>
      <c r="R3355" s="46">
        <v>0</v>
      </c>
      <c r="S3355" s="46">
        <v>3</v>
      </c>
      <c r="T3355" s="46">
        <v>1200</v>
      </c>
      <c r="U3355" s="46">
        <v>9.923</v>
      </c>
      <c r="V3355" s="46" t="s">
        <v>68</v>
      </c>
      <c r="W3355" s="46">
        <v>1200</v>
      </c>
      <c r="X3355" s="46">
        <v>9.923</v>
      </c>
      <c r="AF3355" s="46">
        <v>14</v>
      </c>
      <c r="AG3355" s="46">
        <v>7000</v>
      </c>
      <c r="AH3355" s="46">
        <v>67625</v>
      </c>
      <c r="AI3355" s="46">
        <v>9.6609999999999996</v>
      </c>
      <c r="AJ3355" s="46">
        <v>15</v>
      </c>
      <c r="AK3355" s="46">
        <v>5600</v>
      </c>
      <c r="AL3355" s="46">
        <v>55310.559000000008</v>
      </c>
      <c r="AM3355" s="46">
        <v>9.8770000000000007</v>
      </c>
      <c r="AN3355" s="46" t="s">
        <v>63</v>
      </c>
      <c r="AO3355" s="46">
        <v>1400</v>
      </c>
      <c r="AP3355" s="46">
        <v>12314.441000000001</v>
      </c>
      <c r="AQ3355" s="46">
        <v>8.7959999999999994</v>
      </c>
      <c r="AR3355" s="46">
        <v>1209.5999999999999</v>
      </c>
      <c r="AS3355" s="46">
        <v>14</v>
      </c>
      <c r="AT3355" s="46">
        <v>7000</v>
      </c>
      <c r="AU3355" s="46">
        <v>67625</v>
      </c>
      <c r="AV3355" s="46">
        <v>9.6609999999999996</v>
      </c>
      <c r="AW3355" s="46">
        <v>18</v>
      </c>
      <c r="AX3355" s="46">
        <v>6800</v>
      </c>
      <c r="AY3355" s="46">
        <v>67209.651000000013</v>
      </c>
      <c r="AZ3355" s="46">
        <v>9.8840000000000003</v>
      </c>
      <c r="BA3355" s="46" t="s">
        <v>63</v>
      </c>
      <c r="BB3355" s="46">
        <v>200</v>
      </c>
      <c r="BC3355" s="46">
        <v>415.34899999999999</v>
      </c>
      <c r="BD3355" s="46">
        <v>2.077</v>
      </c>
      <c r="BE3355" s="46">
        <v>1516.4</v>
      </c>
      <c r="BF3355" s="46">
        <v>0</v>
      </c>
      <c r="BH3355" s="46">
        <v>11899.092000000004</v>
      </c>
      <c r="BI3355">
        <v>9.92</v>
      </c>
      <c r="BJ3355">
        <v>-11899.092000000001</v>
      </c>
      <c r="BK3355">
        <v>-9.92</v>
      </c>
      <c r="BL3355">
        <v>108</v>
      </c>
    </row>
    <row r="3356" spans="1:64" x14ac:dyDescent="0.25">
      <c r="A3356" s="136">
        <v>43565</v>
      </c>
      <c r="B3356" t="s">
        <v>72</v>
      </c>
      <c r="C3356" t="s">
        <v>130</v>
      </c>
      <c r="D3356">
        <v>100</v>
      </c>
      <c r="E3356">
        <v>100</v>
      </c>
      <c r="F3356">
        <v>-18.477</v>
      </c>
      <c r="G3356">
        <v>2457.6999999999998</v>
      </c>
      <c r="H3356">
        <v>0</v>
      </c>
      <c r="I3356">
        <v>610</v>
      </c>
      <c r="J3356">
        <v>6.1</v>
      </c>
      <c r="K3356" s="133">
        <v>1.1051101616383039E-3</v>
      </c>
      <c r="L3356" s="181">
        <v>-10</v>
      </c>
      <c r="M3356" s="133">
        <v>0</v>
      </c>
      <c r="N3356" s="73">
        <v>-1498.9659999999872</v>
      </c>
      <c r="O3356" s="73">
        <v>376.42007904191922</v>
      </c>
      <c r="P3356" s="182">
        <v>0</v>
      </c>
      <c r="Q3356" s="182">
        <v>0</v>
      </c>
      <c r="R3356" s="46">
        <v>0</v>
      </c>
      <c r="S3356" s="46">
        <v>20</v>
      </c>
      <c r="T3356" s="46">
        <v>8600</v>
      </c>
      <c r="U3356" s="46">
        <v>7.3840000000000003</v>
      </c>
      <c r="V3356" s="46" t="s">
        <v>68</v>
      </c>
      <c r="W3356" s="46">
        <v>8600</v>
      </c>
      <c r="X3356" s="46">
        <v>7.3840000000000003</v>
      </c>
      <c r="AF3356" s="46">
        <v>42</v>
      </c>
      <c r="AG3356" s="46">
        <v>20900</v>
      </c>
      <c r="AH3356" s="46">
        <v>152800</v>
      </c>
      <c r="AI3356" s="46">
        <v>7.3109999999999999</v>
      </c>
      <c r="AJ3356" s="46">
        <v>42</v>
      </c>
      <c r="AK3356" s="46">
        <v>18800</v>
      </c>
      <c r="AL3356" s="46">
        <v>92037.725000000035</v>
      </c>
      <c r="AM3356" s="46">
        <v>4.8959999999999999</v>
      </c>
      <c r="AN3356" s="46" t="s">
        <v>63</v>
      </c>
      <c r="AO3356" s="46">
        <v>2100</v>
      </c>
      <c r="AP3356" s="46">
        <v>60762.275000000001</v>
      </c>
      <c r="AQ3356" s="46">
        <v>28.934000000000001</v>
      </c>
      <c r="AR3356" s="46">
        <v>-45402</v>
      </c>
      <c r="AS3356" s="46">
        <v>42</v>
      </c>
      <c r="AT3356" s="46">
        <v>20900</v>
      </c>
      <c r="AU3356" s="46">
        <v>152800</v>
      </c>
      <c r="AV3356" s="46">
        <v>7.3109999999999999</v>
      </c>
      <c r="AW3356" s="46">
        <v>63</v>
      </c>
      <c r="AX3356" s="46">
        <v>27900</v>
      </c>
      <c r="AY3356" s="46">
        <v>155380.21900000001</v>
      </c>
      <c r="AZ3356" s="46">
        <v>5.569</v>
      </c>
      <c r="BA3356" s="46" t="s">
        <v>69</v>
      </c>
      <c r="BB3356" s="46">
        <v>7000</v>
      </c>
      <c r="BC3356" s="46">
        <v>2580.2190000000001</v>
      </c>
      <c r="BD3356" s="46">
        <v>0.36899999999999999</v>
      </c>
      <c r="BE3356" s="46">
        <v>-36407.800000000003</v>
      </c>
      <c r="BF3356" s="46">
        <v>0</v>
      </c>
      <c r="BH3356" s="46">
        <v>63342.493999999977</v>
      </c>
      <c r="BI3356">
        <v>7.37</v>
      </c>
      <c r="BJ3356">
        <v>-58182.056000000004</v>
      </c>
      <c r="BK3356">
        <v>-6.77</v>
      </c>
      <c r="BL3356">
        <v>-7442.95</v>
      </c>
    </row>
    <row r="3357" spans="1:64" x14ac:dyDescent="0.25">
      <c r="A3357" s="136">
        <v>43565</v>
      </c>
      <c r="B3357" t="s">
        <v>70</v>
      </c>
      <c r="C3357" t="s">
        <v>131</v>
      </c>
      <c r="D3357">
        <v>11900</v>
      </c>
      <c r="E3357">
        <v>11900</v>
      </c>
      <c r="F3357">
        <v>11.288</v>
      </c>
      <c r="G3357">
        <v>-26515.88</v>
      </c>
      <c r="H3357">
        <v>-19.739999999999998</v>
      </c>
      <c r="I3357">
        <v>107814</v>
      </c>
      <c r="J3357">
        <v>9.06</v>
      </c>
      <c r="K3357" s="133">
        <v>0.19532188027356082</v>
      </c>
      <c r="L3357" s="181">
        <v>-357</v>
      </c>
      <c r="M3357" s="133">
        <v>0.24335953344205569</v>
      </c>
      <c r="N3357" s="73">
        <v>-23187.869000000035</v>
      </c>
      <c r="O3357" s="73">
        <v>-2481.3998999464707</v>
      </c>
      <c r="P3357" s="182">
        <v>0</v>
      </c>
      <c r="Q3357" s="182">
        <v>0</v>
      </c>
      <c r="R3357" s="46">
        <v>0</v>
      </c>
      <c r="S3357" s="46">
        <v>6</v>
      </c>
      <c r="T3357" s="46">
        <v>2400</v>
      </c>
      <c r="U3357" s="46">
        <v>8.4779999999999998</v>
      </c>
      <c r="V3357" s="46" t="s">
        <v>68</v>
      </c>
      <c r="W3357" s="46">
        <v>2400</v>
      </c>
      <c r="X3357" s="46">
        <v>8.4779999999999998</v>
      </c>
      <c r="AF3357" s="46">
        <v>156</v>
      </c>
      <c r="AG3357" s="46">
        <v>79600</v>
      </c>
      <c r="AH3357" s="46">
        <v>982918</v>
      </c>
      <c r="AI3357" s="46">
        <v>12.348000000000001</v>
      </c>
      <c r="AJ3357" s="46">
        <v>162</v>
      </c>
      <c r="AK3357" s="46">
        <v>65300</v>
      </c>
      <c r="AL3357" s="46">
        <v>827881.4789999997</v>
      </c>
      <c r="AM3357" s="46">
        <v>12.678000000000001</v>
      </c>
      <c r="AN3357" s="46" t="s">
        <v>63</v>
      </c>
      <c r="AO3357" s="46">
        <v>14300</v>
      </c>
      <c r="AP3357" s="46">
        <v>155036.52100000001</v>
      </c>
      <c r="AQ3357" s="46">
        <v>10.842000000000001</v>
      </c>
      <c r="AR3357" s="46">
        <v>21549</v>
      </c>
      <c r="AS3357" s="46">
        <v>156</v>
      </c>
      <c r="AT3357" s="46">
        <v>79600</v>
      </c>
      <c r="AU3357" s="46">
        <v>982918</v>
      </c>
      <c r="AV3357" s="46">
        <v>12.348000000000001</v>
      </c>
      <c r="AW3357" s="46">
        <v>169</v>
      </c>
      <c r="AX3357" s="46">
        <v>67700</v>
      </c>
      <c r="AY3357" s="46">
        <v>848584.1309999997</v>
      </c>
      <c r="AZ3357" s="46">
        <v>12.534000000000001</v>
      </c>
      <c r="BA3357" s="46" t="s">
        <v>63</v>
      </c>
      <c r="BB3357" s="46">
        <v>11900</v>
      </c>
      <c r="BC3357" s="46">
        <v>134333.86900000001</v>
      </c>
      <c r="BD3357" s="46">
        <v>11.289</v>
      </c>
      <c r="BE3357" s="46">
        <v>12592.2</v>
      </c>
      <c r="BF3357" s="46">
        <v>0</v>
      </c>
      <c r="BH3357" s="46">
        <v>20702.652000000002</v>
      </c>
      <c r="BI3357">
        <v>8.6300000000000008</v>
      </c>
      <c r="BJ3357">
        <v>-20702.652000000002</v>
      </c>
      <c r="BK3357">
        <v>-8.6300000000000008</v>
      </c>
      <c r="BL3357">
        <v>2378.48</v>
      </c>
    </row>
    <row r="3358" spans="1:64" x14ac:dyDescent="0.25">
      <c r="A3358" s="136">
        <v>43565</v>
      </c>
      <c r="B3358" t="s">
        <v>628</v>
      </c>
      <c r="C3358" t="s">
        <v>629</v>
      </c>
      <c r="D3358">
        <v>100</v>
      </c>
      <c r="E3358">
        <v>100</v>
      </c>
      <c r="F3358">
        <v>-22.33</v>
      </c>
      <c r="G3358">
        <v>3686</v>
      </c>
      <c r="H3358">
        <v>0</v>
      </c>
      <c r="I3358">
        <v>1453</v>
      </c>
      <c r="J3358">
        <v>14.53</v>
      </c>
      <c r="K3358" s="133">
        <v>2.6323361719023863E-3</v>
      </c>
      <c r="L3358" s="181">
        <v>-37</v>
      </c>
      <c r="M3358" s="133">
        <v>0</v>
      </c>
    </row>
    <row r="3359" spans="1:64" x14ac:dyDescent="0.25">
      <c r="A3359" s="136">
        <v>43565</v>
      </c>
      <c r="B3359" t="s">
        <v>630</v>
      </c>
      <c r="C3359" t="s">
        <v>631</v>
      </c>
      <c r="D3359">
        <v>100</v>
      </c>
      <c r="E3359">
        <v>100</v>
      </c>
      <c r="F3359">
        <v>-94.45</v>
      </c>
      <c r="G3359">
        <v>12648</v>
      </c>
      <c r="H3359">
        <v>0</v>
      </c>
      <c r="I3359">
        <v>3203</v>
      </c>
      <c r="J3359">
        <v>32.03</v>
      </c>
      <c r="K3359" s="133">
        <v>5.8027341766024379E-3</v>
      </c>
      <c r="L3359" s="181">
        <v>24</v>
      </c>
      <c r="M3359" s="133">
        <v>0</v>
      </c>
    </row>
    <row r="3360" spans="1:64" x14ac:dyDescent="0.25">
      <c r="A3360" s="136">
        <v>43565</v>
      </c>
      <c r="B3360" t="s">
        <v>137</v>
      </c>
      <c r="C3360" t="s">
        <v>149</v>
      </c>
      <c r="D3360">
        <v>100</v>
      </c>
      <c r="E3360">
        <v>100</v>
      </c>
      <c r="F3360">
        <v>-130.86000000000001</v>
      </c>
      <c r="G3360">
        <v>16925</v>
      </c>
      <c r="H3360">
        <v>0</v>
      </c>
      <c r="I3360">
        <v>3839</v>
      </c>
      <c r="J3360">
        <v>38.39</v>
      </c>
      <c r="K3360" s="133">
        <v>6.9549473943105716E-3</v>
      </c>
      <c r="L3360" s="181">
        <v>74</v>
      </c>
      <c r="M3360" s="133">
        <v>0</v>
      </c>
    </row>
    <row r="3361" spans="1:64" x14ac:dyDescent="0.25">
      <c r="A3361" s="136">
        <v>43565</v>
      </c>
      <c r="B3361" t="s">
        <v>835</v>
      </c>
      <c r="C3361" t="s">
        <v>839</v>
      </c>
      <c r="I3361">
        <v>7858.49</v>
      </c>
      <c r="K3361" s="133">
        <v>1.4236880580545893E-2</v>
      </c>
      <c r="L3361" s="181">
        <v>0</v>
      </c>
      <c r="M3361" s="133">
        <v>0.19547001938490041</v>
      </c>
    </row>
    <row r="3362" spans="1:64" x14ac:dyDescent="0.25">
      <c r="A3362" s="136">
        <v>43566</v>
      </c>
      <c r="B3362" t="s">
        <v>132</v>
      </c>
      <c r="C3362" t="s">
        <v>123</v>
      </c>
      <c r="D3362">
        <v>10004240</v>
      </c>
      <c r="E3362">
        <v>10004240</v>
      </c>
      <c r="F3362">
        <v>0.01</v>
      </c>
      <c r="G3362">
        <v>3887.25</v>
      </c>
      <c r="H3362">
        <v>0</v>
      </c>
      <c r="I3362">
        <v>100042.4</v>
      </c>
      <c r="J3362">
        <v>0.01</v>
      </c>
      <c r="K3362" s="133">
        <v>0.18411598263042461</v>
      </c>
      <c r="L3362" s="181">
        <v>5.1199999999998909</v>
      </c>
      <c r="M3362" s="133">
        <v>0</v>
      </c>
    </row>
    <row r="3363" spans="1:64" x14ac:dyDescent="0.25">
      <c r="A3363" s="136">
        <v>43566</v>
      </c>
      <c r="B3363" t="s">
        <v>61</v>
      </c>
      <c r="C3363" t="s">
        <v>136</v>
      </c>
      <c r="D3363">
        <v>2300</v>
      </c>
      <c r="E3363">
        <v>2300</v>
      </c>
      <c r="F3363">
        <v>4.992</v>
      </c>
      <c r="G3363">
        <v>-693.52</v>
      </c>
      <c r="H3363">
        <v>-6.04</v>
      </c>
      <c r="I3363">
        <v>10787</v>
      </c>
      <c r="J3363">
        <v>4.6900000000000004</v>
      </c>
      <c r="K3363" s="133">
        <v>1.9852173724684639E-2</v>
      </c>
      <c r="L3363" s="181">
        <v>-184</v>
      </c>
      <c r="M3363" s="133">
        <v>2.1128513719265458E-2</v>
      </c>
      <c r="N3363" s="73">
        <v>-581.44500000000517</v>
      </c>
      <c r="O3363" s="73">
        <v>-122.60638765822894</v>
      </c>
      <c r="P3363" s="182">
        <v>2</v>
      </c>
      <c r="Q3363" s="182">
        <v>1000</v>
      </c>
      <c r="R3363" s="46">
        <v>4.82</v>
      </c>
      <c r="S3363" s="46">
        <v>1</v>
      </c>
      <c r="T3363" s="46">
        <v>400</v>
      </c>
      <c r="U3363" s="46">
        <v>4.74</v>
      </c>
      <c r="V3363" s="46" t="s">
        <v>702</v>
      </c>
      <c r="W3363" s="46">
        <v>600</v>
      </c>
      <c r="X3363" s="46">
        <v>4.8730000000000002</v>
      </c>
      <c r="AF3363" s="46">
        <v>18</v>
      </c>
      <c r="AG3363" s="46">
        <v>9000</v>
      </c>
      <c r="AH3363" s="46">
        <v>45060.400000000009</v>
      </c>
      <c r="AI3363" s="46">
        <v>5.0069999999999997</v>
      </c>
      <c r="AJ3363" s="46">
        <v>18</v>
      </c>
      <c r="AK3363" s="46">
        <v>7300</v>
      </c>
      <c r="AL3363" s="46">
        <v>36518.690999999984</v>
      </c>
      <c r="AM3363" s="46">
        <v>5.0030000000000001</v>
      </c>
      <c r="AN3363" s="46" t="s">
        <v>63</v>
      </c>
      <c r="AO3363" s="46">
        <v>1700</v>
      </c>
      <c r="AP3363" s="46">
        <v>8541.7090000000007</v>
      </c>
      <c r="AQ3363" s="46">
        <v>5.0250000000000004</v>
      </c>
      <c r="AR3363" s="46">
        <v>-29.2</v>
      </c>
      <c r="AS3363" s="46">
        <v>20</v>
      </c>
      <c r="AT3363" s="46">
        <v>10000</v>
      </c>
      <c r="AU3363" s="46">
        <v>49891</v>
      </c>
      <c r="AV3363" s="46">
        <v>4.9889999999999999</v>
      </c>
      <c r="AW3363" s="46">
        <v>19</v>
      </c>
      <c r="AX3363" s="46">
        <v>7700</v>
      </c>
      <c r="AY3363" s="46">
        <v>38407.554999999986</v>
      </c>
      <c r="AZ3363" s="46">
        <v>4.9880000000000004</v>
      </c>
      <c r="BA3363" s="46" t="s">
        <v>63</v>
      </c>
      <c r="BB3363" s="46">
        <v>2300</v>
      </c>
      <c r="BC3363" s="46">
        <v>11483.445</v>
      </c>
      <c r="BD3363" s="46">
        <v>4.9930000000000003</v>
      </c>
      <c r="BE3363" s="46">
        <v>-7.7</v>
      </c>
      <c r="BF3363" s="46">
        <v>4830.5999999999913</v>
      </c>
      <c r="BG3363" s="46">
        <v>4.83</v>
      </c>
      <c r="BH3363" s="46">
        <v>1888.8640000000014</v>
      </c>
      <c r="BI3363">
        <v>4.72</v>
      </c>
      <c r="BJ3363">
        <v>2941.735999999999</v>
      </c>
      <c r="BK3363">
        <v>4.9000000000000004</v>
      </c>
      <c r="BL3363">
        <v>-6.23</v>
      </c>
    </row>
    <row r="3364" spans="1:64" x14ac:dyDescent="0.25">
      <c r="A3364" s="136">
        <v>43566</v>
      </c>
      <c r="B3364" t="s">
        <v>124</v>
      </c>
      <c r="C3364" t="s">
        <v>125</v>
      </c>
      <c r="D3364">
        <v>100</v>
      </c>
      <c r="E3364">
        <v>100</v>
      </c>
      <c r="F3364">
        <v>-53.82</v>
      </c>
      <c r="G3364">
        <v>5955</v>
      </c>
      <c r="H3364">
        <v>0</v>
      </c>
      <c r="I3364">
        <v>573</v>
      </c>
      <c r="J3364">
        <v>5.73</v>
      </c>
      <c r="K3364" s="133">
        <v>1.0545374565907387E-3</v>
      </c>
      <c r="L3364" s="181">
        <v>-2</v>
      </c>
      <c r="M3364" s="133">
        <v>0</v>
      </c>
      <c r="N3364" s="73">
        <v>5573.0690000000113</v>
      </c>
      <c r="O3364" s="73">
        <v>1102.4501845505636</v>
      </c>
      <c r="P3364" s="182">
        <v>0</v>
      </c>
      <c r="Q3364" s="182">
        <v>0</v>
      </c>
      <c r="R3364" s="46">
        <v>0</v>
      </c>
      <c r="S3364" s="46">
        <v>5</v>
      </c>
      <c r="T3364" s="46">
        <v>2300</v>
      </c>
      <c r="U3364" s="46">
        <v>4.99</v>
      </c>
      <c r="V3364" s="46" t="s">
        <v>700</v>
      </c>
      <c r="W3364" s="46">
        <v>2300</v>
      </c>
      <c r="X3364" s="46">
        <v>4.99</v>
      </c>
      <c r="AF3364" s="46">
        <v>50</v>
      </c>
      <c r="AG3364" s="46">
        <v>36700</v>
      </c>
      <c r="AH3364" s="46">
        <v>180101.02000000002</v>
      </c>
      <c r="AI3364" s="46">
        <v>4.907</v>
      </c>
      <c r="AJ3364" s="46">
        <v>58</v>
      </c>
      <c r="AK3364" s="46">
        <v>35300</v>
      </c>
      <c r="AL3364" s="46">
        <v>178266.546</v>
      </c>
      <c r="AM3364" s="46">
        <v>5.05</v>
      </c>
      <c r="AN3364" s="46" t="s">
        <v>63</v>
      </c>
      <c r="AO3364" s="46">
        <v>1400</v>
      </c>
      <c r="AP3364" s="46">
        <v>1834.4739999999999</v>
      </c>
      <c r="AQ3364" s="46">
        <v>1.31</v>
      </c>
      <c r="AR3364" s="46">
        <v>5047.8999999999996</v>
      </c>
      <c r="AS3364" s="46">
        <v>51</v>
      </c>
      <c r="AT3364" s="46">
        <v>37700</v>
      </c>
      <c r="AU3364" s="46">
        <v>185106.62</v>
      </c>
      <c r="AV3364" s="46">
        <v>4.91</v>
      </c>
      <c r="AW3364" s="46">
        <v>63</v>
      </c>
      <c r="AX3364" s="46">
        <v>37600</v>
      </c>
      <c r="AY3364" s="46">
        <v>189713.68900000001</v>
      </c>
      <c r="AZ3364" s="46">
        <v>5.0460000000000003</v>
      </c>
      <c r="BA3364" s="46" t="s">
        <v>63</v>
      </c>
      <c r="BB3364" s="46">
        <v>100</v>
      </c>
      <c r="BC3364" s="46">
        <v>4607.0690000000004</v>
      </c>
      <c r="BD3364" s="46">
        <v>46.070999999999998</v>
      </c>
      <c r="BE3364" s="46">
        <v>5113.6000000000004</v>
      </c>
      <c r="BF3364" s="46">
        <v>5005.5999999999767</v>
      </c>
      <c r="BH3364" s="46">
        <v>11447.143000000011</v>
      </c>
      <c r="BI3364">
        <v>4.9800000000000004</v>
      </c>
      <c r="BJ3364">
        <v>2772.5950000000003</v>
      </c>
      <c r="BK3364">
        <v>1.21</v>
      </c>
      <c r="BL3364">
        <v>880.96</v>
      </c>
    </row>
    <row r="3365" spans="1:64" x14ac:dyDescent="0.25">
      <c r="A3365" s="136">
        <v>43566</v>
      </c>
      <c r="B3365" t="s">
        <v>71</v>
      </c>
      <c r="C3365" t="s">
        <v>126</v>
      </c>
      <c r="D3365">
        <v>800</v>
      </c>
      <c r="E3365">
        <v>800</v>
      </c>
      <c r="F3365">
        <v>2.7010000000000001</v>
      </c>
      <c r="G3365">
        <v>2935.11</v>
      </c>
      <c r="H3365">
        <v>135.83000000000001</v>
      </c>
      <c r="I3365">
        <v>5096</v>
      </c>
      <c r="J3365">
        <v>6.37</v>
      </c>
      <c r="K3365" s="133">
        <v>9.3785739594876173E-3</v>
      </c>
      <c r="L3365" s="181">
        <v>-48</v>
      </c>
      <c r="M3365" s="133">
        <v>3.9768576694107528E-3</v>
      </c>
      <c r="N3365" s="73">
        <v>-2171.3999999999946</v>
      </c>
      <c r="O3365" s="73">
        <v>461.2692500000008</v>
      </c>
      <c r="P3365" s="182">
        <v>0</v>
      </c>
      <c r="Q3365" s="182">
        <v>0</v>
      </c>
      <c r="R3365" s="46">
        <v>0</v>
      </c>
      <c r="S3365" s="46">
        <v>8</v>
      </c>
      <c r="T3365" s="46">
        <v>3100</v>
      </c>
      <c r="U3365" s="46">
        <v>6.4169999999999998</v>
      </c>
      <c r="V3365" s="46" t="s">
        <v>703</v>
      </c>
      <c r="W3365" s="46">
        <v>3100</v>
      </c>
      <c r="X3365" s="46">
        <v>6.4169999999999998</v>
      </c>
      <c r="AF3365" s="46">
        <v>52</v>
      </c>
      <c r="AG3365" s="46">
        <v>26100</v>
      </c>
      <c r="AH3365" s="46">
        <v>165656.62999999998</v>
      </c>
      <c r="AI3365" s="46">
        <v>6.3470000000000004</v>
      </c>
      <c r="AJ3365" s="46">
        <v>50</v>
      </c>
      <c r="AK3365" s="46">
        <v>22200</v>
      </c>
      <c r="AL3365" s="46">
        <v>143498.78200000001</v>
      </c>
      <c r="AM3365" s="46">
        <v>6.4640000000000004</v>
      </c>
      <c r="AN3365" s="46" t="s">
        <v>63</v>
      </c>
      <c r="AO3365" s="46">
        <v>3900</v>
      </c>
      <c r="AP3365" s="46">
        <v>22157.848000000002</v>
      </c>
      <c r="AQ3365" s="46">
        <v>5.681</v>
      </c>
      <c r="AR3365" s="46">
        <v>2597.4</v>
      </c>
      <c r="AS3365" s="46">
        <v>52</v>
      </c>
      <c r="AT3365" s="46">
        <v>26100</v>
      </c>
      <c r="AU3365" s="46">
        <v>165656.62999999998</v>
      </c>
      <c r="AV3365" s="46">
        <v>6.3470000000000004</v>
      </c>
      <c r="AW3365" s="46">
        <v>58</v>
      </c>
      <c r="AX3365" s="46">
        <v>25300</v>
      </c>
      <c r="AY3365" s="46">
        <v>163329.03</v>
      </c>
      <c r="AZ3365" s="46">
        <v>6.4560000000000004</v>
      </c>
      <c r="BA3365" s="46" t="s">
        <v>63</v>
      </c>
      <c r="BB3365" s="46">
        <v>800</v>
      </c>
      <c r="BC3365" s="46">
        <v>2327.6</v>
      </c>
      <c r="BD3365" s="46">
        <v>2.91</v>
      </c>
      <c r="BE3365" s="46">
        <v>2757.7</v>
      </c>
      <c r="BF3365" s="46">
        <v>0</v>
      </c>
      <c r="BH3365" s="46">
        <v>19830.247999999992</v>
      </c>
      <c r="BI3365">
        <v>6.4</v>
      </c>
      <c r="BJ3365">
        <v>-19830.248000000003</v>
      </c>
      <c r="BK3365">
        <v>-6.4</v>
      </c>
      <c r="BL3365">
        <v>407.76</v>
      </c>
    </row>
    <row r="3366" spans="1:64" x14ac:dyDescent="0.25">
      <c r="A3366" s="136">
        <v>43566</v>
      </c>
      <c r="B3366" t="s">
        <v>79</v>
      </c>
      <c r="C3366" t="s">
        <v>143</v>
      </c>
      <c r="D3366">
        <v>9920</v>
      </c>
      <c r="E3366">
        <v>9920</v>
      </c>
      <c r="F3366">
        <v>10.718</v>
      </c>
      <c r="G3366">
        <v>-16746.22</v>
      </c>
      <c r="H3366">
        <v>-15.75</v>
      </c>
      <c r="I3366">
        <v>89577.600000000006</v>
      </c>
      <c r="J3366">
        <v>9.0299999999999994</v>
      </c>
      <c r="K3366" s="133">
        <v>0.16485677918237793</v>
      </c>
      <c r="L3366" s="181">
        <v>-1388.8000000000011</v>
      </c>
      <c r="M3366" s="133">
        <v>0.19567617926319636</v>
      </c>
      <c r="N3366" s="73">
        <v>-14681.452000000252</v>
      </c>
      <c r="O3366" s="73">
        <v>-1588.1072807359581</v>
      </c>
      <c r="P3366" s="182">
        <v>8</v>
      </c>
      <c r="Q3366" s="182">
        <v>6420</v>
      </c>
      <c r="R3366" s="46">
        <v>4.968</v>
      </c>
      <c r="S3366" s="46">
        <v>0</v>
      </c>
      <c r="T3366" s="46">
        <v>0</v>
      </c>
      <c r="U3366" s="46">
        <v>0</v>
      </c>
      <c r="V3366" s="46" t="s">
        <v>702</v>
      </c>
      <c r="W3366" s="46">
        <v>6420</v>
      </c>
      <c r="X3366" s="46">
        <v>4.968</v>
      </c>
      <c r="AF3366" s="46">
        <v>34</v>
      </c>
      <c r="AG3366" s="46">
        <v>17500</v>
      </c>
      <c r="AH3366" s="46">
        <v>256460.49999999983</v>
      </c>
      <c r="AI3366" s="46">
        <v>14.654999999999999</v>
      </c>
      <c r="AJ3366" s="46">
        <v>35</v>
      </c>
      <c r="AK3366" s="46">
        <v>14000</v>
      </c>
      <c r="AL3366" s="46">
        <v>182057.0999999998</v>
      </c>
      <c r="AM3366" s="46">
        <v>13.004</v>
      </c>
      <c r="AN3366" s="46" t="s">
        <v>63</v>
      </c>
      <c r="AO3366" s="46">
        <v>3500</v>
      </c>
      <c r="AP3366" s="46">
        <v>74403.399999999994</v>
      </c>
      <c r="AQ3366" s="46">
        <v>21.257999999999999</v>
      </c>
      <c r="AR3366" s="46">
        <v>-23114</v>
      </c>
      <c r="AS3366" s="46">
        <v>42</v>
      </c>
      <c r="AT3366" s="46">
        <v>23920</v>
      </c>
      <c r="AU3366" s="46">
        <v>288399.35199999972</v>
      </c>
      <c r="AV3366" s="46">
        <v>12.057</v>
      </c>
      <c r="AW3366" s="46">
        <v>35</v>
      </c>
      <c r="AX3366" s="46">
        <v>14000</v>
      </c>
      <c r="AY3366" s="46">
        <v>182057.0999999998</v>
      </c>
      <c r="AZ3366" s="46">
        <v>13.004</v>
      </c>
      <c r="BA3366" s="46" t="s">
        <v>63</v>
      </c>
      <c r="BB3366" s="46">
        <v>9920</v>
      </c>
      <c r="BC3366" s="46">
        <v>106342.25199999999</v>
      </c>
      <c r="BD3366" s="46">
        <v>10.72</v>
      </c>
      <c r="BE3366" s="46">
        <v>13258</v>
      </c>
      <c r="BF3366" s="46">
        <v>31938.851999999897</v>
      </c>
      <c r="BG3366" s="46">
        <v>4.97</v>
      </c>
      <c r="BH3366" s="46">
        <v>0</v>
      </c>
      <c r="BJ3366">
        <v>31938.851999999999</v>
      </c>
      <c r="BK3366">
        <v>4.97</v>
      </c>
      <c r="BL3366">
        <v>-2559.69</v>
      </c>
    </row>
    <row r="3367" spans="1:64" x14ac:dyDescent="0.25">
      <c r="A3367" s="136">
        <v>43566</v>
      </c>
      <c r="B3367" t="s">
        <v>65</v>
      </c>
      <c r="C3367" t="s">
        <v>127</v>
      </c>
      <c r="D3367">
        <v>20200</v>
      </c>
      <c r="E3367">
        <v>20200</v>
      </c>
      <c r="F3367">
        <v>8.8689999999999998</v>
      </c>
      <c r="G3367">
        <v>6079.63</v>
      </c>
      <c r="H3367">
        <v>3.39</v>
      </c>
      <c r="I3367">
        <v>185234</v>
      </c>
      <c r="J3367">
        <v>9.17</v>
      </c>
      <c r="K3367" s="133">
        <v>0.34090085730214464</v>
      </c>
      <c r="L3367" s="181">
        <v>-2020</v>
      </c>
      <c r="M3367" s="133">
        <v>0.32971203084976636</v>
      </c>
      <c r="N3367" s="73">
        <v>5231.2149999999092</v>
      </c>
      <c r="O3367" s="73">
        <v>1017.9884492237445</v>
      </c>
      <c r="P3367" s="182">
        <v>4</v>
      </c>
      <c r="Q3367" s="182">
        <v>2000</v>
      </c>
      <c r="R3367" s="46">
        <v>8.0399999999999991</v>
      </c>
      <c r="S3367" s="46">
        <v>9</v>
      </c>
      <c r="T3367" s="46">
        <v>3600</v>
      </c>
      <c r="U3367" s="46">
        <v>8.4570000000000007</v>
      </c>
      <c r="V3367" s="46" t="s">
        <v>703</v>
      </c>
      <c r="W3367" s="46">
        <v>1600</v>
      </c>
      <c r="X3367" s="46">
        <v>8.9779999999999998</v>
      </c>
      <c r="AF3367" s="46">
        <v>229</v>
      </c>
      <c r="AG3367" s="46">
        <v>123500</v>
      </c>
      <c r="AH3367" s="46">
        <v>1323846.6810000001</v>
      </c>
      <c r="AI3367" s="46">
        <v>10.718999999999999</v>
      </c>
      <c r="AJ3367" s="46">
        <v>259</v>
      </c>
      <c r="AK3367" s="46">
        <v>110900</v>
      </c>
      <c r="AL3367" s="46">
        <v>1126288.3379999998</v>
      </c>
      <c r="AM3367" s="46">
        <v>10.156000000000001</v>
      </c>
      <c r="AN3367" s="46" t="s">
        <v>63</v>
      </c>
      <c r="AO3367" s="46">
        <v>12600</v>
      </c>
      <c r="AP3367" s="46">
        <v>197558.34299999999</v>
      </c>
      <c r="AQ3367" s="46">
        <v>15.679</v>
      </c>
      <c r="AR3367" s="46">
        <v>-62436.7</v>
      </c>
      <c r="AS3367" s="46">
        <v>234</v>
      </c>
      <c r="AT3367" s="46">
        <v>125600</v>
      </c>
      <c r="AU3367" s="46">
        <v>1341234.6810000001</v>
      </c>
      <c r="AV3367" s="46">
        <v>10.679</v>
      </c>
      <c r="AW3367" s="46">
        <v>268</v>
      </c>
      <c r="AX3367" s="46">
        <v>114500</v>
      </c>
      <c r="AY3367" s="46">
        <v>1156656.8940000001</v>
      </c>
      <c r="AZ3367" s="46">
        <v>10.102</v>
      </c>
      <c r="BA3367" s="46" t="s">
        <v>63</v>
      </c>
      <c r="BB3367" s="46">
        <v>11100</v>
      </c>
      <c r="BC3367" s="46">
        <v>184577.78700000001</v>
      </c>
      <c r="BD3367" s="46">
        <v>16.629000000000001</v>
      </c>
      <c r="BE3367" s="46">
        <v>-66066.5</v>
      </c>
      <c r="BF3367" s="46">
        <v>17388</v>
      </c>
      <c r="BG3367" s="46">
        <v>8.69</v>
      </c>
      <c r="BH3367" s="46">
        <v>30368.556000000332</v>
      </c>
      <c r="BI3367">
        <v>8.44</v>
      </c>
      <c r="BJ3367">
        <v>-12980.555999999982</v>
      </c>
      <c r="BK3367">
        <v>-8.11</v>
      </c>
      <c r="BL3367">
        <v>-6808.8</v>
      </c>
    </row>
    <row r="3368" spans="1:64" x14ac:dyDescent="0.25">
      <c r="A3368" s="136">
        <v>43566</v>
      </c>
      <c r="B3368" t="s">
        <v>77</v>
      </c>
      <c r="C3368" t="s">
        <v>150</v>
      </c>
      <c r="D3368">
        <v>5800</v>
      </c>
      <c r="E3368">
        <v>5800</v>
      </c>
      <c r="F3368">
        <v>5.4329999999999998</v>
      </c>
      <c r="G3368">
        <v>-3785.88</v>
      </c>
      <c r="H3368">
        <v>-12.01</v>
      </c>
      <c r="I3368">
        <v>27724</v>
      </c>
      <c r="J3368">
        <v>4.78</v>
      </c>
      <c r="K3368" s="133">
        <v>5.1022681407542125E-2</v>
      </c>
      <c r="L3368" s="181">
        <v>-406</v>
      </c>
      <c r="M3368" s="133">
        <v>5.799013736942301E-2</v>
      </c>
      <c r="N3368" s="73">
        <v>-3768.8260000000046</v>
      </c>
      <c r="O3368" s="73">
        <v>-670.88122936345064</v>
      </c>
      <c r="P3368" s="182">
        <v>7</v>
      </c>
      <c r="Q3368" s="182">
        <v>3500</v>
      </c>
      <c r="R3368" s="46">
        <v>4.4359999999999999</v>
      </c>
      <c r="S3368" s="46">
        <v>0</v>
      </c>
      <c r="T3368" s="46">
        <v>0</v>
      </c>
      <c r="U3368" s="46">
        <v>0</v>
      </c>
      <c r="V3368" s="46" t="s">
        <v>701</v>
      </c>
      <c r="W3368" s="46">
        <v>3500</v>
      </c>
      <c r="X3368" s="46">
        <v>4.4359999999999999</v>
      </c>
      <c r="AF3368" s="46">
        <v>49</v>
      </c>
      <c r="AG3368" s="46">
        <v>24500</v>
      </c>
      <c r="AH3368" s="46">
        <v>170669</v>
      </c>
      <c r="AI3368" s="46">
        <v>6.9660000000000002</v>
      </c>
      <c r="AJ3368" s="46">
        <v>49</v>
      </c>
      <c r="AK3368" s="46">
        <v>22200</v>
      </c>
      <c r="AL3368" s="46">
        <v>154426.17400000003</v>
      </c>
      <c r="AM3368" s="46">
        <v>6.9560000000000004</v>
      </c>
      <c r="AN3368" s="46" t="s">
        <v>63</v>
      </c>
      <c r="AO3368" s="46">
        <v>2300</v>
      </c>
      <c r="AP3368" s="46">
        <v>16242.825999999999</v>
      </c>
      <c r="AQ3368" s="46">
        <v>7.0620000000000003</v>
      </c>
      <c r="AR3368" s="46">
        <v>-222</v>
      </c>
      <c r="AS3368" s="46">
        <v>56</v>
      </c>
      <c r="AT3368" s="46">
        <v>28000</v>
      </c>
      <c r="AU3368" s="46">
        <v>185941</v>
      </c>
      <c r="AV3368" s="46">
        <v>6.641</v>
      </c>
      <c r="AW3368" s="46">
        <v>49</v>
      </c>
      <c r="AX3368" s="46">
        <v>22200</v>
      </c>
      <c r="AY3368" s="46">
        <v>154426.17400000003</v>
      </c>
      <c r="AZ3368" s="46">
        <v>6.9560000000000004</v>
      </c>
      <c r="BA3368" s="46" t="s">
        <v>63</v>
      </c>
      <c r="BB3368" s="46">
        <v>5800</v>
      </c>
      <c r="BC3368" s="46">
        <v>31514.826000000001</v>
      </c>
      <c r="BD3368" s="46">
        <v>5.4340000000000002</v>
      </c>
      <c r="BE3368" s="46">
        <v>6993</v>
      </c>
      <c r="BF3368" s="46">
        <v>15272</v>
      </c>
      <c r="BG3368" s="46">
        <v>4.3600000000000003</v>
      </c>
      <c r="BH3368" s="46">
        <v>0</v>
      </c>
      <c r="BJ3368">
        <v>15272.000000000002</v>
      </c>
      <c r="BK3368">
        <v>4.3600000000000003</v>
      </c>
      <c r="BL3368">
        <v>-46.44</v>
      </c>
    </row>
    <row r="3369" spans="1:64" x14ac:dyDescent="0.25">
      <c r="A3369" s="136">
        <v>43566</v>
      </c>
      <c r="B3369" t="s">
        <v>67</v>
      </c>
      <c r="C3369" t="s">
        <v>129</v>
      </c>
      <c r="D3369">
        <v>230</v>
      </c>
      <c r="E3369">
        <v>230</v>
      </c>
      <c r="F3369">
        <v>-11.728999999999999</v>
      </c>
      <c r="G3369">
        <v>4558.37</v>
      </c>
      <c r="H3369">
        <v>0</v>
      </c>
      <c r="I3369">
        <v>1860.7</v>
      </c>
      <c r="J3369">
        <v>8.09</v>
      </c>
      <c r="K3369" s="133">
        <v>3.42439414568654E-3</v>
      </c>
      <c r="L3369" s="181">
        <v>-25.300000000000182</v>
      </c>
      <c r="M3369" s="133">
        <v>0</v>
      </c>
      <c r="N3369" s="73">
        <v>4362.583499999957</v>
      </c>
      <c r="O3369" s="73">
        <v>600.60636477272476</v>
      </c>
      <c r="P3369" s="182">
        <v>1</v>
      </c>
      <c r="Q3369" s="182">
        <v>30</v>
      </c>
      <c r="R3369" s="46">
        <v>0</v>
      </c>
      <c r="S3369" s="46">
        <v>24</v>
      </c>
      <c r="T3369" s="46">
        <v>9600</v>
      </c>
      <c r="U3369" s="46">
        <v>8.9429999999999996</v>
      </c>
      <c r="V3369" s="46" t="s">
        <v>700</v>
      </c>
      <c r="W3369" s="46">
        <v>9570</v>
      </c>
      <c r="X3369" s="46">
        <v>8.9710000000000001</v>
      </c>
      <c r="AF3369" s="46">
        <v>193</v>
      </c>
      <c r="AG3369" s="46">
        <v>95500</v>
      </c>
      <c r="AH3369" s="46">
        <v>795318</v>
      </c>
      <c r="AI3369" s="46">
        <v>8.3279999999999994</v>
      </c>
      <c r="AJ3369" s="46">
        <v>197</v>
      </c>
      <c r="AK3369" s="46">
        <v>88300</v>
      </c>
      <c r="AL3369" s="46">
        <v>781491.25550000009</v>
      </c>
      <c r="AM3369" s="46">
        <v>8.85</v>
      </c>
      <c r="AN3369" s="46" t="s">
        <v>63</v>
      </c>
      <c r="AO3369" s="46">
        <v>7200</v>
      </c>
      <c r="AP3369" s="46">
        <v>13826.744000000001</v>
      </c>
      <c r="AQ3369" s="46">
        <v>1.92</v>
      </c>
      <c r="AR3369" s="46">
        <v>46092.6</v>
      </c>
      <c r="AS3369" s="46">
        <v>194</v>
      </c>
      <c r="AT3369" s="46">
        <v>95530</v>
      </c>
      <c r="AU3369" s="46">
        <v>795323</v>
      </c>
      <c r="AV3369" s="46">
        <v>8.3249999999999993</v>
      </c>
      <c r="AW3369" s="46">
        <v>221</v>
      </c>
      <c r="AX3369" s="46">
        <v>97900</v>
      </c>
      <c r="AY3369" s="46">
        <v>867143.89950000017</v>
      </c>
      <c r="AZ3369" s="46">
        <v>8.8569999999999993</v>
      </c>
      <c r="BA3369" s="46" t="s">
        <v>69</v>
      </c>
      <c r="BB3369" s="46">
        <v>2370</v>
      </c>
      <c r="BC3369" s="46">
        <v>71820.899999999994</v>
      </c>
      <c r="BD3369" s="46">
        <v>30.303999999999998</v>
      </c>
      <c r="BE3369" s="46">
        <v>50821.96</v>
      </c>
      <c r="BF3369" s="46">
        <v>5</v>
      </c>
      <c r="BG3369" s="46">
        <v>0.17</v>
      </c>
      <c r="BH3369" s="46">
        <v>85652.644000000088</v>
      </c>
      <c r="BI3369">
        <v>8.92</v>
      </c>
      <c r="BJ3369">
        <v>57994.155999999995</v>
      </c>
      <c r="BK3369">
        <v>6.06</v>
      </c>
      <c r="BL3369">
        <v>5697.48</v>
      </c>
    </row>
    <row r="3370" spans="1:64" x14ac:dyDescent="0.25">
      <c r="A3370" s="136">
        <v>43566</v>
      </c>
      <c r="B3370" t="s">
        <v>78</v>
      </c>
      <c r="C3370" t="s">
        <v>142</v>
      </c>
      <c r="D3370">
        <v>200</v>
      </c>
      <c r="E3370">
        <v>200</v>
      </c>
      <c r="F3370">
        <v>2.077</v>
      </c>
      <c r="G3370">
        <v>1794.65</v>
      </c>
      <c r="H3370">
        <v>432.03</v>
      </c>
      <c r="I3370">
        <v>2210</v>
      </c>
      <c r="J3370">
        <v>11.05</v>
      </c>
      <c r="K3370" s="133">
        <v>4.0672387069206504E-3</v>
      </c>
      <c r="L3370" s="181">
        <v>-30</v>
      </c>
      <c r="M3370" s="133">
        <v>7.6440162756538079E-4</v>
      </c>
      <c r="N3370" s="73">
        <v>1454.650999999996</v>
      </c>
      <c r="O3370" s="73">
        <v>155.49985823529371</v>
      </c>
      <c r="P3370" s="182">
        <v>0</v>
      </c>
      <c r="Q3370" s="182">
        <v>0</v>
      </c>
      <c r="R3370" s="46">
        <v>0</v>
      </c>
      <c r="S3370" s="46">
        <v>3</v>
      </c>
      <c r="T3370" s="46">
        <v>1200</v>
      </c>
      <c r="U3370" s="46">
        <v>9.923</v>
      </c>
      <c r="V3370" s="46" t="s">
        <v>704</v>
      </c>
      <c r="W3370" s="46">
        <v>1200</v>
      </c>
      <c r="X3370" s="46">
        <v>9.923</v>
      </c>
      <c r="AF3370" s="46">
        <v>14</v>
      </c>
      <c r="AG3370" s="46">
        <v>7000</v>
      </c>
      <c r="AH3370" s="46">
        <v>67625</v>
      </c>
      <c r="AI3370" s="46">
        <v>9.6609999999999996</v>
      </c>
      <c r="AJ3370" s="46">
        <v>15</v>
      </c>
      <c r="AK3370" s="46">
        <v>5600</v>
      </c>
      <c r="AL3370" s="46">
        <v>55310.559000000008</v>
      </c>
      <c r="AM3370" s="46">
        <v>9.8770000000000007</v>
      </c>
      <c r="AN3370" s="46" t="s">
        <v>63</v>
      </c>
      <c r="AO3370" s="46">
        <v>1400</v>
      </c>
      <c r="AP3370" s="46">
        <v>12314.441000000001</v>
      </c>
      <c r="AQ3370" s="46">
        <v>8.7959999999999994</v>
      </c>
      <c r="AR3370" s="46">
        <v>1209.5999999999999</v>
      </c>
      <c r="AS3370" s="46">
        <v>14</v>
      </c>
      <c r="AT3370" s="46">
        <v>7000</v>
      </c>
      <c r="AU3370" s="46">
        <v>67625</v>
      </c>
      <c r="AV3370" s="46">
        <v>9.6609999999999996</v>
      </c>
      <c r="AW3370" s="46">
        <v>18</v>
      </c>
      <c r="AX3370" s="46">
        <v>6800</v>
      </c>
      <c r="AY3370" s="46">
        <v>67209.651000000013</v>
      </c>
      <c r="AZ3370" s="46">
        <v>9.8840000000000003</v>
      </c>
      <c r="BA3370" s="46" t="s">
        <v>63</v>
      </c>
      <c r="BB3370" s="46">
        <v>200</v>
      </c>
      <c r="BC3370" s="46">
        <v>415.34899999999999</v>
      </c>
      <c r="BD3370" s="46">
        <v>2.077</v>
      </c>
      <c r="BE3370" s="46">
        <v>1516.4</v>
      </c>
      <c r="BF3370" s="46">
        <v>0</v>
      </c>
      <c r="BH3370" s="46">
        <v>11899.092000000004</v>
      </c>
      <c r="BI3370">
        <v>9.92</v>
      </c>
      <c r="BJ3370">
        <v>-11899.092000000001</v>
      </c>
      <c r="BK3370">
        <v>-9.92</v>
      </c>
      <c r="BL3370">
        <v>109.47</v>
      </c>
    </row>
    <row r="3371" spans="1:64" x14ac:dyDescent="0.25">
      <c r="A3371" s="136">
        <v>43566</v>
      </c>
      <c r="B3371" t="s">
        <v>72</v>
      </c>
      <c r="C3371" t="s">
        <v>130</v>
      </c>
      <c r="D3371">
        <v>100</v>
      </c>
      <c r="E3371">
        <v>100</v>
      </c>
      <c r="F3371">
        <v>-18.477</v>
      </c>
      <c r="G3371">
        <v>2444.6999999999998</v>
      </c>
      <c r="H3371">
        <v>0</v>
      </c>
      <c r="I3371">
        <v>597</v>
      </c>
      <c r="J3371">
        <v>5.97</v>
      </c>
      <c r="K3371" s="133">
        <v>1.0987065647201936E-3</v>
      </c>
      <c r="L3371" s="181">
        <v>-13</v>
      </c>
      <c r="M3371" s="133">
        <v>0</v>
      </c>
      <c r="N3371" s="73">
        <v>-1498.9659999999872</v>
      </c>
      <c r="O3371" s="73">
        <v>376.42007904191922</v>
      </c>
      <c r="P3371" s="182">
        <v>0</v>
      </c>
      <c r="Q3371" s="182">
        <v>0</v>
      </c>
      <c r="R3371" s="46">
        <v>0</v>
      </c>
      <c r="S3371" s="46">
        <v>20</v>
      </c>
      <c r="T3371" s="46">
        <v>8600</v>
      </c>
      <c r="U3371" s="46">
        <v>7.3840000000000003</v>
      </c>
      <c r="V3371" s="46" t="s">
        <v>704</v>
      </c>
      <c r="W3371" s="46">
        <v>8600</v>
      </c>
      <c r="X3371" s="46">
        <v>7.3840000000000003</v>
      </c>
      <c r="AF3371" s="46">
        <v>42</v>
      </c>
      <c r="AG3371" s="46">
        <v>20900</v>
      </c>
      <c r="AH3371" s="46">
        <v>152800</v>
      </c>
      <c r="AI3371" s="46">
        <v>7.3109999999999999</v>
      </c>
      <c r="AJ3371" s="46">
        <v>42</v>
      </c>
      <c r="AK3371" s="46">
        <v>18800</v>
      </c>
      <c r="AL3371" s="46">
        <v>92037.725000000035</v>
      </c>
      <c r="AM3371" s="46">
        <v>4.8959999999999999</v>
      </c>
      <c r="AN3371" s="46" t="s">
        <v>63</v>
      </c>
      <c r="AO3371" s="46">
        <v>2100</v>
      </c>
      <c r="AP3371" s="46">
        <v>60762.275000000001</v>
      </c>
      <c r="AQ3371" s="46">
        <v>28.934000000000001</v>
      </c>
      <c r="AR3371" s="46">
        <v>-45402</v>
      </c>
      <c r="AS3371" s="46">
        <v>42</v>
      </c>
      <c r="AT3371" s="46">
        <v>20900</v>
      </c>
      <c r="AU3371" s="46">
        <v>152800</v>
      </c>
      <c r="AV3371" s="46">
        <v>7.3109999999999999</v>
      </c>
      <c r="AW3371" s="46">
        <v>63</v>
      </c>
      <c r="AX3371" s="46">
        <v>27900</v>
      </c>
      <c r="AY3371" s="46">
        <v>155380.21900000001</v>
      </c>
      <c r="AZ3371" s="46">
        <v>5.569</v>
      </c>
      <c r="BA3371" s="46" t="s">
        <v>69</v>
      </c>
      <c r="BB3371" s="46">
        <v>7000</v>
      </c>
      <c r="BC3371" s="46">
        <v>2580.2190000000001</v>
      </c>
      <c r="BD3371" s="46">
        <v>0.36899999999999999</v>
      </c>
      <c r="BE3371" s="46">
        <v>-36407.800000000003</v>
      </c>
      <c r="BF3371" s="46">
        <v>0</v>
      </c>
      <c r="BH3371" s="46">
        <v>63342.493999999977</v>
      </c>
      <c r="BI3371">
        <v>7.37</v>
      </c>
      <c r="BJ3371">
        <v>-58182.056000000004</v>
      </c>
      <c r="BK3371">
        <v>-6.77</v>
      </c>
      <c r="BL3371">
        <v>-7605.03</v>
      </c>
    </row>
    <row r="3372" spans="1:64" x14ac:dyDescent="0.25">
      <c r="A3372" s="136">
        <v>43566</v>
      </c>
      <c r="B3372" t="s">
        <v>70</v>
      </c>
      <c r="C3372" t="s">
        <v>131</v>
      </c>
      <c r="D3372">
        <v>12400</v>
      </c>
      <c r="E3372">
        <v>11900</v>
      </c>
      <c r="F3372">
        <v>11.19</v>
      </c>
      <c r="G3372">
        <v>-30869.88</v>
      </c>
      <c r="H3372">
        <v>-22.25</v>
      </c>
      <c r="I3372">
        <v>107880</v>
      </c>
      <c r="J3372">
        <v>8.6999999999999993</v>
      </c>
      <c r="K3372" s="133">
        <v>0.19854014104190032</v>
      </c>
      <c r="L3372" s="181">
        <v>-4354</v>
      </c>
      <c r="M3372" s="133">
        <v>0.25535243552787124</v>
      </c>
      <c r="N3372" s="73">
        <v>-29261.869000000035</v>
      </c>
      <c r="O3372" s="73">
        <v>-3312.257991562858</v>
      </c>
      <c r="P3372" s="182">
        <v>0</v>
      </c>
      <c r="Q3372" s="182">
        <v>0</v>
      </c>
      <c r="R3372" s="46">
        <v>0</v>
      </c>
      <c r="S3372" s="46">
        <v>5</v>
      </c>
      <c r="T3372" s="46">
        <v>2000</v>
      </c>
      <c r="U3372" s="46">
        <v>8.36</v>
      </c>
      <c r="V3372" s="46" t="s">
        <v>704</v>
      </c>
      <c r="W3372" s="46">
        <v>2000</v>
      </c>
      <c r="X3372" s="46">
        <v>8.36</v>
      </c>
      <c r="AF3372" s="46">
        <v>157</v>
      </c>
      <c r="AG3372" s="46">
        <v>80100</v>
      </c>
      <c r="AH3372" s="46">
        <v>987338</v>
      </c>
      <c r="AI3372" s="46">
        <v>12.326000000000001</v>
      </c>
      <c r="AJ3372" s="46">
        <v>163</v>
      </c>
      <c r="AK3372" s="46">
        <v>65700</v>
      </c>
      <c r="AL3372" s="46">
        <v>831500.85099999967</v>
      </c>
      <c r="AM3372" s="46">
        <v>12.656000000000001</v>
      </c>
      <c r="AN3372" s="46" t="s">
        <v>63</v>
      </c>
      <c r="AO3372" s="46">
        <v>14400</v>
      </c>
      <c r="AP3372" s="46">
        <v>155837.149</v>
      </c>
      <c r="AQ3372" s="46">
        <v>10.821999999999999</v>
      </c>
      <c r="AR3372" s="46">
        <v>21681</v>
      </c>
      <c r="AS3372" s="46">
        <v>157</v>
      </c>
      <c r="AT3372" s="46">
        <v>80100</v>
      </c>
      <c r="AU3372" s="46">
        <v>987338</v>
      </c>
      <c r="AV3372" s="46">
        <v>12.326000000000001</v>
      </c>
      <c r="AW3372" s="46">
        <v>169</v>
      </c>
      <c r="AX3372" s="46">
        <v>67700</v>
      </c>
      <c r="AY3372" s="46">
        <v>848584.1309999997</v>
      </c>
      <c r="AZ3372" s="46">
        <v>12.534000000000001</v>
      </c>
      <c r="BA3372" s="46" t="s">
        <v>63</v>
      </c>
      <c r="BB3372" s="46">
        <v>12400</v>
      </c>
      <c r="BC3372" s="46">
        <v>138753.86900000001</v>
      </c>
      <c r="BD3372" s="46">
        <v>11.19</v>
      </c>
      <c r="BE3372" s="46">
        <v>14081.6</v>
      </c>
      <c r="BF3372" s="46">
        <v>0</v>
      </c>
      <c r="BH3372" s="46">
        <v>17083.280000000028</v>
      </c>
      <c r="BI3372">
        <v>8.5399999999999991</v>
      </c>
      <c r="BJ3372">
        <v>-17083.28</v>
      </c>
      <c r="BK3372">
        <v>-8.5399999999999991</v>
      </c>
      <c r="BL3372">
        <v>2492.0700000000002</v>
      </c>
    </row>
    <row r="3373" spans="1:64" x14ac:dyDescent="0.25">
      <c r="A3373" s="136">
        <v>43566</v>
      </c>
      <c r="B3373" t="s">
        <v>628</v>
      </c>
      <c r="C3373" t="s">
        <v>629</v>
      </c>
      <c r="D3373">
        <v>100</v>
      </c>
      <c r="E3373">
        <v>100</v>
      </c>
      <c r="F3373">
        <v>-22.33</v>
      </c>
      <c r="G3373">
        <v>3649</v>
      </c>
      <c r="H3373">
        <v>0</v>
      </c>
      <c r="I3373">
        <v>1416</v>
      </c>
      <c r="J3373">
        <v>14.16</v>
      </c>
      <c r="K3373" s="133">
        <v>2.6059773796378465E-3</v>
      </c>
      <c r="L3373" s="181">
        <v>-37</v>
      </c>
      <c r="M3373" s="133">
        <v>0</v>
      </c>
    </row>
    <row r="3374" spans="1:64" x14ac:dyDescent="0.25">
      <c r="A3374" s="136">
        <v>43566</v>
      </c>
      <c r="B3374" t="s">
        <v>630</v>
      </c>
      <c r="C3374" t="s">
        <v>631</v>
      </c>
      <c r="D3374">
        <v>100</v>
      </c>
      <c r="E3374">
        <v>100</v>
      </c>
      <c r="F3374">
        <v>-94.45</v>
      </c>
      <c r="G3374">
        <v>12536</v>
      </c>
      <c r="H3374">
        <v>0</v>
      </c>
      <c r="I3374">
        <v>3091</v>
      </c>
      <c r="J3374">
        <v>30.91</v>
      </c>
      <c r="K3374" s="133">
        <v>5.6886130511727279E-3</v>
      </c>
      <c r="L3374" s="181">
        <v>-112</v>
      </c>
      <c r="M3374" s="133">
        <v>0</v>
      </c>
    </row>
    <row r="3375" spans="1:64" x14ac:dyDescent="0.25">
      <c r="A3375" s="136">
        <v>43566</v>
      </c>
      <c r="B3375" t="s">
        <v>137</v>
      </c>
      <c r="C3375" t="s">
        <v>149</v>
      </c>
      <c r="D3375">
        <v>100</v>
      </c>
      <c r="E3375">
        <v>100</v>
      </c>
      <c r="F3375">
        <v>-130.86000000000001</v>
      </c>
      <c r="G3375">
        <v>16925</v>
      </c>
      <c r="H3375">
        <v>0</v>
      </c>
      <c r="I3375">
        <v>3839</v>
      </c>
      <c r="J3375">
        <v>38.39</v>
      </c>
      <c r="K3375" s="133">
        <v>7.0652169212074099E-3</v>
      </c>
      <c r="L3375" s="181">
        <v>0</v>
      </c>
      <c r="M3375" s="133">
        <v>0</v>
      </c>
    </row>
    <row r="3376" spans="1:64" x14ac:dyDescent="0.25">
      <c r="A3376" s="136">
        <v>43566</v>
      </c>
      <c r="B3376" t="s">
        <v>835</v>
      </c>
      <c r="C3376" t="s">
        <v>839</v>
      </c>
      <c r="I3376">
        <v>3438.49</v>
      </c>
      <c r="K3376" s="133">
        <v>6.3281265255020749E-3</v>
      </c>
      <c r="L3376" s="181">
        <v>0</v>
      </c>
      <c r="M3376" s="133">
        <v>0.19044410915592669</v>
      </c>
    </row>
    <row r="3377" spans="1:64" x14ac:dyDescent="0.25">
      <c r="A3377" s="136">
        <v>43567</v>
      </c>
      <c r="B3377" t="s">
        <v>132</v>
      </c>
      <c r="C3377" t="s">
        <v>123</v>
      </c>
      <c r="D3377">
        <v>9404727</v>
      </c>
      <c r="E3377">
        <v>9404727</v>
      </c>
      <c r="F3377">
        <v>0.01</v>
      </c>
      <c r="G3377">
        <v>3892.12</v>
      </c>
      <c r="H3377">
        <v>0</v>
      </c>
      <c r="I3377">
        <v>94047.27</v>
      </c>
      <c r="J3377">
        <v>0.01</v>
      </c>
      <c r="K3377" s="133">
        <v>0.17257333877926131</v>
      </c>
      <c r="L3377" s="181">
        <v>4.8699999999998909</v>
      </c>
      <c r="M3377" s="133">
        <v>0</v>
      </c>
    </row>
    <row r="3378" spans="1:64" x14ac:dyDescent="0.25">
      <c r="A3378" s="136">
        <v>43567</v>
      </c>
      <c r="B3378" t="s">
        <v>61</v>
      </c>
      <c r="C3378" t="s">
        <v>136</v>
      </c>
      <c r="D3378">
        <v>2300</v>
      </c>
      <c r="E3378">
        <v>2300</v>
      </c>
      <c r="F3378">
        <v>4.992</v>
      </c>
      <c r="G3378">
        <v>-670.52</v>
      </c>
      <c r="H3378">
        <v>-5.84</v>
      </c>
      <c r="I3378">
        <v>10810</v>
      </c>
      <c r="J3378">
        <v>4.7</v>
      </c>
      <c r="K3378" s="133">
        <v>1.9835959004485881E-2</v>
      </c>
      <c r="L3378" s="181">
        <v>23</v>
      </c>
      <c r="M3378" s="133">
        <v>2.1066338951913066E-2</v>
      </c>
      <c r="N3378" s="73">
        <v>-581.44500000000517</v>
      </c>
      <c r="O3378" s="73">
        <v>-122.60638765822894</v>
      </c>
      <c r="P3378" s="182">
        <v>1</v>
      </c>
      <c r="Q3378" s="182">
        <v>500</v>
      </c>
      <c r="R3378" s="46">
        <v>4.8899999999999997</v>
      </c>
      <c r="S3378" s="46">
        <v>0</v>
      </c>
      <c r="T3378" s="46">
        <v>0</v>
      </c>
      <c r="U3378" s="46">
        <v>0</v>
      </c>
      <c r="V3378" s="46" t="s">
        <v>62</v>
      </c>
      <c r="W3378" s="46">
        <v>500</v>
      </c>
      <c r="X3378" s="46">
        <v>4.8899999999999997</v>
      </c>
      <c r="AF3378" s="46">
        <v>19</v>
      </c>
      <c r="AG3378" s="46">
        <v>9500</v>
      </c>
      <c r="AH3378" s="46">
        <v>47440.7</v>
      </c>
      <c r="AI3378" s="46">
        <v>4.9939999999999998</v>
      </c>
      <c r="AJ3378" s="46">
        <v>19</v>
      </c>
      <c r="AK3378" s="46">
        <v>7700</v>
      </c>
      <c r="AL3378" s="46">
        <v>38407.554999999986</v>
      </c>
      <c r="AM3378" s="46">
        <v>4.9880000000000004</v>
      </c>
      <c r="AN3378" s="46" t="s">
        <v>63</v>
      </c>
      <c r="AO3378" s="46">
        <v>1800</v>
      </c>
      <c r="AP3378" s="46">
        <v>9033.1450000000004</v>
      </c>
      <c r="AQ3378" s="46">
        <v>5.0179999999999998</v>
      </c>
      <c r="AR3378" s="46">
        <v>-46.2</v>
      </c>
      <c r="AS3378" s="46">
        <v>20</v>
      </c>
      <c r="AT3378" s="46">
        <v>10000</v>
      </c>
      <c r="AU3378" s="46">
        <v>49891</v>
      </c>
      <c r="AV3378" s="46">
        <v>4.9889999999999999</v>
      </c>
      <c r="AW3378" s="46">
        <v>19</v>
      </c>
      <c r="AX3378" s="46">
        <v>7700</v>
      </c>
      <c r="AY3378" s="46">
        <v>38407.554999999986</v>
      </c>
      <c r="AZ3378" s="46">
        <v>4.9880000000000004</v>
      </c>
      <c r="BA3378" s="46" t="s">
        <v>63</v>
      </c>
      <c r="BB3378" s="46">
        <v>2300</v>
      </c>
      <c r="BC3378" s="46">
        <v>11483.445</v>
      </c>
      <c r="BD3378" s="46">
        <v>4.9930000000000003</v>
      </c>
      <c r="BE3378" s="46">
        <v>-7.7</v>
      </c>
      <c r="BF3378" s="46">
        <v>2450.3000000000029</v>
      </c>
      <c r="BG3378" s="46">
        <v>4.9000000000000004</v>
      </c>
      <c r="BH3378" s="46">
        <v>0</v>
      </c>
      <c r="BJ3378">
        <v>2450.2999999999993</v>
      </c>
      <c r="BK3378">
        <v>4.9000000000000004</v>
      </c>
      <c r="BL3378">
        <v>-9.83</v>
      </c>
    </row>
    <row r="3379" spans="1:64" x14ac:dyDescent="0.25">
      <c r="A3379" s="136">
        <v>43567</v>
      </c>
      <c r="B3379" t="s">
        <v>124</v>
      </c>
      <c r="C3379" t="s">
        <v>125</v>
      </c>
      <c r="D3379">
        <v>100</v>
      </c>
      <c r="E3379">
        <v>100</v>
      </c>
      <c r="F3379">
        <v>-53.82</v>
      </c>
      <c r="G3379">
        <v>5955</v>
      </c>
      <c r="H3379">
        <v>0</v>
      </c>
      <c r="I3379">
        <v>573</v>
      </c>
      <c r="J3379">
        <v>5.73</v>
      </c>
      <c r="K3379" s="133">
        <v>1.0514342747058659E-3</v>
      </c>
      <c r="L3379" s="181">
        <v>0</v>
      </c>
      <c r="M3379" s="133">
        <v>0</v>
      </c>
      <c r="N3379" s="73">
        <v>5573.0690000000113</v>
      </c>
      <c r="O3379" s="73">
        <v>1102.4501845505636</v>
      </c>
      <c r="P3379" s="182">
        <v>0</v>
      </c>
      <c r="Q3379" s="182">
        <v>0</v>
      </c>
      <c r="R3379" s="46">
        <v>0</v>
      </c>
      <c r="S3379" s="46">
        <v>5</v>
      </c>
      <c r="T3379" s="46">
        <v>2300</v>
      </c>
      <c r="U3379" s="46">
        <v>4.99</v>
      </c>
      <c r="V3379" s="46" t="s">
        <v>68</v>
      </c>
      <c r="W3379" s="46">
        <v>2300</v>
      </c>
      <c r="X3379" s="46">
        <v>4.99</v>
      </c>
      <c r="AF3379" s="46">
        <v>50</v>
      </c>
      <c r="AG3379" s="46">
        <v>36700</v>
      </c>
      <c r="AH3379" s="46">
        <v>180101.02000000002</v>
      </c>
      <c r="AI3379" s="46">
        <v>4.907</v>
      </c>
      <c r="AJ3379" s="46">
        <v>58</v>
      </c>
      <c r="AK3379" s="46">
        <v>35300</v>
      </c>
      <c r="AL3379" s="46">
        <v>178266.546</v>
      </c>
      <c r="AM3379" s="46">
        <v>5.05</v>
      </c>
      <c r="AN3379" s="46" t="s">
        <v>63</v>
      </c>
      <c r="AO3379" s="46">
        <v>1400</v>
      </c>
      <c r="AP3379" s="46">
        <v>1834.4739999999999</v>
      </c>
      <c r="AQ3379" s="46">
        <v>1.31</v>
      </c>
      <c r="AR3379" s="46">
        <v>5047.8999999999996</v>
      </c>
      <c r="AS3379" s="46">
        <v>51</v>
      </c>
      <c r="AT3379" s="46">
        <v>37700</v>
      </c>
      <c r="AU3379" s="46">
        <v>185106.62</v>
      </c>
      <c r="AV3379" s="46">
        <v>4.91</v>
      </c>
      <c r="AW3379" s="46">
        <v>63</v>
      </c>
      <c r="AX3379" s="46">
        <v>37600</v>
      </c>
      <c r="AY3379" s="46">
        <v>189713.68900000001</v>
      </c>
      <c r="AZ3379" s="46">
        <v>5.0460000000000003</v>
      </c>
      <c r="BA3379" s="46" t="s">
        <v>63</v>
      </c>
      <c r="BB3379" s="46">
        <v>100</v>
      </c>
      <c r="BC3379" s="46">
        <v>4607.0690000000004</v>
      </c>
      <c r="BD3379" s="46">
        <v>46.070999999999998</v>
      </c>
      <c r="BE3379" s="46">
        <v>5113.6000000000004</v>
      </c>
      <c r="BF3379" s="46">
        <v>5005.5999999999767</v>
      </c>
      <c r="BH3379" s="46">
        <v>11447.143000000011</v>
      </c>
      <c r="BI3379">
        <v>4.9800000000000004</v>
      </c>
      <c r="BJ3379">
        <v>2772.5950000000003</v>
      </c>
      <c r="BK3379">
        <v>1.21</v>
      </c>
      <c r="BL3379">
        <v>880.96</v>
      </c>
    </row>
    <row r="3380" spans="1:64" x14ac:dyDescent="0.25">
      <c r="A3380" s="136">
        <v>43567</v>
      </c>
      <c r="B3380" t="s">
        <v>71</v>
      </c>
      <c r="C3380" t="s">
        <v>126</v>
      </c>
      <c r="D3380">
        <v>800</v>
      </c>
      <c r="E3380">
        <v>800</v>
      </c>
      <c r="F3380">
        <v>2.7010000000000001</v>
      </c>
      <c r="G3380">
        <v>2895.11</v>
      </c>
      <c r="H3380">
        <v>133.97999999999999</v>
      </c>
      <c r="I3380">
        <v>5056</v>
      </c>
      <c r="J3380">
        <v>6.32</v>
      </c>
      <c r="K3380" s="133">
        <v>9.2775771255023693E-3</v>
      </c>
      <c r="L3380" s="181">
        <v>-40</v>
      </c>
      <c r="M3380" s="133">
        <v>3.9651549910456512E-3</v>
      </c>
      <c r="N3380" s="73">
        <v>-2171.3999999999946</v>
      </c>
      <c r="O3380" s="73">
        <v>461.2692500000008</v>
      </c>
      <c r="P3380" s="182">
        <v>0</v>
      </c>
      <c r="Q3380" s="182">
        <v>0</v>
      </c>
      <c r="R3380" s="46">
        <v>0</v>
      </c>
      <c r="S3380" s="46">
        <v>8</v>
      </c>
      <c r="T3380" s="46">
        <v>3100</v>
      </c>
      <c r="U3380" s="46">
        <v>6.4169999999999998</v>
      </c>
      <c r="V3380" s="46" t="s">
        <v>68</v>
      </c>
      <c r="W3380" s="46">
        <v>3100</v>
      </c>
      <c r="X3380" s="46">
        <v>6.4169999999999998</v>
      </c>
      <c r="AF3380" s="46">
        <v>52</v>
      </c>
      <c r="AG3380" s="46">
        <v>26100</v>
      </c>
      <c r="AH3380" s="46">
        <v>165656.62999999998</v>
      </c>
      <c r="AI3380" s="46">
        <v>6.3470000000000004</v>
      </c>
      <c r="AJ3380" s="46">
        <v>50</v>
      </c>
      <c r="AK3380" s="46">
        <v>22200</v>
      </c>
      <c r="AL3380" s="46">
        <v>143498.78200000001</v>
      </c>
      <c r="AM3380" s="46">
        <v>6.4640000000000004</v>
      </c>
      <c r="AN3380" s="46" t="s">
        <v>63</v>
      </c>
      <c r="AO3380" s="46">
        <v>3900</v>
      </c>
      <c r="AP3380" s="46">
        <v>22157.848000000002</v>
      </c>
      <c r="AQ3380" s="46">
        <v>5.681</v>
      </c>
      <c r="AR3380" s="46">
        <v>2597.4</v>
      </c>
      <c r="AS3380" s="46">
        <v>52</v>
      </c>
      <c r="AT3380" s="46">
        <v>26100</v>
      </c>
      <c r="AU3380" s="46">
        <v>165656.62999999998</v>
      </c>
      <c r="AV3380" s="46">
        <v>6.3470000000000004</v>
      </c>
      <c r="AW3380" s="46">
        <v>58</v>
      </c>
      <c r="AX3380" s="46">
        <v>25300</v>
      </c>
      <c r="AY3380" s="46">
        <v>163329.03</v>
      </c>
      <c r="AZ3380" s="46">
        <v>6.4560000000000004</v>
      </c>
      <c r="BA3380" s="46" t="s">
        <v>63</v>
      </c>
      <c r="BB3380" s="46">
        <v>800</v>
      </c>
      <c r="BC3380" s="46">
        <v>2327.6</v>
      </c>
      <c r="BD3380" s="46">
        <v>2.91</v>
      </c>
      <c r="BE3380" s="46">
        <v>2757.7</v>
      </c>
      <c r="BF3380" s="46">
        <v>0</v>
      </c>
      <c r="BH3380" s="46">
        <v>19830.247999999992</v>
      </c>
      <c r="BI3380">
        <v>6.4</v>
      </c>
      <c r="BJ3380">
        <v>-19830.248000000003</v>
      </c>
      <c r="BK3380">
        <v>-6.4</v>
      </c>
      <c r="BL3380">
        <v>410.98</v>
      </c>
    </row>
    <row r="3381" spans="1:64" x14ac:dyDescent="0.25">
      <c r="A3381" s="136">
        <v>43567</v>
      </c>
      <c r="B3381" t="s">
        <v>79</v>
      </c>
      <c r="C3381" t="s">
        <v>143</v>
      </c>
      <c r="D3381">
        <v>10420</v>
      </c>
      <c r="E3381">
        <v>9920</v>
      </c>
      <c r="F3381">
        <v>10.634</v>
      </c>
      <c r="G3381">
        <v>-16716.310000000001</v>
      </c>
      <c r="H3381">
        <v>-15.09</v>
      </c>
      <c r="I3381">
        <v>94092.6</v>
      </c>
      <c r="J3381">
        <v>9.0299999999999994</v>
      </c>
      <c r="K3381" s="133">
        <v>0.1726565176896844</v>
      </c>
      <c r="L3381" s="181">
        <v>29.909999999999854</v>
      </c>
      <c r="M3381" s="133">
        <v>0.20333034191413188</v>
      </c>
      <c r="N3381" s="73">
        <v>-17464.352000000246</v>
      </c>
      <c r="O3381" s="73">
        <v>-1948.1718553571702</v>
      </c>
      <c r="P3381" s="182">
        <v>9</v>
      </c>
      <c r="Q3381" s="182">
        <v>6920</v>
      </c>
      <c r="R3381" s="46">
        <v>5.2569999999999997</v>
      </c>
      <c r="S3381" s="46">
        <v>0</v>
      </c>
      <c r="T3381" s="46">
        <v>0</v>
      </c>
      <c r="U3381" s="46">
        <v>0</v>
      </c>
      <c r="V3381" s="46" t="s">
        <v>62</v>
      </c>
      <c r="W3381" s="46">
        <v>6920</v>
      </c>
      <c r="X3381" s="46">
        <v>5.2569999999999997</v>
      </c>
      <c r="AF3381" s="46">
        <v>34</v>
      </c>
      <c r="AG3381" s="46">
        <v>17500</v>
      </c>
      <c r="AH3381" s="46">
        <v>256460.49999999983</v>
      </c>
      <c r="AI3381" s="46">
        <v>14.654999999999999</v>
      </c>
      <c r="AJ3381" s="46">
        <v>35</v>
      </c>
      <c r="AK3381" s="46">
        <v>14000</v>
      </c>
      <c r="AL3381" s="46">
        <v>182057.0999999998</v>
      </c>
      <c r="AM3381" s="46">
        <v>13.004</v>
      </c>
      <c r="AN3381" s="46" t="s">
        <v>63</v>
      </c>
      <c r="AO3381" s="46">
        <v>3500</v>
      </c>
      <c r="AP3381" s="46">
        <v>74403.399999999994</v>
      </c>
      <c r="AQ3381" s="46">
        <v>21.257999999999999</v>
      </c>
      <c r="AR3381" s="46">
        <v>-23114</v>
      </c>
      <c r="AS3381" s="46">
        <v>43</v>
      </c>
      <c r="AT3381" s="46">
        <v>24420</v>
      </c>
      <c r="AU3381" s="46">
        <v>292884.65199999971</v>
      </c>
      <c r="AV3381" s="46">
        <v>11.994</v>
      </c>
      <c r="AW3381" s="46">
        <v>35</v>
      </c>
      <c r="AX3381" s="46">
        <v>14000</v>
      </c>
      <c r="AY3381" s="46">
        <v>182057.0999999998</v>
      </c>
      <c r="AZ3381" s="46">
        <v>13.004</v>
      </c>
      <c r="BA3381" s="46" t="s">
        <v>63</v>
      </c>
      <c r="BB3381" s="46">
        <v>10420</v>
      </c>
      <c r="BC3381" s="46">
        <v>110827.552</v>
      </c>
      <c r="BD3381" s="46">
        <v>10.635999999999999</v>
      </c>
      <c r="BE3381" s="46">
        <v>14140</v>
      </c>
      <c r="BF3381" s="46">
        <v>36424.151999999885</v>
      </c>
      <c r="BG3381" s="46">
        <v>5.26</v>
      </c>
      <c r="BH3381" s="46">
        <v>0</v>
      </c>
      <c r="BJ3381">
        <v>36424.152000000002</v>
      </c>
      <c r="BK3381">
        <v>5.26</v>
      </c>
      <c r="BL3381">
        <v>-2559.69</v>
      </c>
    </row>
    <row r="3382" spans="1:64" x14ac:dyDescent="0.25">
      <c r="A3382" s="136">
        <v>43567</v>
      </c>
      <c r="B3382" t="s">
        <v>65</v>
      </c>
      <c r="C3382" t="s">
        <v>127</v>
      </c>
      <c r="D3382">
        <v>20200</v>
      </c>
      <c r="E3382">
        <v>20200</v>
      </c>
      <c r="F3382">
        <v>8.8689999999999998</v>
      </c>
      <c r="G3382">
        <v>4463.63</v>
      </c>
      <c r="H3382">
        <v>2.4900000000000002</v>
      </c>
      <c r="I3382">
        <v>183618</v>
      </c>
      <c r="J3382">
        <v>9.09</v>
      </c>
      <c r="K3382" s="133">
        <v>0.33693238857406926</v>
      </c>
      <c r="L3382" s="181">
        <v>-1616</v>
      </c>
      <c r="M3382" s="133">
        <v>0.32874178897266376</v>
      </c>
      <c r="N3382" s="73">
        <v>5231.2149999999092</v>
      </c>
      <c r="O3382" s="73">
        <v>1017.9884492237445</v>
      </c>
      <c r="P3382" s="182">
        <v>4</v>
      </c>
      <c r="Q3382" s="182">
        <v>2000</v>
      </c>
      <c r="R3382" s="46">
        <v>8.0399999999999991</v>
      </c>
      <c r="S3382" s="46">
        <v>9</v>
      </c>
      <c r="T3382" s="46">
        <v>3600</v>
      </c>
      <c r="U3382" s="46">
        <v>8.4570000000000007</v>
      </c>
      <c r="V3382" s="46" t="s">
        <v>68</v>
      </c>
      <c r="W3382" s="46">
        <v>1600</v>
      </c>
      <c r="X3382" s="46">
        <v>8.9779999999999998</v>
      </c>
      <c r="AF3382" s="46">
        <v>229</v>
      </c>
      <c r="AG3382" s="46">
        <v>123500</v>
      </c>
      <c r="AH3382" s="46">
        <v>1323846.6810000001</v>
      </c>
      <c r="AI3382" s="46">
        <v>10.718999999999999</v>
      </c>
      <c r="AJ3382" s="46">
        <v>259</v>
      </c>
      <c r="AK3382" s="46">
        <v>110900</v>
      </c>
      <c r="AL3382" s="46">
        <v>1126288.3379999998</v>
      </c>
      <c r="AM3382" s="46">
        <v>10.156000000000001</v>
      </c>
      <c r="AN3382" s="46" t="s">
        <v>63</v>
      </c>
      <c r="AO3382" s="46">
        <v>12600</v>
      </c>
      <c r="AP3382" s="46">
        <v>197558.34299999999</v>
      </c>
      <c r="AQ3382" s="46">
        <v>15.679</v>
      </c>
      <c r="AR3382" s="46">
        <v>-62436.7</v>
      </c>
      <c r="AS3382" s="46">
        <v>234</v>
      </c>
      <c r="AT3382" s="46">
        <v>125600</v>
      </c>
      <c r="AU3382" s="46">
        <v>1341234.6810000001</v>
      </c>
      <c r="AV3382" s="46">
        <v>10.679</v>
      </c>
      <c r="AW3382" s="46">
        <v>268</v>
      </c>
      <c r="AX3382" s="46">
        <v>114500</v>
      </c>
      <c r="AY3382" s="46">
        <v>1156656.8940000001</v>
      </c>
      <c r="AZ3382" s="46">
        <v>10.102</v>
      </c>
      <c r="BA3382" s="46" t="s">
        <v>63</v>
      </c>
      <c r="BB3382" s="46">
        <v>11100</v>
      </c>
      <c r="BC3382" s="46">
        <v>184577.78700000001</v>
      </c>
      <c r="BD3382" s="46">
        <v>16.629000000000001</v>
      </c>
      <c r="BE3382" s="46">
        <v>-66066.5</v>
      </c>
      <c r="BF3382" s="46">
        <v>17388</v>
      </c>
      <c r="BG3382" s="46">
        <v>8.69</v>
      </c>
      <c r="BH3382" s="46">
        <v>30368.556000000332</v>
      </c>
      <c r="BI3382">
        <v>8.44</v>
      </c>
      <c r="BJ3382">
        <v>-12980.555999999982</v>
      </c>
      <c r="BK3382">
        <v>-8.11</v>
      </c>
      <c r="BL3382">
        <v>-6868.72</v>
      </c>
    </row>
    <row r="3383" spans="1:64" x14ac:dyDescent="0.25">
      <c r="A3383" s="136">
        <v>43567</v>
      </c>
      <c r="B3383" t="s">
        <v>77</v>
      </c>
      <c r="C3383" t="s">
        <v>150</v>
      </c>
      <c r="D3383">
        <v>5800</v>
      </c>
      <c r="E3383">
        <v>5800</v>
      </c>
      <c r="F3383">
        <v>5.4329999999999998</v>
      </c>
      <c r="G3383">
        <v>-3147.88</v>
      </c>
      <c r="H3383">
        <v>-9.99</v>
      </c>
      <c r="I3383">
        <v>28362</v>
      </c>
      <c r="J3383">
        <v>4.8899999999999997</v>
      </c>
      <c r="K3383" s="133">
        <v>5.2043244152195058E-2</v>
      </c>
      <c r="L3383" s="181">
        <v>638</v>
      </c>
      <c r="M3383" s="133">
        <v>5.7819490094011987E-2</v>
      </c>
      <c r="N3383" s="73">
        <v>-3768.8260000000046</v>
      </c>
      <c r="O3383" s="73">
        <v>-670.88122936345064</v>
      </c>
      <c r="P3383" s="182">
        <v>7</v>
      </c>
      <c r="Q3383" s="182">
        <v>3500</v>
      </c>
      <c r="R3383" s="46">
        <v>4.4359999999999999</v>
      </c>
      <c r="S3383" s="46">
        <v>0</v>
      </c>
      <c r="T3383" s="46">
        <v>0</v>
      </c>
      <c r="U3383" s="46">
        <v>0</v>
      </c>
      <c r="V3383" s="46" t="s">
        <v>62</v>
      </c>
      <c r="W3383" s="46">
        <v>3500</v>
      </c>
      <c r="X3383" s="46">
        <v>4.4359999999999999</v>
      </c>
      <c r="AF3383" s="46">
        <v>49</v>
      </c>
      <c r="AG3383" s="46">
        <v>24500</v>
      </c>
      <c r="AH3383" s="46">
        <v>170669</v>
      </c>
      <c r="AI3383" s="46">
        <v>6.9660000000000002</v>
      </c>
      <c r="AJ3383" s="46">
        <v>49</v>
      </c>
      <c r="AK3383" s="46">
        <v>22200</v>
      </c>
      <c r="AL3383" s="46">
        <v>154426.17400000003</v>
      </c>
      <c r="AM3383" s="46">
        <v>6.9560000000000004</v>
      </c>
      <c r="AN3383" s="46" t="s">
        <v>63</v>
      </c>
      <c r="AO3383" s="46">
        <v>2300</v>
      </c>
      <c r="AP3383" s="46">
        <v>16242.825999999999</v>
      </c>
      <c r="AQ3383" s="46">
        <v>7.0620000000000003</v>
      </c>
      <c r="AR3383" s="46">
        <v>-222</v>
      </c>
      <c r="AS3383" s="46">
        <v>56</v>
      </c>
      <c r="AT3383" s="46">
        <v>28000</v>
      </c>
      <c r="AU3383" s="46">
        <v>185941</v>
      </c>
      <c r="AV3383" s="46">
        <v>6.641</v>
      </c>
      <c r="AW3383" s="46">
        <v>49</v>
      </c>
      <c r="AX3383" s="46">
        <v>22200</v>
      </c>
      <c r="AY3383" s="46">
        <v>154426.17400000003</v>
      </c>
      <c r="AZ3383" s="46">
        <v>6.9560000000000004</v>
      </c>
      <c r="BA3383" s="46" t="s">
        <v>63</v>
      </c>
      <c r="BB3383" s="46">
        <v>5800</v>
      </c>
      <c r="BC3383" s="46">
        <v>31514.826000000001</v>
      </c>
      <c r="BD3383" s="46">
        <v>5.4340000000000002</v>
      </c>
      <c r="BE3383" s="46">
        <v>6993</v>
      </c>
      <c r="BF3383" s="46">
        <v>15272</v>
      </c>
      <c r="BG3383" s="46">
        <v>4.3600000000000003</v>
      </c>
      <c r="BH3383" s="46">
        <v>0</v>
      </c>
      <c r="BJ3383">
        <v>15272.000000000002</v>
      </c>
      <c r="BK3383">
        <v>4.3600000000000003</v>
      </c>
      <c r="BL3383">
        <v>-45.4</v>
      </c>
    </row>
    <row r="3384" spans="1:64" x14ac:dyDescent="0.25">
      <c r="A3384" s="136">
        <v>43567</v>
      </c>
      <c r="B3384" t="s">
        <v>67</v>
      </c>
      <c r="C3384" t="s">
        <v>129</v>
      </c>
      <c r="D3384">
        <v>230</v>
      </c>
      <c r="E3384">
        <v>230</v>
      </c>
      <c r="F3384">
        <v>-11.728999999999999</v>
      </c>
      <c r="G3384">
        <v>4542.2700000000004</v>
      </c>
      <c r="H3384">
        <v>0</v>
      </c>
      <c r="I3384">
        <v>1844.6</v>
      </c>
      <c r="J3384">
        <v>8.02</v>
      </c>
      <c r="K3384" s="133">
        <v>3.3847742811909951E-3</v>
      </c>
      <c r="L3384" s="181">
        <v>-16.099999999999454</v>
      </c>
      <c r="M3384" s="133">
        <v>0</v>
      </c>
      <c r="N3384" s="73">
        <v>4362.583499999957</v>
      </c>
      <c r="O3384" s="73">
        <v>600.60636477272476</v>
      </c>
      <c r="P3384" s="182">
        <v>1</v>
      </c>
      <c r="Q3384" s="182">
        <v>30</v>
      </c>
      <c r="R3384" s="46">
        <v>0</v>
      </c>
      <c r="S3384" s="46">
        <v>24</v>
      </c>
      <c r="T3384" s="46">
        <v>9600</v>
      </c>
      <c r="U3384" s="46">
        <v>8.9429999999999996</v>
      </c>
      <c r="V3384" s="46" t="s">
        <v>68</v>
      </c>
      <c r="W3384" s="46">
        <v>9570</v>
      </c>
      <c r="X3384" s="46">
        <v>8.9710000000000001</v>
      </c>
      <c r="AF3384" s="46">
        <v>193</v>
      </c>
      <c r="AG3384" s="46">
        <v>95500</v>
      </c>
      <c r="AH3384" s="46">
        <v>795318</v>
      </c>
      <c r="AI3384" s="46">
        <v>8.3279999999999994</v>
      </c>
      <c r="AJ3384" s="46">
        <v>197</v>
      </c>
      <c r="AK3384" s="46">
        <v>88300</v>
      </c>
      <c r="AL3384" s="46">
        <v>781491.25550000009</v>
      </c>
      <c r="AM3384" s="46">
        <v>8.85</v>
      </c>
      <c r="AN3384" s="46" t="s">
        <v>63</v>
      </c>
      <c r="AO3384" s="46">
        <v>7200</v>
      </c>
      <c r="AP3384" s="46">
        <v>13826.744000000001</v>
      </c>
      <c r="AQ3384" s="46">
        <v>1.92</v>
      </c>
      <c r="AR3384" s="46">
        <v>46092.6</v>
      </c>
      <c r="AS3384" s="46">
        <v>194</v>
      </c>
      <c r="AT3384" s="46">
        <v>95530</v>
      </c>
      <c r="AU3384" s="46">
        <v>795323</v>
      </c>
      <c r="AV3384" s="46">
        <v>8.3249999999999993</v>
      </c>
      <c r="AW3384" s="46">
        <v>221</v>
      </c>
      <c r="AX3384" s="46">
        <v>97900</v>
      </c>
      <c r="AY3384" s="46">
        <v>867143.89950000017</v>
      </c>
      <c r="AZ3384" s="46">
        <v>8.8569999999999993</v>
      </c>
      <c r="BA3384" s="46" t="s">
        <v>69</v>
      </c>
      <c r="BB3384" s="46">
        <v>2370</v>
      </c>
      <c r="BC3384" s="46">
        <v>71820.899999999994</v>
      </c>
      <c r="BD3384" s="46">
        <v>30.303999999999998</v>
      </c>
      <c r="BE3384" s="46">
        <v>50821.96</v>
      </c>
      <c r="BF3384" s="46">
        <v>5</v>
      </c>
      <c r="BG3384" s="46">
        <v>0.17</v>
      </c>
      <c r="BH3384" s="46">
        <v>85652.644000000088</v>
      </c>
      <c r="BI3384">
        <v>8.92</v>
      </c>
      <c r="BJ3384">
        <v>57994.155999999995</v>
      </c>
      <c r="BK3384">
        <v>6.06</v>
      </c>
      <c r="BL3384">
        <v>5747.21</v>
      </c>
    </row>
    <row r="3385" spans="1:64" x14ac:dyDescent="0.25">
      <c r="A3385" s="136">
        <v>43567</v>
      </c>
      <c r="B3385" t="s">
        <v>78</v>
      </c>
      <c r="C3385" t="s">
        <v>142</v>
      </c>
      <c r="D3385">
        <v>200</v>
      </c>
      <c r="E3385">
        <v>200</v>
      </c>
      <c r="F3385">
        <v>2.077</v>
      </c>
      <c r="G3385">
        <v>1784.65</v>
      </c>
      <c r="H3385">
        <v>429.62</v>
      </c>
      <c r="I3385">
        <v>2200</v>
      </c>
      <c r="J3385">
        <v>11</v>
      </c>
      <c r="K3385" s="133">
        <v>4.0369204264448606E-3</v>
      </c>
      <c r="L3385" s="181">
        <v>-10</v>
      </c>
      <c r="M3385" s="133">
        <v>7.6215222687448739E-4</v>
      </c>
      <c r="N3385" s="73">
        <v>1454.650999999996</v>
      </c>
      <c r="O3385" s="73">
        <v>155.49985823529371</v>
      </c>
      <c r="P3385" s="182">
        <v>0</v>
      </c>
      <c r="Q3385" s="182">
        <v>0</v>
      </c>
      <c r="R3385" s="46">
        <v>0</v>
      </c>
      <c r="S3385" s="46">
        <v>3</v>
      </c>
      <c r="T3385" s="46">
        <v>1200</v>
      </c>
      <c r="U3385" s="46">
        <v>9.923</v>
      </c>
      <c r="V3385" s="46" t="s">
        <v>68</v>
      </c>
      <c r="W3385" s="46">
        <v>1200</v>
      </c>
      <c r="X3385" s="46">
        <v>9.923</v>
      </c>
      <c r="AF3385" s="46">
        <v>14</v>
      </c>
      <c r="AG3385" s="46">
        <v>7000</v>
      </c>
      <c r="AH3385" s="46">
        <v>67625</v>
      </c>
      <c r="AI3385" s="46">
        <v>9.6609999999999996</v>
      </c>
      <c r="AJ3385" s="46">
        <v>15</v>
      </c>
      <c r="AK3385" s="46">
        <v>5600</v>
      </c>
      <c r="AL3385" s="46">
        <v>55310.559000000008</v>
      </c>
      <c r="AM3385" s="46">
        <v>9.8770000000000007</v>
      </c>
      <c r="AN3385" s="46" t="s">
        <v>63</v>
      </c>
      <c r="AO3385" s="46">
        <v>1400</v>
      </c>
      <c r="AP3385" s="46">
        <v>12314.441000000001</v>
      </c>
      <c r="AQ3385" s="46">
        <v>8.7959999999999994</v>
      </c>
      <c r="AR3385" s="46">
        <v>1209.5999999999999</v>
      </c>
      <c r="AS3385" s="46">
        <v>14</v>
      </c>
      <c r="AT3385" s="46">
        <v>7000</v>
      </c>
      <c r="AU3385" s="46">
        <v>67625</v>
      </c>
      <c r="AV3385" s="46">
        <v>9.6609999999999996</v>
      </c>
      <c r="AW3385" s="46">
        <v>18</v>
      </c>
      <c r="AX3385" s="46">
        <v>6800</v>
      </c>
      <c r="AY3385" s="46">
        <v>67209.651000000013</v>
      </c>
      <c r="AZ3385" s="46">
        <v>9.8840000000000003</v>
      </c>
      <c r="BA3385" s="46" t="s">
        <v>63</v>
      </c>
      <c r="BB3385" s="46">
        <v>200</v>
      </c>
      <c r="BC3385" s="46">
        <v>415.34899999999999</v>
      </c>
      <c r="BD3385" s="46">
        <v>2.077</v>
      </c>
      <c r="BE3385" s="46">
        <v>1516.4</v>
      </c>
      <c r="BF3385" s="46">
        <v>0</v>
      </c>
      <c r="BH3385" s="46">
        <v>11899.092000000004</v>
      </c>
      <c r="BI3385">
        <v>9.92</v>
      </c>
      <c r="BJ3385">
        <v>-11899.092000000001</v>
      </c>
      <c r="BK3385">
        <v>-9.92</v>
      </c>
      <c r="BL3385">
        <v>109.96</v>
      </c>
    </row>
    <row r="3386" spans="1:64" x14ac:dyDescent="0.25">
      <c r="A3386" s="136">
        <v>43567</v>
      </c>
      <c r="B3386" t="s">
        <v>72</v>
      </c>
      <c r="C3386" t="s">
        <v>130</v>
      </c>
      <c r="D3386">
        <v>100</v>
      </c>
      <c r="E3386">
        <v>100</v>
      </c>
      <c r="F3386">
        <v>-18.477</v>
      </c>
      <c r="G3386">
        <v>2452.6999999999998</v>
      </c>
      <c r="H3386">
        <v>0</v>
      </c>
      <c r="I3386">
        <v>605</v>
      </c>
      <c r="J3386">
        <v>6.05</v>
      </c>
      <c r="K3386" s="133">
        <v>1.1101531172723366E-3</v>
      </c>
      <c r="L3386" s="181">
        <v>8</v>
      </c>
      <c r="M3386" s="133">
        <v>0</v>
      </c>
      <c r="N3386" s="73">
        <v>-1498.9659999999872</v>
      </c>
      <c r="O3386" s="73">
        <v>376.42007904191922</v>
      </c>
      <c r="P3386" s="182">
        <v>0</v>
      </c>
      <c r="Q3386" s="182">
        <v>0</v>
      </c>
      <c r="R3386" s="46">
        <v>0</v>
      </c>
      <c r="S3386" s="46">
        <v>20</v>
      </c>
      <c r="T3386" s="46">
        <v>8600</v>
      </c>
      <c r="U3386" s="46">
        <v>7.3840000000000003</v>
      </c>
      <c r="V3386" s="46" t="s">
        <v>68</v>
      </c>
      <c r="W3386" s="46">
        <v>8600</v>
      </c>
      <c r="X3386" s="46">
        <v>7.3840000000000003</v>
      </c>
      <c r="AF3386" s="46">
        <v>42</v>
      </c>
      <c r="AG3386" s="46">
        <v>20900</v>
      </c>
      <c r="AH3386" s="46">
        <v>152800</v>
      </c>
      <c r="AI3386" s="46">
        <v>7.3109999999999999</v>
      </c>
      <c r="AJ3386" s="46">
        <v>42</v>
      </c>
      <c r="AK3386" s="46">
        <v>18800</v>
      </c>
      <c r="AL3386" s="46">
        <v>92037.725000000035</v>
      </c>
      <c r="AM3386" s="46">
        <v>4.8959999999999999</v>
      </c>
      <c r="AN3386" s="46" t="s">
        <v>63</v>
      </c>
      <c r="AO3386" s="46">
        <v>2100</v>
      </c>
      <c r="AP3386" s="46">
        <v>60762.275000000001</v>
      </c>
      <c r="AQ3386" s="46">
        <v>28.934000000000001</v>
      </c>
      <c r="AR3386" s="46">
        <v>-45402</v>
      </c>
      <c r="AS3386" s="46">
        <v>42</v>
      </c>
      <c r="AT3386" s="46">
        <v>20900</v>
      </c>
      <c r="AU3386" s="46">
        <v>152800</v>
      </c>
      <c r="AV3386" s="46">
        <v>7.3109999999999999</v>
      </c>
      <c r="AW3386" s="46">
        <v>63</v>
      </c>
      <c r="AX3386" s="46">
        <v>27900</v>
      </c>
      <c r="AY3386" s="46">
        <v>155380.21900000001</v>
      </c>
      <c r="AZ3386" s="46">
        <v>5.569</v>
      </c>
      <c r="BA3386" s="46" t="s">
        <v>69</v>
      </c>
      <c r="BB3386" s="46">
        <v>7000</v>
      </c>
      <c r="BC3386" s="46">
        <v>2580.2190000000001</v>
      </c>
      <c r="BD3386" s="46">
        <v>0.36899999999999999</v>
      </c>
      <c r="BE3386" s="46">
        <v>-36407.800000000003</v>
      </c>
      <c r="BF3386" s="46">
        <v>0</v>
      </c>
      <c r="BH3386" s="46">
        <v>63342.493999999977</v>
      </c>
      <c r="BI3386">
        <v>7.37</v>
      </c>
      <c r="BJ3386">
        <v>-58182.056000000004</v>
      </c>
      <c r="BK3386">
        <v>-6.77</v>
      </c>
      <c r="BL3386">
        <v>-7504.46</v>
      </c>
    </row>
    <row r="3387" spans="1:64" x14ac:dyDescent="0.25">
      <c r="A3387" s="136">
        <v>43567</v>
      </c>
      <c r="B3387" t="s">
        <v>70</v>
      </c>
      <c r="C3387" t="s">
        <v>131</v>
      </c>
      <c r="D3387">
        <v>12400</v>
      </c>
      <c r="E3387">
        <v>12400</v>
      </c>
      <c r="F3387">
        <v>11.19</v>
      </c>
      <c r="G3387">
        <v>-28141.88</v>
      </c>
      <c r="H3387">
        <v>-20.28</v>
      </c>
      <c r="I3387">
        <v>110608</v>
      </c>
      <c r="J3387">
        <v>8.92</v>
      </c>
      <c r="K3387" s="133">
        <v>0.20296167933100595</v>
      </c>
      <c r="L3387" s="181">
        <v>2728</v>
      </c>
      <c r="M3387" s="133">
        <v>0.25460101124489692</v>
      </c>
      <c r="N3387" s="73">
        <v>-29261.869000000035</v>
      </c>
      <c r="O3387" s="73">
        <v>-3312.257991562858</v>
      </c>
      <c r="P3387" s="182">
        <v>0</v>
      </c>
      <c r="Q3387" s="182">
        <v>0</v>
      </c>
      <c r="R3387" s="46">
        <v>0</v>
      </c>
      <c r="S3387" s="46">
        <v>5</v>
      </c>
      <c r="T3387" s="46">
        <v>2000</v>
      </c>
      <c r="U3387" s="46">
        <v>8.36</v>
      </c>
      <c r="V3387" s="46" t="s">
        <v>68</v>
      </c>
      <c r="W3387" s="46">
        <v>2000</v>
      </c>
      <c r="X3387" s="46">
        <v>8.36</v>
      </c>
      <c r="AF3387" s="46">
        <v>157</v>
      </c>
      <c r="AG3387" s="46">
        <v>80100</v>
      </c>
      <c r="AH3387" s="46">
        <v>987338</v>
      </c>
      <c r="AI3387" s="46">
        <v>12.326000000000001</v>
      </c>
      <c r="AJ3387" s="46">
        <v>163</v>
      </c>
      <c r="AK3387" s="46">
        <v>65700</v>
      </c>
      <c r="AL3387" s="46">
        <v>831500.85099999967</v>
      </c>
      <c r="AM3387" s="46">
        <v>12.656000000000001</v>
      </c>
      <c r="AN3387" s="46" t="s">
        <v>63</v>
      </c>
      <c r="AO3387" s="46">
        <v>14400</v>
      </c>
      <c r="AP3387" s="46">
        <v>155837.149</v>
      </c>
      <c r="AQ3387" s="46">
        <v>10.821999999999999</v>
      </c>
      <c r="AR3387" s="46">
        <v>21681</v>
      </c>
      <c r="AS3387" s="46">
        <v>157</v>
      </c>
      <c r="AT3387" s="46">
        <v>80100</v>
      </c>
      <c r="AU3387" s="46">
        <v>987338</v>
      </c>
      <c r="AV3387" s="46">
        <v>12.326000000000001</v>
      </c>
      <c r="AW3387" s="46">
        <v>169</v>
      </c>
      <c r="AX3387" s="46">
        <v>67700</v>
      </c>
      <c r="AY3387" s="46">
        <v>848584.1309999997</v>
      </c>
      <c r="AZ3387" s="46">
        <v>12.534000000000001</v>
      </c>
      <c r="BA3387" s="46" t="s">
        <v>63</v>
      </c>
      <c r="BB3387" s="46">
        <v>12400</v>
      </c>
      <c r="BC3387" s="46">
        <v>138753.86900000001</v>
      </c>
      <c r="BD3387" s="46">
        <v>11.19</v>
      </c>
      <c r="BE3387" s="46">
        <v>14081.6</v>
      </c>
      <c r="BF3387" s="46">
        <v>0</v>
      </c>
      <c r="BH3387" s="46">
        <v>17083.280000000028</v>
      </c>
      <c r="BI3387">
        <v>8.5399999999999991</v>
      </c>
      <c r="BJ3387">
        <v>-17083.28</v>
      </c>
      <c r="BK3387">
        <v>-8.5399999999999991</v>
      </c>
      <c r="BL3387">
        <v>2430.61</v>
      </c>
    </row>
    <row r="3388" spans="1:64" x14ac:dyDescent="0.25">
      <c r="A3388" s="136">
        <v>43567</v>
      </c>
      <c r="B3388" t="s">
        <v>628</v>
      </c>
      <c r="C3388" t="s">
        <v>629</v>
      </c>
      <c r="D3388">
        <v>100</v>
      </c>
      <c r="E3388">
        <v>100</v>
      </c>
      <c r="F3388">
        <v>-22.33</v>
      </c>
      <c r="G3388">
        <v>3656</v>
      </c>
      <c r="H3388">
        <v>0</v>
      </c>
      <c r="I3388">
        <v>1423</v>
      </c>
      <c r="J3388">
        <v>14.23</v>
      </c>
      <c r="K3388" s="133">
        <v>2.6111535303777436E-3</v>
      </c>
      <c r="L3388" s="181">
        <v>7</v>
      </c>
      <c r="M3388" s="133">
        <v>0</v>
      </c>
    </row>
    <row r="3389" spans="1:64" x14ac:dyDescent="0.25">
      <c r="A3389" s="136">
        <v>43567</v>
      </c>
      <c r="B3389" t="s">
        <v>630</v>
      </c>
      <c r="C3389" t="s">
        <v>631</v>
      </c>
      <c r="D3389">
        <v>100</v>
      </c>
      <c r="E3389">
        <v>100</v>
      </c>
      <c r="F3389">
        <v>-94.45</v>
      </c>
      <c r="G3389">
        <v>12502</v>
      </c>
      <c r="H3389">
        <v>0</v>
      </c>
      <c r="I3389">
        <v>3057</v>
      </c>
      <c r="J3389">
        <v>30.57</v>
      </c>
      <c r="K3389" s="133">
        <v>5.6094844289281531E-3</v>
      </c>
      <c r="L3389" s="181">
        <v>-34</v>
      </c>
      <c r="M3389" s="133">
        <v>0</v>
      </c>
    </row>
    <row r="3390" spans="1:64" x14ac:dyDescent="0.25">
      <c r="A3390" s="136">
        <v>43567</v>
      </c>
      <c r="B3390" t="s">
        <v>137</v>
      </c>
      <c r="C3390" t="s">
        <v>149</v>
      </c>
      <c r="D3390">
        <v>100</v>
      </c>
      <c r="E3390">
        <v>100</v>
      </c>
      <c r="F3390">
        <v>-130.86000000000001</v>
      </c>
      <c r="G3390">
        <v>16806</v>
      </c>
      <c r="H3390">
        <v>0</v>
      </c>
      <c r="I3390">
        <v>3720</v>
      </c>
      <c r="J3390">
        <v>37.200000000000003</v>
      </c>
      <c r="K3390" s="133">
        <v>6.8260654483522183E-3</v>
      </c>
      <c r="L3390" s="181">
        <v>-119</v>
      </c>
      <c r="M3390" s="133">
        <v>0</v>
      </c>
    </row>
    <row r="3391" spans="1:64" x14ac:dyDescent="0.25">
      <c r="A3391" s="136">
        <v>43567</v>
      </c>
      <c r="B3391" t="s">
        <v>835</v>
      </c>
      <c r="C3391" t="s">
        <v>839</v>
      </c>
      <c r="I3391">
        <v>4953.3999999999996</v>
      </c>
      <c r="K3391" s="133">
        <v>9.0893098365236215E-3</v>
      </c>
      <c r="L3391" s="181">
        <v>0</v>
      </c>
      <c r="M3391" s="133">
        <v>0.18166264861578493</v>
      </c>
    </row>
    <row r="3392" spans="1:64" x14ac:dyDescent="0.25">
      <c r="A3392" s="136">
        <v>43570</v>
      </c>
      <c r="B3392" t="s">
        <v>132</v>
      </c>
      <c r="C3392" t="s">
        <v>123</v>
      </c>
      <c r="D3392">
        <v>10000010</v>
      </c>
      <c r="E3392">
        <v>9405210</v>
      </c>
      <c r="F3392">
        <v>0.01</v>
      </c>
      <c r="G3392">
        <v>3896.95</v>
      </c>
      <c r="H3392">
        <v>0</v>
      </c>
      <c r="I3392">
        <v>100000.1</v>
      </c>
      <c r="J3392">
        <v>0.01</v>
      </c>
      <c r="K3392" s="133">
        <v>0.18569930695788053</v>
      </c>
      <c r="L3392" s="181">
        <v>4.8299999999999272</v>
      </c>
      <c r="M3392" s="133">
        <v>0</v>
      </c>
    </row>
    <row r="3393" spans="1:64" x14ac:dyDescent="0.25">
      <c r="A3393" s="136">
        <v>43570</v>
      </c>
      <c r="B3393" t="s">
        <v>61</v>
      </c>
      <c r="C3393" t="s">
        <v>136</v>
      </c>
      <c r="D3393">
        <v>1900</v>
      </c>
      <c r="E3393">
        <v>1900</v>
      </c>
      <c r="F3393">
        <v>5.0289999999999999</v>
      </c>
      <c r="G3393">
        <v>-587.49</v>
      </c>
      <c r="H3393">
        <v>-6.15</v>
      </c>
      <c r="I3393">
        <v>8968</v>
      </c>
      <c r="J3393">
        <v>4.72</v>
      </c>
      <c r="K3393" s="133">
        <v>1.6653497194485532E-2</v>
      </c>
      <c r="L3393" s="181">
        <v>83.029999999999973</v>
      </c>
      <c r="M3393" s="133">
        <v>1.7744460961968616E-2</v>
      </c>
      <c r="N3393" s="73">
        <v>0</v>
      </c>
      <c r="O3393" s="73">
        <v>-78.970225983438013</v>
      </c>
      <c r="P3393" s="182">
        <v>1</v>
      </c>
      <c r="Q3393" s="182">
        <v>500</v>
      </c>
      <c r="R3393" s="46">
        <v>4.8899999999999997</v>
      </c>
      <c r="S3393" s="46">
        <v>1</v>
      </c>
      <c r="T3393" s="46">
        <v>400</v>
      </c>
      <c r="U3393" s="46">
        <v>4.83</v>
      </c>
      <c r="V3393" s="46" t="s">
        <v>62</v>
      </c>
      <c r="W3393" s="46">
        <v>100</v>
      </c>
      <c r="X3393" s="46">
        <v>5.13</v>
      </c>
      <c r="AF3393" s="46">
        <v>19</v>
      </c>
      <c r="AG3393" s="46">
        <v>9500</v>
      </c>
      <c r="AH3393" s="46">
        <v>47440.7</v>
      </c>
      <c r="AI3393" s="46">
        <v>4.9939999999999998</v>
      </c>
      <c r="AJ3393" s="46">
        <v>19</v>
      </c>
      <c r="AK3393" s="46">
        <v>7700</v>
      </c>
      <c r="AL3393" s="46">
        <v>38407.554999999986</v>
      </c>
      <c r="AM3393" s="46">
        <v>4.9880000000000004</v>
      </c>
      <c r="AN3393" s="46" t="s">
        <v>63</v>
      </c>
      <c r="AO3393" s="46">
        <v>1800</v>
      </c>
      <c r="AP3393" s="46">
        <v>9033.1450000000004</v>
      </c>
      <c r="AQ3393" s="46">
        <v>5.0179999999999998</v>
      </c>
      <c r="AR3393" s="46">
        <v>-46.2</v>
      </c>
      <c r="AS3393" s="46">
        <v>20</v>
      </c>
      <c r="AT3393" s="46">
        <v>10000</v>
      </c>
      <c r="AU3393" s="46">
        <v>49891</v>
      </c>
      <c r="AV3393" s="46">
        <v>4.9889999999999999</v>
      </c>
      <c r="AW3393" s="46">
        <v>20</v>
      </c>
      <c r="AX3393" s="46">
        <v>8100</v>
      </c>
      <c r="AY3393" s="46">
        <v>40332.382999999987</v>
      </c>
      <c r="AZ3393" s="46">
        <v>4.9790000000000001</v>
      </c>
      <c r="BA3393" s="46" t="s">
        <v>63</v>
      </c>
      <c r="BB3393" s="46">
        <v>1900</v>
      </c>
      <c r="BC3393" s="46">
        <v>9558.6170000000002</v>
      </c>
      <c r="BD3393" s="46">
        <v>5.0309999999999997</v>
      </c>
      <c r="BE3393" s="46">
        <v>-81</v>
      </c>
      <c r="BF3393" s="46">
        <v>2450.3000000000029</v>
      </c>
      <c r="BG3393" s="46">
        <v>4.9000000000000004</v>
      </c>
      <c r="BH3393" s="46">
        <v>1924.8280000000013</v>
      </c>
      <c r="BI3393">
        <v>4.8099999999999996</v>
      </c>
      <c r="BJ3393">
        <v>525.47199999999975</v>
      </c>
      <c r="BK3393">
        <v>5.25</v>
      </c>
      <c r="BL3393">
        <v>-9.7899999999999991</v>
      </c>
    </row>
    <row r="3394" spans="1:64" x14ac:dyDescent="0.25">
      <c r="A3394" s="136">
        <v>43570</v>
      </c>
      <c r="B3394" t="s">
        <v>124</v>
      </c>
      <c r="C3394" t="s">
        <v>125</v>
      </c>
      <c r="D3394">
        <v>100</v>
      </c>
      <c r="E3394">
        <v>100</v>
      </c>
      <c r="F3394">
        <v>-53.82</v>
      </c>
      <c r="G3394">
        <v>5963</v>
      </c>
      <c r="H3394">
        <v>0</v>
      </c>
      <c r="I3394">
        <v>581</v>
      </c>
      <c r="J3394">
        <v>5.81</v>
      </c>
      <c r="K3394" s="133">
        <v>1.0789118945133914E-3</v>
      </c>
      <c r="L3394" s="181">
        <v>8</v>
      </c>
      <c r="M3394" s="133">
        <v>0</v>
      </c>
      <c r="N3394" s="73">
        <v>5573.0690000000113</v>
      </c>
      <c r="O3394" s="73">
        <v>1102.4501845505636</v>
      </c>
      <c r="P3394" s="182">
        <v>0</v>
      </c>
      <c r="Q3394" s="182">
        <v>0</v>
      </c>
      <c r="R3394" s="46">
        <v>0</v>
      </c>
      <c r="S3394" s="46">
        <v>5</v>
      </c>
      <c r="T3394" s="46">
        <v>2300</v>
      </c>
      <c r="U3394" s="46">
        <v>4.99</v>
      </c>
      <c r="V3394" s="46" t="s">
        <v>68</v>
      </c>
      <c r="W3394" s="46">
        <v>2300</v>
      </c>
      <c r="X3394" s="46">
        <v>4.99</v>
      </c>
      <c r="AF3394" s="46">
        <v>50</v>
      </c>
      <c r="AG3394" s="46">
        <v>36700</v>
      </c>
      <c r="AH3394" s="46">
        <v>180101.02000000002</v>
      </c>
      <c r="AI3394" s="46">
        <v>4.907</v>
      </c>
      <c r="AJ3394" s="46">
        <v>58</v>
      </c>
      <c r="AK3394" s="46">
        <v>35300</v>
      </c>
      <c r="AL3394" s="46">
        <v>178266.546</v>
      </c>
      <c r="AM3394" s="46">
        <v>5.05</v>
      </c>
      <c r="AN3394" s="46" t="s">
        <v>63</v>
      </c>
      <c r="AO3394" s="46">
        <v>1400</v>
      </c>
      <c r="AP3394" s="46">
        <v>1834.4739999999999</v>
      </c>
      <c r="AQ3394" s="46">
        <v>1.31</v>
      </c>
      <c r="AR3394" s="46">
        <v>5047.8999999999996</v>
      </c>
      <c r="AS3394" s="46">
        <v>51</v>
      </c>
      <c r="AT3394" s="46">
        <v>37700</v>
      </c>
      <c r="AU3394" s="46">
        <v>185106.62</v>
      </c>
      <c r="AV3394" s="46">
        <v>4.91</v>
      </c>
      <c r="AW3394" s="46">
        <v>63</v>
      </c>
      <c r="AX3394" s="46">
        <v>37600</v>
      </c>
      <c r="AY3394" s="46">
        <v>189713.68900000001</v>
      </c>
      <c r="AZ3394" s="46">
        <v>5.0460000000000003</v>
      </c>
      <c r="BA3394" s="46" t="s">
        <v>63</v>
      </c>
      <c r="BB3394" s="46">
        <v>100</v>
      </c>
      <c r="BC3394" s="46">
        <v>4607.0690000000004</v>
      </c>
      <c r="BD3394" s="46">
        <v>46.070999999999998</v>
      </c>
      <c r="BE3394" s="46">
        <v>5113.6000000000004</v>
      </c>
      <c r="BF3394" s="46">
        <v>5005.5999999999767</v>
      </c>
      <c r="BH3394" s="46">
        <v>11447.143000000011</v>
      </c>
      <c r="BI3394">
        <v>4.9800000000000004</v>
      </c>
      <c r="BJ3394">
        <v>2772.5950000000003</v>
      </c>
      <c r="BK3394">
        <v>1.21</v>
      </c>
      <c r="BL3394">
        <v>868.83</v>
      </c>
    </row>
    <row r="3395" spans="1:64" x14ac:dyDescent="0.25">
      <c r="A3395" s="136">
        <v>43570</v>
      </c>
      <c r="B3395" t="s">
        <v>71</v>
      </c>
      <c r="C3395" t="s">
        <v>126</v>
      </c>
      <c r="D3395">
        <v>800</v>
      </c>
      <c r="E3395">
        <v>800</v>
      </c>
      <c r="F3395">
        <v>2.7010000000000001</v>
      </c>
      <c r="G3395">
        <v>2927.11</v>
      </c>
      <c r="H3395">
        <v>135.46</v>
      </c>
      <c r="I3395">
        <v>5088</v>
      </c>
      <c r="J3395">
        <v>6.36</v>
      </c>
      <c r="K3395" s="133">
        <v>9.4483712896456708E-3</v>
      </c>
      <c r="L3395" s="181">
        <v>32</v>
      </c>
      <c r="M3395" s="133">
        <v>4.0127537413684024E-3</v>
      </c>
      <c r="N3395" s="73">
        <v>-2171.3999999999946</v>
      </c>
      <c r="O3395" s="73">
        <v>461.2692500000008</v>
      </c>
      <c r="P3395" s="182">
        <v>0</v>
      </c>
      <c r="Q3395" s="182">
        <v>0</v>
      </c>
      <c r="R3395" s="46">
        <v>0</v>
      </c>
      <c r="S3395" s="46">
        <v>8</v>
      </c>
      <c r="T3395" s="46">
        <v>3100</v>
      </c>
      <c r="U3395" s="46">
        <v>6.4169999999999998</v>
      </c>
      <c r="V3395" s="46" t="s">
        <v>68</v>
      </c>
      <c r="W3395" s="46">
        <v>3100</v>
      </c>
      <c r="X3395" s="46">
        <v>6.4169999999999998</v>
      </c>
      <c r="AF3395" s="46">
        <v>52</v>
      </c>
      <c r="AG3395" s="46">
        <v>26100</v>
      </c>
      <c r="AH3395" s="46">
        <v>165656.62999999998</v>
      </c>
      <c r="AI3395" s="46">
        <v>6.3470000000000004</v>
      </c>
      <c r="AJ3395" s="46">
        <v>50</v>
      </c>
      <c r="AK3395" s="46">
        <v>22200</v>
      </c>
      <c r="AL3395" s="46">
        <v>143498.78200000001</v>
      </c>
      <c r="AM3395" s="46">
        <v>6.4640000000000004</v>
      </c>
      <c r="AN3395" s="46" t="s">
        <v>63</v>
      </c>
      <c r="AO3395" s="46">
        <v>3900</v>
      </c>
      <c r="AP3395" s="46">
        <v>22157.848000000002</v>
      </c>
      <c r="AQ3395" s="46">
        <v>5.681</v>
      </c>
      <c r="AR3395" s="46">
        <v>2597.4</v>
      </c>
      <c r="AS3395" s="46">
        <v>52</v>
      </c>
      <c r="AT3395" s="46">
        <v>26100</v>
      </c>
      <c r="AU3395" s="46">
        <v>165656.62999999998</v>
      </c>
      <c r="AV3395" s="46">
        <v>6.3470000000000004</v>
      </c>
      <c r="AW3395" s="46">
        <v>58</v>
      </c>
      <c r="AX3395" s="46">
        <v>25300</v>
      </c>
      <c r="AY3395" s="46">
        <v>163329.03</v>
      </c>
      <c r="AZ3395" s="46">
        <v>6.4560000000000004</v>
      </c>
      <c r="BA3395" s="46" t="s">
        <v>63</v>
      </c>
      <c r="BB3395" s="46">
        <v>800</v>
      </c>
      <c r="BC3395" s="46">
        <v>2327.6</v>
      </c>
      <c r="BD3395" s="46">
        <v>2.91</v>
      </c>
      <c r="BE3395" s="46">
        <v>2757.7</v>
      </c>
      <c r="BF3395" s="46">
        <v>0</v>
      </c>
      <c r="BH3395" s="46">
        <v>19830.247999999992</v>
      </c>
      <c r="BI3395">
        <v>6.4</v>
      </c>
      <c r="BJ3395">
        <v>-19830.248000000003</v>
      </c>
      <c r="BK3395">
        <v>-6.4</v>
      </c>
      <c r="BL3395">
        <v>408.4</v>
      </c>
    </row>
    <row r="3396" spans="1:64" x14ac:dyDescent="0.25">
      <c r="A3396" s="136">
        <v>43570</v>
      </c>
      <c r="B3396" t="s">
        <v>79</v>
      </c>
      <c r="C3396" t="s">
        <v>143</v>
      </c>
      <c r="D3396">
        <v>10420</v>
      </c>
      <c r="E3396">
        <v>10420</v>
      </c>
      <c r="F3396">
        <v>10.634</v>
      </c>
      <c r="G3396">
        <v>-17028.91</v>
      </c>
      <c r="H3396">
        <v>-15.37</v>
      </c>
      <c r="I3396">
        <v>93780</v>
      </c>
      <c r="J3396">
        <v>9</v>
      </c>
      <c r="K3396" s="133">
        <v>0.17414863591646443</v>
      </c>
      <c r="L3396" s="181">
        <v>-312.59999999999854</v>
      </c>
      <c r="M3396" s="133">
        <v>0.20577117214640941</v>
      </c>
      <c r="N3396" s="73">
        <v>-17464.352000000246</v>
      </c>
      <c r="O3396" s="73">
        <v>-1948.1718553571702</v>
      </c>
      <c r="P3396" s="182">
        <v>9</v>
      </c>
      <c r="Q3396" s="182">
        <v>6920</v>
      </c>
      <c r="R3396" s="46">
        <v>5.2569999999999997</v>
      </c>
      <c r="S3396" s="46">
        <v>0</v>
      </c>
      <c r="T3396" s="46">
        <v>0</v>
      </c>
      <c r="U3396" s="46">
        <v>0</v>
      </c>
      <c r="V3396" s="46" t="s">
        <v>62</v>
      </c>
      <c r="W3396" s="46">
        <v>6920</v>
      </c>
      <c r="X3396" s="46">
        <v>5.2569999999999997</v>
      </c>
      <c r="AF3396" s="46">
        <v>34</v>
      </c>
      <c r="AG3396" s="46">
        <v>17500</v>
      </c>
      <c r="AH3396" s="46">
        <v>256460.49999999983</v>
      </c>
      <c r="AI3396" s="46">
        <v>14.654999999999999</v>
      </c>
      <c r="AJ3396" s="46">
        <v>35</v>
      </c>
      <c r="AK3396" s="46">
        <v>14000</v>
      </c>
      <c r="AL3396" s="46">
        <v>182057.0999999998</v>
      </c>
      <c r="AM3396" s="46">
        <v>13.004</v>
      </c>
      <c r="AN3396" s="46" t="s">
        <v>63</v>
      </c>
      <c r="AO3396" s="46">
        <v>3500</v>
      </c>
      <c r="AP3396" s="46">
        <v>74403.399999999994</v>
      </c>
      <c r="AQ3396" s="46">
        <v>21.257999999999999</v>
      </c>
      <c r="AR3396" s="46">
        <v>-23114</v>
      </c>
      <c r="AS3396" s="46">
        <v>43</v>
      </c>
      <c r="AT3396" s="46">
        <v>24420</v>
      </c>
      <c r="AU3396" s="46">
        <v>292884.65199999971</v>
      </c>
      <c r="AV3396" s="46">
        <v>11.994</v>
      </c>
      <c r="AW3396" s="46">
        <v>35</v>
      </c>
      <c r="AX3396" s="46">
        <v>14000</v>
      </c>
      <c r="AY3396" s="46">
        <v>182057.0999999998</v>
      </c>
      <c r="AZ3396" s="46">
        <v>13.004</v>
      </c>
      <c r="BA3396" s="46" t="s">
        <v>63</v>
      </c>
      <c r="BB3396" s="46">
        <v>10420</v>
      </c>
      <c r="BC3396" s="46">
        <v>110827.552</v>
      </c>
      <c r="BD3396" s="46">
        <v>10.635999999999999</v>
      </c>
      <c r="BE3396" s="46">
        <v>14140</v>
      </c>
      <c r="BF3396" s="46">
        <v>36424.151999999885</v>
      </c>
      <c r="BG3396" s="46">
        <v>5.26</v>
      </c>
      <c r="BH3396" s="46">
        <v>0</v>
      </c>
      <c r="BJ3396">
        <v>36424.152000000002</v>
      </c>
      <c r="BK3396">
        <v>5.26</v>
      </c>
      <c r="BL3396">
        <v>-2568.2199999999998</v>
      </c>
    </row>
    <row r="3397" spans="1:64" x14ac:dyDescent="0.25">
      <c r="A3397" s="136">
        <v>43570</v>
      </c>
      <c r="B3397" t="s">
        <v>65</v>
      </c>
      <c r="C3397" t="s">
        <v>127</v>
      </c>
      <c r="D3397">
        <v>20200</v>
      </c>
      <c r="E3397">
        <v>20200</v>
      </c>
      <c r="F3397">
        <v>8.8689999999999998</v>
      </c>
      <c r="G3397">
        <v>1837.63</v>
      </c>
      <c r="H3397">
        <v>1.03</v>
      </c>
      <c r="I3397">
        <v>180992</v>
      </c>
      <c r="J3397">
        <v>8.9600000000000009</v>
      </c>
      <c r="K3397" s="133">
        <v>0.33610055354865354</v>
      </c>
      <c r="L3397" s="181">
        <v>-2626</v>
      </c>
      <c r="M3397" s="133">
        <v>0.33268809078666622</v>
      </c>
      <c r="N3397" s="73">
        <v>5231.2149999999092</v>
      </c>
      <c r="O3397" s="73">
        <v>1017.9884492237445</v>
      </c>
      <c r="P3397" s="182">
        <v>4</v>
      </c>
      <c r="Q3397" s="182">
        <v>2000</v>
      </c>
      <c r="R3397" s="46">
        <v>8.0399999999999991</v>
      </c>
      <c r="S3397" s="46">
        <v>9</v>
      </c>
      <c r="T3397" s="46">
        <v>3600</v>
      </c>
      <c r="U3397" s="46">
        <v>8.4570000000000007</v>
      </c>
      <c r="V3397" s="46" t="s">
        <v>68</v>
      </c>
      <c r="W3397" s="46">
        <v>1600</v>
      </c>
      <c r="X3397" s="46">
        <v>8.9779999999999998</v>
      </c>
      <c r="AF3397" s="46">
        <v>229</v>
      </c>
      <c r="AG3397" s="46">
        <v>123500</v>
      </c>
      <c r="AH3397" s="46">
        <v>1323846.6810000001</v>
      </c>
      <c r="AI3397" s="46">
        <v>10.718999999999999</v>
      </c>
      <c r="AJ3397" s="46">
        <v>259</v>
      </c>
      <c r="AK3397" s="46">
        <v>110900</v>
      </c>
      <c r="AL3397" s="46">
        <v>1126288.3379999998</v>
      </c>
      <c r="AM3397" s="46">
        <v>10.156000000000001</v>
      </c>
      <c r="AN3397" s="46" t="s">
        <v>63</v>
      </c>
      <c r="AO3397" s="46">
        <v>12600</v>
      </c>
      <c r="AP3397" s="46">
        <v>197558.34299999999</v>
      </c>
      <c r="AQ3397" s="46">
        <v>15.679</v>
      </c>
      <c r="AR3397" s="46">
        <v>-62436.7</v>
      </c>
      <c r="AS3397" s="46">
        <v>234</v>
      </c>
      <c r="AT3397" s="46">
        <v>125600</v>
      </c>
      <c r="AU3397" s="46">
        <v>1341234.6810000001</v>
      </c>
      <c r="AV3397" s="46">
        <v>10.679</v>
      </c>
      <c r="AW3397" s="46">
        <v>268</v>
      </c>
      <c r="AX3397" s="46">
        <v>114500</v>
      </c>
      <c r="AY3397" s="46">
        <v>1156656.8940000001</v>
      </c>
      <c r="AZ3397" s="46">
        <v>10.102</v>
      </c>
      <c r="BA3397" s="46" t="s">
        <v>63</v>
      </c>
      <c r="BB3397" s="46">
        <v>11100</v>
      </c>
      <c r="BC3397" s="46">
        <v>184577.78700000001</v>
      </c>
      <c r="BD3397" s="46">
        <v>16.629000000000001</v>
      </c>
      <c r="BE3397" s="46">
        <v>-66066.5</v>
      </c>
      <c r="BF3397" s="46">
        <v>17388</v>
      </c>
      <c r="BG3397" s="46">
        <v>8.69</v>
      </c>
      <c r="BH3397" s="46">
        <v>30368.556000000332</v>
      </c>
      <c r="BI3397">
        <v>8.44</v>
      </c>
      <c r="BJ3397">
        <v>-12980.555999999982</v>
      </c>
      <c r="BK3397">
        <v>-8.11</v>
      </c>
      <c r="BL3397">
        <v>-6968.38</v>
      </c>
    </row>
    <row r="3398" spans="1:64" x14ac:dyDescent="0.25">
      <c r="A3398" s="136">
        <v>43570</v>
      </c>
      <c r="B3398" t="s">
        <v>77</v>
      </c>
      <c r="C3398" t="s">
        <v>150</v>
      </c>
      <c r="D3398">
        <v>5400</v>
      </c>
      <c r="E3398">
        <v>5400</v>
      </c>
      <c r="F3398">
        <v>5.4630000000000001</v>
      </c>
      <c r="G3398">
        <v>-3472.9</v>
      </c>
      <c r="H3398">
        <v>-11.77</v>
      </c>
      <c r="I3398">
        <v>26028</v>
      </c>
      <c r="J3398">
        <v>4.82</v>
      </c>
      <c r="K3398" s="133">
        <v>4.8333767281229859E-2</v>
      </c>
      <c r="L3398" s="181">
        <v>-325.02</v>
      </c>
      <c r="M3398" s="133">
        <v>5.4782912063425317E-2</v>
      </c>
      <c r="N3398" s="73">
        <v>-2789.8420000000042</v>
      </c>
      <c r="O3398" s="73">
        <v>-454.10656329365162</v>
      </c>
      <c r="P3398" s="182">
        <v>6</v>
      </c>
      <c r="Q3398" s="182">
        <v>3000</v>
      </c>
      <c r="R3398" s="46">
        <v>4.3630000000000004</v>
      </c>
      <c r="S3398" s="46">
        <v>0</v>
      </c>
      <c r="T3398" s="46">
        <v>0</v>
      </c>
      <c r="U3398" s="46">
        <v>0</v>
      </c>
      <c r="V3398" s="46" t="s">
        <v>62</v>
      </c>
      <c r="W3398" s="46">
        <v>3000</v>
      </c>
      <c r="X3398" s="46">
        <v>4.3630000000000004</v>
      </c>
      <c r="AF3398" s="46">
        <v>50</v>
      </c>
      <c r="AG3398" s="46">
        <v>25000</v>
      </c>
      <c r="AH3398" s="46">
        <v>173109</v>
      </c>
      <c r="AI3398" s="46">
        <v>6.9240000000000004</v>
      </c>
      <c r="AJ3398" s="46">
        <v>50</v>
      </c>
      <c r="AK3398" s="46">
        <v>22600</v>
      </c>
      <c r="AL3398" s="46">
        <v>156435.15800000002</v>
      </c>
      <c r="AM3398" s="46">
        <v>6.9219999999999997</v>
      </c>
      <c r="AN3398" s="46" t="s">
        <v>63</v>
      </c>
      <c r="AO3398" s="46">
        <v>2400</v>
      </c>
      <c r="AP3398" s="46">
        <v>16673.842000000001</v>
      </c>
      <c r="AQ3398" s="46">
        <v>6.9470000000000001</v>
      </c>
      <c r="AR3398" s="46">
        <v>-45.2</v>
      </c>
      <c r="AS3398" s="46">
        <v>56</v>
      </c>
      <c r="AT3398" s="46">
        <v>28000</v>
      </c>
      <c r="AU3398" s="46">
        <v>185941</v>
      </c>
      <c r="AV3398" s="46">
        <v>6.641</v>
      </c>
      <c r="AW3398" s="46">
        <v>50</v>
      </c>
      <c r="AX3398" s="46">
        <v>22600</v>
      </c>
      <c r="AY3398" s="46">
        <v>156435.15800000002</v>
      </c>
      <c r="AZ3398" s="46">
        <v>6.9219999999999997</v>
      </c>
      <c r="BA3398" s="46" t="s">
        <v>63</v>
      </c>
      <c r="BB3398" s="46">
        <v>5400</v>
      </c>
      <c r="BC3398" s="46">
        <v>29505.842000000001</v>
      </c>
      <c r="BD3398" s="46">
        <v>5.4640000000000004</v>
      </c>
      <c r="BE3398" s="46">
        <v>6350.6</v>
      </c>
      <c r="BF3398" s="46">
        <v>12832</v>
      </c>
      <c r="BG3398" s="46">
        <v>4.28</v>
      </c>
      <c r="BH3398" s="46">
        <v>0</v>
      </c>
      <c r="BJ3398">
        <v>12832</v>
      </c>
      <c r="BK3398">
        <v>4.28</v>
      </c>
      <c r="BL3398">
        <v>-9.3800000000000008</v>
      </c>
    </row>
    <row r="3399" spans="1:64" x14ac:dyDescent="0.25">
      <c r="A3399" s="136">
        <v>43570</v>
      </c>
      <c r="B3399" t="s">
        <v>67</v>
      </c>
      <c r="C3399" t="s">
        <v>129</v>
      </c>
      <c r="D3399">
        <v>230</v>
      </c>
      <c r="E3399">
        <v>230</v>
      </c>
      <c r="F3399">
        <v>-11.728999999999999</v>
      </c>
      <c r="G3399">
        <v>4514.67</v>
      </c>
      <c r="H3399">
        <v>0</v>
      </c>
      <c r="I3399">
        <v>1817</v>
      </c>
      <c r="J3399">
        <v>7.9</v>
      </c>
      <c r="K3399" s="133">
        <v>3.3741530332716558E-3</v>
      </c>
      <c r="L3399" s="181">
        <v>-27.600000000000364</v>
      </c>
      <c r="M3399" s="133">
        <v>0</v>
      </c>
      <c r="N3399" s="73">
        <v>4362.583499999957</v>
      </c>
      <c r="O3399" s="73">
        <v>600.60636477272476</v>
      </c>
      <c r="P3399" s="182">
        <v>1</v>
      </c>
      <c r="Q3399" s="182">
        <v>30</v>
      </c>
      <c r="R3399" s="46">
        <v>0</v>
      </c>
      <c r="S3399" s="46">
        <v>24</v>
      </c>
      <c r="T3399" s="46">
        <v>9600</v>
      </c>
      <c r="U3399" s="46">
        <v>8.9429999999999996</v>
      </c>
      <c r="V3399" s="46" t="s">
        <v>68</v>
      </c>
      <c r="W3399" s="46">
        <v>9570</v>
      </c>
      <c r="X3399" s="46">
        <v>8.9710000000000001</v>
      </c>
      <c r="AF3399" s="46">
        <v>193</v>
      </c>
      <c r="AG3399" s="46">
        <v>95500</v>
      </c>
      <c r="AH3399" s="46">
        <v>795318</v>
      </c>
      <c r="AI3399" s="46">
        <v>8.3279999999999994</v>
      </c>
      <c r="AJ3399" s="46">
        <v>197</v>
      </c>
      <c r="AK3399" s="46">
        <v>88300</v>
      </c>
      <c r="AL3399" s="46">
        <v>781491.25550000009</v>
      </c>
      <c r="AM3399" s="46">
        <v>8.85</v>
      </c>
      <c r="AN3399" s="46" t="s">
        <v>63</v>
      </c>
      <c r="AO3399" s="46">
        <v>7200</v>
      </c>
      <c r="AP3399" s="46">
        <v>13826.744000000001</v>
      </c>
      <c r="AQ3399" s="46">
        <v>1.92</v>
      </c>
      <c r="AR3399" s="46">
        <v>46092.6</v>
      </c>
      <c r="AS3399" s="46">
        <v>194</v>
      </c>
      <c r="AT3399" s="46">
        <v>95530</v>
      </c>
      <c r="AU3399" s="46">
        <v>795323</v>
      </c>
      <c r="AV3399" s="46">
        <v>8.3249999999999993</v>
      </c>
      <c r="AW3399" s="46">
        <v>221</v>
      </c>
      <c r="AX3399" s="46">
        <v>97900</v>
      </c>
      <c r="AY3399" s="46">
        <v>867143.89950000017</v>
      </c>
      <c r="AZ3399" s="46">
        <v>8.8569999999999993</v>
      </c>
      <c r="BA3399" s="46" t="s">
        <v>69</v>
      </c>
      <c r="BB3399" s="46">
        <v>2370</v>
      </c>
      <c r="BC3399" s="46">
        <v>71820.899999999994</v>
      </c>
      <c r="BD3399" s="46">
        <v>30.303999999999998</v>
      </c>
      <c r="BE3399" s="46">
        <v>50821.96</v>
      </c>
      <c r="BF3399" s="46">
        <v>5</v>
      </c>
      <c r="BG3399" s="46">
        <v>0.17</v>
      </c>
      <c r="BH3399" s="46">
        <v>85652.644000000088</v>
      </c>
      <c r="BI3399">
        <v>8.92</v>
      </c>
      <c r="BJ3399">
        <v>57994.155999999995</v>
      </c>
      <c r="BK3399">
        <v>6.06</v>
      </c>
      <c r="BL3399">
        <v>5834.51</v>
      </c>
    </row>
    <row r="3400" spans="1:64" x14ac:dyDescent="0.25">
      <c r="A3400" s="136">
        <v>43570</v>
      </c>
      <c r="B3400" t="s">
        <v>78</v>
      </c>
      <c r="C3400" t="s">
        <v>142</v>
      </c>
      <c r="D3400">
        <v>200</v>
      </c>
      <c r="E3400">
        <v>200</v>
      </c>
      <c r="F3400">
        <v>2.077</v>
      </c>
      <c r="G3400">
        <v>1790.65</v>
      </c>
      <c r="H3400">
        <v>431.07</v>
      </c>
      <c r="I3400">
        <v>2206</v>
      </c>
      <c r="J3400">
        <v>11.03</v>
      </c>
      <c r="K3400" s="133">
        <v>4.0965226149682291E-3</v>
      </c>
      <c r="L3400" s="181">
        <v>6</v>
      </c>
      <c r="M3400" s="133">
        <v>7.7130130014825646E-4</v>
      </c>
      <c r="N3400" s="73">
        <v>1454.650999999996</v>
      </c>
      <c r="O3400" s="73">
        <v>155.49985823529371</v>
      </c>
      <c r="P3400" s="182">
        <v>0</v>
      </c>
      <c r="Q3400" s="182">
        <v>0</v>
      </c>
      <c r="R3400" s="46">
        <v>0</v>
      </c>
      <c r="S3400" s="46">
        <v>3</v>
      </c>
      <c r="T3400" s="46">
        <v>1200</v>
      </c>
      <c r="U3400" s="46">
        <v>9.923</v>
      </c>
      <c r="V3400" s="46" t="s">
        <v>68</v>
      </c>
      <c r="W3400" s="46">
        <v>1200</v>
      </c>
      <c r="X3400" s="46">
        <v>9.923</v>
      </c>
      <c r="AF3400" s="46">
        <v>14</v>
      </c>
      <c r="AG3400" s="46">
        <v>7000</v>
      </c>
      <c r="AH3400" s="46">
        <v>67625</v>
      </c>
      <c r="AI3400" s="46">
        <v>9.6609999999999996</v>
      </c>
      <c r="AJ3400" s="46">
        <v>15</v>
      </c>
      <c r="AK3400" s="46">
        <v>5600</v>
      </c>
      <c r="AL3400" s="46">
        <v>55310.559000000008</v>
      </c>
      <c r="AM3400" s="46">
        <v>9.8770000000000007</v>
      </c>
      <c r="AN3400" s="46" t="s">
        <v>63</v>
      </c>
      <c r="AO3400" s="46">
        <v>1400</v>
      </c>
      <c r="AP3400" s="46">
        <v>12314.441000000001</v>
      </c>
      <c r="AQ3400" s="46">
        <v>8.7959999999999994</v>
      </c>
      <c r="AR3400" s="46">
        <v>1209.5999999999999</v>
      </c>
      <c r="AS3400" s="46">
        <v>14</v>
      </c>
      <c r="AT3400" s="46">
        <v>7000</v>
      </c>
      <c r="AU3400" s="46">
        <v>67625</v>
      </c>
      <c r="AV3400" s="46">
        <v>9.6609999999999996</v>
      </c>
      <c r="AW3400" s="46">
        <v>18</v>
      </c>
      <c r="AX3400" s="46">
        <v>6800</v>
      </c>
      <c r="AY3400" s="46">
        <v>67209.651000000013</v>
      </c>
      <c r="AZ3400" s="46">
        <v>9.8840000000000003</v>
      </c>
      <c r="BA3400" s="46" t="s">
        <v>63</v>
      </c>
      <c r="BB3400" s="46">
        <v>200</v>
      </c>
      <c r="BC3400" s="46">
        <v>415.34899999999999</v>
      </c>
      <c r="BD3400" s="46">
        <v>2.077</v>
      </c>
      <c r="BE3400" s="46">
        <v>1516.4</v>
      </c>
      <c r="BF3400" s="46">
        <v>0</v>
      </c>
      <c r="BH3400" s="46">
        <v>11899.092000000004</v>
      </c>
      <c r="BI3400">
        <v>9.92</v>
      </c>
      <c r="BJ3400">
        <v>-11899.092000000001</v>
      </c>
      <c r="BK3400">
        <v>-9.92</v>
      </c>
      <c r="BL3400">
        <v>109.66</v>
      </c>
    </row>
    <row r="3401" spans="1:64" x14ac:dyDescent="0.25">
      <c r="A3401" s="136">
        <v>43570</v>
      </c>
      <c r="B3401" t="s">
        <v>72</v>
      </c>
      <c r="C3401" t="s">
        <v>130</v>
      </c>
      <c r="D3401">
        <v>100</v>
      </c>
      <c r="E3401">
        <v>100</v>
      </c>
      <c r="F3401">
        <v>-18.477</v>
      </c>
      <c r="G3401">
        <v>2455.6999999999998</v>
      </c>
      <c r="H3401">
        <v>0</v>
      </c>
      <c r="I3401">
        <v>608</v>
      </c>
      <c r="J3401">
        <v>6.08</v>
      </c>
      <c r="K3401" s="133">
        <v>1.1290506572532563E-3</v>
      </c>
      <c r="L3401" s="181">
        <v>3</v>
      </c>
      <c r="M3401" s="133">
        <v>0</v>
      </c>
      <c r="N3401" s="73">
        <v>-1498.9659999999872</v>
      </c>
      <c r="O3401" s="73">
        <v>376.42007904191922</v>
      </c>
      <c r="P3401" s="182">
        <v>0</v>
      </c>
      <c r="Q3401" s="182">
        <v>0</v>
      </c>
      <c r="R3401" s="46">
        <v>0</v>
      </c>
      <c r="S3401" s="46">
        <v>20</v>
      </c>
      <c r="T3401" s="46">
        <v>8600</v>
      </c>
      <c r="U3401" s="46">
        <v>7.3840000000000003</v>
      </c>
      <c r="V3401" s="46" t="s">
        <v>68</v>
      </c>
      <c r="W3401" s="46">
        <v>8600</v>
      </c>
      <c r="X3401" s="46">
        <v>7.3840000000000003</v>
      </c>
      <c r="AF3401" s="46">
        <v>42</v>
      </c>
      <c r="AG3401" s="46">
        <v>20900</v>
      </c>
      <c r="AH3401" s="46">
        <v>152800</v>
      </c>
      <c r="AI3401" s="46">
        <v>7.3109999999999999</v>
      </c>
      <c r="AJ3401" s="46">
        <v>42</v>
      </c>
      <c r="AK3401" s="46">
        <v>18800</v>
      </c>
      <c r="AL3401" s="46">
        <v>92037.725000000035</v>
      </c>
      <c r="AM3401" s="46">
        <v>4.8959999999999999</v>
      </c>
      <c r="AN3401" s="46" t="s">
        <v>63</v>
      </c>
      <c r="AO3401" s="46">
        <v>2100</v>
      </c>
      <c r="AP3401" s="46">
        <v>60762.275000000001</v>
      </c>
      <c r="AQ3401" s="46">
        <v>28.934000000000001</v>
      </c>
      <c r="AR3401" s="46">
        <v>-45402</v>
      </c>
      <c r="AS3401" s="46">
        <v>42</v>
      </c>
      <c r="AT3401" s="46">
        <v>20900</v>
      </c>
      <c r="AU3401" s="46">
        <v>152800</v>
      </c>
      <c r="AV3401" s="46">
        <v>7.3109999999999999</v>
      </c>
      <c r="AW3401" s="46">
        <v>63</v>
      </c>
      <c r="AX3401" s="46">
        <v>27900</v>
      </c>
      <c r="AY3401" s="46">
        <v>155380.21900000001</v>
      </c>
      <c r="AZ3401" s="46">
        <v>5.569</v>
      </c>
      <c r="BA3401" s="46" t="s">
        <v>69</v>
      </c>
      <c r="BB3401" s="46">
        <v>7000</v>
      </c>
      <c r="BC3401" s="46">
        <v>2580.2190000000001</v>
      </c>
      <c r="BD3401" s="46">
        <v>0.36899999999999999</v>
      </c>
      <c r="BE3401" s="46">
        <v>-36407.800000000003</v>
      </c>
      <c r="BF3401" s="46">
        <v>0</v>
      </c>
      <c r="BH3401" s="46">
        <v>63342.493999999977</v>
      </c>
      <c r="BI3401">
        <v>7.37</v>
      </c>
      <c r="BJ3401">
        <v>-58182.056000000004</v>
      </c>
      <c r="BK3401">
        <v>-6.77</v>
      </c>
      <c r="BL3401">
        <v>-7467.43</v>
      </c>
    </row>
    <row r="3402" spans="1:64" x14ac:dyDescent="0.25">
      <c r="A3402" s="136">
        <v>43570</v>
      </c>
      <c r="B3402" t="s">
        <v>70</v>
      </c>
      <c r="C3402" t="s">
        <v>131</v>
      </c>
      <c r="D3402">
        <v>12400</v>
      </c>
      <c r="E3402">
        <v>12400</v>
      </c>
      <c r="F3402">
        <v>11.19</v>
      </c>
      <c r="G3402">
        <v>-31489.88</v>
      </c>
      <c r="H3402">
        <v>-22.69</v>
      </c>
      <c r="I3402">
        <v>107260</v>
      </c>
      <c r="J3402">
        <v>8.65</v>
      </c>
      <c r="K3402" s="133">
        <v>0.19918087746214519</v>
      </c>
      <c r="L3402" s="181">
        <v>-3348</v>
      </c>
      <c r="M3402" s="133">
        <v>0.25765730790758296</v>
      </c>
      <c r="N3402" s="73">
        <v>-29261.869000000035</v>
      </c>
      <c r="O3402" s="73">
        <v>-3312.257991562858</v>
      </c>
      <c r="P3402" s="182">
        <v>0</v>
      </c>
      <c r="Q3402" s="182">
        <v>0</v>
      </c>
      <c r="R3402" s="46">
        <v>0</v>
      </c>
      <c r="S3402" s="46">
        <v>5</v>
      </c>
      <c r="T3402" s="46">
        <v>2000</v>
      </c>
      <c r="U3402" s="46">
        <v>8.36</v>
      </c>
      <c r="V3402" s="46" t="s">
        <v>68</v>
      </c>
      <c r="W3402" s="46">
        <v>2000</v>
      </c>
      <c r="X3402" s="46">
        <v>8.36</v>
      </c>
      <c r="AF3402" s="46">
        <v>157</v>
      </c>
      <c r="AG3402" s="46">
        <v>80100</v>
      </c>
      <c r="AH3402" s="46">
        <v>987338</v>
      </c>
      <c r="AI3402" s="46">
        <v>12.326000000000001</v>
      </c>
      <c r="AJ3402" s="46">
        <v>163</v>
      </c>
      <c r="AK3402" s="46">
        <v>65700</v>
      </c>
      <c r="AL3402" s="46">
        <v>831500.85099999967</v>
      </c>
      <c r="AM3402" s="46">
        <v>12.656000000000001</v>
      </c>
      <c r="AN3402" s="46" t="s">
        <v>63</v>
      </c>
      <c r="AO3402" s="46">
        <v>14400</v>
      </c>
      <c r="AP3402" s="46">
        <v>155837.149</v>
      </c>
      <c r="AQ3402" s="46">
        <v>10.821999999999999</v>
      </c>
      <c r="AR3402" s="46">
        <v>21681</v>
      </c>
      <c r="AS3402" s="46">
        <v>157</v>
      </c>
      <c r="AT3402" s="46">
        <v>80100</v>
      </c>
      <c r="AU3402" s="46">
        <v>987338</v>
      </c>
      <c r="AV3402" s="46">
        <v>12.326000000000001</v>
      </c>
      <c r="AW3402" s="46">
        <v>169</v>
      </c>
      <c r="AX3402" s="46">
        <v>67700</v>
      </c>
      <c r="AY3402" s="46">
        <v>848584.1309999997</v>
      </c>
      <c r="AZ3402" s="46">
        <v>12.534000000000001</v>
      </c>
      <c r="BA3402" s="46" t="s">
        <v>63</v>
      </c>
      <c r="BB3402" s="46">
        <v>12400</v>
      </c>
      <c r="BC3402" s="46">
        <v>138753.86900000001</v>
      </c>
      <c r="BD3402" s="46">
        <v>11.19</v>
      </c>
      <c r="BE3402" s="46">
        <v>14081.6</v>
      </c>
      <c r="BF3402" s="46">
        <v>0</v>
      </c>
      <c r="BH3402" s="46">
        <v>17083.280000000028</v>
      </c>
      <c r="BI3402">
        <v>8.5399999999999991</v>
      </c>
      <c r="BJ3402">
        <v>-17083.28</v>
      </c>
      <c r="BK3402">
        <v>-8.5399999999999991</v>
      </c>
      <c r="BL3402">
        <v>2506.4699999999998</v>
      </c>
    </row>
    <row r="3403" spans="1:64" x14ac:dyDescent="0.25">
      <c r="A3403" s="136">
        <v>43570</v>
      </c>
      <c r="B3403" t="s">
        <v>628</v>
      </c>
      <c r="C3403" t="s">
        <v>629</v>
      </c>
      <c r="D3403">
        <v>100</v>
      </c>
      <c r="E3403">
        <v>100</v>
      </c>
      <c r="F3403">
        <v>-22.33</v>
      </c>
      <c r="G3403">
        <v>3638</v>
      </c>
      <c r="H3403">
        <v>0</v>
      </c>
      <c r="I3403">
        <v>1405</v>
      </c>
      <c r="J3403">
        <v>14.05</v>
      </c>
      <c r="K3403" s="133">
        <v>2.6090726536855675E-3</v>
      </c>
      <c r="L3403" s="181">
        <v>-18</v>
      </c>
      <c r="M3403" s="133">
        <v>0</v>
      </c>
    </row>
    <row r="3404" spans="1:64" x14ac:dyDescent="0.25">
      <c r="A3404" s="136">
        <v>43570</v>
      </c>
      <c r="B3404" t="s">
        <v>630</v>
      </c>
      <c r="C3404" t="s">
        <v>631</v>
      </c>
      <c r="D3404">
        <v>100</v>
      </c>
      <c r="E3404">
        <v>100</v>
      </c>
      <c r="F3404">
        <v>-94.45</v>
      </c>
      <c r="G3404">
        <v>12513</v>
      </c>
      <c r="H3404">
        <v>0</v>
      </c>
      <c r="I3404">
        <v>3068</v>
      </c>
      <c r="J3404">
        <v>30.68</v>
      </c>
      <c r="K3404" s="133">
        <v>5.6972490402187343E-3</v>
      </c>
      <c r="L3404" s="181">
        <v>11</v>
      </c>
      <c r="M3404" s="133">
        <v>0</v>
      </c>
    </row>
    <row r="3405" spans="1:64" x14ac:dyDescent="0.25">
      <c r="A3405" s="136">
        <v>43570</v>
      </c>
      <c r="B3405" t="s">
        <v>137</v>
      </c>
      <c r="C3405" t="s">
        <v>149</v>
      </c>
      <c r="D3405">
        <v>100</v>
      </c>
      <c r="E3405">
        <v>100</v>
      </c>
      <c r="F3405">
        <v>-130.86000000000001</v>
      </c>
      <c r="G3405">
        <v>16851</v>
      </c>
      <c r="H3405">
        <v>0</v>
      </c>
      <c r="I3405">
        <v>3765</v>
      </c>
      <c r="J3405">
        <v>37.65</v>
      </c>
      <c r="K3405" s="133">
        <v>6.9915719153922865E-3</v>
      </c>
      <c r="L3405" s="181">
        <v>45</v>
      </c>
      <c r="M3405" s="133">
        <v>0</v>
      </c>
    </row>
    <row r="3406" spans="1:64" x14ac:dyDescent="0.25">
      <c r="A3406" s="136">
        <v>43570</v>
      </c>
      <c r="B3406" t="s">
        <v>835</v>
      </c>
      <c r="C3406" t="s">
        <v>839</v>
      </c>
      <c r="I3406">
        <v>2939.41</v>
      </c>
      <c r="K3406" s="133">
        <v>5.4584585401920953E-3</v>
      </c>
      <c r="L3406" s="181">
        <v>0</v>
      </c>
      <c r="M3406" s="133">
        <v>0.19115776549807262</v>
      </c>
    </row>
    <row r="3407" spans="1:64" x14ac:dyDescent="0.25">
      <c r="A3407" s="136">
        <v>43571</v>
      </c>
      <c r="B3407" t="s">
        <v>132</v>
      </c>
      <c r="C3407" t="s">
        <v>123</v>
      </c>
      <c r="D3407">
        <v>10000004</v>
      </c>
      <c r="E3407">
        <v>9201404</v>
      </c>
      <c r="F3407">
        <v>0.01</v>
      </c>
      <c r="G3407">
        <v>3910.89</v>
      </c>
      <c r="H3407">
        <v>0</v>
      </c>
      <c r="I3407">
        <v>100000.04</v>
      </c>
      <c r="J3407">
        <v>0.01</v>
      </c>
      <c r="K3407" s="133">
        <v>0.18185799216999818</v>
      </c>
      <c r="L3407" s="181">
        <v>13.940000000000055</v>
      </c>
      <c r="M3407" s="133">
        <v>0</v>
      </c>
    </row>
    <row r="3408" spans="1:64" x14ac:dyDescent="0.25">
      <c r="A3408" s="136">
        <v>43571</v>
      </c>
      <c r="B3408" t="s">
        <v>61</v>
      </c>
      <c r="C3408" t="s">
        <v>136</v>
      </c>
      <c r="D3408">
        <v>2400</v>
      </c>
      <c r="E3408">
        <v>1900</v>
      </c>
      <c r="F3408">
        <v>4.9539999999999997</v>
      </c>
      <c r="G3408">
        <v>-394.54</v>
      </c>
      <c r="H3408">
        <v>-3.32</v>
      </c>
      <c r="I3408">
        <v>11496</v>
      </c>
      <c r="J3408">
        <v>4.79</v>
      </c>
      <c r="K3408" s="133">
        <v>2.0906386417308423E-2</v>
      </c>
      <c r="L3408" s="181">
        <v>192.95</v>
      </c>
      <c r="M3408" s="133">
        <v>2.1623888652615043E-2</v>
      </c>
      <c r="N3408" s="73">
        <v>-709.91700000000492</v>
      </c>
      <c r="O3408" s="73">
        <v>-152.26653251073068</v>
      </c>
      <c r="P3408" s="182">
        <v>1</v>
      </c>
      <c r="Q3408" s="182">
        <v>500</v>
      </c>
      <c r="R3408" s="46">
        <v>4.66</v>
      </c>
      <c r="S3408" s="46">
        <v>0</v>
      </c>
      <c r="T3408" s="46">
        <v>0</v>
      </c>
      <c r="U3408" s="46">
        <v>0</v>
      </c>
      <c r="V3408" s="46" t="s">
        <v>62</v>
      </c>
      <c r="W3408" s="46">
        <v>500</v>
      </c>
      <c r="X3408" s="46">
        <v>4.66</v>
      </c>
      <c r="AF3408" s="46">
        <v>20</v>
      </c>
      <c r="AG3408" s="46">
        <v>10000</v>
      </c>
      <c r="AH3408" s="46">
        <v>49891</v>
      </c>
      <c r="AI3408" s="46">
        <v>4.9889999999999999</v>
      </c>
      <c r="AJ3408" s="46">
        <v>20</v>
      </c>
      <c r="AK3408" s="46">
        <v>8100</v>
      </c>
      <c r="AL3408" s="46">
        <v>40332.382999999987</v>
      </c>
      <c r="AM3408" s="46">
        <v>4.9790000000000001</v>
      </c>
      <c r="AN3408" s="46" t="s">
        <v>63</v>
      </c>
      <c r="AO3408" s="46">
        <v>1900</v>
      </c>
      <c r="AP3408" s="46">
        <v>9558.6170000000002</v>
      </c>
      <c r="AQ3408" s="46">
        <v>5.0309999999999997</v>
      </c>
      <c r="AR3408" s="46">
        <v>-81</v>
      </c>
      <c r="AS3408" s="46">
        <v>21</v>
      </c>
      <c r="AT3408" s="46">
        <v>10500</v>
      </c>
      <c r="AU3408" s="46">
        <v>52226.3</v>
      </c>
      <c r="AV3408" s="46">
        <v>4.9740000000000002</v>
      </c>
      <c r="AW3408" s="46">
        <v>20</v>
      </c>
      <c r="AX3408" s="46">
        <v>8100</v>
      </c>
      <c r="AY3408" s="46">
        <v>40332.382999999987</v>
      </c>
      <c r="AZ3408" s="46">
        <v>4.9790000000000001</v>
      </c>
      <c r="BA3408" s="46" t="s">
        <v>63</v>
      </c>
      <c r="BB3408" s="46">
        <v>2400</v>
      </c>
      <c r="BC3408" s="46">
        <v>11893.916999999999</v>
      </c>
      <c r="BD3408" s="46">
        <v>4.9560000000000004</v>
      </c>
      <c r="BE3408" s="46">
        <v>40.5</v>
      </c>
      <c r="BF3408" s="46">
        <v>2335.3000000000029</v>
      </c>
      <c r="BG3408" s="46">
        <v>4.67</v>
      </c>
      <c r="BH3408" s="46">
        <v>0</v>
      </c>
      <c r="BJ3408">
        <v>2335.2999999999993</v>
      </c>
      <c r="BK3408">
        <v>4.67</v>
      </c>
      <c r="BL3408">
        <v>-16.91</v>
      </c>
    </row>
    <row r="3409" spans="1:64" x14ac:dyDescent="0.25">
      <c r="A3409" s="136">
        <v>43571</v>
      </c>
      <c r="B3409" t="s">
        <v>124</v>
      </c>
      <c r="C3409" t="s">
        <v>125</v>
      </c>
      <c r="D3409">
        <v>100</v>
      </c>
      <c r="E3409">
        <v>100</v>
      </c>
      <c r="F3409">
        <v>-53.82</v>
      </c>
      <c r="G3409">
        <v>5982</v>
      </c>
      <c r="H3409">
        <v>0</v>
      </c>
      <c r="I3409">
        <v>600</v>
      </c>
      <c r="J3409">
        <v>6</v>
      </c>
      <c r="K3409" s="133">
        <v>1.0911475165609826E-3</v>
      </c>
      <c r="L3409" s="181">
        <v>19</v>
      </c>
      <c r="M3409" s="133">
        <v>0</v>
      </c>
      <c r="N3409" s="73">
        <v>5573.0690000000113</v>
      </c>
      <c r="O3409" s="73">
        <v>1102.4501845505636</v>
      </c>
      <c r="P3409" s="182">
        <v>0</v>
      </c>
      <c r="Q3409" s="182">
        <v>0</v>
      </c>
      <c r="R3409" s="46">
        <v>0</v>
      </c>
      <c r="S3409" s="46">
        <v>5</v>
      </c>
      <c r="T3409" s="46">
        <v>2300</v>
      </c>
      <c r="U3409" s="46">
        <v>4.99</v>
      </c>
      <c r="V3409" s="46" t="s">
        <v>68</v>
      </c>
      <c r="W3409" s="46">
        <v>2300</v>
      </c>
      <c r="X3409" s="46">
        <v>4.99</v>
      </c>
      <c r="AF3409" s="46">
        <v>50</v>
      </c>
      <c r="AG3409" s="46">
        <v>36700</v>
      </c>
      <c r="AH3409" s="46">
        <v>180101.02000000002</v>
      </c>
      <c r="AI3409" s="46">
        <v>4.907</v>
      </c>
      <c r="AJ3409" s="46">
        <v>58</v>
      </c>
      <c r="AK3409" s="46">
        <v>35300</v>
      </c>
      <c r="AL3409" s="46">
        <v>178266.546</v>
      </c>
      <c r="AM3409" s="46">
        <v>5.05</v>
      </c>
      <c r="AN3409" s="46" t="s">
        <v>63</v>
      </c>
      <c r="AO3409" s="46">
        <v>1400</v>
      </c>
      <c r="AP3409" s="46">
        <v>1834.4739999999999</v>
      </c>
      <c r="AQ3409" s="46">
        <v>1.31</v>
      </c>
      <c r="AR3409" s="46">
        <v>5047.8999999999996</v>
      </c>
      <c r="AS3409" s="46">
        <v>51</v>
      </c>
      <c r="AT3409" s="46">
        <v>37700</v>
      </c>
      <c r="AU3409" s="46">
        <v>185106.62</v>
      </c>
      <c r="AV3409" s="46">
        <v>4.91</v>
      </c>
      <c r="AW3409" s="46">
        <v>63</v>
      </c>
      <c r="AX3409" s="46">
        <v>37600</v>
      </c>
      <c r="AY3409" s="46">
        <v>189713.68900000001</v>
      </c>
      <c r="AZ3409" s="46">
        <v>5.0460000000000003</v>
      </c>
      <c r="BA3409" s="46" t="s">
        <v>63</v>
      </c>
      <c r="BB3409" s="46">
        <v>100</v>
      </c>
      <c r="BC3409" s="46">
        <v>4607.0690000000004</v>
      </c>
      <c r="BD3409" s="46">
        <v>46.070999999999998</v>
      </c>
      <c r="BE3409" s="46">
        <v>5113.6000000000004</v>
      </c>
      <c r="BF3409" s="46">
        <v>5005.5999999999767</v>
      </c>
      <c r="BH3409" s="46">
        <v>11447.143000000011</v>
      </c>
      <c r="BI3409">
        <v>4.9800000000000004</v>
      </c>
      <c r="BJ3409">
        <v>2772.5950000000003</v>
      </c>
      <c r="BK3409">
        <v>1.21</v>
      </c>
      <c r="BL3409">
        <v>841.32</v>
      </c>
    </row>
    <row r="3410" spans="1:64" x14ac:dyDescent="0.25">
      <c r="A3410" s="136">
        <v>43571</v>
      </c>
      <c r="B3410" t="s">
        <v>71</v>
      </c>
      <c r="C3410" t="s">
        <v>126</v>
      </c>
      <c r="D3410">
        <v>400</v>
      </c>
      <c r="E3410">
        <v>400</v>
      </c>
      <c r="F3410">
        <v>-1.159</v>
      </c>
      <c r="G3410">
        <v>3123.6</v>
      </c>
      <c r="H3410">
        <v>0</v>
      </c>
      <c r="I3410">
        <v>2660</v>
      </c>
      <c r="J3410">
        <v>6.65</v>
      </c>
      <c r="K3410" s="133">
        <v>4.837420656753689E-3</v>
      </c>
      <c r="L3410" s="181">
        <v>196.48999999999978</v>
      </c>
      <c r="M3410" s="133">
        <v>0</v>
      </c>
      <c r="N3410" s="73">
        <v>3004.4280000000053</v>
      </c>
      <c r="O3410" s="73">
        <v>469.32874407294918</v>
      </c>
      <c r="P3410" s="182">
        <v>0</v>
      </c>
      <c r="Q3410" s="182">
        <v>0</v>
      </c>
      <c r="R3410" s="46">
        <v>0</v>
      </c>
      <c r="S3410" s="46">
        <v>9</v>
      </c>
      <c r="T3410" s="46">
        <v>3500</v>
      </c>
      <c r="U3410" s="46">
        <v>6.4349999999999996</v>
      </c>
      <c r="V3410" s="46" t="s">
        <v>68</v>
      </c>
      <c r="W3410" s="46">
        <v>3500</v>
      </c>
      <c r="X3410" s="46">
        <v>6.4349999999999996</v>
      </c>
      <c r="AF3410" s="46">
        <v>52</v>
      </c>
      <c r="AG3410" s="46">
        <v>26100</v>
      </c>
      <c r="AH3410" s="46">
        <v>165656.62999999998</v>
      </c>
      <c r="AI3410" s="46">
        <v>6.3470000000000004</v>
      </c>
      <c r="AJ3410" s="46">
        <v>50</v>
      </c>
      <c r="AK3410" s="46">
        <v>22200</v>
      </c>
      <c r="AL3410" s="46">
        <v>143498.78200000001</v>
      </c>
      <c r="AM3410" s="46">
        <v>6.4640000000000004</v>
      </c>
      <c r="AN3410" s="46" t="s">
        <v>63</v>
      </c>
      <c r="AO3410" s="46">
        <v>3900</v>
      </c>
      <c r="AP3410" s="46">
        <v>22157.848000000002</v>
      </c>
      <c r="AQ3410" s="46">
        <v>5.681</v>
      </c>
      <c r="AR3410" s="46">
        <v>2597.4</v>
      </c>
      <c r="AS3410" s="46">
        <v>52</v>
      </c>
      <c r="AT3410" s="46">
        <v>26100</v>
      </c>
      <c r="AU3410" s="46">
        <v>165656.62999999998</v>
      </c>
      <c r="AV3410" s="46">
        <v>6.3470000000000004</v>
      </c>
      <c r="AW3410" s="46">
        <v>59</v>
      </c>
      <c r="AX3410" s="46">
        <v>25700</v>
      </c>
      <c r="AY3410" s="46">
        <v>165953.158</v>
      </c>
      <c r="AZ3410" s="46">
        <v>6.4569999999999999</v>
      </c>
      <c r="BA3410" s="46" t="s">
        <v>63</v>
      </c>
      <c r="BB3410" s="46">
        <v>400</v>
      </c>
      <c r="BC3410" s="46">
        <v>296.52800000000002</v>
      </c>
      <c r="BD3410" s="46">
        <v>0.74099999999999999</v>
      </c>
      <c r="BE3410" s="46">
        <v>2827</v>
      </c>
      <c r="BF3410" s="46">
        <v>0</v>
      </c>
      <c r="BH3410" s="46">
        <v>22454.375999999989</v>
      </c>
      <c r="BI3410">
        <v>6.42</v>
      </c>
      <c r="BJ3410">
        <v>-21861.320000000003</v>
      </c>
      <c r="BK3410">
        <v>-6.25</v>
      </c>
      <c r="BL3410">
        <v>390.59</v>
      </c>
    </row>
    <row r="3411" spans="1:64" x14ac:dyDescent="0.25">
      <c r="A3411" s="136">
        <v>43571</v>
      </c>
      <c r="B3411" t="s">
        <v>79</v>
      </c>
      <c r="C3411" t="s">
        <v>143</v>
      </c>
      <c r="D3411">
        <v>10020</v>
      </c>
      <c r="E3411">
        <v>10020</v>
      </c>
      <c r="F3411">
        <v>10.696</v>
      </c>
      <c r="G3411">
        <v>-15787.23</v>
      </c>
      <c r="H3411">
        <v>-14.73</v>
      </c>
      <c r="I3411">
        <v>91382.399999999994</v>
      </c>
      <c r="J3411">
        <v>9.1199999999999992</v>
      </c>
      <c r="K3411" s="133">
        <v>0.16618613136230387</v>
      </c>
      <c r="L3411" s="181">
        <v>1241.6800000000003</v>
      </c>
      <c r="M3411" s="133">
        <v>0.19489645937543226</v>
      </c>
      <c r="N3411" s="73">
        <v>-15806.04000000027</v>
      </c>
      <c r="O3411" s="73">
        <v>-1732.251861842135</v>
      </c>
      <c r="P3411" s="182">
        <v>8</v>
      </c>
      <c r="Q3411" s="182">
        <v>6420</v>
      </c>
      <c r="R3411" s="46">
        <v>4.6740000000000004</v>
      </c>
      <c r="S3411" s="46">
        <v>0</v>
      </c>
      <c r="T3411" s="46">
        <v>0</v>
      </c>
      <c r="U3411" s="46">
        <v>0</v>
      </c>
      <c r="V3411" s="46" t="s">
        <v>62</v>
      </c>
      <c r="W3411" s="46">
        <v>6420</v>
      </c>
      <c r="X3411" s="46">
        <v>4.6740000000000004</v>
      </c>
      <c r="AF3411" s="46">
        <v>35</v>
      </c>
      <c r="AG3411" s="46">
        <v>18000</v>
      </c>
      <c r="AH3411" s="46">
        <v>262835.79999999981</v>
      </c>
      <c r="AI3411" s="46">
        <v>14.602</v>
      </c>
      <c r="AJ3411" s="46">
        <v>36</v>
      </c>
      <c r="AK3411" s="46">
        <v>14400</v>
      </c>
      <c r="AL3411" s="46">
        <v>185696.2119999998</v>
      </c>
      <c r="AM3411" s="46">
        <v>12.896000000000001</v>
      </c>
      <c r="AN3411" s="46" t="s">
        <v>63</v>
      </c>
      <c r="AO3411" s="46">
        <v>3600</v>
      </c>
      <c r="AP3411" s="46">
        <v>77139.588000000003</v>
      </c>
      <c r="AQ3411" s="46">
        <v>21.428000000000001</v>
      </c>
      <c r="AR3411" s="46">
        <v>-24566.400000000001</v>
      </c>
      <c r="AS3411" s="46">
        <v>43</v>
      </c>
      <c r="AT3411" s="46">
        <v>24420</v>
      </c>
      <c r="AU3411" s="46">
        <v>292884.65199999971</v>
      </c>
      <c r="AV3411" s="46">
        <v>11.994</v>
      </c>
      <c r="AW3411" s="46">
        <v>36</v>
      </c>
      <c r="AX3411" s="46">
        <v>14400</v>
      </c>
      <c r="AY3411" s="46">
        <v>185696.2119999998</v>
      </c>
      <c r="AZ3411" s="46">
        <v>12.896000000000001</v>
      </c>
      <c r="BA3411" s="46" t="s">
        <v>63</v>
      </c>
      <c r="BB3411" s="46">
        <v>10020</v>
      </c>
      <c r="BC3411" s="46">
        <v>107188.44</v>
      </c>
      <c r="BD3411" s="46">
        <v>10.696999999999999</v>
      </c>
      <c r="BE3411" s="46">
        <v>12988.8</v>
      </c>
      <c r="BF3411" s="46">
        <v>30048.851999999897</v>
      </c>
      <c r="BG3411" s="46">
        <v>4.68</v>
      </c>
      <c r="BH3411" s="46">
        <v>0</v>
      </c>
      <c r="BJ3411">
        <v>30048.851999999999</v>
      </c>
      <c r="BK3411">
        <v>4.68</v>
      </c>
      <c r="BL3411">
        <v>-2693.68</v>
      </c>
    </row>
    <row r="3412" spans="1:64" x14ac:dyDescent="0.25">
      <c r="A3412" s="136">
        <v>43571</v>
      </c>
      <c r="B3412" t="s">
        <v>65</v>
      </c>
      <c r="C3412" t="s">
        <v>127</v>
      </c>
      <c r="D3412">
        <v>20300</v>
      </c>
      <c r="E3412">
        <v>19800</v>
      </c>
      <c r="F3412">
        <v>8.8640000000000008</v>
      </c>
      <c r="G3412">
        <v>4785</v>
      </c>
      <c r="H3412">
        <v>2.66</v>
      </c>
      <c r="I3412">
        <v>184730</v>
      </c>
      <c r="J3412">
        <v>9.1</v>
      </c>
      <c r="K3412" s="133">
        <v>0.33594613455718381</v>
      </c>
      <c r="L3412" s="181">
        <v>2947.37</v>
      </c>
      <c r="M3412" s="133">
        <v>0.32724423311260997</v>
      </c>
      <c r="N3412" s="73">
        <v>-106.41300000008778</v>
      </c>
      <c r="O3412" s="73">
        <v>460.09403856116603</v>
      </c>
      <c r="P3412" s="182">
        <v>4</v>
      </c>
      <c r="Q3412" s="182">
        <v>2000</v>
      </c>
      <c r="R3412" s="46">
        <v>8.0399999999999991</v>
      </c>
      <c r="S3412" s="46">
        <v>9</v>
      </c>
      <c r="T3412" s="46">
        <v>3600</v>
      </c>
      <c r="U3412" s="46">
        <v>8.4909999999999997</v>
      </c>
      <c r="V3412" s="46" t="s">
        <v>68</v>
      </c>
      <c r="W3412" s="46">
        <v>1600</v>
      </c>
      <c r="X3412" s="46">
        <v>9.0549999999999997</v>
      </c>
      <c r="AF3412" s="46">
        <v>230</v>
      </c>
      <c r="AG3412" s="46">
        <v>124000</v>
      </c>
      <c r="AH3412" s="46">
        <v>1328256.6810000001</v>
      </c>
      <c r="AI3412" s="46">
        <v>10.712</v>
      </c>
      <c r="AJ3412" s="46">
        <v>260</v>
      </c>
      <c r="AK3412" s="46">
        <v>111300</v>
      </c>
      <c r="AL3412" s="46">
        <v>1129783.834</v>
      </c>
      <c r="AM3412" s="46">
        <v>10.151</v>
      </c>
      <c r="AN3412" s="46" t="s">
        <v>63</v>
      </c>
      <c r="AO3412" s="46">
        <v>12700</v>
      </c>
      <c r="AP3412" s="46">
        <v>198472.84700000001</v>
      </c>
      <c r="AQ3412" s="46">
        <v>15.628</v>
      </c>
      <c r="AR3412" s="46">
        <v>-62439.3</v>
      </c>
      <c r="AS3412" s="46">
        <v>235</v>
      </c>
      <c r="AT3412" s="46">
        <v>126100</v>
      </c>
      <c r="AU3412" s="46">
        <v>1345644.6810000001</v>
      </c>
      <c r="AV3412" s="46">
        <v>10.670999999999999</v>
      </c>
      <c r="AW3412" s="46">
        <v>269</v>
      </c>
      <c r="AX3412" s="46">
        <v>114900</v>
      </c>
      <c r="AY3412" s="46">
        <v>1160276.2660000001</v>
      </c>
      <c r="AZ3412" s="46">
        <v>10.098000000000001</v>
      </c>
      <c r="BA3412" s="46" t="s">
        <v>63</v>
      </c>
      <c r="BB3412" s="46">
        <v>11200</v>
      </c>
      <c r="BC3412" s="46">
        <v>185368.41500000001</v>
      </c>
      <c r="BD3412" s="46">
        <v>16.550999999999998</v>
      </c>
      <c r="BE3412" s="46">
        <v>-65837.7</v>
      </c>
      <c r="BF3412" s="46">
        <v>17388</v>
      </c>
      <c r="BG3412" s="46">
        <v>8.69</v>
      </c>
      <c r="BH3412" s="46">
        <v>30492.43200000003</v>
      </c>
      <c r="BI3412">
        <v>8.4700000000000006</v>
      </c>
      <c r="BJ3412">
        <v>-13104.432000000001</v>
      </c>
      <c r="BK3412">
        <v>-8.19</v>
      </c>
      <c r="BL3412">
        <v>-6861.46</v>
      </c>
    </row>
    <row r="3413" spans="1:64" x14ac:dyDescent="0.25">
      <c r="A3413" s="136">
        <v>43571</v>
      </c>
      <c r="B3413" t="s">
        <v>77</v>
      </c>
      <c r="C3413" t="s">
        <v>150</v>
      </c>
      <c r="D3413">
        <v>5000</v>
      </c>
      <c r="E3413">
        <v>5000</v>
      </c>
      <c r="F3413">
        <v>5.4909999999999997</v>
      </c>
      <c r="G3413">
        <v>-1605.95</v>
      </c>
      <c r="H3413">
        <v>-5.85</v>
      </c>
      <c r="I3413">
        <v>25850</v>
      </c>
      <c r="J3413">
        <v>5.17</v>
      </c>
      <c r="K3413" s="133">
        <v>4.7010272171835663E-2</v>
      </c>
      <c r="L3413" s="181">
        <v>1866.95</v>
      </c>
      <c r="M3413" s="133">
        <v>4.9930819428870843E-2</v>
      </c>
      <c r="N3413" s="73">
        <v>-2310.8940000000039</v>
      </c>
      <c r="O3413" s="73">
        <v>-352.82427933723278</v>
      </c>
      <c r="P3413" s="182">
        <v>5</v>
      </c>
      <c r="Q3413" s="182">
        <v>2500</v>
      </c>
      <c r="R3413" s="46">
        <v>4.266</v>
      </c>
      <c r="S3413" s="46">
        <v>0</v>
      </c>
      <c r="T3413" s="46">
        <v>0</v>
      </c>
      <c r="U3413" s="46">
        <v>0</v>
      </c>
      <c r="V3413" s="46" t="s">
        <v>62</v>
      </c>
      <c r="W3413" s="46">
        <v>2500</v>
      </c>
      <c r="X3413" s="46">
        <v>4.266</v>
      </c>
      <c r="AF3413" s="46">
        <v>51</v>
      </c>
      <c r="AG3413" s="46">
        <v>25500</v>
      </c>
      <c r="AH3413" s="46">
        <v>175539</v>
      </c>
      <c r="AI3413" s="46">
        <v>6.8840000000000003</v>
      </c>
      <c r="AJ3413" s="46">
        <v>51</v>
      </c>
      <c r="AK3413" s="46">
        <v>23000</v>
      </c>
      <c r="AL3413" s="46">
        <v>158480.10600000003</v>
      </c>
      <c r="AM3413" s="46">
        <v>6.89</v>
      </c>
      <c r="AN3413" s="46" t="s">
        <v>63</v>
      </c>
      <c r="AO3413" s="46">
        <v>2500</v>
      </c>
      <c r="AP3413" s="46">
        <v>17058.894</v>
      </c>
      <c r="AQ3413" s="46">
        <v>6.8239999999999998</v>
      </c>
      <c r="AR3413" s="46">
        <v>138</v>
      </c>
      <c r="AS3413" s="46">
        <v>56</v>
      </c>
      <c r="AT3413" s="46">
        <v>28000</v>
      </c>
      <c r="AU3413" s="46">
        <v>185941</v>
      </c>
      <c r="AV3413" s="46">
        <v>6.641</v>
      </c>
      <c r="AW3413" s="46">
        <v>51</v>
      </c>
      <c r="AX3413" s="46">
        <v>23000</v>
      </c>
      <c r="AY3413" s="46">
        <v>158480.10600000003</v>
      </c>
      <c r="AZ3413" s="46">
        <v>6.89</v>
      </c>
      <c r="BA3413" s="46" t="s">
        <v>63</v>
      </c>
      <c r="BB3413" s="46">
        <v>5000</v>
      </c>
      <c r="BC3413" s="46">
        <v>27460.894</v>
      </c>
      <c r="BD3413" s="46">
        <v>5.492</v>
      </c>
      <c r="BE3413" s="46">
        <v>5727</v>
      </c>
      <c r="BF3413" s="46">
        <v>10402</v>
      </c>
      <c r="BG3413" s="46">
        <v>4.16</v>
      </c>
      <c r="BH3413" s="46">
        <v>0</v>
      </c>
      <c r="BJ3413">
        <v>10402</v>
      </c>
      <c r="BK3413">
        <v>4.16</v>
      </c>
      <c r="BL3413">
        <v>26.69</v>
      </c>
    </row>
    <row r="3414" spans="1:64" x14ac:dyDescent="0.25">
      <c r="A3414" s="136">
        <v>43571</v>
      </c>
      <c r="B3414" t="s">
        <v>67</v>
      </c>
      <c r="C3414" t="s">
        <v>129</v>
      </c>
      <c r="D3414">
        <v>230</v>
      </c>
      <c r="E3414">
        <v>230</v>
      </c>
      <c r="F3414">
        <v>-11.728999999999999</v>
      </c>
      <c r="G3414">
        <v>4572.17</v>
      </c>
      <c r="H3414">
        <v>0</v>
      </c>
      <c r="I3414">
        <v>1874.5</v>
      </c>
      <c r="J3414">
        <v>8.15</v>
      </c>
      <c r="K3414" s="133">
        <v>3.4089266996559361E-3</v>
      </c>
      <c r="L3414" s="181">
        <v>57.5</v>
      </c>
      <c r="M3414" s="133">
        <v>0</v>
      </c>
      <c r="N3414" s="73">
        <v>4362.583499999957</v>
      </c>
      <c r="O3414" s="73">
        <v>600.60636477272476</v>
      </c>
      <c r="P3414" s="182">
        <v>1</v>
      </c>
      <c r="Q3414" s="182">
        <v>30</v>
      </c>
      <c r="R3414" s="46">
        <v>0</v>
      </c>
      <c r="S3414" s="46">
        <v>24</v>
      </c>
      <c r="T3414" s="46">
        <v>9600</v>
      </c>
      <c r="U3414" s="46">
        <v>8.9429999999999996</v>
      </c>
      <c r="V3414" s="46" t="s">
        <v>68</v>
      </c>
      <c r="W3414" s="46">
        <v>9570</v>
      </c>
      <c r="X3414" s="46">
        <v>8.9710000000000001</v>
      </c>
      <c r="AF3414" s="46">
        <v>193</v>
      </c>
      <c r="AG3414" s="46">
        <v>95500</v>
      </c>
      <c r="AH3414" s="46">
        <v>795318</v>
      </c>
      <c r="AI3414" s="46">
        <v>8.3279999999999994</v>
      </c>
      <c r="AJ3414" s="46">
        <v>197</v>
      </c>
      <c r="AK3414" s="46">
        <v>88300</v>
      </c>
      <c r="AL3414" s="46">
        <v>781491.25550000009</v>
      </c>
      <c r="AM3414" s="46">
        <v>8.85</v>
      </c>
      <c r="AN3414" s="46" t="s">
        <v>63</v>
      </c>
      <c r="AO3414" s="46">
        <v>7200</v>
      </c>
      <c r="AP3414" s="46">
        <v>13826.744000000001</v>
      </c>
      <c r="AQ3414" s="46">
        <v>1.92</v>
      </c>
      <c r="AR3414" s="46">
        <v>46092.6</v>
      </c>
      <c r="AS3414" s="46">
        <v>194</v>
      </c>
      <c r="AT3414" s="46">
        <v>95530</v>
      </c>
      <c r="AU3414" s="46">
        <v>795323</v>
      </c>
      <c r="AV3414" s="46">
        <v>8.3249999999999993</v>
      </c>
      <c r="AW3414" s="46">
        <v>221</v>
      </c>
      <c r="AX3414" s="46">
        <v>97900</v>
      </c>
      <c r="AY3414" s="46">
        <v>867143.89950000017</v>
      </c>
      <c r="AZ3414" s="46">
        <v>8.8569999999999993</v>
      </c>
      <c r="BA3414" s="46" t="s">
        <v>69</v>
      </c>
      <c r="BB3414" s="46">
        <v>2370</v>
      </c>
      <c r="BC3414" s="46">
        <v>71820.899999999994</v>
      </c>
      <c r="BD3414" s="46">
        <v>30.303999999999998</v>
      </c>
      <c r="BE3414" s="46">
        <v>50821.96</v>
      </c>
      <c r="BF3414" s="46">
        <v>5</v>
      </c>
      <c r="BG3414" s="46">
        <v>0.17</v>
      </c>
      <c r="BH3414" s="46">
        <v>85652.644000000088</v>
      </c>
      <c r="BI3414">
        <v>8.92</v>
      </c>
      <c r="BJ3414">
        <v>57994.155999999995</v>
      </c>
      <c r="BK3414">
        <v>6.06</v>
      </c>
      <c r="BL3414">
        <v>5655.53</v>
      </c>
    </row>
    <row r="3415" spans="1:64" x14ac:dyDescent="0.25">
      <c r="A3415" s="136">
        <v>43571</v>
      </c>
      <c r="B3415" t="s">
        <v>78</v>
      </c>
      <c r="C3415" t="s">
        <v>142</v>
      </c>
      <c r="D3415">
        <v>200</v>
      </c>
      <c r="E3415">
        <v>200</v>
      </c>
      <c r="F3415">
        <v>2.077</v>
      </c>
      <c r="G3415">
        <v>1838.65</v>
      </c>
      <c r="H3415">
        <v>442.62</v>
      </c>
      <c r="I3415">
        <v>2254</v>
      </c>
      <c r="J3415">
        <v>11.27</v>
      </c>
      <c r="K3415" s="133">
        <v>4.0990775038807579E-3</v>
      </c>
      <c r="L3415" s="181">
        <v>48</v>
      </c>
      <c r="M3415" s="133">
        <v>7.5534686833933994E-4</v>
      </c>
      <c r="N3415" s="73">
        <v>1454.650999999996</v>
      </c>
      <c r="O3415" s="73">
        <v>155.49985823529371</v>
      </c>
      <c r="P3415" s="182">
        <v>0</v>
      </c>
      <c r="Q3415" s="182">
        <v>0</v>
      </c>
      <c r="R3415" s="46">
        <v>0</v>
      </c>
      <c r="S3415" s="46">
        <v>3</v>
      </c>
      <c r="T3415" s="46">
        <v>1200</v>
      </c>
      <c r="U3415" s="46">
        <v>9.923</v>
      </c>
      <c r="V3415" s="46" t="s">
        <v>68</v>
      </c>
      <c r="W3415" s="46">
        <v>1200</v>
      </c>
      <c r="X3415" s="46">
        <v>9.923</v>
      </c>
      <c r="AF3415" s="46">
        <v>14</v>
      </c>
      <c r="AG3415" s="46">
        <v>7000</v>
      </c>
      <c r="AH3415" s="46">
        <v>67625</v>
      </c>
      <c r="AI3415" s="46">
        <v>9.6609999999999996</v>
      </c>
      <c r="AJ3415" s="46">
        <v>15</v>
      </c>
      <c r="AK3415" s="46">
        <v>5600</v>
      </c>
      <c r="AL3415" s="46">
        <v>55310.559000000008</v>
      </c>
      <c r="AM3415" s="46">
        <v>9.8770000000000007</v>
      </c>
      <c r="AN3415" s="46" t="s">
        <v>63</v>
      </c>
      <c r="AO3415" s="46">
        <v>1400</v>
      </c>
      <c r="AP3415" s="46">
        <v>12314.441000000001</v>
      </c>
      <c r="AQ3415" s="46">
        <v>8.7959999999999994</v>
      </c>
      <c r="AR3415" s="46">
        <v>1209.5999999999999</v>
      </c>
      <c r="AS3415" s="46">
        <v>14</v>
      </c>
      <c r="AT3415" s="46">
        <v>7000</v>
      </c>
      <c r="AU3415" s="46">
        <v>67625</v>
      </c>
      <c r="AV3415" s="46">
        <v>9.6609999999999996</v>
      </c>
      <c r="AW3415" s="46">
        <v>18</v>
      </c>
      <c r="AX3415" s="46">
        <v>6800</v>
      </c>
      <c r="AY3415" s="46">
        <v>67209.651000000013</v>
      </c>
      <c r="AZ3415" s="46">
        <v>9.8840000000000003</v>
      </c>
      <c r="BA3415" s="46" t="s">
        <v>63</v>
      </c>
      <c r="BB3415" s="46">
        <v>200</v>
      </c>
      <c r="BC3415" s="46">
        <v>415.34899999999999</v>
      </c>
      <c r="BD3415" s="46">
        <v>2.077</v>
      </c>
      <c r="BE3415" s="46">
        <v>1516.4</v>
      </c>
      <c r="BF3415" s="46">
        <v>0</v>
      </c>
      <c r="BH3415" s="46">
        <v>11899.092000000004</v>
      </c>
      <c r="BI3415">
        <v>9.92</v>
      </c>
      <c r="BJ3415">
        <v>-11899.092000000001</v>
      </c>
      <c r="BK3415">
        <v>-9.92</v>
      </c>
      <c r="BL3415">
        <v>107.33</v>
      </c>
    </row>
    <row r="3416" spans="1:64" x14ac:dyDescent="0.25">
      <c r="A3416" s="136">
        <v>43571</v>
      </c>
      <c r="B3416" t="s">
        <v>72</v>
      </c>
      <c r="C3416" t="s">
        <v>130</v>
      </c>
      <c r="D3416">
        <v>100</v>
      </c>
      <c r="E3416">
        <v>100</v>
      </c>
      <c r="F3416">
        <v>-18.477</v>
      </c>
      <c r="G3416">
        <v>2462.6999999999998</v>
      </c>
      <c r="H3416">
        <v>0</v>
      </c>
      <c r="I3416">
        <v>615</v>
      </c>
      <c r="J3416">
        <v>6.15</v>
      </c>
      <c r="K3416" s="133">
        <v>1.1184262044750071E-3</v>
      </c>
      <c r="L3416" s="181">
        <v>7</v>
      </c>
      <c r="M3416" s="133">
        <v>0</v>
      </c>
      <c r="N3416" s="73">
        <v>-1498.9659999999872</v>
      </c>
      <c r="O3416" s="73">
        <v>376.42007904191922</v>
      </c>
      <c r="P3416" s="182">
        <v>0</v>
      </c>
      <c r="Q3416" s="182">
        <v>0</v>
      </c>
      <c r="R3416" s="46">
        <v>0</v>
      </c>
      <c r="S3416" s="46">
        <v>20</v>
      </c>
      <c r="T3416" s="46">
        <v>8600</v>
      </c>
      <c r="U3416" s="46">
        <v>7.3840000000000003</v>
      </c>
      <c r="V3416" s="46" t="s">
        <v>68</v>
      </c>
      <c r="W3416" s="46">
        <v>8600</v>
      </c>
      <c r="X3416" s="46">
        <v>7.3840000000000003</v>
      </c>
      <c r="AF3416" s="46">
        <v>42</v>
      </c>
      <c r="AG3416" s="46">
        <v>20900</v>
      </c>
      <c r="AH3416" s="46">
        <v>152800</v>
      </c>
      <c r="AI3416" s="46">
        <v>7.3109999999999999</v>
      </c>
      <c r="AJ3416" s="46">
        <v>42</v>
      </c>
      <c r="AK3416" s="46">
        <v>18800</v>
      </c>
      <c r="AL3416" s="46">
        <v>92037.725000000035</v>
      </c>
      <c r="AM3416" s="46">
        <v>4.8959999999999999</v>
      </c>
      <c r="AN3416" s="46" t="s">
        <v>63</v>
      </c>
      <c r="AO3416" s="46">
        <v>2100</v>
      </c>
      <c r="AP3416" s="46">
        <v>60762.275000000001</v>
      </c>
      <c r="AQ3416" s="46">
        <v>28.934000000000001</v>
      </c>
      <c r="AR3416" s="46">
        <v>-45402</v>
      </c>
      <c r="AS3416" s="46">
        <v>42</v>
      </c>
      <c r="AT3416" s="46">
        <v>20900</v>
      </c>
      <c r="AU3416" s="46">
        <v>152800</v>
      </c>
      <c r="AV3416" s="46">
        <v>7.3109999999999999</v>
      </c>
      <c r="AW3416" s="46">
        <v>63</v>
      </c>
      <c r="AX3416" s="46">
        <v>27900</v>
      </c>
      <c r="AY3416" s="46">
        <v>155380.21900000001</v>
      </c>
      <c r="AZ3416" s="46">
        <v>5.569</v>
      </c>
      <c r="BA3416" s="46" t="s">
        <v>69</v>
      </c>
      <c r="BB3416" s="46">
        <v>7000</v>
      </c>
      <c r="BC3416" s="46">
        <v>2580.2190000000001</v>
      </c>
      <c r="BD3416" s="46">
        <v>0.36899999999999999</v>
      </c>
      <c r="BE3416" s="46">
        <v>-36407.800000000003</v>
      </c>
      <c r="BF3416" s="46">
        <v>0</v>
      </c>
      <c r="BH3416" s="46">
        <v>63342.493999999977</v>
      </c>
      <c r="BI3416">
        <v>7.37</v>
      </c>
      <c r="BJ3416">
        <v>-58182.056000000004</v>
      </c>
      <c r="BK3416">
        <v>-6.77</v>
      </c>
      <c r="BL3416">
        <v>-7382.44</v>
      </c>
    </row>
    <row r="3417" spans="1:64" x14ac:dyDescent="0.25">
      <c r="A3417" s="136">
        <v>43571</v>
      </c>
      <c r="B3417" t="s">
        <v>70</v>
      </c>
      <c r="C3417" t="s">
        <v>131</v>
      </c>
      <c r="D3417">
        <v>12400</v>
      </c>
      <c r="E3417">
        <v>12400</v>
      </c>
      <c r="F3417">
        <v>11.19</v>
      </c>
      <c r="G3417">
        <v>-26777.88</v>
      </c>
      <c r="H3417">
        <v>-19.3</v>
      </c>
      <c r="I3417">
        <v>111972</v>
      </c>
      <c r="J3417">
        <v>9.0299999999999994</v>
      </c>
      <c r="K3417" s="133">
        <v>0.20362994954061056</v>
      </c>
      <c r="L3417" s="181">
        <v>4712</v>
      </c>
      <c r="M3417" s="133">
        <v>0.25232764497522386</v>
      </c>
      <c r="N3417" s="73">
        <v>-29261.869000000035</v>
      </c>
      <c r="O3417" s="73">
        <v>-3312.257991562858</v>
      </c>
      <c r="P3417" s="182">
        <v>0</v>
      </c>
      <c r="Q3417" s="182">
        <v>0</v>
      </c>
      <c r="R3417" s="46">
        <v>0</v>
      </c>
      <c r="S3417" s="46">
        <v>5</v>
      </c>
      <c r="T3417" s="46">
        <v>2000</v>
      </c>
      <c r="U3417" s="46">
        <v>8.36</v>
      </c>
      <c r="V3417" s="46" t="s">
        <v>68</v>
      </c>
      <c r="W3417" s="46">
        <v>2000</v>
      </c>
      <c r="X3417" s="46">
        <v>8.36</v>
      </c>
      <c r="AF3417" s="46">
        <v>157</v>
      </c>
      <c r="AG3417" s="46">
        <v>80100</v>
      </c>
      <c r="AH3417" s="46">
        <v>987338</v>
      </c>
      <c r="AI3417" s="46">
        <v>12.326000000000001</v>
      </c>
      <c r="AJ3417" s="46">
        <v>163</v>
      </c>
      <c r="AK3417" s="46">
        <v>65700</v>
      </c>
      <c r="AL3417" s="46">
        <v>831500.85099999967</v>
      </c>
      <c r="AM3417" s="46">
        <v>12.656000000000001</v>
      </c>
      <c r="AN3417" s="46" t="s">
        <v>63</v>
      </c>
      <c r="AO3417" s="46">
        <v>14400</v>
      </c>
      <c r="AP3417" s="46">
        <v>155837.149</v>
      </c>
      <c r="AQ3417" s="46">
        <v>10.821999999999999</v>
      </c>
      <c r="AR3417" s="46">
        <v>21681</v>
      </c>
      <c r="AS3417" s="46">
        <v>157</v>
      </c>
      <c r="AT3417" s="46">
        <v>80100</v>
      </c>
      <c r="AU3417" s="46">
        <v>987338</v>
      </c>
      <c r="AV3417" s="46">
        <v>12.326000000000001</v>
      </c>
      <c r="AW3417" s="46">
        <v>169</v>
      </c>
      <c r="AX3417" s="46">
        <v>67700</v>
      </c>
      <c r="AY3417" s="46">
        <v>848584.1309999997</v>
      </c>
      <c r="AZ3417" s="46">
        <v>12.534000000000001</v>
      </c>
      <c r="BA3417" s="46" t="s">
        <v>63</v>
      </c>
      <c r="BB3417" s="46">
        <v>12400</v>
      </c>
      <c r="BC3417" s="46">
        <v>138753.86900000001</v>
      </c>
      <c r="BD3417" s="46">
        <v>11.19</v>
      </c>
      <c r="BE3417" s="46">
        <v>14081.6</v>
      </c>
      <c r="BF3417" s="46">
        <v>0</v>
      </c>
      <c r="BH3417" s="46">
        <v>17083.280000000028</v>
      </c>
      <c r="BI3417">
        <v>8.5399999999999991</v>
      </c>
      <c r="BJ3417">
        <v>-17083.28</v>
      </c>
      <c r="BK3417">
        <v>-8.5399999999999991</v>
      </c>
      <c r="BL3417">
        <v>2401</v>
      </c>
    </row>
    <row r="3418" spans="1:64" x14ac:dyDescent="0.25">
      <c r="A3418" s="136">
        <v>43571</v>
      </c>
      <c r="B3418" t="s">
        <v>628</v>
      </c>
      <c r="C3418" t="s">
        <v>629</v>
      </c>
      <c r="D3418">
        <v>100</v>
      </c>
      <c r="E3418">
        <v>100</v>
      </c>
      <c r="F3418">
        <v>-22.33</v>
      </c>
      <c r="G3418">
        <v>3661</v>
      </c>
      <c r="H3418">
        <v>0</v>
      </c>
      <c r="I3418">
        <v>1428</v>
      </c>
      <c r="J3418">
        <v>14.28</v>
      </c>
      <c r="K3418" s="133">
        <v>2.5969310894151383E-3</v>
      </c>
      <c r="L3418" s="181">
        <v>23</v>
      </c>
      <c r="M3418" s="133">
        <v>0</v>
      </c>
    </row>
    <row r="3419" spans="1:64" x14ac:dyDescent="0.25">
      <c r="A3419" s="136">
        <v>43571</v>
      </c>
      <c r="B3419" t="s">
        <v>630</v>
      </c>
      <c r="C3419" t="s">
        <v>631</v>
      </c>
      <c r="D3419">
        <v>100</v>
      </c>
      <c r="E3419">
        <v>100</v>
      </c>
      <c r="F3419">
        <v>-94.45</v>
      </c>
      <c r="G3419">
        <v>12492</v>
      </c>
      <c r="H3419">
        <v>0</v>
      </c>
      <c r="I3419">
        <v>3047</v>
      </c>
      <c r="J3419">
        <v>30.47</v>
      </c>
      <c r="K3419" s="133">
        <v>5.5412108049355223E-3</v>
      </c>
      <c r="L3419" s="181">
        <v>-21</v>
      </c>
      <c r="M3419" s="133">
        <v>0</v>
      </c>
    </row>
    <row r="3420" spans="1:64" x14ac:dyDescent="0.25">
      <c r="A3420" s="136">
        <v>43571</v>
      </c>
      <c r="B3420" t="s">
        <v>137</v>
      </c>
      <c r="C3420" t="s">
        <v>149</v>
      </c>
      <c r="D3420">
        <v>100</v>
      </c>
      <c r="E3420">
        <v>100</v>
      </c>
      <c r="F3420">
        <v>-130.86000000000001</v>
      </c>
      <c r="G3420">
        <v>16928</v>
      </c>
      <c r="H3420">
        <v>0</v>
      </c>
      <c r="I3420">
        <v>3842</v>
      </c>
      <c r="J3420">
        <v>38.42</v>
      </c>
      <c r="K3420" s="133">
        <v>6.9869812643788241E-3</v>
      </c>
      <c r="L3420" s="181">
        <v>77</v>
      </c>
      <c r="M3420" s="133">
        <v>0</v>
      </c>
    </row>
    <row r="3421" spans="1:64" x14ac:dyDescent="0.25">
      <c r="A3421" s="136">
        <v>43571</v>
      </c>
      <c r="B3421" t="s">
        <v>835</v>
      </c>
      <c r="C3421" t="s">
        <v>839</v>
      </c>
      <c r="I3421">
        <v>8128.88</v>
      </c>
      <c r="K3421" s="133">
        <v>1.4783012040703732E-2</v>
      </c>
      <c r="L3421" s="181">
        <v>0</v>
      </c>
      <c r="M3421" s="133">
        <v>0.19664100421070191</v>
      </c>
    </row>
    <row r="3422" spans="1:64" x14ac:dyDescent="0.25">
      <c r="A3422" s="136">
        <v>43577</v>
      </c>
      <c r="B3422" t="s">
        <v>132</v>
      </c>
      <c r="C3422" t="s">
        <v>123</v>
      </c>
      <c r="D3422">
        <v>10002123</v>
      </c>
      <c r="E3422">
        <v>10002123</v>
      </c>
      <c r="F3422">
        <v>0.01</v>
      </c>
      <c r="G3422">
        <v>3932.08</v>
      </c>
      <c r="H3422">
        <v>0</v>
      </c>
      <c r="I3422">
        <v>100021.23</v>
      </c>
      <c r="J3422">
        <v>0.01</v>
      </c>
      <c r="K3422" s="133">
        <v>0.18136069108126521</v>
      </c>
      <c r="L3422" s="181">
        <v>21.190000000000055</v>
      </c>
      <c r="M3422" s="133">
        <v>0</v>
      </c>
    </row>
    <row r="3423" spans="1:64" x14ac:dyDescent="0.25">
      <c r="A3423" s="136">
        <v>43577</v>
      </c>
      <c r="B3423" t="s">
        <v>61</v>
      </c>
      <c r="C3423" t="s">
        <v>136</v>
      </c>
      <c r="D3423">
        <v>2000</v>
      </c>
      <c r="E3423">
        <v>2000</v>
      </c>
      <c r="F3423">
        <v>4.9809999999999999</v>
      </c>
      <c r="G3423">
        <v>-441.52</v>
      </c>
      <c r="H3423">
        <v>-4.43</v>
      </c>
      <c r="I3423">
        <v>9520</v>
      </c>
      <c r="J3423">
        <v>4.76</v>
      </c>
      <c r="K3423" s="133">
        <v>1.726187309527832E-2</v>
      </c>
      <c r="L3423" s="181">
        <v>-46.979999999999961</v>
      </c>
      <c r="M3423" s="133">
        <v>1.8062446856730766E-2</v>
      </c>
      <c r="N3423" s="73">
        <v>-285.09300000000439</v>
      </c>
      <c r="O3423" s="73">
        <v>-58.874060640496786</v>
      </c>
      <c r="P3423" s="182">
        <v>8</v>
      </c>
      <c r="Q3423" s="182">
        <v>6420</v>
      </c>
      <c r="R3423" s="46">
        <v>4.6740000000000004</v>
      </c>
      <c r="S3423" s="46">
        <v>0</v>
      </c>
      <c r="T3423" s="46">
        <v>0</v>
      </c>
      <c r="U3423" s="46">
        <v>0</v>
      </c>
      <c r="V3423" s="46" t="s">
        <v>62</v>
      </c>
      <c r="W3423" s="46">
        <v>6420</v>
      </c>
      <c r="X3423" s="46">
        <v>4.6740000000000004</v>
      </c>
      <c r="AF3423" s="46">
        <v>21</v>
      </c>
      <c r="AG3423" s="46">
        <v>10500</v>
      </c>
      <c r="AH3423" s="46">
        <v>52226.3</v>
      </c>
      <c r="AI3423" s="46">
        <v>4.9740000000000002</v>
      </c>
      <c r="AJ3423" s="46">
        <v>21</v>
      </c>
      <c r="AK3423" s="46">
        <v>8500</v>
      </c>
      <c r="AL3423" s="46">
        <v>42261.206999999988</v>
      </c>
      <c r="AM3423" s="46">
        <v>4.9720000000000004</v>
      </c>
      <c r="AN3423" s="46" t="s">
        <v>63</v>
      </c>
      <c r="AO3423" s="46">
        <v>2000</v>
      </c>
      <c r="AP3423" s="46">
        <v>9965.0930000000008</v>
      </c>
      <c r="AQ3423" s="46">
        <v>4.9829999999999997</v>
      </c>
      <c r="AR3423" s="46">
        <v>-17</v>
      </c>
      <c r="AS3423" s="46">
        <v>21</v>
      </c>
      <c r="AT3423" s="46">
        <v>10500</v>
      </c>
      <c r="AU3423" s="46">
        <v>52226.3</v>
      </c>
      <c r="AV3423" s="46">
        <v>4.9740000000000002</v>
      </c>
      <c r="AW3423" s="46">
        <v>21</v>
      </c>
      <c r="AX3423" s="46">
        <v>8500</v>
      </c>
      <c r="AY3423" s="46">
        <v>42261.206999999988</v>
      </c>
      <c r="AZ3423" s="46">
        <v>4.9720000000000004</v>
      </c>
      <c r="BA3423" s="46" t="s">
        <v>63</v>
      </c>
      <c r="BB3423" s="46">
        <v>2000</v>
      </c>
      <c r="BC3423" s="46">
        <v>9965.0930000000008</v>
      </c>
      <c r="BD3423" s="46">
        <v>4.9829999999999997</v>
      </c>
      <c r="BE3423" s="46">
        <v>-17</v>
      </c>
      <c r="BF3423" s="46">
        <v>0</v>
      </c>
      <c r="BG3423" s="46">
        <v>0</v>
      </c>
      <c r="BH3423" s="46">
        <v>0</v>
      </c>
      <c r="BJ3423">
        <v>0</v>
      </c>
      <c r="BK3423">
        <v>0</v>
      </c>
      <c r="BL3423">
        <v>-3.57</v>
      </c>
    </row>
    <row r="3424" spans="1:64" x14ac:dyDescent="0.25">
      <c r="A3424" s="136">
        <v>43577</v>
      </c>
      <c r="B3424" t="s">
        <v>124</v>
      </c>
      <c r="C3424" t="s">
        <v>125</v>
      </c>
      <c r="D3424">
        <v>100</v>
      </c>
      <c r="E3424">
        <v>100</v>
      </c>
      <c r="F3424">
        <v>-53.82</v>
      </c>
      <c r="G3424">
        <v>5965</v>
      </c>
      <c r="H3424">
        <v>0</v>
      </c>
      <c r="I3424">
        <v>583</v>
      </c>
      <c r="J3424">
        <v>5.83</v>
      </c>
      <c r="K3424" s="133">
        <v>1.0571084048894182E-3</v>
      </c>
      <c r="L3424" s="181">
        <v>-17</v>
      </c>
      <c r="M3424" s="133">
        <v>0</v>
      </c>
      <c r="N3424" s="73">
        <v>5573.0690000000113</v>
      </c>
      <c r="O3424" s="73">
        <v>1102.4501845505636</v>
      </c>
      <c r="P3424" s="182">
        <v>0</v>
      </c>
      <c r="Q3424" s="182">
        <v>0</v>
      </c>
      <c r="R3424" s="46">
        <v>0</v>
      </c>
      <c r="S3424" s="46">
        <v>5</v>
      </c>
      <c r="T3424" s="46">
        <v>2300</v>
      </c>
      <c r="U3424" s="46">
        <v>4.99</v>
      </c>
      <c r="V3424" s="46" t="s">
        <v>68</v>
      </c>
      <c r="W3424" s="46">
        <v>2300</v>
      </c>
      <c r="X3424" s="46">
        <v>4.99</v>
      </c>
      <c r="AF3424" s="46">
        <v>50</v>
      </c>
      <c r="AG3424" s="46">
        <v>36700</v>
      </c>
      <c r="AH3424" s="46">
        <v>180101.02000000002</v>
      </c>
      <c r="AI3424" s="46">
        <v>4.907</v>
      </c>
      <c r="AJ3424" s="46">
        <v>58</v>
      </c>
      <c r="AK3424" s="46">
        <v>35300</v>
      </c>
      <c r="AL3424" s="46">
        <v>178266.546</v>
      </c>
      <c r="AM3424" s="46">
        <v>5.05</v>
      </c>
      <c r="AN3424" s="46" t="s">
        <v>63</v>
      </c>
      <c r="AO3424" s="46">
        <v>1400</v>
      </c>
      <c r="AP3424" s="46">
        <v>1834.4739999999999</v>
      </c>
      <c r="AQ3424" s="46">
        <v>1.31</v>
      </c>
      <c r="AR3424" s="46">
        <v>5047.8999999999996</v>
      </c>
      <c r="AS3424" s="46">
        <v>51</v>
      </c>
      <c r="AT3424" s="46">
        <v>37700</v>
      </c>
      <c r="AU3424" s="46">
        <v>185106.62</v>
      </c>
      <c r="AV3424" s="46">
        <v>4.91</v>
      </c>
      <c r="AW3424" s="46">
        <v>63</v>
      </c>
      <c r="AX3424" s="46">
        <v>37600</v>
      </c>
      <c r="AY3424" s="46">
        <v>189713.68900000001</v>
      </c>
      <c r="AZ3424" s="46">
        <v>5.0460000000000003</v>
      </c>
      <c r="BA3424" s="46" t="s">
        <v>63</v>
      </c>
      <c r="BB3424" s="46">
        <v>100</v>
      </c>
      <c r="BC3424" s="46">
        <v>4607.0690000000004</v>
      </c>
      <c r="BD3424" s="46">
        <v>46.070999999999998</v>
      </c>
      <c r="BE3424" s="46">
        <v>5113.6000000000004</v>
      </c>
      <c r="BF3424" s="46">
        <v>5005.5999999999767</v>
      </c>
      <c r="BH3424" s="46">
        <v>11447.143000000011</v>
      </c>
      <c r="BI3424">
        <v>4.9800000000000004</v>
      </c>
      <c r="BJ3424">
        <v>2772.5950000000003</v>
      </c>
      <c r="BK3424">
        <v>1.21</v>
      </c>
      <c r="BL3424">
        <v>865.85</v>
      </c>
    </row>
    <row r="3425" spans="1:64" x14ac:dyDescent="0.25">
      <c r="A3425" s="136">
        <v>43577</v>
      </c>
      <c r="B3425" t="s">
        <v>71</v>
      </c>
      <c r="C3425" t="s">
        <v>126</v>
      </c>
      <c r="D3425">
        <v>400</v>
      </c>
      <c r="E3425">
        <v>400</v>
      </c>
      <c r="F3425">
        <v>-1.159</v>
      </c>
      <c r="G3425">
        <v>3027.6</v>
      </c>
      <c r="H3425">
        <v>0</v>
      </c>
      <c r="I3425">
        <v>2564</v>
      </c>
      <c r="J3425">
        <v>6.41</v>
      </c>
      <c r="K3425" s="133">
        <v>4.6491011151568919E-3</v>
      </c>
      <c r="L3425" s="181">
        <v>-96</v>
      </c>
      <c r="M3425" s="133">
        <v>0</v>
      </c>
      <c r="N3425" s="73">
        <v>3004.4280000000053</v>
      </c>
      <c r="O3425" s="73">
        <v>469.32874407294918</v>
      </c>
      <c r="P3425" s="182">
        <v>0</v>
      </c>
      <c r="Q3425" s="182">
        <v>0</v>
      </c>
      <c r="R3425" s="46">
        <v>0</v>
      </c>
      <c r="S3425" s="46">
        <v>9</v>
      </c>
      <c r="T3425" s="46">
        <v>3500</v>
      </c>
      <c r="U3425" s="46">
        <v>6.4349999999999996</v>
      </c>
      <c r="V3425" s="46" t="s">
        <v>68</v>
      </c>
      <c r="W3425" s="46">
        <v>3500</v>
      </c>
      <c r="X3425" s="46">
        <v>6.4349999999999996</v>
      </c>
      <c r="AF3425" s="46">
        <v>52</v>
      </c>
      <c r="AG3425" s="46">
        <v>26100</v>
      </c>
      <c r="AH3425" s="46">
        <v>165656.62999999998</v>
      </c>
      <c r="AI3425" s="46">
        <v>6.3470000000000004</v>
      </c>
      <c r="AJ3425" s="46">
        <v>50</v>
      </c>
      <c r="AK3425" s="46">
        <v>22200</v>
      </c>
      <c r="AL3425" s="46">
        <v>143498.78200000001</v>
      </c>
      <c r="AM3425" s="46">
        <v>6.4640000000000004</v>
      </c>
      <c r="AN3425" s="46" t="s">
        <v>63</v>
      </c>
      <c r="AO3425" s="46">
        <v>3900</v>
      </c>
      <c r="AP3425" s="46">
        <v>22157.848000000002</v>
      </c>
      <c r="AQ3425" s="46">
        <v>5.681</v>
      </c>
      <c r="AR3425" s="46">
        <v>2597.4</v>
      </c>
      <c r="AS3425" s="46">
        <v>52</v>
      </c>
      <c r="AT3425" s="46">
        <v>26100</v>
      </c>
      <c r="AU3425" s="46">
        <v>165656.62999999998</v>
      </c>
      <c r="AV3425" s="46">
        <v>6.3470000000000004</v>
      </c>
      <c r="AW3425" s="46">
        <v>59</v>
      </c>
      <c r="AX3425" s="46">
        <v>25700</v>
      </c>
      <c r="AY3425" s="46">
        <v>165953.158</v>
      </c>
      <c r="AZ3425" s="46">
        <v>6.4569999999999999</v>
      </c>
      <c r="BA3425" s="46" t="s">
        <v>63</v>
      </c>
      <c r="BB3425" s="46">
        <v>400</v>
      </c>
      <c r="BC3425" s="46">
        <v>296.52800000000002</v>
      </c>
      <c r="BD3425" s="46">
        <v>0.74099999999999999</v>
      </c>
      <c r="BE3425" s="46">
        <v>2827</v>
      </c>
      <c r="BF3425" s="46">
        <v>0</v>
      </c>
      <c r="BH3425" s="46">
        <v>22454.375999999989</v>
      </c>
      <c r="BI3425">
        <v>6.42</v>
      </c>
      <c r="BJ3425">
        <v>-21861.320000000003</v>
      </c>
      <c r="BK3425">
        <v>-6.25</v>
      </c>
      <c r="BL3425">
        <v>405.21</v>
      </c>
    </row>
    <row r="3426" spans="1:64" x14ac:dyDescent="0.25">
      <c r="A3426" s="136">
        <v>43577</v>
      </c>
      <c r="B3426" t="s">
        <v>79</v>
      </c>
      <c r="C3426" t="s">
        <v>143</v>
      </c>
      <c r="D3426">
        <v>10020</v>
      </c>
      <c r="E3426">
        <v>10020</v>
      </c>
      <c r="F3426">
        <v>10.696</v>
      </c>
      <c r="G3426">
        <v>-18292.23</v>
      </c>
      <c r="H3426">
        <v>-17.07</v>
      </c>
      <c r="I3426">
        <v>88877.4</v>
      </c>
      <c r="J3426">
        <v>8.8699999999999992</v>
      </c>
      <c r="K3426" s="133">
        <v>0.1611544537645262</v>
      </c>
      <c r="L3426" s="181">
        <v>-2505</v>
      </c>
      <c r="M3426" s="133">
        <v>0.19432232696721977</v>
      </c>
      <c r="N3426" s="73">
        <v>-15806.04000000027</v>
      </c>
      <c r="O3426" s="73">
        <v>-1732.251861842135</v>
      </c>
      <c r="P3426" s="182">
        <v>8</v>
      </c>
      <c r="Q3426" s="182">
        <v>6420</v>
      </c>
      <c r="R3426" s="46">
        <v>4.6740000000000004</v>
      </c>
      <c r="S3426" s="46">
        <v>0</v>
      </c>
      <c r="T3426" s="46">
        <v>0</v>
      </c>
      <c r="U3426" s="46">
        <v>0</v>
      </c>
      <c r="V3426" s="46" t="s">
        <v>62</v>
      </c>
      <c r="W3426" s="46">
        <v>6420</v>
      </c>
      <c r="X3426" s="46">
        <v>4.6740000000000004</v>
      </c>
      <c r="AF3426" s="46">
        <v>35</v>
      </c>
      <c r="AG3426" s="46">
        <v>18000</v>
      </c>
      <c r="AH3426" s="46">
        <v>262835.79999999981</v>
      </c>
      <c r="AI3426" s="46">
        <v>14.602</v>
      </c>
      <c r="AJ3426" s="46">
        <v>36</v>
      </c>
      <c r="AK3426" s="46">
        <v>14400</v>
      </c>
      <c r="AL3426" s="46">
        <v>185696.2119999998</v>
      </c>
      <c r="AM3426" s="46">
        <v>12.896000000000001</v>
      </c>
      <c r="AN3426" s="46" t="s">
        <v>63</v>
      </c>
      <c r="AO3426" s="46">
        <v>3600</v>
      </c>
      <c r="AP3426" s="46">
        <v>77139.588000000003</v>
      </c>
      <c r="AQ3426" s="46">
        <v>21.428000000000001</v>
      </c>
      <c r="AR3426" s="46">
        <v>-24566.400000000001</v>
      </c>
      <c r="AS3426" s="46">
        <v>43</v>
      </c>
      <c r="AT3426" s="46">
        <v>24420</v>
      </c>
      <c r="AU3426" s="46">
        <v>292884.65199999971</v>
      </c>
      <c r="AV3426" s="46">
        <v>11.994</v>
      </c>
      <c r="AW3426" s="46">
        <v>36</v>
      </c>
      <c r="AX3426" s="46">
        <v>14400</v>
      </c>
      <c r="AY3426" s="46">
        <v>185696.2119999998</v>
      </c>
      <c r="AZ3426" s="46">
        <v>12.896000000000001</v>
      </c>
      <c r="BA3426" s="46" t="s">
        <v>63</v>
      </c>
      <c r="BB3426" s="46">
        <v>10020</v>
      </c>
      <c r="BC3426" s="46">
        <v>107188.44</v>
      </c>
      <c r="BD3426" s="46">
        <v>10.696999999999999</v>
      </c>
      <c r="BE3426" s="46">
        <v>12988.8</v>
      </c>
      <c r="BF3426" s="46">
        <v>30048.851999999897</v>
      </c>
      <c r="BG3426" s="46">
        <v>4.68</v>
      </c>
      <c r="BH3426" s="46">
        <v>0</v>
      </c>
      <c r="BJ3426">
        <v>30048.851999999999</v>
      </c>
      <c r="BK3426">
        <v>4.68</v>
      </c>
      <c r="BL3426">
        <v>-2769.61</v>
      </c>
    </row>
    <row r="3427" spans="1:64" x14ac:dyDescent="0.25">
      <c r="A3427" s="136">
        <v>43577</v>
      </c>
      <c r="B3427" t="s">
        <v>65</v>
      </c>
      <c r="C3427" t="s">
        <v>127</v>
      </c>
      <c r="D3427">
        <v>21800</v>
      </c>
      <c r="E3427">
        <v>20800</v>
      </c>
      <c r="F3427">
        <v>8.859</v>
      </c>
      <c r="G3427">
        <v>-6527</v>
      </c>
      <c r="H3427">
        <v>-3.38</v>
      </c>
      <c r="I3427">
        <v>186608</v>
      </c>
      <c r="J3427">
        <v>8.56</v>
      </c>
      <c r="K3427" s="133">
        <v>0.33836172421887573</v>
      </c>
      <c r="L3427" s="181">
        <v>-11312</v>
      </c>
      <c r="M3427" s="133">
        <v>0.35019662397653134</v>
      </c>
      <c r="N3427" s="73">
        <v>-9065.4130000000878</v>
      </c>
      <c r="O3427" s="73">
        <v>-553.41059840859077</v>
      </c>
      <c r="P3427" s="182">
        <v>5</v>
      </c>
      <c r="Q3427" s="182">
        <v>2500</v>
      </c>
      <c r="R3427" s="46">
        <v>8.5139999999999993</v>
      </c>
      <c r="S3427" s="46">
        <v>7</v>
      </c>
      <c r="T3427" s="46">
        <v>2800</v>
      </c>
      <c r="U3427" s="46">
        <v>8.5370000000000008</v>
      </c>
      <c r="V3427" s="46" t="s">
        <v>68</v>
      </c>
      <c r="W3427" s="46">
        <v>300</v>
      </c>
      <c r="X3427" s="46">
        <v>8.7289999999999992</v>
      </c>
      <c r="AF3427" s="46">
        <v>232</v>
      </c>
      <c r="AG3427" s="46">
        <v>125000</v>
      </c>
      <c r="AH3427" s="46">
        <v>1336236.6810000001</v>
      </c>
      <c r="AI3427" s="46">
        <v>10.69</v>
      </c>
      <c r="AJ3427" s="46">
        <v>262</v>
      </c>
      <c r="AK3427" s="46">
        <v>112100</v>
      </c>
      <c r="AL3427" s="46">
        <v>1136431.1700000002</v>
      </c>
      <c r="AM3427" s="46">
        <v>10.138</v>
      </c>
      <c r="AN3427" s="46" t="s">
        <v>63</v>
      </c>
      <c r="AO3427" s="46">
        <v>12900</v>
      </c>
      <c r="AP3427" s="46">
        <v>199805.511</v>
      </c>
      <c r="AQ3427" s="46">
        <v>15.489000000000001</v>
      </c>
      <c r="AR3427" s="46">
        <v>-61879.199999999997</v>
      </c>
      <c r="AS3427" s="46">
        <v>238</v>
      </c>
      <c r="AT3427" s="46">
        <v>127600</v>
      </c>
      <c r="AU3427" s="46">
        <v>1358834.6810000001</v>
      </c>
      <c r="AV3427" s="46">
        <v>10.648999999999999</v>
      </c>
      <c r="AW3427" s="46">
        <v>269</v>
      </c>
      <c r="AX3427" s="46">
        <v>114900</v>
      </c>
      <c r="AY3427" s="46">
        <v>1160276.2660000001</v>
      </c>
      <c r="AZ3427" s="46">
        <v>10.098000000000001</v>
      </c>
      <c r="BA3427" s="46" t="s">
        <v>63</v>
      </c>
      <c r="BB3427" s="46">
        <v>12700</v>
      </c>
      <c r="BC3427" s="46">
        <v>198558.41500000001</v>
      </c>
      <c r="BD3427" s="46">
        <v>15.635</v>
      </c>
      <c r="BE3427" s="46">
        <v>-63309.9</v>
      </c>
      <c r="BF3427" s="46">
        <v>22598</v>
      </c>
      <c r="BG3427" s="46">
        <v>9.0399999999999991</v>
      </c>
      <c r="BH3427" s="46">
        <v>23845.095999999903</v>
      </c>
      <c r="BI3427">
        <v>8.52</v>
      </c>
      <c r="BJ3427">
        <v>-1247.0959999999905</v>
      </c>
      <c r="BK3427">
        <v>-4.16</v>
      </c>
      <c r="BL3427">
        <v>-7228.88</v>
      </c>
    </row>
    <row r="3428" spans="1:64" x14ac:dyDescent="0.25">
      <c r="A3428" s="136">
        <v>43577</v>
      </c>
      <c r="B3428" t="s">
        <v>77</v>
      </c>
      <c r="C3428" t="s">
        <v>150</v>
      </c>
      <c r="D3428">
        <v>5000</v>
      </c>
      <c r="E3428">
        <v>5000</v>
      </c>
      <c r="F3428">
        <v>5.4909999999999997</v>
      </c>
      <c r="G3428">
        <v>-3105.95</v>
      </c>
      <c r="H3428">
        <v>-11.31</v>
      </c>
      <c r="I3428">
        <v>24350</v>
      </c>
      <c r="J3428">
        <v>4.87</v>
      </c>
      <c r="K3428" s="133">
        <v>4.4151954818280159E-2</v>
      </c>
      <c r="L3428" s="181">
        <v>-1499.9999999999998</v>
      </c>
      <c r="M3428" s="133">
        <v>4.9783731576712897E-2</v>
      </c>
      <c r="N3428" s="73">
        <v>-2310.8940000000039</v>
      </c>
      <c r="O3428" s="73">
        <v>-352.82427933723278</v>
      </c>
      <c r="P3428" s="182">
        <v>5</v>
      </c>
      <c r="Q3428" s="182">
        <v>2500</v>
      </c>
      <c r="R3428" s="46">
        <v>4.266</v>
      </c>
      <c r="S3428" s="46">
        <v>0</v>
      </c>
      <c r="T3428" s="46">
        <v>0</v>
      </c>
      <c r="U3428" s="46">
        <v>0</v>
      </c>
      <c r="V3428" s="46" t="s">
        <v>62</v>
      </c>
      <c r="W3428" s="46">
        <v>2500</v>
      </c>
      <c r="X3428" s="46">
        <v>4.266</v>
      </c>
      <c r="AF3428" s="46">
        <v>51</v>
      </c>
      <c r="AG3428" s="46">
        <v>25500</v>
      </c>
      <c r="AH3428" s="46">
        <v>175539</v>
      </c>
      <c r="AI3428" s="46">
        <v>6.8840000000000003</v>
      </c>
      <c r="AJ3428" s="46">
        <v>51</v>
      </c>
      <c r="AK3428" s="46">
        <v>23000</v>
      </c>
      <c r="AL3428" s="46">
        <v>158480.10600000003</v>
      </c>
      <c r="AM3428" s="46">
        <v>6.89</v>
      </c>
      <c r="AN3428" s="46" t="s">
        <v>63</v>
      </c>
      <c r="AO3428" s="46">
        <v>2500</v>
      </c>
      <c r="AP3428" s="46">
        <v>17058.894</v>
      </c>
      <c r="AQ3428" s="46">
        <v>6.8239999999999998</v>
      </c>
      <c r="AR3428" s="46">
        <v>138</v>
      </c>
      <c r="AS3428" s="46">
        <v>56</v>
      </c>
      <c r="AT3428" s="46">
        <v>28000</v>
      </c>
      <c r="AU3428" s="46">
        <v>185941</v>
      </c>
      <c r="AV3428" s="46">
        <v>6.641</v>
      </c>
      <c r="AW3428" s="46">
        <v>51</v>
      </c>
      <c r="AX3428" s="46">
        <v>23000</v>
      </c>
      <c r="AY3428" s="46">
        <v>158480.10600000003</v>
      </c>
      <c r="AZ3428" s="46">
        <v>6.89</v>
      </c>
      <c r="BA3428" s="46" t="s">
        <v>63</v>
      </c>
      <c r="BB3428" s="46">
        <v>5000</v>
      </c>
      <c r="BC3428" s="46">
        <v>27460.894</v>
      </c>
      <c r="BD3428" s="46">
        <v>5.492</v>
      </c>
      <c r="BE3428" s="46">
        <v>5727</v>
      </c>
      <c r="BF3428" s="46">
        <v>10402</v>
      </c>
      <c r="BG3428" s="46">
        <v>4.16</v>
      </c>
      <c r="BH3428" s="46">
        <v>0</v>
      </c>
      <c r="BJ3428">
        <v>10402</v>
      </c>
      <c r="BK3428">
        <v>4.16</v>
      </c>
      <c r="BL3428">
        <v>28.34</v>
      </c>
    </row>
    <row r="3429" spans="1:64" x14ac:dyDescent="0.25">
      <c r="A3429" s="136">
        <v>43577</v>
      </c>
      <c r="B3429" t="s">
        <v>67</v>
      </c>
      <c r="C3429" t="s">
        <v>129</v>
      </c>
      <c r="D3429">
        <v>230</v>
      </c>
      <c r="E3429">
        <v>230</v>
      </c>
      <c r="F3429">
        <v>-11.728999999999999</v>
      </c>
      <c r="G3429">
        <v>4625.07</v>
      </c>
      <c r="H3429">
        <v>0</v>
      </c>
      <c r="I3429">
        <v>1927.4</v>
      </c>
      <c r="J3429">
        <v>8.3800000000000008</v>
      </c>
      <c r="K3429" s="133">
        <v>3.4948040130083442E-3</v>
      </c>
      <c r="L3429" s="181">
        <v>52.899999999999636</v>
      </c>
      <c r="M3429" s="133">
        <v>0</v>
      </c>
      <c r="N3429" s="73">
        <v>4362.583499999957</v>
      </c>
      <c r="O3429" s="73">
        <v>600.60636477272476</v>
      </c>
      <c r="P3429" s="182">
        <v>1</v>
      </c>
      <c r="Q3429" s="182">
        <v>30</v>
      </c>
      <c r="R3429" s="46">
        <v>0</v>
      </c>
      <c r="S3429" s="46">
        <v>24</v>
      </c>
      <c r="T3429" s="46">
        <v>9600</v>
      </c>
      <c r="U3429" s="46">
        <v>8.9429999999999996</v>
      </c>
      <c r="V3429" s="46" t="s">
        <v>68</v>
      </c>
      <c r="W3429" s="46">
        <v>9570</v>
      </c>
      <c r="X3429" s="46">
        <v>8.9710000000000001</v>
      </c>
      <c r="AF3429" s="46">
        <v>193</v>
      </c>
      <c r="AG3429" s="46">
        <v>95500</v>
      </c>
      <c r="AH3429" s="46">
        <v>795318</v>
      </c>
      <c r="AI3429" s="46">
        <v>8.3279999999999994</v>
      </c>
      <c r="AJ3429" s="46">
        <v>197</v>
      </c>
      <c r="AK3429" s="46">
        <v>88300</v>
      </c>
      <c r="AL3429" s="46">
        <v>781491.25550000009</v>
      </c>
      <c r="AM3429" s="46">
        <v>8.85</v>
      </c>
      <c r="AN3429" s="46" t="s">
        <v>63</v>
      </c>
      <c r="AO3429" s="46">
        <v>7200</v>
      </c>
      <c r="AP3429" s="46">
        <v>13826.744000000001</v>
      </c>
      <c r="AQ3429" s="46">
        <v>1.92</v>
      </c>
      <c r="AR3429" s="46">
        <v>46092.6</v>
      </c>
      <c r="AS3429" s="46">
        <v>194</v>
      </c>
      <c r="AT3429" s="46">
        <v>95530</v>
      </c>
      <c r="AU3429" s="46">
        <v>795323</v>
      </c>
      <c r="AV3429" s="46">
        <v>8.3249999999999993</v>
      </c>
      <c r="AW3429" s="46">
        <v>221</v>
      </c>
      <c r="AX3429" s="46">
        <v>97900</v>
      </c>
      <c r="AY3429" s="46">
        <v>867143.89950000017</v>
      </c>
      <c r="AZ3429" s="46">
        <v>8.8569999999999993</v>
      </c>
      <c r="BA3429" s="46" t="s">
        <v>69</v>
      </c>
      <c r="BB3429" s="46">
        <v>2370</v>
      </c>
      <c r="BC3429" s="46">
        <v>71820.899999999994</v>
      </c>
      <c r="BD3429" s="46">
        <v>30.303999999999998</v>
      </c>
      <c r="BE3429" s="46">
        <v>50821.96</v>
      </c>
      <c r="BF3429" s="46">
        <v>5</v>
      </c>
      <c r="BG3429" s="46">
        <v>0.17</v>
      </c>
      <c r="BH3429" s="46">
        <v>85652.644000000088</v>
      </c>
      <c r="BI3429">
        <v>8.92</v>
      </c>
      <c r="BJ3429">
        <v>57994.155999999995</v>
      </c>
      <c r="BK3429">
        <v>6.06</v>
      </c>
      <c r="BL3429">
        <v>5500.31</v>
      </c>
    </row>
    <row r="3430" spans="1:64" x14ac:dyDescent="0.25">
      <c r="A3430" s="136">
        <v>43577</v>
      </c>
      <c r="B3430" t="s">
        <v>78</v>
      </c>
      <c r="C3430" t="s">
        <v>142</v>
      </c>
      <c r="D3430">
        <v>200</v>
      </c>
      <c r="E3430">
        <v>200</v>
      </c>
      <c r="F3430">
        <v>2.077</v>
      </c>
      <c r="G3430">
        <v>1884.65</v>
      </c>
      <c r="H3430">
        <v>453.7</v>
      </c>
      <c r="I3430">
        <v>2300</v>
      </c>
      <c r="J3430">
        <v>11.5</v>
      </c>
      <c r="K3430" s="133">
        <v>4.1704105167164008E-3</v>
      </c>
      <c r="L3430" s="181">
        <v>46</v>
      </c>
      <c r="M3430" s="133">
        <v>7.5312174266006814E-4</v>
      </c>
      <c r="N3430" s="73">
        <v>1454.650999999996</v>
      </c>
      <c r="O3430" s="73">
        <v>155.49985823529371</v>
      </c>
      <c r="P3430" s="182">
        <v>0</v>
      </c>
      <c r="Q3430" s="182">
        <v>0</v>
      </c>
      <c r="R3430" s="46">
        <v>0</v>
      </c>
      <c r="S3430" s="46">
        <v>3</v>
      </c>
      <c r="T3430" s="46">
        <v>1200</v>
      </c>
      <c r="U3430" s="46">
        <v>9.923</v>
      </c>
      <c r="V3430" s="46" t="s">
        <v>68</v>
      </c>
      <c r="W3430" s="46">
        <v>1200</v>
      </c>
      <c r="X3430" s="46">
        <v>9.923</v>
      </c>
      <c r="AF3430" s="46">
        <v>14</v>
      </c>
      <c r="AG3430" s="46">
        <v>7000</v>
      </c>
      <c r="AH3430" s="46">
        <v>67625</v>
      </c>
      <c r="AI3430" s="46">
        <v>9.6609999999999996</v>
      </c>
      <c r="AJ3430" s="46">
        <v>15</v>
      </c>
      <c r="AK3430" s="46">
        <v>5600</v>
      </c>
      <c r="AL3430" s="46">
        <v>55310.559000000008</v>
      </c>
      <c r="AM3430" s="46">
        <v>9.8770000000000007</v>
      </c>
      <c r="AN3430" s="46" t="s">
        <v>63</v>
      </c>
      <c r="AO3430" s="46">
        <v>1400</v>
      </c>
      <c r="AP3430" s="46">
        <v>12314.441000000001</v>
      </c>
      <c r="AQ3430" s="46">
        <v>8.7959999999999994</v>
      </c>
      <c r="AR3430" s="46">
        <v>1209.5999999999999</v>
      </c>
      <c r="AS3430" s="46">
        <v>14</v>
      </c>
      <c r="AT3430" s="46">
        <v>7000</v>
      </c>
      <c r="AU3430" s="46">
        <v>67625</v>
      </c>
      <c r="AV3430" s="46">
        <v>9.6609999999999996</v>
      </c>
      <c r="AW3430" s="46">
        <v>18</v>
      </c>
      <c r="AX3430" s="46">
        <v>6800</v>
      </c>
      <c r="AY3430" s="46">
        <v>67209.651000000013</v>
      </c>
      <c r="AZ3430" s="46">
        <v>9.8840000000000003</v>
      </c>
      <c r="BA3430" s="46" t="s">
        <v>63</v>
      </c>
      <c r="BB3430" s="46">
        <v>200</v>
      </c>
      <c r="BC3430" s="46">
        <v>415.34899999999999</v>
      </c>
      <c r="BD3430" s="46">
        <v>2.077</v>
      </c>
      <c r="BE3430" s="46">
        <v>1516.4</v>
      </c>
      <c r="BF3430" s="46">
        <v>0</v>
      </c>
      <c r="BH3430" s="46">
        <v>11899.092000000004</v>
      </c>
      <c r="BI3430">
        <v>9.92</v>
      </c>
      <c r="BJ3430">
        <v>-11899.092000000001</v>
      </c>
      <c r="BK3430">
        <v>-9.92</v>
      </c>
      <c r="BL3430">
        <v>105.18</v>
      </c>
    </row>
    <row r="3431" spans="1:64" x14ac:dyDescent="0.25">
      <c r="A3431" s="136">
        <v>43577</v>
      </c>
      <c r="B3431" t="s">
        <v>72</v>
      </c>
      <c r="C3431" t="s">
        <v>130</v>
      </c>
      <c r="D3431">
        <v>100</v>
      </c>
      <c r="E3431">
        <v>100</v>
      </c>
      <c r="F3431">
        <v>-18.477</v>
      </c>
      <c r="G3431">
        <v>2467.6999999999998</v>
      </c>
      <c r="H3431">
        <v>0</v>
      </c>
      <c r="I3431">
        <v>620</v>
      </c>
      <c r="J3431">
        <v>6.2</v>
      </c>
      <c r="K3431" s="133">
        <v>1.1241976175496386E-3</v>
      </c>
      <c r="L3431" s="181">
        <v>5</v>
      </c>
      <c r="M3431" s="133">
        <v>0</v>
      </c>
      <c r="N3431" s="73">
        <v>-1498.9659999999872</v>
      </c>
      <c r="O3431" s="73">
        <v>376.42007904191922</v>
      </c>
      <c r="P3431" s="182">
        <v>0</v>
      </c>
      <c r="Q3431" s="182">
        <v>0</v>
      </c>
      <c r="R3431" s="46">
        <v>0</v>
      </c>
      <c r="S3431" s="46">
        <v>20</v>
      </c>
      <c r="T3431" s="46">
        <v>8600</v>
      </c>
      <c r="U3431" s="46">
        <v>7.3840000000000003</v>
      </c>
      <c r="V3431" s="46" t="s">
        <v>68</v>
      </c>
      <c r="W3431" s="46">
        <v>8600</v>
      </c>
      <c r="X3431" s="46">
        <v>7.3840000000000003</v>
      </c>
      <c r="AF3431" s="46">
        <v>42</v>
      </c>
      <c r="AG3431" s="46">
        <v>20900</v>
      </c>
      <c r="AH3431" s="46">
        <v>152800</v>
      </c>
      <c r="AI3431" s="46">
        <v>7.3109999999999999</v>
      </c>
      <c r="AJ3431" s="46">
        <v>42</v>
      </c>
      <c r="AK3431" s="46">
        <v>18800</v>
      </c>
      <c r="AL3431" s="46">
        <v>92037.725000000035</v>
      </c>
      <c r="AM3431" s="46">
        <v>4.8959999999999999</v>
      </c>
      <c r="AN3431" s="46" t="s">
        <v>63</v>
      </c>
      <c r="AO3431" s="46">
        <v>2100</v>
      </c>
      <c r="AP3431" s="46">
        <v>60762.275000000001</v>
      </c>
      <c r="AQ3431" s="46">
        <v>28.934000000000001</v>
      </c>
      <c r="AR3431" s="46">
        <v>-45402</v>
      </c>
      <c r="AS3431" s="46">
        <v>42</v>
      </c>
      <c r="AT3431" s="46">
        <v>20900</v>
      </c>
      <c r="AU3431" s="46">
        <v>152800</v>
      </c>
      <c r="AV3431" s="46">
        <v>7.3109999999999999</v>
      </c>
      <c r="AW3431" s="46">
        <v>63</v>
      </c>
      <c r="AX3431" s="46">
        <v>27900</v>
      </c>
      <c r="AY3431" s="46">
        <v>155380.21900000001</v>
      </c>
      <c r="AZ3431" s="46">
        <v>5.569</v>
      </c>
      <c r="BA3431" s="46" t="s">
        <v>69</v>
      </c>
      <c r="BB3431" s="46">
        <v>7000</v>
      </c>
      <c r="BC3431" s="46">
        <v>2580.2190000000001</v>
      </c>
      <c r="BD3431" s="46">
        <v>0.36899999999999999</v>
      </c>
      <c r="BE3431" s="46">
        <v>-36407.800000000003</v>
      </c>
      <c r="BF3431" s="46">
        <v>0</v>
      </c>
      <c r="BH3431" s="46">
        <v>63342.493999999977</v>
      </c>
      <c r="BI3431">
        <v>7.37</v>
      </c>
      <c r="BJ3431">
        <v>-58182.056000000004</v>
      </c>
      <c r="BK3431">
        <v>-6.77</v>
      </c>
      <c r="BL3431">
        <v>-7322.9</v>
      </c>
    </row>
    <row r="3432" spans="1:64" x14ac:dyDescent="0.25">
      <c r="A3432" s="136">
        <v>43577</v>
      </c>
      <c r="B3432" t="s">
        <v>70</v>
      </c>
      <c r="C3432" t="s">
        <v>131</v>
      </c>
      <c r="D3432">
        <v>10800</v>
      </c>
      <c r="E3432">
        <v>10800</v>
      </c>
      <c r="F3432">
        <v>11.363</v>
      </c>
      <c r="G3432">
        <v>-9749.9500000000007</v>
      </c>
      <c r="H3432">
        <v>-7.94</v>
      </c>
      <c r="I3432">
        <v>112968</v>
      </c>
      <c r="J3432">
        <v>10.46</v>
      </c>
      <c r="K3432" s="133">
        <v>0.20483605880539929</v>
      </c>
      <c r="L3432" s="181">
        <v>17027.93</v>
      </c>
      <c r="M3432" s="133">
        <v>0.22251488229125105</v>
      </c>
      <c r="N3432" s="73">
        <v>-8025.937000000049</v>
      </c>
      <c r="O3432" s="73">
        <v>-755.36007829567325</v>
      </c>
      <c r="P3432" s="182">
        <v>0</v>
      </c>
      <c r="Q3432" s="182">
        <v>0</v>
      </c>
      <c r="R3432" s="46">
        <v>0</v>
      </c>
      <c r="S3432" s="46">
        <v>9</v>
      </c>
      <c r="T3432" s="46">
        <v>3600</v>
      </c>
      <c r="U3432" s="46">
        <v>9.1080000000000005</v>
      </c>
      <c r="V3432" s="46" t="s">
        <v>68</v>
      </c>
      <c r="W3432" s="46">
        <v>3600</v>
      </c>
      <c r="X3432" s="46">
        <v>9.1080000000000005</v>
      </c>
      <c r="AF3432" s="46">
        <v>157</v>
      </c>
      <c r="AG3432" s="46">
        <v>80100</v>
      </c>
      <c r="AH3432" s="46">
        <v>987338</v>
      </c>
      <c r="AI3432" s="46">
        <v>12.326000000000001</v>
      </c>
      <c r="AJ3432" s="46">
        <v>163</v>
      </c>
      <c r="AK3432" s="46">
        <v>65700</v>
      </c>
      <c r="AL3432" s="46">
        <v>831500.85099999967</v>
      </c>
      <c r="AM3432" s="46">
        <v>12.656000000000001</v>
      </c>
      <c r="AN3432" s="46" t="s">
        <v>63</v>
      </c>
      <c r="AO3432" s="46">
        <v>14400</v>
      </c>
      <c r="AP3432" s="46">
        <v>155837.149</v>
      </c>
      <c r="AQ3432" s="46">
        <v>10.821999999999999</v>
      </c>
      <c r="AR3432" s="46">
        <v>21681</v>
      </c>
      <c r="AS3432" s="46">
        <v>157</v>
      </c>
      <c r="AT3432" s="46">
        <v>80100</v>
      </c>
      <c r="AU3432" s="46">
        <v>987338</v>
      </c>
      <c r="AV3432" s="46">
        <v>12.326000000000001</v>
      </c>
      <c r="AW3432" s="46">
        <v>173</v>
      </c>
      <c r="AX3432" s="46">
        <v>69300</v>
      </c>
      <c r="AY3432" s="46">
        <v>864616.06299999962</v>
      </c>
      <c r="AZ3432" s="46">
        <v>12.476000000000001</v>
      </c>
      <c r="BA3432" s="46" t="s">
        <v>63</v>
      </c>
      <c r="BB3432" s="46">
        <v>10800</v>
      </c>
      <c r="BC3432" s="46">
        <v>122721.93700000001</v>
      </c>
      <c r="BD3432" s="46">
        <v>11.363</v>
      </c>
      <c r="BE3432" s="46">
        <v>10395</v>
      </c>
      <c r="BF3432" s="46">
        <v>0</v>
      </c>
      <c r="BH3432" s="46">
        <v>33115.211999999941</v>
      </c>
      <c r="BI3432">
        <v>9.1999999999999993</v>
      </c>
      <c r="BJ3432">
        <v>-33115.212</v>
      </c>
      <c r="BK3432">
        <v>-9.1999999999999993</v>
      </c>
      <c r="BL3432">
        <v>2072.75</v>
      </c>
    </row>
    <row r="3433" spans="1:64" x14ac:dyDescent="0.25">
      <c r="A3433" s="136">
        <v>43577</v>
      </c>
      <c r="B3433" t="s">
        <v>628</v>
      </c>
      <c r="C3433" t="s">
        <v>629</v>
      </c>
      <c r="D3433">
        <v>100</v>
      </c>
      <c r="E3433">
        <v>100</v>
      </c>
      <c r="F3433">
        <v>-22.33</v>
      </c>
      <c r="G3433">
        <v>3615</v>
      </c>
      <c r="H3433">
        <v>0</v>
      </c>
      <c r="I3433">
        <v>1382</v>
      </c>
      <c r="J3433">
        <v>13.82</v>
      </c>
      <c r="K3433" s="133">
        <v>2.5058727539574201E-3</v>
      </c>
      <c r="L3433" s="181">
        <v>-46</v>
      </c>
      <c r="M3433" s="133">
        <v>0</v>
      </c>
    </row>
    <row r="3434" spans="1:64" x14ac:dyDescent="0.25">
      <c r="A3434" s="136">
        <v>43577</v>
      </c>
      <c r="B3434" t="s">
        <v>630</v>
      </c>
      <c r="C3434" t="s">
        <v>631</v>
      </c>
      <c r="D3434">
        <v>100</v>
      </c>
      <c r="E3434">
        <v>100</v>
      </c>
      <c r="F3434">
        <v>-94.45</v>
      </c>
      <c r="G3434">
        <v>12487</v>
      </c>
      <c r="H3434">
        <v>0</v>
      </c>
      <c r="I3434">
        <v>3042</v>
      </c>
      <c r="J3434">
        <v>30.42</v>
      </c>
      <c r="K3434" s="133">
        <v>5.5158212138483875E-3</v>
      </c>
      <c r="L3434" s="181">
        <v>-5</v>
      </c>
      <c r="M3434" s="133">
        <v>0</v>
      </c>
    </row>
    <row r="3435" spans="1:64" x14ac:dyDescent="0.25">
      <c r="A3435" s="136">
        <v>43577</v>
      </c>
      <c r="B3435" t="s">
        <v>137</v>
      </c>
      <c r="C3435" t="s">
        <v>149</v>
      </c>
      <c r="D3435">
        <v>100</v>
      </c>
      <c r="E3435">
        <v>100</v>
      </c>
      <c r="F3435">
        <v>-130.86000000000001</v>
      </c>
      <c r="G3435">
        <v>16946</v>
      </c>
      <c r="H3435">
        <v>0</v>
      </c>
      <c r="I3435">
        <v>3860</v>
      </c>
      <c r="J3435">
        <v>38.6</v>
      </c>
      <c r="K3435" s="133">
        <v>6.9990367802283942E-3</v>
      </c>
      <c r="L3435" s="181">
        <v>18</v>
      </c>
      <c r="M3435" s="133">
        <v>0</v>
      </c>
    </row>
    <row r="3436" spans="1:64" x14ac:dyDescent="0.25">
      <c r="A3436" s="136">
        <v>43577</v>
      </c>
      <c r="B3436" t="s">
        <v>835</v>
      </c>
      <c r="C3436" t="s">
        <v>839</v>
      </c>
      <c r="I3436">
        <v>12881.43</v>
      </c>
      <c r="K3436" s="133">
        <v>2.3356891801020064E-2</v>
      </c>
      <c r="L3436" s="181">
        <v>0</v>
      </c>
      <c r="M3436" s="133">
        <v>0.20471758288228528</v>
      </c>
    </row>
    <row r="3437" spans="1:64" x14ac:dyDescent="0.25">
      <c r="A3437" s="136">
        <v>43578</v>
      </c>
      <c r="B3437" t="s">
        <v>132</v>
      </c>
      <c r="C3437" t="s">
        <v>123</v>
      </c>
      <c r="D3437">
        <v>8803673</v>
      </c>
      <c r="E3437">
        <v>8803673</v>
      </c>
      <c r="F3437">
        <v>0.01</v>
      </c>
      <c r="G3437">
        <v>3947.58</v>
      </c>
      <c r="H3437">
        <v>0</v>
      </c>
      <c r="I3437">
        <v>88036.73</v>
      </c>
      <c r="J3437">
        <v>0.01</v>
      </c>
      <c r="K3437" s="133">
        <v>0.16196393607661935</v>
      </c>
      <c r="L3437" s="181">
        <v>15.5</v>
      </c>
      <c r="M3437" s="133">
        <v>0</v>
      </c>
    </row>
    <row r="3438" spans="1:64" x14ac:dyDescent="0.25">
      <c r="A3438" s="136">
        <v>43578</v>
      </c>
      <c r="B3438" t="s">
        <v>61</v>
      </c>
      <c r="C3438" t="s">
        <v>136</v>
      </c>
      <c r="D3438">
        <v>2000</v>
      </c>
      <c r="E3438">
        <v>2000</v>
      </c>
      <c r="F3438">
        <v>4.9809999999999999</v>
      </c>
      <c r="G3438">
        <v>-501.52</v>
      </c>
      <c r="H3438">
        <v>-5.03</v>
      </c>
      <c r="I3438">
        <v>9460</v>
      </c>
      <c r="J3438">
        <v>4.7300000000000004</v>
      </c>
      <c r="K3438" s="133">
        <v>1.7403858994817497E-2</v>
      </c>
      <c r="L3438" s="181">
        <v>-60</v>
      </c>
      <c r="M3438" s="133">
        <v>1.8326521083938094E-2</v>
      </c>
      <c r="N3438" s="73">
        <v>-285.09300000000439</v>
      </c>
      <c r="O3438" s="73">
        <v>-58.874060640496786</v>
      </c>
      <c r="P3438" s="182">
        <v>9</v>
      </c>
      <c r="Q3438" s="182">
        <v>6920</v>
      </c>
      <c r="R3438" s="46">
        <v>4.9669999999999996</v>
      </c>
      <c r="S3438" s="46">
        <v>0</v>
      </c>
      <c r="T3438" s="46">
        <v>0</v>
      </c>
      <c r="U3438" s="46">
        <v>0</v>
      </c>
      <c r="V3438" s="46" t="s">
        <v>62</v>
      </c>
      <c r="W3438" s="46">
        <v>6920</v>
      </c>
      <c r="X3438" s="46">
        <v>4.9669999999999996</v>
      </c>
      <c r="AF3438" s="46">
        <v>21</v>
      </c>
      <c r="AG3438" s="46">
        <v>10500</v>
      </c>
      <c r="AH3438" s="46">
        <v>52226.3</v>
      </c>
      <c r="AI3438" s="46">
        <v>4.9740000000000002</v>
      </c>
      <c r="AJ3438" s="46">
        <v>21</v>
      </c>
      <c r="AK3438" s="46">
        <v>8500</v>
      </c>
      <c r="AL3438" s="46">
        <v>42261.206999999988</v>
      </c>
      <c r="AM3438" s="46">
        <v>4.9720000000000004</v>
      </c>
      <c r="AN3438" s="46" t="s">
        <v>63</v>
      </c>
      <c r="AO3438" s="46">
        <v>2000</v>
      </c>
      <c r="AP3438" s="46">
        <v>9965.0930000000008</v>
      </c>
      <c r="AQ3438" s="46">
        <v>4.9829999999999997</v>
      </c>
      <c r="AR3438" s="46">
        <v>-17</v>
      </c>
      <c r="AS3438" s="46">
        <v>21</v>
      </c>
      <c r="AT3438" s="46">
        <v>10500</v>
      </c>
      <c r="AU3438" s="46">
        <v>52226.3</v>
      </c>
      <c r="AV3438" s="46">
        <v>4.9740000000000002</v>
      </c>
      <c r="AW3438" s="46">
        <v>21</v>
      </c>
      <c r="AX3438" s="46">
        <v>8500</v>
      </c>
      <c r="AY3438" s="46">
        <v>42261.206999999988</v>
      </c>
      <c r="AZ3438" s="46">
        <v>4.9720000000000004</v>
      </c>
      <c r="BA3438" s="46" t="s">
        <v>63</v>
      </c>
      <c r="BB3438" s="46">
        <v>2000</v>
      </c>
      <c r="BC3438" s="46">
        <v>9965.0930000000008</v>
      </c>
      <c r="BD3438" s="46">
        <v>4.9829999999999997</v>
      </c>
      <c r="BE3438" s="46">
        <v>-17</v>
      </c>
      <c r="BF3438" s="46">
        <v>0</v>
      </c>
      <c r="BG3438" s="46">
        <v>0</v>
      </c>
      <c r="BH3438" s="46">
        <v>0</v>
      </c>
      <c r="BJ3438">
        <v>0</v>
      </c>
      <c r="BK3438">
        <v>0</v>
      </c>
      <c r="BL3438">
        <v>-3.59</v>
      </c>
    </row>
    <row r="3439" spans="1:64" x14ac:dyDescent="0.25">
      <c r="A3439" s="136">
        <v>43578</v>
      </c>
      <c r="B3439" t="s">
        <v>124</v>
      </c>
      <c r="C3439" t="s">
        <v>125</v>
      </c>
      <c r="D3439">
        <v>100</v>
      </c>
      <c r="E3439">
        <v>100</v>
      </c>
      <c r="F3439">
        <v>-53.82</v>
      </c>
      <c r="G3439">
        <v>5963</v>
      </c>
      <c r="H3439">
        <v>0</v>
      </c>
      <c r="I3439">
        <v>581</v>
      </c>
      <c r="J3439">
        <v>5.81</v>
      </c>
      <c r="K3439" s="133">
        <v>1.0688839403793832E-3</v>
      </c>
      <c r="L3439" s="181">
        <v>-2</v>
      </c>
      <c r="M3439" s="133">
        <v>0</v>
      </c>
      <c r="N3439" s="73">
        <v>5573.0690000000113</v>
      </c>
      <c r="O3439" s="73">
        <v>1102.4501845505636</v>
      </c>
      <c r="P3439" s="182">
        <v>0</v>
      </c>
      <c r="Q3439" s="182">
        <v>0</v>
      </c>
      <c r="R3439" s="46">
        <v>0</v>
      </c>
      <c r="S3439" s="46">
        <v>5</v>
      </c>
      <c r="T3439" s="46">
        <v>2300</v>
      </c>
      <c r="U3439" s="46">
        <v>4.99</v>
      </c>
      <c r="V3439" s="46" t="s">
        <v>68</v>
      </c>
      <c r="W3439" s="46">
        <v>2300</v>
      </c>
      <c r="X3439" s="46">
        <v>4.99</v>
      </c>
      <c r="AF3439" s="46">
        <v>50</v>
      </c>
      <c r="AG3439" s="46">
        <v>36700</v>
      </c>
      <c r="AH3439" s="46">
        <v>180101.02000000002</v>
      </c>
      <c r="AI3439" s="46">
        <v>4.907</v>
      </c>
      <c r="AJ3439" s="46">
        <v>58</v>
      </c>
      <c r="AK3439" s="46">
        <v>35300</v>
      </c>
      <c r="AL3439" s="46">
        <v>178266.546</v>
      </c>
      <c r="AM3439" s="46">
        <v>5.05</v>
      </c>
      <c r="AN3439" s="46" t="s">
        <v>63</v>
      </c>
      <c r="AO3439" s="46">
        <v>1400</v>
      </c>
      <c r="AP3439" s="46">
        <v>1834.4739999999999</v>
      </c>
      <c r="AQ3439" s="46">
        <v>1.31</v>
      </c>
      <c r="AR3439" s="46">
        <v>5047.8999999999996</v>
      </c>
      <c r="AS3439" s="46">
        <v>51</v>
      </c>
      <c r="AT3439" s="46">
        <v>37700</v>
      </c>
      <c r="AU3439" s="46">
        <v>185106.62</v>
      </c>
      <c r="AV3439" s="46">
        <v>4.91</v>
      </c>
      <c r="AW3439" s="46">
        <v>63</v>
      </c>
      <c r="AX3439" s="46">
        <v>37600</v>
      </c>
      <c r="AY3439" s="46">
        <v>189713.68900000001</v>
      </c>
      <c r="AZ3439" s="46">
        <v>5.0460000000000003</v>
      </c>
      <c r="BA3439" s="46" t="s">
        <v>63</v>
      </c>
      <c r="BB3439" s="46">
        <v>100</v>
      </c>
      <c r="BC3439" s="46">
        <v>4607.0690000000004</v>
      </c>
      <c r="BD3439" s="46">
        <v>46.070999999999998</v>
      </c>
      <c r="BE3439" s="46">
        <v>5113.6000000000004</v>
      </c>
      <c r="BF3439" s="46">
        <v>5005.5999999999767</v>
      </c>
      <c r="BH3439" s="46">
        <v>11447.143000000011</v>
      </c>
      <c r="BI3439">
        <v>4.9800000000000004</v>
      </c>
      <c r="BJ3439">
        <v>2772.5950000000003</v>
      </c>
      <c r="BK3439">
        <v>1.21</v>
      </c>
      <c r="BL3439">
        <v>868.83</v>
      </c>
    </row>
    <row r="3440" spans="1:64" x14ac:dyDescent="0.25">
      <c r="A3440" s="136">
        <v>43578</v>
      </c>
      <c r="B3440" t="s">
        <v>71</v>
      </c>
      <c r="C3440" t="s">
        <v>126</v>
      </c>
      <c r="D3440">
        <v>900</v>
      </c>
      <c r="E3440">
        <v>400</v>
      </c>
      <c r="F3440">
        <v>3.0179999999999998</v>
      </c>
      <c r="G3440">
        <v>2998.37</v>
      </c>
      <c r="H3440">
        <v>110.39</v>
      </c>
      <c r="I3440">
        <v>5715</v>
      </c>
      <c r="J3440">
        <v>6.35</v>
      </c>
      <c r="K3440" s="133">
        <v>1.0514064921287737E-2</v>
      </c>
      <c r="L3440" s="181">
        <v>-29.230000000000018</v>
      </c>
      <c r="M3440" s="133">
        <v>4.9978694990582507E-3</v>
      </c>
      <c r="N3440" s="73">
        <v>-2727.5719999999947</v>
      </c>
      <c r="O3440" s="73">
        <v>471.01287968504028</v>
      </c>
      <c r="P3440" s="182">
        <v>1</v>
      </c>
      <c r="Q3440" s="182">
        <v>500</v>
      </c>
      <c r="R3440" s="46">
        <v>6.35</v>
      </c>
      <c r="S3440" s="46">
        <v>9</v>
      </c>
      <c r="T3440" s="46">
        <v>3500</v>
      </c>
      <c r="U3440" s="46">
        <v>6.4349999999999996</v>
      </c>
      <c r="V3440" s="46" t="s">
        <v>68</v>
      </c>
      <c r="W3440" s="46">
        <v>3000</v>
      </c>
      <c r="X3440" s="46">
        <v>6.4489999999999998</v>
      </c>
      <c r="AF3440" s="46">
        <v>52</v>
      </c>
      <c r="AG3440" s="46">
        <v>26100</v>
      </c>
      <c r="AH3440" s="46">
        <v>165656.62999999998</v>
      </c>
      <c r="AI3440" s="46">
        <v>6.3470000000000004</v>
      </c>
      <c r="AJ3440" s="46">
        <v>50</v>
      </c>
      <c r="AK3440" s="46">
        <v>22200</v>
      </c>
      <c r="AL3440" s="46">
        <v>143498.78200000001</v>
      </c>
      <c r="AM3440" s="46">
        <v>6.4640000000000004</v>
      </c>
      <c r="AN3440" s="46" t="s">
        <v>63</v>
      </c>
      <c r="AO3440" s="46">
        <v>3900</v>
      </c>
      <c r="AP3440" s="46">
        <v>22157.848000000002</v>
      </c>
      <c r="AQ3440" s="46">
        <v>5.681</v>
      </c>
      <c r="AR3440" s="46">
        <v>2597.4</v>
      </c>
      <c r="AS3440" s="46">
        <v>53</v>
      </c>
      <c r="AT3440" s="46">
        <v>26600</v>
      </c>
      <c r="AU3440" s="46">
        <v>168836.92999999996</v>
      </c>
      <c r="AV3440" s="46">
        <v>6.3470000000000004</v>
      </c>
      <c r="AW3440" s="46">
        <v>59</v>
      </c>
      <c r="AX3440" s="46">
        <v>25700</v>
      </c>
      <c r="AY3440" s="46">
        <v>165953.158</v>
      </c>
      <c r="AZ3440" s="46">
        <v>6.4569999999999999</v>
      </c>
      <c r="BA3440" s="46" t="s">
        <v>63</v>
      </c>
      <c r="BB3440" s="46">
        <v>900</v>
      </c>
      <c r="BC3440" s="46">
        <v>2883.7719999999999</v>
      </c>
      <c r="BD3440" s="46">
        <v>3.2040000000000002</v>
      </c>
      <c r="BE3440" s="46">
        <v>2827</v>
      </c>
      <c r="BF3440" s="46">
        <v>3180.2999999999884</v>
      </c>
      <c r="BG3440" s="46">
        <v>6.36</v>
      </c>
      <c r="BH3440" s="46">
        <v>22454.375999999989</v>
      </c>
      <c r="BI3440">
        <v>6.42</v>
      </c>
      <c r="BJ3440">
        <v>-19274.076000000001</v>
      </c>
      <c r="BK3440">
        <v>-6.42</v>
      </c>
      <c r="BL3440">
        <v>409.04</v>
      </c>
    </row>
    <row r="3441" spans="1:64" x14ac:dyDescent="0.25">
      <c r="A3441" s="136">
        <v>43578</v>
      </c>
      <c r="B3441" t="s">
        <v>79</v>
      </c>
      <c r="C3441" t="s">
        <v>143</v>
      </c>
      <c r="D3441">
        <v>10520</v>
      </c>
      <c r="E3441">
        <v>10020</v>
      </c>
      <c r="F3441">
        <v>10.603</v>
      </c>
      <c r="G3441">
        <v>-19910.52</v>
      </c>
      <c r="H3441">
        <v>-17.850000000000001</v>
      </c>
      <c r="I3441">
        <v>91629.2</v>
      </c>
      <c r="J3441">
        <v>8.7100000000000009</v>
      </c>
      <c r="K3441" s="133">
        <v>0.16857311592050012</v>
      </c>
      <c r="L3441" s="181">
        <v>-1618.2900000000009</v>
      </c>
      <c r="M3441" s="133">
        <v>0.20520312465131341</v>
      </c>
      <c r="N3441" s="73">
        <v>-19719.140000000261</v>
      </c>
      <c r="O3441" s="73">
        <v>-2257.6495337915535</v>
      </c>
      <c r="P3441" s="182">
        <v>9</v>
      </c>
      <c r="Q3441" s="182">
        <v>6920</v>
      </c>
      <c r="R3441" s="46">
        <v>4.9669999999999996</v>
      </c>
      <c r="S3441" s="46">
        <v>0</v>
      </c>
      <c r="T3441" s="46">
        <v>0</v>
      </c>
      <c r="U3441" s="46">
        <v>0</v>
      </c>
      <c r="V3441" s="46" t="s">
        <v>62</v>
      </c>
      <c r="W3441" s="46">
        <v>6920</v>
      </c>
      <c r="X3441" s="46">
        <v>4.9669999999999996</v>
      </c>
      <c r="AF3441" s="46">
        <v>35</v>
      </c>
      <c r="AG3441" s="46">
        <v>18000</v>
      </c>
      <c r="AH3441" s="46">
        <v>262835.79999999981</v>
      </c>
      <c r="AI3441" s="46">
        <v>14.602</v>
      </c>
      <c r="AJ3441" s="46">
        <v>36</v>
      </c>
      <c r="AK3441" s="46">
        <v>14400</v>
      </c>
      <c r="AL3441" s="46">
        <v>185696.2119999998</v>
      </c>
      <c r="AM3441" s="46">
        <v>12.896000000000001</v>
      </c>
      <c r="AN3441" s="46" t="s">
        <v>63</v>
      </c>
      <c r="AO3441" s="46">
        <v>3600</v>
      </c>
      <c r="AP3441" s="46">
        <v>77139.588000000003</v>
      </c>
      <c r="AQ3441" s="46">
        <v>21.428000000000001</v>
      </c>
      <c r="AR3441" s="46">
        <v>-24566.400000000001</v>
      </c>
      <c r="AS3441" s="46">
        <v>44</v>
      </c>
      <c r="AT3441" s="46">
        <v>24920</v>
      </c>
      <c r="AU3441" s="46">
        <v>297254.9519999997</v>
      </c>
      <c r="AV3441" s="46">
        <v>11.928000000000001</v>
      </c>
      <c r="AW3441" s="46">
        <v>36</v>
      </c>
      <c r="AX3441" s="46">
        <v>14400</v>
      </c>
      <c r="AY3441" s="46">
        <v>185696.2119999998</v>
      </c>
      <c r="AZ3441" s="46">
        <v>12.896000000000001</v>
      </c>
      <c r="BA3441" s="46" t="s">
        <v>63</v>
      </c>
      <c r="BB3441" s="46">
        <v>10520</v>
      </c>
      <c r="BC3441" s="46">
        <v>111558.74</v>
      </c>
      <c r="BD3441" s="46">
        <v>10.603999999999999</v>
      </c>
      <c r="BE3441" s="46">
        <v>13939.2</v>
      </c>
      <c r="BF3441" s="46">
        <v>34419.151999999885</v>
      </c>
      <c r="BG3441" s="46">
        <v>4.97</v>
      </c>
      <c r="BH3441" s="46">
        <v>0</v>
      </c>
      <c r="BJ3441">
        <v>34419.152000000002</v>
      </c>
      <c r="BK3441">
        <v>4.97</v>
      </c>
      <c r="BL3441">
        <v>-2820.48</v>
      </c>
    </row>
    <row r="3442" spans="1:64" x14ac:dyDescent="0.25">
      <c r="A3442" s="136">
        <v>43578</v>
      </c>
      <c r="B3442" t="s">
        <v>65</v>
      </c>
      <c r="C3442" t="s">
        <v>127</v>
      </c>
      <c r="D3442">
        <v>22800</v>
      </c>
      <c r="E3442">
        <v>21800</v>
      </c>
      <c r="F3442">
        <v>8.8480000000000008</v>
      </c>
      <c r="G3442">
        <v>-6790</v>
      </c>
      <c r="H3442">
        <v>-3.37</v>
      </c>
      <c r="I3442">
        <v>194940</v>
      </c>
      <c r="J3442">
        <v>8.5500000000000007</v>
      </c>
      <c r="K3442" s="133">
        <v>0.35863723810250769</v>
      </c>
      <c r="L3442" s="181">
        <v>-263</v>
      </c>
      <c r="M3442" s="133">
        <v>0.37112901427320649</v>
      </c>
      <c r="N3442" s="73">
        <v>-10160.413000000088</v>
      </c>
      <c r="O3442" s="73">
        <v>-684.04191737488054</v>
      </c>
      <c r="P3442" s="182">
        <v>6</v>
      </c>
      <c r="Q3442" s="182">
        <v>3500</v>
      </c>
      <c r="R3442" s="46">
        <v>8.5359999999999996</v>
      </c>
      <c r="S3442" s="46">
        <v>7</v>
      </c>
      <c r="T3442" s="46">
        <v>2800</v>
      </c>
      <c r="U3442" s="46">
        <v>8.5370000000000008</v>
      </c>
      <c r="V3442" s="46" t="s">
        <v>62</v>
      </c>
      <c r="W3442" s="46">
        <v>700</v>
      </c>
      <c r="X3442" s="46">
        <v>8.532</v>
      </c>
      <c r="AF3442" s="46">
        <v>232</v>
      </c>
      <c r="AG3442" s="46">
        <v>125000</v>
      </c>
      <c r="AH3442" s="46">
        <v>1336236.6810000001</v>
      </c>
      <c r="AI3442" s="46">
        <v>10.69</v>
      </c>
      <c r="AJ3442" s="46">
        <v>262</v>
      </c>
      <c r="AK3442" s="46">
        <v>112100</v>
      </c>
      <c r="AL3442" s="46">
        <v>1136431.1700000002</v>
      </c>
      <c r="AM3442" s="46">
        <v>10.138</v>
      </c>
      <c r="AN3442" s="46" t="s">
        <v>63</v>
      </c>
      <c r="AO3442" s="46">
        <v>12900</v>
      </c>
      <c r="AP3442" s="46">
        <v>199805.511</v>
      </c>
      <c r="AQ3442" s="46">
        <v>15.489000000000001</v>
      </c>
      <c r="AR3442" s="46">
        <v>-61879.199999999997</v>
      </c>
      <c r="AS3442" s="46">
        <v>239</v>
      </c>
      <c r="AT3442" s="46">
        <v>128600</v>
      </c>
      <c r="AU3442" s="46">
        <v>1367429.6810000001</v>
      </c>
      <c r="AV3442" s="46">
        <v>10.632999999999999</v>
      </c>
      <c r="AW3442" s="46">
        <v>269</v>
      </c>
      <c r="AX3442" s="46">
        <v>114900</v>
      </c>
      <c r="AY3442" s="46">
        <v>1160276.2660000001</v>
      </c>
      <c r="AZ3442" s="46">
        <v>10.098000000000001</v>
      </c>
      <c r="BA3442" s="46" t="s">
        <v>63</v>
      </c>
      <c r="BB3442" s="46">
        <v>13700</v>
      </c>
      <c r="BC3442" s="46">
        <v>207153.41500000001</v>
      </c>
      <c r="BD3442" s="46">
        <v>15.121</v>
      </c>
      <c r="BE3442" s="46">
        <v>-61471.5</v>
      </c>
      <c r="BF3442" s="46">
        <v>31193</v>
      </c>
      <c r="BG3442" s="46">
        <v>8.91</v>
      </c>
      <c r="BH3442" s="46">
        <v>23845.095999999903</v>
      </c>
      <c r="BI3442">
        <v>8.52</v>
      </c>
      <c r="BJ3442">
        <v>7347.9040000000095</v>
      </c>
      <c r="BK3442">
        <v>10.5</v>
      </c>
      <c r="BL3442">
        <v>-7237.33</v>
      </c>
    </row>
    <row r="3443" spans="1:64" x14ac:dyDescent="0.25">
      <c r="A3443" s="136">
        <v>43578</v>
      </c>
      <c r="B3443" t="s">
        <v>77</v>
      </c>
      <c r="C3443" t="s">
        <v>150</v>
      </c>
      <c r="D3443">
        <v>5000</v>
      </c>
      <c r="E3443">
        <v>5000</v>
      </c>
      <c r="F3443">
        <v>5.4909999999999997</v>
      </c>
      <c r="G3443">
        <v>-3905.95</v>
      </c>
      <c r="H3443">
        <v>-14.23</v>
      </c>
      <c r="I3443">
        <v>23550</v>
      </c>
      <c r="J3443">
        <v>4.71</v>
      </c>
      <c r="K3443" s="133">
        <v>4.3325674347563639E-2</v>
      </c>
      <c r="L3443" s="181">
        <v>-800</v>
      </c>
      <c r="M3443" s="133">
        <v>5.0511573189086618E-2</v>
      </c>
      <c r="N3443" s="73">
        <v>-2310.8940000000039</v>
      </c>
      <c r="O3443" s="73">
        <v>-352.82427933723278</v>
      </c>
      <c r="P3443" s="182">
        <v>5</v>
      </c>
      <c r="Q3443" s="182">
        <v>2500</v>
      </c>
      <c r="R3443" s="46">
        <v>4.266</v>
      </c>
      <c r="S3443" s="46">
        <v>0</v>
      </c>
      <c r="T3443" s="46">
        <v>0</v>
      </c>
      <c r="U3443" s="46">
        <v>0</v>
      </c>
      <c r="V3443" s="46" t="s">
        <v>62</v>
      </c>
      <c r="W3443" s="46">
        <v>2500</v>
      </c>
      <c r="X3443" s="46">
        <v>4.266</v>
      </c>
      <c r="AF3443" s="46">
        <v>51</v>
      </c>
      <c r="AG3443" s="46">
        <v>25500</v>
      </c>
      <c r="AH3443" s="46">
        <v>175539</v>
      </c>
      <c r="AI3443" s="46">
        <v>6.8840000000000003</v>
      </c>
      <c r="AJ3443" s="46">
        <v>51</v>
      </c>
      <c r="AK3443" s="46">
        <v>23000</v>
      </c>
      <c r="AL3443" s="46">
        <v>158480.10600000003</v>
      </c>
      <c r="AM3443" s="46">
        <v>6.89</v>
      </c>
      <c r="AN3443" s="46" t="s">
        <v>63</v>
      </c>
      <c r="AO3443" s="46">
        <v>2500</v>
      </c>
      <c r="AP3443" s="46">
        <v>17058.894</v>
      </c>
      <c r="AQ3443" s="46">
        <v>6.8239999999999998</v>
      </c>
      <c r="AR3443" s="46">
        <v>138</v>
      </c>
      <c r="AS3443" s="46">
        <v>56</v>
      </c>
      <c r="AT3443" s="46">
        <v>28000</v>
      </c>
      <c r="AU3443" s="46">
        <v>185941</v>
      </c>
      <c r="AV3443" s="46">
        <v>6.641</v>
      </c>
      <c r="AW3443" s="46">
        <v>51</v>
      </c>
      <c r="AX3443" s="46">
        <v>23000</v>
      </c>
      <c r="AY3443" s="46">
        <v>158480.10600000003</v>
      </c>
      <c r="AZ3443" s="46">
        <v>6.89</v>
      </c>
      <c r="BA3443" s="46" t="s">
        <v>63</v>
      </c>
      <c r="BB3443" s="46">
        <v>5000</v>
      </c>
      <c r="BC3443" s="46">
        <v>27460.894</v>
      </c>
      <c r="BD3443" s="46">
        <v>5.492</v>
      </c>
      <c r="BE3443" s="46">
        <v>5727</v>
      </c>
      <c r="BF3443" s="46">
        <v>10402</v>
      </c>
      <c r="BG3443" s="46">
        <v>4.16</v>
      </c>
      <c r="BH3443" s="46">
        <v>0</v>
      </c>
      <c r="BJ3443">
        <v>10402</v>
      </c>
      <c r="BK3443">
        <v>4.16</v>
      </c>
      <c r="BL3443">
        <v>29.3</v>
      </c>
    </row>
    <row r="3444" spans="1:64" x14ac:dyDescent="0.25">
      <c r="A3444" s="136">
        <v>43578</v>
      </c>
      <c r="B3444" t="s">
        <v>67</v>
      </c>
      <c r="C3444" t="s">
        <v>129</v>
      </c>
      <c r="D3444">
        <v>230</v>
      </c>
      <c r="E3444">
        <v>230</v>
      </c>
      <c r="F3444">
        <v>-11.728999999999999</v>
      </c>
      <c r="G3444">
        <v>4569.87</v>
      </c>
      <c r="H3444">
        <v>0</v>
      </c>
      <c r="I3444">
        <v>1872.2</v>
      </c>
      <c r="J3444">
        <v>8.14</v>
      </c>
      <c r="K3444" s="133">
        <v>3.4443451173464391E-3</v>
      </c>
      <c r="L3444" s="181">
        <v>-55.199999999999818</v>
      </c>
      <c r="M3444" s="133">
        <v>0</v>
      </c>
      <c r="N3444" s="73">
        <v>4362.583499999957</v>
      </c>
      <c r="O3444" s="73">
        <v>600.60636477272476</v>
      </c>
      <c r="P3444" s="182">
        <v>1</v>
      </c>
      <c r="Q3444" s="182">
        <v>30</v>
      </c>
      <c r="R3444" s="46">
        <v>0</v>
      </c>
      <c r="S3444" s="46">
        <v>24</v>
      </c>
      <c r="T3444" s="46">
        <v>9600</v>
      </c>
      <c r="U3444" s="46">
        <v>8.9429999999999996</v>
      </c>
      <c r="V3444" s="46" t="s">
        <v>68</v>
      </c>
      <c r="W3444" s="46">
        <v>9570</v>
      </c>
      <c r="X3444" s="46">
        <v>8.9710000000000001</v>
      </c>
      <c r="AF3444" s="46">
        <v>193</v>
      </c>
      <c r="AG3444" s="46">
        <v>95500</v>
      </c>
      <c r="AH3444" s="46">
        <v>795318</v>
      </c>
      <c r="AI3444" s="46">
        <v>8.3279999999999994</v>
      </c>
      <c r="AJ3444" s="46">
        <v>197</v>
      </c>
      <c r="AK3444" s="46">
        <v>88300</v>
      </c>
      <c r="AL3444" s="46">
        <v>781491.25550000009</v>
      </c>
      <c r="AM3444" s="46">
        <v>8.85</v>
      </c>
      <c r="AN3444" s="46" t="s">
        <v>63</v>
      </c>
      <c r="AO3444" s="46">
        <v>7200</v>
      </c>
      <c r="AP3444" s="46">
        <v>13826.744000000001</v>
      </c>
      <c r="AQ3444" s="46">
        <v>1.92</v>
      </c>
      <c r="AR3444" s="46">
        <v>46092.6</v>
      </c>
      <c r="AS3444" s="46">
        <v>194</v>
      </c>
      <c r="AT3444" s="46">
        <v>95530</v>
      </c>
      <c r="AU3444" s="46">
        <v>795323</v>
      </c>
      <c r="AV3444" s="46">
        <v>8.3249999999999993</v>
      </c>
      <c r="AW3444" s="46">
        <v>221</v>
      </c>
      <c r="AX3444" s="46">
        <v>97900</v>
      </c>
      <c r="AY3444" s="46">
        <v>867143.89950000017</v>
      </c>
      <c r="AZ3444" s="46">
        <v>8.8569999999999993</v>
      </c>
      <c r="BA3444" s="46" t="s">
        <v>69</v>
      </c>
      <c r="BB3444" s="46">
        <v>2370</v>
      </c>
      <c r="BC3444" s="46">
        <v>71820.899999999994</v>
      </c>
      <c r="BD3444" s="46">
        <v>30.303999999999998</v>
      </c>
      <c r="BE3444" s="46">
        <v>50821.96</v>
      </c>
      <c r="BF3444" s="46">
        <v>5</v>
      </c>
      <c r="BG3444" s="46">
        <v>0.17</v>
      </c>
      <c r="BH3444" s="46">
        <v>85652.644000000088</v>
      </c>
      <c r="BI3444">
        <v>8.92</v>
      </c>
      <c r="BJ3444">
        <v>57994.155999999995</v>
      </c>
      <c r="BK3444">
        <v>6.06</v>
      </c>
      <c r="BL3444">
        <v>5662.48</v>
      </c>
    </row>
    <row r="3445" spans="1:64" x14ac:dyDescent="0.25">
      <c r="A3445" s="136">
        <v>43578</v>
      </c>
      <c r="B3445" t="s">
        <v>78</v>
      </c>
      <c r="C3445" t="s">
        <v>142</v>
      </c>
      <c r="D3445">
        <v>200</v>
      </c>
      <c r="E3445">
        <v>200</v>
      </c>
      <c r="F3445">
        <v>2.077</v>
      </c>
      <c r="G3445">
        <v>2014.65</v>
      </c>
      <c r="H3445">
        <v>484.99</v>
      </c>
      <c r="I3445">
        <v>2430</v>
      </c>
      <c r="J3445">
        <v>12.15</v>
      </c>
      <c r="K3445" s="133">
        <v>4.4705472893664389E-3</v>
      </c>
      <c r="L3445" s="181">
        <v>130</v>
      </c>
      <c r="M3445" s="133">
        <v>7.6413243483059671E-4</v>
      </c>
      <c r="N3445" s="73">
        <v>1454.650999999996</v>
      </c>
      <c r="O3445" s="73">
        <v>155.49985823529371</v>
      </c>
      <c r="P3445" s="182">
        <v>0</v>
      </c>
      <c r="Q3445" s="182">
        <v>0</v>
      </c>
      <c r="R3445" s="46">
        <v>0</v>
      </c>
      <c r="S3445" s="46">
        <v>3</v>
      </c>
      <c r="T3445" s="46">
        <v>1200</v>
      </c>
      <c r="U3445" s="46">
        <v>9.923</v>
      </c>
      <c r="V3445" s="46" t="s">
        <v>68</v>
      </c>
      <c r="W3445" s="46">
        <v>1200</v>
      </c>
      <c r="X3445" s="46">
        <v>9.923</v>
      </c>
      <c r="AF3445" s="46">
        <v>14</v>
      </c>
      <c r="AG3445" s="46">
        <v>7000</v>
      </c>
      <c r="AH3445" s="46">
        <v>67625</v>
      </c>
      <c r="AI3445" s="46">
        <v>9.6609999999999996</v>
      </c>
      <c r="AJ3445" s="46">
        <v>15</v>
      </c>
      <c r="AK3445" s="46">
        <v>5600</v>
      </c>
      <c r="AL3445" s="46">
        <v>55310.559000000008</v>
      </c>
      <c r="AM3445" s="46">
        <v>9.8770000000000007</v>
      </c>
      <c r="AN3445" s="46" t="s">
        <v>63</v>
      </c>
      <c r="AO3445" s="46">
        <v>1400</v>
      </c>
      <c r="AP3445" s="46">
        <v>12314.441000000001</v>
      </c>
      <c r="AQ3445" s="46">
        <v>8.7959999999999994</v>
      </c>
      <c r="AR3445" s="46">
        <v>1209.5999999999999</v>
      </c>
      <c r="AS3445" s="46">
        <v>14</v>
      </c>
      <c r="AT3445" s="46">
        <v>7000</v>
      </c>
      <c r="AU3445" s="46">
        <v>67625</v>
      </c>
      <c r="AV3445" s="46">
        <v>9.6609999999999996</v>
      </c>
      <c r="AW3445" s="46">
        <v>18</v>
      </c>
      <c r="AX3445" s="46">
        <v>6800</v>
      </c>
      <c r="AY3445" s="46">
        <v>67209.651000000013</v>
      </c>
      <c r="AZ3445" s="46">
        <v>9.8840000000000003</v>
      </c>
      <c r="BA3445" s="46" t="s">
        <v>63</v>
      </c>
      <c r="BB3445" s="46">
        <v>200</v>
      </c>
      <c r="BC3445" s="46">
        <v>415.34899999999999</v>
      </c>
      <c r="BD3445" s="46">
        <v>2.077</v>
      </c>
      <c r="BE3445" s="46">
        <v>1516.4</v>
      </c>
      <c r="BF3445" s="46">
        <v>0</v>
      </c>
      <c r="BH3445" s="46">
        <v>11899.092000000004</v>
      </c>
      <c r="BI3445">
        <v>9.92</v>
      </c>
      <c r="BJ3445">
        <v>-11899.092000000001</v>
      </c>
      <c r="BK3445">
        <v>-9.92</v>
      </c>
      <c r="BL3445">
        <v>99.56</v>
      </c>
    </row>
    <row r="3446" spans="1:64" x14ac:dyDescent="0.25">
      <c r="A3446" s="136">
        <v>43578</v>
      </c>
      <c r="B3446" t="s">
        <v>72</v>
      </c>
      <c r="C3446" t="s">
        <v>130</v>
      </c>
      <c r="D3446">
        <v>100</v>
      </c>
      <c r="E3446">
        <v>100</v>
      </c>
      <c r="F3446">
        <v>-18.477</v>
      </c>
      <c r="G3446">
        <v>2430.6999999999998</v>
      </c>
      <c r="H3446">
        <v>0</v>
      </c>
      <c r="I3446">
        <v>583</v>
      </c>
      <c r="J3446">
        <v>5.83</v>
      </c>
      <c r="K3446" s="133">
        <v>1.0725634031689853E-3</v>
      </c>
      <c r="L3446" s="181">
        <v>-37</v>
      </c>
      <c r="M3446" s="133">
        <v>0</v>
      </c>
      <c r="N3446" s="73">
        <v>-1498.9659999999872</v>
      </c>
      <c r="O3446" s="73">
        <v>376.42007904191922</v>
      </c>
      <c r="P3446" s="182">
        <v>0</v>
      </c>
      <c r="Q3446" s="182">
        <v>0</v>
      </c>
      <c r="R3446" s="46">
        <v>0</v>
      </c>
      <c r="S3446" s="46">
        <v>20</v>
      </c>
      <c r="T3446" s="46">
        <v>8600</v>
      </c>
      <c r="U3446" s="46">
        <v>7.3840000000000003</v>
      </c>
      <c r="V3446" s="46" t="s">
        <v>68</v>
      </c>
      <c r="W3446" s="46">
        <v>8600</v>
      </c>
      <c r="X3446" s="46">
        <v>7.3840000000000003</v>
      </c>
      <c r="AF3446" s="46">
        <v>42</v>
      </c>
      <c r="AG3446" s="46">
        <v>20900</v>
      </c>
      <c r="AH3446" s="46">
        <v>152800</v>
      </c>
      <c r="AI3446" s="46">
        <v>7.3109999999999999</v>
      </c>
      <c r="AJ3446" s="46">
        <v>42</v>
      </c>
      <c r="AK3446" s="46">
        <v>18800</v>
      </c>
      <c r="AL3446" s="46">
        <v>92037.725000000035</v>
      </c>
      <c r="AM3446" s="46">
        <v>4.8959999999999999</v>
      </c>
      <c r="AN3446" s="46" t="s">
        <v>63</v>
      </c>
      <c r="AO3446" s="46">
        <v>2100</v>
      </c>
      <c r="AP3446" s="46">
        <v>60762.275000000001</v>
      </c>
      <c r="AQ3446" s="46">
        <v>28.934000000000001</v>
      </c>
      <c r="AR3446" s="46">
        <v>-45402</v>
      </c>
      <c r="AS3446" s="46">
        <v>42</v>
      </c>
      <c r="AT3446" s="46">
        <v>20900</v>
      </c>
      <c r="AU3446" s="46">
        <v>152800</v>
      </c>
      <c r="AV3446" s="46">
        <v>7.3109999999999999</v>
      </c>
      <c r="AW3446" s="46">
        <v>63</v>
      </c>
      <c r="AX3446" s="46">
        <v>27900</v>
      </c>
      <c r="AY3446" s="46">
        <v>155380.21900000001</v>
      </c>
      <c r="AZ3446" s="46">
        <v>5.569</v>
      </c>
      <c r="BA3446" s="46" t="s">
        <v>69</v>
      </c>
      <c r="BB3446" s="46">
        <v>7000</v>
      </c>
      <c r="BC3446" s="46">
        <v>2580.2190000000001</v>
      </c>
      <c r="BD3446" s="46">
        <v>0.36899999999999999</v>
      </c>
      <c r="BE3446" s="46">
        <v>-36407.800000000003</v>
      </c>
      <c r="BF3446" s="46">
        <v>0</v>
      </c>
      <c r="BH3446" s="46">
        <v>63342.493999999977</v>
      </c>
      <c r="BI3446">
        <v>7.37</v>
      </c>
      <c r="BJ3446">
        <v>-58182.056000000004</v>
      </c>
      <c r="BK3446">
        <v>-6.77</v>
      </c>
      <c r="BL3446">
        <v>-7787.65</v>
      </c>
    </row>
    <row r="3447" spans="1:64" x14ac:dyDescent="0.25">
      <c r="A3447" s="136">
        <v>43578</v>
      </c>
      <c r="B3447" t="s">
        <v>70</v>
      </c>
      <c r="C3447" t="s">
        <v>131</v>
      </c>
      <c r="D3447">
        <v>11300</v>
      </c>
      <c r="E3447">
        <v>10800</v>
      </c>
      <c r="F3447">
        <v>11.295</v>
      </c>
      <c r="G3447">
        <v>-15089.95</v>
      </c>
      <c r="H3447">
        <v>-11.82</v>
      </c>
      <c r="I3447">
        <v>112548</v>
      </c>
      <c r="J3447">
        <v>9.9600000000000009</v>
      </c>
      <c r="K3447" s="133">
        <v>0.20705808902206338</v>
      </c>
      <c r="L3447" s="181">
        <v>-5340</v>
      </c>
      <c r="M3447" s="133">
        <v>0.23481954378304076</v>
      </c>
      <c r="N3447" s="73">
        <v>-16562.937000000034</v>
      </c>
      <c r="O3447" s="73">
        <v>-1684.0951710579893</v>
      </c>
      <c r="P3447" s="182">
        <v>0</v>
      </c>
      <c r="Q3447" s="182">
        <v>0</v>
      </c>
      <c r="R3447" s="46">
        <v>0</v>
      </c>
      <c r="S3447" s="46">
        <v>8</v>
      </c>
      <c r="T3447" s="46">
        <v>3200</v>
      </c>
      <c r="U3447" s="46">
        <v>9.016</v>
      </c>
      <c r="V3447" s="46" t="s">
        <v>68</v>
      </c>
      <c r="W3447" s="46">
        <v>3200</v>
      </c>
      <c r="X3447" s="46">
        <v>9.016</v>
      </c>
      <c r="AF3447" s="46">
        <v>158</v>
      </c>
      <c r="AG3447" s="46">
        <v>80600</v>
      </c>
      <c r="AH3447" s="46">
        <v>992258</v>
      </c>
      <c r="AI3447" s="46">
        <v>12.311</v>
      </c>
      <c r="AJ3447" s="46">
        <v>164</v>
      </c>
      <c r="AK3447" s="46">
        <v>66100</v>
      </c>
      <c r="AL3447" s="46">
        <v>835427.91499999969</v>
      </c>
      <c r="AM3447" s="46">
        <v>12.638999999999999</v>
      </c>
      <c r="AN3447" s="46" t="s">
        <v>63</v>
      </c>
      <c r="AO3447" s="46">
        <v>14500</v>
      </c>
      <c r="AP3447" s="46">
        <v>156830.08499999999</v>
      </c>
      <c r="AQ3447" s="46">
        <v>10.816000000000001</v>
      </c>
      <c r="AR3447" s="46">
        <v>21680.799999999999</v>
      </c>
      <c r="AS3447" s="46">
        <v>158</v>
      </c>
      <c r="AT3447" s="46">
        <v>80600</v>
      </c>
      <c r="AU3447" s="46">
        <v>992258</v>
      </c>
      <c r="AV3447" s="46">
        <v>12.311</v>
      </c>
      <c r="AW3447" s="46">
        <v>173</v>
      </c>
      <c r="AX3447" s="46">
        <v>69300</v>
      </c>
      <c r="AY3447" s="46">
        <v>864616.06299999962</v>
      </c>
      <c r="AZ3447" s="46">
        <v>12.476000000000001</v>
      </c>
      <c r="BA3447" s="46" t="s">
        <v>63</v>
      </c>
      <c r="BB3447" s="46">
        <v>11300</v>
      </c>
      <c r="BC3447" s="46">
        <v>127641.93700000001</v>
      </c>
      <c r="BD3447" s="46">
        <v>11.295999999999999</v>
      </c>
      <c r="BE3447" s="46">
        <v>11434.5</v>
      </c>
      <c r="BF3447" s="46">
        <v>0</v>
      </c>
      <c r="BH3447" s="46">
        <v>29188.147999999928</v>
      </c>
      <c r="BI3447">
        <v>9.1199999999999992</v>
      </c>
      <c r="BJ3447">
        <v>-29188.147999999986</v>
      </c>
      <c r="BK3447">
        <v>-9.1199999999999992</v>
      </c>
      <c r="BL3447">
        <v>2176.79</v>
      </c>
    </row>
    <row r="3448" spans="1:64" x14ac:dyDescent="0.25">
      <c r="A3448" s="136">
        <v>43578</v>
      </c>
      <c r="B3448" t="s">
        <v>628</v>
      </c>
      <c r="C3448" t="s">
        <v>629</v>
      </c>
      <c r="D3448">
        <v>100</v>
      </c>
      <c r="E3448">
        <v>100</v>
      </c>
      <c r="F3448">
        <v>-22.33</v>
      </c>
      <c r="G3448">
        <v>3642</v>
      </c>
      <c r="H3448">
        <v>0</v>
      </c>
      <c r="I3448">
        <v>1409</v>
      </c>
      <c r="J3448">
        <v>14.09</v>
      </c>
      <c r="K3448" s="133">
        <v>2.5921815352746144E-3</v>
      </c>
      <c r="L3448" s="181">
        <v>27</v>
      </c>
      <c r="M3448" s="133">
        <v>0</v>
      </c>
    </row>
    <row r="3449" spans="1:64" x14ac:dyDescent="0.25">
      <c r="A3449" s="136">
        <v>43578</v>
      </c>
      <c r="B3449" t="s">
        <v>630</v>
      </c>
      <c r="C3449" t="s">
        <v>631</v>
      </c>
      <c r="D3449">
        <v>100</v>
      </c>
      <c r="E3449">
        <v>100</v>
      </c>
      <c r="F3449">
        <v>-94.45</v>
      </c>
      <c r="G3449">
        <v>12570</v>
      </c>
      <c r="H3449">
        <v>0</v>
      </c>
      <c r="I3449">
        <v>3125</v>
      </c>
      <c r="J3449">
        <v>31.25</v>
      </c>
      <c r="K3449" s="133">
        <v>5.749160608753137E-3</v>
      </c>
      <c r="L3449" s="181">
        <v>83</v>
      </c>
      <c r="M3449" s="133">
        <v>0</v>
      </c>
    </row>
    <row r="3450" spans="1:64" x14ac:dyDescent="0.25">
      <c r="A3450" s="136">
        <v>43578</v>
      </c>
      <c r="B3450" t="s">
        <v>137</v>
      </c>
      <c r="C3450" t="s">
        <v>149</v>
      </c>
      <c r="D3450">
        <v>100</v>
      </c>
      <c r="E3450">
        <v>100</v>
      </c>
      <c r="F3450">
        <v>-130.86000000000001</v>
      </c>
      <c r="G3450">
        <v>16955</v>
      </c>
      <c r="H3450">
        <v>0</v>
      </c>
      <c r="I3450">
        <v>3869</v>
      </c>
      <c r="J3450">
        <v>38.69</v>
      </c>
      <c r="K3450" s="133">
        <v>7.1179207664850835E-3</v>
      </c>
      <c r="L3450" s="181">
        <v>9</v>
      </c>
      <c r="M3450" s="133">
        <v>0</v>
      </c>
    </row>
    <row r="3451" spans="1:64" x14ac:dyDescent="0.25">
      <c r="A3451" s="136">
        <v>43578</v>
      </c>
      <c r="B3451" t="s">
        <v>835</v>
      </c>
      <c r="C3451" t="s">
        <v>839</v>
      </c>
      <c r="I3451">
        <v>3809.48</v>
      </c>
      <c r="K3451" s="133">
        <v>7.0084199538665275E-3</v>
      </c>
      <c r="L3451" s="181">
        <v>0</v>
      </c>
      <c r="M3451" s="133">
        <v>0.16897235603048588</v>
      </c>
    </row>
    <row r="3452" spans="1:64" x14ac:dyDescent="0.25">
      <c r="A3452" s="136">
        <v>43579</v>
      </c>
      <c r="B3452" t="s">
        <v>132</v>
      </c>
      <c r="C3452" t="s">
        <v>123</v>
      </c>
      <c r="D3452">
        <v>7504417</v>
      </c>
      <c r="E3452">
        <v>7504417</v>
      </c>
      <c r="F3452">
        <v>8.9999999999999993E-3</v>
      </c>
      <c r="G3452">
        <v>3955.02</v>
      </c>
      <c r="H3452">
        <v>11.11</v>
      </c>
      <c r="I3452">
        <v>75044.17</v>
      </c>
      <c r="J3452">
        <v>0.01</v>
      </c>
      <c r="K3452" s="133">
        <v>0.13524962487165831</v>
      </c>
      <c r="L3452" s="181">
        <v>7.4400000000000546</v>
      </c>
      <c r="M3452" s="133">
        <v>0</v>
      </c>
    </row>
    <row r="3453" spans="1:64" x14ac:dyDescent="0.25">
      <c r="A3453" s="136">
        <v>43579</v>
      </c>
      <c r="B3453" t="s">
        <v>61</v>
      </c>
      <c r="C3453" t="s">
        <v>136</v>
      </c>
      <c r="D3453">
        <v>2500</v>
      </c>
      <c r="E3453">
        <v>2000</v>
      </c>
      <c r="F3453">
        <v>4.931</v>
      </c>
      <c r="G3453">
        <v>-426.57</v>
      </c>
      <c r="H3453">
        <v>-3.46</v>
      </c>
      <c r="I3453">
        <v>11900</v>
      </c>
      <c r="J3453">
        <v>4.76</v>
      </c>
      <c r="K3453" s="133">
        <v>2.1446976307056685E-2</v>
      </c>
      <c r="L3453" s="181">
        <v>74.949999999999989</v>
      </c>
      <c r="M3453" s="133">
        <v>2.2215769305653419E-2</v>
      </c>
      <c r="N3453" s="73">
        <v>-530.39300000000367</v>
      </c>
      <c r="O3453" s="73">
        <v>-112.315212605933</v>
      </c>
      <c r="P3453" s="182">
        <v>1</v>
      </c>
      <c r="Q3453" s="182">
        <v>500</v>
      </c>
      <c r="R3453" s="46">
        <v>4.72</v>
      </c>
      <c r="S3453" s="46">
        <v>0</v>
      </c>
      <c r="T3453" s="46">
        <v>0</v>
      </c>
      <c r="U3453" s="46">
        <v>0</v>
      </c>
      <c r="V3453" s="46" t="s">
        <v>62</v>
      </c>
      <c r="W3453" s="46">
        <v>500</v>
      </c>
      <c r="X3453" s="46">
        <v>4.72</v>
      </c>
      <c r="AF3453" s="46">
        <v>21</v>
      </c>
      <c r="AG3453" s="46">
        <v>10500</v>
      </c>
      <c r="AH3453" s="46">
        <v>52226.3</v>
      </c>
      <c r="AI3453" s="46">
        <v>4.9740000000000002</v>
      </c>
      <c r="AJ3453" s="46">
        <v>21</v>
      </c>
      <c r="AK3453" s="46">
        <v>8500</v>
      </c>
      <c r="AL3453" s="46">
        <v>42261.206999999988</v>
      </c>
      <c r="AM3453" s="46">
        <v>4.9720000000000004</v>
      </c>
      <c r="AN3453" s="46" t="s">
        <v>63</v>
      </c>
      <c r="AO3453" s="46">
        <v>2000</v>
      </c>
      <c r="AP3453" s="46">
        <v>9965.0930000000008</v>
      </c>
      <c r="AQ3453" s="46">
        <v>4.9829999999999997</v>
      </c>
      <c r="AR3453" s="46">
        <v>-17</v>
      </c>
      <c r="AS3453" s="46">
        <v>22</v>
      </c>
      <c r="AT3453" s="46">
        <v>11000</v>
      </c>
      <c r="AU3453" s="46">
        <v>54591.600000000006</v>
      </c>
      <c r="AV3453" s="46">
        <v>4.9630000000000001</v>
      </c>
      <c r="AW3453" s="46">
        <v>21</v>
      </c>
      <c r="AX3453" s="46">
        <v>8500</v>
      </c>
      <c r="AY3453" s="46">
        <v>42261.206999999988</v>
      </c>
      <c r="AZ3453" s="46">
        <v>4.9720000000000004</v>
      </c>
      <c r="BA3453" s="46" t="s">
        <v>63</v>
      </c>
      <c r="BB3453" s="46">
        <v>2500</v>
      </c>
      <c r="BC3453" s="46">
        <v>12330.393</v>
      </c>
      <c r="BD3453" s="46">
        <v>4.9320000000000004</v>
      </c>
      <c r="BE3453" s="46">
        <v>76.5</v>
      </c>
      <c r="BF3453" s="46">
        <v>2365.3000000000029</v>
      </c>
      <c r="BG3453" s="46">
        <v>4.7300000000000004</v>
      </c>
      <c r="BH3453" s="46">
        <v>0</v>
      </c>
      <c r="BJ3453">
        <v>2365.2999999999993</v>
      </c>
      <c r="BK3453">
        <v>4.7300000000000004</v>
      </c>
      <c r="BL3453">
        <v>-3.57</v>
      </c>
    </row>
    <row r="3454" spans="1:64" x14ac:dyDescent="0.25">
      <c r="A3454" s="136">
        <v>43579</v>
      </c>
      <c r="B3454" t="s">
        <v>124</v>
      </c>
      <c r="C3454" t="s">
        <v>125</v>
      </c>
      <c r="D3454">
        <v>100</v>
      </c>
      <c r="E3454">
        <v>100</v>
      </c>
      <c r="F3454">
        <v>-53.82</v>
      </c>
      <c r="G3454">
        <v>5963</v>
      </c>
      <c r="H3454">
        <v>0</v>
      </c>
      <c r="I3454">
        <v>581</v>
      </c>
      <c r="J3454">
        <v>5.81</v>
      </c>
      <c r="K3454" s="133">
        <v>1.0471170785210028E-3</v>
      </c>
      <c r="L3454" s="181">
        <v>0</v>
      </c>
      <c r="M3454" s="133">
        <v>0</v>
      </c>
      <c r="N3454" s="73">
        <v>5573.0690000000113</v>
      </c>
      <c r="O3454" s="73">
        <v>1102.4501845505636</v>
      </c>
      <c r="P3454" s="182">
        <v>0</v>
      </c>
      <c r="Q3454" s="182">
        <v>0</v>
      </c>
      <c r="R3454" s="46">
        <v>0</v>
      </c>
      <c r="S3454" s="46">
        <v>5</v>
      </c>
      <c r="T3454" s="46">
        <v>2300</v>
      </c>
      <c r="U3454" s="46">
        <v>4.99</v>
      </c>
      <c r="V3454" s="46" t="s">
        <v>68</v>
      </c>
      <c r="W3454" s="46">
        <v>2300</v>
      </c>
      <c r="X3454" s="46">
        <v>4.99</v>
      </c>
      <c r="AF3454" s="46">
        <v>50</v>
      </c>
      <c r="AG3454" s="46">
        <v>36700</v>
      </c>
      <c r="AH3454" s="46">
        <v>180101.02000000002</v>
      </c>
      <c r="AI3454" s="46">
        <v>4.907</v>
      </c>
      <c r="AJ3454" s="46">
        <v>58</v>
      </c>
      <c r="AK3454" s="46">
        <v>35300</v>
      </c>
      <c r="AL3454" s="46">
        <v>178266.546</v>
      </c>
      <c r="AM3454" s="46">
        <v>5.05</v>
      </c>
      <c r="AN3454" s="46" t="s">
        <v>63</v>
      </c>
      <c r="AO3454" s="46">
        <v>1400</v>
      </c>
      <c r="AP3454" s="46">
        <v>1834.4739999999999</v>
      </c>
      <c r="AQ3454" s="46">
        <v>1.31</v>
      </c>
      <c r="AR3454" s="46">
        <v>5047.8999999999996</v>
      </c>
      <c r="AS3454" s="46">
        <v>51</v>
      </c>
      <c r="AT3454" s="46">
        <v>37700</v>
      </c>
      <c r="AU3454" s="46">
        <v>185106.62</v>
      </c>
      <c r="AV3454" s="46">
        <v>4.91</v>
      </c>
      <c r="AW3454" s="46">
        <v>63</v>
      </c>
      <c r="AX3454" s="46">
        <v>37600</v>
      </c>
      <c r="AY3454" s="46">
        <v>189713.68900000001</v>
      </c>
      <c r="AZ3454" s="46">
        <v>5.0460000000000003</v>
      </c>
      <c r="BA3454" s="46" t="s">
        <v>63</v>
      </c>
      <c r="BB3454" s="46">
        <v>100</v>
      </c>
      <c r="BC3454" s="46">
        <v>4607.0690000000004</v>
      </c>
      <c r="BD3454" s="46">
        <v>46.070999999999998</v>
      </c>
      <c r="BE3454" s="46">
        <v>5113.6000000000004</v>
      </c>
      <c r="BF3454" s="46">
        <v>5005.5999999999767</v>
      </c>
      <c r="BH3454" s="46">
        <v>11447.143000000011</v>
      </c>
      <c r="BI3454">
        <v>4.9800000000000004</v>
      </c>
      <c r="BJ3454">
        <v>2772.5950000000003</v>
      </c>
      <c r="BK3454">
        <v>1.21</v>
      </c>
      <c r="BL3454">
        <v>868.83</v>
      </c>
    </row>
    <row r="3455" spans="1:64" x14ac:dyDescent="0.25">
      <c r="A3455" s="136">
        <v>43579</v>
      </c>
      <c r="B3455" t="s">
        <v>71</v>
      </c>
      <c r="C3455" t="s">
        <v>126</v>
      </c>
      <c r="D3455">
        <v>2400</v>
      </c>
      <c r="E3455">
        <v>900</v>
      </c>
      <c r="F3455">
        <v>5.09</v>
      </c>
      <c r="G3455">
        <v>3023.18</v>
      </c>
      <c r="H3455">
        <v>24.75</v>
      </c>
      <c r="I3455">
        <v>15240</v>
      </c>
      <c r="J3455">
        <v>6.35</v>
      </c>
      <c r="K3455" s="133">
        <v>2.7466547808365029E-2</v>
      </c>
      <c r="L3455" s="181">
        <v>24.809999999999945</v>
      </c>
      <c r="M3455" s="133">
        <v>2.2017970511561027E-2</v>
      </c>
      <c r="N3455" s="73">
        <v>-12228.471999999994</v>
      </c>
      <c r="O3455" s="73">
        <v>468.72728846761544</v>
      </c>
      <c r="P3455" s="182">
        <v>1</v>
      </c>
      <c r="Q3455" s="182">
        <v>1500</v>
      </c>
      <c r="R3455" s="46">
        <v>6.33</v>
      </c>
      <c r="S3455" s="46">
        <v>8</v>
      </c>
      <c r="T3455" s="46">
        <v>3100</v>
      </c>
      <c r="U3455" s="46">
        <v>6.4390000000000001</v>
      </c>
      <c r="V3455" s="46" t="s">
        <v>68</v>
      </c>
      <c r="W3455" s="46">
        <v>1600</v>
      </c>
      <c r="X3455" s="46">
        <v>6.5410000000000004</v>
      </c>
      <c r="AF3455" s="46">
        <v>53</v>
      </c>
      <c r="AG3455" s="46">
        <v>26600</v>
      </c>
      <c r="AH3455" s="46">
        <v>168836.92999999996</v>
      </c>
      <c r="AI3455" s="46">
        <v>6.3470000000000004</v>
      </c>
      <c r="AJ3455" s="46">
        <v>51</v>
      </c>
      <c r="AK3455" s="46">
        <v>22600</v>
      </c>
      <c r="AL3455" s="46">
        <v>146054.978</v>
      </c>
      <c r="AM3455" s="46">
        <v>6.4630000000000001</v>
      </c>
      <c r="AN3455" s="46" t="s">
        <v>63</v>
      </c>
      <c r="AO3455" s="46">
        <v>4000</v>
      </c>
      <c r="AP3455" s="46">
        <v>22781.952000000001</v>
      </c>
      <c r="AQ3455" s="46">
        <v>5.6950000000000003</v>
      </c>
      <c r="AR3455" s="46">
        <v>2621.6</v>
      </c>
      <c r="AS3455" s="46">
        <v>54</v>
      </c>
      <c r="AT3455" s="46">
        <v>28100</v>
      </c>
      <c r="AU3455" s="46">
        <v>178337.82999999996</v>
      </c>
      <c r="AV3455" s="46">
        <v>6.3470000000000004</v>
      </c>
      <c r="AW3455" s="46">
        <v>59</v>
      </c>
      <c r="AX3455" s="46">
        <v>25700</v>
      </c>
      <c r="AY3455" s="46">
        <v>165953.158</v>
      </c>
      <c r="AZ3455" s="46">
        <v>6.4569999999999999</v>
      </c>
      <c r="BA3455" s="46" t="s">
        <v>63</v>
      </c>
      <c r="BB3455" s="46">
        <v>2400</v>
      </c>
      <c r="BC3455" s="46">
        <v>12384.672</v>
      </c>
      <c r="BD3455" s="46">
        <v>5.16</v>
      </c>
      <c r="BE3455" s="46">
        <v>2827</v>
      </c>
      <c r="BF3455" s="46">
        <v>9500.8999999999942</v>
      </c>
      <c r="BG3455" s="46">
        <v>6.33</v>
      </c>
      <c r="BH3455" s="46">
        <v>19898.179999999993</v>
      </c>
      <c r="BI3455">
        <v>6.42</v>
      </c>
      <c r="BJ3455">
        <v>-10397.280000000001</v>
      </c>
      <c r="BK3455">
        <v>-6.5</v>
      </c>
      <c r="BL3455">
        <v>412.85</v>
      </c>
    </row>
    <row r="3456" spans="1:64" x14ac:dyDescent="0.25">
      <c r="A3456" s="136">
        <v>43579</v>
      </c>
      <c r="B3456" t="s">
        <v>79</v>
      </c>
      <c r="C3456" t="s">
        <v>143</v>
      </c>
      <c r="D3456">
        <v>10520</v>
      </c>
      <c r="E3456">
        <v>10520</v>
      </c>
      <c r="F3456">
        <v>10.603</v>
      </c>
      <c r="G3456">
        <v>-19489.72</v>
      </c>
      <c r="H3456">
        <v>-17.47</v>
      </c>
      <c r="I3456">
        <v>92050</v>
      </c>
      <c r="J3456">
        <v>8.75</v>
      </c>
      <c r="K3456" s="133">
        <v>0.1658986696692914</v>
      </c>
      <c r="L3456" s="181">
        <v>420.79999999999927</v>
      </c>
      <c r="M3456" s="133">
        <v>0.20102434723829718</v>
      </c>
      <c r="N3456" s="73">
        <v>-19719.140000000261</v>
      </c>
      <c r="O3456" s="73">
        <v>-2257.6495337915535</v>
      </c>
      <c r="P3456" s="182">
        <v>9</v>
      </c>
      <c r="Q3456" s="182">
        <v>6920</v>
      </c>
      <c r="R3456" s="46">
        <v>4.9669999999999996</v>
      </c>
      <c r="S3456" s="46">
        <v>0</v>
      </c>
      <c r="T3456" s="46">
        <v>0</v>
      </c>
      <c r="U3456" s="46">
        <v>0</v>
      </c>
      <c r="V3456" s="46" t="s">
        <v>62</v>
      </c>
      <c r="W3456" s="46">
        <v>6920</v>
      </c>
      <c r="X3456" s="46">
        <v>4.9669999999999996</v>
      </c>
      <c r="AF3456" s="46">
        <v>35</v>
      </c>
      <c r="AG3456" s="46">
        <v>18000</v>
      </c>
      <c r="AH3456" s="46">
        <v>262835.79999999981</v>
      </c>
      <c r="AI3456" s="46">
        <v>14.602</v>
      </c>
      <c r="AJ3456" s="46">
        <v>36</v>
      </c>
      <c r="AK3456" s="46">
        <v>14400</v>
      </c>
      <c r="AL3456" s="46">
        <v>185696.2119999998</v>
      </c>
      <c r="AM3456" s="46">
        <v>12.896000000000001</v>
      </c>
      <c r="AN3456" s="46" t="s">
        <v>63</v>
      </c>
      <c r="AO3456" s="46">
        <v>3600</v>
      </c>
      <c r="AP3456" s="46">
        <v>77139.588000000003</v>
      </c>
      <c r="AQ3456" s="46">
        <v>21.428000000000001</v>
      </c>
      <c r="AR3456" s="46">
        <v>-24566.400000000001</v>
      </c>
      <c r="AS3456" s="46">
        <v>44</v>
      </c>
      <c r="AT3456" s="46">
        <v>24920</v>
      </c>
      <c r="AU3456" s="46">
        <v>297254.9519999997</v>
      </c>
      <c r="AV3456" s="46">
        <v>11.928000000000001</v>
      </c>
      <c r="AW3456" s="46">
        <v>36</v>
      </c>
      <c r="AX3456" s="46">
        <v>14400</v>
      </c>
      <c r="AY3456" s="46">
        <v>185696.2119999998</v>
      </c>
      <c r="AZ3456" s="46">
        <v>12.896000000000001</v>
      </c>
      <c r="BA3456" s="46" t="s">
        <v>63</v>
      </c>
      <c r="BB3456" s="46">
        <v>10520</v>
      </c>
      <c r="BC3456" s="46">
        <v>111558.74</v>
      </c>
      <c r="BD3456" s="46">
        <v>10.603999999999999</v>
      </c>
      <c r="BE3456" s="46">
        <v>13939.2</v>
      </c>
      <c r="BF3456" s="46">
        <v>34419.151999999885</v>
      </c>
      <c r="BG3456" s="46">
        <v>4.97</v>
      </c>
      <c r="BH3456" s="46">
        <v>0</v>
      </c>
      <c r="BJ3456">
        <v>34419.152000000002</v>
      </c>
      <c r="BK3456">
        <v>4.97</v>
      </c>
      <c r="BL3456">
        <v>-2807.59</v>
      </c>
    </row>
    <row r="3457" spans="1:64" x14ac:dyDescent="0.25">
      <c r="A3457" s="136">
        <v>43579</v>
      </c>
      <c r="B3457" t="s">
        <v>65</v>
      </c>
      <c r="C3457" t="s">
        <v>127</v>
      </c>
      <c r="D3457">
        <v>23800</v>
      </c>
      <c r="E3457">
        <v>22800</v>
      </c>
      <c r="F3457">
        <v>8.8339999999999996</v>
      </c>
      <c r="G3457">
        <v>-6755</v>
      </c>
      <c r="H3457">
        <v>-3.21</v>
      </c>
      <c r="I3457">
        <v>203490</v>
      </c>
      <c r="J3457">
        <v>8.5500000000000007</v>
      </c>
      <c r="K3457" s="133">
        <v>0.36674329485066931</v>
      </c>
      <c r="L3457" s="181">
        <v>35</v>
      </c>
      <c r="M3457" s="133">
        <v>0.37891760787202794</v>
      </c>
      <c r="N3457" s="73">
        <v>-11989.413000000088</v>
      </c>
      <c r="O3457" s="73">
        <v>-905.2885511457373</v>
      </c>
      <c r="P3457" s="182">
        <v>7</v>
      </c>
      <c r="Q3457" s="182">
        <v>4500</v>
      </c>
      <c r="R3457" s="46">
        <v>8.5299999999999994</v>
      </c>
      <c r="S3457" s="46">
        <v>7</v>
      </c>
      <c r="T3457" s="46">
        <v>2800</v>
      </c>
      <c r="U3457" s="46">
        <v>8.5370000000000008</v>
      </c>
      <c r="V3457" s="46" t="s">
        <v>62</v>
      </c>
      <c r="W3457" s="46">
        <v>1700</v>
      </c>
      <c r="X3457" s="46">
        <v>8.5180000000000007</v>
      </c>
      <c r="AF3457" s="46">
        <v>232</v>
      </c>
      <c r="AG3457" s="46">
        <v>125000</v>
      </c>
      <c r="AH3457" s="46">
        <v>1336236.6810000001</v>
      </c>
      <c r="AI3457" s="46">
        <v>10.69</v>
      </c>
      <c r="AJ3457" s="46">
        <v>262</v>
      </c>
      <c r="AK3457" s="46">
        <v>112100</v>
      </c>
      <c r="AL3457" s="46">
        <v>1136431.1700000002</v>
      </c>
      <c r="AM3457" s="46">
        <v>10.138</v>
      </c>
      <c r="AN3457" s="46" t="s">
        <v>63</v>
      </c>
      <c r="AO3457" s="46">
        <v>12900</v>
      </c>
      <c r="AP3457" s="46">
        <v>199805.511</v>
      </c>
      <c r="AQ3457" s="46">
        <v>15.489000000000001</v>
      </c>
      <c r="AR3457" s="46">
        <v>-61879.199999999997</v>
      </c>
      <c r="AS3457" s="46">
        <v>240</v>
      </c>
      <c r="AT3457" s="46">
        <v>129600</v>
      </c>
      <c r="AU3457" s="46">
        <v>1375944.6810000001</v>
      </c>
      <c r="AV3457" s="46">
        <v>10.617000000000001</v>
      </c>
      <c r="AW3457" s="46">
        <v>269</v>
      </c>
      <c r="AX3457" s="46">
        <v>114900</v>
      </c>
      <c r="AY3457" s="46">
        <v>1160276.2660000001</v>
      </c>
      <c r="AZ3457" s="46">
        <v>10.098000000000001</v>
      </c>
      <c r="BA3457" s="46" t="s">
        <v>63</v>
      </c>
      <c r="BB3457" s="46">
        <v>14700</v>
      </c>
      <c r="BC3457" s="46">
        <v>215668.41500000001</v>
      </c>
      <c r="BD3457" s="46">
        <v>14.670999999999999</v>
      </c>
      <c r="BE3457" s="46">
        <v>-59633.1</v>
      </c>
      <c r="BF3457" s="46">
        <v>39708</v>
      </c>
      <c r="BG3457" s="46">
        <v>8.82</v>
      </c>
      <c r="BH3457" s="46">
        <v>23845.095999999903</v>
      </c>
      <c r="BI3457">
        <v>8.52</v>
      </c>
      <c r="BJ3457">
        <v>15862.90400000001</v>
      </c>
      <c r="BK3457">
        <v>9.33</v>
      </c>
      <c r="BL3457">
        <v>-7237.33</v>
      </c>
    </row>
    <row r="3458" spans="1:64" x14ac:dyDescent="0.25">
      <c r="A3458" s="136">
        <v>43579</v>
      </c>
      <c r="B3458" t="s">
        <v>77</v>
      </c>
      <c r="C3458" t="s">
        <v>150</v>
      </c>
      <c r="D3458">
        <v>5500</v>
      </c>
      <c r="E3458">
        <v>5000</v>
      </c>
      <c r="F3458">
        <v>5.4119999999999999</v>
      </c>
      <c r="G3458">
        <v>-4190.95</v>
      </c>
      <c r="H3458">
        <v>-14.08</v>
      </c>
      <c r="I3458">
        <v>25575</v>
      </c>
      <c r="J3458">
        <v>4.6500000000000004</v>
      </c>
      <c r="K3458" s="133">
        <v>4.6092976391006277E-2</v>
      </c>
      <c r="L3458" s="181">
        <v>-285</v>
      </c>
      <c r="M3458" s="133">
        <v>5.3646186924960836E-2</v>
      </c>
      <c r="N3458" s="73">
        <v>-4915.8940000000039</v>
      </c>
      <c r="O3458" s="73">
        <v>-957.41562971800522</v>
      </c>
      <c r="P3458" s="182">
        <v>6</v>
      </c>
      <c r="Q3458" s="182">
        <v>3000</v>
      </c>
      <c r="R3458" s="46">
        <v>4.3230000000000004</v>
      </c>
      <c r="S3458" s="46">
        <v>0</v>
      </c>
      <c r="T3458" s="46">
        <v>0</v>
      </c>
      <c r="U3458" s="46">
        <v>0</v>
      </c>
      <c r="V3458" s="46" t="s">
        <v>62</v>
      </c>
      <c r="W3458" s="46">
        <v>3000</v>
      </c>
      <c r="X3458" s="46">
        <v>4.3230000000000004</v>
      </c>
      <c r="AF3458" s="46">
        <v>51</v>
      </c>
      <c r="AG3458" s="46">
        <v>25500</v>
      </c>
      <c r="AH3458" s="46">
        <v>175539</v>
      </c>
      <c r="AI3458" s="46">
        <v>6.8840000000000003</v>
      </c>
      <c r="AJ3458" s="46">
        <v>51</v>
      </c>
      <c r="AK3458" s="46">
        <v>23000</v>
      </c>
      <c r="AL3458" s="46">
        <v>158480.10600000003</v>
      </c>
      <c r="AM3458" s="46">
        <v>6.89</v>
      </c>
      <c r="AN3458" s="46" t="s">
        <v>63</v>
      </c>
      <c r="AO3458" s="46">
        <v>2500</v>
      </c>
      <c r="AP3458" s="46">
        <v>17058.894</v>
      </c>
      <c r="AQ3458" s="46">
        <v>6.8239999999999998</v>
      </c>
      <c r="AR3458" s="46">
        <v>138</v>
      </c>
      <c r="AS3458" s="46">
        <v>57</v>
      </c>
      <c r="AT3458" s="46">
        <v>28500</v>
      </c>
      <c r="AU3458" s="46">
        <v>188251</v>
      </c>
      <c r="AV3458" s="46">
        <v>6.6050000000000004</v>
      </c>
      <c r="AW3458" s="46">
        <v>51</v>
      </c>
      <c r="AX3458" s="46">
        <v>23000</v>
      </c>
      <c r="AY3458" s="46">
        <v>158480.10600000003</v>
      </c>
      <c r="AZ3458" s="46">
        <v>6.89</v>
      </c>
      <c r="BA3458" s="46" t="s">
        <v>63</v>
      </c>
      <c r="BB3458" s="46">
        <v>5500</v>
      </c>
      <c r="BC3458" s="46">
        <v>29770.894</v>
      </c>
      <c r="BD3458" s="46">
        <v>5.4130000000000003</v>
      </c>
      <c r="BE3458" s="46">
        <v>6555</v>
      </c>
      <c r="BF3458" s="46">
        <v>12712</v>
      </c>
      <c r="BG3458" s="46">
        <v>4.24</v>
      </c>
      <c r="BH3458" s="46">
        <v>0</v>
      </c>
      <c r="BJ3458">
        <v>12712</v>
      </c>
      <c r="BK3458">
        <v>4.24</v>
      </c>
      <c r="BL3458">
        <v>29.68</v>
      </c>
    </row>
    <row r="3459" spans="1:64" x14ac:dyDescent="0.25">
      <c r="A3459" s="136">
        <v>43579</v>
      </c>
      <c r="B3459" t="s">
        <v>67</v>
      </c>
      <c r="C3459" t="s">
        <v>129</v>
      </c>
      <c r="D3459">
        <v>230</v>
      </c>
      <c r="E3459">
        <v>230</v>
      </c>
      <c r="F3459">
        <v>-11.728999999999999</v>
      </c>
      <c r="G3459">
        <v>4599.7700000000004</v>
      </c>
      <c r="H3459">
        <v>0</v>
      </c>
      <c r="I3459">
        <v>1902.1</v>
      </c>
      <c r="J3459">
        <v>8.27</v>
      </c>
      <c r="K3459" s="133">
        <v>3.4280919019876064E-3</v>
      </c>
      <c r="L3459" s="181">
        <v>29.900000000000546</v>
      </c>
      <c r="M3459" s="133">
        <v>0</v>
      </c>
      <c r="N3459" s="73">
        <v>4362.583499999957</v>
      </c>
      <c r="O3459" s="73">
        <v>600.60636477272476</v>
      </c>
      <c r="P3459" s="182">
        <v>1</v>
      </c>
      <c r="Q3459" s="182">
        <v>30</v>
      </c>
      <c r="R3459" s="46">
        <v>0</v>
      </c>
      <c r="S3459" s="46">
        <v>24</v>
      </c>
      <c r="T3459" s="46">
        <v>9600</v>
      </c>
      <c r="U3459" s="46">
        <v>8.9429999999999996</v>
      </c>
      <c r="V3459" s="46" t="s">
        <v>68</v>
      </c>
      <c r="W3459" s="46">
        <v>9570</v>
      </c>
      <c r="X3459" s="46">
        <v>8.9710000000000001</v>
      </c>
      <c r="AF3459" s="46">
        <v>193</v>
      </c>
      <c r="AG3459" s="46">
        <v>95500</v>
      </c>
      <c r="AH3459" s="46">
        <v>795318</v>
      </c>
      <c r="AI3459" s="46">
        <v>8.3279999999999994</v>
      </c>
      <c r="AJ3459" s="46">
        <v>197</v>
      </c>
      <c r="AK3459" s="46">
        <v>88300</v>
      </c>
      <c r="AL3459" s="46">
        <v>781491.25550000009</v>
      </c>
      <c r="AM3459" s="46">
        <v>8.85</v>
      </c>
      <c r="AN3459" s="46" t="s">
        <v>63</v>
      </c>
      <c r="AO3459" s="46">
        <v>7200</v>
      </c>
      <c r="AP3459" s="46">
        <v>13826.744000000001</v>
      </c>
      <c r="AQ3459" s="46">
        <v>1.92</v>
      </c>
      <c r="AR3459" s="46">
        <v>46092.6</v>
      </c>
      <c r="AS3459" s="46">
        <v>194</v>
      </c>
      <c r="AT3459" s="46">
        <v>95530</v>
      </c>
      <c r="AU3459" s="46">
        <v>795323</v>
      </c>
      <c r="AV3459" s="46">
        <v>8.3249999999999993</v>
      </c>
      <c r="AW3459" s="46">
        <v>221</v>
      </c>
      <c r="AX3459" s="46">
        <v>97900</v>
      </c>
      <c r="AY3459" s="46">
        <v>867143.89950000017</v>
      </c>
      <c r="AZ3459" s="46">
        <v>8.8569999999999993</v>
      </c>
      <c r="BA3459" s="46" t="s">
        <v>69</v>
      </c>
      <c r="BB3459" s="46">
        <v>2370</v>
      </c>
      <c r="BC3459" s="46">
        <v>71820.899999999994</v>
      </c>
      <c r="BD3459" s="46">
        <v>30.303999999999998</v>
      </c>
      <c r="BE3459" s="46">
        <v>50821.96</v>
      </c>
      <c r="BF3459" s="46">
        <v>5</v>
      </c>
      <c r="BG3459" s="46">
        <v>0.17</v>
      </c>
      <c r="BH3459" s="46">
        <v>85652.644000000088</v>
      </c>
      <c r="BI3459">
        <v>8.92</v>
      </c>
      <c r="BJ3459">
        <v>57994.155999999995</v>
      </c>
      <c r="BK3459">
        <v>6.06</v>
      </c>
      <c r="BL3459">
        <v>5573.47</v>
      </c>
    </row>
    <row r="3460" spans="1:64" x14ac:dyDescent="0.25">
      <c r="A3460" s="136">
        <v>43579</v>
      </c>
      <c r="B3460" t="s">
        <v>78</v>
      </c>
      <c r="C3460" t="s">
        <v>142</v>
      </c>
      <c r="D3460">
        <v>200</v>
      </c>
      <c r="E3460">
        <v>200</v>
      </c>
      <c r="F3460">
        <v>2.077</v>
      </c>
      <c r="G3460">
        <v>1978.65</v>
      </c>
      <c r="H3460">
        <v>476.32</v>
      </c>
      <c r="I3460">
        <v>2394</v>
      </c>
      <c r="J3460">
        <v>11.97</v>
      </c>
      <c r="K3460" s="133">
        <v>4.314626998243168E-3</v>
      </c>
      <c r="L3460" s="181">
        <v>-36</v>
      </c>
      <c r="M3460" s="133">
        <v>7.4857156379294046E-4</v>
      </c>
      <c r="N3460" s="73">
        <v>1454.650999999996</v>
      </c>
      <c r="O3460" s="73">
        <v>155.49985823529371</v>
      </c>
      <c r="P3460" s="182">
        <v>0</v>
      </c>
      <c r="Q3460" s="182">
        <v>0</v>
      </c>
      <c r="R3460" s="46">
        <v>0</v>
      </c>
      <c r="S3460" s="46">
        <v>3</v>
      </c>
      <c r="T3460" s="46">
        <v>1200</v>
      </c>
      <c r="U3460" s="46">
        <v>9.923</v>
      </c>
      <c r="V3460" s="46" t="s">
        <v>68</v>
      </c>
      <c r="W3460" s="46">
        <v>1200</v>
      </c>
      <c r="X3460" s="46">
        <v>9.923</v>
      </c>
      <c r="AF3460" s="46">
        <v>14</v>
      </c>
      <c r="AG3460" s="46">
        <v>7000</v>
      </c>
      <c r="AH3460" s="46">
        <v>67625</v>
      </c>
      <c r="AI3460" s="46">
        <v>9.6609999999999996</v>
      </c>
      <c r="AJ3460" s="46">
        <v>15</v>
      </c>
      <c r="AK3460" s="46">
        <v>5600</v>
      </c>
      <c r="AL3460" s="46">
        <v>55310.559000000008</v>
      </c>
      <c r="AM3460" s="46">
        <v>9.8770000000000007</v>
      </c>
      <c r="AN3460" s="46" t="s">
        <v>63</v>
      </c>
      <c r="AO3460" s="46">
        <v>1400</v>
      </c>
      <c r="AP3460" s="46">
        <v>12314.441000000001</v>
      </c>
      <c r="AQ3460" s="46">
        <v>8.7959999999999994</v>
      </c>
      <c r="AR3460" s="46">
        <v>1209.5999999999999</v>
      </c>
      <c r="AS3460" s="46">
        <v>14</v>
      </c>
      <c r="AT3460" s="46">
        <v>7000</v>
      </c>
      <c r="AU3460" s="46">
        <v>67625</v>
      </c>
      <c r="AV3460" s="46">
        <v>9.6609999999999996</v>
      </c>
      <c r="AW3460" s="46">
        <v>18</v>
      </c>
      <c r="AX3460" s="46">
        <v>6800</v>
      </c>
      <c r="AY3460" s="46">
        <v>67209.651000000013</v>
      </c>
      <c r="AZ3460" s="46">
        <v>9.8840000000000003</v>
      </c>
      <c r="BA3460" s="46" t="s">
        <v>63</v>
      </c>
      <c r="BB3460" s="46">
        <v>200</v>
      </c>
      <c r="BC3460" s="46">
        <v>415.34899999999999</v>
      </c>
      <c r="BD3460" s="46">
        <v>2.077</v>
      </c>
      <c r="BE3460" s="46">
        <v>1516.4</v>
      </c>
      <c r="BF3460" s="46">
        <v>0</v>
      </c>
      <c r="BH3460" s="46">
        <v>11899.092000000004</v>
      </c>
      <c r="BI3460">
        <v>9.92</v>
      </c>
      <c r="BJ3460">
        <v>-11899.092000000001</v>
      </c>
      <c r="BK3460">
        <v>-9.92</v>
      </c>
      <c r="BL3460">
        <v>101.05</v>
      </c>
    </row>
    <row r="3461" spans="1:64" x14ac:dyDescent="0.25">
      <c r="A3461" s="136">
        <v>43579</v>
      </c>
      <c r="B3461" t="s">
        <v>72</v>
      </c>
      <c r="C3461" t="s">
        <v>130</v>
      </c>
      <c r="D3461">
        <v>100</v>
      </c>
      <c r="E3461">
        <v>100</v>
      </c>
      <c r="F3461">
        <v>-18.477</v>
      </c>
      <c r="G3461">
        <v>2436.6999999999998</v>
      </c>
      <c r="H3461">
        <v>0</v>
      </c>
      <c r="I3461">
        <v>589</v>
      </c>
      <c r="J3461">
        <v>5.89</v>
      </c>
      <c r="K3461" s="133">
        <v>1.0615352138534778E-3</v>
      </c>
      <c r="L3461" s="181">
        <v>6</v>
      </c>
      <c r="M3461" s="133">
        <v>0</v>
      </c>
      <c r="N3461" s="73">
        <v>-1498.9659999999872</v>
      </c>
      <c r="O3461" s="73">
        <v>376.42007904191922</v>
      </c>
      <c r="P3461" s="182">
        <v>0</v>
      </c>
      <c r="Q3461" s="182">
        <v>0</v>
      </c>
      <c r="R3461" s="46">
        <v>0</v>
      </c>
      <c r="S3461" s="46">
        <v>20</v>
      </c>
      <c r="T3461" s="46">
        <v>8600</v>
      </c>
      <c r="U3461" s="46">
        <v>7.3840000000000003</v>
      </c>
      <c r="V3461" s="46" t="s">
        <v>68</v>
      </c>
      <c r="W3461" s="46">
        <v>8600</v>
      </c>
      <c r="X3461" s="46">
        <v>7.3840000000000003</v>
      </c>
      <c r="AF3461" s="46">
        <v>42</v>
      </c>
      <c r="AG3461" s="46">
        <v>20900</v>
      </c>
      <c r="AH3461" s="46">
        <v>152800</v>
      </c>
      <c r="AI3461" s="46">
        <v>7.3109999999999999</v>
      </c>
      <c r="AJ3461" s="46">
        <v>42</v>
      </c>
      <c r="AK3461" s="46">
        <v>18800</v>
      </c>
      <c r="AL3461" s="46">
        <v>92037.725000000035</v>
      </c>
      <c r="AM3461" s="46">
        <v>4.8959999999999999</v>
      </c>
      <c r="AN3461" s="46" t="s">
        <v>63</v>
      </c>
      <c r="AO3461" s="46">
        <v>2100</v>
      </c>
      <c r="AP3461" s="46">
        <v>60762.275000000001</v>
      </c>
      <c r="AQ3461" s="46">
        <v>28.934000000000001</v>
      </c>
      <c r="AR3461" s="46">
        <v>-45402</v>
      </c>
      <c r="AS3461" s="46">
        <v>42</v>
      </c>
      <c r="AT3461" s="46">
        <v>20900</v>
      </c>
      <c r="AU3461" s="46">
        <v>152800</v>
      </c>
      <c r="AV3461" s="46">
        <v>7.3109999999999999</v>
      </c>
      <c r="AW3461" s="46">
        <v>63</v>
      </c>
      <c r="AX3461" s="46">
        <v>27900</v>
      </c>
      <c r="AY3461" s="46">
        <v>155380.21900000001</v>
      </c>
      <c r="AZ3461" s="46">
        <v>5.569</v>
      </c>
      <c r="BA3461" s="46" t="s">
        <v>69</v>
      </c>
      <c r="BB3461" s="46">
        <v>7000</v>
      </c>
      <c r="BC3461" s="46">
        <v>2580.2190000000001</v>
      </c>
      <c r="BD3461" s="46">
        <v>0.36899999999999999</v>
      </c>
      <c r="BE3461" s="46">
        <v>-36407.800000000003</v>
      </c>
      <c r="BF3461" s="46">
        <v>0</v>
      </c>
      <c r="BH3461" s="46">
        <v>63342.493999999977</v>
      </c>
      <c r="BI3461">
        <v>7.37</v>
      </c>
      <c r="BJ3461">
        <v>-58182.056000000004</v>
      </c>
      <c r="BK3461">
        <v>-6.77</v>
      </c>
      <c r="BL3461">
        <v>-7708.32</v>
      </c>
    </row>
    <row r="3462" spans="1:64" x14ac:dyDescent="0.25">
      <c r="A3462" s="136">
        <v>43579</v>
      </c>
      <c r="B3462" t="s">
        <v>70</v>
      </c>
      <c r="C3462" t="s">
        <v>131</v>
      </c>
      <c r="D3462">
        <v>10500</v>
      </c>
      <c r="E3462">
        <v>10500</v>
      </c>
      <c r="F3462">
        <v>11.324999999999999</v>
      </c>
      <c r="G3462">
        <v>-3836.69</v>
      </c>
      <c r="H3462">
        <v>-3.23</v>
      </c>
      <c r="I3462">
        <v>115080</v>
      </c>
      <c r="J3462">
        <v>10.96</v>
      </c>
      <c r="K3462" s="133">
        <v>0.20740487675765404</v>
      </c>
      <c r="L3462" s="181">
        <v>11253.26</v>
      </c>
      <c r="M3462" s="133">
        <v>0.21431961621374829</v>
      </c>
      <c r="N3462" s="73">
        <v>-3840.6770000000251</v>
      </c>
      <c r="O3462" s="73">
        <v>-350.25152020985632</v>
      </c>
      <c r="P3462" s="182">
        <v>0</v>
      </c>
      <c r="Q3462" s="182">
        <v>0</v>
      </c>
      <c r="R3462" s="46">
        <v>0</v>
      </c>
      <c r="S3462" s="46">
        <v>10</v>
      </c>
      <c r="T3462" s="46">
        <v>4000</v>
      </c>
      <c r="U3462" s="46">
        <v>9.3979999999999997</v>
      </c>
      <c r="V3462" s="46" t="s">
        <v>68</v>
      </c>
      <c r="W3462" s="46">
        <v>4000</v>
      </c>
      <c r="X3462" s="46">
        <v>9.3979999999999997</v>
      </c>
      <c r="AF3462" s="46">
        <v>158</v>
      </c>
      <c r="AG3462" s="46">
        <v>80600</v>
      </c>
      <c r="AH3462" s="46">
        <v>992258</v>
      </c>
      <c r="AI3462" s="46">
        <v>12.311</v>
      </c>
      <c r="AJ3462" s="46">
        <v>164</v>
      </c>
      <c r="AK3462" s="46">
        <v>66100</v>
      </c>
      <c r="AL3462" s="46">
        <v>835427.91499999969</v>
      </c>
      <c r="AM3462" s="46">
        <v>12.638999999999999</v>
      </c>
      <c r="AN3462" s="46" t="s">
        <v>63</v>
      </c>
      <c r="AO3462" s="46">
        <v>14500</v>
      </c>
      <c r="AP3462" s="46">
        <v>156830.08499999999</v>
      </c>
      <c r="AQ3462" s="46">
        <v>10.816000000000001</v>
      </c>
      <c r="AR3462" s="46">
        <v>21680.799999999999</v>
      </c>
      <c r="AS3462" s="46">
        <v>158</v>
      </c>
      <c r="AT3462" s="46">
        <v>80600</v>
      </c>
      <c r="AU3462" s="46">
        <v>992258</v>
      </c>
      <c r="AV3462" s="46">
        <v>12.311</v>
      </c>
      <c r="AW3462" s="46">
        <v>175</v>
      </c>
      <c r="AX3462" s="46">
        <v>70100</v>
      </c>
      <c r="AY3462" s="46">
        <v>873337.32299999963</v>
      </c>
      <c r="AZ3462" s="46">
        <v>12.458</v>
      </c>
      <c r="BA3462" s="46" t="s">
        <v>63</v>
      </c>
      <c r="BB3462" s="46">
        <v>10500</v>
      </c>
      <c r="BC3462" s="46">
        <v>118920.677</v>
      </c>
      <c r="BD3462" s="46">
        <v>11.326000000000001</v>
      </c>
      <c r="BE3462" s="46">
        <v>10304.700000000001</v>
      </c>
      <c r="BF3462" s="46">
        <v>0</v>
      </c>
      <c r="BH3462" s="46">
        <v>37909.407999999938</v>
      </c>
      <c r="BI3462">
        <v>9.48</v>
      </c>
      <c r="BJ3462">
        <v>-37909.407999999996</v>
      </c>
      <c r="BK3462">
        <v>-9.48</v>
      </c>
      <c r="BL3462">
        <v>1978.18</v>
      </c>
    </row>
    <row r="3463" spans="1:64" x14ac:dyDescent="0.25">
      <c r="A3463" s="136">
        <v>43579</v>
      </c>
      <c r="B3463" t="s">
        <v>628</v>
      </c>
      <c r="C3463" t="s">
        <v>629</v>
      </c>
      <c r="D3463">
        <v>100</v>
      </c>
      <c r="E3463">
        <v>100</v>
      </c>
      <c r="F3463">
        <v>-22.33</v>
      </c>
      <c r="G3463">
        <v>3624</v>
      </c>
      <c r="H3463">
        <v>0</v>
      </c>
      <c r="I3463">
        <v>1391</v>
      </c>
      <c r="J3463">
        <v>13.91</v>
      </c>
      <c r="K3463" s="133">
        <v>2.5069532809341047E-3</v>
      </c>
      <c r="L3463" s="181">
        <v>-18</v>
      </c>
      <c r="M3463" s="133">
        <v>0</v>
      </c>
    </row>
    <row r="3464" spans="1:64" x14ac:dyDescent="0.25">
      <c r="A3464" s="136">
        <v>43579</v>
      </c>
      <c r="B3464" t="s">
        <v>630</v>
      </c>
      <c r="C3464" t="s">
        <v>631</v>
      </c>
      <c r="D3464">
        <v>100</v>
      </c>
      <c r="E3464">
        <v>100</v>
      </c>
      <c r="F3464">
        <v>-94.45</v>
      </c>
      <c r="G3464">
        <v>12435</v>
      </c>
      <c r="H3464">
        <v>0</v>
      </c>
      <c r="I3464">
        <v>2990</v>
      </c>
      <c r="J3464">
        <v>29.9</v>
      </c>
      <c r="K3464" s="133">
        <v>5.3887780805125613E-3</v>
      </c>
      <c r="L3464" s="181">
        <v>-135</v>
      </c>
      <c r="M3464" s="133">
        <v>0</v>
      </c>
    </row>
    <row r="3465" spans="1:64" x14ac:dyDescent="0.25">
      <c r="A3465" s="136">
        <v>43579</v>
      </c>
      <c r="B3465" t="s">
        <v>137</v>
      </c>
      <c r="C3465" t="s">
        <v>149</v>
      </c>
      <c r="D3465">
        <v>100</v>
      </c>
      <c r="E3465">
        <v>100</v>
      </c>
      <c r="F3465">
        <v>-130.86000000000001</v>
      </c>
      <c r="G3465">
        <v>16876</v>
      </c>
      <c r="H3465">
        <v>0</v>
      </c>
      <c r="I3465">
        <v>3790</v>
      </c>
      <c r="J3465">
        <v>37.9</v>
      </c>
      <c r="K3465" s="133">
        <v>6.8305916137600701E-3</v>
      </c>
      <c r="L3465" s="181">
        <v>-79</v>
      </c>
      <c r="M3465" s="133">
        <v>0</v>
      </c>
    </row>
    <row r="3466" spans="1:64" x14ac:dyDescent="0.25">
      <c r="A3466" s="136">
        <v>43579</v>
      </c>
      <c r="B3466" t="s">
        <v>835</v>
      </c>
      <c r="C3466" t="s">
        <v>839</v>
      </c>
      <c r="I3466">
        <v>2840.5</v>
      </c>
      <c r="K3466" s="133">
        <v>5.1193391764869332E-3</v>
      </c>
      <c r="L3466" s="181">
        <v>0</v>
      </c>
      <c r="M3466" s="133">
        <v>0.14036896404814525</v>
      </c>
    </row>
    <row r="3467" spans="1:64" x14ac:dyDescent="0.25">
      <c r="A3467" s="136">
        <v>43580</v>
      </c>
      <c r="B3467" t="s">
        <v>132</v>
      </c>
      <c r="C3467" t="s">
        <v>123</v>
      </c>
      <c r="D3467">
        <v>7004831</v>
      </c>
      <c r="E3467">
        <v>7004831</v>
      </c>
      <c r="F3467">
        <v>8.9999999999999993E-3</v>
      </c>
      <c r="G3467">
        <v>3959.16</v>
      </c>
      <c r="H3467">
        <v>11.11</v>
      </c>
      <c r="I3467">
        <v>70048.31</v>
      </c>
      <c r="J3467">
        <v>0.01</v>
      </c>
      <c r="K3467" s="133">
        <v>0.12608112901724328</v>
      </c>
      <c r="L3467" s="181">
        <v>4.1399999999998727</v>
      </c>
      <c r="M3467" s="133">
        <v>0</v>
      </c>
    </row>
    <row r="3468" spans="1:64" x14ac:dyDescent="0.25">
      <c r="A3468" s="136">
        <v>43580</v>
      </c>
      <c r="B3468" t="s">
        <v>61</v>
      </c>
      <c r="C3468" t="s">
        <v>136</v>
      </c>
      <c r="D3468">
        <v>2500</v>
      </c>
      <c r="E3468">
        <v>2500</v>
      </c>
      <c r="F3468">
        <v>4.931</v>
      </c>
      <c r="G3468">
        <v>-801.57</v>
      </c>
      <c r="H3468">
        <v>-6.5</v>
      </c>
      <c r="I3468">
        <v>11525</v>
      </c>
      <c r="J3468">
        <v>4.6100000000000003</v>
      </c>
      <c r="K3468" s="133">
        <v>2.0744040961498268E-2</v>
      </c>
      <c r="L3468" s="181">
        <v>-375.00000000000006</v>
      </c>
      <c r="M3468" s="133">
        <v>2.2186800259850387E-2</v>
      </c>
      <c r="N3468" s="73">
        <v>-530.39300000000367</v>
      </c>
      <c r="O3468" s="73">
        <v>-112.315212605933</v>
      </c>
      <c r="P3468" s="182">
        <v>1</v>
      </c>
      <c r="Q3468" s="182">
        <v>500</v>
      </c>
      <c r="R3468" s="46">
        <v>4.72</v>
      </c>
      <c r="S3468" s="46">
        <v>0</v>
      </c>
      <c r="T3468" s="46">
        <v>0</v>
      </c>
      <c r="U3468" s="46">
        <v>0</v>
      </c>
      <c r="V3468" s="46" t="s">
        <v>62</v>
      </c>
      <c r="W3468" s="46">
        <v>500</v>
      </c>
      <c r="X3468" s="46">
        <v>4.72</v>
      </c>
      <c r="AF3468" s="46">
        <v>21</v>
      </c>
      <c r="AG3468" s="46">
        <v>10500</v>
      </c>
      <c r="AH3468" s="46">
        <v>52226.3</v>
      </c>
      <c r="AI3468" s="46">
        <v>4.9740000000000002</v>
      </c>
      <c r="AJ3468" s="46">
        <v>21</v>
      </c>
      <c r="AK3468" s="46">
        <v>8500</v>
      </c>
      <c r="AL3468" s="46">
        <v>42261.206999999988</v>
      </c>
      <c r="AM3468" s="46">
        <v>4.9720000000000004</v>
      </c>
      <c r="AN3468" s="46" t="s">
        <v>63</v>
      </c>
      <c r="AO3468" s="46">
        <v>2000</v>
      </c>
      <c r="AP3468" s="46">
        <v>9965.0930000000008</v>
      </c>
      <c r="AQ3468" s="46">
        <v>4.9829999999999997</v>
      </c>
      <c r="AR3468" s="46">
        <v>-17</v>
      </c>
      <c r="AS3468" s="46">
        <v>22</v>
      </c>
      <c r="AT3468" s="46">
        <v>11000</v>
      </c>
      <c r="AU3468" s="46">
        <v>54591.600000000006</v>
      </c>
      <c r="AV3468" s="46">
        <v>4.9630000000000001</v>
      </c>
      <c r="AW3468" s="46">
        <v>21</v>
      </c>
      <c r="AX3468" s="46">
        <v>8500</v>
      </c>
      <c r="AY3468" s="46">
        <v>42261.206999999988</v>
      </c>
      <c r="AZ3468" s="46">
        <v>4.9720000000000004</v>
      </c>
      <c r="BA3468" s="46" t="s">
        <v>63</v>
      </c>
      <c r="BB3468" s="46">
        <v>2500</v>
      </c>
      <c r="BC3468" s="46">
        <v>12330.393</v>
      </c>
      <c r="BD3468" s="46">
        <v>4.9320000000000004</v>
      </c>
      <c r="BE3468" s="46">
        <v>76.5</v>
      </c>
      <c r="BF3468" s="46">
        <v>2365.3000000000029</v>
      </c>
      <c r="BG3468" s="46">
        <v>4.7300000000000004</v>
      </c>
      <c r="BH3468" s="46">
        <v>0</v>
      </c>
      <c r="BJ3468">
        <v>2365.2999999999993</v>
      </c>
      <c r="BK3468">
        <v>4.7300000000000004</v>
      </c>
      <c r="BL3468">
        <v>-3.69</v>
      </c>
    </row>
    <row r="3469" spans="1:64" x14ac:dyDescent="0.25">
      <c r="A3469" s="136">
        <v>43580</v>
      </c>
      <c r="B3469" t="s">
        <v>124</v>
      </c>
      <c r="C3469" t="s">
        <v>125</v>
      </c>
      <c r="D3469">
        <v>100</v>
      </c>
      <c r="E3469">
        <v>100</v>
      </c>
      <c r="F3469">
        <v>-53.82</v>
      </c>
      <c r="G3469">
        <v>5955</v>
      </c>
      <c r="H3469">
        <v>0</v>
      </c>
      <c r="I3469">
        <v>573</v>
      </c>
      <c r="J3469">
        <v>5.73</v>
      </c>
      <c r="K3469" s="133">
        <v>1.0313523185196101E-3</v>
      </c>
      <c r="L3469" s="181">
        <v>-8</v>
      </c>
      <c r="M3469" s="133">
        <v>0</v>
      </c>
      <c r="N3469" s="73">
        <v>5573.0690000000113</v>
      </c>
      <c r="O3469" s="73">
        <v>1102.4501845505636</v>
      </c>
      <c r="P3469" s="182">
        <v>0</v>
      </c>
      <c r="Q3469" s="182">
        <v>0</v>
      </c>
      <c r="R3469" s="46">
        <v>0</v>
      </c>
      <c r="S3469" s="46">
        <v>5</v>
      </c>
      <c r="T3469" s="46">
        <v>2300</v>
      </c>
      <c r="U3469" s="46">
        <v>4.99</v>
      </c>
      <c r="V3469" s="46" t="s">
        <v>68</v>
      </c>
      <c r="W3469" s="46">
        <v>2300</v>
      </c>
      <c r="X3469" s="46">
        <v>4.99</v>
      </c>
      <c r="AF3469" s="46">
        <v>50</v>
      </c>
      <c r="AG3469" s="46">
        <v>36700</v>
      </c>
      <c r="AH3469" s="46">
        <v>180101.02000000002</v>
      </c>
      <c r="AI3469" s="46">
        <v>4.907</v>
      </c>
      <c r="AJ3469" s="46">
        <v>58</v>
      </c>
      <c r="AK3469" s="46">
        <v>35300</v>
      </c>
      <c r="AL3469" s="46">
        <v>178266.546</v>
      </c>
      <c r="AM3469" s="46">
        <v>5.05</v>
      </c>
      <c r="AN3469" s="46" t="s">
        <v>63</v>
      </c>
      <c r="AO3469" s="46">
        <v>1400</v>
      </c>
      <c r="AP3469" s="46">
        <v>1834.4739999999999</v>
      </c>
      <c r="AQ3469" s="46">
        <v>1.31</v>
      </c>
      <c r="AR3469" s="46">
        <v>5047.8999999999996</v>
      </c>
      <c r="AS3469" s="46">
        <v>51</v>
      </c>
      <c r="AT3469" s="46">
        <v>37700</v>
      </c>
      <c r="AU3469" s="46">
        <v>185106.62</v>
      </c>
      <c r="AV3469" s="46">
        <v>4.91</v>
      </c>
      <c r="AW3469" s="46">
        <v>63</v>
      </c>
      <c r="AX3469" s="46">
        <v>37600</v>
      </c>
      <c r="AY3469" s="46">
        <v>189713.68900000001</v>
      </c>
      <c r="AZ3469" s="46">
        <v>5.0460000000000003</v>
      </c>
      <c r="BA3469" s="46" t="s">
        <v>63</v>
      </c>
      <c r="BB3469" s="46">
        <v>100</v>
      </c>
      <c r="BC3469" s="46">
        <v>4607.0690000000004</v>
      </c>
      <c r="BD3469" s="46">
        <v>46.070999999999998</v>
      </c>
      <c r="BE3469" s="46">
        <v>5113.6000000000004</v>
      </c>
      <c r="BF3469" s="46">
        <v>5005.5999999999767</v>
      </c>
      <c r="BH3469" s="46">
        <v>11447.143000000011</v>
      </c>
      <c r="BI3469">
        <v>4.9800000000000004</v>
      </c>
      <c r="BJ3469">
        <v>2772.5950000000003</v>
      </c>
      <c r="BK3469">
        <v>1.21</v>
      </c>
      <c r="BL3469">
        <v>880.96</v>
      </c>
    </row>
    <row r="3470" spans="1:64" x14ac:dyDescent="0.25">
      <c r="A3470" s="136">
        <v>43580</v>
      </c>
      <c r="B3470" t="s">
        <v>71</v>
      </c>
      <c r="C3470" t="s">
        <v>126</v>
      </c>
      <c r="D3470">
        <v>2400</v>
      </c>
      <c r="E3470">
        <v>2400</v>
      </c>
      <c r="F3470">
        <v>5.09</v>
      </c>
      <c r="G3470">
        <v>2831.18</v>
      </c>
      <c r="H3470">
        <v>23.18</v>
      </c>
      <c r="I3470">
        <v>15048</v>
      </c>
      <c r="J3470">
        <v>6.27</v>
      </c>
      <c r="K3470" s="133">
        <v>2.7085147799446936E-2</v>
      </c>
      <c r="L3470" s="181">
        <v>-192</v>
      </c>
      <c r="M3470" s="133">
        <v>2.1989259392559763E-2</v>
      </c>
      <c r="N3470" s="73">
        <v>-12228.471999999994</v>
      </c>
      <c r="O3470" s="73">
        <v>468.72728846761544</v>
      </c>
      <c r="P3470" s="182">
        <v>1</v>
      </c>
      <c r="Q3470" s="182">
        <v>1500</v>
      </c>
      <c r="R3470" s="46">
        <v>6.33</v>
      </c>
      <c r="S3470" s="46">
        <v>8</v>
      </c>
      <c r="T3470" s="46">
        <v>3100</v>
      </c>
      <c r="U3470" s="46">
        <v>6.4390000000000001</v>
      </c>
      <c r="V3470" s="46" t="s">
        <v>68</v>
      </c>
      <c r="W3470" s="46">
        <v>1600</v>
      </c>
      <c r="X3470" s="46">
        <v>6.5410000000000004</v>
      </c>
      <c r="AF3470" s="46">
        <v>53</v>
      </c>
      <c r="AG3470" s="46">
        <v>26600</v>
      </c>
      <c r="AH3470" s="46">
        <v>168836.92999999996</v>
      </c>
      <c r="AI3470" s="46">
        <v>6.3470000000000004</v>
      </c>
      <c r="AJ3470" s="46">
        <v>51</v>
      </c>
      <c r="AK3470" s="46">
        <v>22600</v>
      </c>
      <c r="AL3470" s="46">
        <v>146054.978</v>
      </c>
      <c r="AM3470" s="46">
        <v>6.4630000000000001</v>
      </c>
      <c r="AN3470" s="46" t="s">
        <v>63</v>
      </c>
      <c r="AO3470" s="46">
        <v>4000</v>
      </c>
      <c r="AP3470" s="46">
        <v>22781.952000000001</v>
      </c>
      <c r="AQ3470" s="46">
        <v>5.6950000000000003</v>
      </c>
      <c r="AR3470" s="46">
        <v>2621.6</v>
      </c>
      <c r="AS3470" s="46">
        <v>54</v>
      </c>
      <c r="AT3470" s="46">
        <v>28100</v>
      </c>
      <c r="AU3470" s="46">
        <v>178337.82999999996</v>
      </c>
      <c r="AV3470" s="46">
        <v>6.3470000000000004</v>
      </c>
      <c r="AW3470" s="46">
        <v>59</v>
      </c>
      <c r="AX3470" s="46">
        <v>25700</v>
      </c>
      <c r="AY3470" s="46">
        <v>165953.158</v>
      </c>
      <c r="AZ3470" s="46">
        <v>6.4569999999999999</v>
      </c>
      <c r="BA3470" s="46" t="s">
        <v>63</v>
      </c>
      <c r="BB3470" s="46">
        <v>2400</v>
      </c>
      <c r="BC3470" s="46">
        <v>12384.672</v>
      </c>
      <c r="BD3470" s="46">
        <v>5.16</v>
      </c>
      <c r="BE3470" s="46">
        <v>2827</v>
      </c>
      <c r="BF3470" s="46">
        <v>9500.8999999999942</v>
      </c>
      <c r="BG3470" s="46">
        <v>6.33</v>
      </c>
      <c r="BH3470" s="46">
        <v>19898.179999999993</v>
      </c>
      <c r="BI3470">
        <v>6.42</v>
      </c>
      <c r="BJ3470">
        <v>-10397.280000000001</v>
      </c>
      <c r="BK3470">
        <v>-6.5</v>
      </c>
      <c r="BL3470">
        <v>418.12</v>
      </c>
    </row>
    <row r="3471" spans="1:64" x14ac:dyDescent="0.25">
      <c r="A3471" s="136">
        <v>43580</v>
      </c>
      <c r="B3471" t="s">
        <v>79</v>
      </c>
      <c r="C3471" t="s">
        <v>143</v>
      </c>
      <c r="D3471">
        <v>11020</v>
      </c>
      <c r="E3471">
        <v>10520</v>
      </c>
      <c r="F3471">
        <v>10.509</v>
      </c>
      <c r="G3471">
        <v>-22465.41</v>
      </c>
      <c r="H3471">
        <v>-19.399999999999999</v>
      </c>
      <c r="I3471">
        <v>93339.4</v>
      </c>
      <c r="J3471">
        <v>8.4700000000000006</v>
      </c>
      <c r="K3471" s="133">
        <v>0.16800315287823614</v>
      </c>
      <c r="L3471" s="181">
        <v>-2975.6899999999987</v>
      </c>
      <c r="M3471" s="133">
        <v>0.20843902144716045</v>
      </c>
      <c r="N3471" s="73">
        <v>-21933.640000000276</v>
      </c>
      <c r="O3471" s="73">
        <v>-2573.0837065728028</v>
      </c>
      <c r="P3471" s="182">
        <v>10</v>
      </c>
      <c r="Q3471" s="182">
        <v>7420</v>
      </c>
      <c r="R3471" s="46">
        <v>5.2060000000000004</v>
      </c>
      <c r="S3471" s="46">
        <v>0</v>
      </c>
      <c r="T3471" s="46">
        <v>0</v>
      </c>
      <c r="U3471" s="46">
        <v>0</v>
      </c>
      <c r="V3471" s="46" t="s">
        <v>62</v>
      </c>
      <c r="W3471" s="46">
        <v>7420</v>
      </c>
      <c r="X3471" s="46">
        <v>5.2060000000000004</v>
      </c>
      <c r="AF3471" s="46">
        <v>35</v>
      </c>
      <c r="AG3471" s="46">
        <v>18000</v>
      </c>
      <c r="AH3471" s="46">
        <v>262835.79999999981</v>
      </c>
      <c r="AI3471" s="46">
        <v>14.602</v>
      </c>
      <c r="AJ3471" s="46">
        <v>36</v>
      </c>
      <c r="AK3471" s="46">
        <v>14400</v>
      </c>
      <c r="AL3471" s="46">
        <v>185696.2119999998</v>
      </c>
      <c r="AM3471" s="46">
        <v>12.896000000000001</v>
      </c>
      <c r="AN3471" s="46" t="s">
        <v>63</v>
      </c>
      <c r="AO3471" s="46">
        <v>3600</v>
      </c>
      <c r="AP3471" s="46">
        <v>77139.588000000003</v>
      </c>
      <c r="AQ3471" s="46">
        <v>21.428000000000001</v>
      </c>
      <c r="AR3471" s="46">
        <v>-24566.400000000001</v>
      </c>
      <c r="AS3471" s="46">
        <v>45</v>
      </c>
      <c r="AT3471" s="46">
        <v>25420</v>
      </c>
      <c r="AU3471" s="46">
        <v>301520.25199999969</v>
      </c>
      <c r="AV3471" s="46">
        <v>11.862</v>
      </c>
      <c r="AW3471" s="46">
        <v>36</v>
      </c>
      <c r="AX3471" s="46">
        <v>14400</v>
      </c>
      <c r="AY3471" s="46">
        <v>185696.2119999998</v>
      </c>
      <c r="AZ3471" s="46">
        <v>12.896000000000001</v>
      </c>
      <c r="BA3471" s="46" t="s">
        <v>63</v>
      </c>
      <c r="BB3471" s="46">
        <v>11020</v>
      </c>
      <c r="BC3471" s="46">
        <v>115824.04</v>
      </c>
      <c r="BD3471" s="46">
        <v>10.51</v>
      </c>
      <c r="BE3471" s="46">
        <v>14889.6</v>
      </c>
      <c r="BF3471" s="46">
        <v>38684.451999999874</v>
      </c>
      <c r="BG3471" s="46">
        <v>5.21</v>
      </c>
      <c r="BH3471" s="46">
        <v>0</v>
      </c>
      <c r="BJ3471">
        <v>38684.45199999999</v>
      </c>
      <c r="BK3471">
        <v>5.21</v>
      </c>
      <c r="BL3471">
        <v>-2900.4</v>
      </c>
    </row>
    <row r="3472" spans="1:64" x14ac:dyDescent="0.25">
      <c r="A3472" s="136">
        <v>43580</v>
      </c>
      <c r="B3472" t="s">
        <v>65</v>
      </c>
      <c r="C3472" t="s">
        <v>127</v>
      </c>
      <c r="D3472">
        <v>24800</v>
      </c>
      <c r="E3472">
        <v>23800</v>
      </c>
      <c r="F3472">
        <v>8.8160000000000007</v>
      </c>
      <c r="G3472">
        <v>-12046</v>
      </c>
      <c r="H3472">
        <v>-5.51</v>
      </c>
      <c r="I3472">
        <v>206584</v>
      </c>
      <c r="J3472">
        <v>8.33</v>
      </c>
      <c r="K3472" s="133">
        <v>0.37183400937007882</v>
      </c>
      <c r="L3472" s="181">
        <v>-5291</v>
      </c>
      <c r="M3472" s="133">
        <v>0.39351580697721183</v>
      </c>
      <c r="N3472" s="73">
        <v>-15088.413000000059</v>
      </c>
      <c r="O3472" s="73">
        <v>-1288.9565716289017</v>
      </c>
      <c r="P3472" s="182">
        <v>8</v>
      </c>
      <c r="Q3472" s="182">
        <v>5500</v>
      </c>
      <c r="R3472" s="46">
        <v>8.5030000000000001</v>
      </c>
      <c r="S3472" s="46">
        <v>7</v>
      </c>
      <c r="T3472" s="46">
        <v>2800</v>
      </c>
      <c r="U3472" s="46">
        <v>8.5370000000000008</v>
      </c>
      <c r="V3472" s="46" t="s">
        <v>62</v>
      </c>
      <c r="W3472" s="46">
        <v>2700</v>
      </c>
      <c r="X3472" s="46">
        <v>8.468</v>
      </c>
      <c r="AF3472" s="46">
        <v>232</v>
      </c>
      <c r="AG3472" s="46">
        <v>125000</v>
      </c>
      <c r="AH3472" s="46">
        <v>1336236.6810000001</v>
      </c>
      <c r="AI3472" s="46">
        <v>10.69</v>
      </c>
      <c r="AJ3472" s="46">
        <v>262</v>
      </c>
      <c r="AK3472" s="46">
        <v>112100</v>
      </c>
      <c r="AL3472" s="46">
        <v>1136431.1700000002</v>
      </c>
      <c r="AM3472" s="46">
        <v>10.138</v>
      </c>
      <c r="AN3472" s="46" t="s">
        <v>63</v>
      </c>
      <c r="AO3472" s="46">
        <v>12900</v>
      </c>
      <c r="AP3472" s="46">
        <v>199805.511</v>
      </c>
      <c r="AQ3472" s="46">
        <v>15.489000000000001</v>
      </c>
      <c r="AR3472" s="46">
        <v>-61879.199999999997</v>
      </c>
      <c r="AS3472" s="46">
        <v>241</v>
      </c>
      <c r="AT3472" s="46">
        <v>130600</v>
      </c>
      <c r="AU3472" s="46">
        <v>1384329.6810000001</v>
      </c>
      <c r="AV3472" s="46">
        <v>10.6</v>
      </c>
      <c r="AW3472" s="46">
        <v>269</v>
      </c>
      <c r="AX3472" s="46">
        <v>114900</v>
      </c>
      <c r="AY3472" s="46">
        <v>1160276.2660000001</v>
      </c>
      <c r="AZ3472" s="46">
        <v>10.098000000000001</v>
      </c>
      <c r="BA3472" s="46" t="s">
        <v>63</v>
      </c>
      <c r="BB3472" s="46">
        <v>15700</v>
      </c>
      <c r="BC3472" s="46">
        <v>224053.41500000001</v>
      </c>
      <c r="BD3472" s="46">
        <v>14.271000000000001</v>
      </c>
      <c r="BE3472" s="46">
        <v>-57679.8</v>
      </c>
      <c r="BF3472" s="46">
        <v>48093</v>
      </c>
      <c r="BG3472" s="46">
        <v>8.74</v>
      </c>
      <c r="BH3472" s="46">
        <v>23845.095999999903</v>
      </c>
      <c r="BI3472">
        <v>8.52</v>
      </c>
      <c r="BJ3472">
        <v>24247.90400000001</v>
      </c>
      <c r="BK3472">
        <v>8.98</v>
      </c>
      <c r="BL3472">
        <v>-7428.48</v>
      </c>
    </row>
    <row r="3473" spans="1:64" x14ac:dyDescent="0.25">
      <c r="A3473" s="136">
        <v>43580</v>
      </c>
      <c r="B3473" t="s">
        <v>77</v>
      </c>
      <c r="C3473" t="s">
        <v>150</v>
      </c>
      <c r="D3473">
        <v>5500</v>
      </c>
      <c r="E3473">
        <v>5500</v>
      </c>
      <c r="F3473">
        <v>5.4119999999999999</v>
      </c>
      <c r="G3473">
        <v>-5125.95</v>
      </c>
      <c r="H3473">
        <v>-17.22</v>
      </c>
      <c r="I3473">
        <v>24640</v>
      </c>
      <c r="J3473">
        <v>4.4800000000000004</v>
      </c>
      <c r="K3473" s="133">
        <v>4.4349949613129484E-2</v>
      </c>
      <c r="L3473" s="181">
        <v>-935</v>
      </c>
      <c r="M3473" s="133">
        <v>5.3576233063593007E-2</v>
      </c>
      <c r="N3473" s="73">
        <v>-4915.8940000000039</v>
      </c>
      <c r="O3473" s="73">
        <v>-957.41562971800522</v>
      </c>
      <c r="P3473" s="182">
        <v>6</v>
      </c>
      <c r="Q3473" s="182">
        <v>3000</v>
      </c>
      <c r="R3473" s="46">
        <v>4.3230000000000004</v>
      </c>
      <c r="S3473" s="46">
        <v>0</v>
      </c>
      <c r="T3473" s="46">
        <v>0</v>
      </c>
      <c r="U3473" s="46">
        <v>0</v>
      </c>
      <c r="V3473" s="46" t="s">
        <v>62</v>
      </c>
      <c r="W3473" s="46">
        <v>3000</v>
      </c>
      <c r="X3473" s="46">
        <v>4.3230000000000004</v>
      </c>
      <c r="AF3473" s="46">
        <v>51</v>
      </c>
      <c r="AG3473" s="46">
        <v>25500</v>
      </c>
      <c r="AH3473" s="46">
        <v>175539</v>
      </c>
      <c r="AI3473" s="46">
        <v>6.8840000000000003</v>
      </c>
      <c r="AJ3473" s="46">
        <v>51</v>
      </c>
      <c r="AK3473" s="46">
        <v>23000</v>
      </c>
      <c r="AL3473" s="46">
        <v>158480.10600000003</v>
      </c>
      <c r="AM3473" s="46">
        <v>6.89</v>
      </c>
      <c r="AN3473" s="46" t="s">
        <v>63</v>
      </c>
      <c r="AO3473" s="46">
        <v>2500</v>
      </c>
      <c r="AP3473" s="46">
        <v>17058.894</v>
      </c>
      <c r="AQ3473" s="46">
        <v>6.8239999999999998</v>
      </c>
      <c r="AR3473" s="46">
        <v>138</v>
      </c>
      <c r="AS3473" s="46">
        <v>57</v>
      </c>
      <c r="AT3473" s="46">
        <v>28500</v>
      </c>
      <c r="AU3473" s="46">
        <v>188251</v>
      </c>
      <c r="AV3473" s="46">
        <v>6.6050000000000004</v>
      </c>
      <c r="AW3473" s="46">
        <v>51</v>
      </c>
      <c r="AX3473" s="46">
        <v>23000</v>
      </c>
      <c r="AY3473" s="46">
        <v>158480.10600000003</v>
      </c>
      <c r="AZ3473" s="46">
        <v>6.89</v>
      </c>
      <c r="BA3473" s="46" t="s">
        <v>63</v>
      </c>
      <c r="BB3473" s="46">
        <v>5500</v>
      </c>
      <c r="BC3473" s="46">
        <v>29770.894</v>
      </c>
      <c r="BD3473" s="46">
        <v>5.4130000000000003</v>
      </c>
      <c r="BE3473" s="46">
        <v>6555</v>
      </c>
      <c r="BF3473" s="46">
        <v>12712</v>
      </c>
      <c r="BG3473" s="46">
        <v>4.24</v>
      </c>
      <c r="BH3473" s="46">
        <v>0</v>
      </c>
      <c r="BJ3473">
        <v>12712</v>
      </c>
      <c r="BK3473">
        <v>4.24</v>
      </c>
      <c r="BL3473">
        <v>30.8</v>
      </c>
    </row>
    <row r="3474" spans="1:64" x14ac:dyDescent="0.25">
      <c r="A3474" s="136">
        <v>43580</v>
      </c>
      <c r="B3474" t="s">
        <v>67</v>
      </c>
      <c r="C3474" t="s">
        <v>129</v>
      </c>
      <c r="D3474">
        <v>230</v>
      </c>
      <c r="E3474">
        <v>230</v>
      </c>
      <c r="F3474">
        <v>-11.728999999999999</v>
      </c>
      <c r="G3474">
        <v>4480.17</v>
      </c>
      <c r="H3474">
        <v>0</v>
      </c>
      <c r="I3474">
        <v>1782.5</v>
      </c>
      <c r="J3474">
        <v>7.75</v>
      </c>
      <c r="K3474" s="133">
        <v>3.2083516714855238E-3</v>
      </c>
      <c r="L3474" s="181">
        <v>-119.60000000000036</v>
      </c>
      <c r="M3474" s="133">
        <v>0</v>
      </c>
      <c r="N3474" s="73">
        <v>4362.583499999957</v>
      </c>
      <c r="O3474" s="73">
        <v>600.60636477272476</v>
      </c>
      <c r="P3474" s="182">
        <v>1</v>
      </c>
      <c r="Q3474" s="182">
        <v>30</v>
      </c>
      <c r="R3474" s="46">
        <v>0</v>
      </c>
      <c r="S3474" s="46">
        <v>24</v>
      </c>
      <c r="T3474" s="46">
        <v>9600</v>
      </c>
      <c r="U3474" s="46">
        <v>8.9429999999999996</v>
      </c>
      <c r="V3474" s="46" t="s">
        <v>68</v>
      </c>
      <c r="W3474" s="46">
        <v>9570</v>
      </c>
      <c r="X3474" s="46">
        <v>8.9710000000000001</v>
      </c>
      <c r="AF3474" s="46">
        <v>193</v>
      </c>
      <c r="AG3474" s="46">
        <v>95500</v>
      </c>
      <c r="AH3474" s="46">
        <v>795318</v>
      </c>
      <c r="AI3474" s="46">
        <v>8.3279999999999994</v>
      </c>
      <c r="AJ3474" s="46">
        <v>197</v>
      </c>
      <c r="AK3474" s="46">
        <v>88300</v>
      </c>
      <c r="AL3474" s="46">
        <v>781491.25550000009</v>
      </c>
      <c r="AM3474" s="46">
        <v>8.85</v>
      </c>
      <c r="AN3474" s="46" t="s">
        <v>63</v>
      </c>
      <c r="AO3474" s="46">
        <v>7200</v>
      </c>
      <c r="AP3474" s="46">
        <v>13826.744000000001</v>
      </c>
      <c r="AQ3474" s="46">
        <v>1.92</v>
      </c>
      <c r="AR3474" s="46">
        <v>46092.6</v>
      </c>
      <c r="AS3474" s="46">
        <v>194</v>
      </c>
      <c r="AT3474" s="46">
        <v>95530</v>
      </c>
      <c r="AU3474" s="46">
        <v>795323</v>
      </c>
      <c r="AV3474" s="46">
        <v>8.3249999999999993</v>
      </c>
      <c r="AW3474" s="46">
        <v>221</v>
      </c>
      <c r="AX3474" s="46">
        <v>97900</v>
      </c>
      <c r="AY3474" s="46">
        <v>867143.89950000017</v>
      </c>
      <c r="AZ3474" s="46">
        <v>8.8569999999999993</v>
      </c>
      <c r="BA3474" s="46" t="s">
        <v>69</v>
      </c>
      <c r="BB3474" s="46">
        <v>2370</v>
      </c>
      <c r="BC3474" s="46">
        <v>71820.899999999994</v>
      </c>
      <c r="BD3474" s="46">
        <v>30.303999999999998</v>
      </c>
      <c r="BE3474" s="46">
        <v>50821.96</v>
      </c>
      <c r="BF3474" s="46">
        <v>5</v>
      </c>
      <c r="BG3474" s="46">
        <v>0.17</v>
      </c>
      <c r="BH3474" s="46">
        <v>85652.644000000088</v>
      </c>
      <c r="BI3474">
        <v>8.92</v>
      </c>
      <c r="BJ3474">
        <v>57994.155999999995</v>
      </c>
      <c r="BK3474">
        <v>6.06</v>
      </c>
      <c r="BL3474">
        <v>5947.43</v>
      </c>
    </row>
    <row r="3475" spans="1:64" x14ac:dyDescent="0.25">
      <c r="A3475" s="136">
        <v>43580</v>
      </c>
      <c r="B3475" t="s">
        <v>78</v>
      </c>
      <c r="C3475" t="s">
        <v>142</v>
      </c>
      <c r="D3475">
        <v>200</v>
      </c>
      <c r="E3475">
        <v>200</v>
      </c>
      <c r="F3475">
        <v>2.077</v>
      </c>
      <c r="G3475">
        <v>1846.65</v>
      </c>
      <c r="H3475">
        <v>444.55</v>
      </c>
      <c r="I3475">
        <v>2262</v>
      </c>
      <c r="J3475">
        <v>11.31</v>
      </c>
      <c r="K3475" s="133">
        <v>4.0714117704910265E-3</v>
      </c>
      <c r="L3475" s="181">
        <v>-132</v>
      </c>
      <c r="M3475" s="133">
        <v>7.4759543716774871E-4</v>
      </c>
      <c r="N3475" s="73">
        <v>1454.650999999996</v>
      </c>
      <c r="O3475" s="73">
        <v>155.49985823529371</v>
      </c>
      <c r="P3475" s="182">
        <v>0</v>
      </c>
      <c r="Q3475" s="182">
        <v>0</v>
      </c>
      <c r="R3475" s="46">
        <v>0</v>
      </c>
      <c r="S3475" s="46">
        <v>3</v>
      </c>
      <c r="T3475" s="46">
        <v>1200</v>
      </c>
      <c r="U3475" s="46">
        <v>9.923</v>
      </c>
      <c r="V3475" s="46" t="s">
        <v>68</v>
      </c>
      <c r="W3475" s="46">
        <v>1200</v>
      </c>
      <c r="X3475" s="46">
        <v>9.923</v>
      </c>
      <c r="AF3475" s="46">
        <v>14</v>
      </c>
      <c r="AG3475" s="46">
        <v>7000</v>
      </c>
      <c r="AH3475" s="46">
        <v>67625</v>
      </c>
      <c r="AI3475" s="46">
        <v>9.6609999999999996</v>
      </c>
      <c r="AJ3475" s="46">
        <v>15</v>
      </c>
      <c r="AK3475" s="46">
        <v>5600</v>
      </c>
      <c r="AL3475" s="46">
        <v>55310.559000000008</v>
      </c>
      <c r="AM3475" s="46">
        <v>9.8770000000000007</v>
      </c>
      <c r="AN3475" s="46" t="s">
        <v>63</v>
      </c>
      <c r="AO3475" s="46">
        <v>1400</v>
      </c>
      <c r="AP3475" s="46">
        <v>12314.441000000001</v>
      </c>
      <c r="AQ3475" s="46">
        <v>8.7959999999999994</v>
      </c>
      <c r="AR3475" s="46">
        <v>1209.5999999999999</v>
      </c>
      <c r="AS3475" s="46">
        <v>14</v>
      </c>
      <c r="AT3475" s="46">
        <v>7000</v>
      </c>
      <c r="AU3475" s="46">
        <v>67625</v>
      </c>
      <c r="AV3475" s="46">
        <v>9.6609999999999996</v>
      </c>
      <c r="AW3475" s="46">
        <v>18</v>
      </c>
      <c r="AX3475" s="46">
        <v>6800</v>
      </c>
      <c r="AY3475" s="46">
        <v>67209.651000000013</v>
      </c>
      <c r="AZ3475" s="46">
        <v>9.8840000000000003</v>
      </c>
      <c r="BA3475" s="46" t="s">
        <v>63</v>
      </c>
      <c r="BB3475" s="46">
        <v>200</v>
      </c>
      <c r="BC3475" s="46">
        <v>415.34899999999999</v>
      </c>
      <c r="BD3475" s="46">
        <v>2.077</v>
      </c>
      <c r="BE3475" s="46">
        <v>1516.4</v>
      </c>
      <c r="BF3475" s="46">
        <v>0</v>
      </c>
      <c r="BH3475" s="46">
        <v>11899.092000000004</v>
      </c>
      <c r="BI3475">
        <v>9.92</v>
      </c>
      <c r="BJ3475">
        <v>-11899.092000000001</v>
      </c>
      <c r="BK3475">
        <v>-9.92</v>
      </c>
      <c r="BL3475">
        <v>106.95</v>
      </c>
    </row>
    <row r="3476" spans="1:64" x14ac:dyDescent="0.25">
      <c r="A3476" s="136">
        <v>43580</v>
      </c>
      <c r="B3476" t="s">
        <v>72</v>
      </c>
      <c r="C3476" t="s">
        <v>130</v>
      </c>
      <c r="D3476">
        <v>100</v>
      </c>
      <c r="E3476">
        <v>100</v>
      </c>
      <c r="F3476">
        <v>-18.477</v>
      </c>
      <c r="G3476">
        <v>2403.6999999999998</v>
      </c>
      <c r="H3476">
        <v>0</v>
      </c>
      <c r="I3476">
        <v>556</v>
      </c>
      <c r="J3476">
        <v>5.56</v>
      </c>
      <c r="K3476" s="133">
        <v>1.0007537331534089E-3</v>
      </c>
      <c r="L3476" s="181">
        <v>-33</v>
      </c>
      <c r="M3476" s="133">
        <v>0</v>
      </c>
      <c r="N3476" s="73">
        <v>-1498.9659999999872</v>
      </c>
      <c r="O3476" s="73">
        <v>376.42007904191922</v>
      </c>
      <c r="P3476" s="182">
        <v>0</v>
      </c>
      <c r="Q3476" s="182">
        <v>0</v>
      </c>
      <c r="R3476" s="46">
        <v>0</v>
      </c>
      <c r="S3476" s="46">
        <v>20</v>
      </c>
      <c r="T3476" s="46">
        <v>8600</v>
      </c>
      <c r="U3476" s="46">
        <v>7.3840000000000003</v>
      </c>
      <c r="V3476" s="46" t="s">
        <v>68</v>
      </c>
      <c r="W3476" s="46">
        <v>8600</v>
      </c>
      <c r="X3476" s="46">
        <v>7.3840000000000003</v>
      </c>
      <c r="AF3476" s="46">
        <v>42</v>
      </c>
      <c r="AG3476" s="46">
        <v>20900</v>
      </c>
      <c r="AH3476" s="46">
        <v>152800</v>
      </c>
      <c r="AI3476" s="46">
        <v>7.3109999999999999</v>
      </c>
      <c r="AJ3476" s="46">
        <v>42</v>
      </c>
      <c r="AK3476" s="46">
        <v>18800</v>
      </c>
      <c r="AL3476" s="46">
        <v>92037.725000000035</v>
      </c>
      <c r="AM3476" s="46">
        <v>4.8959999999999999</v>
      </c>
      <c r="AN3476" s="46" t="s">
        <v>63</v>
      </c>
      <c r="AO3476" s="46">
        <v>2100</v>
      </c>
      <c r="AP3476" s="46">
        <v>60762.275000000001</v>
      </c>
      <c r="AQ3476" s="46">
        <v>28.934000000000001</v>
      </c>
      <c r="AR3476" s="46">
        <v>-45402</v>
      </c>
      <c r="AS3476" s="46">
        <v>42</v>
      </c>
      <c r="AT3476" s="46">
        <v>20900</v>
      </c>
      <c r="AU3476" s="46">
        <v>152800</v>
      </c>
      <c r="AV3476" s="46">
        <v>7.3109999999999999</v>
      </c>
      <c r="AW3476" s="46">
        <v>63</v>
      </c>
      <c r="AX3476" s="46">
        <v>27900</v>
      </c>
      <c r="AY3476" s="46">
        <v>155380.21900000001</v>
      </c>
      <c r="AZ3476" s="46">
        <v>5.569</v>
      </c>
      <c r="BA3476" s="46" t="s">
        <v>69</v>
      </c>
      <c r="BB3476" s="46">
        <v>7000</v>
      </c>
      <c r="BC3476" s="46">
        <v>2580.2190000000001</v>
      </c>
      <c r="BD3476" s="46">
        <v>0.36899999999999999</v>
      </c>
      <c r="BE3476" s="46">
        <v>-36407.800000000003</v>
      </c>
      <c r="BF3476" s="46">
        <v>0</v>
      </c>
      <c r="BH3476" s="46">
        <v>63342.493999999977</v>
      </c>
      <c r="BI3476">
        <v>7.37</v>
      </c>
      <c r="BJ3476">
        <v>-58182.056000000004</v>
      </c>
      <c r="BK3476">
        <v>-6.77</v>
      </c>
      <c r="BL3476">
        <v>-8165.83</v>
      </c>
    </row>
    <row r="3477" spans="1:64" x14ac:dyDescent="0.25">
      <c r="A3477" s="136">
        <v>43580</v>
      </c>
      <c r="B3477" t="s">
        <v>70</v>
      </c>
      <c r="C3477" t="s">
        <v>131</v>
      </c>
      <c r="D3477">
        <v>9700</v>
      </c>
      <c r="E3477">
        <v>9700</v>
      </c>
      <c r="F3477">
        <v>11.294</v>
      </c>
      <c r="G3477">
        <v>7429.93</v>
      </c>
      <c r="H3477">
        <v>6.78</v>
      </c>
      <c r="I3477">
        <v>116982</v>
      </c>
      <c r="J3477">
        <v>12.06</v>
      </c>
      <c r="K3477" s="133">
        <v>0.21055786548876274</v>
      </c>
      <c r="L3477" s="181">
        <v>11266.62</v>
      </c>
      <c r="M3477" s="133">
        <v>0.19718460976112154</v>
      </c>
      <c r="N3477" s="73">
        <v>7425.9389999999694</v>
      </c>
      <c r="O3477" s="73">
        <v>615.44162773631592</v>
      </c>
      <c r="P3477" s="182">
        <v>0</v>
      </c>
      <c r="Q3477" s="182">
        <v>0</v>
      </c>
      <c r="R3477" s="46">
        <v>0</v>
      </c>
      <c r="S3477" s="46">
        <v>12</v>
      </c>
      <c r="T3477" s="46">
        <v>4800</v>
      </c>
      <c r="U3477" s="46">
        <v>9.7870000000000008</v>
      </c>
      <c r="V3477" s="46" t="s">
        <v>68</v>
      </c>
      <c r="W3477" s="46">
        <v>4800</v>
      </c>
      <c r="X3477" s="46">
        <v>9.7870000000000008</v>
      </c>
      <c r="AF3477" s="46">
        <v>158</v>
      </c>
      <c r="AG3477" s="46">
        <v>80600</v>
      </c>
      <c r="AH3477" s="46">
        <v>992258</v>
      </c>
      <c r="AI3477" s="46">
        <v>12.311</v>
      </c>
      <c r="AJ3477" s="46">
        <v>164</v>
      </c>
      <c r="AK3477" s="46">
        <v>66100</v>
      </c>
      <c r="AL3477" s="46">
        <v>835427.91499999969</v>
      </c>
      <c r="AM3477" s="46">
        <v>12.638999999999999</v>
      </c>
      <c r="AN3477" s="46" t="s">
        <v>63</v>
      </c>
      <c r="AO3477" s="46">
        <v>14500</v>
      </c>
      <c r="AP3477" s="46">
        <v>156830.08499999999</v>
      </c>
      <c r="AQ3477" s="46">
        <v>10.816000000000001</v>
      </c>
      <c r="AR3477" s="46">
        <v>21680.799999999999</v>
      </c>
      <c r="AS3477" s="46">
        <v>158</v>
      </c>
      <c r="AT3477" s="46">
        <v>80600</v>
      </c>
      <c r="AU3477" s="46">
        <v>992258</v>
      </c>
      <c r="AV3477" s="46">
        <v>12.311</v>
      </c>
      <c r="AW3477" s="46">
        <v>177</v>
      </c>
      <c r="AX3477" s="46">
        <v>70900</v>
      </c>
      <c r="AY3477" s="46">
        <v>882701.93899999955</v>
      </c>
      <c r="AZ3477" s="46">
        <v>12.45</v>
      </c>
      <c r="BA3477" s="46" t="s">
        <v>63</v>
      </c>
      <c r="BB3477" s="46">
        <v>9700</v>
      </c>
      <c r="BC3477" s="46">
        <v>109556.061</v>
      </c>
      <c r="BD3477" s="46">
        <v>11.294</v>
      </c>
      <c r="BE3477" s="46">
        <v>9855.1</v>
      </c>
      <c r="BF3477" s="46">
        <v>0</v>
      </c>
      <c r="BH3477" s="46">
        <v>47274.023999999859</v>
      </c>
      <c r="BI3477">
        <v>9.85</v>
      </c>
      <c r="BJ3477">
        <v>-47274.02399999999</v>
      </c>
      <c r="BK3477">
        <v>-9.85</v>
      </c>
      <c r="BL3477">
        <v>1797.74</v>
      </c>
    </row>
    <row r="3478" spans="1:64" x14ac:dyDescent="0.25">
      <c r="A3478" s="136">
        <v>43580</v>
      </c>
      <c r="B3478" t="s">
        <v>628</v>
      </c>
      <c r="C3478" t="s">
        <v>629</v>
      </c>
      <c r="D3478">
        <v>100</v>
      </c>
      <c r="E3478">
        <v>100</v>
      </c>
      <c r="F3478">
        <v>-22.33</v>
      </c>
      <c r="G3478">
        <v>3533</v>
      </c>
      <c r="H3478">
        <v>0</v>
      </c>
      <c r="I3478">
        <v>1300</v>
      </c>
      <c r="J3478">
        <v>13</v>
      </c>
      <c r="K3478" s="133">
        <v>2.3398918221212797E-3</v>
      </c>
      <c r="L3478" s="181">
        <v>-91</v>
      </c>
      <c r="M3478" s="133">
        <v>0</v>
      </c>
    </row>
    <row r="3479" spans="1:64" x14ac:dyDescent="0.25">
      <c r="A3479" s="136">
        <v>43580</v>
      </c>
      <c r="B3479" t="s">
        <v>630</v>
      </c>
      <c r="C3479" t="s">
        <v>631</v>
      </c>
      <c r="D3479">
        <v>100</v>
      </c>
      <c r="E3479">
        <v>100</v>
      </c>
      <c r="F3479">
        <v>-94.45</v>
      </c>
      <c r="G3479">
        <v>12223</v>
      </c>
      <c r="H3479">
        <v>0</v>
      </c>
      <c r="I3479">
        <v>2778</v>
      </c>
      <c r="J3479">
        <v>27.78</v>
      </c>
      <c r="K3479" s="133">
        <v>5.0001688321945504E-3</v>
      </c>
      <c r="L3479" s="181">
        <v>-212</v>
      </c>
      <c r="M3479" s="133">
        <v>0</v>
      </c>
    </row>
    <row r="3480" spans="1:64" x14ac:dyDescent="0.25">
      <c r="A3480" s="136">
        <v>43580</v>
      </c>
      <c r="B3480" t="s">
        <v>137</v>
      </c>
      <c r="C3480" t="s">
        <v>149</v>
      </c>
      <c r="D3480">
        <v>100</v>
      </c>
      <c r="E3480">
        <v>100</v>
      </c>
      <c r="F3480">
        <v>-130.86000000000001</v>
      </c>
      <c r="G3480">
        <v>16694</v>
      </c>
      <c r="H3480">
        <v>0</v>
      </c>
      <c r="I3480">
        <v>3608</v>
      </c>
      <c r="J3480">
        <v>36.08</v>
      </c>
      <c r="K3480" s="133">
        <v>6.4940997647796751E-3</v>
      </c>
      <c r="L3480" s="181">
        <v>-182</v>
      </c>
      <c r="M3480" s="133">
        <v>0</v>
      </c>
    </row>
    <row r="3481" spans="1:64" x14ac:dyDescent="0.25">
      <c r="A3481" s="136">
        <v>43580</v>
      </c>
      <c r="B3481" t="s">
        <v>835</v>
      </c>
      <c r="C3481" t="s">
        <v>839</v>
      </c>
      <c r="I3481">
        <v>4555.03</v>
      </c>
      <c r="K3481" s="133">
        <v>8.1986749588593023E-3</v>
      </c>
      <c r="L3481" s="181">
        <v>0</v>
      </c>
      <c r="M3481" s="133">
        <v>0.13427980397610259</v>
      </c>
    </row>
    <row r="3482" spans="1:64" x14ac:dyDescent="0.25">
      <c r="A3482" s="136">
        <v>43581</v>
      </c>
      <c r="B3482" t="s">
        <v>132</v>
      </c>
      <c r="C3482" t="s">
        <v>123</v>
      </c>
      <c r="D3482">
        <v>7005233</v>
      </c>
      <c r="E3482">
        <v>7005233</v>
      </c>
      <c r="F3482">
        <v>8.9999999999999993E-3</v>
      </c>
      <c r="G3482">
        <v>3963.18</v>
      </c>
      <c r="H3482">
        <v>11.11</v>
      </c>
      <c r="I3482">
        <v>70052.33</v>
      </c>
      <c r="J3482">
        <v>0.01</v>
      </c>
      <c r="K3482" s="133">
        <v>0.12607982518664279</v>
      </c>
      <c r="L3482" s="181">
        <v>4.0199999999999818</v>
      </c>
      <c r="M3482" s="133">
        <v>0</v>
      </c>
    </row>
    <row r="3483" spans="1:64" x14ac:dyDescent="0.25">
      <c r="A3483" s="136">
        <v>43581</v>
      </c>
      <c r="B3483" t="s">
        <v>61</v>
      </c>
      <c r="C3483" t="s">
        <v>136</v>
      </c>
      <c r="D3483">
        <v>2500</v>
      </c>
      <c r="E3483">
        <v>2500</v>
      </c>
      <c r="F3483">
        <v>4.931</v>
      </c>
      <c r="G3483">
        <v>-851.57</v>
      </c>
      <c r="H3483">
        <v>-6.91</v>
      </c>
      <c r="I3483">
        <v>11475</v>
      </c>
      <c r="J3483">
        <v>4.59</v>
      </c>
      <c r="K3483" s="133">
        <v>2.0652646300511716E-2</v>
      </c>
      <c r="L3483" s="181">
        <v>-50</v>
      </c>
      <c r="M3483" s="133">
        <v>2.2185297630370256E-2</v>
      </c>
      <c r="N3483" s="73">
        <v>-530.39300000000367</v>
      </c>
      <c r="O3483" s="73">
        <v>-112.315212605933</v>
      </c>
      <c r="P3483" s="182">
        <v>1</v>
      </c>
      <c r="Q3483" s="182">
        <v>500</v>
      </c>
      <c r="R3483" s="46">
        <v>4.72</v>
      </c>
      <c r="S3483" s="46">
        <v>0</v>
      </c>
      <c r="T3483" s="46">
        <v>0</v>
      </c>
      <c r="U3483" s="46">
        <v>0</v>
      </c>
      <c r="V3483" s="46" t="s">
        <v>62</v>
      </c>
      <c r="W3483" s="46">
        <v>500</v>
      </c>
      <c r="X3483" s="46">
        <v>4.72</v>
      </c>
      <c r="AF3483" s="46">
        <v>21</v>
      </c>
      <c r="AG3483" s="46">
        <v>10500</v>
      </c>
      <c r="AH3483" s="46">
        <v>52226.3</v>
      </c>
      <c r="AI3483" s="46">
        <v>4.9740000000000002</v>
      </c>
      <c r="AJ3483" s="46">
        <v>21</v>
      </c>
      <c r="AK3483" s="46">
        <v>8500</v>
      </c>
      <c r="AL3483" s="46">
        <v>42261.206999999988</v>
      </c>
      <c r="AM3483" s="46">
        <v>4.9720000000000004</v>
      </c>
      <c r="AN3483" s="46" t="s">
        <v>63</v>
      </c>
      <c r="AO3483" s="46">
        <v>2000</v>
      </c>
      <c r="AP3483" s="46">
        <v>9965.0930000000008</v>
      </c>
      <c r="AQ3483" s="46">
        <v>4.9829999999999997</v>
      </c>
      <c r="AR3483" s="46">
        <v>-17</v>
      </c>
      <c r="AS3483" s="46">
        <v>22</v>
      </c>
      <c r="AT3483" s="46">
        <v>11000</v>
      </c>
      <c r="AU3483" s="46">
        <v>54591.600000000006</v>
      </c>
      <c r="AV3483" s="46">
        <v>4.9630000000000001</v>
      </c>
      <c r="AW3483" s="46">
        <v>21</v>
      </c>
      <c r="AX3483" s="46">
        <v>8500</v>
      </c>
      <c r="AY3483" s="46">
        <v>42261.206999999988</v>
      </c>
      <c r="AZ3483" s="46">
        <v>4.9720000000000004</v>
      </c>
      <c r="BA3483" s="46" t="s">
        <v>63</v>
      </c>
      <c r="BB3483" s="46">
        <v>2500</v>
      </c>
      <c r="BC3483" s="46">
        <v>12330.393</v>
      </c>
      <c r="BD3483" s="46">
        <v>4.9320000000000004</v>
      </c>
      <c r="BE3483" s="46">
        <v>76.5</v>
      </c>
      <c r="BF3483" s="46">
        <v>2365.3000000000029</v>
      </c>
      <c r="BG3483" s="46">
        <v>4.7300000000000004</v>
      </c>
      <c r="BH3483" s="46">
        <v>0</v>
      </c>
      <c r="BJ3483">
        <v>2365.2999999999993</v>
      </c>
      <c r="BK3483">
        <v>4.7300000000000004</v>
      </c>
      <c r="BL3483">
        <v>-3.7</v>
      </c>
    </row>
    <row r="3484" spans="1:64" x14ac:dyDescent="0.25">
      <c r="A3484" s="136">
        <v>43581</v>
      </c>
      <c r="B3484" t="s">
        <v>124</v>
      </c>
      <c r="C3484" t="s">
        <v>125</v>
      </c>
      <c r="D3484">
        <v>100</v>
      </c>
      <c r="E3484">
        <v>100</v>
      </c>
      <c r="F3484">
        <v>-53.82</v>
      </c>
      <c r="G3484">
        <v>5953</v>
      </c>
      <c r="H3484">
        <v>0</v>
      </c>
      <c r="I3484">
        <v>571</v>
      </c>
      <c r="J3484">
        <v>5.71</v>
      </c>
      <c r="K3484" s="133">
        <v>1.0276828790930013E-3</v>
      </c>
      <c r="L3484" s="181">
        <v>-2</v>
      </c>
      <c r="M3484" s="133">
        <v>0</v>
      </c>
      <c r="N3484" s="73">
        <v>5573.0690000000113</v>
      </c>
      <c r="O3484" s="73">
        <v>1102.4501845505636</v>
      </c>
      <c r="P3484" s="182">
        <v>0</v>
      </c>
      <c r="Q3484" s="182">
        <v>0</v>
      </c>
      <c r="R3484" s="46">
        <v>0</v>
      </c>
      <c r="S3484" s="46">
        <v>5</v>
      </c>
      <c r="T3484" s="46">
        <v>2300</v>
      </c>
      <c r="U3484" s="46">
        <v>4.99</v>
      </c>
      <c r="V3484" s="46" t="s">
        <v>68</v>
      </c>
      <c r="W3484" s="46">
        <v>2300</v>
      </c>
      <c r="X3484" s="46">
        <v>4.99</v>
      </c>
      <c r="AF3484" s="46">
        <v>50</v>
      </c>
      <c r="AG3484" s="46">
        <v>36700</v>
      </c>
      <c r="AH3484" s="46">
        <v>180101.02000000002</v>
      </c>
      <c r="AI3484" s="46">
        <v>4.907</v>
      </c>
      <c r="AJ3484" s="46">
        <v>58</v>
      </c>
      <c r="AK3484" s="46">
        <v>35300</v>
      </c>
      <c r="AL3484" s="46">
        <v>178266.546</v>
      </c>
      <c r="AM3484" s="46">
        <v>5.05</v>
      </c>
      <c r="AN3484" s="46" t="s">
        <v>63</v>
      </c>
      <c r="AO3484" s="46">
        <v>1400</v>
      </c>
      <c r="AP3484" s="46">
        <v>1834.4739999999999</v>
      </c>
      <c r="AQ3484" s="46">
        <v>1.31</v>
      </c>
      <c r="AR3484" s="46">
        <v>5047.8999999999996</v>
      </c>
      <c r="AS3484" s="46">
        <v>51</v>
      </c>
      <c r="AT3484" s="46">
        <v>37700</v>
      </c>
      <c r="AU3484" s="46">
        <v>185106.62</v>
      </c>
      <c r="AV3484" s="46">
        <v>4.91</v>
      </c>
      <c r="AW3484" s="46">
        <v>63</v>
      </c>
      <c r="AX3484" s="46">
        <v>37600</v>
      </c>
      <c r="AY3484" s="46">
        <v>189713.68900000001</v>
      </c>
      <c r="AZ3484" s="46">
        <v>5.0460000000000003</v>
      </c>
      <c r="BA3484" s="46" t="s">
        <v>63</v>
      </c>
      <c r="BB3484" s="46">
        <v>100</v>
      </c>
      <c r="BC3484" s="46">
        <v>4607.0690000000004</v>
      </c>
      <c r="BD3484" s="46">
        <v>46.070999999999998</v>
      </c>
      <c r="BE3484" s="46">
        <v>5113.6000000000004</v>
      </c>
      <c r="BF3484" s="46">
        <v>5005.5999999999767</v>
      </c>
      <c r="BH3484" s="46">
        <v>11447.143000000011</v>
      </c>
      <c r="BI3484">
        <v>4.9800000000000004</v>
      </c>
      <c r="BJ3484">
        <v>2772.5950000000003</v>
      </c>
      <c r="BK3484">
        <v>1.21</v>
      </c>
      <c r="BL3484">
        <v>884.05</v>
      </c>
    </row>
    <row r="3485" spans="1:64" x14ac:dyDescent="0.25">
      <c r="A3485" s="136">
        <v>43581</v>
      </c>
      <c r="B3485" t="s">
        <v>71</v>
      </c>
      <c r="C3485" t="s">
        <v>126</v>
      </c>
      <c r="D3485">
        <v>2400</v>
      </c>
      <c r="E3485">
        <v>2400</v>
      </c>
      <c r="F3485">
        <v>5.09</v>
      </c>
      <c r="G3485">
        <v>2855.18</v>
      </c>
      <c r="H3485">
        <v>23.37</v>
      </c>
      <c r="I3485">
        <v>15072</v>
      </c>
      <c r="J3485">
        <v>6.28</v>
      </c>
      <c r="K3485" s="133">
        <v>2.7126508500332252E-2</v>
      </c>
      <c r="L3485" s="181">
        <v>24</v>
      </c>
      <c r="M3485" s="133">
        <v>2.1987770141788019E-2</v>
      </c>
      <c r="N3485" s="73">
        <v>-12228.471999999994</v>
      </c>
      <c r="O3485" s="73">
        <v>468.72728846761544</v>
      </c>
      <c r="P3485" s="182">
        <v>1</v>
      </c>
      <c r="Q3485" s="182">
        <v>1500</v>
      </c>
      <c r="R3485" s="46">
        <v>6.33</v>
      </c>
      <c r="S3485" s="46">
        <v>8</v>
      </c>
      <c r="T3485" s="46">
        <v>3100</v>
      </c>
      <c r="U3485" s="46">
        <v>6.4390000000000001</v>
      </c>
      <c r="V3485" s="46" t="s">
        <v>68</v>
      </c>
      <c r="W3485" s="46">
        <v>1600</v>
      </c>
      <c r="X3485" s="46">
        <v>6.5410000000000004</v>
      </c>
      <c r="AF3485" s="46">
        <v>53</v>
      </c>
      <c r="AG3485" s="46">
        <v>26600</v>
      </c>
      <c r="AH3485" s="46">
        <v>168836.92999999996</v>
      </c>
      <c r="AI3485" s="46">
        <v>6.3470000000000004</v>
      </c>
      <c r="AJ3485" s="46">
        <v>51</v>
      </c>
      <c r="AK3485" s="46">
        <v>22600</v>
      </c>
      <c r="AL3485" s="46">
        <v>146054.978</v>
      </c>
      <c r="AM3485" s="46">
        <v>6.4630000000000001</v>
      </c>
      <c r="AN3485" s="46" t="s">
        <v>63</v>
      </c>
      <c r="AO3485" s="46">
        <v>4000</v>
      </c>
      <c r="AP3485" s="46">
        <v>22781.952000000001</v>
      </c>
      <c r="AQ3485" s="46">
        <v>5.6950000000000003</v>
      </c>
      <c r="AR3485" s="46">
        <v>2621.6</v>
      </c>
      <c r="AS3485" s="46">
        <v>54</v>
      </c>
      <c r="AT3485" s="46">
        <v>28100</v>
      </c>
      <c r="AU3485" s="46">
        <v>178337.82999999996</v>
      </c>
      <c r="AV3485" s="46">
        <v>6.3470000000000004</v>
      </c>
      <c r="AW3485" s="46">
        <v>59</v>
      </c>
      <c r="AX3485" s="46">
        <v>25700</v>
      </c>
      <c r="AY3485" s="46">
        <v>165953.158</v>
      </c>
      <c r="AZ3485" s="46">
        <v>6.4569999999999999</v>
      </c>
      <c r="BA3485" s="46" t="s">
        <v>63</v>
      </c>
      <c r="BB3485" s="46">
        <v>2400</v>
      </c>
      <c r="BC3485" s="46">
        <v>12384.672</v>
      </c>
      <c r="BD3485" s="46">
        <v>5.16</v>
      </c>
      <c r="BE3485" s="46">
        <v>2827</v>
      </c>
      <c r="BF3485" s="46">
        <v>9500.8999999999942</v>
      </c>
      <c r="BG3485" s="46">
        <v>6.33</v>
      </c>
      <c r="BH3485" s="46">
        <v>19898.179999999993</v>
      </c>
      <c r="BI3485">
        <v>6.42</v>
      </c>
      <c r="BJ3485">
        <v>-10397.280000000001</v>
      </c>
      <c r="BK3485">
        <v>-6.5</v>
      </c>
      <c r="BL3485">
        <v>417.45</v>
      </c>
    </row>
    <row r="3486" spans="1:64" x14ac:dyDescent="0.25">
      <c r="A3486" s="136">
        <v>43581</v>
      </c>
      <c r="B3486" t="s">
        <v>79</v>
      </c>
      <c r="C3486" t="s">
        <v>143</v>
      </c>
      <c r="D3486">
        <v>11520</v>
      </c>
      <c r="E3486">
        <v>11020</v>
      </c>
      <c r="F3486">
        <v>10.409000000000001</v>
      </c>
      <c r="G3486">
        <v>-26487.69</v>
      </c>
      <c r="H3486">
        <v>-22.09</v>
      </c>
      <c r="I3486">
        <v>93427.199999999997</v>
      </c>
      <c r="J3486">
        <v>8.11</v>
      </c>
      <c r="K3486" s="133">
        <v>0.1681497966402761</v>
      </c>
      <c r="L3486" s="181">
        <v>-4022.2799999999988</v>
      </c>
      <c r="M3486" s="133">
        <v>0.21582220560651585</v>
      </c>
      <c r="N3486" s="73">
        <v>-25355.140000000261</v>
      </c>
      <c r="O3486" s="73">
        <v>-3086.7798331303607</v>
      </c>
      <c r="P3486" s="182">
        <v>11</v>
      </c>
      <c r="Q3486" s="182">
        <v>7920</v>
      </c>
      <c r="R3486" s="46">
        <v>5.3959999999999999</v>
      </c>
      <c r="S3486" s="46">
        <v>0</v>
      </c>
      <c r="T3486" s="46">
        <v>0</v>
      </c>
      <c r="U3486" s="46">
        <v>0</v>
      </c>
      <c r="V3486" s="46" t="s">
        <v>62</v>
      </c>
      <c r="W3486" s="46">
        <v>7920</v>
      </c>
      <c r="X3486" s="46">
        <v>5.3959999999999999</v>
      </c>
      <c r="AF3486" s="46">
        <v>35</v>
      </c>
      <c r="AG3486" s="46">
        <v>18000</v>
      </c>
      <c r="AH3486" s="46">
        <v>262835.79999999981</v>
      </c>
      <c r="AI3486" s="46">
        <v>14.602</v>
      </c>
      <c r="AJ3486" s="46">
        <v>36</v>
      </c>
      <c r="AK3486" s="46">
        <v>14400</v>
      </c>
      <c r="AL3486" s="46">
        <v>185696.2119999998</v>
      </c>
      <c r="AM3486" s="46">
        <v>12.896000000000001</v>
      </c>
      <c r="AN3486" s="46" t="s">
        <v>63</v>
      </c>
      <c r="AO3486" s="46">
        <v>3600</v>
      </c>
      <c r="AP3486" s="46">
        <v>77139.588000000003</v>
      </c>
      <c r="AQ3486" s="46">
        <v>21.428000000000001</v>
      </c>
      <c r="AR3486" s="46">
        <v>-24566.400000000001</v>
      </c>
      <c r="AS3486" s="46">
        <v>46</v>
      </c>
      <c r="AT3486" s="46">
        <v>25920</v>
      </c>
      <c r="AU3486" s="46">
        <v>305630.55199999968</v>
      </c>
      <c r="AV3486" s="46">
        <v>11.791</v>
      </c>
      <c r="AW3486" s="46">
        <v>36</v>
      </c>
      <c r="AX3486" s="46">
        <v>14400</v>
      </c>
      <c r="AY3486" s="46">
        <v>185696.2119999998</v>
      </c>
      <c r="AZ3486" s="46">
        <v>12.896000000000001</v>
      </c>
      <c r="BA3486" s="46" t="s">
        <v>63</v>
      </c>
      <c r="BB3486" s="46">
        <v>11520</v>
      </c>
      <c r="BC3486" s="46">
        <v>119934.34</v>
      </c>
      <c r="BD3486" s="46">
        <v>10.411</v>
      </c>
      <c r="BE3486" s="46">
        <v>15912</v>
      </c>
      <c r="BF3486" s="46">
        <v>42794.751999999862</v>
      </c>
      <c r="BG3486" s="46">
        <v>5.4</v>
      </c>
      <c r="BH3486" s="46">
        <v>0</v>
      </c>
      <c r="BJ3486">
        <v>42794.751999999993</v>
      </c>
      <c r="BK3486">
        <v>5.4</v>
      </c>
      <c r="BL3486">
        <v>-3029.15</v>
      </c>
    </row>
    <row r="3487" spans="1:64" x14ac:dyDescent="0.25">
      <c r="A3487" s="136">
        <v>43581</v>
      </c>
      <c r="B3487" t="s">
        <v>65</v>
      </c>
      <c r="C3487" t="s">
        <v>127</v>
      </c>
      <c r="D3487">
        <v>25900</v>
      </c>
      <c r="E3487">
        <v>24400</v>
      </c>
      <c r="F3487">
        <v>8.7899999999999991</v>
      </c>
      <c r="G3487">
        <v>-14764.34</v>
      </c>
      <c r="H3487">
        <v>-6.49</v>
      </c>
      <c r="I3487">
        <v>212898</v>
      </c>
      <c r="J3487">
        <v>8.2200000000000006</v>
      </c>
      <c r="K3487" s="133">
        <v>0.38317273133650048</v>
      </c>
      <c r="L3487" s="181">
        <v>-2718.34</v>
      </c>
      <c r="M3487" s="133">
        <v>0.40974551494264405</v>
      </c>
      <c r="N3487" s="73">
        <v>-18528.749000000098</v>
      </c>
      <c r="O3487" s="73">
        <v>-1728.1640658070673</v>
      </c>
      <c r="P3487" s="182">
        <v>7</v>
      </c>
      <c r="Q3487" s="182">
        <v>4500</v>
      </c>
      <c r="R3487" s="46">
        <v>8.4830000000000005</v>
      </c>
      <c r="S3487" s="46">
        <v>3</v>
      </c>
      <c r="T3487" s="46">
        <v>1200</v>
      </c>
      <c r="U3487" s="46">
        <v>8.5470000000000006</v>
      </c>
      <c r="V3487" s="46" t="s">
        <v>62</v>
      </c>
      <c r="W3487" s="46">
        <v>3300</v>
      </c>
      <c r="X3487" s="46">
        <v>8.4600000000000009</v>
      </c>
      <c r="AF3487" s="46">
        <v>235</v>
      </c>
      <c r="AG3487" s="46">
        <v>127500</v>
      </c>
      <c r="AH3487" s="46">
        <v>1357191.6810000001</v>
      </c>
      <c r="AI3487" s="46">
        <v>10.645</v>
      </c>
      <c r="AJ3487" s="46">
        <v>267</v>
      </c>
      <c r="AK3487" s="46">
        <v>114100</v>
      </c>
      <c r="AL3487" s="46">
        <v>1153373.1860000002</v>
      </c>
      <c r="AM3487" s="46">
        <v>10.108000000000001</v>
      </c>
      <c r="AN3487" s="46" t="s">
        <v>63</v>
      </c>
      <c r="AO3487" s="46">
        <v>13400</v>
      </c>
      <c r="AP3487" s="46">
        <v>203818.495</v>
      </c>
      <c r="AQ3487" s="46">
        <v>15.21</v>
      </c>
      <c r="AR3487" s="46">
        <v>-61271.7</v>
      </c>
      <c r="AS3487" s="46">
        <v>243</v>
      </c>
      <c r="AT3487" s="46">
        <v>132100</v>
      </c>
      <c r="AU3487" s="46">
        <v>1396689.6810000001</v>
      </c>
      <c r="AV3487" s="46">
        <v>10.573</v>
      </c>
      <c r="AW3487" s="46">
        <v>270</v>
      </c>
      <c r="AX3487" s="46">
        <v>115300</v>
      </c>
      <c r="AY3487" s="46">
        <v>1163603.9300000002</v>
      </c>
      <c r="AZ3487" s="46">
        <v>10.092000000000001</v>
      </c>
      <c r="BA3487" s="46" t="s">
        <v>63</v>
      </c>
      <c r="BB3487" s="46">
        <v>16800</v>
      </c>
      <c r="BC3487" s="46">
        <v>233085.75099999999</v>
      </c>
      <c r="BD3487" s="46">
        <v>13.874000000000001</v>
      </c>
      <c r="BE3487" s="46">
        <v>-55459.3</v>
      </c>
      <c r="BF3487" s="46">
        <v>39498</v>
      </c>
      <c r="BG3487" s="46">
        <v>8.7799999999999994</v>
      </c>
      <c r="BH3487" s="46">
        <v>10230.743999999948</v>
      </c>
      <c r="BI3487">
        <v>8.5299999999999994</v>
      </c>
      <c r="BJ3487">
        <v>29267.255999999994</v>
      </c>
      <c r="BK3487">
        <v>8.8699999999999992</v>
      </c>
      <c r="BL3487">
        <v>-7453.98</v>
      </c>
    </row>
    <row r="3488" spans="1:64" x14ac:dyDescent="0.25">
      <c r="A3488" s="136">
        <v>43581</v>
      </c>
      <c r="B3488" t="s">
        <v>77</v>
      </c>
      <c r="C3488" t="s">
        <v>150</v>
      </c>
      <c r="D3488">
        <v>5500</v>
      </c>
      <c r="E3488">
        <v>5500</v>
      </c>
      <c r="F3488">
        <v>5.4119999999999999</v>
      </c>
      <c r="G3488">
        <v>-5290.95</v>
      </c>
      <c r="H3488">
        <v>-17.78</v>
      </c>
      <c r="I3488">
        <v>24475</v>
      </c>
      <c r="J3488">
        <v>4.45</v>
      </c>
      <c r="K3488" s="133">
        <v>4.4049979800002116E-2</v>
      </c>
      <c r="L3488" s="181">
        <v>-165</v>
      </c>
      <c r="M3488" s="133">
        <v>5.3572604544550477E-2</v>
      </c>
      <c r="N3488" s="73">
        <v>-4915.8940000000039</v>
      </c>
      <c r="O3488" s="73">
        <v>-957.41562971800522</v>
      </c>
      <c r="P3488" s="182">
        <v>6</v>
      </c>
      <c r="Q3488" s="182">
        <v>3000</v>
      </c>
      <c r="R3488" s="46">
        <v>4.3230000000000004</v>
      </c>
      <c r="S3488" s="46">
        <v>0</v>
      </c>
      <c r="T3488" s="46">
        <v>0</v>
      </c>
      <c r="U3488" s="46">
        <v>0</v>
      </c>
      <c r="V3488" s="46" t="s">
        <v>62</v>
      </c>
      <c r="W3488" s="46">
        <v>3000</v>
      </c>
      <c r="X3488" s="46">
        <v>4.3230000000000004</v>
      </c>
      <c r="AF3488" s="46">
        <v>51</v>
      </c>
      <c r="AG3488" s="46">
        <v>25500</v>
      </c>
      <c r="AH3488" s="46">
        <v>175539</v>
      </c>
      <c r="AI3488" s="46">
        <v>6.8840000000000003</v>
      </c>
      <c r="AJ3488" s="46">
        <v>51</v>
      </c>
      <c r="AK3488" s="46">
        <v>23000</v>
      </c>
      <c r="AL3488" s="46">
        <v>158480.10600000003</v>
      </c>
      <c r="AM3488" s="46">
        <v>6.89</v>
      </c>
      <c r="AN3488" s="46" t="s">
        <v>63</v>
      </c>
      <c r="AO3488" s="46">
        <v>2500</v>
      </c>
      <c r="AP3488" s="46">
        <v>17058.894</v>
      </c>
      <c r="AQ3488" s="46">
        <v>6.8239999999999998</v>
      </c>
      <c r="AR3488" s="46">
        <v>138</v>
      </c>
      <c r="AS3488" s="46">
        <v>57</v>
      </c>
      <c r="AT3488" s="46">
        <v>28500</v>
      </c>
      <c r="AU3488" s="46">
        <v>188251</v>
      </c>
      <c r="AV3488" s="46">
        <v>6.6050000000000004</v>
      </c>
      <c r="AW3488" s="46">
        <v>51</v>
      </c>
      <c r="AX3488" s="46">
        <v>23000</v>
      </c>
      <c r="AY3488" s="46">
        <v>158480.10600000003</v>
      </c>
      <c r="AZ3488" s="46">
        <v>6.89</v>
      </c>
      <c r="BA3488" s="46" t="s">
        <v>63</v>
      </c>
      <c r="BB3488" s="46">
        <v>5500</v>
      </c>
      <c r="BC3488" s="46">
        <v>29770.894</v>
      </c>
      <c r="BD3488" s="46">
        <v>5.4130000000000003</v>
      </c>
      <c r="BE3488" s="46">
        <v>6555</v>
      </c>
      <c r="BF3488" s="46">
        <v>12712</v>
      </c>
      <c r="BG3488" s="46">
        <v>4.24</v>
      </c>
      <c r="BH3488" s="46">
        <v>0</v>
      </c>
      <c r="BJ3488">
        <v>12712</v>
      </c>
      <c r="BK3488">
        <v>4.24</v>
      </c>
      <c r="BL3488">
        <v>31.01</v>
      </c>
    </row>
    <row r="3489" spans="1:64" x14ac:dyDescent="0.25">
      <c r="A3489" s="136">
        <v>43581</v>
      </c>
      <c r="B3489" t="s">
        <v>67</v>
      </c>
      <c r="C3489" t="s">
        <v>129</v>
      </c>
      <c r="D3489">
        <v>230</v>
      </c>
      <c r="E3489">
        <v>230</v>
      </c>
      <c r="F3489">
        <v>-11.728999999999999</v>
      </c>
      <c r="G3489">
        <v>4445.67</v>
      </c>
      <c r="H3489">
        <v>0</v>
      </c>
      <c r="I3489">
        <v>1748</v>
      </c>
      <c r="J3489">
        <v>7.6</v>
      </c>
      <c r="K3489" s="133">
        <v>3.1460414582391702E-3</v>
      </c>
      <c r="L3489" s="181">
        <v>-34.5</v>
      </c>
      <c r="M3489" s="133">
        <v>0</v>
      </c>
      <c r="N3489" s="73">
        <v>4362.583499999957</v>
      </c>
      <c r="O3489" s="73">
        <v>600.60636477272476</v>
      </c>
      <c r="P3489" s="182">
        <v>1</v>
      </c>
      <c r="Q3489" s="182">
        <v>30</v>
      </c>
      <c r="R3489" s="46">
        <v>0</v>
      </c>
      <c r="S3489" s="46">
        <v>24</v>
      </c>
      <c r="T3489" s="46">
        <v>9600</v>
      </c>
      <c r="U3489" s="46">
        <v>8.9429999999999996</v>
      </c>
      <c r="V3489" s="46" t="s">
        <v>68</v>
      </c>
      <c r="W3489" s="46">
        <v>9570</v>
      </c>
      <c r="X3489" s="46">
        <v>8.9710000000000001</v>
      </c>
      <c r="AF3489" s="46">
        <v>193</v>
      </c>
      <c r="AG3489" s="46">
        <v>95500</v>
      </c>
      <c r="AH3489" s="46">
        <v>795318</v>
      </c>
      <c r="AI3489" s="46">
        <v>8.3279999999999994</v>
      </c>
      <c r="AJ3489" s="46">
        <v>197</v>
      </c>
      <c r="AK3489" s="46">
        <v>88300</v>
      </c>
      <c r="AL3489" s="46">
        <v>781491.25550000009</v>
      </c>
      <c r="AM3489" s="46">
        <v>8.85</v>
      </c>
      <c r="AN3489" s="46" t="s">
        <v>63</v>
      </c>
      <c r="AO3489" s="46">
        <v>7200</v>
      </c>
      <c r="AP3489" s="46">
        <v>13826.744000000001</v>
      </c>
      <c r="AQ3489" s="46">
        <v>1.92</v>
      </c>
      <c r="AR3489" s="46">
        <v>46092.6</v>
      </c>
      <c r="AS3489" s="46">
        <v>194</v>
      </c>
      <c r="AT3489" s="46">
        <v>95530</v>
      </c>
      <c r="AU3489" s="46">
        <v>795323</v>
      </c>
      <c r="AV3489" s="46">
        <v>8.3249999999999993</v>
      </c>
      <c r="AW3489" s="46">
        <v>221</v>
      </c>
      <c r="AX3489" s="46">
        <v>97900</v>
      </c>
      <c r="AY3489" s="46">
        <v>867143.89950000017</v>
      </c>
      <c r="AZ3489" s="46">
        <v>8.8569999999999993</v>
      </c>
      <c r="BA3489" s="46" t="s">
        <v>69</v>
      </c>
      <c r="BB3489" s="46">
        <v>2370</v>
      </c>
      <c r="BC3489" s="46">
        <v>71820.899999999994</v>
      </c>
      <c r="BD3489" s="46">
        <v>30.303999999999998</v>
      </c>
      <c r="BE3489" s="46">
        <v>50821.96</v>
      </c>
      <c r="BF3489" s="46">
        <v>5</v>
      </c>
      <c r="BG3489" s="46">
        <v>0.17</v>
      </c>
      <c r="BH3489" s="46">
        <v>85652.644000000088</v>
      </c>
      <c r="BI3489">
        <v>8.92</v>
      </c>
      <c r="BJ3489">
        <v>57994.155999999995</v>
      </c>
      <c r="BK3489">
        <v>6.06</v>
      </c>
      <c r="BL3489">
        <v>6064.82</v>
      </c>
    </row>
    <row r="3490" spans="1:64" x14ac:dyDescent="0.25">
      <c r="A3490" s="136">
        <v>43581</v>
      </c>
      <c r="B3490" t="s">
        <v>78</v>
      </c>
      <c r="C3490" t="s">
        <v>142</v>
      </c>
      <c r="D3490">
        <v>200</v>
      </c>
      <c r="E3490">
        <v>200</v>
      </c>
      <c r="F3490">
        <v>2.077</v>
      </c>
      <c r="G3490">
        <v>1798.65</v>
      </c>
      <c r="H3490">
        <v>432.99</v>
      </c>
      <c r="I3490">
        <v>2214</v>
      </c>
      <c r="J3490">
        <v>11.07</v>
      </c>
      <c r="K3490" s="133">
        <v>3.9847458744516721E-3</v>
      </c>
      <c r="L3490" s="181">
        <v>-48</v>
      </c>
      <c r="M3490" s="133">
        <v>7.4754480530871798E-4</v>
      </c>
      <c r="N3490" s="73">
        <v>1454.650999999996</v>
      </c>
      <c r="O3490" s="73">
        <v>155.49985823529371</v>
      </c>
      <c r="P3490" s="182">
        <v>0</v>
      </c>
      <c r="Q3490" s="182">
        <v>0</v>
      </c>
      <c r="R3490" s="46">
        <v>0</v>
      </c>
      <c r="S3490" s="46">
        <v>3</v>
      </c>
      <c r="T3490" s="46">
        <v>1200</v>
      </c>
      <c r="U3490" s="46">
        <v>9.923</v>
      </c>
      <c r="V3490" s="46" t="s">
        <v>68</v>
      </c>
      <c r="W3490" s="46">
        <v>1200</v>
      </c>
      <c r="X3490" s="46">
        <v>9.923</v>
      </c>
      <c r="AF3490" s="46">
        <v>14</v>
      </c>
      <c r="AG3490" s="46">
        <v>7000</v>
      </c>
      <c r="AH3490" s="46">
        <v>67625</v>
      </c>
      <c r="AI3490" s="46">
        <v>9.6609999999999996</v>
      </c>
      <c r="AJ3490" s="46">
        <v>15</v>
      </c>
      <c r="AK3490" s="46">
        <v>5600</v>
      </c>
      <c r="AL3490" s="46">
        <v>55310.559000000008</v>
      </c>
      <c r="AM3490" s="46">
        <v>9.8770000000000007</v>
      </c>
      <c r="AN3490" s="46" t="s">
        <v>63</v>
      </c>
      <c r="AO3490" s="46">
        <v>1400</v>
      </c>
      <c r="AP3490" s="46">
        <v>12314.441000000001</v>
      </c>
      <c r="AQ3490" s="46">
        <v>8.7959999999999994</v>
      </c>
      <c r="AR3490" s="46">
        <v>1209.5999999999999</v>
      </c>
      <c r="AS3490" s="46">
        <v>14</v>
      </c>
      <c r="AT3490" s="46">
        <v>7000</v>
      </c>
      <c r="AU3490" s="46">
        <v>67625</v>
      </c>
      <c r="AV3490" s="46">
        <v>9.6609999999999996</v>
      </c>
      <c r="AW3490" s="46">
        <v>18</v>
      </c>
      <c r="AX3490" s="46">
        <v>6800</v>
      </c>
      <c r="AY3490" s="46">
        <v>67209.651000000013</v>
      </c>
      <c r="AZ3490" s="46">
        <v>9.8840000000000003</v>
      </c>
      <c r="BA3490" s="46" t="s">
        <v>63</v>
      </c>
      <c r="BB3490" s="46">
        <v>200</v>
      </c>
      <c r="BC3490" s="46">
        <v>415.34899999999999</v>
      </c>
      <c r="BD3490" s="46">
        <v>2.077</v>
      </c>
      <c r="BE3490" s="46">
        <v>1516.4</v>
      </c>
      <c r="BF3490" s="46">
        <v>0</v>
      </c>
      <c r="BH3490" s="46">
        <v>11899.092000000004</v>
      </c>
      <c r="BI3490">
        <v>9.92</v>
      </c>
      <c r="BJ3490">
        <v>-11899.092000000001</v>
      </c>
      <c r="BK3490">
        <v>-9.92</v>
      </c>
      <c r="BL3490">
        <v>109.27</v>
      </c>
    </row>
    <row r="3491" spans="1:64" x14ac:dyDescent="0.25">
      <c r="A3491" s="136">
        <v>43581</v>
      </c>
      <c r="B3491" t="s">
        <v>72</v>
      </c>
      <c r="C3491" t="s">
        <v>130</v>
      </c>
      <c r="D3491">
        <v>100</v>
      </c>
      <c r="E3491">
        <v>100</v>
      </c>
      <c r="F3491">
        <v>-18.477</v>
      </c>
      <c r="G3491">
        <v>2412.6999999999998</v>
      </c>
      <c r="H3491">
        <v>0</v>
      </c>
      <c r="I3491">
        <v>565</v>
      </c>
      <c r="J3491">
        <v>5.65</v>
      </c>
      <c r="K3491" s="133">
        <v>1.0168841097855442E-3</v>
      </c>
      <c r="L3491" s="181">
        <v>9</v>
      </c>
      <c r="M3491" s="133">
        <v>0</v>
      </c>
      <c r="N3491" s="73">
        <v>-1498.9659999999872</v>
      </c>
      <c r="O3491" s="73">
        <v>376.42007904191922</v>
      </c>
      <c r="P3491" s="182">
        <v>0</v>
      </c>
      <c r="Q3491" s="182">
        <v>0</v>
      </c>
      <c r="R3491" s="46">
        <v>0</v>
      </c>
      <c r="S3491" s="46">
        <v>20</v>
      </c>
      <c r="T3491" s="46">
        <v>8600</v>
      </c>
      <c r="U3491" s="46">
        <v>7.3840000000000003</v>
      </c>
      <c r="V3491" s="46" t="s">
        <v>68</v>
      </c>
      <c r="W3491" s="46">
        <v>8600</v>
      </c>
      <c r="X3491" s="46">
        <v>7.3840000000000003</v>
      </c>
      <c r="AF3491" s="46">
        <v>42</v>
      </c>
      <c r="AG3491" s="46">
        <v>20900</v>
      </c>
      <c r="AH3491" s="46">
        <v>152800</v>
      </c>
      <c r="AI3491" s="46">
        <v>7.3109999999999999</v>
      </c>
      <c r="AJ3491" s="46">
        <v>42</v>
      </c>
      <c r="AK3491" s="46">
        <v>18800</v>
      </c>
      <c r="AL3491" s="46">
        <v>92037.725000000035</v>
      </c>
      <c r="AM3491" s="46">
        <v>4.8959999999999999</v>
      </c>
      <c r="AN3491" s="46" t="s">
        <v>63</v>
      </c>
      <c r="AO3491" s="46">
        <v>2100</v>
      </c>
      <c r="AP3491" s="46">
        <v>60762.275000000001</v>
      </c>
      <c r="AQ3491" s="46">
        <v>28.934000000000001</v>
      </c>
      <c r="AR3491" s="46">
        <v>-45402</v>
      </c>
      <c r="AS3491" s="46">
        <v>42</v>
      </c>
      <c r="AT3491" s="46">
        <v>20900</v>
      </c>
      <c r="AU3491" s="46">
        <v>152800</v>
      </c>
      <c r="AV3491" s="46">
        <v>7.3109999999999999</v>
      </c>
      <c r="AW3491" s="46">
        <v>63</v>
      </c>
      <c r="AX3491" s="46">
        <v>27900</v>
      </c>
      <c r="AY3491" s="46">
        <v>155380.21900000001</v>
      </c>
      <c r="AZ3491" s="46">
        <v>5.569</v>
      </c>
      <c r="BA3491" s="46" t="s">
        <v>69</v>
      </c>
      <c r="BB3491" s="46">
        <v>7000</v>
      </c>
      <c r="BC3491" s="46">
        <v>2580.2190000000001</v>
      </c>
      <c r="BD3491" s="46">
        <v>0.36899999999999999</v>
      </c>
      <c r="BE3491" s="46">
        <v>-36407.800000000003</v>
      </c>
      <c r="BF3491" s="46">
        <v>0</v>
      </c>
      <c r="BH3491" s="46">
        <v>63342.493999999977</v>
      </c>
      <c r="BI3491">
        <v>7.37</v>
      </c>
      <c r="BJ3491">
        <v>-58182.056000000004</v>
      </c>
      <c r="BK3491">
        <v>-6.77</v>
      </c>
      <c r="BL3491">
        <v>-8035.75</v>
      </c>
    </row>
    <row r="3492" spans="1:64" x14ac:dyDescent="0.25">
      <c r="A3492" s="136">
        <v>43581</v>
      </c>
      <c r="B3492" t="s">
        <v>70</v>
      </c>
      <c r="C3492" t="s">
        <v>131</v>
      </c>
      <c r="D3492">
        <v>8900</v>
      </c>
      <c r="E3492">
        <v>8500</v>
      </c>
      <c r="F3492">
        <v>11.157999999999999</v>
      </c>
      <c r="G3492">
        <v>14793.66</v>
      </c>
      <c r="H3492">
        <v>14.9</v>
      </c>
      <c r="I3492">
        <v>114098</v>
      </c>
      <c r="J3492">
        <v>12.82</v>
      </c>
      <c r="K3492" s="133">
        <v>0.20535299674037349</v>
      </c>
      <c r="L3492" s="181">
        <v>7363.73</v>
      </c>
      <c r="M3492" s="133">
        <v>0.17872744314821418</v>
      </c>
      <c r="N3492" s="73">
        <v>16124.670999999973</v>
      </c>
      <c r="O3492" s="73">
        <v>1242.6066819198129</v>
      </c>
      <c r="P3492" s="182">
        <v>0</v>
      </c>
      <c r="Q3492" s="182">
        <v>0</v>
      </c>
      <c r="R3492" s="46">
        <v>0</v>
      </c>
      <c r="S3492" s="46">
        <v>14</v>
      </c>
      <c r="T3492" s="46">
        <v>5600</v>
      </c>
      <c r="U3492" s="46">
        <v>10.222</v>
      </c>
      <c r="V3492" s="46" t="s">
        <v>68</v>
      </c>
      <c r="W3492" s="46">
        <v>5600</v>
      </c>
      <c r="X3492" s="46">
        <v>10.222</v>
      </c>
      <c r="AF3492" s="46">
        <v>158</v>
      </c>
      <c r="AG3492" s="46">
        <v>80600</v>
      </c>
      <c r="AH3492" s="46">
        <v>992258</v>
      </c>
      <c r="AI3492" s="46">
        <v>12.311</v>
      </c>
      <c r="AJ3492" s="46">
        <v>164</v>
      </c>
      <c r="AK3492" s="46">
        <v>66100</v>
      </c>
      <c r="AL3492" s="46">
        <v>835427.91499999969</v>
      </c>
      <c r="AM3492" s="46">
        <v>12.638999999999999</v>
      </c>
      <c r="AN3492" s="46" t="s">
        <v>63</v>
      </c>
      <c r="AO3492" s="46">
        <v>14500</v>
      </c>
      <c r="AP3492" s="46">
        <v>156830.08499999999</v>
      </c>
      <c r="AQ3492" s="46">
        <v>10.816000000000001</v>
      </c>
      <c r="AR3492" s="46">
        <v>21680.799999999999</v>
      </c>
      <c r="AS3492" s="46">
        <v>158</v>
      </c>
      <c r="AT3492" s="46">
        <v>80600</v>
      </c>
      <c r="AU3492" s="46">
        <v>992258</v>
      </c>
      <c r="AV3492" s="46">
        <v>12.311</v>
      </c>
      <c r="AW3492" s="46">
        <v>179</v>
      </c>
      <c r="AX3492" s="46">
        <v>71700</v>
      </c>
      <c r="AY3492" s="46">
        <v>892949.67099999962</v>
      </c>
      <c r="AZ3492" s="46">
        <v>12.454000000000001</v>
      </c>
      <c r="BA3492" s="46" t="s">
        <v>63</v>
      </c>
      <c r="BB3492" s="46">
        <v>8900</v>
      </c>
      <c r="BC3492" s="46">
        <v>99308.328999999998</v>
      </c>
      <c r="BD3492" s="46">
        <v>11.157999999999999</v>
      </c>
      <c r="BE3492" s="46">
        <v>10253.1</v>
      </c>
      <c r="BF3492" s="46">
        <v>0</v>
      </c>
      <c r="BH3492" s="46">
        <v>57521.755999999936</v>
      </c>
      <c r="BI3492">
        <v>10.27</v>
      </c>
      <c r="BJ3492">
        <v>-57521.755999999994</v>
      </c>
      <c r="BK3492">
        <v>-10.27</v>
      </c>
      <c r="BL3492">
        <v>1691.17</v>
      </c>
    </row>
    <row r="3493" spans="1:64" x14ac:dyDescent="0.25">
      <c r="A3493" s="136">
        <v>43581</v>
      </c>
      <c r="B3493" t="s">
        <v>628</v>
      </c>
      <c r="C3493" t="s">
        <v>629</v>
      </c>
      <c r="D3493">
        <v>100</v>
      </c>
      <c r="E3493">
        <v>100</v>
      </c>
      <c r="F3493">
        <v>-22.33</v>
      </c>
      <c r="G3493">
        <v>3450</v>
      </c>
      <c r="H3493">
        <v>0</v>
      </c>
      <c r="I3493">
        <v>1217</v>
      </c>
      <c r="J3493">
        <v>12.17</v>
      </c>
      <c r="K3493" s="133">
        <v>2.1903503745292164E-3</v>
      </c>
      <c r="L3493" s="181">
        <v>-83</v>
      </c>
      <c r="M3493" s="133">
        <v>0</v>
      </c>
    </row>
    <row r="3494" spans="1:64" x14ac:dyDescent="0.25">
      <c r="A3494" s="136">
        <v>43581</v>
      </c>
      <c r="B3494" t="s">
        <v>630</v>
      </c>
      <c r="C3494" t="s">
        <v>631</v>
      </c>
      <c r="D3494">
        <v>100</v>
      </c>
      <c r="E3494">
        <v>100</v>
      </c>
      <c r="F3494">
        <v>-94.45</v>
      </c>
      <c r="G3494">
        <v>12116</v>
      </c>
      <c r="H3494">
        <v>0</v>
      </c>
      <c r="I3494">
        <v>2671</v>
      </c>
      <c r="J3494">
        <v>26.71</v>
      </c>
      <c r="K3494" s="133">
        <v>4.8072521367029889E-3</v>
      </c>
      <c r="L3494" s="181">
        <v>-107</v>
      </c>
      <c r="M3494" s="133">
        <v>0</v>
      </c>
    </row>
    <row r="3495" spans="1:64" x14ac:dyDescent="0.25">
      <c r="A3495" s="136">
        <v>43581</v>
      </c>
      <c r="B3495" t="s">
        <v>137</v>
      </c>
      <c r="C3495" t="s">
        <v>149</v>
      </c>
      <c r="D3495">
        <v>100</v>
      </c>
      <c r="E3495">
        <v>100</v>
      </c>
      <c r="F3495">
        <v>-130.86000000000001</v>
      </c>
      <c r="G3495">
        <v>16561</v>
      </c>
      <c r="H3495">
        <v>0</v>
      </c>
      <c r="I3495">
        <v>3475</v>
      </c>
      <c r="J3495">
        <v>34.75</v>
      </c>
      <c r="K3495" s="133">
        <v>6.2542872239022412E-3</v>
      </c>
      <c r="L3495" s="181">
        <v>-133</v>
      </c>
      <c r="M3495" s="133">
        <v>0</v>
      </c>
    </row>
    <row r="3496" spans="1:64" x14ac:dyDescent="0.25">
      <c r="A3496" s="136">
        <v>43581</v>
      </c>
      <c r="B3496" t="s">
        <v>835</v>
      </c>
      <c r="C3496" t="s">
        <v>839</v>
      </c>
      <c r="I3496">
        <v>1660.34</v>
      </c>
      <c r="K3496" s="133">
        <v>2.9882714386572219E-3</v>
      </c>
      <c r="L3496" s="181">
        <v>0</v>
      </c>
      <c r="M3496" s="133">
        <v>0.1290680966253</v>
      </c>
    </row>
    <row r="3497" spans="1:64" x14ac:dyDescent="0.25">
      <c r="A3497" s="136">
        <v>43584</v>
      </c>
      <c r="B3497" t="s">
        <v>132</v>
      </c>
      <c r="C3497" t="s">
        <v>123</v>
      </c>
      <c r="D3497">
        <v>5005606</v>
      </c>
      <c r="E3497">
        <v>5005606</v>
      </c>
      <c r="F3497">
        <v>8.9999999999999993E-3</v>
      </c>
      <c r="G3497">
        <v>3966.91</v>
      </c>
      <c r="H3497">
        <v>11.11</v>
      </c>
      <c r="I3497">
        <v>50056.06</v>
      </c>
      <c r="J3497">
        <v>0.01</v>
      </c>
      <c r="K3497" s="133">
        <v>9.2625524866859293E-2</v>
      </c>
      <c r="L3497" s="181">
        <v>3.7300000000000182</v>
      </c>
      <c r="M3497" s="133">
        <v>0</v>
      </c>
    </row>
    <row r="3498" spans="1:64" x14ac:dyDescent="0.25">
      <c r="A3498" s="136">
        <v>43584</v>
      </c>
      <c r="B3498" t="s">
        <v>61</v>
      </c>
      <c r="C3498" t="s">
        <v>136</v>
      </c>
      <c r="D3498">
        <v>2500</v>
      </c>
      <c r="E3498">
        <v>2500</v>
      </c>
      <c r="F3498">
        <v>4.931</v>
      </c>
      <c r="G3498">
        <v>-776.57</v>
      </c>
      <c r="H3498">
        <v>-6.3</v>
      </c>
      <c r="I3498">
        <v>11550</v>
      </c>
      <c r="J3498">
        <v>4.62</v>
      </c>
      <c r="K3498" s="133">
        <v>2.1372533359841444E-2</v>
      </c>
      <c r="L3498" s="181">
        <v>75</v>
      </c>
      <c r="M3498" s="133">
        <v>2.2809526280296168E-2</v>
      </c>
      <c r="N3498" s="73">
        <v>-530.39300000000367</v>
      </c>
      <c r="O3498" s="73">
        <v>-112.315212605933</v>
      </c>
      <c r="P3498" s="182">
        <v>1</v>
      </c>
      <c r="Q3498" s="182">
        <v>500</v>
      </c>
      <c r="R3498" s="46">
        <v>4.72</v>
      </c>
      <c r="S3498" s="46">
        <v>0</v>
      </c>
      <c r="T3498" s="46">
        <v>0</v>
      </c>
      <c r="U3498" s="46">
        <v>0</v>
      </c>
      <c r="V3498" s="46" t="s">
        <v>62</v>
      </c>
      <c r="W3498" s="46">
        <v>500</v>
      </c>
      <c r="X3498" s="46">
        <v>4.72</v>
      </c>
      <c r="AF3498" s="46">
        <v>21</v>
      </c>
      <c r="AG3498" s="46">
        <v>10500</v>
      </c>
      <c r="AH3498" s="46">
        <v>52226.3</v>
      </c>
      <c r="AI3498" s="46">
        <v>4.9740000000000002</v>
      </c>
      <c r="AJ3498" s="46">
        <v>21</v>
      </c>
      <c r="AK3498" s="46">
        <v>8500</v>
      </c>
      <c r="AL3498" s="46">
        <v>42261.206999999988</v>
      </c>
      <c r="AM3498" s="46">
        <v>4.9720000000000004</v>
      </c>
      <c r="AN3498" s="46" t="s">
        <v>63</v>
      </c>
      <c r="AO3498" s="46">
        <v>2000</v>
      </c>
      <c r="AP3498" s="46">
        <v>9965.0930000000008</v>
      </c>
      <c r="AQ3498" s="46">
        <v>4.9829999999999997</v>
      </c>
      <c r="AR3498" s="46">
        <v>-17</v>
      </c>
      <c r="AS3498" s="46">
        <v>22</v>
      </c>
      <c r="AT3498" s="46">
        <v>11000</v>
      </c>
      <c r="AU3498" s="46">
        <v>54591.600000000006</v>
      </c>
      <c r="AV3498" s="46">
        <v>4.9630000000000001</v>
      </c>
      <c r="AW3498" s="46">
        <v>21</v>
      </c>
      <c r="AX3498" s="46">
        <v>8500</v>
      </c>
      <c r="AY3498" s="46">
        <v>42261.206999999988</v>
      </c>
      <c r="AZ3498" s="46">
        <v>4.9720000000000004</v>
      </c>
      <c r="BA3498" s="46" t="s">
        <v>63</v>
      </c>
      <c r="BB3498" s="46">
        <v>2500</v>
      </c>
      <c r="BC3498" s="46">
        <v>12330.393</v>
      </c>
      <c r="BD3498" s="46">
        <v>4.9320000000000004</v>
      </c>
      <c r="BE3498" s="46">
        <v>76.5</v>
      </c>
      <c r="BF3498" s="46">
        <v>2365.3000000000029</v>
      </c>
      <c r="BG3498" s="46">
        <v>4.7300000000000004</v>
      </c>
      <c r="BH3498" s="46">
        <v>0</v>
      </c>
      <c r="BJ3498">
        <v>2365.2999999999993</v>
      </c>
      <c r="BK3498">
        <v>4.7300000000000004</v>
      </c>
      <c r="BL3498">
        <v>-3.68</v>
      </c>
    </row>
    <row r="3499" spans="1:64" x14ac:dyDescent="0.25">
      <c r="A3499" s="136">
        <v>43584</v>
      </c>
      <c r="B3499" t="s">
        <v>124</v>
      </c>
      <c r="C3499" t="s">
        <v>125</v>
      </c>
      <c r="D3499">
        <v>100</v>
      </c>
      <c r="E3499">
        <v>100</v>
      </c>
      <c r="F3499">
        <v>-53.82</v>
      </c>
      <c r="G3499">
        <v>5962</v>
      </c>
      <c r="H3499">
        <v>0</v>
      </c>
      <c r="I3499">
        <v>580</v>
      </c>
      <c r="J3499">
        <v>5.8</v>
      </c>
      <c r="K3499" s="133">
        <v>1.0732527574638993E-3</v>
      </c>
      <c r="L3499" s="181">
        <v>9</v>
      </c>
      <c r="M3499" s="133">
        <v>0</v>
      </c>
      <c r="N3499" s="73">
        <v>5573.0690000000113</v>
      </c>
      <c r="O3499" s="73">
        <v>1102.4501845505636</v>
      </c>
      <c r="P3499" s="182">
        <v>0</v>
      </c>
      <c r="Q3499" s="182">
        <v>0</v>
      </c>
      <c r="R3499" s="46">
        <v>0</v>
      </c>
      <c r="S3499" s="46">
        <v>5</v>
      </c>
      <c r="T3499" s="46">
        <v>2300</v>
      </c>
      <c r="U3499" s="46">
        <v>4.99</v>
      </c>
      <c r="V3499" s="46" t="s">
        <v>68</v>
      </c>
      <c r="W3499" s="46">
        <v>2300</v>
      </c>
      <c r="X3499" s="46">
        <v>4.99</v>
      </c>
      <c r="AF3499" s="46">
        <v>50</v>
      </c>
      <c r="AG3499" s="46">
        <v>36700</v>
      </c>
      <c r="AH3499" s="46">
        <v>180101.02000000002</v>
      </c>
      <c r="AI3499" s="46">
        <v>4.907</v>
      </c>
      <c r="AJ3499" s="46">
        <v>58</v>
      </c>
      <c r="AK3499" s="46">
        <v>35300</v>
      </c>
      <c r="AL3499" s="46">
        <v>178266.546</v>
      </c>
      <c r="AM3499" s="46">
        <v>5.05</v>
      </c>
      <c r="AN3499" s="46" t="s">
        <v>63</v>
      </c>
      <c r="AO3499" s="46">
        <v>1400</v>
      </c>
      <c r="AP3499" s="46">
        <v>1834.4739999999999</v>
      </c>
      <c r="AQ3499" s="46">
        <v>1.31</v>
      </c>
      <c r="AR3499" s="46">
        <v>5047.8999999999996</v>
      </c>
      <c r="AS3499" s="46">
        <v>51</v>
      </c>
      <c r="AT3499" s="46">
        <v>37700</v>
      </c>
      <c r="AU3499" s="46">
        <v>185106.62</v>
      </c>
      <c r="AV3499" s="46">
        <v>4.91</v>
      </c>
      <c r="AW3499" s="46">
        <v>63</v>
      </c>
      <c r="AX3499" s="46">
        <v>37600</v>
      </c>
      <c r="AY3499" s="46">
        <v>189713.68900000001</v>
      </c>
      <c r="AZ3499" s="46">
        <v>5.0460000000000003</v>
      </c>
      <c r="BA3499" s="46" t="s">
        <v>63</v>
      </c>
      <c r="BB3499" s="46">
        <v>100</v>
      </c>
      <c r="BC3499" s="46">
        <v>4607.0690000000004</v>
      </c>
      <c r="BD3499" s="46">
        <v>46.070999999999998</v>
      </c>
      <c r="BE3499" s="46">
        <v>5113.6000000000004</v>
      </c>
      <c r="BF3499" s="46">
        <v>5005.5999999999767</v>
      </c>
      <c r="BH3499" s="46">
        <v>11447.143000000011</v>
      </c>
      <c r="BI3499">
        <v>4.9800000000000004</v>
      </c>
      <c r="BJ3499">
        <v>2772.5950000000003</v>
      </c>
      <c r="BK3499">
        <v>1.21</v>
      </c>
      <c r="BL3499">
        <v>870.33</v>
      </c>
    </row>
    <row r="3500" spans="1:64" x14ac:dyDescent="0.25">
      <c r="A3500" s="136">
        <v>43584</v>
      </c>
      <c r="B3500" t="s">
        <v>71</v>
      </c>
      <c r="C3500" t="s">
        <v>126</v>
      </c>
      <c r="D3500">
        <v>2400</v>
      </c>
      <c r="E3500">
        <v>2400</v>
      </c>
      <c r="F3500">
        <v>5.09</v>
      </c>
      <c r="G3500">
        <v>2999.18</v>
      </c>
      <c r="H3500">
        <v>24.55</v>
      </c>
      <c r="I3500">
        <v>15216</v>
      </c>
      <c r="J3500">
        <v>6.34</v>
      </c>
      <c r="K3500" s="133">
        <v>2.8156230961328778E-2</v>
      </c>
      <c r="L3500" s="181">
        <v>144</v>
      </c>
      <c r="M3500" s="133">
        <v>2.2606440952482956E-2</v>
      </c>
      <c r="N3500" s="73">
        <v>-12228.471999999994</v>
      </c>
      <c r="O3500" s="73">
        <v>468.72728846761544</v>
      </c>
      <c r="P3500" s="182">
        <v>0</v>
      </c>
      <c r="Q3500" s="182">
        <v>0</v>
      </c>
      <c r="R3500" s="46">
        <v>0</v>
      </c>
      <c r="S3500" s="46">
        <v>5</v>
      </c>
      <c r="T3500" s="46">
        <v>1900</v>
      </c>
      <c r="U3500" s="46">
        <v>6.4509999999999996</v>
      </c>
      <c r="V3500" s="46" t="s">
        <v>68</v>
      </c>
      <c r="W3500" s="46">
        <v>1900</v>
      </c>
      <c r="X3500" s="46">
        <v>6.4509999999999996</v>
      </c>
      <c r="AF3500" s="46">
        <v>54</v>
      </c>
      <c r="AG3500" s="46">
        <v>28100</v>
      </c>
      <c r="AH3500" s="46">
        <v>178337.82999999996</v>
      </c>
      <c r="AI3500" s="46">
        <v>6.3470000000000004</v>
      </c>
      <c r="AJ3500" s="46">
        <v>54</v>
      </c>
      <c r="AK3500" s="46">
        <v>23800</v>
      </c>
      <c r="AL3500" s="46">
        <v>153735.554</v>
      </c>
      <c r="AM3500" s="46">
        <v>6.4589999999999996</v>
      </c>
      <c r="AN3500" s="46" t="s">
        <v>63</v>
      </c>
      <c r="AO3500" s="46">
        <v>4300</v>
      </c>
      <c r="AP3500" s="46">
        <v>24602.276000000002</v>
      </c>
      <c r="AQ3500" s="46">
        <v>5.7210000000000001</v>
      </c>
      <c r="AR3500" s="46">
        <v>2665.6</v>
      </c>
      <c r="AS3500" s="46">
        <v>54</v>
      </c>
      <c r="AT3500" s="46">
        <v>28100</v>
      </c>
      <c r="AU3500" s="46">
        <v>178337.82999999996</v>
      </c>
      <c r="AV3500" s="46">
        <v>6.3470000000000004</v>
      </c>
      <c r="AW3500" s="46">
        <v>59</v>
      </c>
      <c r="AX3500" s="46">
        <v>25700</v>
      </c>
      <c r="AY3500" s="46">
        <v>165953.158</v>
      </c>
      <c r="AZ3500" s="46">
        <v>6.4569999999999999</v>
      </c>
      <c r="BA3500" s="46" t="s">
        <v>63</v>
      </c>
      <c r="BB3500" s="46">
        <v>2400</v>
      </c>
      <c r="BC3500" s="46">
        <v>12384.672</v>
      </c>
      <c r="BD3500" s="46">
        <v>5.16</v>
      </c>
      <c r="BE3500" s="46">
        <v>2827</v>
      </c>
      <c r="BF3500" s="46">
        <v>0</v>
      </c>
      <c r="BH3500" s="46">
        <v>12217.603999999992</v>
      </c>
      <c r="BI3500">
        <v>6.43</v>
      </c>
      <c r="BJ3500">
        <v>-12217.604000000001</v>
      </c>
      <c r="BK3500">
        <v>-6.43</v>
      </c>
      <c r="BL3500">
        <v>420.44</v>
      </c>
    </row>
    <row r="3501" spans="1:64" x14ac:dyDescent="0.25">
      <c r="A3501" s="136">
        <v>43584</v>
      </c>
      <c r="B3501" t="s">
        <v>79</v>
      </c>
      <c r="C3501" t="s">
        <v>143</v>
      </c>
      <c r="D3501">
        <v>12520</v>
      </c>
      <c r="E3501">
        <v>11520</v>
      </c>
      <c r="F3501">
        <v>10.206</v>
      </c>
      <c r="G3501">
        <v>-29868.65</v>
      </c>
      <c r="H3501">
        <v>-23.38</v>
      </c>
      <c r="I3501">
        <v>97906.4</v>
      </c>
      <c r="J3501">
        <v>7.82</v>
      </c>
      <c r="K3501" s="133">
        <v>0.18116950650579916</v>
      </c>
      <c r="L3501" s="181">
        <v>-3380.9600000000028</v>
      </c>
      <c r="M3501" s="133">
        <v>0.23643952542687516</v>
      </c>
      <c r="N3501" s="73">
        <v>-31140.540000000285</v>
      </c>
      <c r="O3501" s="73">
        <v>-4031.7318303109182</v>
      </c>
      <c r="P3501" s="182">
        <v>13</v>
      </c>
      <c r="Q3501" s="182">
        <v>8920</v>
      </c>
      <c r="R3501" s="46">
        <v>5.6710000000000003</v>
      </c>
      <c r="S3501" s="46">
        <v>0</v>
      </c>
      <c r="T3501" s="46">
        <v>0</v>
      </c>
      <c r="U3501" s="46">
        <v>0</v>
      </c>
      <c r="V3501" s="46" t="s">
        <v>62</v>
      </c>
      <c r="W3501" s="46">
        <v>8920</v>
      </c>
      <c r="X3501" s="46">
        <v>5.6710000000000003</v>
      </c>
      <c r="AF3501" s="46">
        <v>35</v>
      </c>
      <c r="AG3501" s="46">
        <v>18000</v>
      </c>
      <c r="AH3501" s="46">
        <v>262835.79999999981</v>
      </c>
      <c r="AI3501" s="46">
        <v>14.602</v>
      </c>
      <c r="AJ3501" s="46">
        <v>36</v>
      </c>
      <c r="AK3501" s="46">
        <v>14400</v>
      </c>
      <c r="AL3501" s="46">
        <v>185696.2119999998</v>
      </c>
      <c r="AM3501" s="46">
        <v>12.896000000000001</v>
      </c>
      <c r="AN3501" s="46" t="s">
        <v>63</v>
      </c>
      <c r="AO3501" s="46">
        <v>3600</v>
      </c>
      <c r="AP3501" s="46">
        <v>77139.588000000003</v>
      </c>
      <c r="AQ3501" s="46">
        <v>21.428000000000001</v>
      </c>
      <c r="AR3501" s="46">
        <v>-24566.400000000001</v>
      </c>
      <c r="AS3501" s="46">
        <v>48</v>
      </c>
      <c r="AT3501" s="46">
        <v>26920</v>
      </c>
      <c r="AU3501" s="46">
        <v>313491.15199999965</v>
      </c>
      <c r="AV3501" s="46">
        <v>11.645</v>
      </c>
      <c r="AW3501" s="46">
        <v>36</v>
      </c>
      <c r="AX3501" s="46">
        <v>14400</v>
      </c>
      <c r="AY3501" s="46">
        <v>185696.2119999998</v>
      </c>
      <c r="AZ3501" s="46">
        <v>12.896000000000001</v>
      </c>
      <c r="BA3501" s="46" t="s">
        <v>63</v>
      </c>
      <c r="BB3501" s="46">
        <v>12520</v>
      </c>
      <c r="BC3501" s="46">
        <v>127794.94</v>
      </c>
      <c r="BD3501" s="46">
        <v>10.207000000000001</v>
      </c>
      <c r="BE3501" s="46">
        <v>18014.400000000001</v>
      </c>
      <c r="BF3501" s="46">
        <v>50655.351999999839</v>
      </c>
      <c r="BG3501" s="46">
        <v>5.68</v>
      </c>
      <c r="BH3501" s="46">
        <v>0</v>
      </c>
      <c r="BJ3501">
        <v>50655.351999999999</v>
      </c>
      <c r="BK3501">
        <v>5.68</v>
      </c>
      <c r="BL3501">
        <v>-3141.48</v>
      </c>
    </row>
    <row r="3502" spans="1:64" x14ac:dyDescent="0.25">
      <c r="A3502" s="136">
        <v>43584</v>
      </c>
      <c r="B3502" t="s">
        <v>65</v>
      </c>
      <c r="C3502" t="s">
        <v>127</v>
      </c>
      <c r="D3502">
        <v>26400</v>
      </c>
      <c r="E3502">
        <v>25900</v>
      </c>
      <c r="F3502">
        <v>8.7780000000000005</v>
      </c>
      <c r="G3502">
        <v>-14216.34</v>
      </c>
      <c r="H3502">
        <v>-6.13</v>
      </c>
      <c r="I3502">
        <v>217536</v>
      </c>
      <c r="J3502">
        <v>8.24</v>
      </c>
      <c r="K3502" s="133">
        <v>0.40253639973735655</v>
      </c>
      <c r="L3502" s="181">
        <v>548</v>
      </c>
      <c r="M3502" s="133">
        <v>0.42884282405812263</v>
      </c>
      <c r="N3502" s="73">
        <v>-20346.749000000098</v>
      </c>
      <c r="O3502" s="73">
        <v>-1965.3810161872993</v>
      </c>
      <c r="P3502" s="182">
        <v>8</v>
      </c>
      <c r="Q3502" s="182">
        <v>5000</v>
      </c>
      <c r="R3502" s="46">
        <v>8.452</v>
      </c>
      <c r="S3502" s="46">
        <v>3</v>
      </c>
      <c r="T3502" s="46">
        <v>1200</v>
      </c>
      <c r="U3502" s="46">
        <v>8.5470000000000006</v>
      </c>
      <c r="V3502" s="46" t="s">
        <v>62</v>
      </c>
      <c r="W3502" s="46">
        <v>3800</v>
      </c>
      <c r="X3502" s="46">
        <v>8.4220000000000006</v>
      </c>
      <c r="AF3502" s="46">
        <v>235</v>
      </c>
      <c r="AG3502" s="46">
        <v>127500</v>
      </c>
      <c r="AH3502" s="46">
        <v>1357191.6810000001</v>
      </c>
      <c r="AI3502" s="46">
        <v>10.645</v>
      </c>
      <c r="AJ3502" s="46">
        <v>267</v>
      </c>
      <c r="AK3502" s="46">
        <v>114100</v>
      </c>
      <c r="AL3502" s="46">
        <v>1153373.1860000002</v>
      </c>
      <c r="AM3502" s="46">
        <v>10.108000000000001</v>
      </c>
      <c r="AN3502" s="46" t="s">
        <v>63</v>
      </c>
      <c r="AO3502" s="46">
        <v>13400</v>
      </c>
      <c r="AP3502" s="46">
        <v>203818.495</v>
      </c>
      <c r="AQ3502" s="46">
        <v>15.21</v>
      </c>
      <c r="AR3502" s="46">
        <v>-61271.7</v>
      </c>
      <c r="AS3502" s="46">
        <v>244</v>
      </c>
      <c r="AT3502" s="46">
        <v>132600</v>
      </c>
      <c r="AU3502" s="46">
        <v>1400779.6810000001</v>
      </c>
      <c r="AV3502" s="46">
        <v>10.564</v>
      </c>
      <c r="AW3502" s="46">
        <v>270</v>
      </c>
      <c r="AX3502" s="46">
        <v>115300</v>
      </c>
      <c r="AY3502" s="46">
        <v>1163603.9300000002</v>
      </c>
      <c r="AZ3502" s="46">
        <v>10.092000000000001</v>
      </c>
      <c r="BA3502" s="46" t="s">
        <v>63</v>
      </c>
      <c r="BB3502" s="46">
        <v>17300</v>
      </c>
      <c r="BC3502" s="46">
        <v>237175.75099999999</v>
      </c>
      <c r="BD3502" s="46">
        <v>13.71</v>
      </c>
      <c r="BE3502" s="46">
        <v>-54421.599999999999</v>
      </c>
      <c r="BF3502" s="46">
        <v>43588</v>
      </c>
      <c r="BG3502" s="46">
        <v>8.7200000000000006</v>
      </c>
      <c r="BH3502" s="46">
        <v>10230.743999999948</v>
      </c>
      <c r="BI3502">
        <v>8.5299999999999994</v>
      </c>
      <c r="BJ3502">
        <v>33357.255999999994</v>
      </c>
      <c r="BK3502">
        <v>8.7799999999999994</v>
      </c>
      <c r="BL3502">
        <v>-7435.89</v>
      </c>
    </row>
    <row r="3503" spans="1:64" x14ac:dyDescent="0.25">
      <c r="A3503" s="136">
        <v>43584</v>
      </c>
      <c r="B3503" t="s">
        <v>77</v>
      </c>
      <c r="C3503" t="s">
        <v>150</v>
      </c>
      <c r="D3503">
        <v>5500</v>
      </c>
      <c r="E3503">
        <v>5500</v>
      </c>
      <c r="F3503">
        <v>5.4119999999999999</v>
      </c>
      <c r="G3503">
        <v>-5950.95</v>
      </c>
      <c r="H3503">
        <v>-19.989999999999998</v>
      </c>
      <c r="I3503">
        <v>23815</v>
      </c>
      <c r="J3503">
        <v>4.33</v>
      </c>
      <c r="K3503" s="133">
        <v>4.406812830862545E-2</v>
      </c>
      <c r="L3503" s="181">
        <v>-660</v>
      </c>
      <c r="M3503" s="133">
        <v>5.5079979165573369E-2</v>
      </c>
      <c r="N3503" s="73">
        <v>-4915.8940000000039</v>
      </c>
      <c r="O3503" s="73">
        <v>-957.41562971800522</v>
      </c>
      <c r="P3503" s="182">
        <v>6</v>
      </c>
      <c r="Q3503" s="182">
        <v>3000</v>
      </c>
      <c r="R3503" s="46">
        <v>4.3230000000000004</v>
      </c>
      <c r="S3503" s="46">
        <v>0</v>
      </c>
      <c r="T3503" s="46">
        <v>0</v>
      </c>
      <c r="U3503" s="46">
        <v>0</v>
      </c>
      <c r="V3503" s="46" t="s">
        <v>62</v>
      </c>
      <c r="W3503" s="46">
        <v>3000</v>
      </c>
      <c r="X3503" s="46">
        <v>4.3230000000000004</v>
      </c>
      <c r="AF3503" s="46">
        <v>51</v>
      </c>
      <c r="AG3503" s="46">
        <v>25500</v>
      </c>
      <c r="AH3503" s="46">
        <v>175539</v>
      </c>
      <c r="AI3503" s="46">
        <v>6.8840000000000003</v>
      </c>
      <c r="AJ3503" s="46">
        <v>51</v>
      </c>
      <c r="AK3503" s="46">
        <v>23000</v>
      </c>
      <c r="AL3503" s="46">
        <v>158480.10600000003</v>
      </c>
      <c r="AM3503" s="46">
        <v>6.89</v>
      </c>
      <c r="AN3503" s="46" t="s">
        <v>63</v>
      </c>
      <c r="AO3503" s="46">
        <v>2500</v>
      </c>
      <c r="AP3503" s="46">
        <v>17058.894</v>
      </c>
      <c r="AQ3503" s="46">
        <v>6.8239999999999998</v>
      </c>
      <c r="AR3503" s="46">
        <v>138</v>
      </c>
      <c r="AS3503" s="46">
        <v>57</v>
      </c>
      <c r="AT3503" s="46">
        <v>28500</v>
      </c>
      <c r="AU3503" s="46">
        <v>188251</v>
      </c>
      <c r="AV3503" s="46">
        <v>6.6050000000000004</v>
      </c>
      <c r="AW3503" s="46">
        <v>51</v>
      </c>
      <c r="AX3503" s="46">
        <v>23000</v>
      </c>
      <c r="AY3503" s="46">
        <v>158480.10600000003</v>
      </c>
      <c r="AZ3503" s="46">
        <v>6.89</v>
      </c>
      <c r="BA3503" s="46" t="s">
        <v>63</v>
      </c>
      <c r="BB3503" s="46">
        <v>5500</v>
      </c>
      <c r="BC3503" s="46">
        <v>29770.894</v>
      </c>
      <c r="BD3503" s="46">
        <v>5.4130000000000003</v>
      </c>
      <c r="BE3503" s="46">
        <v>6555</v>
      </c>
      <c r="BF3503" s="46">
        <v>12712</v>
      </c>
      <c r="BG3503" s="46">
        <v>4.24</v>
      </c>
      <c r="BH3503" s="46">
        <v>0</v>
      </c>
      <c r="BJ3503">
        <v>12712</v>
      </c>
      <c r="BK3503">
        <v>4.24</v>
      </c>
      <c r="BL3503">
        <v>31.87</v>
      </c>
    </row>
    <row r="3504" spans="1:64" x14ac:dyDescent="0.25">
      <c r="A3504" s="136">
        <v>43584</v>
      </c>
      <c r="B3504" t="s">
        <v>67</v>
      </c>
      <c r="C3504" t="s">
        <v>129</v>
      </c>
      <c r="D3504">
        <v>230</v>
      </c>
      <c r="E3504">
        <v>230</v>
      </c>
      <c r="F3504">
        <v>-11.728999999999999</v>
      </c>
      <c r="G3504">
        <v>4450.2700000000004</v>
      </c>
      <c r="H3504">
        <v>0</v>
      </c>
      <c r="I3504">
        <v>1752.6</v>
      </c>
      <c r="J3504">
        <v>7.62</v>
      </c>
      <c r="K3504" s="133">
        <v>3.2430737633297067E-3</v>
      </c>
      <c r="L3504" s="181">
        <v>4.6000000000003638</v>
      </c>
      <c r="M3504" s="133">
        <v>0</v>
      </c>
      <c r="N3504" s="73">
        <v>4362.583499999957</v>
      </c>
      <c r="O3504" s="73">
        <v>600.60636477272476</v>
      </c>
      <c r="P3504" s="182">
        <v>1</v>
      </c>
      <c r="Q3504" s="182">
        <v>30</v>
      </c>
      <c r="R3504" s="46">
        <v>0</v>
      </c>
      <c r="S3504" s="46">
        <v>24</v>
      </c>
      <c r="T3504" s="46">
        <v>9600</v>
      </c>
      <c r="U3504" s="46">
        <v>8.9429999999999996</v>
      </c>
      <c r="V3504" s="46" t="s">
        <v>68</v>
      </c>
      <c r="W3504" s="46">
        <v>9570</v>
      </c>
      <c r="X3504" s="46">
        <v>8.9710000000000001</v>
      </c>
      <c r="AF3504" s="46">
        <v>193</v>
      </c>
      <c r="AG3504" s="46">
        <v>95500</v>
      </c>
      <c r="AH3504" s="46">
        <v>795318</v>
      </c>
      <c r="AI3504" s="46">
        <v>8.3279999999999994</v>
      </c>
      <c r="AJ3504" s="46">
        <v>197</v>
      </c>
      <c r="AK3504" s="46">
        <v>88300</v>
      </c>
      <c r="AL3504" s="46">
        <v>781491.25550000009</v>
      </c>
      <c r="AM3504" s="46">
        <v>8.85</v>
      </c>
      <c r="AN3504" s="46" t="s">
        <v>63</v>
      </c>
      <c r="AO3504" s="46">
        <v>7200</v>
      </c>
      <c r="AP3504" s="46">
        <v>13826.744000000001</v>
      </c>
      <c r="AQ3504" s="46">
        <v>1.92</v>
      </c>
      <c r="AR3504" s="46">
        <v>46092.6</v>
      </c>
      <c r="AS3504" s="46">
        <v>194</v>
      </c>
      <c r="AT3504" s="46">
        <v>95530</v>
      </c>
      <c r="AU3504" s="46">
        <v>795323</v>
      </c>
      <c r="AV3504" s="46">
        <v>8.3249999999999993</v>
      </c>
      <c r="AW3504" s="46">
        <v>221</v>
      </c>
      <c r="AX3504" s="46">
        <v>97900</v>
      </c>
      <c r="AY3504" s="46">
        <v>867143.89950000017</v>
      </c>
      <c r="AZ3504" s="46">
        <v>8.8569999999999993</v>
      </c>
      <c r="BA3504" s="46" t="s">
        <v>69</v>
      </c>
      <c r="BB3504" s="46">
        <v>2370</v>
      </c>
      <c r="BC3504" s="46">
        <v>71820.899999999994</v>
      </c>
      <c r="BD3504" s="46">
        <v>30.303999999999998</v>
      </c>
      <c r="BE3504" s="46">
        <v>50821.96</v>
      </c>
      <c r="BF3504" s="46">
        <v>5</v>
      </c>
      <c r="BG3504" s="46">
        <v>0.17</v>
      </c>
      <c r="BH3504" s="46">
        <v>85652.644000000088</v>
      </c>
      <c r="BI3504">
        <v>8.92</v>
      </c>
      <c r="BJ3504">
        <v>57994.155999999995</v>
      </c>
      <c r="BK3504">
        <v>6.06</v>
      </c>
      <c r="BL3504">
        <v>6048.9</v>
      </c>
    </row>
    <row r="3505" spans="1:64" x14ac:dyDescent="0.25">
      <c r="A3505" s="136">
        <v>43584</v>
      </c>
      <c r="B3505" t="s">
        <v>78</v>
      </c>
      <c r="C3505" t="s">
        <v>142</v>
      </c>
      <c r="D3505">
        <v>200</v>
      </c>
      <c r="E3505">
        <v>200</v>
      </c>
      <c r="F3505">
        <v>2.077</v>
      </c>
      <c r="G3505">
        <v>1704.65</v>
      </c>
      <c r="H3505">
        <v>410.36</v>
      </c>
      <c r="I3505">
        <v>2120</v>
      </c>
      <c r="J3505">
        <v>10.6</v>
      </c>
      <c r="K3505" s="133">
        <v>3.9229238721094246E-3</v>
      </c>
      <c r="L3505" s="181">
        <v>-94</v>
      </c>
      <c r="M3505" s="133">
        <v>7.6857850484936285E-4</v>
      </c>
      <c r="N3505" s="73">
        <v>1454.650999999996</v>
      </c>
      <c r="O3505" s="73">
        <v>155.49985823529371</v>
      </c>
      <c r="P3505" s="182">
        <v>0</v>
      </c>
      <c r="Q3505" s="182">
        <v>0</v>
      </c>
      <c r="R3505" s="46">
        <v>0</v>
      </c>
      <c r="S3505" s="46">
        <v>3</v>
      </c>
      <c r="T3505" s="46">
        <v>1200</v>
      </c>
      <c r="U3505" s="46">
        <v>9.923</v>
      </c>
      <c r="V3505" s="46" t="s">
        <v>68</v>
      </c>
      <c r="W3505" s="46">
        <v>1200</v>
      </c>
      <c r="X3505" s="46">
        <v>9.923</v>
      </c>
      <c r="AF3505" s="46">
        <v>14</v>
      </c>
      <c r="AG3505" s="46">
        <v>7000</v>
      </c>
      <c r="AH3505" s="46">
        <v>67625</v>
      </c>
      <c r="AI3505" s="46">
        <v>9.6609999999999996</v>
      </c>
      <c r="AJ3505" s="46">
        <v>15</v>
      </c>
      <c r="AK3505" s="46">
        <v>5600</v>
      </c>
      <c r="AL3505" s="46">
        <v>55310.559000000008</v>
      </c>
      <c r="AM3505" s="46">
        <v>9.8770000000000007</v>
      </c>
      <c r="AN3505" s="46" t="s">
        <v>63</v>
      </c>
      <c r="AO3505" s="46">
        <v>1400</v>
      </c>
      <c r="AP3505" s="46">
        <v>12314.441000000001</v>
      </c>
      <c r="AQ3505" s="46">
        <v>8.7959999999999994</v>
      </c>
      <c r="AR3505" s="46">
        <v>1209.5999999999999</v>
      </c>
      <c r="AS3505" s="46">
        <v>14</v>
      </c>
      <c r="AT3505" s="46">
        <v>7000</v>
      </c>
      <c r="AU3505" s="46">
        <v>67625</v>
      </c>
      <c r="AV3505" s="46">
        <v>9.6609999999999996</v>
      </c>
      <c r="AW3505" s="46">
        <v>18</v>
      </c>
      <c r="AX3505" s="46">
        <v>6800</v>
      </c>
      <c r="AY3505" s="46">
        <v>67209.651000000013</v>
      </c>
      <c r="AZ3505" s="46">
        <v>9.8840000000000003</v>
      </c>
      <c r="BA3505" s="46" t="s">
        <v>63</v>
      </c>
      <c r="BB3505" s="46">
        <v>200</v>
      </c>
      <c r="BC3505" s="46">
        <v>415.34899999999999</v>
      </c>
      <c r="BD3505" s="46">
        <v>2.077</v>
      </c>
      <c r="BE3505" s="46">
        <v>1516.4</v>
      </c>
      <c r="BF3505" s="46">
        <v>0</v>
      </c>
      <c r="BH3505" s="46">
        <v>11899.092000000004</v>
      </c>
      <c r="BI3505">
        <v>9.92</v>
      </c>
      <c r="BJ3505">
        <v>-11899.092000000001</v>
      </c>
      <c r="BK3505">
        <v>-9.92</v>
      </c>
      <c r="BL3505">
        <v>114.11</v>
      </c>
    </row>
    <row r="3506" spans="1:64" x14ac:dyDescent="0.25">
      <c r="A3506" s="136">
        <v>43584</v>
      </c>
      <c r="B3506" t="s">
        <v>72</v>
      </c>
      <c r="C3506" t="s">
        <v>130</v>
      </c>
      <c r="D3506">
        <v>100</v>
      </c>
      <c r="E3506">
        <v>100</v>
      </c>
      <c r="F3506">
        <v>-18.477</v>
      </c>
      <c r="G3506">
        <v>2371.6999999999998</v>
      </c>
      <c r="H3506">
        <v>0</v>
      </c>
      <c r="I3506">
        <v>524</v>
      </c>
      <c r="J3506">
        <v>5.24</v>
      </c>
      <c r="K3506" s="133">
        <v>9.6962835329497113E-4</v>
      </c>
      <c r="L3506" s="181">
        <v>-41</v>
      </c>
      <c r="M3506" s="133">
        <v>0</v>
      </c>
      <c r="N3506" s="73">
        <v>-1498.9659999999872</v>
      </c>
      <c r="O3506" s="73">
        <v>376.42007904191922</v>
      </c>
      <c r="P3506" s="182">
        <v>0</v>
      </c>
      <c r="Q3506" s="182">
        <v>0</v>
      </c>
      <c r="R3506" s="46">
        <v>0</v>
      </c>
      <c r="S3506" s="46">
        <v>20</v>
      </c>
      <c r="T3506" s="46">
        <v>8600</v>
      </c>
      <c r="U3506" s="46">
        <v>7.3840000000000003</v>
      </c>
      <c r="V3506" s="46" t="s">
        <v>68</v>
      </c>
      <c r="W3506" s="46">
        <v>8600</v>
      </c>
      <c r="X3506" s="46">
        <v>7.3840000000000003</v>
      </c>
      <c r="AF3506" s="46">
        <v>42</v>
      </c>
      <c r="AG3506" s="46">
        <v>20900</v>
      </c>
      <c r="AH3506" s="46">
        <v>152800</v>
      </c>
      <c r="AI3506" s="46">
        <v>7.3109999999999999</v>
      </c>
      <c r="AJ3506" s="46">
        <v>42</v>
      </c>
      <c r="AK3506" s="46">
        <v>18800</v>
      </c>
      <c r="AL3506" s="46">
        <v>92037.725000000035</v>
      </c>
      <c r="AM3506" s="46">
        <v>4.8959999999999999</v>
      </c>
      <c r="AN3506" s="46" t="s">
        <v>63</v>
      </c>
      <c r="AO3506" s="46">
        <v>2100</v>
      </c>
      <c r="AP3506" s="46">
        <v>60762.275000000001</v>
      </c>
      <c r="AQ3506" s="46">
        <v>28.934000000000001</v>
      </c>
      <c r="AR3506" s="46">
        <v>-45402</v>
      </c>
      <c r="AS3506" s="46">
        <v>42</v>
      </c>
      <c r="AT3506" s="46">
        <v>20900</v>
      </c>
      <c r="AU3506" s="46">
        <v>152800</v>
      </c>
      <c r="AV3506" s="46">
        <v>7.3109999999999999</v>
      </c>
      <c r="AW3506" s="46">
        <v>63</v>
      </c>
      <c r="AX3506" s="46">
        <v>27900</v>
      </c>
      <c r="AY3506" s="46">
        <v>155380.21900000001</v>
      </c>
      <c r="AZ3506" s="46">
        <v>5.569</v>
      </c>
      <c r="BA3506" s="46" t="s">
        <v>69</v>
      </c>
      <c r="BB3506" s="46">
        <v>7000</v>
      </c>
      <c r="BC3506" s="46">
        <v>2580.2190000000001</v>
      </c>
      <c r="BD3506" s="46">
        <v>0.36899999999999999</v>
      </c>
      <c r="BE3506" s="46">
        <v>-36407.800000000003</v>
      </c>
      <c r="BF3506" s="46">
        <v>0</v>
      </c>
      <c r="BH3506" s="46">
        <v>63342.493999999977</v>
      </c>
      <c r="BI3506">
        <v>7.37</v>
      </c>
      <c r="BJ3506">
        <v>-58182.056000000004</v>
      </c>
      <c r="BK3506">
        <v>-6.77</v>
      </c>
      <c r="BL3506">
        <v>-8664.5</v>
      </c>
    </row>
    <row r="3507" spans="1:64" x14ac:dyDescent="0.25">
      <c r="A3507" s="136">
        <v>43584</v>
      </c>
      <c r="B3507" t="s">
        <v>70</v>
      </c>
      <c r="C3507" t="s">
        <v>131</v>
      </c>
      <c r="D3507">
        <v>9400</v>
      </c>
      <c r="E3507">
        <v>8900</v>
      </c>
      <c r="F3507">
        <v>11.180999999999999</v>
      </c>
      <c r="G3507">
        <v>3371.66</v>
      </c>
      <c r="H3507">
        <v>3.21</v>
      </c>
      <c r="I3507">
        <v>108476</v>
      </c>
      <c r="J3507">
        <v>11.54</v>
      </c>
      <c r="K3507" s="133">
        <v>0.20072787261836886</v>
      </c>
      <c r="L3507" s="181">
        <v>-11422</v>
      </c>
      <c r="M3507" s="133">
        <v>0.19448883228693656</v>
      </c>
      <c r="N3507" s="73">
        <v>3837.670999999973</v>
      </c>
      <c r="O3507" s="73">
        <v>330.95359486626171</v>
      </c>
      <c r="P3507" s="182">
        <v>1</v>
      </c>
      <c r="Q3507" s="182">
        <v>500</v>
      </c>
      <c r="R3507" s="46">
        <v>11.59</v>
      </c>
      <c r="S3507" s="46">
        <v>14</v>
      </c>
      <c r="T3507" s="46">
        <v>5600</v>
      </c>
      <c r="U3507" s="46">
        <v>10.222</v>
      </c>
      <c r="V3507" s="46" t="s">
        <v>68</v>
      </c>
      <c r="W3507" s="46">
        <v>5100</v>
      </c>
      <c r="X3507" s="46">
        <v>10.087999999999999</v>
      </c>
      <c r="AF3507" s="46">
        <v>158</v>
      </c>
      <c r="AG3507" s="46">
        <v>80600</v>
      </c>
      <c r="AH3507" s="46">
        <v>992258</v>
      </c>
      <c r="AI3507" s="46">
        <v>12.311</v>
      </c>
      <c r="AJ3507" s="46">
        <v>164</v>
      </c>
      <c r="AK3507" s="46">
        <v>66100</v>
      </c>
      <c r="AL3507" s="46">
        <v>835427.91499999969</v>
      </c>
      <c r="AM3507" s="46">
        <v>12.638999999999999</v>
      </c>
      <c r="AN3507" s="46" t="s">
        <v>63</v>
      </c>
      <c r="AO3507" s="46">
        <v>14500</v>
      </c>
      <c r="AP3507" s="46">
        <v>156830.08499999999</v>
      </c>
      <c r="AQ3507" s="46">
        <v>10.816000000000001</v>
      </c>
      <c r="AR3507" s="46">
        <v>21680.799999999999</v>
      </c>
      <c r="AS3507" s="46">
        <v>159</v>
      </c>
      <c r="AT3507" s="46">
        <v>81100</v>
      </c>
      <c r="AU3507" s="46">
        <v>998058</v>
      </c>
      <c r="AV3507" s="46">
        <v>12.307</v>
      </c>
      <c r="AW3507" s="46">
        <v>179</v>
      </c>
      <c r="AX3507" s="46">
        <v>71700</v>
      </c>
      <c r="AY3507" s="46">
        <v>892949.67099999962</v>
      </c>
      <c r="AZ3507" s="46">
        <v>12.454000000000001</v>
      </c>
      <c r="BA3507" s="46" t="s">
        <v>63</v>
      </c>
      <c r="BB3507" s="46">
        <v>9400</v>
      </c>
      <c r="BC3507" s="46">
        <v>105108.329</v>
      </c>
      <c r="BD3507" s="46">
        <v>11.182</v>
      </c>
      <c r="BE3507" s="46">
        <v>10539.9</v>
      </c>
      <c r="BF3507" s="46">
        <v>5800</v>
      </c>
      <c r="BG3507" s="46">
        <v>11.6</v>
      </c>
      <c r="BH3507" s="46">
        <v>57521.755999999936</v>
      </c>
      <c r="BI3507">
        <v>10.27</v>
      </c>
      <c r="BJ3507">
        <v>-51721.755999999994</v>
      </c>
      <c r="BK3507">
        <v>-10.14</v>
      </c>
      <c r="BL3507">
        <v>1878.75</v>
      </c>
    </row>
    <row r="3508" spans="1:64" x14ac:dyDescent="0.25">
      <c r="A3508" s="136">
        <v>43584</v>
      </c>
      <c r="B3508" t="s">
        <v>628</v>
      </c>
      <c r="C3508" t="s">
        <v>629</v>
      </c>
      <c r="D3508">
        <v>100</v>
      </c>
      <c r="E3508">
        <v>100</v>
      </c>
      <c r="F3508">
        <v>-22.33</v>
      </c>
      <c r="G3508">
        <v>3346</v>
      </c>
      <c r="H3508">
        <v>0</v>
      </c>
      <c r="I3508">
        <v>1113</v>
      </c>
      <c r="J3508">
        <v>11.13</v>
      </c>
      <c r="K3508" s="133">
        <v>2.059535032857448E-3</v>
      </c>
      <c r="L3508" s="181">
        <v>-104</v>
      </c>
      <c r="M3508" s="133">
        <v>0</v>
      </c>
    </row>
    <row r="3509" spans="1:64" x14ac:dyDescent="0.25">
      <c r="A3509" s="136">
        <v>43584</v>
      </c>
      <c r="B3509" t="s">
        <v>630</v>
      </c>
      <c r="C3509" t="s">
        <v>631</v>
      </c>
      <c r="D3509">
        <v>100</v>
      </c>
      <c r="E3509">
        <v>100</v>
      </c>
      <c r="F3509">
        <v>-94.45</v>
      </c>
      <c r="G3509">
        <v>11962</v>
      </c>
      <c r="H3509">
        <v>0</v>
      </c>
      <c r="I3509">
        <v>2517</v>
      </c>
      <c r="J3509">
        <v>25.17</v>
      </c>
      <c r="K3509" s="133">
        <v>4.6575468802355765E-3</v>
      </c>
      <c r="L3509" s="181">
        <v>-154</v>
      </c>
      <c r="M3509" s="133">
        <v>0</v>
      </c>
    </row>
    <row r="3510" spans="1:64" x14ac:dyDescent="0.25">
      <c r="A3510" s="136">
        <v>43584</v>
      </c>
      <c r="B3510" t="s">
        <v>137</v>
      </c>
      <c r="C3510" t="s">
        <v>149</v>
      </c>
      <c r="D3510">
        <v>100</v>
      </c>
      <c r="E3510">
        <v>100</v>
      </c>
      <c r="F3510">
        <v>-130.86000000000001</v>
      </c>
      <c r="G3510">
        <v>16427</v>
      </c>
      <c r="H3510">
        <v>0</v>
      </c>
      <c r="I3510">
        <v>3341</v>
      </c>
      <c r="J3510">
        <v>33.409999999999997</v>
      </c>
      <c r="K3510" s="133">
        <v>6.1823059701498059E-3</v>
      </c>
      <c r="L3510" s="181">
        <v>-134</v>
      </c>
      <c r="M3510" s="133">
        <v>0</v>
      </c>
    </row>
    <row r="3511" spans="1:64" x14ac:dyDescent="0.25">
      <c r="A3511" s="136">
        <v>43584</v>
      </c>
      <c r="B3511" t="s">
        <v>835</v>
      </c>
      <c r="C3511" t="s">
        <v>839</v>
      </c>
      <c r="I3511">
        <v>3910.18</v>
      </c>
      <c r="K3511" s="133">
        <v>7.2355370123796375E-3</v>
      </c>
      <c r="L3511" s="181">
        <v>0</v>
      </c>
      <c r="M3511" s="133">
        <v>9.9861061879238933E-2</v>
      </c>
    </row>
    <row r="3512" spans="1:64" x14ac:dyDescent="0.25">
      <c r="A3512" s="136">
        <v>43636</v>
      </c>
      <c r="B3512" t="s">
        <v>132</v>
      </c>
      <c r="C3512" t="s">
        <v>123</v>
      </c>
      <c r="D3512">
        <v>8800</v>
      </c>
      <c r="E3512">
        <v>8800</v>
      </c>
      <c r="F3512">
        <v>-0.44400000000000001</v>
      </c>
      <c r="G3512">
        <v>3995.2</v>
      </c>
      <c r="H3512">
        <v>0</v>
      </c>
      <c r="I3512">
        <v>88</v>
      </c>
      <c r="J3512">
        <v>0.01</v>
      </c>
      <c r="K3512" s="133">
        <v>1.7009291131993452E-4</v>
      </c>
      <c r="L3512" s="181">
        <v>28.289999999999964</v>
      </c>
      <c r="M3512" s="133">
        <v>0</v>
      </c>
    </row>
    <row r="3513" spans="1:64" x14ac:dyDescent="0.25">
      <c r="A3513" s="136">
        <v>43636</v>
      </c>
      <c r="B3513" t="s">
        <v>61</v>
      </c>
      <c r="C3513" t="s">
        <v>136</v>
      </c>
      <c r="D3513">
        <v>2700</v>
      </c>
      <c r="E3513">
        <v>2700</v>
      </c>
      <c r="F3513">
        <v>4.7309999999999999</v>
      </c>
      <c r="G3513">
        <v>-703.57</v>
      </c>
      <c r="H3513">
        <v>-5.51</v>
      </c>
      <c r="I3513">
        <v>12069</v>
      </c>
      <c r="J3513">
        <v>4.47</v>
      </c>
      <c r="K3513" s="133">
        <v>2.3327856212730567E-2</v>
      </c>
      <c r="L3513" s="181">
        <v>73</v>
      </c>
      <c r="M3513" s="133">
        <v>2.4687768367473363E-2</v>
      </c>
      <c r="N3513" s="73">
        <v>-735.3010000000013</v>
      </c>
      <c r="O3513" s="73">
        <v>-164.78326221973123</v>
      </c>
      <c r="P3513" s="182">
        <v>1</v>
      </c>
      <c r="Q3513" s="182">
        <v>500</v>
      </c>
      <c r="R3513" s="46">
        <v>4.46</v>
      </c>
      <c r="S3513" s="46">
        <v>0</v>
      </c>
      <c r="T3513" s="46">
        <v>0</v>
      </c>
      <c r="U3513" s="46">
        <v>0</v>
      </c>
      <c r="V3513" s="46" t="s">
        <v>62</v>
      </c>
      <c r="W3513" s="46">
        <v>500</v>
      </c>
      <c r="X3513" s="46">
        <v>4.46</v>
      </c>
      <c r="AF3513" s="46">
        <v>23</v>
      </c>
      <c r="AG3513" s="46">
        <v>11500</v>
      </c>
      <c r="AH3513" s="46">
        <v>56886.900000000009</v>
      </c>
      <c r="AI3513" s="46">
        <v>4.9470000000000001</v>
      </c>
      <c r="AJ3513" s="46">
        <v>23</v>
      </c>
      <c r="AK3513" s="46">
        <v>9300</v>
      </c>
      <c r="AL3513" s="46">
        <v>46074.89899999999</v>
      </c>
      <c r="AM3513" s="46">
        <v>4.9539999999999997</v>
      </c>
      <c r="AN3513" s="46" t="s">
        <v>63</v>
      </c>
      <c r="AO3513" s="46">
        <v>2200</v>
      </c>
      <c r="AP3513" s="46">
        <v>10812.001</v>
      </c>
      <c r="AQ3513" s="46">
        <v>4.915</v>
      </c>
      <c r="AR3513" s="46">
        <v>65.099999999999994</v>
      </c>
      <c r="AS3513" s="46">
        <v>24</v>
      </c>
      <c r="AT3513" s="46">
        <v>12000</v>
      </c>
      <c r="AU3513" s="46">
        <v>58852.200000000012</v>
      </c>
      <c r="AV3513" s="46">
        <v>4.9039999999999999</v>
      </c>
      <c r="AW3513" s="46">
        <v>23</v>
      </c>
      <c r="AX3513" s="46">
        <v>9300</v>
      </c>
      <c r="AY3513" s="46">
        <v>46074.89899999999</v>
      </c>
      <c r="AZ3513" s="46">
        <v>4.9539999999999997</v>
      </c>
      <c r="BA3513" s="46" t="s">
        <v>63</v>
      </c>
      <c r="BB3513" s="46">
        <v>2700</v>
      </c>
      <c r="BC3513" s="46">
        <v>12777.300999999999</v>
      </c>
      <c r="BD3513" s="46">
        <v>4.7320000000000002</v>
      </c>
      <c r="BE3513" s="46">
        <v>465</v>
      </c>
      <c r="BF3513" s="46">
        <v>1965.3000000000029</v>
      </c>
      <c r="BG3513" s="46">
        <v>3.93</v>
      </c>
      <c r="BH3513" s="46">
        <v>0</v>
      </c>
      <c r="BJ3513">
        <v>1965.2999999999993</v>
      </c>
      <c r="BK3513">
        <v>3.93</v>
      </c>
      <c r="BL3513">
        <v>14.56</v>
      </c>
    </row>
    <row r="3514" spans="1:64" x14ac:dyDescent="0.25">
      <c r="A3514" s="136">
        <v>43636</v>
      </c>
      <c r="B3514" t="s">
        <v>124</v>
      </c>
      <c r="C3514" t="s">
        <v>125</v>
      </c>
      <c r="D3514">
        <v>100</v>
      </c>
      <c r="E3514">
        <v>100</v>
      </c>
      <c r="F3514">
        <v>-53.82</v>
      </c>
      <c r="G3514">
        <v>5966</v>
      </c>
      <c r="H3514">
        <v>0</v>
      </c>
      <c r="I3514">
        <v>584</v>
      </c>
      <c r="J3514">
        <v>5.84</v>
      </c>
      <c r="K3514" s="133">
        <v>1.1287984114868382E-3</v>
      </c>
      <c r="L3514" s="181">
        <v>4</v>
      </c>
      <c r="M3514" s="133">
        <v>0</v>
      </c>
      <c r="N3514" s="73">
        <v>5573.0690000000113</v>
      </c>
      <c r="O3514" s="73">
        <v>1102.4501845505636</v>
      </c>
      <c r="P3514" s="182">
        <v>0</v>
      </c>
      <c r="Q3514" s="182">
        <v>0</v>
      </c>
      <c r="R3514" s="46">
        <v>0</v>
      </c>
      <c r="S3514" s="46">
        <v>5</v>
      </c>
      <c r="T3514" s="46">
        <v>2300</v>
      </c>
      <c r="U3514" s="46">
        <v>4.99</v>
      </c>
      <c r="V3514" s="46" t="s">
        <v>68</v>
      </c>
      <c r="W3514" s="46">
        <v>2300</v>
      </c>
      <c r="X3514" s="46">
        <v>4.99</v>
      </c>
      <c r="AF3514" s="46">
        <v>50</v>
      </c>
      <c r="AG3514" s="46">
        <v>36700</v>
      </c>
      <c r="AH3514" s="46">
        <v>180101.02000000002</v>
      </c>
      <c r="AI3514" s="46">
        <v>4.907</v>
      </c>
      <c r="AJ3514" s="46">
        <v>58</v>
      </c>
      <c r="AK3514" s="46">
        <v>35300</v>
      </c>
      <c r="AL3514" s="46">
        <v>178266.546</v>
      </c>
      <c r="AM3514" s="46">
        <v>5.05</v>
      </c>
      <c r="AN3514" s="46" t="s">
        <v>63</v>
      </c>
      <c r="AO3514" s="46">
        <v>1400</v>
      </c>
      <c r="AP3514" s="46">
        <v>1834.4739999999999</v>
      </c>
      <c r="AQ3514" s="46">
        <v>1.31</v>
      </c>
      <c r="AR3514" s="46">
        <v>5047.8999999999996</v>
      </c>
      <c r="AS3514" s="46">
        <v>51</v>
      </c>
      <c r="AT3514" s="46">
        <v>37700</v>
      </c>
      <c r="AU3514" s="46">
        <v>185106.62</v>
      </c>
      <c r="AV3514" s="46">
        <v>4.91</v>
      </c>
      <c r="AW3514" s="46">
        <v>63</v>
      </c>
      <c r="AX3514" s="46">
        <v>37600</v>
      </c>
      <c r="AY3514" s="46">
        <v>189713.68900000001</v>
      </c>
      <c r="AZ3514" s="46">
        <v>5.0460000000000003</v>
      </c>
      <c r="BA3514" s="46" t="s">
        <v>63</v>
      </c>
      <c r="BB3514" s="46">
        <v>100</v>
      </c>
      <c r="BC3514" s="46">
        <v>4607.0690000000004</v>
      </c>
      <c r="BD3514" s="46">
        <v>46.070999999999998</v>
      </c>
      <c r="BE3514" s="46">
        <v>5113.6000000000004</v>
      </c>
      <c r="BF3514" s="46">
        <v>5005.5999999999767</v>
      </c>
      <c r="BH3514" s="46">
        <v>11447.143000000011</v>
      </c>
      <c r="BI3514">
        <v>4.9800000000000004</v>
      </c>
      <c r="BJ3514">
        <v>2772.5950000000003</v>
      </c>
      <c r="BK3514">
        <v>1.21</v>
      </c>
      <c r="BL3514">
        <v>864.37</v>
      </c>
    </row>
    <row r="3515" spans="1:64" x14ac:dyDescent="0.25">
      <c r="A3515" s="136">
        <v>43636</v>
      </c>
      <c r="B3515" t="s">
        <v>71</v>
      </c>
      <c r="C3515" t="s">
        <v>126</v>
      </c>
      <c r="D3515">
        <v>3000</v>
      </c>
      <c r="E3515">
        <v>3000</v>
      </c>
      <c r="F3515">
        <v>5.25</v>
      </c>
      <c r="G3515">
        <v>2399.59</v>
      </c>
      <c r="H3515">
        <v>15.24</v>
      </c>
      <c r="I3515">
        <v>18150</v>
      </c>
      <c r="J3515">
        <v>6.05</v>
      </c>
      <c r="K3515" s="133">
        <v>3.5081662959736498E-2</v>
      </c>
      <c r="L3515" s="181">
        <v>-599.58999999999969</v>
      </c>
      <c r="M3515" s="133">
        <v>3.0443557856620566E-2</v>
      </c>
      <c r="N3515" s="73">
        <v>2864.5400000000063</v>
      </c>
      <c r="O3515" s="73">
        <v>399.51367458745989</v>
      </c>
      <c r="P3515" s="182">
        <v>0</v>
      </c>
      <c r="Q3515" s="182">
        <v>0</v>
      </c>
      <c r="R3515" s="46">
        <v>0</v>
      </c>
      <c r="S3515" s="46">
        <v>4</v>
      </c>
      <c r="T3515" s="46">
        <v>1500</v>
      </c>
      <c r="U3515" s="46">
        <v>6.5330000000000004</v>
      </c>
      <c r="V3515" s="46" t="s">
        <v>68</v>
      </c>
      <c r="W3515" s="46">
        <v>1500</v>
      </c>
      <c r="X3515" s="46">
        <v>6.5330000000000004</v>
      </c>
      <c r="AF3515" s="46">
        <v>56</v>
      </c>
      <c r="AG3515" s="46">
        <v>29100</v>
      </c>
      <c r="AH3515" s="46">
        <v>184288.42999999993</v>
      </c>
      <c r="AI3515" s="46">
        <v>6.3330000000000002</v>
      </c>
      <c r="AJ3515" s="46">
        <v>56</v>
      </c>
      <c r="AK3515" s="46">
        <v>24600</v>
      </c>
      <c r="AL3515" s="46">
        <v>158600.19399999999</v>
      </c>
      <c r="AM3515" s="46">
        <v>6.4470000000000001</v>
      </c>
      <c r="AN3515" s="46" t="s">
        <v>63</v>
      </c>
      <c r="AO3515" s="46">
        <v>4500</v>
      </c>
      <c r="AP3515" s="46">
        <v>25688.236000000001</v>
      </c>
      <c r="AQ3515" s="46">
        <v>5.7080000000000002</v>
      </c>
      <c r="AR3515" s="46">
        <v>2804.4</v>
      </c>
      <c r="AS3515" s="46">
        <v>56</v>
      </c>
      <c r="AT3515" s="46">
        <v>29100</v>
      </c>
      <c r="AU3515" s="46">
        <v>184288.42999999993</v>
      </c>
      <c r="AV3515" s="46">
        <v>6.3330000000000002</v>
      </c>
      <c r="AW3515" s="46">
        <v>60</v>
      </c>
      <c r="AX3515" s="46">
        <v>26100</v>
      </c>
      <c r="AY3515" s="46">
        <v>168369.49400000001</v>
      </c>
      <c r="AZ3515" s="46">
        <v>6.4509999999999996</v>
      </c>
      <c r="BA3515" s="46" t="s">
        <v>63</v>
      </c>
      <c r="BB3515" s="46">
        <v>3000</v>
      </c>
      <c r="BC3515" s="46">
        <v>15918.936</v>
      </c>
      <c r="BD3515" s="46">
        <v>5.306</v>
      </c>
      <c r="BE3515" s="46">
        <v>3079.8</v>
      </c>
      <c r="BF3515" s="46">
        <v>0</v>
      </c>
      <c r="BH3515" s="46">
        <v>9769.3000000000175</v>
      </c>
      <c r="BI3515">
        <v>6.51</v>
      </c>
      <c r="BJ3515">
        <v>-9769.3000000000011</v>
      </c>
      <c r="BK3515">
        <v>-6.51</v>
      </c>
      <c r="BL3515">
        <v>463.54</v>
      </c>
    </row>
    <row r="3516" spans="1:64" x14ac:dyDescent="0.25">
      <c r="A3516" s="136">
        <v>43636</v>
      </c>
      <c r="B3516" t="s">
        <v>79</v>
      </c>
      <c r="C3516" t="s">
        <v>143</v>
      </c>
      <c r="D3516">
        <v>12320</v>
      </c>
      <c r="E3516">
        <v>12320</v>
      </c>
      <c r="F3516">
        <v>10.225</v>
      </c>
      <c r="G3516">
        <v>-30737.45</v>
      </c>
      <c r="H3516">
        <v>-24.4</v>
      </c>
      <c r="I3516">
        <v>95233.600000000006</v>
      </c>
      <c r="J3516">
        <v>7.73</v>
      </c>
      <c r="K3516" s="133">
        <v>0.18407454863043315</v>
      </c>
      <c r="L3516" s="181">
        <v>-868.79999999999927</v>
      </c>
      <c r="M3516" s="133">
        <v>0.24348616632419362</v>
      </c>
      <c r="N3516" s="73">
        <v>-30635.476000000286</v>
      </c>
      <c r="O3516" s="73">
        <v>-3956.0927987080472</v>
      </c>
      <c r="P3516" s="182">
        <v>12</v>
      </c>
      <c r="Q3516" s="182">
        <v>8320</v>
      </c>
      <c r="R3516" s="46">
        <v>5.4939999999999998</v>
      </c>
      <c r="S3516" s="46">
        <v>0</v>
      </c>
      <c r="T3516" s="46">
        <v>0</v>
      </c>
      <c r="U3516" s="46">
        <v>0</v>
      </c>
      <c r="V3516" s="46" t="s">
        <v>62</v>
      </c>
      <c r="W3516" s="46">
        <v>8320</v>
      </c>
      <c r="X3516" s="46">
        <v>5.4939999999999998</v>
      </c>
      <c r="AF3516" s="46">
        <v>39</v>
      </c>
      <c r="AG3516" s="46">
        <v>20000</v>
      </c>
      <c r="AH3516" s="46">
        <v>278411.99999999977</v>
      </c>
      <c r="AI3516" s="46">
        <v>13.920999999999999</v>
      </c>
      <c r="AJ3516" s="46">
        <v>40</v>
      </c>
      <c r="AK3516" s="46">
        <v>16000</v>
      </c>
      <c r="AL3516" s="46">
        <v>198198.71599999975</v>
      </c>
      <c r="AM3516" s="46">
        <v>12.387</v>
      </c>
      <c r="AN3516" s="46" t="s">
        <v>63</v>
      </c>
      <c r="AO3516" s="46">
        <v>4000</v>
      </c>
      <c r="AP3516" s="46">
        <v>80213.284</v>
      </c>
      <c r="AQ3516" s="46">
        <v>20.053000000000001</v>
      </c>
      <c r="AR3516" s="46">
        <v>-24544</v>
      </c>
      <c r="AS3516" s="46">
        <v>51</v>
      </c>
      <c r="AT3516" s="46">
        <v>28320</v>
      </c>
      <c r="AU3516" s="46">
        <v>324190.99199999962</v>
      </c>
      <c r="AV3516" s="46">
        <v>11.446999999999999</v>
      </c>
      <c r="AW3516" s="46">
        <v>40</v>
      </c>
      <c r="AX3516" s="46">
        <v>16000</v>
      </c>
      <c r="AY3516" s="46">
        <v>198198.71599999975</v>
      </c>
      <c r="AZ3516" s="46">
        <v>12.387</v>
      </c>
      <c r="BA3516" s="46" t="s">
        <v>63</v>
      </c>
      <c r="BB3516" s="46">
        <v>12320</v>
      </c>
      <c r="BC3516" s="46">
        <v>125992.276</v>
      </c>
      <c r="BD3516" s="46">
        <v>10.227</v>
      </c>
      <c r="BE3516" s="46">
        <v>15040</v>
      </c>
      <c r="BF3516" s="46">
        <v>45778.991999999853</v>
      </c>
      <c r="BG3516" s="46">
        <v>5.5</v>
      </c>
      <c r="BH3516" s="46">
        <v>0</v>
      </c>
      <c r="BJ3516">
        <v>45778.991999999998</v>
      </c>
      <c r="BK3516">
        <v>5.5</v>
      </c>
      <c r="BL3516">
        <v>-3175.16</v>
      </c>
    </row>
    <row r="3517" spans="1:64" x14ac:dyDescent="0.25">
      <c r="A3517" s="136">
        <v>43636</v>
      </c>
      <c r="B3517" t="s">
        <v>65</v>
      </c>
      <c r="C3517" t="s">
        <v>127</v>
      </c>
      <c r="D3517">
        <v>28800</v>
      </c>
      <c r="E3517">
        <v>28800</v>
      </c>
      <c r="F3517">
        <v>8.3800000000000008</v>
      </c>
      <c r="G3517">
        <v>-25627.53</v>
      </c>
      <c r="H3517">
        <v>-10.62</v>
      </c>
      <c r="I3517">
        <v>215712</v>
      </c>
      <c r="J3517">
        <v>7.49</v>
      </c>
      <c r="K3517" s="133">
        <v>0.41694411462097403</v>
      </c>
      <c r="L3517" s="181">
        <v>-11411.189999999999</v>
      </c>
      <c r="M3517" s="133">
        <v>0.46647890084414406</v>
      </c>
      <c r="N3517" s="73">
        <v>-30197.961000000098</v>
      </c>
      <c r="O3517" s="73">
        <v>-3463.0279807821171</v>
      </c>
      <c r="P3517" s="182">
        <v>8</v>
      </c>
      <c r="Q3517" s="182">
        <v>4900</v>
      </c>
      <c r="R3517" s="46">
        <v>8.2449999999999992</v>
      </c>
      <c r="S3517" s="46">
        <v>1</v>
      </c>
      <c r="T3517" s="46">
        <v>400</v>
      </c>
      <c r="U3517" s="46">
        <v>7.48</v>
      </c>
      <c r="V3517" s="46" t="s">
        <v>62</v>
      </c>
      <c r="W3517" s="46">
        <v>4500</v>
      </c>
      <c r="X3517" s="46">
        <v>8.3130000000000006</v>
      </c>
      <c r="AF3517" s="46">
        <v>245</v>
      </c>
      <c r="AG3517" s="46">
        <v>132400</v>
      </c>
      <c r="AH3517" s="46">
        <v>1397010.6810000001</v>
      </c>
      <c r="AI3517" s="46">
        <v>10.551</v>
      </c>
      <c r="AJ3517" s="46">
        <v>275</v>
      </c>
      <c r="AK3517" s="46">
        <v>117300</v>
      </c>
      <c r="AL3517" s="46">
        <v>1178783.7100000004</v>
      </c>
      <c r="AM3517" s="46">
        <v>10.048999999999999</v>
      </c>
      <c r="AN3517" s="46" t="s">
        <v>63</v>
      </c>
      <c r="AO3517" s="46">
        <v>15100</v>
      </c>
      <c r="AP3517" s="46">
        <v>218226.97099999999</v>
      </c>
      <c r="AQ3517" s="46">
        <v>14.452</v>
      </c>
      <c r="AR3517" s="46">
        <v>-58884.6</v>
      </c>
      <c r="AS3517" s="46">
        <v>254</v>
      </c>
      <c r="AT3517" s="46">
        <v>137400</v>
      </c>
      <c r="AU3517" s="46">
        <v>1438740.6810000001</v>
      </c>
      <c r="AV3517" s="46">
        <v>10.471</v>
      </c>
      <c r="AW3517" s="46">
        <v>276</v>
      </c>
      <c r="AX3517" s="46">
        <v>117700</v>
      </c>
      <c r="AY3517" s="46">
        <v>1181767.7180000003</v>
      </c>
      <c r="AZ3517" s="46">
        <v>10.041</v>
      </c>
      <c r="BA3517" s="46" t="s">
        <v>63</v>
      </c>
      <c r="BB3517" s="46">
        <v>19700</v>
      </c>
      <c r="BC3517" s="46">
        <v>256972.96299999999</v>
      </c>
      <c r="BD3517" s="46">
        <v>13.044</v>
      </c>
      <c r="BE3517" s="46">
        <v>-50611</v>
      </c>
      <c r="BF3517" s="46">
        <v>41730</v>
      </c>
      <c r="BG3517" s="46">
        <v>8.52</v>
      </c>
      <c r="BH3517" s="46">
        <v>2984.0079999999143</v>
      </c>
      <c r="BI3517">
        <v>7.46</v>
      </c>
      <c r="BJ3517">
        <v>38745.991999999998</v>
      </c>
      <c r="BK3517">
        <v>8.61</v>
      </c>
      <c r="BL3517">
        <v>-7861.76</v>
      </c>
    </row>
    <row r="3518" spans="1:64" x14ac:dyDescent="0.25">
      <c r="A3518" s="136">
        <v>43636</v>
      </c>
      <c r="B3518" t="s">
        <v>77</v>
      </c>
      <c r="C3518" t="s">
        <v>150</v>
      </c>
      <c r="D3518">
        <v>6600</v>
      </c>
      <c r="E3518">
        <v>6600</v>
      </c>
      <c r="F3518">
        <v>5.19</v>
      </c>
      <c r="G3518">
        <v>-7525.58</v>
      </c>
      <c r="H3518">
        <v>-21.97</v>
      </c>
      <c r="I3518">
        <v>26730</v>
      </c>
      <c r="J3518">
        <v>4.05</v>
      </c>
      <c r="K3518" s="133">
        <v>5.1665721813430113E-2</v>
      </c>
      <c r="L3518" s="181">
        <v>-1574.63</v>
      </c>
      <c r="M3518" s="133">
        <v>6.6211719672192304E-2</v>
      </c>
      <c r="N3518" s="73">
        <v>-7832.525999999998</v>
      </c>
      <c r="O3518" s="73">
        <v>-1796.2891512254898</v>
      </c>
      <c r="P3518" s="182">
        <v>8</v>
      </c>
      <c r="Q3518" s="182">
        <v>4000</v>
      </c>
      <c r="R3518" s="46">
        <v>4.2549999999999999</v>
      </c>
      <c r="S3518" s="46">
        <v>0</v>
      </c>
      <c r="T3518" s="46">
        <v>0</v>
      </c>
      <c r="U3518" s="46">
        <v>0</v>
      </c>
      <c r="V3518" s="46" t="s">
        <v>62</v>
      </c>
      <c r="W3518" s="46">
        <v>4000</v>
      </c>
      <c r="X3518" s="46">
        <v>4.2549999999999999</v>
      </c>
      <c r="AF3518" s="46">
        <v>52</v>
      </c>
      <c r="AG3518" s="46">
        <v>26000</v>
      </c>
      <c r="AH3518" s="46">
        <v>177594</v>
      </c>
      <c r="AI3518" s="46">
        <v>6.8310000000000004</v>
      </c>
      <c r="AJ3518" s="46">
        <v>52</v>
      </c>
      <c r="AK3518" s="46">
        <v>23400</v>
      </c>
      <c r="AL3518" s="46">
        <v>160105.47400000005</v>
      </c>
      <c r="AM3518" s="46">
        <v>6.8419999999999996</v>
      </c>
      <c r="AN3518" s="46" t="s">
        <v>63</v>
      </c>
      <c r="AO3518" s="46">
        <v>2600</v>
      </c>
      <c r="AP3518" s="46">
        <v>17488.526000000002</v>
      </c>
      <c r="AQ3518" s="46">
        <v>6.726</v>
      </c>
      <c r="AR3518" s="46">
        <v>257.39999999999998</v>
      </c>
      <c r="AS3518" s="46">
        <v>60</v>
      </c>
      <c r="AT3518" s="46">
        <v>30000</v>
      </c>
      <c r="AU3518" s="46">
        <v>194366</v>
      </c>
      <c r="AV3518" s="46">
        <v>6.4790000000000001</v>
      </c>
      <c r="AW3518" s="46">
        <v>52</v>
      </c>
      <c r="AX3518" s="46">
        <v>23400</v>
      </c>
      <c r="AY3518" s="46">
        <v>160105.47400000005</v>
      </c>
      <c r="AZ3518" s="46">
        <v>6.8419999999999996</v>
      </c>
      <c r="BA3518" s="46" t="s">
        <v>63</v>
      </c>
      <c r="BB3518" s="46">
        <v>6600</v>
      </c>
      <c r="BC3518" s="46">
        <v>34260.525999999998</v>
      </c>
      <c r="BD3518" s="46">
        <v>5.1909999999999998</v>
      </c>
      <c r="BE3518" s="46">
        <v>8494.2000000000007</v>
      </c>
      <c r="BF3518" s="46">
        <v>16772</v>
      </c>
      <c r="BG3518" s="46">
        <v>4.1900000000000004</v>
      </c>
      <c r="BH3518" s="46">
        <v>0</v>
      </c>
      <c r="BJ3518">
        <v>16771.999999999996</v>
      </c>
      <c r="BK3518">
        <v>4.1900000000000004</v>
      </c>
      <c r="BL3518">
        <v>63.56</v>
      </c>
    </row>
    <row r="3519" spans="1:64" x14ac:dyDescent="0.25">
      <c r="A3519" s="136">
        <v>43636</v>
      </c>
      <c r="B3519" t="s">
        <v>67</v>
      </c>
      <c r="C3519" t="s">
        <v>129</v>
      </c>
      <c r="D3519">
        <v>2330</v>
      </c>
      <c r="E3519">
        <v>2330</v>
      </c>
      <c r="F3519">
        <v>4.907</v>
      </c>
      <c r="G3519">
        <v>4271.5600000000004</v>
      </c>
      <c r="H3519">
        <v>37.36</v>
      </c>
      <c r="I3519">
        <v>15704.2</v>
      </c>
      <c r="J3519">
        <v>6.74</v>
      </c>
      <c r="K3519" s="133">
        <v>3.035423974943768E-2</v>
      </c>
      <c r="L3519" s="181">
        <v>-178.71000000000004</v>
      </c>
      <c r="M3519" s="133">
        <v>2.2097852519008365E-2</v>
      </c>
      <c r="N3519" s="73">
        <v>4010.45549999996</v>
      </c>
      <c r="O3519" s="73">
        <v>604.59280124434122</v>
      </c>
      <c r="P3519" s="182">
        <v>2</v>
      </c>
      <c r="Q3519" s="182">
        <v>530</v>
      </c>
      <c r="R3519" s="46">
        <v>6.2549999999999999</v>
      </c>
      <c r="S3519" s="46">
        <v>21</v>
      </c>
      <c r="T3519" s="46">
        <v>8400</v>
      </c>
      <c r="U3519" s="46">
        <v>8.9550000000000001</v>
      </c>
      <c r="V3519" s="46" t="s">
        <v>68</v>
      </c>
      <c r="W3519" s="46">
        <v>7870</v>
      </c>
      <c r="X3519" s="46">
        <v>9.1370000000000005</v>
      </c>
      <c r="AF3519" s="46">
        <v>197</v>
      </c>
      <c r="AG3519" s="46">
        <v>97500</v>
      </c>
      <c r="AH3519" s="46">
        <v>809123</v>
      </c>
      <c r="AI3519" s="46">
        <v>8.2989999999999995</v>
      </c>
      <c r="AJ3519" s="46">
        <v>201</v>
      </c>
      <c r="AK3519" s="46">
        <v>89900</v>
      </c>
      <c r="AL3519" s="46">
        <v>794821.89150000014</v>
      </c>
      <c r="AM3519" s="46">
        <v>8.8409999999999993</v>
      </c>
      <c r="AN3519" s="46" t="s">
        <v>63</v>
      </c>
      <c r="AO3519" s="46">
        <v>7600</v>
      </c>
      <c r="AP3519" s="46">
        <v>14301.108</v>
      </c>
      <c r="AQ3519" s="46">
        <v>1.8819999999999999</v>
      </c>
      <c r="AR3519" s="46">
        <v>48725.8</v>
      </c>
      <c r="AS3519" s="46">
        <v>199</v>
      </c>
      <c r="AT3519" s="46">
        <v>98030</v>
      </c>
      <c r="AU3519" s="46">
        <v>812448</v>
      </c>
      <c r="AV3519" s="46">
        <v>8.2880000000000003</v>
      </c>
      <c r="AW3519" s="46">
        <v>222</v>
      </c>
      <c r="AX3519" s="46">
        <v>98300</v>
      </c>
      <c r="AY3519" s="46">
        <v>870138.67150000017</v>
      </c>
      <c r="AZ3519" s="46">
        <v>8.8520000000000003</v>
      </c>
      <c r="BA3519" s="46" t="s">
        <v>69</v>
      </c>
      <c r="BB3519" s="46">
        <v>270</v>
      </c>
      <c r="BC3519" s="46">
        <v>57690.671999999999</v>
      </c>
      <c r="BD3519" s="46">
        <v>213.66900000000001</v>
      </c>
      <c r="BE3519" s="46">
        <v>55288.92</v>
      </c>
      <c r="BF3519" s="46">
        <v>3325</v>
      </c>
      <c r="BG3519" s="46">
        <v>6.27</v>
      </c>
      <c r="BH3519" s="46">
        <v>75316.780000000028</v>
      </c>
      <c r="BI3519">
        <v>8.9700000000000006</v>
      </c>
      <c r="BJ3519">
        <v>43389.563999999998</v>
      </c>
      <c r="BK3519">
        <v>5.51</v>
      </c>
      <c r="BL3519">
        <v>7229.35</v>
      </c>
    </row>
    <row r="3520" spans="1:64" x14ac:dyDescent="0.25">
      <c r="A3520" s="136">
        <v>43636</v>
      </c>
      <c r="B3520" t="s">
        <v>78</v>
      </c>
      <c r="C3520" t="s">
        <v>142</v>
      </c>
      <c r="D3520">
        <v>200</v>
      </c>
      <c r="E3520">
        <v>200</v>
      </c>
      <c r="F3520">
        <v>1.9870000000000001</v>
      </c>
      <c r="G3520">
        <v>1478.65</v>
      </c>
      <c r="H3520">
        <v>372.08</v>
      </c>
      <c r="I3520">
        <v>1876</v>
      </c>
      <c r="J3520">
        <v>9.3800000000000008</v>
      </c>
      <c r="K3520" s="133">
        <v>3.6260716095022406E-3</v>
      </c>
      <c r="L3520" s="181">
        <v>-226</v>
      </c>
      <c r="M3520" s="133">
        <v>7.6802748082927235E-4</v>
      </c>
      <c r="N3520" s="73">
        <v>1472.650999999996</v>
      </c>
      <c r="O3520" s="73">
        <v>157.42402935828835</v>
      </c>
      <c r="P3520" s="182">
        <v>0</v>
      </c>
      <c r="Q3520" s="182">
        <v>0</v>
      </c>
      <c r="R3520" s="46">
        <v>0</v>
      </c>
      <c r="S3520" s="46">
        <v>3</v>
      </c>
      <c r="T3520" s="46">
        <v>1200</v>
      </c>
      <c r="U3520" s="46">
        <v>9.923</v>
      </c>
      <c r="V3520" s="46" t="s">
        <v>68</v>
      </c>
      <c r="W3520" s="46">
        <v>1200</v>
      </c>
      <c r="X3520" s="46">
        <v>9.923</v>
      </c>
      <c r="AF3520" s="46">
        <v>14</v>
      </c>
      <c r="AG3520" s="46">
        <v>7000</v>
      </c>
      <c r="AH3520" s="46">
        <v>67625</v>
      </c>
      <c r="AI3520" s="46">
        <v>9.6609999999999996</v>
      </c>
      <c r="AJ3520" s="46">
        <v>15</v>
      </c>
      <c r="AK3520" s="46">
        <v>5600</v>
      </c>
      <c r="AL3520" s="46">
        <v>55310.559000000008</v>
      </c>
      <c r="AM3520" s="46">
        <v>9.8770000000000007</v>
      </c>
      <c r="AN3520" s="46" t="s">
        <v>63</v>
      </c>
      <c r="AO3520" s="46">
        <v>1400</v>
      </c>
      <c r="AP3520" s="46">
        <v>12314.441000000001</v>
      </c>
      <c r="AQ3520" s="46">
        <v>8.7959999999999994</v>
      </c>
      <c r="AR3520" s="46">
        <v>1209.5999999999999</v>
      </c>
      <c r="AS3520" s="46">
        <v>14</v>
      </c>
      <c r="AT3520" s="46">
        <v>7000</v>
      </c>
      <c r="AU3520" s="46">
        <v>67625</v>
      </c>
      <c r="AV3520" s="46">
        <v>9.6609999999999996</v>
      </c>
      <c r="AW3520" s="46">
        <v>18</v>
      </c>
      <c r="AX3520" s="46">
        <v>6800</v>
      </c>
      <c r="AY3520" s="46">
        <v>67227.651000000013</v>
      </c>
      <c r="AZ3520" s="46">
        <v>9.8859999999999992</v>
      </c>
      <c r="BA3520" s="46" t="s">
        <v>63</v>
      </c>
      <c r="BB3520" s="46">
        <v>200</v>
      </c>
      <c r="BC3520" s="46">
        <v>397.34899999999999</v>
      </c>
      <c r="BD3520" s="46">
        <v>1.9870000000000001</v>
      </c>
      <c r="BE3520" s="46">
        <v>1530</v>
      </c>
      <c r="BF3520" s="46">
        <v>0</v>
      </c>
      <c r="BH3520" s="46">
        <v>11917.092000000004</v>
      </c>
      <c r="BI3520">
        <v>9.93</v>
      </c>
      <c r="BJ3520">
        <v>-11917.092000000001</v>
      </c>
      <c r="BK3520">
        <v>-9.93</v>
      </c>
      <c r="BL3520">
        <v>128.96</v>
      </c>
    </row>
    <row r="3521" spans="1:64" x14ac:dyDescent="0.25">
      <c r="A3521" s="136">
        <v>43636</v>
      </c>
      <c r="B3521" t="s">
        <v>72</v>
      </c>
      <c r="C3521" t="s">
        <v>130</v>
      </c>
      <c r="D3521">
        <v>100</v>
      </c>
      <c r="E3521">
        <v>100</v>
      </c>
      <c r="F3521">
        <v>-18.477</v>
      </c>
      <c r="G3521">
        <v>2516.6999999999998</v>
      </c>
      <c r="H3521">
        <v>0</v>
      </c>
      <c r="I3521">
        <v>669</v>
      </c>
      <c r="J3521">
        <v>6.69</v>
      </c>
      <c r="K3521" s="133">
        <v>1.2930927008299568E-3</v>
      </c>
      <c r="L3521" s="181">
        <v>145</v>
      </c>
      <c r="M3521" s="133">
        <v>0</v>
      </c>
      <c r="N3521" s="73">
        <v>-1498.9659999999872</v>
      </c>
      <c r="O3521" s="73">
        <v>376.42007904191922</v>
      </c>
      <c r="P3521" s="182">
        <v>0</v>
      </c>
      <c r="Q3521" s="182">
        <v>0</v>
      </c>
      <c r="R3521" s="46">
        <v>0</v>
      </c>
      <c r="S3521" s="46">
        <v>20</v>
      </c>
      <c r="T3521" s="46">
        <v>8600</v>
      </c>
      <c r="U3521" s="46">
        <v>7.3840000000000003</v>
      </c>
      <c r="V3521" s="46" t="s">
        <v>68</v>
      </c>
      <c r="W3521" s="46">
        <v>8600</v>
      </c>
      <c r="X3521" s="46">
        <v>7.3840000000000003</v>
      </c>
      <c r="AF3521" s="46">
        <v>42</v>
      </c>
      <c r="AG3521" s="46">
        <v>20900</v>
      </c>
      <c r="AH3521" s="46">
        <v>152800</v>
      </c>
      <c r="AI3521" s="46">
        <v>7.3109999999999999</v>
      </c>
      <c r="AJ3521" s="46">
        <v>42</v>
      </c>
      <c r="AK3521" s="46">
        <v>18800</v>
      </c>
      <c r="AL3521" s="46">
        <v>92037.725000000035</v>
      </c>
      <c r="AM3521" s="46">
        <v>4.8959999999999999</v>
      </c>
      <c r="AN3521" s="46" t="s">
        <v>63</v>
      </c>
      <c r="AO3521" s="46">
        <v>2100</v>
      </c>
      <c r="AP3521" s="46">
        <v>60762.275000000001</v>
      </c>
      <c r="AQ3521" s="46">
        <v>28.934000000000001</v>
      </c>
      <c r="AR3521" s="46">
        <v>-45402</v>
      </c>
      <c r="AS3521" s="46">
        <v>42</v>
      </c>
      <c r="AT3521" s="46">
        <v>20900</v>
      </c>
      <c r="AU3521" s="46">
        <v>152800</v>
      </c>
      <c r="AV3521" s="46">
        <v>7.3109999999999999</v>
      </c>
      <c r="AW3521" s="46">
        <v>63</v>
      </c>
      <c r="AX3521" s="46">
        <v>27900</v>
      </c>
      <c r="AY3521" s="46">
        <v>155380.21900000001</v>
      </c>
      <c r="AZ3521" s="46">
        <v>5.569</v>
      </c>
      <c r="BA3521" s="46" t="s">
        <v>69</v>
      </c>
      <c r="BB3521" s="46">
        <v>7000</v>
      </c>
      <c r="BC3521" s="46">
        <v>2580.2190000000001</v>
      </c>
      <c r="BD3521" s="46">
        <v>0.36899999999999999</v>
      </c>
      <c r="BE3521" s="46">
        <v>-36407.800000000003</v>
      </c>
      <c r="BF3521" s="46">
        <v>0</v>
      </c>
      <c r="BH3521" s="46">
        <v>63342.493999999977</v>
      </c>
      <c r="BI3521">
        <v>7.37</v>
      </c>
      <c r="BJ3521">
        <v>-58182.056000000004</v>
      </c>
      <c r="BK3521">
        <v>-6.77</v>
      </c>
      <c r="BL3521">
        <v>-6786.55</v>
      </c>
    </row>
    <row r="3522" spans="1:64" x14ac:dyDescent="0.25">
      <c r="A3522" s="136">
        <v>43636</v>
      </c>
      <c r="B3522" t="s">
        <v>70</v>
      </c>
      <c r="C3522" t="s">
        <v>131</v>
      </c>
      <c r="D3522">
        <v>12680</v>
      </c>
      <c r="E3522">
        <v>12680</v>
      </c>
      <c r="F3522">
        <v>8.8369999999999997</v>
      </c>
      <c r="G3522">
        <v>-6045.59</v>
      </c>
      <c r="H3522">
        <v>-5.4</v>
      </c>
      <c r="I3522">
        <v>106004.8</v>
      </c>
      <c r="J3522">
        <v>8.36</v>
      </c>
      <c r="K3522" s="133">
        <v>0.20489392097599313</v>
      </c>
      <c r="L3522" s="181">
        <v>-9417.25</v>
      </c>
      <c r="M3522" s="133">
        <v>0.2165792846549327</v>
      </c>
      <c r="N3522" s="73">
        <v>-8107.3370000000432</v>
      </c>
      <c r="O3522" s="73">
        <v>-988.2052843292737</v>
      </c>
      <c r="P3522" s="182">
        <v>2</v>
      </c>
      <c r="Q3522" s="182">
        <v>2280</v>
      </c>
      <c r="R3522" s="46">
        <v>1.798</v>
      </c>
      <c r="S3522" s="46">
        <v>13</v>
      </c>
      <c r="T3522" s="46">
        <v>5200</v>
      </c>
      <c r="U3522" s="46">
        <v>10.492000000000001</v>
      </c>
      <c r="V3522" s="46" t="s">
        <v>68</v>
      </c>
      <c r="W3522" s="46">
        <v>2920</v>
      </c>
      <c r="X3522" s="46">
        <v>17.28</v>
      </c>
      <c r="AF3522" s="46">
        <v>173</v>
      </c>
      <c r="AG3522" s="46">
        <v>87700</v>
      </c>
      <c r="AH3522" s="46">
        <v>1057695</v>
      </c>
      <c r="AI3522" s="46">
        <v>12.06</v>
      </c>
      <c r="AJ3522" s="46">
        <v>179</v>
      </c>
      <c r="AK3522" s="46">
        <v>72100</v>
      </c>
      <c r="AL3522" s="46">
        <v>893986.22299999953</v>
      </c>
      <c r="AM3522" s="46">
        <v>12.398999999999999</v>
      </c>
      <c r="AN3522" s="46" t="s">
        <v>63</v>
      </c>
      <c r="AO3522" s="46">
        <v>15600</v>
      </c>
      <c r="AP3522" s="46">
        <v>163708.777</v>
      </c>
      <c r="AQ3522" s="46">
        <v>10.494</v>
      </c>
      <c r="AR3522" s="46">
        <v>24441.9</v>
      </c>
      <c r="AS3522" s="46">
        <v>175</v>
      </c>
      <c r="AT3522" s="46">
        <v>89980</v>
      </c>
      <c r="AU3522" s="46">
        <v>1062685</v>
      </c>
      <c r="AV3522" s="46">
        <v>11.81</v>
      </c>
      <c r="AW3522" s="46">
        <v>193</v>
      </c>
      <c r="AX3522" s="46">
        <v>77300</v>
      </c>
      <c r="AY3522" s="46">
        <v>948831.66299999959</v>
      </c>
      <c r="AZ3522" s="46">
        <v>12.275</v>
      </c>
      <c r="BA3522" s="46" t="s">
        <v>63</v>
      </c>
      <c r="BB3522" s="46">
        <v>12680</v>
      </c>
      <c r="BC3522" s="46">
        <v>113853.337</v>
      </c>
      <c r="BD3522" s="46">
        <v>8.9789999999999992</v>
      </c>
      <c r="BE3522" s="46">
        <v>35944.5</v>
      </c>
      <c r="BF3522" s="46">
        <v>4990</v>
      </c>
      <c r="BG3522" s="46">
        <v>2.19</v>
      </c>
      <c r="BH3522" s="46">
        <v>54845.440000000061</v>
      </c>
      <c r="BI3522">
        <v>10.55</v>
      </c>
      <c r="BJ3522">
        <v>-49855.44</v>
      </c>
      <c r="BK3522">
        <v>-17.07</v>
      </c>
      <c r="BL3522">
        <v>2923.67</v>
      </c>
    </row>
    <row r="3523" spans="1:64" x14ac:dyDescent="0.25">
      <c r="A3523" s="136">
        <v>43636</v>
      </c>
      <c r="B3523" t="s">
        <v>628</v>
      </c>
      <c r="C3523" t="s">
        <v>629</v>
      </c>
      <c r="D3523">
        <v>100</v>
      </c>
      <c r="E3523">
        <v>100</v>
      </c>
      <c r="F3523">
        <v>-22.369</v>
      </c>
      <c r="G3523">
        <v>3952.9</v>
      </c>
      <c r="H3523">
        <v>0</v>
      </c>
      <c r="I3523">
        <v>1716</v>
      </c>
      <c r="J3523">
        <v>17.16</v>
      </c>
      <c r="K3523" s="133">
        <v>3.3168117707387231E-3</v>
      </c>
      <c r="L3523" s="181">
        <v>606.90000000000009</v>
      </c>
      <c r="M3523" s="133">
        <v>0</v>
      </c>
    </row>
    <row r="3524" spans="1:64" x14ac:dyDescent="0.25">
      <c r="A3524" s="136">
        <v>43636</v>
      </c>
      <c r="B3524" t="s">
        <v>630</v>
      </c>
      <c r="C3524" t="s">
        <v>631</v>
      </c>
      <c r="D3524">
        <v>100</v>
      </c>
      <c r="E3524">
        <v>100</v>
      </c>
      <c r="F3524">
        <v>-94.6</v>
      </c>
      <c r="G3524">
        <v>12023</v>
      </c>
      <c r="H3524">
        <v>0</v>
      </c>
      <c r="I3524">
        <v>2563</v>
      </c>
      <c r="J3524">
        <v>25.63</v>
      </c>
      <c r="K3524" s="133">
        <v>4.9539560421930934E-3</v>
      </c>
      <c r="L3524" s="181">
        <v>61</v>
      </c>
      <c r="M3524" s="133">
        <v>0</v>
      </c>
    </row>
    <row r="3525" spans="1:64" x14ac:dyDescent="0.25">
      <c r="A3525" s="136">
        <v>43636</v>
      </c>
      <c r="B3525" t="s">
        <v>137</v>
      </c>
      <c r="C3525" t="s">
        <v>149</v>
      </c>
      <c r="D3525">
        <v>100</v>
      </c>
      <c r="E3525">
        <v>100</v>
      </c>
      <c r="F3525">
        <v>-130.86000000000001</v>
      </c>
      <c r="G3525">
        <v>16846</v>
      </c>
      <c r="H3525">
        <v>0</v>
      </c>
      <c r="I3525">
        <v>3760</v>
      </c>
      <c r="J3525">
        <v>37.6</v>
      </c>
      <c r="K3525" s="133">
        <v>7.2676062109426568E-3</v>
      </c>
      <c r="L3525" s="181">
        <v>419</v>
      </c>
      <c r="M3525" s="133">
        <v>0</v>
      </c>
    </row>
    <row r="3526" spans="1:64" x14ac:dyDescent="0.25">
      <c r="A3526" s="136">
        <v>43636</v>
      </c>
      <c r="B3526" t="s">
        <v>835</v>
      </c>
      <c r="C3526" t="s">
        <v>839</v>
      </c>
      <c r="I3526">
        <v>16504.7</v>
      </c>
      <c r="K3526" s="133">
        <v>3.1901505380251403E-2</v>
      </c>
      <c r="L3526" s="181">
        <v>0</v>
      </c>
      <c r="M3526" s="133">
        <v>3.2071598291571336E-2</v>
      </c>
    </row>
    <row r="3527" spans="1:64" x14ac:dyDescent="0.25">
      <c r="A3527" s="136">
        <v>43640</v>
      </c>
      <c r="B3527" t="s">
        <v>65</v>
      </c>
      <c r="C3527" t="s">
        <v>127</v>
      </c>
      <c r="D3527">
        <v>28000</v>
      </c>
      <c r="E3527">
        <v>28000</v>
      </c>
      <c r="F3527">
        <v>8.4019999999999992</v>
      </c>
      <c r="G3527">
        <v>-21347.62</v>
      </c>
      <c r="H3527">
        <v>-9.07</v>
      </c>
      <c r="I3527">
        <v>213920</v>
      </c>
      <c r="J3527">
        <v>7.64</v>
      </c>
      <c r="K3527" s="133">
        <v>0.39783582666349571</v>
      </c>
      <c r="L3527" s="181">
        <v>4279.91</v>
      </c>
      <c r="M3527" s="133">
        <v>0.43753687401763824</v>
      </c>
      <c r="N3527" s="73">
        <v>-25630.049000000115</v>
      </c>
      <c r="O3527" s="73">
        <v>-2792.9085408704518</v>
      </c>
      <c r="P3527" s="182">
        <v>7</v>
      </c>
      <c r="Q3527" s="182">
        <v>4500</v>
      </c>
      <c r="R3527" s="46">
        <v>8.3130000000000006</v>
      </c>
      <c r="S3527" s="46">
        <v>2</v>
      </c>
      <c r="T3527" s="46">
        <v>800</v>
      </c>
      <c r="U3527" s="46">
        <v>7.61</v>
      </c>
      <c r="V3527" s="46" t="s">
        <v>62</v>
      </c>
      <c r="W3527" s="46">
        <v>3700</v>
      </c>
      <c r="X3527" s="46">
        <v>8.4649999999999999</v>
      </c>
      <c r="AF3527" s="46">
        <v>246</v>
      </c>
      <c r="AG3527" s="46">
        <v>132800</v>
      </c>
      <c r="AH3527" s="46">
        <v>1400007.6810000001</v>
      </c>
      <c r="AI3527" s="46">
        <v>10.542</v>
      </c>
      <c r="AJ3527" s="46">
        <v>276</v>
      </c>
      <c r="AK3527" s="46">
        <v>117700</v>
      </c>
      <c r="AL3527" s="46">
        <v>1181767.7180000003</v>
      </c>
      <c r="AM3527" s="46">
        <v>10.041</v>
      </c>
      <c r="AN3527" s="46" t="s">
        <v>63</v>
      </c>
      <c r="AO3527" s="46">
        <v>15100</v>
      </c>
      <c r="AP3527" s="46">
        <v>218239.96299999999</v>
      </c>
      <c r="AQ3527" s="46">
        <v>14.452999999999999</v>
      </c>
      <c r="AR3527" s="46">
        <v>-58967.7</v>
      </c>
      <c r="AS3527" s="46">
        <v>254</v>
      </c>
      <c r="AT3527" s="46">
        <v>137400</v>
      </c>
      <c r="AU3527" s="46">
        <v>1438740.6810000001</v>
      </c>
      <c r="AV3527" s="46">
        <v>10.471</v>
      </c>
      <c r="AW3527" s="46">
        <v>278</v>
      </c>
      <c r="AX3527" s="46">
        <v>118500</v>
      </c>
      <c r="AY3527" s="46">
        <v>1187839.6300000001</v>
      </c>
      <c r="AZ3527" s="46">
        <v>10.023999999999999</v>
      </c>
      <c r="BA3527" s="46" t="s">
        <v>63</v>
      </c>
      <c r="BB3527" s="46">
        <v>18900</v>
      </c>
      <c r="BC3527" s="46">
        <v>250901.05100000001</v>
      </c>
      <c r="BD3527" s="46">
        <v>13.275</v>
      </c>
      <c r="BE3527" s="46">
        <v>-52969.5</v>
      </c>
      <c r="BF3527" s="46">
        <v>38733</v>
      </c>
      <c r="BG3527" s="46">
        <v>8.61</v>
      </c>
      <c r="BH3527" s="46">
        <v>6071.9119999997783</v>
      </c>
      <c r="BI3527">
        <v>7.59</v>
      </c>
      <c r="BJ3527">
        <v>32661.088000000018</v>
      </c>
      <c r="BK3527">
        <v>8.83</v>
      </c>
      <c r="BL3527">
        <v>-7718.29</v>
      </c>
    </row>
    <row r="3528" spans="1:64" x14ac:dyDescent="0.25">
      <c r="A3528" s="136">
        <v>43640</v>
      </c>
      <c r="B3528" t="s">
        <v>79</v>
      </c>
      <c r="C3528" t="s">
        <v>143</v>
      </c>
      <c r="D3528">
        <v>12320</v>
      </c>
      <c r="E3528">
        <v>12320</v>
      </c>
      <c r="F3528">
        <v>10.225</v>
      </c>
      <c r="G3528">
        <v>-29751.85</v>
      </c>
      <c r="H3528">
        <v>-23.62</v>
      </c>
      <c r="I3528">
        <v>96219.199999999997</v>
      </c>
      <c r="J3528">
        <v>7.81</v>
      </c>
      <c r="K3528" s="133">
        <v>0.17894280559508333</v>
      </c>
      <c r="L3528" s="181">
        <v>985.60000000000218</v>
      </c>
      <c r="M3528" s="133">
        <v>0.23427354530861325</v>
      </c>
      <c r="N3528" s="73">
        <v>-30635.476000000286</v>
      </c>
      <c r="O3528" s="73">
        <v>-3956.0927987080472</v>
      </c>
      <c r="P3528" s="182">
        <v>12</v>
      </c>
      <c r="Q3528" s="182">
        <v>8320</v>
      </c>
      <c r="R3528" s="46">
        <v>5.4939999999999998</v>
      </c>
      <c r="S3528" s="46">
        <v>0</v>
      </c>
      <c r="T3528" s="46">
        <v>0</v>
      </c>
      <c r="U3528" s="46">
        <v>0</v>
      </c>
      <c r="V3528" s="46" t="s">
        <v>62</v>
      </c>
      <c r="W3528" s="46">
        <v>8320</v>
      </c>
      <c r="X3528" s="46">
        <v>5.4939999999999998</v>
      </c>
      <c r="AF3528" s="46">
        <v>39</v>
      </c>
      <c r="AG3528" s="46">
        <v>20000</v>
      </c>
      <c r="AH3528" s="46">
        <v>278411.99999999977</v>
      </c>
      <c r="AI3528" s="46">
        <v>13.920999999999999</v>
      </c>
      <c r="AJ3528" s="46">
        <v>40</v>
      </c>
      <c r="AK3528" s="46">
        <v>16000</v>
      </c>
      <c r="AL3528" s="46">
        <v>198198.71599999975</v>
      </c>
      <c r="AM3528" s="46">
        <v>12.387</v>
      </c>
      <c r="AN3528" s="46" t="s">
        <v>63</v>
      </c>
      <c r="AO3528" s="46">
        <v>4000</v>
      </c>
      <c r="AP3528" s="46">
        <v>80213.284</v>
      </c>
      <c r="AQ3528" s="46">
        <v>20.053000000000001</v>
      </c>
      <c r="AR3528" s="46">
        <v>-24544</v>
      </c>
      <c r="AS3528" s="46">
        <v>51</v>
      </c>
      <c r="AT3528" s="46">
        <v>28320</v>
      </c>
      <c r="AU3528" s="46">
        <v>324190.99199999962</v>
      </c>
      <c r="AV3528" s="46">
        <v>11.446999999999999</v>
      </c>
      <c r="AW3528" s="46">
        <v>40</v>
      </c>
      <c r="AX3528" s="46">
        <v>16000</v>
      </c>
      <c r="AY3528" s="46">
        <v>198198.71599999975</v>
      </c>
      <c r="AZ3528" s="46">
        <v>12.387</v>
      </c>
      <c r="BA3528" s="46" t="s">
        <v>63</v>
      </c>
      <c r="BB3528" s="46">
        <v>12320</v>
      </c>
      <c r="BC3528" s="46">
        <v>125992.276</v>
      </c>
      <c r="BD3528" s="46">
        <v>10.227</v>
      </c>
      <c r="BE3528" s="46">
        <v>15040</v>
      </c>
      <c r="BF3528" s="46">
        <v>45778.991999999853</v>
      </c>
      <c r="BG3528" s="46">
        <v>5.5</v>
      </c>
      <c r="BH3528" s="46">
        <v>0</v>
      </c>
      <c r="BJ3528">
        <v>45778.991999999998</v>
      </c>
      <c r="BK3528">
        <v>5.5</v>
      </c>
      <c r="BL3528">
        <v>-3142.64</v>
      </c>
    </row>
    <row r="3529" spans="1:64" x14ac:dyDescent="0.25">
      <c r="A3529" s="136">
        <v>43640</v>
      </c>
      <c r="B3529" t="s">
        <v>70</v>
      </c>
      <c r="C3529" t="s">
        <v>131</v>
      </c>
      <c r="D3529">
        <v>10880</v>
      </c>
      <c r="E3529">
        <v>10880</v>
      </c>
      <c r="F3529">
        <v>8.7330000000000005</v>
      </c>
      <c r="G3529">
        <v>8670.93</v>
      </c>
      <c r="H3529">
        <v>9.1300000000000008</v>
      </c>
      <c r="I3529">
        <v>103686.39999999999</v>
      </c>
      <c r="J3529">
        <v>9.5299999999999994</v>
      </c>
      <c r="K3529" s="133">
        <v>0.19282986470531918</v>
      </c>
      <c r="L3529" s="181">
        <v>14716.52</v>
      </c>
      <c r="M3529" s="133">
        <v>0.17670417938140695</v>
      </c>
      <c r="N3529" s="73">
        <v>67102.89499999999</v>
      </c>
      <c r="O3529" s="73">
        <v>1487.1207909584946</v>
      </c>
      <c r="P3529" s="182">
        <v>1</v>
      </c>
      <c r="Q3529" s="182">
        <v>1780</v>
      </c>
      <c r="R3529" s="46">
        <v>0</v>
      </c>
      <c r="S3529" s="46">
        <v>16</v>
      </c>
      <c r="T3529" s="46">
        <v>6600</v>
      </c>
      <c r="U3529" s="46">
        <v>10.353999999999999</v>
      </c>
      <c r="V3529" s="46" t="s">
        <v>68</v>
      </c>
      <c r="W3529" s="46">
        <v>4820</v>
      </c>
      <c r="X3529" s="46">
        <v>14.178000000000001</v>
      </c>
      <c r="AF3529" s="46">
        <v>174</v>
      </c>
      <c r="AG3529" s="46">
        <v>88200</v>
      </c>
      <c r="AH3529" s="46">
        <v>1061800</v>
      </c>
      <c r="AI3529" s="46">
        <v>12.039</v>
      </c>
      <c r="AJ3529" s="46">
        <v>180</v>
      </c>
      <c r="AK3529" s="46">
        <v>72500</v>
      </c>
      <c r="AL3529" s="46">
        <v>897273.92699999956</v>
      </c>
      <c r="AM3529" s="46">
        <v>12.375999999999999</v>
      </c>
      <c r="AN3529" s="46" t="s">
        <v>63</v>
      </c>
      <c r="AO3529" s="46">
        <v>15700</v>
      </c>
      <c r="AP3529" s="46">
        <v>164526.073</v>
      </c>
      <c r="AQ3529" s="46">
        <v>10.478999999999999</v>
      </c>
      <c r="AR3529" s="46">
        <v>24432.5</v>
      </c>
      <c r="AS3529" s="46">
        <v>175</v>
      </c>
      <c r="AT3529" s="46">
        <v>89980</v>
      </c>
      <c r="AU3529" s="46">
        <v>1062685</v>
      </c>
      <c r="AV3529" s="46">
        <v>11.81</v>
      </c>
      <c r="AW3529" s="46">
        <v>197</v>
      </c>
      <c r="AX3529" s="46">
        <v>79100</v>
      </c>
      <c r="AY3529" s="46">
        <v>965866.59099999955</v>
      </c>
      <c r="AZ3529" s="46">
        <v>12.211</v>
      </c>
      <c r="BA3529" s="46" t="s">
        <v>63</v>
      </c>
      <c r="BB3529" s="46">
        <v>10880</v>
      </c>
      <c r="BC3529" s="46">
        <v>96818.409</v>
      </c>
      <c r="BD3529" s="46">
        <v>8.8989999999999991</v>
      </c>
      <c r="BE3529" s="46">
        <v>31719.1</v>
      </c>
      <c r="BF3529" s="46">
        <v>885</v>
      </c>
      <c r="BG3529" s="46">
        <v>0.5</v>
      </c>
      <c r="BH3529" s="46">
        <v>68592.66399999999</v>
      </c>
      <c r="BI3529">
        <v>10.39</v>
      </c>
      <c r="BJ3529">
        <v>-67707.664000000004</v>
      </c>
      <c r="BK3529">
        <v>-14.05</v>
      </c>
      <c r="BL3529">
        <v>2563.75</v>
      </c>
    </row>
    <row r="3530" spans="1:64" x14ac:dyDescent="0.25">
      <c r="A3530" s="136">
        <v>43640</v>
      </c>
      <c r="B3530" t="s">
        <v>132</v>
      </c>
      <c r="C3530" t="s">
        <v>123</v>
      </c>
      <c r="D3530">
        <v>4000001</v>
      </c>
      <c r="E3530">
        <v>8801</v>
      </c>
      <c r="F3530">
        <v>8.9999999999999993E-3</v>
      </c>
      <c r="G3530">
        <v>3998.86</v>
      </c>
      <c r="H3530">
        <v>11.11</v>
      </c>
      <c r="I3530">
        <v>40000.01</v>
      </c>
      <c r="J3530">
        <v>0.01</v>
      </c>
      <c r="K3530" s="133">
        <v>7.4389664570391242E-2</v>
      </c>
      <c r="L3530" s="181">
        <v>3.6600000000003092</v>
      </c>
      <c r="M3530" s="133">
        <v>0</v>
      </c>
    </row>
    <row r="3531" spans="1:64" x14ac:dyDescent="0.25">
      <c r="A3531" s="136">
        <v>43640</v>
      </c>
      <c r="B3531" t="s">
        <v>77</v>
      </c>
      <c r="C3531" t="s">
        <v>150</v>
      </c>
      <c r="D3531">
        <v>6600</v>
      </c>
      <c r="E3531">
        <v>6600</v>
      </c>
      <c r="F3531">
        <v>5.19</v>
      </c>
      <c r="G3531">
        <v>-7657.58</v>
      </c>
      <c r="H3531">
        <v>-22.36</v>
      </c>
      <c r="I3531">
        <v>26598</v>
      </c>
      <c r="J3531">
        <v>4.03</v>
      </c>
      <c r="K3531" s="133">
        <v>4.9465395089732883E-2</v>
      </c>
      <c r="L3531" s="181">
        <v>-132</v>
      </c>
      <c r="M3531" s="133">
        <v>6.3706511719977141E-2</v>
      </c>
      <c r="N3531" s="73">
        <v>-7832.525999999998</v>
      </c>
      <c r="O3531" s="73">
        <v>-1796.2891512254898</v>
      </c>
      <c r="P3531" s="182">
        <v>8</v>
      </c>
      <c r="Q3531" s="182">
        <v>4000</v>
      </c>
      <c r="R3531" s="46">
        <v>4.2549999999999999</v>
      </c>
      <c r="S3531" s="46">
        <v>0</v>
      </c>
      <c r="T3531" s="46">
        <v>0</v>
      </c>
      <c r="U3531" s="46">
        <v>0</v>
      </c>
      <c r="V3531" s="46" t="s">
        <v>62</v>
      </c>
      <c r="W3531" s="46">
        <v>4000</v>
      </c>
      <c r="X3531" s="46">
        <v>4.2549999999999999</v>
      </c>
      <c r="AF3531" s="46">
        <v>52</v>
      </c>
      <c r="AG3531" s="46">
        <v>26000</v>
      </c>
      <c r="AH3531" s="46">
        <v>177594</v>
      </c>
      <c r="AI3531" s="46">
        <v>6.8310000000000004</v>
      </c>
      <c r="AJ3531" s="46">
        <v>52</v>
      </c>
      <c r="AK3531" s="46">
        <v>23400</v>
      </c>
      <c r="AL3531" s="46">
        <v>160105.47400000005</v>
      </c>
      <c r="AM3531" s="46">
        <v>6.8419999999999996</v>
      </c>
      <c r="AN3531" s="46" t="s">
        <v>63</v>
      </c>
      <c r="AO3531" s="46">
        <v>2600</v>
      </c>
      <c r="AP3531" s="46">
        <v>17488.526000000002</v>
      </c>
      <c r="AQ3531" s="46">
        <v>6.726</v>
      </c>
      <c r="AR3531" s="46">
        <v>257.39999999999998</v>
      </c>
      <c r="AS3531" s="46">
        <v>60</v>
      </c>
      <c r="AT3531" s="46">
        <v>30000</v>
      </c>
      <c r="AU3531" s="46">
        <v>194366</v>
      </c>
      <c r="AV3531" s="46">
        <v>6.4790000000000001</v>
      </c>
      <c r="AW3531" s="46">
        <v>52</v>
      </c>
      <c r="AX3531" s="46">
        <v>23400</v>
      </c>
      <c r="AY3531" s="46">
        <v>160105.47400000005</v>
      </c>
      <c r="AZ3531" s="46">
        <v>6.8419999999999996</v>
      </c>
      <c r="BA3531" s="46" t="s">
        <v>63</v>
      </c>
      <c r="BB3531" s="46">
        <v>6600</v>
      </c>
      <c r="BC3531" s="46">
        <v>34260.525999999998</v>
      </c>
      <c r="BD3531" s="46">
        <v>5.1909999999999998</v>
      </c>
      <c r="BE3531" s="46">
        <v>8494.2000000000007</v>
      </c>
      <c r="BF3531" s="46">
        <v>16772</v>
      </c>
      <c r="BG3531" s="46">
        <v>4.1900000000000004</v>
      </c>
      <c r="BH3531" s="46">
        <v>0</v>
      </c>
      <c r="BJ3531">
        <v>16771.999999999996</v>
      </c>
      <c r="BK3531">
        <v>4.1900000000000004</v>
      </c>
      <c r="BL3531">
        <v>63.87</v>
      </c>
    </row>
    <row r="3532" spans="1:64" x14ac:dyDescent="0.25">
      <c r="A3532" s="136">
        <v>43640</v>
      </c>
      <c r="B3532" t="s">
        <v>71</v>
      </c>
      <c r="C3532" t="s">
        <v>126</v>
      </c>
      <c r="D3532">
        <v>3000</v>
      </c>
      <c r="E3532">
        <v>3000</v>
      </c>
      <c r="F3532">
        <v>5.25</v>
      </c>
      <c r="G3532">
        <v>2429.59</v>
      </c>
      <c r="H3532">
        <v>15.43</v>
      </c>
      <c r="I3532">
        <v>18180</v>
      </c>
      <c r="J3532">
        <v>6.06</v>
      </c>
      <c r="K3532" s="133">
        <v>3.3810094094719294E-2</v>
      </c>
      <c r="L3532" s="181">
        <v>30</v>
      </c>
      <c r="M3532" s="133">
        <v>2.9291685595732E-2</v>
      </c>
      <c r="N3532" s="73">
        <v>2864.5400000000063</v>
      </c>
      <c r="O3532" s="73">
        <v>399.51367458745989</v>
      </c>
      <c r="P3532" s="182">
        <v>0</v>
      </c>
      <c r="Q3532" s="182">
        <v>0</v>
      </c>
      <c r="R3532" s="46">
        <v>0</v>
      </c>
      <c r="S3532" s="46">
        <v>4</v>
      </c>
      <c r="T3532" s="46">
        <v>1500</v>
      </c>
      <c r="U3532" s="46">
        <v>6.5330000000000004</v>
      </c>
      <c r="V3532" s="46" t="s">
        <v>68</v>
      </c>
      <c r="W3532" s="46">
        <v>1500</v>
      </c>
      <c r="X3532" s="46">
        <v>6.5330000000000004</v>
      </c>
      <c r="AF3532" s="46">
        <v>56</v>
      </c>
      <c r="AG3532" s="46">
        <v>29100</v>
      </c>
      <c r="AH3532" s="46">
        <v>184288.42999999993</v>
      </c>
      <c r="AI3532" s="46">
        <v>6.3330000000000002</v>
      </c>
      <c r="AJ3532" s="46">
        <v>56</v>
      </c>
      <c r="AK3532" s="46">
        <v>24600</v>
      </c>
      <c r="AL3532" s="46">
        <v>158600.19399999999</v>
      </c>
      <c r="AM3532" s="46">
        <v>6.4470000000000001</v>
      </c>
      <c r="AN3532" s="46" t="s">
        <v>63</v>
      </c>
      <c r="AO3532" s="46">
        <v>4500</v>
      </c>
      <c r="AP3532" s="46">
        <v>25688.236000000001</v>
      </c>
      <c r="AQ3532" s="46">
        <v>5.7080000000000002</v>
      </c>
      <c r="AR3532" s="46">
        <v>2804.4</v>
      </c>
      <c r="AS3532" s="46">
        <v>56</v>
      </c>
      <c r="AT3532" s="46">
        <v>29100</v>
      </c>
      <c r="AU3532" s="46">
        <v>184288.42999999993</v>
      </c>
      <c r="AV3532" s="46">
        <v>6.3330000000000002</v>
      </c>
      <c r="AW3532" s="46">
        <v>60</v>
      </c>
      <c r="AX3532" s="46">
        <v>26100</v>
      </c>
      <c r="AY3532" s="46">
        <v>168369.49400000001</v>
      </c>
      <c r="AZ3532" s="46">
        <v>6.4509999999999996</v>
      </c>
      <c r="BA3532" s="46" t="s">
        <v>63</v>
      </c>
      <c r="BB3532" s="46">
        <v>3000</v>
      </c>
      <c r="BC3532" s="46">
        <v>15918.936</v>
      </c>
      <c r="BD3532" s="46">
        <v>5.306</v>
      </c>
      <c r="BE3532" s="46">
        <v>3079.8</v>
      </c>
      <c r="BF3532" s="46">
        <v>0</v>
      </c>
      <c r="BH3532" s="46">
        <v>9769.3000000000175</v>
      </c>
      <c r="BI3532">
        <v>6.51</v>
      </c>
      <c r="BJ3532">
        <v>-9769.3000000000011</v>
      </c>
      <c r="BK3532">
        <v>-6.51</v>
      </c>
      <c r="BL3532">
        <v>462.77</v>
      </c>
    </row>
    <row r="3533" spans="1:64" x14ac:dyDescent="0.25">
      <c r="A3533" s="136">
        <v>43640</v>
      </c>
      <c r="B3533" t="s">
        <v>61</v>
      </c>
      <c r="C3533" t="s">
        <v>136</v>
      </c>
      <c r="D3533">
        <v>2700</v>
      </c>
      <c r="E3533">
        <v>2700</v>
      </c>
      <c r="F3533">
        <v>4.7309999999999999</v>
      </c>
      <c r="G3533">
        <v>-595.57000000000005</v>
      </c>
      <c r="H3533">
        <v>-4.66</v>
      </c>
      <c r="I3533">
        <v>12177</v>
      </c>
      <c r="J3533">
        <v>4.51</v>
      </c>
      <c r="K3533" s="133">
        <v>2.2646067975324358E-2</v>
      </c>
      <c r="L3533" s="181">
        <v>108</v>
      </c>
      <c r="M3533" s="133">
        <v>2.3753674011627549E-2</v>
      </c>
      <c r="N3533" s="73">
        <v>-735.3010000000013</v>
      </c>
      <c r="O3533" s="73">
        <v>-164.78326221973123</v>
      </c>
      <c r="P3533" s="182">
        <v>1</v>
      </c>
      <c r="Q3533" s="182">
        <v>500</v>
      </c>
      <c r="R3533" s="46">
        <v>4.46</v>
      </c>
      <c r="S3533" s="46">
        <v>0</v>
      </c>
      <c r="T3533" s="46">
        <v>0</v>
      </c>
      <c r="U3533" s="46">
        <v>0</v>
      </c>
      <c r="V3533" s="46" t="s">
        <v>62</v>
      </c>
      <c r="W3533" s="46">
        <v>500</v>
      </c>
      <c r="X3533" s="46">
        <v>4.46</v>
      </c>
      <c r="AF3533" s="46">
        <v>23</v>
      </c>
      <c r="AG3533" s="46">
        <v>11500</v>
      </c>
      <c r="AH3533" s="46">
        <v>56886.900000000009</v>
      </c>
      <c r="AI3533" s="46">
        <v>4.9470000000000001</v>
      </c>
      <c r="AJ3533" s="46">
        <v>23</v>
      </c>
      <c r="AK3533" s="46">
        <v>9300</v>
      </c>
      <c r="AL3533" s="46">
        <v>46074.89899999999</v>
      </c>
      <c r="AM3533" s="46">
        <v>4.9539999999999997</v>
      </c>
      <c r="AN3533" s="46" t="s">
        <v>63</v>
      </c>
      <c r="AO3533" s="46">
        <v>2200</v>
      </c>
      <c r="AP3533" s="46">
        <v>10812.001</v>
      </c>
      <c r="AQ3533" s="46">
        <v>4.915</v>
      </c>
      <c r="AR3533" s="46">
        <v>65.099999999999994</v>
      </c>
      <c r="AS3533" s="46">
        <v>24</v>
      </c>
      <c r="AT3533" s="46">
        <v>12000</v>
      </c>
      <c r="AU3533" s="46">
        <v>58852.200000000012</v>
      </c>
      <c r="AV3533" s="46">
        <v>4.9039999999999999</v>
      </c>
      <c r="AW3533" s="46">
        <v>23</v>
      </c>
      <c r="AX3533" s="46">
        <v>9300</v>
      </c>
      <c r="AY3533" s="46">
        <v>46074.89899999999</v>
      </c>
      <c r="AZ3533" s="46">
        <v>4.9539999999999997</v>
      </c>
      <c r="BA3533" s="46" t="s">
        <v>63</v>
      </c>
      <c r="BB3533" s="46">
        <v>2700</v>
      </c>
      <c r="BC3533" s="46">
        <v>12777.300999999999</v>
      </c>
      <c r="BD3533" s="46">
        <v>4.7320000000000002</v>
      </c>
      <c r="BE3533" s="46">
        <v>465</v>
      </c>
      <c r="BF3533" s="46">
        <v>1965.3000000000029</v>
      </c>
      <c r="BG3533" s="46">
        <v>3.93</v>
      </c>
      <c r="BH3533" s="46">
        <v>0</v>
      </c>
      <c r="BJ3533">
        <v>1965.2999999999993</v>
      </c>
      <c r="BK3533">
        <v>3.93</v>
      </c>
      <c r="BL3533">
        <v>14.43</v>
      </c>
    </row>
    <row r="3534" spans="1:64" x14ac:dyDescent="0.25">
      <c r="A3534" s="136">
        <v>43640</v>
      </c>
      <c r="B3534" t="s">
        <v>67</v>
      </c>
      <c r="C3534" t="s">
        <v>129</v>
      </c>
      <c r="D3534">
        <v>1530</v>
      </c>
      <c r="E3534">
        <v>1530</v>
      </c>
      <c r="F3534">
        <v>3.8849999999999998</v>
      </c>
      <c r="G3534">
        <v>4643.46</v>
      </c>
      <c r="H3534">
        <v>78.12</v>
      </c>
      <c r="I3534">
        <v>10587.6</v>
      </c>
      <c r="J3534">
        <v>6.92</v>
      </c>
      <c r="K3534" s="133">
        <v>1.9690195392588011E-2</v>
      </c>
      <c r="L3534" s="181">
        <v>371.89999999999964</v>
      </c>
      <c r="M3534" s="133">
        <v>1.1054561755345697E-2</v>
      </c>
      <c r="N3534" s="73">
        <v>4653.9514999999592</v>
      </c>
      <c r="O3534" s="73">
        <v>671.23009007936253</v>
      </c>
      <c r="P3534" s="182">
        <v>1</v>
      </c>
      <c r="Q3534" s="182">
        <v>30</v>
      </c>
      <c r="R3534" s="46">
        <v>0</v>
      </c>
      <c r="S3534" s="46">
        <v>22</v>
      </c>
      <c r="T3534" s="46">
        <v>8800</v>
      </c>
      <c r="U3534" s="46">
        <v>8.7729999999999997</v>
      </c>
      <c r="V3534" s="46" t="s">
        <v>68</v>
      </c>
      <c r="W3534" s="46">
        <v>8770</v>
      </c>
      <c r="X3534" s="46">
        <v>8.8030000000000008</v>
      </c>
      <c r="AF3534" s="46">
        <v>198</v>
      </c>
      <c r="AG3534" s="46">
        <v>98000</v>
      </c>
      <c r="AH3534" s="46">
        <v>812443</v>
      </c>
      <c r="AI3534" s="46">
        <v>8.2899999999999991</v>
      </c>
      <c r="AJ3534" s="46">
        <v>202</v>
      </c>
      <c r="AK3534" s="46">
        <v>90300</v>
      </c>
      <c r="AL3534" s="46">
        <v>798337.36750000017</v>
      </c>
      <c r="AM3534" s="46">
        <v>8.8409999999999993</v>
      </c>
      <c r="AN3534" s="46" t="s">
        <v>63</v>
      </c>
      <c r="AO3534" s="46">
        <v>7700</v>
      </c>
      <c r="AP3534" s="46">
        <v>14105.632</v>
      </c>
      <c r="AQ3534" s="46">
        <v>1.8320000000000001</v>
      </c>
      <c r="AR3534" s="46">
        <v>49755.3</v>
      </c>
      <c r="AS3534" s="46">
        <v>199</v>
      </c>
      <c r="AT3534" s="46">
        <v>98030</v>
      </c>
      <c r="AU3534" s="46">
        <v>812448</v>
      </c>
      <c r="AV3534" s="46">
        <v>8.2880000000000003</v>
      </c>
      <c r="AW3534" s="46">
        <v>224</v>
      </c>
      <c r="AX3534" s="46">
        <v>99100</v>
      </c>
      <c r="AY3534" s="46">
        <v>875627.16750000021</v>
      </c>
      <c r="AZ3534" s="46">
        <v>8.8360000000000003</v>
      </c>
      <c r="BA3534" s="46" t="s">
        <v>69</v>
      </c>
      <c r="BB3534" s="46">
        <v>1070</v>
      </c>
      <c r="BC3534" s="46">
        <v>63179.167999999998</v>
      </c>
      <c r="BD3534" s="46">
        <v>59.045999999999999</v>
      </c>
      <c r="BE3534" s="46">
        <v>53720.44</v>
      </c>
      <c r="BF3534" s="46">
        <v>5</v>
      </c>
      <c r="BG3534" s="46">
        <v>0.17</v>
      </c>
      <c r="BH3534" s="46">
        <v>77289.800000000047</v>
      </c>
      <c r="BI3534">
        <v>8.7799999999999994</v>
      </c>
      <c r="BJ3534">
        <v>49073.536</v>
      </c>
      <c r="BK3534">
        <v>5.6</v>
      </c>
      <c r="BL3534">
        <v>7190.07</v>
      </c>
    </row>
    <row r="3535" spans="1:64" x14ac:dyDescent="0.25">
      <c r="A3535" s="136">
        <v>43640</v>
      </c>
      <c r="B3535" t="s">
        <v>78</v>
      </c>
      <c r="C3535" t="s">
        <v>142</v>
      </c>
      <c r="D3535">
        <v>200</v>
      </c>
      <c r="E3535">
        <v>200</v>
      </c>
      <c r="F3535">
        <v>1.9870000000000001</v>
      </c>
      <c r="G3535">
        <v>1462.65</v>
      </c>
      <c r="H3535">
        <v>368.05</v>
      </c>
      <c r="I3535">
        <v>1860</v>
      </c>
      <c r="J3535">
        <v>9.3000000000000007</v>
      </c>
      <c r="K3535" s="133">
        <v>3.4591185377435582E-3</v>
      </c>
      <c r="L3535" s="181">
        <v>-16</v>
      </c>
      <c r="M3535" s="133">
        <v>7.3896814568408741E-4</v>
      </c>
      <c r="N3535" s="73">
        <v>1472.650999999996</v>
      </c>
      <c r="O3535" s="73">
        <v>157.42402935828835</v>
      </c>
      <c r="P3535" s="182">
        <v>0</v>
      </c>
      <c r="Q3535" s="182">
        <v>0</v>
      </c>
      <c r="R3535" s="46">
        <v>0</v>
      </c>
      <c r="S3535" s="46">
        <v>3</v>
      </c>
      <c r="T3535" s="46">
        <v>1200</v>
      </c>
      <c r="U3535" s="46">
        <v>9.923</v>
      </c>
      <c r="V3535" s="46" t="s">
        <v>68</v>
      </c>
      <c r="W3535" s="46">
        <v>1200</v>
      </c>
      <c r="X3535" s="46">
        <v>9.923</v>
      </c>
      <c r="AF3535" s="46">
        <v>14</v>
      </c>
      <c r="AG3535" s="46">
        <v>7000</v>
      </c>
      <c r="AH3535" s="46">
        <v>67625</v>
      </c>
      <c r="AI3535" s="46">
        <v>9.6609999999999996</v>
      </c>
      <c r="AJ3535" s="46">
        <v>15</v>
      </c>
      <c r="AK3535" s="46">
        <v>5600</v>
      </c>
      <c r="AL3535" s="46">
        <v>55310.559000000008</v>
      </c>
      <c r="AM3535" s="46">
        <v>9.8770000000000007</v>
      </c>
      <c r="AN3535" s="46" t="s">
        <v>63</v>
      </c>
      <c r="AO3535" s="46">
        <v>1400</v>
      </c>
      <c r="AP3535" s="46">
        <v>12314.441000000001</v>
      </c>
      <c r="AQ3535" s="46">
        <v>8.7959999999999994</v>
      </c>
      <c r="AR3535" s="46">
        <v>1209.5999999999999</v>
      </c>
      <c r="AS3535" s="46">
        <v>14</v>
      </c>
      <c r="AT3535" s="46">
        <v>7000</v>
      </c>
      <c r="AU3535" s="46">
        <v>67625</v>
      </c>
      <c r="AV3535" s="46">
        <v>9.6609999999999996</v>
      </c>
      <c r="AW3535" s="46">
        <v>18</v>
      </c>
      <c r="AX3535" s="46">
        <v>6800</v>
      </c>
      <c r="AY3535" s="46">
        <v>67227.651000000013</v>
      </c>
      <c r="AZ3535" s="46">
        <v>9.8859999999999992</v>
      </c>
      <c r="BA3535" s="46" t="s">
        <v>63</v>
      </c>
      <c r="BB3535" s="46">
        <v>200</v>
      </c>
      <c r="BC3535" s="46">
        <v>397.34899999999999</v>
      </c>
      <c r="BD3535" s="46">
        <v>1.9870000000000001</v>
      </c>
      <c r="BE3535" s="46">
        <v>1530</v>
      </c>
      <c r="BF3535" s="46">
        <v>0</v>
      </c>
      <c r="BH3535" s="46">
        <v>11917.092000000004</v>
      </c>
      <c r="BI3535">
        <v>9.93</v>
      </c>
      <c r="BJ3535">
        <v>-11917.092000000001</v>
      </c>
      <c r="BK3535">
        <v>-9.93</v>
      </c>
      <c r="BL3535">
        <v>130.06</v>
      </c>
    </row>
    <row r="3536" spans="1:64" x14ac:dyDescent="0.25">
      <c r="A3536" s="136">
        <v>43640</v>
      </c>
      <c r="B3536" t="s">
        <v>137</v>
      </c>
      <c r="C3536" t="s">
        <v>149</v>
      </c>
      <c r="D3536">
        <v>150</v>
      </c>
      <c r="E3536">
        <v>150</v>
      </c>
      <c r="F3536">
        <v>-87.406999999999996</v>
      </c>
      <c r="G3536">
        <v>16780.05</v>
      </c>
      <c r="H3536">
        <v>0</v>
      </c>
      <c r="I3536">
        <v>3669</v>
      </c>
      <c r="J3536">
        <v>24.46</v>
      </c>
      <c r="K3536" s="133">
        <v>6.8233902768715677E-3</v>
      </c>
      <c r="L3536" s="181">
        <v>-65.950000000000728</v>
      </c>
      <c r="M3536" s="133">
        <v>0</v>
      </c>
    </row>
    <row r="3537" spans="1:64" x14ac:dyDescent="0.25">
      <c r="A3537" s="136">
        <v>43640</v>
      </c>
      <c r="B3537" t="s">
        <v>124</v>
      </c>
      <c r="C3537" t="s">
        <v>125</v>
      </c>
      <c r="D3537">
        <v>100</v>
      </c>
      <c r="E3537">
        <v>100</v>
      </c>
      <c r="F3537">
        <v>-53.82</v>
      </c>
      <c r="G3537">
        <v>5970</v>
      </c>
      <c r="H3537">
        <v>0</v>
      </c>
      <c r="I3537">
        <v>588</v>
      </c>
      <c r="J3537">
        <v>5.88</v>
      </c>
      <c r="K3537" s="133">
        <v>1.0935277958028023E-3</v>
      </c>
      <c r="L3537" s="181">
        <v>4</v>
      </c>
      <c r="M3537" s="133">
        <v>0</v>
      </c>
      <c r="N3537" s="73">
        <v>5573.0690000000113</v>
      </c>
      <c r="O3537" s="73">
        <v>1102.4501845505636</v>
      </c>
      <c r="P3537" s="182">
        <v>0</v>
      </c>
      <c r="Q3537" s="182">
        <v>0</v>
      </c>
      <c r="R3537" s="46">
        <v>0</v>
      </c>
      <c r="S3537" s="46">
        <v>5</v>
      </c>
      <c r="T3537" s="46">
        <v>2300</v>
      </c>
      <c r="U3537" s="46">
        <v>4.99</v>
      </c>
      <c r="V3537" s="46" t="s">
        <v>68</v>
      </c>
      <c r="W3537" s="46">
        <v>2300</v>
      </c>
      <c r="X3537" s="46">
        <v>4.99</v>
      </c>
      <c r="AF3537" s="46">
        <v>50</v>
      </c>
      <c r="AG3537" s="46">
        <v>36700</v>
      </c>
      <c r="AH3537" s="46">
        <v>180101.02000000002</v>
      </c>
      <c r="AI3537" s="46">
        <v>4.907</v>
      </c>
      <c r="AJ3537" s="46">
        <v>58</v>
      </c>
      <c r="AK3537" s="46">
        <v>35300</v>
      </c>
      <c r="AL3537" s="46">
        <v>178266.546</v>
      </c>
      <c r="AM3537" s="46">
        <v>5.05</v>
      </c>
      <c r="AN3537" s="46" t="s">
        <v>63</v>
      </c>
      <c r="AO3537" s="46">
        <v>1400</v>
      </c>
      <c r="AP3537" s="46">
        <v>1834.4739999999999</v>
      </c>
      <c r="AQ3537" s="46">
        <v>1.31</v>
      </c>
      <c r="AR3537" s="46">
        <v>5047.8999999999996</v>
      </c>
      <c r="AS3537" s="46">
        <v>51</v>
      </c>
      <c r="AT3537" s="46">
        <v>37700</v>
      </c>
      <c r="AU3537" s="46">
        <v>185106.62</v>
      </c>
      <c r="AV3537" s="46">
        <v>4.91</v>
      </c>
      <c r="AW3537" s="46">
        <v>63</v>
      </c>
      <c r="AX3537" s="46">
        <v>37600</v>
      </c>
      <c r="AY3537" s="46">
        <v>189713.68900000001</v>
      </c>
      <c r="AZ3537" s="46">
        <v>5.0460000000000003</v>
      </c>
      <c r="BA3537" s="46" t="s">
        <v>63</v>
      </c>
      <c r="BB3537" s="46">
        <v>100</v>
      </c>
      <c r="BC3537" s="46">
        <v>4607.0690000000004</v>
      </c>
      <c r="BD3537" s="46">
        <v>46.070999999999998</v>
      </c>
      <c r="BE3537" s="46">
        <v>5113.6000000000004</v>
      </c>
      <c r="BF3537" s="46">
        <v>5005.5999999999767</v>
      </c>
      <c r="BH3537" s="46">
        <v>11447.143000000011</v>
      </c>
      <c r="BI3537">
        <v>4.9800000000000004</v>
      </c>
      <c r="BJ3537">
        <v>2772.5950000000003</v>
      </c>
      <c r="BK3537">
        <v>1.21</v>
      </c>
      <c r="BL3537">
        <v>858.49</v>
      </c>
    </row>
    <row r="3538" spans="1:64" x14ac:dyDescent="0.25">
      <c r="A3538" s="136">
        <v>43640</v>
      </c>
      <c r="B3538" t="s">
        <v>72</v>
      </c>
      <c r="C3538" t="s">
        <v>130</v>
      </c>
      <c r="D3538">
        <v>100</v>
      </c>
      <c r="E3538">
        <v>100</v>
      </c>
      <c r="F3538">
        <v>-18.477</v>
      </c>
      <c r="G3538">
        <v>2477.6999999999998</v>
      </c>
      <c r="H3538">
        <v>0</v>
      </c>
      <c r="I3538">
        <v>630</v>
      </c>
      <c r="J3538">
        <v>6.3</v>
      </c>
      <c r="K3538" s="133">
        <v>1.1716369240744311E-3</v>
      </c>
      <c r="L3538" s="181">
        <v>-39</v>
      </c>
      <c r="M3538" s="133">
        <v>0</v>
      </c>
      <c r="N3538" s="73">
        <v>-1498.9659999999872</v>
      </c>
      <c r="O3538" s="73">
        <v>376.42007904191922</v>
      </c>
      <c r="P3538" s="182">
        <v>0</v>
      </c>
      <c r="Q3538" s="182">
        <v>0</v>
      </c>
      <c r="R3538" s="46">
        <v>0</v>
      </c>
      <c r="S3538" s="46">
        <v>20</v>
      </c>
      <c r="T3538" s="46">
        <v>8600</v>
      </c>
      <c r="U3538" s="46">
        <v>7.3840000000000003</v>
      </c>
      <c r="V3538" s="46" t="s">
        <v>68</v>
      </c>
      <c r="W3538" s="46">
        <v>8600</v>
      </c>
      <c r="X3538" s="46">
        <v>7.3840000000000003</v>
      </c>
      <c r="AF3538" s="46">
        <v>42</v>
      </c>
      <c r="AG3538" s="46">
        <v>20900</v>
      </c>
      <c r="AH3538" s="46">
        <v>152800</v>
      </c>
      <c r="AI3538" s="46">
        <v>7.3109999999999999</v>
      </c>
      <c r="AJ3538" s="46">
        <v>42</v>
      </c>
      <c r="AK3538" s="46">
        <v>18800</v>
      </c>
      <c r="AL3538" s="46">
        <v>92037.725000000035</v>
      </c>
      <c r="AM3538" s="46">
        <v>4.8959999999999999</v>
      </c>
      <c r="AN3538" s="46" t="s">
        <v>63</v>
      </c>
      <c r="AO3538" s="46">
        <v>2100</v>
      </c>
      <c r="AP3538" s="46">
        <v>60762.275000000001</v>
      </c>
      <c r="AQ3538" s="46">
        <v>28.934000000000001</v>
      </c>
      <c r="AR3538" s="46">
        <v>-45402</v>
      </c>
      <c r="AS3538" s="46">
        <v>42</v>
      </c>
      <c r="AT3538" s="46">
        <v>20900</v>
      </c>
      <c r="AU3538" s="46">
        <v>152800</v>
      </c>
      <c r="AV3538" s="46">
        <v>7.3109999999999999</v>
      </c>
      <c r="AW3538" s="46">
        <v>63</v>
      </c>
      <c r="AX3538" s="46">
        <v>27900</v>
      </c>
      <c r="AY3538" s="46">
        <v>155380.21900000001</v>
      </c>
      <c r="AZ3538" s="46">
        <v>5.569</v>
      </c>
      <c r="BA3538" s="46" t="s">
        <v>69</v>
      </c>
      <c r="BB3538" s="46">
        <v>7000</v>
      </c>
      <c r="BC3538" s="46">
        <v>2580.2190000000001</v>
      </c>
      <c r="BD3538" s="46">
        <v>0.36899999999999999</v>
      </c>
      <c r="BE3538" s="46">
        <v>-36407.800000000003</v>
      </c>
      <c r="BF3538" s="46">
        <v>0</v>
      </c>
      <c r="BH3538" s="46">
        <v>63342.493999999977</v>
      </c>
      <c r="BI3538">
        <v>7.37</v>
      </c>
      <c r="BJ3538">
        <v>-58182.056000000004</v>
      </c>
      <c r="BK3538">
        <v>-6.77</v>
      </c>
      <c r="BL3538">
        <v>-7206.67</v>
      </c>
    </row>
    <row r="3539" spans="1:64" x14ac:dyDescent="0.25">
      <c r="A3539" s="136">
        <v>43640</v>
      </c>
      <c r="B3539" t="s">
        <v>628</v>
      </c>
      <c r="C3539" t="s">
        <v>629</v>
      </c>
      <c r="D3539">
        <v>100</v>
      </c>
      <c r="E3539">
        <v>100</v>
      </c>
      <c r="F3539">
        <v>-22.369</v>
      </c>
      <c r="G3539">
        <v>4186.8999999999996</v>
      </c>
      <c r="H3539">
        <v>0</v>
      </c>
      <c r="I3539">
        <v>1950</v>
      </c>
      <c r="J3539">
        <v>19.5</v>
      </c>
      <c r="K3539" s="133">
        <v>3.6264952411827625E-3</v>
      </c>
      <c r="L3539" s="181">
        <v>233.99999999999955</v>
      </c>
      <c r="M3539" s="133">
        <v>0</v>
      </c>
    </row>
    <row r="3540" spans="1:64" x14ac:dyDescent="0.25">
      <c r="A3540" s="136">
        <v>43640</v>
      </c>
      <c r="B3540" t="s">
        <v>630</v>
      </c>
      <c r="C3540" t="s">
        <v>631</v>
      </c>
      <c r="D3540">
        <v>100</v>
      </c>
      <c r="E3540">
        <v>100</v>
      </c>
      <c r="F3540">
        <v>-94.6</v>
      </c>
      <c r="G3540">
        <v>11924</v>
      </c>
      <c r="H3540">
        <v>0</v>
      </c>
      <c r="I3540">
        <v>2464</v>
      </c>
      <c r="J3540">
        <v>24.64</v>
      </c>
      <c r="K3540" s="133">
        <v>4.5824021919355527E-3</v>
      </c>
      <c r="L3540" s="181">
        <v>-99</v>
      </c>
      <c r="M3540" s="133">
        <v>0</v>
      </c>
    </row>
    <row r="3541" spans="1:64" x14ac:dyDescent="0.25">
      <c r="A3541" s="136">
        <v>43640</v>
      </c>
      <c r="B3541" t="s">
        <v>835</v>
      </c>
      <c r="C3541" t="s">
        <v>839</v>
      </c>
      <c r="I3541">
        <v>5180.03</v>
      </c>
      <c r="K3541" s="133">
        <v>9.6335149457353574E-3</v>
      </c>
      <c r="L3541" s="181">
        <v>0</v>
      </c>
      <c r="M3541" s="133">
        <v>8.4023179516126603E-2</v>
      </c>
    </row>
    <row r="3542" spans="1:64" x14ac:dyDescent="0.25">
      <c r="A3542" s="136">
        <v>43642</v>
      </c>
      <c r="B3542" t="s">
        <v>132</v>
      </c>
      <c r="C3542" t="s">
        <v>123</v>
      </c>
      <c r="D3542">
        <v>3200220</v>
      </c>
      <c r="E3542">
        <v>3200220</v>
      </c>
      <c r="F3542">
        <v>8.9999999999999993E-3</v>
      </c>
      <c r="G3542">
        <v>4001.05</v>
      </c>
      <c r="H3542">
        <v>11.11</v>
      </c>
      <c r="I3542">
        <v>32002.2</v>
      </c>
      <c r="J3542">
        <v>0.01</v>
      </c>
      <c r="K3542" s="133">
        <v>6.0180365079772515E-2</v>
      </c>
      <c r="L3542" s="181">
        <v>2.1900000000000546</v>
      </c>
      <c r="M3542" s="133">
        <v>0</v>
      </c>
    </row>
    <row r="3543" spans="1:64" x14ac:dyDescent="0.25">
      <c r="A3543" s="136">
        <v>43642</v>
      </c>
      <c r="B3543" t="s">
        <v>61</v>
      </c>
      <c r="C3543" t="s">
        <v>136</v>
      </c>
      <c r="D3543">
        <v>2700</v>
      </c>
      <c r="E3543">
        <v>2700</v>
      </c>
      <c r="F3543">
        <v>4.7309999999999999</v>
      </c>
      <c r="G3543">
        <v>-757.57</v>
      </c>
      <c r="H3543">
        <v>-5.93</v>
      </c>
      <c r="I3543">
        <v>12015</v>
      </c>
      <c r="J3543">
        <v>4.45</v>
      </c>
      <c r="K3543" s="133">
        <v>2.2594293093395664E-2</v>
      </c>
      <c r="L3543" s="181">
        <v>-162</v>
      </c>
      <c r="M3543" s="133">
        <v>2.4018908875232017E-2</v>
      </c>
      <c r="N3543" s="73">
        <v>-735.3010000000013</v>
      </c>
      <c r="O3543" s="73">
        <v>-164.78326221973123</v>
      </c>
      <c r="P3543" s="182">
        <v>1</v>
      </c>
      <c r="Q3543" s="182">
        <v>500</v>
      </c>
      <c r="R3543" s="46">
        <v>4.46</v>
      </c>
      <c r="S3543" s="46">
        <v>0</v>
      </c>
      <c r="T3543" s="46">
        <v>0</v>
      </c>
      <c r="U3543" s="46">
        <v>0</v>
      </c>
      <c r="V3543" s="46" t="s">
        <v>62</v>
      </c>
      <c r="W3543" s="46">
        <v>500</v>
      </c>
      <c r="X3543" s="46">
        <v>4.46</v>
      </c>
      <c r="AF3543" s="46">
        <v>23</v>
      </c>
      <c r="AG3543" s="46">
        <v>11500</v>
      </c>
      <c r="AH3543" s="46">
        <v>56886.900000000009</v>
      </c>
      <c r="AI3543" s="46">
        <v>4.9470000000000001</v>
      </c>
      <c r="AJ3543" s="46">
        <v>23</v>
      </c>
      <c r="AK3543" s="46">
        <v>9300</v>
      </c>
      <c r="AL3543" s="46">
        <v>46074.89899999999</v>
      </c>
      <c r="AM3543" s="46">
        <v>4.9539999999999997</v>
      </c>
      <c r="AN3543" s="46" t="s">
        <v>63</v>
      </c>
      <c r="AO3543" s="46">
        <v>2200</v>
      </c>
      <c r="AP3543" s="46">
        <v>10812.001</v>
      </c>
      <c r="AQ3543" s="46">
        <v>4.915</v>
      </c>
      <c r="AR3543" s="46">
        <v>65.099999999999994</v>
      </c>
      <c r="AS3543" s="46">
        <v>24</v>
      </c>
      <c r="AT3543" s="46">
        <v>12000</v>
      </c>
      <c r="AU3543" s="46">
        <v>58852.200000000012</v>
      </c>
      <c r="AV3543" s="46">
        <v>4.9039999999999999</v>
      </c>
      <c r="AW3543" s="46">
        <v>23</v>
      </c>
      <c r="AX3543" s="46">
        <v>9300</v>
      </c>
      <c r="AY3543" s="46">
        <v>46074.89899999999</v>
      </c>
      <c r="AZ3543" s="46">
        <v>4.9539999999999997</v>
      </c>
      <c r="BA3543" s="46" t="s">
        <v>63</v>
      </c>
      <c r="BB3543" s="46">
        <v>2700</v>
      </c>
      <c r="BC3543" s="46">
        <v>12777.300999999999</v>
      </c>
      <c r="BD3543" s="46">
        <v>4.7320000000000002</v>
      </c>
      <c r="BE3543" s="46">
        <v>465</v>
      </c>
      <c r="BF3543" s="46">
        <v>1965.3000000000029</v>
      </c>
      <c r="BG3543" s="46">
        <v>3.93</v>
      </c>
      <c r="BH3543" s="46">
        <v>0</v>
      </c>
      <c r="BJ3543">
        <v>1965.2999999999993</v>
      </c>
      <c r="BK3543">
        <v>3.93</v>
      </c>
      <c r="BL3543">
        <v>14.63</v>
      </c>
    </row>
    <row r="3544" spans="1:64" x14ac:dyDescent="0.25">
      <c r="A3544" s="136">
        <v>43642</v>
      </c>
      <c r="B3544" t="s">
        <v>124</v>
      </c>
      <c r="C3544" t="s">
        <v>125</v>
      </c>
      <c r="D3544">
        <v>100</v>
      </c>
      <c r="E3544">
        <v>100</v>
      </c>
      <c r="F3544">
        <v>-53.82</v>
      </c>
      <c r="G3544">
        <v>5966</v>
      </c>
      <c r="H3544">
        <v>0</v>
      </c>
      <c r="I3544">
        <v>584</v>
      </c>
      <c r="J3544">
        <v>5.84</v>
      </c>
      <c r="K3544" s="133">
        <v>1.0982161603448246E-3</v>
      </c>
      <c r="L3544" s="181">
        <v>-4</v>
      </c>
      <c r="M3544" s="133">
        <v>0</v>
      </c>
      <c r="N3544" s="73">
        <v>5573.0690000000113</v>
      </c>
      <c r="O3544" s="73">
        <v>1102.4501845505636</v>
      </c>
      <c r="P3544" s="182">
        <v>0</v>
      </c>
      <c r="Q3544" s="182">
        <v>0</v>
      </c>
      <c r="R3544" s="46">
        <v>0</v>
      </c>
      <c r="S3544" s="46">
        <v>5</v>
      </c>
      <c r="T3544" s="46">
        <v>2300</v>
      </c>
      <c r="U3544" s="46">
        <v>4.99</v>
      </c>
      <c r="V3544" s="46" t="s">
        <v>68</v>
      </c>
      <c r="W3544" s="46">
        <v>2300</v>
      </c>
      <c r="X3544" s="46">
        <v>4.99</v>
      </c>
      <c r="AF3544" s="46">
        <v>50</v>
      </c>
      <c r="AG3544" s="46">
        <v>36700</v>
      </c>
      <c r="AH3544" s="46">
        <v>180101.02000000002</v>
      </c>
      <c r="AI3544" s="46">
        <v>4.907</v>
      </c>
      <c r="AJ3544" s="46">
        <v>58</v>
      </c>
      <c r="AK3544" s="46">
        <v>35300</v>
      </c>
      <c r="AL3544" s="46">
        <v>178266.546</v>
      </c>
      <c r="AM3544" s="46">
        <v>5.05</v>
      </c>
      <c r="AN3544" s="46" t="s">
        <v>63</v>
      </c>
      <c r="AO3544" s="46">
        <v>1400</v>
      </c>
      <c r="AP3544" s="46">
        <v>1834.4739999999999</v>
      </c>
      <c r="AQ3544" s="46">
        <v>1.31</v>
      </c>
      <c r="AR3544" s="46">
        <v>5047.8999999999996</v>
      </c>
      <c r="AS3544" s="46">
        <v>51</v>
      </c>
      <c r="AT3544" s="46">
        <v>37700</v>
      </c>
      <c r="AU3544" s="46">
        <v>185106.62</v>
      </c>
      <c r="AV3544" s="46">
        <v>4.91</v>
      </c>
      <c r="AW3544" s="46">
        <v>63</v>
      </c>
      <c r="AX3544" s="46">
        <v>37600</v>
      </c>
      <c r="AY3544" s="46">
        <v>189713.68900000001</v>
      </c>
      <c r="AZ3544" s="46">
        <v>5.0460000000000003</v>
      </c>
      <c r="BA3544" s="46" t="s">
        <v>63</v>
      </c>
      <c r="BB3544" s="46">
        <v>100</v>
      </c>
      <c r="BC3544" s="46">
        <v>4607.0690000000004</v>
      </c>
      <c r="BD3544" s="46">
        <v>46.070999999999998</v>
      </c>
      <c r="BE3544" s="46">
        <v>5113.6000000000004</v>
      </c>
      <c r="BF3544" s="46">
        <v>5005.5999999999767</v>
      </c>
      <c r="BH3544" s="46">
        <v>11447.143000000011</v>
      </c>
      <c r="BI3544">
        <v>4.9800000000000004</v>
      </c>
      <c r="BJ3544">
        <v>2772.5950000000003</v>
      </c>
      <c r="BK3544">
        <v>1.21</v>
      </c>
      <c r="BL3544">
        <v>864.37</v>
      </c>
    </row>
    <row r="3545" spans="1:64" x14ac:dyDescent="0.25">
      <c r="A3545" s="136">
        <v>43642</v>
      </c>
      <c r="B3545" t="s">
        <v>71</v>
      </c>
      <c r="C3545" t="s">
        <v>126</v>
      </c>
      <c r="D3545">
        <v>3000</v>
      </c>
      <c r="E3545">
        <v>3000</v>
      </c>
      <c r="F3545">
        <v>5.25</v>
      </c>
      <c r="G3545">
        <v>2189.59</v>
      </c>
      <c r="H3545">
        <v>13.9</v>
      </c>
      <c r="I3545">
        <v>17940</v>
      </c>
      <c r="J3545">
        <v>5.98</v>
      </c>
      <c r="K3545" s="133">
        <v>3.3736297802373555E-2</v>
      </c>
      <c r="L3545" s="181">
        <v>-240</v>
      </c>
      <c r="M3545" s="133">
        <v>2.9618758209001249E-2</v>
      </c>
      <c r="N3545" s="73">
        <v>2864.5400000000063</v>
      </c>
      <c r="O3545" s="73">
        <v>399.51367458745989</v>
      </c>
      <c r="P3545" s="182">
        <v>0</v>
      </c>
      <c r="Q3545" s="182">
        <v>0</v>
      </c>
      <c r="R3545" s="46">
        <v>0</v>
      </c>
      <c r="S3545" s="46">
        <v>4</v>
      </c>
      <c r="T3545" s="46">
        <v>1500</v>
      </c>
      <c r="U3545" s="46">
        <v>6.5330000000000004</v>
      </c>
      <c r="V3545" s="46" t="s">
        <v>68</v>
      </c>
      <c r="W3545" s="46">
        <v>1500</v>
      </c>
      <c r="X3545" s="46">
        <v>6.5330000000000004</v>
      </c>
      <c r="AF3545" s="46">
        <v>56</v>
      </c>
      <c r="AG3545" s="46">
        <v>29100</v>
      </c>
      <c r="AH3545" s="46">
        <v>184288.42999999993</v>
      </c>
      <c r="AI3545" s="46">
        <v>6.3330000000000002</v>
      </c>
      <c r="AJ3545" s="46">
        <v>56</v>
      </c>
      <c r="AK3545" s="46">
        <v>24600</v>
      </c>
      <c r="AL3545" s="46">
        <v>158600.19399999999</v>
      </c>
      <c r="AM3545" s="46">
        <v>6.4470000000000001</v>
      </c>
      <c r="AN3545" s="46" t="s">
        <v>63</v>
      </c>
      <c r="AO3545" s="46">
        <v>4500</v>
      </c>
      <c r="AP3545" s="46">
        <v>25688.236000000001</v>
      </c>
      <c r="AQ3545" s="46">
        <v>5.7080000000000002</v>
      </c>
      <c r="AR3545" s="46">
        <v>2804.4</v>
      </c>
      <c r="AS3545" s="46">
        <v>56</v>
      </c>
      <c r="AT3545" s="46">
        <v>29100</v>
      </c>
      <c r="AU3545" s="46">
        <v>184288.42999999993</v>
      </c>
      <c r="AV3545" s="46">
        <v>6.3330000000000002</v>
      </c>
      <c r="AW3545" s="46">
        <v>60</v>
      </c>
      <c r="AX3545" s="46">
        <v>26100</v>
      </c>
      <c r="AY3545" s="46">
        <v>168369.49400000001</v>
      </c>
      <c r="AZ3545" s="46">
        <v>6.4509999999999996</v>
      </c>
      <c r="BA3545" s="46" t="s">
        <v>63</v>
      </c>
      <c r="BB3545" s="46">
        <v>3000</v>
      </c>
      <c r="BC3545" s="46">
        <v>15918.936</v>
      </c>
      <c r="BD3545" s="46">
        <v>5.306</v>
      </c>
      <c r="BE3545" s="46">
        <v>3079.8</v>
      </c>
      <c r="BF3545" s="46">
        <v>0</v>
      </c>
      <c r="BH3545" s="46">
        <v>9769.3000000000175</v>
      </c>
      <c r="BI3545">
        <v>6.51</v>
      </c>
      <c r="BJ3545">
        <v>-9769.3000000000011</v>
      </c>
      <c r="BK3545">
        <v>-6.51</v>
      </c>
      <c r="BL3545">
        <v>468.96</v>
      </c>
    </row>
    <row r="3546" spans="1:64" x14ac:dyDescent="0.25">
      <c r="A3546" s="136">
        <v>43642</v>
      </c>
      <c r="B3546" t="s">
        <v>79</v>
      </c>
      <c r="C3546" t="s">
        <v>736</v>
      </c>
      <c r="D3546">
        <v>12320</v>
      </c>
      <c r="E3546">
        <v>12320</v>
      </c>
      <c r="F3546">
        <v>10.045</v>
      </c>
      <c r="G3546">
        <v>-29382.25</v>
      </c>
      <c r="H3546">
        <v>-23.74</v>
      </c>
      <c r="I3546">
        <v>94371.199999999997</v>
      </c>
      <c r="J3546">
        <v>7.66</v>
      </c>
      <c r="K3546" s="133">
        <v>0.17746571388892726</v>
      </c>
      <c r="L3546" s="181">
        <v>369.59999999999854</v>
      </c>
      <c r="M3546" s="133">
        <v>0.23271924432949528</v>
      </c>
      <c r="N3546" s="73">
        <v>-28417.87600000028</v>
      </c>
      <c r="O3546" s="73">
        <v>-3669.7244266150233</v>
      </c>
      <c r="P3546" s="182">
        <v>12</v>
      </c>
      <c r="Q3546" s="182">
        <v>8320</v>
      </c>
      <c r="R3546" s="46">
        <v>5.4939999999999998</v>
      </c>
      <c r="S3546" s="46">
        <v>0</v>
      </c>
      <c r="T3546" s="46">
        <v>0</v>
      </c>
      <c r="U3546" s="46">
        <v>0</v>
      </c>
      <c r="V3546" s="46" t="s">
        <v>62</v>
      </c>
      <c r="W3546" s="46">
        <v>8320</v>
      </c>
      <c r="X3546" s="46">
        <v>5.4939999999999998</v>
      </c>
      <c r="AF3546" s="46">
        <v>39</v>
      </c>
      <c r="AG3546" s="46">
        <v>20000</v>
      </c>
      <c r="AH3546" s="46">
        <v>278411.99999999977</v>
      </c>
      <c r="AI3546" s="46">
        <v>13.920999999999999</v>
      </c>
      <c r="AJ3546" s="46">
        <v>40</v>
      </c>
      <c r="AK3546" s="46">
        <v>16000</v>
      </c>
      <c r="AL3546" s="46">
        <v>200416.31599999976</v>
      </c>
      <c r="AM3546" s="46">
        <v>12.526</v>
      </c>
      <c r="AN3546" s="46" t="s">
        <v>63</v>
      </c>
      <c r="AO3546" s="46">
        <v>4000</v>
      </c>
      <c r="AP3546" s="46">
        <v>77995.683999999994</v>
      </c>
      <c r="AQ3546" s="46">
        <v>19.498999999999999</v>
      </c>
      <c r="AR3546" s="46">
        <v>-22320</v>
      </c>
      <c r="AS3546" s="46">
        <v>51</v>
      </c>
      <c r="AT3546" s="46">
        <v>28320</v>
      </c>
      <c r="AU3546" s="46">
        <v>324190.99199999962</v>
      </c>
      <c r="AV3546" s="46">
        <v>11.446999999999999</v>
      </c>
      <c r="AW3546" s="46">
        <v>40</v>
      </c>
      <c r="AX3546" s="46">
        <v>16000</v>
      </c>
      <c r="AY3546" s="46">
        <v>200416.31599999976</v>
      </c>
      <c r="AZ3546" s="46">
        <v>12.526</v>
      </c>
      <c r="BA3546" s="46" t="s">
        <v>63</v>
      </c>
      <c r="BB3546" s="46">
        <v>12320</v>
      </c>
      <c r="BC3546" s="46">
        <v>123774.67600000001</v>
      </c>
      <c r="BD3546" s="46">
        <v>10.047000000000001</v>
      </c>
      <c r="BE3546" s="46">
        <v>17264</v>
      </c>
      <c r="BF3546" s="46">
        <v>45778.991999999853</v>
      </c>
      <c r="BG3546" s="46">
        <v>5.5</v>
      </c>
      <c r="BH3546" s="46">
        <v>0</v>
      </c>
      <c r="BJ3546">
        <v>45778.992000000013</v>
      </c>
      <c r="BK3546">
        <v>5.5</v>
      </c>
      <c r="BL3546">
        <v>-2913.84</v>
      </c>
    </row>
    <row r="3547" spans="1:64" x14ac:dyDescent="0.25">
      <c r="A3547" s="136">
        <v>43642</v>
      </c>
      <c r="B3547" t="s">
        <v>65</v>
      </c>
      <c r="C3547" t="s">
        <v>127</v>
      </c>
      <c r="D3547">
        <v>27600</v>
      </c>
      <c r="E3547">
        <v>27600</v>
      </c>
      <c r="F3547">
        <v>8.4130000000000003</v>
      </c>
      <c r="G3547">
        <v>-19119.7</v>
      </c>
      <c r="H3547">
        <v>-8.23</v>
      </c>
      <c r="I3547">
        <v>213072</v>
      </c>
      <c r="J3547">
        <v>7.72</v>
      </c>
      <c r="K3547" s="133">
        <v>0.40068341389895973</v>
      </c>
      <c r="L3547" s="181">
        <v>2227.9199999999983</v>
      </c>
      <c r="M3547" s="133">
        <v>0.43663814595537231</v>
      </c>
      <c r="N3547" s="73">
        <v>-23678.133000000118</v>
      </c>
      <c r="O3547" s="73">
        <v>-2514.5111816148192</v>
      </c>
      <c r="P3547" s="182">
        <v>7</v>
      </c>
      <c r="Q3547" s="182">
        <v>4500</v>
      </c>
      <c r="R3547" s="46">
        <v>8.3130000000000006</v>
      </c>
      <c r="S3547" s="46">
        <v>3</v>
      </c>
      <c r="T3547" s="46">
        <v>1200</v>
      </c>
      <c r="U3547" s="46">
        <v>7.6429999999999998</v>
      </c>
      <c r="V3547" s="46" t="s">
        <v>62</v>
      </c>
      <c r="W3547" s="46">
        <v>3300</v>
      </c>
      <c r="X3547" s="46">
        <v>8.5570000000000004</v>
      </c>
      <c r="AF3547" s="46">
        <v>246</v>
      </c>
      <c r="AG3547" s="46">
        <v>132800</v>
      </c>
      <c r="AH3547" s="46">
        <v>1400007.6810000001</v>
      </c>
      <c r="AI3547" s="46">
        <v>10.542</v>
      </c>
      <c r="AJ3547" s="46">
        <v>276</v>
      </c>
      <c r="AK3547" s="46">
        <v>117700</v>
      </c>
      <c r="AL3547" s="46">
        <v>1181767.7180000003</v>
      </c>
      <c r="AM3547" s="46">
        <v>10.041</v>
      </c>
      <c r="AN3547" s="46" t="s">
        <v>63</v>
      </c>
      <c r="AO3547" s="46">
        <v>15100</v>
      </c>
      <c r="AP3547" s="46">
        <v>218239.96299999999</v>
      </c>
      <c r="AQ3547" s="46">
        <v>14.452999999999999</v>
      </c>
      <c r="AR3547" s="46">
        <v>-58967.7</v>
      </c>
      <c r="AS3547" s="46">
        <v>254</v>
      </c>
      <c r="AT3547" s="46">
        <v>137400</v>
      </c>
      <c r="AU3547" s="46">
        <v>1438740.6810000001</v>
      </c>
      <c r="AV3547" s="46">
        <v>10.471</v>
      </c>
      <c r="AW3547" s="46">
        <v>279</v>
      </c>
      <c r="AX3547" s="46">
        <v>118900</v>
      </c>
      <c r="AY3547" s="46">
        <v>1190915.5460000001</v>
      </c>
      <c r="AZ3547" s="46">
        <v>10.016</v>
      </c>
      <c r="BA3547" s="46" t="s">
        <v>63</v>
      </c>
      <c r="BB3547" s="46">
        <v>18500</v>
      </c>
      <c r="BC3547" s="46">
        <v>247825.13500000001</v>
      </c>
      <c r="BD3547" s="46">
        <v>13.396000000000001</v>
      </c>
      <c r="BE3547" s="46">
        <v>-54099.5</v>
      </c>
      <c r="BF3547" s="46">
        <v>38733</v>
      </c>
      <c r="BG3547" s="46">
        <v>8.61</v>
      </c>
      <c r="BH3547" s="46">
        <v>9147.8279999997467</v>
      </c>
      <c r="BI3547">
        <v>7.62</v>
      </c>
      <c r="BJ3547">
        <v>29585.17200000002</v>
      </c>
      <c r="BK3547">
        <v>8.9700000000000006</v>
      </c>
      <c r="BL3547">
        <v>-7638.3</v>
      </c>
    </row>
    <row r="3548" spans="1:64" x14ac:dyDescent="0.25">
      <c r="A3548" s="136">
        <v>43642</v>
      </c>
      <c r="B3548" t="s">
        <v>77</v>
      </c>
      <c r="C3548" t="s">
        <v>150</v>
      </c>
      <c r="D3548">
        <v>6600</v>
      </c>
      <c r="E3548">
        <v>6600</v>
      </c>
      <c r="F3548">
        <v>5.19</v>
      </c>
      <c r="G3548">
        <v>-8053.58</v>
      </c>
      <c r="H3548">
        <v>-23.51</v>
      </c>
      <c r="I3548">
        <v>26202</v>
      </c>
      <c r="J3548">
        <v>3.97</v>
      </c>
      <c r="K3548" s="133">
        <v>4.9273047659854616E-2</v>
      </c>
      <c r="L3548" s="181">
        <v>-396</v>
      </c>
      <c r="M3548" s="133">
        <v>6.4417862222577005E-2</v>
      </c>
      <c r="N3548" s="73">
        <v>-7832.525999999998</v>
      </c>
      <c r="O3548" s="73">
        <v>-1796.2891512254898</v>
      </c>
      <c r="P3548" s="182">
        <v>8</v>
      </c>
      <c r="Q3548" s="182">
        <v>4000</v>
      </c>
      <c r="R3548" s="46">
        <v>4.2549999999999999</v>
      </c>
      <c r="S3548" s="46">
        <v>0</v>
      </c>
      <c r="T3548" s="46">
        <v>0</v>
      </c>
      <c r="U3548" s="46">
        <v>0</v>
      </c>
      <c r="V3548" s="46" t="s">
        <v>62</v>
      </c>
      <c r="W3548" s="46">
        <v>4000</v>
      </c>
      <c r="X3548" s="46">
        <v>4.2549999999999999</v>
      </c>
      <c r="AF3548" s="46">
        <v>52</v>
      </c>
      <c r="AG3548" s="46">
        <v>26000</v>
      </c>
      <c r="AH3548" s="46">
        <v>177594</v>
      </c>
      <c r="AI3548" s="46">
        <v>6.8310000000000004</v>
      </c>
      <c r="AJ3548" s="46">
        <v>52</v>
      </c>
      <c r="AK3548" s="46">
        <v>23400</v>
      </c>
      <c r="AL3548" s="46">
        <v>160105.47400000005</v>
      </c>
      <c r="AM3548" s="46">
        <v>6.8419999999999996</v>
      </c>
      <c r="AN3548" s="46" t="s">
        <v>63</v>
      </c>
      <c r="AO3548" s="46">
        <v>2600</v>
      </c>
      <c r="AP3548" s="46">
        <v>17488.526000000002</v>
      </c>
      <c r="AQ3548" s="46">
        <v>6.726</v>
      </c>
      <c r="AR3548" s="46">
        <v>257.39999999999998</v>
      </c>
      <c r="AS3548" s="46">
        <v>60</v>
      </c>
      <c r="AT3548" s="46">
        <v>30000</v>
      </c>
      <c r="AU3548" s="46">
        <v>194366</v>
      </c>
      <c r="AV3548" s="46">
        <v>6.4790000000000001</v>
      </c>
      <c r="AW3548" s="46">
        <v>52</v>
      </c>
      <c r="AX3548" s="46">
        <v>23400</v>
      </c>
      <c r="AY3548" s="46">
        <v>160105.47400000005</v>
      </c>
      <c r="AZ3548" s="46">
        <v>6.8419999999999996</v>
      </c>
      <c r="BA3548" s="46" t="s">
        <v>63</v>
      </c>
      <c r="BB3548" s="46">
        <v>6600</v>
      </c>
      <c r="BC3548" s="46">
        <v>34260.525999999998</v>
      </c>
      <c r="BD3548" s="46">
        <v>5.1909999999999998</v>
      </c>
      <c r="BE3548" s="46">
        <v>8494.2000000000007</v>
      </c>
      <c r="BF3548" s="46">
        <v>16772</v>
      </c>
      <c r="BG3548" s="46">
        <v>4.1900000000000004</v>
      </c>
      <c r="BH3548" s="46">
        <v>0</v>
      </c>
      <c r="BJ3548">
        <v>16771.999999999996</v>
      </c>
      <c r="BK3548">
        <v>4.1900000000000004</v>
      </c>
      <c r="BL3548">
        <v>64.84</v>
      </c>
    </row>
    <row r="3549" spans="1:64" x14ac:dyDescent="0.25">
      <c r="A3549" s="136">
        <v>43642</v>
      </c>
      <c r="B3549" t="s">
        <v>67</v>
      </c>
      <c r="C3549" t="s">
        <v>129</v>
      </c>
      <c r="D3549">
        <v>2330</v>
      </c>
      <c r="E3549">
        <v>2330</v>
      </c>
      <c r="F3549">
        <v>4.88</v>
      </c>
      <c r="G3549">
        <v>4240.8599999999997</v>
      </c>
      <c r="H3549">
        <v>37.299999999999997</v>
      </c>
      <c r="I3549">
        <v>15611</v>
      </c>
      <c r="J3549">
        <v>6.7</v>
      </c>
      <c r="K3549" s="133">
        <v>2.93565967108614E-2</v>
      </c>
      <c r="L3549" s="181">
        <v>-402.60000000000036</v>
      </c>
      <c r="M3549" s="133">
        <v>2.1381629269491616E-2</v>
      </c>
      <c r="N3549" s="73">
        <v>4282.6514999999636</v>
      </c>
      <c r="O3549" s="73">
        <v>636.98068069196165</v>
      </c>
      <c r="P3549" s="182">
        <v>2</v>
      </c>
      <c r="Q3549" s="182">
        <v>430</v>
      </c>
      <c r="R3549" s="46">
        <v>6.2510000000000003</v>
      </c>
      <c r="S3549" s="46">
        <v>21</v>
      </c>
      <c r="T3549" s="46">
        <v>8400</v>
      </c>
      <c r="U3549" s="46">
        <v>8.8659999999999997</v>
      </c>
      <c r="V3549" s="46" t="s">
        <v>68</v>
      </c>
      <c r="W3549" s="46">
        <v>7970</v>
      </c>
      <c r="X3549" s="46">
        <v>9.0069999999999997</v>
      </c>
      <c r="AF3549" s="46">
        <v>199</v>
      </c>
      <c r="AG3549" s="46">
        <v>98400</v>
      </c>
      <c r="AH3549" s="46">
        <v>815176</v>
      </c>
      <c r="AI3549" s="46">
        <v>8.2840000000000007</v>
      </c>
      <c r="AJ3549" s="46">
        <v>203</v>
      </c>
      <c r="AK3549" s="46">
        <v>90700</v>
      </c>
      <c r="AL3549" s="46">
        <v>801332.13950000016</v>
      </c>
      <c r="AM3549" s="46">
        <v>8.8350000000000009</v>
      </c>
      <c r="AN3549" s="46" t="s">
        <v>63</v>
      </c>
      <c r="AO3549" s="46">
        <v>7700</v>
      </c>
      <c r="AP3549" s="46">
        <v>13843.86</v>
      </c>
      <c r="AQ3549" s="46">
        <v>1.798</v>
      </c>
      <c r="AR3549" s="46">
        <v>49975.7</v>
      </c>
      <c r="AS3549" s="46">
        <v>201</v>
      </c>
      <c r="AT3549" s="46">
        <v>98830</v>
      </c>
      <c r="AU3549" s="46">
        <v>817874</v>
      </c>
      <c r="AV3549" s="46">
        <v>8.2759999999999998</v>
      </c>
      <c r="AW3549" s="46">
        <v>224</v>
      </c>
      <c r="AX3549" s="46">
        <v>99100</v>
      </c>
      <c r="AY3549" s="46">
        <v>875627.16750000021</v>
      </c>
      <c r="AZ3549" s="46">
        <v>8.8360000000000003</v>
      </c>
      <c r="BA3549" s="46" t="s">
        <v>69</v>
      </c>
      <c r="BB3549" s="46">
        <v>270</v>
      </c>
      <c r="BC3549" s="46">
        <v>57753.167999999998</v>
      </c>
      <c r="BD3549" s="46">
        <v>213.90100000000001</v>
      </c>
      <c r="BE3549" s="46">
        <v>55344.800000000003</v>
      </c>
      <c r="BF3549" s="46">
        <v>2698</v>
      </c>
      <c r="BG3549" s="46">
        <v>6.27</v>
      </c>
      <c r="BH3549" s="46">
        <v>74295.028000000049</v>
      </c>
      <c r="BI3549">
        <v>8.84</v>
      </c>
      <c r="BJ3549">
        <v>43909.307999999997</v>
      </c>
      <c r="BK3549">
        <v>5.51</v>
      </c>
      <c r="BL3549">
        <v>7459.06</v>
      </c>
    </row>
    <row r="3550" spans="1:64" x14ac:dyDescent="0.25">
      <c r="A3550" s="136">
        <v>43642</v>
      </c>
      <c r="B3550" t="s">
        <v>78</v>
      </c>
      <c r="C3550" t="s">
        <v>142</v>
      </c>
      <c r="D3550">
        <v>200</v>
      </c>
      <c r="E3550">
        <v>200</v>
      </c>
      <c r="F3550">
        <v>1.9870000000000001</v>
      </c>
      <c r="G3550">
        <v>1420.65</v>
      </c>
      <c r="H3550">
        <v>357.49</v>
      </c>
      <c r="I3550">
        <v>1818</v>
      </c>
      <c r="J3550">
        <v>9.09</v>
      </c>
      <c r="K3550" s="133">
        <v>3.4187619512104301E-3</v>
      </c>
      <c r="L3550" s="181">
        <v>-42</v>
      </c>
      <c r="M3550" s="133">
        <v>7.472195056729726E-4</v>
      </c>
      <c r="N3550" s="73">
        <v>1472.650999999996</v>
      </c>
      <c r="O3550" s="73">
        <v>157.42402935828835</v>
      </c>
      <c r="P3550" s="182">
        <v>0</v>
      </c>
      <c r="Q3550" s="182">
        <v>0</v>
      </c>
      <c r="R3550" s="46">
        <v>0</v>
      </c>
      <c r="S3550" s="46">
        <v>3</v>
      </c>
      <c r="T3550" s="46">
        <v>1200</v>
      </c>
      <c r="U3550" s="46">
        <v>9.923</v>
      </c>
      <c r="V3550" s="46" t="s">
        <v>68</v>
      </c>
      <c r="W3550" s="46">
        <v>1200</v>
      </c>
      <c r="X3550" s="46">
        <v>9.923</v>
      </c>
      <c r="AF3550" s="46">
        <v>14</v>
      </c>
      <c r="AG3550" s="46">
        <v>7000</v>
      </c>
      <c r="AH3550" s="46">
        <v>67625</v>
      </c>
      <c r="AI3550" s="46">
        <v>9.6609999999999996</v>
      </c>
      <c r="AJ3550" s="46">
        <v>15</v>
      </c>
      <c r="AK3550" s="46">
        <v>5600</v>
      </c>
      <c r="AL3550" s="46">
        <v>55310.559000000008</v>
      </c>
      <c r="AM3550" s="46">
        <v>9.8770000000000007</v>
      </c>
      <c r="AN3550" s="46" t="s">
        <v>63</v>
      </c>
      <c r="AO3550" s="46">
        <v>1400</v>
      </c>
      <c r="AP3550" s="46">
        <v>12314.441000000001</v>
      </c>
      <c r="AQ3550" s="46">
        <v>8.7959999999999994</v>
      </c>
      <c r="AR3550" s="46">
        <v>1209.5999999999999</v>
      </c>
      <c r="AS3550" s="46">
        <v>14</v>
      </c>
      <c r="AT3550" s="46">
        <v>7000</v>
      </c>
      <c r="AU3550" s="46">
        <v>67625</v>
      </c>
      <c r="AV3550" s="46">
        <v>9.6609999999999996</v>
      </c>
      <c r="AW3550" s="46">
        <v>18</v>
      </c>
      <c r="AX3550" s="46">
        <v>6800</v>
      </c>
      <c r="AY3550" s="46">
        <v>67227.651000000013</v>
      </c>
      <c r="AZ3550" s="46">
        <v>9.8859999999999992</v>
      </c>
      <c r="BA3550" s="46" t="s">
        <v>63</v>
      </c>
      <c r="BB3550" s="46">
        <v>200</v>
      </c>
      <c r="BC3550" s="46">
        <v>397.34899999999999</v>
      </c>
      <c r="BD3550" s="46">
        <v>1.9870000000000001</v>
      </c>
      <c r="BE3550" s="46">
        <v>1530</v>
      </c>
      <c r="BF3550" s="46">
        <v>0</v>
      </c>
      <c r="BH3550" s="46">
        <v>11917.092000000004</v>
      </c>
      <c r="BI3550">
        <v>9.93</v>
      </c>
      <c r="BJ3550">
        <v>-11917.092000000001</v>
      </c>
      <c r="BK3550">
        <v>-9.93</v>
      </c>
      <c r="BL3550">
        <v>133.07</v>
      </c>
    </row>
    <row r="3551" spans="1:64" x14ac:dyDescent="0.25">
      <c r="A3551" s="136">
        <v>43642</v>
      </c>
      <c r="B3551" t="s">
        <v>72</v>
      </c>
      <c r="C3551" t="s">
        <v>130</v>
      </c>
      <c r="D3551">
        <v>100</v>
      </c>
      <c r="E3551">
        <v>100</v>
      </c>
      <c r="F3551">
        <v>-18.477</v>
      </c>
      <c r="G3551">
        <v>2473.6999999999998</v>
      </c>
      <c r="H3551">
        <v>0</v>
      </c>
      <c r="I3551">
        <v>626</v>
      </c>
      <c r="J3551">
        <v>6.26</v>
      </c>
      <c r="K3551" s="133">
        <v>1.1771974595477059E-3</v>
      </c>
      <c r="L3551" s="181">
        <v>-4</v>
      </c>
      <c r="M3551" s="133">
        <v>0</v>
      </c>
      <c r="N3551" s="73">
        <v>-1498.9659999999872</v>
      </c>
      <c r="O3551" s="73">
        <v>376.42007904191922</v>
      </c>
      <c r="P3551" s="182">
        <v>0</v>
      </c>
      <c r="Q3551" s="182">
        <v>0</v>
      </c>
      <c r="R3551" s="46">
        <v>0</v>
      </c>
      <c r="S3551" s="46">
        <v>20</v>
      </c>
      <c r="T3551" s="46">
        <v>8600</v>
      </c>
      <c r="U3551" s="46">
        <v>7.3840000000000003</v>
      </c>
      <c r="V3551" s="46" t="s">
        <v>68</v>
      </c>
      <c r="W3551" s="46">
        <v>8600</v>
      </c>
      <c r="X3551" s="46">
        <v>7.3840000000000003</v>
      </c>
      <c r="AF3551" s="46">
        <v>42</v>
      </c>
      <c r="AG3551" s="46">
        <v>20900</v>
      </c>
      <c r="AH3551" s="46">
        <v>152800</v>
      </c>
      <c r="AI3551" s="46">
        <v>7.3109999999999999</v>
      </c>
      <c r="AJ3551" s="46">
        <v>42</v>
      </c>
      <c r="AK3551" s="46">
        <v>18800</v>
      </c>
      <c r="AL3551" s="46">
        <v>92037.725000000035</v>
      </c>
      <c r="AM3551" s="46">
        <v>4.8959999999999999</v>
      </c>
      <c r="AN3551" s="46" t="s">
        <v>63</v>
      </c>
      <c r="AO3551" s="46">
        <v>2100</v>
      </c>
      <c r="AP3551" s="46">
        <v>60762.275000000001</v>
      </c>
      <c r="AQ3551" s="46">
        <v>28.934000000000001</v>
      </c>
      <c r="AR3551" s="46">
        <v>-45402</v>
      </c>
      <c r="AS3551" s="46">
        <v>42</v>
      </c>
      <c r="AT3551" s="46">
        <v>20900</v>
      </c>
      <c r="AU3551" s="46">
        <v>152800</v>
      </c>
      <c r="AV3551" s="46">
        <v>7.3109999999999999</v>
      </c>
      <c r="AW3551" s="46">
        <v>63</v>
      </c>
      <c r="AX3551" s="46">
        <v>27900</v>
      </c>
      <c r="AY3551" s="46">
        <v>155380.21900000001</v>
      </c>
      <c r="AZ3551" s="46">
        <v>5.569</v>
      </c>
      <c r="BA3551" s="46" t="s">
        <v>69</v>
      </c>
      <c r="BB3551" s="46">
        <v>7000</v>
      </c>
      <c r="BC3551" s="46">
        <v>2580.2190000000001</v>
      </c>
      <c r="BD3551" s="46">
        <v>0.36899999999999999</v>
      </c>
      <c r="BE3551" s="46">
        <v>-36407.800000000003</v>
      </c>
      <c r="BF3551" s="46">
        <v>0</v>
      </c>
      <c r="BH3551" s="46">
        <v>63342.493999999977</v>
      </c>
      <c r="BI3551">
        <v>7.37</v>
      </c>
      <c r="BJ3551">
        <v>-58182.056000000004</v>
      </c>
      <c r="BK3551">
        <v>-6.77</v>
      </c>
      <c r="BL3551">
        <v>-7252.72</v>
      </c>
    </row>
    <row r="3552" spans="1:64" x14ac:dyDescent="0.25">
      <c r="A3552" s="136">
        <v>43642</v>
      </c>
      <c r="B3552" t="s">
        <v>70</v>
      </c>
      <c r="C3552" t="s">
        <v>131</v>
      </c>
      <c r="D3552">
        <v>11680</v>
      </c>
      <c r="E3552">
        <v>11280</v>
      </c>
      <c r="F3552">
        <v>8.7560000000000002</v>
      </c>
      <c r="G3552">
        <v>1102.53</v>
      </c>
      <c r="H3552">
        <v>1.08</v>
      </c>
      <c r="I3552">
        <v>103368</v>
      </c>
      <c r="J3552">
        <v>8.85</v>
      </c>
      <c r="K3552" s="133">
        <v>0.19438426038103396</v>
      </c>
      <c r="L3552" s="181">
        <v>-7568.4000000000005</v>
      </c>
      <c r="M3552" s="133">
        <v>0.19231094486174463</v>
      </c>
      <c r="N3552" s="73">
        <v>1536.7909999999829</v>
      </c>
      <c r="O3552" s="73">
        <v>172.78094538807454</v>
      </c>
      <c r="P3552" s="182">
        <v>1</v>
      </c>
      <c r="Q3552" s="182">
        <v>1780</v>
      </c>
      <c r="R3552" s="46">
        <v>0</v>
      </c>
      <c r="S3552" s="46">
        <v>14</v>
      </c>
      <c r="T3552" s="46">
        <v>5700</v>
      </c>
      <c r="U3552" s="46">
        <v>10.558</v>
      </c>
      <c r="V3552" s="46" t="s">
        <v>68</v>
      </c>
      <c r="W3552" s="46">
        <v>3920</v>
      </c>
      <c r="X3552" s="46">
        <v>15.352</v>
      </c>
      <c r="AF3552" s="46">
        <v>176</v>
      </c>
      <c r="AG3552" s="46">
        <v>89000</v>
      </c>
      <c r="AH3552" s="46">
        <v>1069050</v>
      </c>
      <c r="AI3552" s="46">
        <v>12.012</v>
      </c>
      <c r="AJ3552" s="46">
        <v>182</v>
      </c>
      <c r="AK3552" s="46">
        <v>73400</v>
      </c>
      <c r="AL3552" s="46">
        <v>905411.7709999996</v>
      </c>
      <c r="AM3552" s="46">
        <v>12.335000000000001</v>
      </c>
      <c r="AN3552" s="46" t="s">
        <v>63</v>
      </c>
      <c r="AO3552" s="46">
        <v>15600</v>
      </c>
      <c r="AP3552" s="46">
        <v>163638.22899999999</v>
      </c>
      <c r="AQ3552" s="46">
        <v>10.49</v>
      </c>
      <c r="AR3552" s="46">
        <v>23708.2</v>
      </c>
      <c r="AS3552" s="46">
        <v>177</v>
      </c>
      <c r="AT3552" s="46">
        <v>90780</v>
      </c>
      <c r="AU3552" s="46">
        <v>1069935</v>
      </c>
      <c r="AV3552" s="46">
        <v>11.786</v>
      </c>
      <c r="AW3552" s="46">
        <v>197</v>
      </c>
      <c r="AX3552" s="46">
        <v>79100</v>
      </c>
      <c r="AY3552" s="46">
        <v>965866.59099999955</v>
      </c>
      <c r="AZ3552" s="46">
        <v>12.211</v>
      </c>
      <c r="BA3552" s="46" t="s">
        <v>63</v>
      </c>
      <c r="BB3552" s="46">
        <v>11680</v>
      </c>
      <c r="BC3552" s="46">
        <v>104068.409</v>
      </c>
      <c r="BD3552" s="46">
        <v>8.91</v>
      </c>
      <c r="BE3552" s="46">
        <v>33617.5</v>
      </c>
      <c r="BF3552" s="46">
        <v>885</v>
      </c>
      <c r="BG3552" s="46">
        <v>0.5</v>
      </c>
      <c r="BH3552" s="46">
        <v>60454.819999999949</v>
      </c>
      <c r="BI3552">
        <v>10.61</v>
      </c>
      <c r="BJ3552">
        <v>-59569.819999999992</v>
      </c>
      <c r="BK3552">
        <v>-15.2</v>
      </c>
      <c r="BL3552">
        <v>2678.89</v>
      </c>
    </row>
    <row r="3553" spans="1:64" x14ac:dyDescent="0.25">
      <c r="A3553" s="136">
        <v>43642</v>
      </c>
      <c r="B3553" t="s">
        <v>628</v>
      </c>
      <c r="C3553" t="s">
        <v>629</v>
      </c>
      <c r="D3553">
        <v>100</v>
      </c>
      <c r="E3553">
        <v>100</v>
      </c>
      <c r="F3553">
        <v>-22.369</v>
      </c>
      <c r="G3553">
        <v>4167.8999999999996</v>
      </c>
      <c r="H3553">
        <v>0</v>
      </c>
      <c r="I3553">
        <v>1931</v>
      </c>
      <c r="J3553">
        <v>19.309999999999999</v>
      </c>
      <c r="K3553" s="133">
        <v>3.6312592562086584E-3</v>
      </c>
      <c r="L3553" s="181">
        <v>-19</v>
      </c>
      <c r="M3553" s="133">
        <v>0</v>
      </c>
    </row>
    <row r="3554" spans="1:64" x14ac:dyDescent="0.25">
      <c r="A3554" s="136">
        <v>43642</v>
      </c>
      <c r="B3554" t="s">
        <v>630</v>
      </c>
      <c r="C3554" t="s">
        <v>631</v>
      </c>
      <c r="D3554">
        <v>100</v>
      </c>
      <c r="E3554">
        <v>100</v>
      </c>
      <c r="F3554">
        <v>-94.6</v>
      </c>
      <c r="G3554">
        <v>11986</v>
      </c>
      <c r="H3554">
        <v>0</v>
      </c>
      <c r="I3554">
        <v>2526</v>
      </c>
      <c r="J3554">
        <v>25.26</v>
      </c>
      <c r="K3554" s="133">
        <v>4.7501609949161423E-3</v>
      </c>
      <c r="L3554" s="181">
        <v>62</v>
      </c>
      <c r="M3554" s="133">
        <v>0</v>
      </c>
    </row>
    <row r="3555" spans="1:64" x14ac:dyDescent="0.25">
      <c r="A3555" s="136">
        <v>43642</v>
      </c>
      <c r="B3555" t="s">
        <v>137</v>
      </c>
      <c r="C3555" t="s">
        <v>149</v>
      </c>
      <c r="D3555">
        <v>150</v>
      </c>
      <c r="E3555">
        <v>150</v>
      </c>
      <c r="F3555">
        <v>-87.406999999999996</v>
      </c>
      <c r="G3555">
        <v>17051.55</v>
      </c>
      <c r="H3555">
        <v>0</v>
      </c>
      <c r="I3555">
        <v>3940.5</v>
      </c>
      <c r="J3555">
        <v>26.27</v>
      </c>
      <c r="K3555" s="133">
        <v>7.4101383216417498E-3</v>
      </c>
      <c r="L3555" s="181">
        <v>271.5</v>
      </c>
      <c r="M3555" s="133">
        <v>0</v>
      </c>
    </row>
    <row r="3556" spans="1:64" x14ac:dyDescent="0.25">
      <c r="A3556" s="136">
        <v>43642</v>
      </c>
      <c r="B3556" t="s">
        <v>835</v>
      </c>
      <c r="C3556" t="s">
        <v>839</v>
      </c>
      <c r="I3556">
        <v>5764.55</v>
      </c>
      <c r="K3556" s="133">
        <v>1.0840277340951643E-2</v>
      </c>
      <c r="L3556" s="181">
        <v>0</v>
      </c>
      <c r="M3556" s="133">
        <v>7.1020642420724159E-2</v>
      </c>
    </row>
    <row r="3557" spans="1:64" x14ac:dyDescent="0.25">
      <c r="A3557" s="136">
        <v>43643</v>
      </c>
      <c r="B3557" t="s">
        <v>132</v>
      </c>
      <c r="C3557" t="s">
        <v>123</v>
      </c>
      <c r="D3557">
        <v>3200401</v>
      </c>
      <c r="E3557">
        <v>3200401</v>
      </c>
      <c r="F3557">
        <v>8.9999999999999993E-3</v>
      </c>
      <c r="G3557">
        <v>4002.86</v>
      </c>
      <c r="H3557">
        <v>11.11</v>
      </c>
      <c r="I3557">
        <v>32004.01</v>
      </c>
      <c r="J3557">
        <v>0.01</v>
      </c>
      <c r="K3557" s="133">
        <v>5.9670448590598384E-2</v>
      </c>
      <c r="L3557" s="181">
        <v>1.8099999999999454</v>
      </c>
      <c r="M3557" s="133">
        <v>0</v>
      </c>
    </row>
    <row r="3558" spans="1:64" x14ac:dyDescent="0.25">
      <c r="A3558" s="136">
        <v>43643</v>
      </c>
      <c r="B3558" t="s">
        <v>61</v>
      </c>
      <c r="C3558" t="s">
        <v>136</v>
      </c>
      <c r="D3558">
        <v>2700</v>
      </c>
      <c r="E3558">
        <v>2700</v>
      </c>
      <c r="F3558">
        <v>4.7309999999999999</v>
      </c>
      <c r="G3558">
        <v>-703.57</v>
      </c>
      <c r="H3558">
        <v>-5.51</v>
      </c>
      <c r="I3558">
        <v>12069</v>
      </c>
      <c r="J3558">
        <v>4.47</v>
      </c>
      <c r="K3558" s="133">
        <v>2.2502262811439314E-2</v>
      </c>
      <c r="L3558" s="181">
        <v>54</v>
      </c>
      <c r="M3558" s="133">
        <v>2.381404647588909E-2</v>
      </c>
      <c r="N3558" s="73">
        <v>-735.3010000000013</v>
      </c>
      <c r="O3558" s="73">
        <v>-164.78326221973123</v>
      </c>
      <c r="P3558" s="182">
        <v>1</v>
      </c>
      <c r="Q3558" s="182">
        <v>500</v>
      </c>
      <c r="R3558" s="46">
        <v>4.46</v>
      </c>
      <c r="S3558" s="46">
        <v>0</v>
      </c>
      <c r="T3558" s="46">
        <v>0</v>
      </c>
      <c r="U3558" s="46">
        <v>0</v>
      </c>
      <c r="V3558" s="46" t="s">
        <v>62</v>
      </c>
      <c r="W3558" s="46">
        <v>500</v>
      </c>
      <c r="X3558" s="46">
        <v>4.46</v>
      </c>
      <c r="AF3558" s="46">
        <v>23</v>
      </c>
      <c r="AG3558" s="46">
        <v>11500</v>
      </c>
      <c r="AH3558" s="46">
        <v>56886.900000000009</v>
      </c>
      <c r="AI3558" s="46">
        <v>4.9470000000000001</v>
      </c>
      <c r="AJ3558" s="46">
        <v>23</v>
      </c>
      <c r="AK3558" s="46">
        <v>9300</v>
      </c>
      <c r="AL3558" s="46">
        <v>46074.89899999999</v>
      </c>
      <c r="AM3558" s="46">
        <v>4.9539999999999997</v>
      </c>
      <c r="AN3558" s="46" t="s">
        <v>63</v>
      </c>
      <c r="AO3558" s="46">
        <v>2200</v>
      </c>
      <c r="AP3558" s="46">
        <v>10812.001</v>
      </c>
      <c r="AQ3558" s="46">
        <v>4.915</v>
      </c>
      <c r="AR3558" s="46">
        <v>65.099999999999994</v>
      </c>
      <c r="AS3558" s="46">
        <v>24</v>
      </c>
      <c r="AT3558" s="46">
        <v>12000</v>
      </c>
      <c r="AU3558" s="46">
        <v>58852.200000000012</v>
      </c>
      <c r="AV3558" s="46">
        <v>4.9039999999999999</v>
      </c>
      <c r="AW3558" s="46">
        <v>23</v>
      </c>
      <c r="AX3558" s="46">
        <v>9300</v>
      </c>
      <c r="AY3558" s="46">
        <v>46074.89899999999</v>
      </c>
      <c r="AZ3558" s="46">
        <v>4.9539999999999997</v>
      </c>
      <c r="BA3558" s="46" t="s">
        <v>63</v>
      </c>
      <c r="BB3558" s="46">
        <v>2700</v>
      </c>
      <c r="BC3558" s="46">
        <v>12777.300999999999</v>
      </c>
      <c r="BD3558" s="46">
        <v>4.7320000000000002</v>
      </c>
      <c r="BE3558" s="46">
        <v>465</v>
      </c>
      <c r="BF3558" s="46">
        <v>1965.3000000000029</v>
      </c>
      <c r="BG3558" s="46">
        <v>3.93</v>
      </c>
      <c r="BH3558" s="46">
        <v>0</v>
      </c>
      <c r="BJ3558">
        <v>1965.2999999999993</v>
      </c>
      <c r="BK3558">
        <v>3.93</v>
      </c>
      <c r="BL3558">
        <v>14.56</v>
      </c>
    </row>
    <row r="3559" spans="1:64" x14ac:dyDescent="0.25">
      <c r="A3559" s="136">
        <v>43643</v>
      </c>
      <c r="B3559" t="s">
        <v>124</v>
      </c>
      <c r="C3559" t="s">
        <v>125</v>
      </c>
      <c r="D3559">
        <v>100</v>
      </c>
      <c r="E3559">
        <v>100</v>
      </c>
      <c r="F3559">
        <v>-53.82</v>
      </c>
      <c r="G3559">
        <v>5973</v>
      </c>
      <c r="H3559">
        <v>0</v>
      </c>
      <c r="I3559">
        <v>591</v>
      </c>
      <c r="J3559">
        <v>5.91</v>
      </c>
      <c r="K3559" s="133">
        <v>1.1019005154992655E-3</v>
      </c>
      <c r="L3559" s="181">
        <v>7</v>
      </c>
      <c r="M3559" s="133">
        <v>0</v>
      </c>
      <c r="N3559" s="73">
        <v>5573.0690000000113</v>
      </c>
      <c r="O3559" s="73">
        <v>1102.4501845505636</v>
      </c>
      <c r="P3559" s="182">
        <v>0</v>
      </c>
      <c r="Q3559" s="182">
        <v>0</v>
      </c>
      <c r="R3559" s="46">
        <v>0</v>
      </c>
      <c r="S3559" s="46">
        <v>5</v>
      </c>
      <c r="T3559" s="46">
        <v>2300</v>
      </c>
      <c r="U3559" s="46">
        <v>4.99</v>
      </c>
      <c r="V3559" s="46" t="s">
        <v>68</v>
      </c>
      <c r="W3559" s="46">
        <v>2300</v>
      </c>
      <c r="X3559" s="46">
        <v>4.99</v>
      </c>
      <c r="AF3559" s="46">
        <v>50</v>
      </c>
      <c r="AG3559" s="46">
        <v>36700</v>
      </c>
      <c r="AH3559" s="46">
        <v>180101.02000000002</v>
      </c>
      <c r="AI3559" s="46">
        <v>4.907</v>
      </c>
      <c r="AJ3559" s="46">
        <v>58</v>
      </c>
      <c r="AK3559" s="46">
        <v>35300</v>
      </c>
      <c r="AL3559" s="46">
        <v>178266.546</v>
      </c>
      <c r="AM3559" s="46">
        <v>5.05</v>
      </c>
      <c r="AN3559" s="46" t="s">
        <v>63</v>
      </c>
      <c r="AO3559" s="46">
        <v>1400</v>
      </c>
      <c r="AP3559" s="46">
        <v>1834.4739999999999</v>
      </c>
      <c r="AQ3559" s="46">
        <v>1.31</v>
      </c>
      <c r="AR3559" s="46">
        <v>5047.8999999999996</v>
      </c>
      <c r="AS3559" s="46">
        <v>51</v>
      </c>
      <c r="AT3559" s="46">
        <v>37700</v>
      </c>
      <c r="AU3559" s="46">
        <v>185106.62</v>
      </c>
      <c r="AV3559" s="46">
        <v>4.91</v>
      </c>
      <c r="AW3559" s="46">
        <v>63</v>
      </c>
      <c r="AX3559" s="46">
        <v>37600</v>
      </c>
      <c r="AY3559" s="46">
        <v>189713.68900000001</v>
      </c>
      <c r="AZ3559" s="46">
        <v>5.0460000000000003</v>
      </c>
      <c r="BA3559" s="46" t="s">
        <v>63</v>
      </c>
      <c r="BB3559" s="46">
        <v>100</v>
      </c>
      <c r="BC3559" s="46">
        <v>4607.0690000000004</v>
      </c>
      <c r="BD3559" s="46">
        <v>46.070999999999998</v>
      </c>
      <c r="BE3559" s="46">
        <v>5113.6000000000004</v>
      </c>
      <c r="BF3559" s="46">
        <v>5005.5999999999767</v>
      </c>
      <c r="BH3559" s="46">
        <v>11447.143000000011</v>
      </c>
      <c r="BI3559">
        <v>4.9800000000000004</v>
      </c>
      <c r="BJ3559">
        <v>2772.5950000000003</v>
      </c>
      <c r="BK3559">
        <v>1.21</v>
      </c>
      <c r="BL3559">
        <v>854.13</v>
      </c>
    </row>
    <row r="3560" spans="1:64" x14ac:dyDescent="0.25">
      <c r="A3560" s="136">
        <v>43643</v>
      </c>
      <c r="B3560" t="s">
        <v>71</v>
      </c>
      <c r="C3560" t="s">
        <v>126</v>
      </c>
      <c r="D3560">
        <v>3000</v>
      </c>
      <c r="E3560">
        <v>3000</v>
      </c>
      <c r="F3560">
        <v>5.25</v>
      </c>
      <c r="G3560">
        <v>2279.59</v>
      </c>
      <c r="H3560">
        <v>14.47</v>
      </c>
      <c r="I3560">
        <v>18030</v>
      </c>
      <c r="J3560">
        <v>6.01</v>
      </c>
      <c r="K3560" s="133">
        <v>3.3616355828175556E-2</v>
      </c>
      <c r="L3560" s="181">
        <v>90</v>
      </c>
      <c r="M3560" s="133">
        <v>2.9366133499703528E-2</v>
      </c>
      <c r="N3560" s="73">
        <v>2864.5400000000063</v>
      </c>
      <c r="O3560" s="73">
        <v>399.51367458745989</v>
      </c>
      <c r="P3560" s="182">
        <v>0</v>
      </c>
      <c r="Q3560" s="182">
        <v>0</v>
      </c>
      <c r="R3560" s="46">
        <v>0</v>
      </c>
      <c r="S3560" s="46">
        <v>4</v>
      </c>
      <c r="T3560" s="46">
        <v>1500</v>
      </c>
      <c r="U3560" s="46">
        <v>6.5330000000000004</v>
      </c>
      <c r="V3560" s="46" t="s">
        <v>68</v>
      </c>
      <c r="W3560" s="46">
        <v>1500</v>
      </c>
      <c r="X3560" s="46">
        <v>6.5330000000000004</v>
      </c>
      <c r="AF3560" s="46">
        <v>56</v>
      </c>
      <c r="AG3560" s="46">
        <v>29100</v>
      </c>
      <c r="AH3560" s="46">
        <v>184288.42999999993</v>
      </c>
      <c r="AI3560" s="46">
        <v>6.3330000000000002</v>
      </c>
      <c r="AJ3560" s="46">
        <v>56</v>
      </c>
      <c r="AK3560" s="46">
        <v>24600</v>
      </c>
      <c r="AL3560" s="46">
        <v>158600.19399999999</v>
      </c>
      <c r="AM3560" s="46">
        <v>6.4470000000000001</v>
      </c>
      <c r="AN3560" s="46" t="s">
        <v>63</v>
      </c>
      <c r="AO3560" s="46">
        <v>4500</v>
      </c>
      <c r="AP3560" s="46">
        <v>25688.236000000001</v>
      </c>
      <c r="AQ3560" s="46">
        <v>5.7080000000000002</v>
      </c>
      <c r="AR3560" s="46">
        <v>2804.4</v>
      </c>
      <c r="AS3560" s="46">
        <v>56</v>
      </c>
      <c r="AT3560" s="46">
        <v>29100</v>
      </c>
      <c r="AU3560" s="46">
        <v>184288.42999999993</v>
      </c>
      <c r="AV3560" s="46">
        <v>6.3330000000000002</v>
      </c>
      <c r="AW3560" s="46">
        <v>60</v>
      </c>
      <c r="AX3560" s="46">
        <v>26100</v>
      </c>
      <c r="AY3560" s="46">
        <v>168369.49400000001</v>
      </c>
      <c r="AZ3560" s="46">
        <v>6.4509999999999996</v>
      </c>
      <c r="BA3560" s="46" t="s">
        <v>63</v>
      </c>
      <c r="BB3560" s="46">
        <v>3000</v>
      </c>
      <c r="BC3560" s="46">
        <v>15918.936</v>
      </c>
      <c r="BD3560" s="46">
        <v>5.306</v>
      </c>
      <c r="BE3560" s="46">
        <v>3079.8</v>
      </c>
      <c r="BF3560" s="46">
        <v>0</v>
      </c>
      <c r="BH3560" s="46">
        <v>9769.3000000000175</v>
      </c>
      <c r="BI3560">
        <v>6.51</v>
      </c>
      <c r="BJ3560">
        <v>-9769.3000000000011</v>
      </c>
      <c r="BK3560">
        <v>-6.51</v>
      </c>
      <c r="BL3560">
        <v>466.62</v>
      </c>
    </row>
    <row r="3561" spans="1:64" x14ac:dyDescent="0.25">
      <c r="A3561" s="136">
        <v>43643</v>
      </c>
      <c r="B3561" t="s">
        <v>79</v>
      </c>
      <c r="C3561" t="s">
        <v>143</v>
      </c>
      <c r="D3561">
        <v>12320</v>
      </c>
      <c r="E3561">
        <v>12320</v>
      </c>
      <c r="F3561">
        <v>10.045</v>
      </c>
      <c r="G3561">
        <v>-29382.25</v>
      </c>
      <c r="H3561">
        <v>-23.74</v>
      </c>
      <c r="I3561">
        <v>94371.199999999997</v>
      </c>
      <c r="J3561">
        <v>7.66</v>
      </c>
      <c r="K3561" s="133">
        <v>0.17595207094464344</v>
      </c>
      <c r="L3561" s="181">
        <v>0</v>
      </c>
      <c r="M3561" s="133">
        <v>0.2307343322331854</v>
      </c>
      <c r="N3561" s="73">
        <v>-28417.87600000028</v>
      </c>
      <c r="O3561" s="73">
        <v>-3669.7244266150233</v>
      </c>
      <c r="P3561" s="182">
        <v>12</v>
      </c>
      <c r="Q3561" s="182">
        <v>8320</v>
      </c>
      <c r="R3561" s="46">
        <v>5.4939999999999998</v>
      </c>
      <c r="S3561" s="46">
        <v>0</v>
      </c>
      <c r="T3561" s="46">
        <v>0</v>
      </c>
      <c r="U3561" s="46">
        <v>0</v>
      </c>
      <c r="V3561" s="46" t="s">
        <v>62</v>
      </c>
      <c r="W3561" s="46">
        <v>8320</v>
      </c>
      <c r="X3561" s="46">
        <v>5.4939999999999998</v>
      </c>
      <c r="AF3561" s="46">
        <v>39</v>
      </c>
      <c r="AG3561" s="46">
        <v>20000</v>
      </c>
      <c r="AH3561" s="46">
        <v>278411.99999999977</v>
      </c>
      <c r="AI3561" s="46">
        <v>13.920999999999999</v>
      </c>
      <c r="AJ3561" s="46">
        <v>40</v>
      </c>
      <c r="AK3561" s="46">
        <v>16000</v>
      </c>
      <c r="AL3561" s="46">
        <v>200416.31599999976</v>
      </c>
      <c r="AM3561" s="46">
        <v>12.526</v>
      </c>
      <c r="AN3561" s="46" t="s">
        <v>63</v>
      </c>
      <c r="AO3561" s="46">
        <v>4000</v>
      </c>
      <c r="AP3561" s="46">
        <v>77995.683999999994</v>
      </c>
      <c r="AQ3561" s="46">
        <v>19.498999999999999</v>
      </c>
      <c r="AR3561" s="46">
        <v>-22320</v>
      </c>
      <c r="AS3561" s="46">
        <v>51</v>
      </c>
      <c r="AT3561" s="46">
        <v>28320</v>
      </c>
      <c r="AU3561" s="46">
        <v>324190.99199999962</v>
      </c>
      <c r="AV3561" s="46">
        <v>11.446999999999999</v>
      </c>
      <c r="AW3561" s="46">
        <v>40</v>
      </c>
      <c r="AX3561" s="46">
        <v>16000</v>
      </c>
      <c r="AY3561" s="46">
        <v>200416.31599999976</v>
      </c>
      <c r="AZ3561" s="46">
        <v>12.526</v>
      </c>
      <c r="BA3561" s="46" t="s">
        <v>63</v>
      </c>
      <c r="BB3561" s="46">
        <v>12320</v>
      </c>
      <c r="BC3561" s="46">
        <v>123774.67600000001</v>
      </c>
      <c r="BD3561" s="46">
        <v>10.047000000000001</v>
      </c>
      <c r="BE3561" s="46">
        <v>17264</v>
      </c>
      <c r="BF3561" s="46">
        <v>45778.991999999853</v>
      </c>
      <c r="BG3561" s="46">
        <v>5.5</v>
      </c>
      <c r="BH3561" s="46">
        <v>0</v>
      </c>
      <c r="BJ3561">
        <v>45778.992000000013</v>
      </c>
      <c r="BK3561">
        <v>5.5</v>
      </c>
      <c r="BL3561">
        <v>-2913.84</v>
      </c>
    </row>
    <row r="3562" spans="1:64" x14ac:dyDescent="0.25">
      <c r="A3562" s="136">
        <v>43643</v>
      </c>
      <c r="B3562" t="s">
        <v>65</v>
      </c>
      <c r="C3562" t="s">
        <v>127</v>
      </c>
      <c r="D3562">
        <v>27600</v>
      </c>
      <c r="E3562">
        <v>27600</v>
      </c>
      <c r="F3562">
        <v>8.4130000000000003</v>
      </c>
      <c r="G3562">
        <v>-17463.7</v>
      </c>
      <c r="H3562">
        <v>-7.52</v>
      </c>
      <c r="I3562">
        <v>214728</v>
      </c>
      <c r="J3562">
        <v>7.78</v>
      </c>
      <c r="K3562" s="133">
        <v>0.40035345836231179</v>
      </c>
      <c r="L3562" s="181">
        <v>1656</v>
      </c>
      <c r="M3562" s="133">
        <v>0.43291396603155802</v>
      </c>
      <c r="N3562" s="73">
        <v>-23678.133000000118</v>
      </c>
      <c r="O3562" s="73">
        <v>-2514.5111816148192</v>
      </c>
      <c r="P3562" s="182">
        <v>7</v>
      </c>
      <c r="Q3562" s="182">
        <v>4500</v>
      </c>
      <c r="R3562" s="46">
        <v>8.3130000000000006</v>
      </c>
      <c r="S3562" s="46">
        <v>3</v>
      </c>
      <c r="T3562" s="46">
        <v>1200</v>
      </c>
      <c r="U3562" s="46">
        <v>7.6429999999999998</v>
      </c>
      <c r="V3562" s="46" t="s">
        <v>62</v>
      </c>
      <c r="W3562" s="46">
        <v>3300</v>
      </c>
      <c r="X3562" s="46">
        <v>8.5570000000000004</v>
      </c>
      <c r="AF3562" s="46">
        <v>246</v>
      </c>
      <c r="AG3562" s="46">
        <v>132800</v>
      </c>
      <c r="AH3562" s="46">
        <v>1400007.6810000001</v>
      </c>
      <c r="AI3562" s="46">
        <v>10.542</v>
      </c>
      <c r="AJ3562" s="46">
        <v>276</v>
      </c>
      <c r="AK3562" s="46">
        <v>117700</v>
      </c>
      <c r="AL3562" s="46">
        <v>1181767.7180000003</v>
      </c>
      <c r="AM3562" s="46">
        <v>10.041</v>
      </c>
      <c r="AN3562" s="46" t="s">
        <v>63</v>
      </c>
      <c r="AO3562" s="46">
        <v>15100</v>
      </c>
      <c r="AP3562" s="46">
        <v>218239.96299999999</v>
      </c>
      <c r="AQ3562" s="46">
        <v>14.452999999999999</v>
      </c>
      <c r="AR3562" s="46">
        <v>-58967.7</v>
      </c>
      <c r="AS3562" s="46">
        <v>254</v>
      </c>
      <c r="AT3562" s="46">
        <v>137400</v>
      </c>
      <c r="AU3562" s="46">
        <v>1438740.6810000001</v>
      </c>
      <c r="AV3562" s="46">
        <v>10.471</v>
      </c>
      <c r="AW3562" s="46">
        <v>279</v>
      </c>
      <c r="AX3562" s="46">
        <v>118900</v>
      </c>
      <c r="AY3562" s="46">
        <v>1190915.5460000001</v>
      </c>
      <c r="AZ3562" s="46">
        <v>10.016</v>
      </c>
      <c r="BA3562" s="46" t="s">
        <v>63</v>
      </c>
      <c r="BB3562" s="46">
        <v>18500</v>
      </c>
      <c r="BC3562" s="46">
        <v>247825.13500000001</v>
      </c>
      <c r="BD3562" s="46">
        <v>13.396000000000001</v>
      </c>
      <c r="BE3562" s="46">
        <v>-54099.5</v>
      </c>
      <c r="BF3562" s="46">
        <v>38733</v>
      </c>
      <c r="BG3562" s="46">
        <v>8.61</v>
      </c>
      <c r="BH3562" s="46">
        <v>9147.8279999997467</v>
      </c>
      <c r="BI3562">
        <v>7.62</v>
      </c>
      <c r="BJ3562">
        <v>29585.17200000002</v>
      </c>
      <c r="BK3562">
        <v>8.9700000000000006</v>
      </c>
      <c r="BL3562">
        <v>-7579.4</v>
      </c>
    </row>
    <row r="3563" spans="1:64" x14ac:dyDescent="0.25">
      <c r="A3563" s="136">
        <v>43643</v>
      </c>
      <c r="B3563" t="s">
        <v>77</v>
      </c>
      <c r="C3563" t="s">
        <v>150</v>
      </c>
      <c r="D3563">
        <v>6600</v>
      </c>
      <c r="E3563">
        <v>6600</v>
      </c>
      <c r="F3563">
        <v>5.19</v>
      </c>
      <c r="G3563">
        <v>-7987.58</v>
      </c>
      <c r="H3563">
        <v>-23.32</v>
      </c>
      <c r="I3563">
        <v>26268</v>
      </c>
      <c r="J3563">
        <v>3.98</v>
      </c>
      <c r="K3563" s="133">
        <v>4.8975842201581563E-2</v>
      </c>
      <c r="L3563" s="181">
        <v>66</v>
      </c>
      <c r="M3563" s="133">
        <v>6.3868428529147758E-2</v>
      </c>
      <c r="N3563" s="73">
        <v>-7832.525999999998</v>
      </c>
      <c r="O3563" s="73">
        <v>-1796.2891512254898</v>
      </c>
      <c r="P3563" s="182">
        <v>8</v>
      </c>
      <c r="Q3563" s="182">
        <v>4000</v>
      </c>
      <c r="R3563" s="46">
        <v>4.2549999999999999</v>
      </c>
      <c r="S3563" s="46">
        <v>0</v>
      </c>
      <c r="T3563" s="46">
        <v>0</v>
      </c>
      <c r="U3563" s="46">
        <v>0</v>
      </c>
      <c r="V3563" s="46" t="s">
        <v>62</v>
      </c>
      <c r="W3563" s="46">
        <v>4000</v>
      </c>
      <c r="X3563" s="46">
        <v>4.2549999999999999</v>
      </c>
      <c r="AF3563" s="46">
        <v>52</v>
      </c>
      <c r="AG3563" s="46">
        <v>26000</v>
      </c>
      <c r="AH3563" s="46">
        <v>177594</v>
      </c>
      <c r="AI3563" s="46">
        <v>6.8310000000000004</v>
      </c>
      <c r="AJ3563" s="46">
        <v>52</v>
      </c>
      <c r="AK3563" s="46">
        <v>23400</v>
      </c>
      <c r="AL3563" s="46">
        <v>160105.47400000005</v>
      </c>
      <c r="AM3563" s="46">
        <v>6.8419999999999996</v>
      </c>
      <c r="AN3563" s="46" t="s">
        <v>63</v>
      </c>
      <c r="AO3563" s="46">
        <v>2600</v>
      </c>
      <c r="AP3563" s="46">
        <v>17488.526000000002</v>
      </c>
      <c r="AQ3563" s="46">
        <v>6.726</v>
      </c>
      <c r="AR3563" s="46">
        <v>257.39999999999998</v>
      </c>
      <c r="AS3563" s="46">
        <v>60</v>
      </c>
      <c r="AT3563" s="46">
        <v>30000</v>
      </c>
      <c r="AU3563" s="46">
        <v>194366</v>
      </c>
      <c r="AV3563" s="46">
        <v>6.4790000000000001</v>
      </c>
      <c r="AW3563" s="46">
        <v>52</v>
      </c>
      <c r="AX3563" s="46">
        <v>23400</v>
      </c>
      <c r="AY3563" s="46">
        <v>160105.47400000005</v>
      </c>
      <c r="AZ3563" s="46">
        <v>6.8419999999999996</v>
      </c>
      <c r="BA3563" s="46" t="s">
        <v>63</v>
      </c>
      <c r="BB3563" s="46">
        <v>6600</v>
      </c>
      <c r="BC3563" s="46">
        <v>34260.525999999998</v>
      </c>
      <c r="BD3563" s="46">
        <v>5.1909999999999998</v>
      </c>
      <c r="BE3563" s="46">
        <v>8494.2000000000007</v>
      </c>
      <c r="BF3563" s="46">
        <v>16772</v>
      </c>
      <c r="BG3563" s="46">
        <v>4.1900000000000004</v>
      </c>
      <c r="BH3563" s="46">
        <v>0</v>
      </c>
      <c r="BJ3563">
        <v>16771.999999999996</v>
      </c>
      <c r="BK3563">
        <v>4.1900000000000004</v>
      </c>
      <c r="BL3563">
        <v>64.67</v>
      </c>
    </row>
    <row r="3564" spans="1:64" x14ac:dyDescent="0.25">
      <c r="A3564" s="136">
        <v>43643</v>
      </c>
      <c r="B3564" t="s">
        <v>67</v>
      </c>
      <c r="C3564" t="s">
        <v>129</v>
      </c>
      <c r="D3564">
        <v>2330</v>
      </c>
      <c r="E3564">
        <v>2330</v>
      </c>
      <c r="F3564">
        <v>4.88</v>
      </c>
      <c r="G3564">
        <v>4264.16</v>
      </c>
      <c r="H3564">
        <v>37.5</v>
      </c>
      <c r="I3564">
        <v>15634.3</v>
      </c>
      <c r="J3564">
        <v>6.71</v>
      </c>
      <c r="K3564" s="133">
        <v>2.9149650134467284E-2</v>
      </c>
      <c r="L3564" s="181">
        <v>23.300000000000182</v>
      </c>
      <c r="M3564" s="133">
        <v>2.1199260790691739E-2</v>
      </c>
      <c r="N3564" s="73">
        <v>4282.6514999999636</v>
      </c>
      <c r="O3564" s="73">
        <v>636.98068069196165</v>
      </c>
      <c r="P3564" s="182">
        <v>2</v>
      </c>
      <c r="Q3564" s="182">
        <v>430</v>
      </c>
      <c r="R3564" s="46">
        <v>6.2510000000000003</v>
      </c>
      <c r="S3564" s="46">
        <v>21</v>
      </c>
      <c r="T3564" s="46">
        <v>8400</v>
      </c>
      <c r="U3564" s="46">
        <v>8.8659999999999997</v>
      </c>
      <c r="V3564" s="46" t="s">
        <v>68</v>
      </c>
      <c r="W3564" s="46">
        <v>7970</v>
      </c>
      <c r="X3564" s="46">
        <v>9.0069999999999997</v>
      </c>
      <c r="AF3564" s="46">
        <v>199</v>
      </c>
      <c r="AG3564" s="46">
        <v>98400</v>
      </c>
      <c r="AH3564" s="46">
        <v>815176</v>
      </c>
      <c r="AI3564" s="46">
        <v>8.2840000000000007</v>
      </c>
      <c r="AJ3564" s="46">
        <v>203</v>
      </c>
      <c r="AK3564" s="46">
        <v>90700</v>
      </c>
      <c r="AL3564" s="46">
        <v>801332.13950000016</v>
      </c>
      <c r="AM3564" s="46">
        <v>8.8350000000000009</v>
      </c>
      <c r="AN3564" s="46" t="s">
        <v>63</v>
      </c>
      <c r="AO3564" s="46">
        <v>7700</v>
      </c>
      <c r="AP3564" s="46">
        <v>13843.86</v>
      </c>
      <c r="AQ3564" s="46">
        <v>1.798</v>
      </c>
      <c r="AR3564" s="46">
        <v>49975.7</v>
      </c>
      <c r="AS3564" s="46">
        <v>201</v>
      </c>
      <c r="AT3564" s="46">
        <v>98830</v>
      </c>
      <c r="AU3564" s="46">
        <v>817874</v>
      </c>
      <c r="AV3564" s="46">
        <v>8.2759999999999998</v>
      </c>
      <c r="AW3564" s="46">
        <v>224</v>
      </c>
      <c r="AX3564" s="46">
        <v>99100</v>
      </c>
      <c r="AY3564" s="46">
        <v>875627.16750000021</v>
      </c>
      <c r="AZ3564" s="46">
        <v>8.8360000000000003</v>
      </c>
      <c r="BA3564" s="46" t="s">
        <v>69</v>
      </c>
      <c r="BB3564" s="46">
        <v>270</v>
      </c>
      <c r="BC3564" s="46">
        <v>57753.167999999998</v>
      </c>
      <c r="BD3564" s="46">
        <v>213.90100000000001</v>
      </c>
      <c r="BE3564" s="46">
        <v>55344.800000000003</v>
      </c>
      <c r="BF3564" s="46">
        <v>2698</v>
      </c>
      <c r="BG3564" s="46">
        <v>6.27</v>
      </c>
      <c r="BH3564" s="46">
        <v>74295.028000000049</v>
      </c>
      <c r="BI3564">
        <v>8.84</v>
      </c>
      <c r="BJ3564">
        <v>43909.307999999997</v>
      </c>
      <c r="BK3564">
        <v>5.51</v>
      </c>
      <c r="BL3564">
        <v>7447.94</v>
      </c>
    </row>
    <row r="3565" spans="1:64" x14ac:dyDescent="0.25">
      <c r="A3565" s="136">
        <v>43643</v>
      </c>
      <c r="B3565" t="s">
        <v>78</v>
      </c>
      <c r="C3565" t="s">
        <v>142</v>
      </c>
      <c r="D3565">
        <v>200</v>
      </c>
      <c r="E3565">
        <v>200</v>
      </c>
      <c r="F3565">
        <v>1.9870000000000001</v>
      </c>
      <c r="G3565">
        <v>1430.65</v>
      </c>
      <c r="H3565">
        <v>360</v>
      </c>
      <c r="I3565">
        <v>1828</v>
      </c>
      <c r="J3565">
        <v>9.14</v>
      </c>
      <c r="K3565" s="133">
        <v>3.4082472797506889E-3</v>
      </c>
      <c r="L3565" s="181">
        <v>10</v>
      </c>
      <c r="M3565" s="133">
        <v>7.4084631105521661E-4</v>
      </c>
      <c r="N3565" s="73">
        <v>1472.650999999996</v>
      </c>
      <c r="O3565" s="73">
        <v>157.42402935828835</v>
      </c>
      <c r="P3565" s="182">
        <v>0</v>
      </c>
      <c r="Q3565" s="182">
        <v>0</v>
      </c>
      <c r="R3565" s="46">
        <v>0</v>
      </c>
      <c r="S3565" s="46">
        <v>3</v>
      </c>
      <c r="T3565" s="46">
        <v>1200</v>
      </c>
      <c r="U3565" s="46">
        <v>9.923</v>
      </c>
      <c r="V3565" s="46" t="s">
        <v>68</v>
      </c>
      <c r="W3565" s="46">
        <v>1200</v>
      </c>
      <c r="X3565" s="46">
        <v>9.923</v>
      </c>
      <c r="AF3565" s="46">
        <v>14</v>
      </c>
      <c r="AG3565" s="46">
        <v>7000</v>
      </c>
      <c r="AH3565" s="46">
        <v>67625</v>
      </c>
      <c r="AI3565" s="46">
        <v>9.6609999999999996</v>
      </c>
      <c r="AJ3565" s="46">
        <v>15</v>
      </c>
      <c r="AK3565" s="46">
        <v>5600</v>
      </c>
      <c r="AL3565" s="46">
        <v>55310.559000000008</v>
      </c>
      <c r="AM3565" s="46">
        <v>9.8770000000000007</v>
      </c>
      <c r="AN3565" s="46" t="s">
        <v>63</v>
      </c>
      <c r="AO3565" s="46">
        <v>1400</v>
      </c>
      <c r="AP3565" s="46">
        <v>12314.441000000001</v>
      </c>
      <c r="AQ3565" s="46">
        <v>8.7959999999999994</v>
      </c>
      <c r="AR3565" s="46">
        <v>1209.5999999999999</v>
      </c>
      <c r="AS3565" s="46">
        <v>14</v>
      </c>
      <c r="AT3565" s="46">
        <v>7000</v>
      </c>
      <c r="AU3565" s="46">
        <v>67625</v>
      </c>
      <c r="AV3565" s="46">
        <v>9.6609999999999996</v>
      </c>
      <c r="AW3565" s="46">
        <v>18</v>
      </c>
      <c r="AX3565" s="46">
        <v>6800</v>
      </c>
      <c r="AY3565" s="46">
        <v>67227.651000000013</v>
      </c>
      <c r="AZ3565" s="46">
        <v>9.8859999999999992</v>
      </c>
      <c r="BA3565" s="46" t="s">
        <v>63</v>
      </c>
      <c r="BB3565" s="46">
        <v>200</v>
      </c>
      <c r="BC3565" s="46">
        <v>397.34899999999999</v>
      </c>
      <c r="BD3565" s="46">
        <v>1.9870000000000001</v>
      </c>
      <c r="BE3565" s="46">
        <v>1530</v>
      </c>
      <c r="BF3565" s="46">
        <v>0</v>
      </c>
      <c r="BH3565" s="46">
        <v>11917.092000000004</v>
      </c>
      <c r="BI3565">
        <v>9.93</v>
      </c>
      <c r="BJ3565">
        <v>-11917.092000000001</v>
      </c>
      <c r="BK3565">
        <v>-9.93</v>
      </c>
      <c r="BL3565">
        <v>132.34</v>
      </c>
    </row>
    <row r="3566" spans="1:64" x14ac:dyDescent="0.25">
      <c r="A3566" s="136">
        <v>43643</v>
      </c>
      <c r="B3566" t="s">
        <v>72</v>
      </c>
      <c r="C3566" t="s">
        <v>130</v>
      </c>
      <c r="D3566">
        <v>100</v>
      </c>
      <c r="E3566">
        <v>100</v>
      </c>
      <c r="F3566">
        <v>-18.477</v>
      </c>
      <c r="G3566">
        <v>2473.6999999999998</v>
      </c>
      <c r="H3566">
        <v>0</v>
      </c>
      <c r="I3566">
        <v>626</v>
      </c>
      <c r="J3566">
        <v>6.26</v>
      </c>
      <c r="K3566" s="133">
        <v>1.1671568912056517E-3</v>
      </c>
      <c r="L3566" s="181">
        <v>0</v>
      </c>
      <c r="M3566" s="133">
        <v>0</v>
      </c>
      <c r="N3566" s="73">
        <v>-1498.9659999999872</v>
      </c>
      <c r="O3566" s="73">
        <v>376.42007904191922</v>
      </c>
      <c r="P3566" s="182">
        <v>0</v>
      </c>
      <c r="Q3566" s="182">
        <v>0</v>
      </c>
      <c r="R3566" s="46">
        <v>0</v>
      </c>
      <c r="S3566" s="46">
        <v>20</v>
      </c>
      <c r="T3566" s="46">
        <v>8600</v>
      </c>
      <c r="U3566" s="46">
        <v>7.3840000000000003</v>
      </c>
      <c r="V3566" s="46" t="s">
        <v>68</v>
      </c>
      <c r="W3566" s="46">
        <v>8600</v>
      </c>
      <c r="X3566" s="46">
        <v>7.3840000000000003</v>
      </c>
      <c r="AF3566" s="46">
        <v>42</v>
      </c>
      <c r="AG3566" s="46">
        <v>20900</v>
      </c>
      <c r="AH3566" s="46">
        <v>152800</v>
      </c>
      <c r="AI3566" s="46">
        <v>7.3109999999999999</v>
      </c>
      <c r="AJ3566" s="46">
        <v>42</v>
      </c>
      <c r="AK3566" s="46">
        <v>18800</v>
      </c>
      <c r="AL3566" s="46">
        <v>92037.725000000035</v>
      </c>
      <c r="AM3566" s="46">
        <v>4.8959999999999999</v>
      </c>
      <c r="AN3566" s="46" t="s">
        <v>63</v>
      </c>
      <c r="AO3566" s="46">
        <v>2100</v>
      </c>
      <c r="AP3566" s="46">
        <v>60762.275000000001</v>
      </c>
      <c r="AQ3566" s="46">
        <v>28.934000000000001</v>
      </c>
      <c r="AR3566" s="46">
        <v>-45402</v>
      </c>
      <c r="AS3566" s="46">
        <v>42</v>
      </c>
      <c r="AT3566" s="46">
        <v>20900</v>
      </c>
      <c r="AU3566" s="46">
        <v>152800</v>
      </c>
      <c r="AV3566" s="46">
        <v>7.3109999999999999</v>
      </c>
      <c r="AW3566" s="46">
        <v>63</v>
      </c>
      <c r="AX3566" s="46">
        <v>27900</v>
      </c>
      <c r="AY3566" s="46">
        <v>155380.21900000001</v>
      </c>
      <c r="AZ3566" s="46">
        <v>5.569</v>
      </c>
      <c r="BA3566" s="46" t="s">
        <v>69</v>
      </c>
      <c r="BB3566" s="46">
        <v>7000</v>
      </c>
      <c r="BC3566" s="46">
        <v>2580.2190000000001</v>
      </c>
      <c r="BD3566" s="46">
        <v>0.36899999999999999</v>
      </c>
      <c r="BE3566" s="46">
        <v>-36407.800000000003</v>
      </c>
      <c r="BF3566" s="46">
        <v>0</v>
      </c>
      <c r="BH3566" s="46">
        <v>63342.493999999977</v>
      </c>
      <c r="BI3566">
        <v>7.37</v>
      </c>
      <c r="BJ3566">
        <v>-58182.056000000004</v>
      </c>
      <c r="BK3566">
        <v>-6.77</v>
      </c>
      <c r="BL3566">
        <v>-7252.72</v>
      </c>
    </row>
    <row r="3567" spans="1:64" x14ac:dyDescent="0.25">
      <c r="A3567" s="136">
        <v>43643</v>
      </c>
      <c r="B3567" t="s">
        <v>70</v>
      </c>
      <c r="C3567" t="s">
        <v>131</v>
      </c>
      <c r="D3567">
        <v>11680</v>
      </c>
      <c r="E3567">
        <v>11680</v>
      </c>
      <c r="F3567">
        <v>8.7560000000000002</v>
      </c>
      <c r="G3567">
        <v>4022.53</v>
      </c>
      <c r="H3567">
        <v>3.93</v>
      </c>
      <c r="I3567">
        <v>106288</v>
      </c>
      <c r="J3567">
        <v>9.1</v>
      </c>
      <c r="K3567" s="133">
        <v>0.19817056174515385</v>
      </c>
      <c r="L3567" s="181">
        <v>2920</v>
      </c>
      <c r="M3567" s="133">
        <v>0.19067068377457641</v>
      </c>
      <c r="N3567" s="73">
        <v>1536.7909999999829</v>
      </c>
      <c r="O3567" s="73">
        <v>172.78094538807454</v>
      </c>
      <c r="P3567" s="182">
        <v>1</v>
      </c>
      <c r="Q3567" s="182">
        <v>1780</v>
      </c>
      <c r="R3567" s="46">
        <v>0</v>
      </c>
      <c r="S3567" s="46">
        <v>14</v>
      </c>
      <c r="T3567" s="46">
        <v>5700</v>
      </c>
      <c r="U3567" s="46">
        <v>10.558</v>
      </c>
      <c r="V3567" s="46" t="s">
        <v>68</v>
      </c>
      <c r="W3567" s="46">
        <v>3920</v>
      </c>
      <c r="X3567" s="46">
        <v>15.352</v>
      </c>
      <c r="AF3567" s="46">
        <v>176</v>
      </c>
      <c r="AG3567" s="46">
        <v>89000</v>
      </c>
      <c r="AH3567" s="46">
        <v>1069050</v>
      </c>
      <c r="AI3567" s="46">
        <v>12.012</v>
      </c>
      <c r="AJ3567" s="46">
        <v>182</v>
      </c>
      <c r="AK3567" s="46">
        <v>73400</v>
      </c>
      <c r="AL3567" s="46">
        <v>905411.7709999996</v>
      </c>
      <c r="AM3567" s="46">
        <v>12.335000000000001</v>
      </c>
      <c r="AN3567" s="46" t="s">
        <v>63</v>
      </c>
      <c r="AO3567" s="46">
        <v>15600</v>
      </c>
      <c r="AP3567" s="46">
        <v>163638.22899999999</v>
      </c>
      <c r="AQ3567" s="46">
        <v>10.49</v>
      </c>
      <c r="AR3567" s="46">
        <v>23708.2</v>
      </c>
      <c r="AS3567" s="46">
        <v>177</v>
      </c>
      <c r="AT3567" s="46">
        <v>90780</v>
      </c>
      <c r="AU3567" s="46">
        <v>1069935</v>
      </c>
      <c r="AV3567" s="46">
        <v>11.786</v>
      </c>
      <c r="AW3567" s="46">
        <v>197</v>
      </c>
      <c r="AX3567" s="46">
        <v>79100</v>
      </c>
      <c r="AY3567" s="46">
        <v>965866.59099999955</v>
      </c>
      <c r="AZ3567" s="46">
        <v>12.211</v>
      </c>
      <c r="BA3567" s="46" t="s">
        <v>63</v>
      </c>
      <c r="BB3567" s="46">
        <v>11680</v>
      </c>
      <c r="BC3567" s="46">
        <v>104068.409</v>
      </c>
      <c r="BD3567" s="46">
        <v>8.91</v>
      </c>
      <c r="BE3567" s="46">
        <v>33617.5</v>
      </c>
      <c r="BF3567" s="46">
        <v>885</v>
      </c>
      <c r="BG3567" s="46">
        <v>0.5</v>
      </c>
      <c r="BH3567" s="46">
        <v>60454.819999999949</v>
      </c>
      <c r="BI3567">
        <v>10.61</v>
      </c>
      <c r="BJ3567">
        <v>-59569.819999999992</v>
      </c>
      <c r="BK3567">
        <v>-15.2</v>
      </c>
      <c r="BL3567">
        <v>2605.3000000000002</v>
      </c>
    </row>
    <row r="3568" spans="1:64" x14ac:dyDescent="0.25">
      <c r="A3568" s="136">
        <v>43643</v>
      </c>
      <c r="B3568" t="s">
        <v>628</v>
      </c>
      <c r="C3568" t="s">
        <v>629</v>
      </c>
      <c r="D3568">
        <v>100</v>
      </c>
      <c r="E3568">
        <v>100</v>
      </c>
      <c r="F3568">
        <v>-22.369</v>
      </c>
      <c r="G3568">
        <v>4098.8999999999996</v>
      </c>
      <c r="H3568">
        <v>0</v>
      </c>
      <c r="I3568">
        <v>1862</v>
      </c>
      <c r="J3568">
        <v>18.62</v>
      </c>
      <c r="K3568" s="133">
        <v>3.4716391875797498E-3</v>
      </c>
      <c r="L3568" s="181">
        <v>-69</v>
      </c>
      <c r="M3568" s="133">
        <v>0</v>
      </c>
    </row>
    <row r="3569" spans="1:64" x14ac:dyDescent="0.25">
      <c r="A3569" s="136">
        <v>43643</v>
      </c>
      <c r="B3569" t="s">
        <v>630</v>
      </c>
      <c r="C3569" t="s">
        <v>631</v>
      </c>
      <c r="D3569">
        <v>100</v>
      </c>
      <c r="E3569">
        <v>100</v>
      </c>
      <c r="F3569">
        <v>-94.6</v>
      </c>
      <c r="G3569">
        <v>11941</v>
      </c>
      <c r="H3569">
        <v>0</v>
      </c>
      <c r="I3569">
        <v>2481</v>
      </c>
      <c r="J3569">
        <v>24.81</v>
      </c>
      <c r="K3569" s="133">
        <v>4.6257448036441245E-3</v>
      </c>
      <c r="L3569" s="181">
        <v>-45</v>
      </c>
      <c r="M3569" s="133">
        <v>0</v>
      </c>
    </row>
    <row r="3570" spans="1:64" x14ac:dyDescent="0.25">
      <c r="A3570" s="136">
        <v>43643</v>
      </c>
      <c r="B3570" t="s">
        <v>137</v>
      </c>
      <c r="C3570" t="s">
        <v>149</v>
      </c>
      <c r="D3570">
        <v>150</v>
      </c>
      <c r="E3570">
        <v>150</v>
      </c>
      <c r="F3570">
        <v>-87.406999999999996</v>
      </c>
      <c r="G3570">
        <v>16912.05</v>
      </c>
      <c r="H3570">
        <v>0</v>
      </c>
      <c r="I3570">
        <v>3801</v>
      </c>
      <c r="J3570">
        <v>25.34</v>
      </c>
      <c r="K3570" s="133">
        <v>7.0868424017135499E-3</v>
      </c>
      <c r="L3570" s="181">
        <v>-139.5</v>
      </c>
      <c r="M3570" s="133">
        <v>0</v>
      </c>
    </row>
    <row r="3571" spans="1:64" x14ac:dyDescent="0.25">
      <c r="A3571" s="136">
        <v>43643</v>
      </c>
      <c r="B3571" t="s">
        <v>835</v>
      </c>
      <c r="C3571" t="s">
        <v>839</v>
      </c>
      <c r="I3571">
        <v>5764.55</v>
      </c>
      <c r="K3571" s="133">
        <v>1.0747818302235687E-2</v>
      </c>
      <c r="L3571" s="181">
        <v>0</v>
      </c>
      <c r="M3571" s="133">
        <v>7.0418266892834064E-2</v>
      </c>
    </row>
    <row r="3572" spans="1:64" x14ac:dyDescent="0.25">
      <c r="A3572" s="136">
        <v>43647</v>
      </c>
      <c r="B3572" t="s">
        <v>132</v>
      </c>
      <c r="C3572" t="s">
        <v>123</v>
      </c>
      <c r="D3572">
        <v>3999998</v>
      </c>
      <c r="E3572">
        <v>3200798</v>
      </c>
      <c r="F3572">
        <v>8.9999999999999993E-3</v>
      </c>
      <c r="G3572">
        <v>4006.83</v>
      </c>
      <c r="H3572">
        <v>11.11</v>
      </c>
      <c r="I3572">
        <v>39999.980000000003</v>
      </c>
      <c r="J3572">
        <v>0.01</v>
      </c>
      <c r="K3572" s="133">
        <v>7.3751319019952896E-2</v>
      </c>
      <c r="L3572" s="181">
        <v>3.9699999999997999</v>
      </c>
      <c r="M3572" s="133">
        <v>0</v>
      </c>
    </row>
    <row r="3573" spans="1:64" x14ac:dyDescent="0.25">
      <c r="A3573" s="136">
        <v>43647</v>
      </c>
      <c r="B3573" t="s">
        <v>61</v>
      </c>
      <c r="C3573" t="s">
        <v>136</v>
      </c>
      <c r="D3573">
        <v>2700</v>
      </c>
      <c r="E3573">
        <v>2700</v>
      </c>
      <c r="F3573">
        <v>4.7309999999999999</v>
      </c>
      <c r="G3573">
        <v>-595.57000000000005</v>
      </c>
      <c r="H3573">
        <v>-4.66</v>
      </c>
      <c r="I3573">
        <v>12177</v>
      </c>
      <c r="J3573">
        <v>4.51</v>
      </c>
      <c r="K3573" s="133">
        <v>2.2451756518527419E-2</v>
      </c>
      <c r="L3573" s="181">
        <v>108</v>
      </c>
      <c r="M3573" s="133">
        <v>2.3549858894296439E-2</v>
      </c>
      <c r="N3573" s="73">
        <v>-735.3010000000013</v>
      </c>
      <c r="O3573" s="73">
        <v>-164.78326221973123</v>
      </c>
      <c r="P3573" s="182">
        <v>1</v>
      </c>
      <c r="Q3573" s="182">
        <v>500</v>
      </c>
      <c r="R3573" s="46">
        <v>4.46</v>
      </c>
      <c r="S3573" s="46">
        <v>0</v>
      </c>
      <c r="T3573" s="46">
        <v>0</v>
      </c>
      <c r="U3573" s="46">
        <v>0</v>
      </c>
      <c r="V3573" s="46" t="s">
        <v>62</v>
      </c>
      <c r="W3573" s="46">
        <v>500</v>
      </c>
      <c r="X3573" s="46">
        <v>4.46</v>
      </c>
      <c r="AF3573" s="46">
        <v>23</v>
      </c>
      <c r="AG3573" s="46">
        <v>11500</v>
      </c>
      <c r="AH3573" s="46">
        <v>56886.900000000009</v>
      </c>
      <c r="AI3573" s="46">
        <v>4.9470000000000001</v>
      </c>
      <c r="AJ3573" s="46">
        <v>23</v>
      </c>
      <c r="AK3573" s="46">
        <v>9300</v>
      </c>
      <c r="AL3573" s="46">
        <v>46074.89899999999</v>
      </c>
      <c r="AM3573" s="46">
        <v>4.9539999999999997</v>
      </c>
      <c r="AN3573" s="46" t="s">
        <v>63</v>
      </c>
      <c r="AO3573" s="46">
        <v>2200</v>
      </c>
      <c r="AP3573" s="46">
        <v>10812.001</v>
      </c>
      <c r="AQ3573" s="46">
        <v>4.915</v>
      </c>
      <c r="AR3573" s="46">
        <v>65.099999999999994</v>
      </c>
      <c r="AS3573" s="46">
        <v>24</v>
      </c>
      <c r="AT3573" s="46">
        <v>12000</v>
      </c>
      <c r="AU3573" s="46">
        <v>58852.200000000012</v>
      </c>
      <c r="AV3573" s="46">
        <v>4.9039999999999999</v>
      </c>
      <c r="AW3573" s="46">
        <v>23</v>
      </c>
      <c r="AX3573" s="46">
        <v>9300</v>
      </c>
      <c r="AY3573" s="46">
        <v>46074.89899999999</v>
      </c>
      <c r="AZ3573" s="46">
        <v>4.9539999999999997</v>
      </c>
      <c r="BA3573" s="46" t="s">
        <v>63</v>
      </c>
      <c r="BB3573" s="46">
        <v>2700</v>
      </c>
      <c r="BC3573" s="46">
        <v>12777.300999999999</v>
      </c>
      <c r="BD3573" s="46">
        <v>4.7320000000000002</v>
      </c>
      <c r="BE3573" s="46">
        <v>465</v>
      </c>
      <c r="BF3573" s="46">
        <v>1965.3000000000029</v>
      </c>
      <c r="BG3573" s="46">
        <v>3.93</v>
      </c>
      <c r="BH3573" s="46">
        <v>0</v>
      </c>
      <c r="BJ3573">
        <v>1965.2999999999993</v>
      </c>
      <c r="BK3573">
        <v>3.93</v>
      </c>
      <c r="BL3573">
        <v>14.43</v>
      </c>
    </row>
    <row r="3574" spans="1:64" x14ac:dyDescent="0.25">
      <c r="A3574" s="136">
        <v>43647</v>
      </c>
      <c r="B3574" t="s">
        <v>124</v>
      </c>
      <c r="C3574" t="s">
        <v>125</v>
      </c>
      <c r="D3574">
        <v>100</v>
      </c>
      <c r="E3574">
        <v>100</v>
      </c>
      <c r="F3574">
        <v>-53.82</v>
      </c>
      <c r="G3574">
        <v>5974</v>
      </c>
      <c r="H3574">
        <v>0</v>
      </c>
      <c r="I3574">
        <v>592</v>
      </c>
      <c r="J3574">
        <v>5.92</v>
      </c>
      <c r="K3574" s="133">
        <v>1.0915200672553364E-3</v>
      </c>
      <c r="L3574" s="181">
        <v>1</v>
      </c>
      <c r="M3574" s="133">
        <v>0</v>
      </c>
      <c r="N3574" s="73">
        <v>5573.0690000000113</v>
      </c>
      <c r="O3574" s="73">
        <v>1102.4501845505636</v>
      </c>
      <c r="P3574" s="182">
        <v>0</v>
      </c>
      <c r="Q3574" s="182">
        <v>0</v>
      </c>
      <c r="R3574" s="46">
        <v>0</v>
      </c>
      <c r="S3574" s="46">
        <v>5</v>
      </c>
      <c r="T3574" s="46">
        <v>2300</v>
      </c>
      <c r="U3574" s="46">
        <v>4.99</v>
      </c>
      <c r="V3574" s="46" t="s">
        <v>68</v>
      </c>
      <c r="W3574" s="46">
        <v>2300</v>
      </c>
      <c r="X3574" s="46">
        <v>4.99</v>
      </c>
      <c r="AF3574" s="46">
        <v>50</v>
      </c>
      <c r="AG3574" s="46">
        <v>36700</v>
      </c>
      <c r="AH3574" s="46">
        <v>180101.02000000002</v>
      </c>
      <c r="AI3574" s="46">
        <v>4.907</v>
      </c>
      <c r="AJ3574" s="46">
        <v>58</v>
      </c>
      <c r="AK3574" s="46">
        <v>35300</v>
      </c>
      <c r="AL3574" s="46">
        <v>178266.546</v>
      </c>
      <c r="AM3574" s="46">
        <v>5.05</v>
      </c>
      <c r="AN3574" s="46" t="s">
        <v>63</v>
      </c>
      <c r="AO3574" s="46">
        <v>1400</v>
      </c>
      <c r="AP3574" s="46">
        <v>1834.4739999999999</v>
      </c>
      <c r="AQ3574" s="46">
        <v>1.31</v>
      </c>
      <c r="AR3574" s="46">
        <v>5047.8999999999996</v>
      </c>
      <c r="AS3574" s="46">
        <v>51</v>
      </c>
      <c r="AT3574" s="46">
        <v>37700</v>
      </c>
      <c r="AU3574" s="46">
        <v>185106.62</v>
      </c>
      <c r="AV3574" s="46">
        <v>4.91</v>
      </c>
      <c r="AW3574" s="46">
        <v>63</v>
      </c>
      <c r="AX3574" s="46">
        <v>37600</v>
      </c>
      <c r="AY3574" s="46">
        <v>189713.68900000001</v>
      </c>
      <c r="AZ3574" s="46">
        <v>5.0460000000000003</v>
      </c>
      <c r="BA3574" s="46" t="s">
        <v>63</v>
      </c>
      <c r="BB3574" s="46">
        <v>100</v>
      </c>
      <c r="BC3574" s="46">
        <v>4607.0690000000004</v>
      </c>
      <c r="BD3574" s="46">
        <v>46.070999999999998</v>
      </c>
      <c r="BE3574" s="46">
        <v>5113.6000000000004</v>
      </c>
      <c r="BF3574" s="46">
        <v>5005.5999999999767</v>
      </c>
      <c r="BH3574" s="46">
        <v>11447.143000000011</v>
      </c>
      <c r="BI3574">
        <v>4.9800000000000004</v>
      </c>
      <c r="BJ3574">
        <v>2772.5950000000003</v>
      </c>
      <c r="BK3574">
        <v>1.21</v>
      </c>
      <c r="BL3574">
        <v>852.69</v>
      </c>
    </row>
    <row r="3575" spans="1:64" x14ac:dyDescent="0.25">
      <c r="A3575" s="136">
        <v>43647</v>
      </c>
      <c r="B3575" t="s">
        <v>71</v>
      </c>
      <c r="C3575" t="s">
        <v>126</v>
      </c>
      <c r="D3575">
        <v>3000</v>
      </c>
      <c r="E3575">
        <v>3000</v>
      </c>
      <c r="F3575">
        <v>5.25</v>
      </c>
      <c r="G3575">
        <v>2459.59</v>
      </c>
      <c r="H3575">
        <v>15.62</v>
      </c>
      <c r="I3575">
        <v>18210</v>
      </c>
      <c r="J3575">
        <v>6.07</v>
      </c>
      <c r="K3575" s="133">
        <v>3.3575304771485938E-2</v>
      </c>
      <c r="L3575" s="181">
        <v>180</v>
      </c>
      <c r="M3575" s="133">
        <v>2.9040352335302572E-2</v>
      </c>
      <c r="N3575" s="73">
        <v>2864.5400000000063</v>
      </c>
      <c r="O3575" s="73">
        <v>399.51367458745989</v>
      </c>
      <c r="P3575" s="182">
        <v>0</v>
      </c>
      <c r="Q3575" s="182">
        <v>0</v>
      </c>
      <c r="R3575" s="46">
        <v>0</v>
      </c>
      <c r="S3575" s="46">
        <v>4</v>
      </c>
      <c r="T3575" s="46">
        <v>1500</v>
      </c>
      <c r="U3575" s="46">
        <v>6.5330000000000004</v>
      </c>
      <c r="V3575" s="46" t="s">
        <v>68</v>
      </c>
      <c r="W3575" s="46">
        <v>1500</v>
      </c>
      <c r="X3575" s="46">
        <v>6.5330000000000004</v>
      </c>
      <c r="AF3575" s="46">
        <v>56</v>
      </c>
      <c r="AG3575" s="46">
        <v>29100</v>
      </c>
      <c r="AH3575" s="46">
        <v>184288.42999999993</v>
      </c>
      <c r="AI3575" s="46">
        <v>6.3330000000000002</v>
      </c>
      <c r="AJ3575" s="46">
        <v>56</v>
      </c>
      <c r="AK3575" s="46">
        <v>24600</v>
      </c>
      <c r="AL3575" s="46">
        <v>158600.19399999999</v>
      </c>
      <c r="AM3575" s="46">
        <v>6.4470000000000001</v>
      </c>
      <c r="AN3575" s="46" t="s">
        <v>63</v>
      </c>
      <c r="AO3575" s="46">
        <v>4500</v>
      </c>
      <c r="AP3575" s="46">
        <v>25688.236000000001</v>
      </c>
      <c r="AQ3575" s="46">
        <v>5.7080000000000002</v>
      </c>
      <c r="AR3575" s="46">
        <v>2804.4</v>
      </c>
      <c r="AS3575" s="46">
        <v>56</v>
      </c>
      <c r="AT3575" s="46">
        <v>29100</v>
      </c>
      <c r="AU3575" s="46">
        <v>184288.42999999993</v>
      </c>
      <c r="AV3575" s="46">
        <v>6.3330000000000002</v>
      </c>
      <c r="AW3575" s="46">
        <v>60</v>
      </c>
      <c r="AX3575" s="46">
        <v>26100</v>
      </c>
      <c r="AY3575" s="46">
        <v>168369.49400000001</v>
      </c>
      <c r="AZ3575" s="46">
        <v>6.4509999999999996</v>
      </c>
      <c r="BA3575" s="46" t="s">
        <v>63</v>
      </c>
      <c r="BB3575" s="46">
        <v>3000</v>
      </c>
      <c r="BC3575" s="46">
        <v>15918.936</v>
      </c>
      <c r="BD3575" s="46">
        <v>5.306</v>
      </c>
      <c r="BE3575" s="46">
        <v>3079.8</v>
      </c>
      <c r="BF3575" s="46">
        <v>0</v>
      </c>
      <c r="BH3575" s="46">
        <v>9769.3000000000175</v>
      </c>
      <c r="BI3575">
        <v>6.51</v>
      </c>
      <c r="BJ3575">
        <v>-9769.3000000000011</v>
      </c>
      <c r="BK3575">
        <v>-6.51</v>
      </c>
      <c r="BL3575">
        <v>462.01</v>
      </c>
    </row>
    <row r="3576" spans="1:64" x14ac:dyDescent="0.25">
      <c r="A3576" s="136">
        <v>43647</v>
      </c>
      <c r="B3576" t="s">
        <v>79</v>
      </c>
      <c r="C3576" t="s">
        <v>143</v>
      </c>
      <c r="D3576">
        <v>12320</v>
      </c>
      <c r="E3576">
        <v>12320</v>
      </c>
      <c r="F3576">
        <v>10.045</v>
      </c>
      <c r="G3576">
        <v>-28150.25</v>
      </c>
      <c r="H3576">
        <v>-22.75</v>
      </c>
      <c r="I3576">
        <v>95603.199999999997</v>
      </c>
      <c r="J3576">
        <v>7.76</v>
      </c>
      <c r="K3576" s="133">
        <v>0.17627164069902934</v>
      </c>
      <c r="L3576" s="181">
        <v>1232</v>
      </c>
      <c r="M3576" s="133">
        <v>0.22817461835655389</v>
      </c>
      <c r="N3576" s="73">
        <v>-28417.87600000028</v>
      </c>
      <c r="O3576" s="73">
        <v>-3669.7244266150233</v>
      </c>
      <c r="P3576" s="182">
        <v>12</v>
      </c>
      <c r="Q3576" s="182">
        <v>8320</v>
      </c>
      <c r="R3576" s="46">
        <v>5.4939999999999998</v>
      </c>
      <c r="S3576" s="46">
        <v>0</v>
      </c>
      <c r="T3576" s="46">
        <v>0</v>
      </c>
      <c r="U3576" s="46">
        <v>0</v>
      </c>
      <c r="V3576" s="46" t="s">
        <v>62</v>
      </c>
      <c r="W3576" s="46">
        <v>8320</v>
      </c>
      <c r="X3576" s="46">
        <v>5.4939999999999998</v>
      </c>
      <c r="AF3576" s="46">
        <v>39</v>
      </c>
      <c r="AG3576" s="46">
        <v>20000</v>
      </c>
      <c r="AH3576" s="46">
        <v>278411.99999999977</v>
      </c>
      <c r="AI3576" s="46">
        <v>13.920999999999999</v>
      </c>
      <c r="AJ3576" s="46">
        <v>40</v>
      </c>
      <c r="AK3576" s="46">
        <v>16000</v>
      </c>
      <c r="AL3576" s="46">
        <v>200416.31599999976</v>
      </c>
      <c r="AM3576" s="46">
        <v>12.526</v>
      </c>
      <c r="AN3576" s="46" t="s">
        <v>63</v>
      </c>
      <c r="AO3576" s="46">
        <v>4000</v>
      </c>
      <c r="AP3576" s="46">
        <v>77995.683999999994</v>
      </c>
      <c r="AQ3576" s="46">
        <v>19.498999999999999</v>
      </c>
      <c r="AR3576" s="46">
        <v>-22320</v>
      </c>
      <c r="AS3576" s="46">
        <v>51</v>
      </c>
      <c r="AT3576" s="46">
        <v>28320</v>
      </c>
      <c r="AU3576" s="46">
        <v>324190.99199999962</v>
      </c>
      <c r="AV3576" s="46">
        <v>11.446999999999999</v>
      </c>
      <c r="AW3576" s="46">
        <v>40</v>
      </c>
      <c r="AX3576" s="46">
        <v>16000</v>
      </c>
      <c r="AY3576" s="46">
        <v>200416.31599999976</v>
      </c>
      <c r="AZ3576" s="46">
        <v>12.526</v>
      </c>
      <c r="BA3576" s="46" t="s">
        <v>63</v>
      </c>
      <c r="BB3576" s="46">
        <v>12320</v>
      </c>
      <c r="BC3576" s="46">
        <v>123774.67600000001</v>
      </c>
      <c r="BD3576" s="46">
        <v>10.047000000000001</v>
      </c>
      <c r="BE3576" s="46">
        <v>17264</v>
      </c>
      <c r="BF3576" s="46">
        <v>45778.991999999853</v>
      </c>
      <c r="BG3576" s="46">
        <v>5.5</v>
      </c>
      <c r="BH3576" s="46">
        <v>0</v>
      </c>
      <c r="BJ3576">
        <v>45778.992000000013</v>
      </c>
      <c r="BK3576">
        <v>5.5</v>
      </c>
      <c r="BL3576">
        <v>-2876.29</v>
      </c>
    </row>
    <row r="3577" spans="1:64" x14ac:dyDescent="0.25">
      <c r="A3577" s="136">
        <v>43647</v>
      </c>
      <c r="B3577" t="s">
        <v>65</v>
      </c>
      <c r="C3577" t="s">
        <v>127</v>
      </c>
      <c r="D3577">
        <v>27200</v>
      </c>
      <c r="E3577">
        <v>27200</v>
      </c>
      <c r="F3577">
        <v>8.42</v>
      </c>
      <c r="G3577">
        <v>-13331.87</v>
      </c>
      <c r="H3577">
        <v>-5.82</v>
      </c>
      <c r="I3577">
        <v>215696</v>
      </c>
      <c r="J3577">
        <v>7.93</v>
      </c>
      <c r="K3577" s="133">
        <v>0.39769681153159975</v>
      </c>
      <c r="L3577" s="181">
        <v>4131.83</v>
      </c>
      <c r="M3577" s="133">
        <v>0.42227789875970684</v>
      </c>
      <c r="N3577" s="73">
        <v>-17614.305000000109</v>
      </c>
      <c r="O3577" s="73">
        <v>-1680.4647067150374</v>
      </c>
      <c r="P3577" s="182">
        <v>6</v>
      </c>
      <c r="Q3577" s="182">
        <v>4000</v>
      </c>
      <c r="R3577" s="46">
        <v>8.3800000000000008</v>
      </c>
      <c r="S3577" s="46">
        <v>3</v>
      </c>
      <c r="T3577" s="46">
        <v>1200</v>
      </c>
      <c r="U3577" s="46">
        <v>7.6429999999999998</v>
      </c>
      <c r="V3577" s="46" t="s">
        <v>62</v>
      </c>
      <c r="W3577" s="46">
        <v>2800</v>
      </c>
      <c r="X3577" s="46">
        <v>8.6959999999999997</v>
      </c>
      <c r="AF3577" s="46">
        <v>247</v>
      </c>
      <c r="AG3577" s="46">
        <v>133300</v>
      </c>
      <c r="AH3577" s="46">
        <v>1403902.6810000001</v>
      </c>
      <c r="AI3577" s="46">
        <v>10.532</v>
      </c>
      <c r="AJ3577" s="46">
        <v>277</v>
      </c>
      <c r="AK3577" s="46">
        <v>118100</v>
      </c>
      <c r="AL3577" s="46">
        <v>1184931.5460000003</v>
      </c>
      <c r="AM3577" s="46">
        <v>10.032999999999999</v>
      </c>
      <c r="AN3577" s="46" t="s">
        <v>63</v>
      </c>
      <c r="AO3577" s="46">
        <v>15200</v>
      </c>
      <c r="AP3577" s="46">
        <v>218971.13500000001</v>
      </c>
      <c r="AQ3577" s="46">
        <v>14.406000000000001</v>
      </c>
      <c r="AR3577" s="46">
        <v>-58931.9</v>
      </c>
      <c r="AS3577" s="46">
        <v>254</v>
      </c>
      <c r="AT3577" s="46">
        <v>137400</v>
      </c>
      <c r="AU3577" s="46">
        <v>1438740.6810000001</v>
      </c>
      <c r="AV3577" s="46">
        <v>10.471</v>
      </c>
      <c r="AW3577" s="46">
        <v>280</v>
      </c>
      <c r="AX3577" s="46">
        <v>119300</v>
      </c>
      <c r="AY3577" s="46">
        <v>1194079.3740000001</v>
      </c>
      <c r="AZ3577" s="46">
        <v>10.009</v>
      </c>
      <c r="BA3577" s="46" t="s">
        <v>63</v>
      </c>
      <c r="BB3577" s="46">
        <v>18100</v>
      </c>
      <c r="BC3577" s="46">
        <v>244661.307</v>
      </c>
      <c r="BD3577" s="46">
        <v>13.516999999999999</v>
      </c>
      <c r="BE3577" s="46">
        <v>-55116.6</v>
      </c>
      <c r="BF3577" s="46">
        <v>34838</v>
      </c>
      <c r="BG3577" s="46">
        <v>8.7100000000000009</v>
      </c>
      <c r="BH3577" s="46">
        <v>9147.8279999997467</v>
      </c>
      <c r="BI3577">
        <v>7.62</v>
      </c>
      <c r="BJ3577">
        <v>25690.171999999991</v>
      </c>
      <c r="BK3577">
        <v>9.18</v>
      </c>
      <c r="BL3577">
        <v>-7431.51</v>
      </c>
    </row>
    <row r="3578" spans="1:64" x14ac:dyDescent="0.25">
      <c r="A3578" s="136">
        <v>43647</v>
      </c>
      <c r="B3578" t="s">
        <v>77</v>
      </c>
      <c r="C3578" t="s">
        <v>150</v>
      </c>
      <c r="D3578">
        <v>6600</v>
      </c>
      <c r="E3578">
        <v>6600</v>
      </c>
      <c r="F3578">
        <v>5.19</v>
      </c>
      <c r="G3578">
        <v>-7591.58</v>
      </c>
      <c r="H3578">
        <v>-22.16</v>
      </c>
      <c r="I3578">
        <v>26664</v>
      </c>
      <c r="J3578">
        <v>4.04</v>
      </c>
      <c r="K3578" s="133">
        <v>4.9162653840027513E-2</v>
      </c>
      <c r="L3578" s="181">
        <v>396</v>
      </c>
      <c r="M3578" s="133">
        <v>6.3159886799781351E-2</v>
      </c>
      <c r="N3578" s="73">
        <v>-7832.525999999998</v>
      </c>
      <c r="O3578" s="73">
        <v>-1796.2891512254898</v>
      </c>
      <c r="P3578" s="182">
        <v>8</v>
      </c>
      <c r="Q3578" s="182">
        <v>4000</v>
      </c>
      <c r="R3578" s="46">
        <v>4.2549999999999999</v>
      </c>
      <c r="S3578" s="46">
        <v>0</v>
      </c>
      <c r="T3578" s="46">
        <v>0</v>
      </c>
      <c r="U3578" s="46">
        <v>0</v>
      </c>
      <c r="V3578" s="46" t="s">
        <v>62</v>
      </c>
      <c r="W3578" s="46">
        <v>4000</v>
      </c>
      <c r="X3578" s="46">
        <v>4.2549999999999999</v>
      </c>
      <c r="AF3578" s="46">
        <v>52</v>
      </c>
      <c r="AG3578" s="46">
        <v>26000</v>
      </c>
      <c r="AH3578" s="46">
        <v>177594</v>
      </c>
      <c r="AI3578" s="46">
        <v>6.8310000000000004</v>
      </c>
      <c r="AJ3578" s="46">
        <v>52</v>
      </c>
      <c r="AK3578" s="46">
        <v>23400</v>
      </c>
      <c r="AL3578" s="46">
        <v>160105.47400000005</v>
      </c>
      <c r="AM3578" s="46">
        <v>6.8419999999999996</v>
      </c>
      <c r="AN3578" s="46" t="s">
        <v>63</v>
      </c>
      <c r="AO3578" s="46">
        <v>2600</v>
      </c>
      <c r="AP3578" s="46">
        <v>17488.526000000002</v>
      </c>
      <c r="AQ3578" s="46">
        <v>6.726</v>
      </c>
      <c r="AR3578" s="46">
        <v>257.39999999999998</v>
      </c>
      <c r="AS3578" s="46">
        <v>60</v>
      </c>
      <c r="AT3578" s="46">
        <v>30000</v>
      </c>
      <c r="AU3578" s="46">
        <v>194366</v>
      </c>
      <c r="AV3578" s="46">
        <v>6.4790000000000001</v>
      </c>
      <c r="AW3578" s="46">
        <v>52</v>
      </c>
      <c r="AX3578" s="46">
        <v>23400</v>
      </c>
      <c r="AY3578" s="46">
        <v>160105.47400000005</v>
      </c>
      <c r="AZ3578" s="46">
        <v>6.8419999999999996</v>
      </c>
      <c r="BA3578" s="46" t="s">
        <v>63</v>
      </c>
      <c r="BB3578" s="46">
        <v>6600</v>
      </c>
      <c r="BC3578" s="46">
        <v>34260.525999999998</v>
      </c>
      <c r="BD3578" s="46">
        <v>5.1909999999999998</v>
      </c>
      <c r="BE3578" s="46">
        <v>8494.2000000000007</v>
      </c>
      <c r="BF3578" s="46">
        <v>16772</v>
      </c>
      <c r="BG3578" s="46">
        <v>4.1900000000000004</v>
      </c>
      <c r="BH3578" s="46">
        <v>0</v>
      </c>
      <c r="BJ3578">
        <v>16771.999999999996</v>
      </c>
      <c r="BK3578">
        <v>4.1900000000000004</v>
      </c>
      <c r="BL3578">
        <v>63.71</v>
      </c>
    </row>
    <row r="3579" spans="1:64" x14ac:dyDescent="0.25">
      <c r="A3579" s="136">
        <v>43647</v>
      </c>
      <c r="B3579" t="s">
        <v>67</v>
      </c>
      <c r="C3579" t="s">
        <v>129</v>
      </c>
      <c r="D3579">
        <v>1930</v>
      </c>
      <c r="E3579">
        <v>1930</v>
      </c>
      <c r="F3579">
        <v>4.4690000000000003</v>
      </c>
      <c r="G3579">
        <v>4613.91</v>
      </c>
      <c r="H3579">
        <v>53.49</v>
      </c>
      <c r="I3579">
        <v>13239.8</v>
      </c>
      <c r="J3579">
        <v>6.86</v>
      </c>
      <c r="K3579" s="133">
        <v>2.4411330044674329E-2</v>
      </c>
      <c r="L3579" s="181">
        <v>349.75</v>
      </c>
      <c r="M3579" s="133">
        <v>1.5904277082664075E-2</v>
      </c>
      <c r="N3579" s="73">
        <v>4647.6994999999661</v>
      </c>
      <c r="O3579" s="73">
        <v>675.19994916424173</v>
      </c>
      <c r="P3579" s="182">
        <v>1</v>
      </c>
      <c r="Q3579" s="182">
        <v>30</v>
      </c>
      <c r="R3579" s="46">
        <v>0</v>
      </c>
      <c r="S3579" s="46">
        <v>21</v>
      </c>
      <c r="T3579" s="46">
        <v>8400</v>
      </c>
      <c r="U3579" s="46">
        <v>8.8680000000000003</v>
      </c>
      <c r="V3579" s="46" t="s">
        <v>68</v>
      </c>
      <c r="W3579" s="46">
        <v>8370</v>
      </c>
      <c r="X3579" s="46">
        <v>8.9</v>
      </c>
      <c r="AF3579" s="46">
        <v>200</v>
      </c>
      <c r="AG3579" s="46">
        <v>98800</v>
      </c>
      <c r="AH3579" s="46">
        <v>817869</v>
      </c>
      <c r="AI3579" s="46">
        <v>8.2780000000000005</v>
      </c>
      <c r="AJ3579" s="46">
        <v>204</v>
      </c>
      <c r="AK3579" s="46">
        <v>91100</v>
      </c>
      <c r="AL3579" s="46">
        <v>804056.4075000002</v>
      </c>
      <c r="AM3579" s="46">
        <v>8.8260000000000005</v>
      </c>
      <c r="AN3579" s="46" t="s">
        <v>63</v>
      </c>
      <c r="AO3579" s="46">
        <v>7700</v>
      </c>
      <c r="AP3579" s="46">
        <v>13812.592000000001</v>
      </c>
      <c r="AQ3579" s="46">
        <v>1.794</v>
      </c>
      <c r="AR3579" s="46">
        <v>49922.8</v>
      </c>
      <c r="AS3579" s="46">
        <v>201</v>
      </c>
      <c r="AT3579" s="46">
        <v>98830</v>
      </c>
      <c r="AU3579" s="46">
        <v>817874</v>
      </c>
      <c r="AV3579" s="46">
        <v>8.2759999999999998</v>
      </c>
      <c r="AW3579" s="46">
        <v>225</v>
      </c>
      <c r="AX3579" s="46">
        <v>99500</v>
      </c>
      <c r="AY3579" s="46">
        <v>878371.41550000024</v>
      </c>
      <c r="AZ3579" s="46">
        <v>8.8279999999999994</v>
      </c>
      <c r="BA3579" s="46" t="s">
        <v>69</v>
      </c>
      <c r="BB3579" s="46">
        <v>670</v>
      </c>
      <c r="BC3579" s="46">
        <v>60497.415999999997</v>
      </c>
      <c r="BD3579" s="46">
        <v>90.295000000000002</v>
      </c>
      <c r="BE3579" s="46">
        <v>54554.16</v>
      </c>
      <c r="BF3579" s="46">
        <v>5</v>
      </c>
      <c r="BG3579" s="46">
        <v>0.17</v>
      </c>
      <c r="BH3579" s="46">
        <v>74315.008000000031</v>
      </c>
      <c r="BI3579">
        <v>8.85</v>
      </c>
      <c r="BJ3579">
        <v>46684.823999999993</v>
      </c>
      <c r="BK3579">
        <v>5.58</v>
      </c>
      <c r="BL3579">
        <v>7277.38</v>
      </c>
    </row>
    <row r="3580" spans="1:64" x14ac:dyDescent="0.25">
      <c r="A3580" s="136">
        <v>43647</v>
      </c>
      <c r="B3580" t="s">
        <v>78</v>
      </c>
      <c r="C3580" t="s">
        <v>142</v>
      </c>
      <c r="D3580">
        <v>200</v>
      </c>
      <c r="E3580">
        <v>200</v>
      </c>
      <c r="F3580">
        <v>1.9870000000000001</v>
      </c>
      <c r="G3580">
        <v>1456.65</v>
      </c>
      <c r="H3580">
        <v>366.55</v>
      </c>
      <c r="I3580">
        <v>1854</v>
      </c>
      <c r="J3580">
        <v>9.27</v>
      </c>
      <c r="K3580" s="133">
        <v>3.4183753457624894E-3</v>
      </c>
      <c r="L3580" s="181">
        <v>26</v>
      </c>
      <c r="M3580" s="133">
        <v>7.3262753162822269E-4</v>
      </c>
      <c r="N3580" s="73">
        <v>1472.650999999996</v>
      </c>
      <c r="O3580" s="73">
        <v>157.42402935828835</v>
      </c>
      <c r="P3580" s="182">
        <v>0</v>
      </c>
      <c r="Q3580" s="182">
        <v>0</v>
      </c>
      <c r="R3580" s="46">
        <v>0</v>
      </c>
      <c r="S3580" s="46">
        <v>3</v>
      </c>
      <c r="T3580" s="46">
        <v>1200</v>
      </c>
      <c r="U3580" s="46">
        <v>9.923</v>
      </c>
      <c r="V3580" s="46" t="s">
        <v>68</v>
      </c>
      <c r="W3580" s="46">
        <v>1200</v>
      </c>
      <c r="X3580" s="46">
        <v>9.923</v>
      </c>
      <c r="AF3580" s="46">
        <v>14</v>
      </c>
      <c r="AG3580" s="46">
        <v>7000</v>
      </c>
      <c r="AH3580" s="46">
        <v>67625</v>
      </c>
      <c r="AI3580" s="46">
        <v>9.6609999999999996</v>
      </c>
      <c r="AJ3580" s="46">
        <v>15</v>
      </c>
      <c r="AK3580" s="46">
        <v>5600</v>
      </c>
      <c r="AL3580" s="46">
        <v>55310.559000000008</v>
      </c>
      <c r="AM3580" s="46">
        <v>9.8770000000000007</v>
      </c>
      <c r="AN3580" s="46" t="s">
        <v>63</v>
      </c>
      <c r="AO3580" s="46">
        <v>1400</v>
      </c>
      <c r="AP3580" s="46">
        <v>12314.441000000001</v>
      </c>
      <c r="AQ3580" s="46">
        <v>8.7959999999999994</v>
      </c>
      <c r="AR3580" s="46">
        <v>1209.5999999999999</v>
      </c>
      <c r="AS3580" s="46">
        <v>14</v>
      </c>
      <c r="AT3580" s="46">
        <v>7000</v>
      </c>
      <c r="AU3580" s="46">
        <v>67625</v>
      </c>
      <c r="AV3580" s="46">
        <v>9.6609999999999996</v>
      </c>
      <c r="AW3580" s="46">
        <v>18</v>
      </c>
      <c r="AX3580" s="46">
        <v>6800</v>
      </c>
      <c r="AY3580" s="46">
        <v>67227.651000000013</v>
      </c>
      <c r="AZ3580" s="46">
        <v>9.8859999999999992</v>
      </c>
      <c r="BA3580" s="46" t="s">
        <v>63</v>
      </c>
      <c r="BB3580" s="46">
        <v>200</v>
      </c>
      <c r="BC3580" s="46">
        <v>397.34899999999999</v>
      </c>
      <c r="BD3580" s="46">
        <v>1.9870000000000001</v>
      </c>
      <c r="BE3580" s="46">
        <v>1530</v>
      </c>
      <c r="BF3580" s="46">
        <v>0</v>
      </c>
      <c r="BH3580" s="46">
        <v>11917.092000000004</v>
      </c>
      <c r="BI3580">
        <v>9.93</v>
      </c>
      <c r="BJ3580">
        <v>-11917.092000000001</v>
      </c>
      <c r="BK3580">
        <v>-9.93</v>
      </c>
      <c r="BL3580">
        <v>130.49</v>
      </c>
    </row>
    <row r="3581" spans="1:64" x14ac:dyDescent="0.25">
      <c r="A3581" s="136">
        <v>43647</v>
      </c>
      <c r="B3581" t="s">
        <v>72</v>
      </c>
      <c r="C3581" t="s">
        <v>130</v>
      </c>
      <c r="D3581">
        <v>100</v>
      </c>
      <c r="E3581">
        <v>100</v>
      </c>
      <c r="F3581">
        <v>-18.477</v>
      </c>
      <c r="G3581">
        <v>2457.6999999999998</v>
      </c>
      <c r="H3581">
        <v>0</v>
      </c>
      <c r="I3581">
        <v>610</v>
      </c>
      <c r="J3581">
        <v>6.1</v>
      </c>
      <c r="K3581" s="133">
        <v>1.1247081774083702E-3</v>
      </c>
      <c r="L3581" s="181">
        <v>-16</v>
      </c>
      <c r="M3581" s="133">
        <v>0</v>
      </c>
      <c r="N3581" s="73">
        <v>-1498.9659999999872</v>
      </c>
      <c r="O3581" s="73">
        <v>376.42007904191922</v>
      </c>
      <c r="P3581" s="182">
        <v>0</v>
      </c>
      <c r="Q3581" s="182">
        <v>0</v>
      </c>
      <c r="R3581" s="46">
        <v>0</v>
      </c>
      <c r="S3581" s="46">
        <v>20</v>
      </c>
      <c r="T3581" s="46">
        <v>8600</v>
      </c>
      <c r="U3581" s="46">
        <v>7.3840000000000003</v>
      </c>
      <c r="V3581" s="46" t="s">
        <v>68</v>
      </c>
      <c r="W3581" s="46">
        <v>8600</v>
      </c>
      <c r="X3581" s="46">
        <v>7.3840000000000003</v>
      </c>
      <c r="AF3581" s="46">
        <v>42</v>
      </c>
      <c r="AG3581" s="46">
        <v>20900</v>
      </c>
      <c r="AH3581" s="46">
        <v>152800</v>
      </c>
      <c r="AI3581" s="46">
        <v>7.3109999999999999</v>
      </c>
      <c r="AJ3581" s="46">
        <v>42</v>
      </c>
      <c r="AK3581" s="46">
        <v>18800</v>
      </c>
      <c r="AL3581" s="46">
        <v>92037.725000000035</v>
      </c>
      <c r="AM3581" s="46">
        <v>4.8959999999999999</v>
      </c>
      <c r="AN3581" s="46" t="s">
        <v>63</v>
      </c>
      <c r="AO3581" s="46">
        <v>2100</v>
      </c>
      <c r="AP3581" s="46">
        <v>60762.275000000001</v>
      </c>
      <c r="AQ3581" s="46">
        <v>28.934000000000001</v>
      </c>
      <c r="AR3581" s="46">
        <v>-45402</v>
      </c>
      <c r="AS3581" s="46">
        <v>42</v>
      </c>
      <c r="AT3581" s="46">
        <v>20900</v>
      </c>
      <c r="AU3581" s="46">
        <v>152800</v>
      </c>
      <c r="AV3581" s="46">
        <v>7.3109999999999999</v>
      </c>
      <c r="AW3581" s="46">
        <v>63</v>
      </c>
      <c r="AX3581" s="46">
        <v>27900</v>
      </c>
      <c r="AY3581" s="46">
        <v>155380.21900000001</v>
      </c>
      <c r="AZ3581" s="46">
        <v>5.569</v>
      </c>
      <c r="BA3581" s="46" t="s">
        <v>69</v>
      </c>
      <c r="BB3581" s="46">
        <v>7000</v>
      </c>
      <c r="BC3581" s="46">
        <v>2580.2190000000001</v>
      </c>
      <c r="BD3581" s="46">
        <v>0.36899999999999999</v>
      </c>
      <c r="BE3581" s="46">
        <v>-36407.800000000003</v>
      </c>
      <c r="BF3581" s="46">
        <v>0</v>
      </c>
      <c r="BH3581" s="46">
        <v>63342.493999999977</v>
      </c>
      <c r="BI3581">
        <v>7.37</v>
      </c>
      <c r="BJ3581">
        <v>-58182.056000000004</v>
      </c>
      <c r="BK3581">
        <v>-6.77</v>
      </c>
      <c r="BL3581">
        <v>-7442.95</v>
      </c>
    </row>
    <row r="3582" spans="1:64" x14ac:dyDescent="0.25">
      <c r="A3582" s="136">
        <v>43647</v>
      </c>
      <c r="B3582" t="s">
        <v>70</v>
      </c>
      <c r="C3582" t="s">
        <v>131</v>
      </c>
      <c r="D3582">
        <v>11680</v>
      </c>
      <c r="E3582">
        <v>11680</v>
      </c>
      <c r="F3582">
        <v>8.7560000000000002</v>
      </c>
      <c r="G3582">
        <v>3555.33</v>
      </c>
      <c r="H3582">
        <v>3.48</v>
      </c>
      <c r="I3582">
        <v>105820.8</v>
      </c>
      <c r="J3582">
        <v>9.06</v>
      </c>
      <c r="K3582" s="133">
        <v>0.1951106870490093</v>
      </c>
      <c r="L3582" s="181">
        <v>-467.20000000000027</v>
      </c>
      <c r="M3582" s="133">
        <v>0.18855542684509896</v>
      </c>
      <c r="N3582" s="73">
        <v>1536.7909999999829</v>
      </c>
      <c r="O3582" s="73">
        <v>172.78094538807454</v>
      </c>
      <c r="P3582" s="182">
        <v>1</v>
      </c>
      <c r="Q3582" s="182">
        <v>1780</v>
      </c>
      <c r="R3582" s="46">
        <v>0</v>
      </c>
      <c r="S3582" s="46">
        <v>14</v>
      </c>
      <c r="T3582" s="46">
        <v>5700</v>
      </c>
      <c r="U3582" s="46">
        <v>10.558</v>
      </c>
      <c r="V3582" s="46" t="s">
        <v>68</v>
      </c>
      <c r="W3582" s="46">
        <v>3920</v>
      </c>
      <c r="X3582" s="46">
        <v>15.352</v>
      </c>
      <c r="AF3582" s="46">
        <v>176</v>
      </c>
      <c r="AG3582" s="46">
        <v>89000</v>
      </c>
      <c r="AH3582" s="46">
        <v>1069050</v>
      </c>
      <c r="AI3582" s="46">
        <v>12.012</v>
      </c>
      <c r="AJ3582" s="46">
        <v>182</v>
      </c>
      <c r="AK3582" s="46">
        <v>73400</v>
      </c>
      <c r="AL3582" s="46">
        <v>905411.7709999996</v>
      </c>
      <c r="AM3582" s="46">
        <v>12.335000000000001</v>
      </c>
      <c r="AN3582" s="46" t="s">
        <v>63</v>
      </c>
      <c r="AO3582" s="46">
        <v>15600</v>
      </c>
      <c r="AP3582" s="46">
        <v>163638.22899999999</v>
      </c>
      <c r="AQ3582" s="46">
        <v>10.49</v>
      </c>
      <c r="AR3582" s="46">
        <v>23708.2</v>
      </c>
      <c r="AS3582" s="46">
        <v>177</v>
      </c>
      <c r="AT3582" s="46">
        <v>90780</v>
      </c>
      <c r="AU3582" s="46">
        <v>1069935</v>
      </c>
      <c r="AV3582" s="46">
        <v>11.786</v>
      </c>
      <c r="AW3582" s="46">
        <v>197</v>
      </c>
      <c r="AX3582" s="46">
        <v>79100</v>
      </c>
      <c r="AY3582" s="46">
        <v>965866.59099999955</v>
      </c>
      <c r="AZ3582" s="46">
        <v>12.211</v>
      </c>
      <c r="BA3582" s="46" t="s">
        <v>63</v>
      </c>
      <c r="BB3582" s="46">
        <v>11680</v>
      </c>
      <c r="BC3582" s="46">
        <v>104068.409</v>
      </c>
      <c r="BD3582" s="46">
        <v>8.91</v>
      </c>
      <c r="BE3582" s="46">
        <v>33617.5</v>
      </c>
      <c r="BF3582" s="46">
        <v>885</v>
      </c>
      <c r="BG3582" s="46">
        <v>0.5</v>
      </c>
      <c r="BH3582" s="46">
        <v>60454.819999999949</v>
      </c>
      <c r="BI3582">
        <v>10.61</v>
      </c>
      <c r="BJ3582">
        <v>-59569.819999999992</v>
      </c>
      <c r="BK3582">
        <v>-15.2</v>
      </c>
      <c r="BL3582">
        <v>2616.8000000000002</v>
      </c>
    </row>
    <row r="3583" spans="1:64" x14ac:dyDescent="0.25">
      <c r="A3583" s="136">
        <v>43647</v>
      </c>
      <c r="B3583" t="s">
        <v>628</v>
      </c>
      <c r="C3583" t="s">
        <v>629</v>
      </c>
      <c r="D3583">
        <v>100</v>
      </c>
      <c r="E3583">
        <v>100</v>
      </c>
      <c r="F3583">
        <v>-22.369</v>
      </c>
      <c r="G3583">
        <v>4092.9</v>
      </c>
      <c r="H3583">
        <v>0</v>
      </c>
      <c r="I3583">
        <v>1856</v>
      </c>
      <c r="J3583">
        <v>18.559999999999999</v>
      </c>
      <c r="K3583" s="133">
        <v>3.4220629135572711E-3</v>
      </c>
      <c r="L3583" s="181">
        <v>-5.9999999999995453</v>
      </c>
      <c r="M3583" s="133">
        <v>0</v>
      </c>
    </row>
    <row r="3584" spans="1:64" x14ac:dyDescent="0.25">
      <c r="A3584" s="136">
        <v>43647</v>
      </c>
      <c r="B3584" t="s">
        <v>630</v>
      </c>
      <c r="C3584" t="s">
        <v>631</v>
      </c>
      <c r="D3584">
        <v>100</v>
      </c>
      <c r="E3584">
        <v>100</v>
      </c>
      <c r="F3584">
        <v>-94.6</v>
      </c>
      <c r="G3584">
        <v>12038</v>
      </c>
      <c r="H3584">
        <v>0</v>
      </c>
      <c r="I3584">
        <v>2578</v>
      </c>
      <c r="J3584">
        <v>25.78</v>
      </c>
      <c r="K3584" s="133">
        <v>4.7532748874734073E-3</v>
      </c>
      <c r="L3584" s="181">
        <v>97</v>
      </c>
      <c r="M3584" s="133">
        <v>0</v>
      </c>
    </row>
    <row r="3585" spans="1:64" x14ac:dyDescent="0.25">
      <c r="A3585" s="136">
        <v>43647</v>
      </c>
      <c r="B3585" t="s">
        <v>137</v>
      </c>
      <c r="C3585" t="s">
        <v>149</v>
      </c>
      <c r="D3585">
        <v>150</v>
      </c>
      <c r="E3585">
        <v>150</v>
      </c>
      <c r="F3585">
        <v>-87.406999999999996</v>
      </c>
      <c r="G3585">
        <v>16892.55</v>
      </c>
      <c r="H3585">
        <v>0</v>
      </c>
      <c r="I3585">
        <v>3781.5</v>
      </c>
      <c r="J3585">
        <v>25.21</v>
      </c>
      <c r="K3585" s="133">
        <v>6.9722688079832005E-3</v>
      </c>
      <c r="L3585" s="181">
        <v>-19.5</v>
      </c>
      <c r="M3585" s="133">
        <v>0</v>
      </c>
    </row>
    <row r="3586" spans="1:64" x14ac:dyDescent="0.25">
      <c r="A3586" s="136">
        <v>43647</v>
      </c>
      <c r="B3586" t="s">
        <v>835</v>
      </c>
      <c r="C3586" t="s">
        <v>839</v>
      </c>
      <c r="I3586">
        <v>3680.63</v>
      </c>
      <c r="K3586" s="133">
        <v>6.7862863262533931E-3</v>
      </c>
      <c r="L3586" s="181">
        <v>0</v>
      </c>
      <c r="M3586" s="133">
        <v>8.0537605346206284E-2</v>
      </c>
    </row>
    <row r="3587" spans="1:64" x14ac:dyDescent="0.25">
      <c r="A3587" s="136">
        <v>43648</v>
      </c>
      <c r="B3587" t="s">
        <v>132</v>
      </c>
      <c r="C3587" t="s">
        <v>123</v>
      </c>
      <c r="D3587">
        <v>4000511</v>
      </c>
      <c r="E3587">
        <v>4000511</v>
      </c>
      <c r="F3587">
        <v>8.9999999999999993E-3</v>
      </c>
      <c r="G3587">
        <v>4011.96</v>
      </c>
      <c r="H3587">
        <v>11.11</v>
      </c>
      <c r="I3587">
        <v>40005.11</v>
      </c>
      <c r="J3587">
        <v>0.01</v>
      </c>
      <c r="K3587" s="133">
        <v>7.367488292668796E-2</v>
      </c>
      <c r="L3587" s="181">
        <v>5.1300000000001091</v>
      </c>
      <c r="M3587" s="133">
        <v>0</v>
      </c>
    </row>
    <row r="3588" spans="1:64" x14ac:dyDescent="0.25">
      <c r="A3588" s="136">
        <v>43648</v>
      </c>
      <c r="B3588" t="s">
        <v>61</v>
      </c>
      <c r="C3588" t="s">
        <v>136</v>
      </c>
      <c r="D3588">
        <v>2700</v>
      </c>
      <c r="E3588">
        <v>2700</v>
      </c>
      <c r="F3588">
        <v>4.7309999999999999</v>
      </c>
      <c r="G3588">
        <v>-595.57000000000005</v>
      </c>
      <c r="H3588">
        <v>-4.66</v>
      </c>
      <c r="I3588">
        <v>12177</v>
      </c>
      <c r="J3588">
        <v>4.51</v>
      </c>
      <c r="K3588" s="133">
        <v>2.2425611363105346E-2</v>
      </c>
      <c r="L3588" s="181">
        <v>0</v>
      </c>
      <c r="M3588" s="133">
        <v>2.3522434994502621E-2</v>
      </c>
      <c r="N3588" s="73">
        <v>-735.3010000000013</v>
      </c>
      <c r="O3588" s="73">
        <v>-164.78326221973123</v>
      </c>
      <c r="P3588" s="182">
        <v>1</v>
      </c>
      <c r="Q3588" s="182">
        <v>500</v>
      </c>
      <c r="R3588" s="46">
        <v>4.46</v>
      </c>
      <c r="S3588" s="46">
        <v>0</v>
      </c>
      <c r="T3588" s="46">
        <v>0</v>
      </c>
      <c r="U3588" s="46">
        <v>0</v>
      </c>
      <c r="V3588" s="46" t="s">
        <v>62</v>
      </c>
      <c r="W3588" s="46">
        <v>500</v>
      </c>
      <c r="X3588" s="46">
        <v>4.46</v>
      </c>
      <c r="AF3588" s="46">
        <v>23</v>
      </c>
      <c r="AG3588" s="46">
        <v>11500</v>
      </c>
      <c r="AH3588" s="46">
        <v>56886.900000000009</v>
      </c>
      <c r="AI3588" s="46">
        <v>4.9470000000000001</v>
      </c>
      <c r="AJ3588" s="46">
        <v>23</v>
      </c>
      <c r="AK3588" s="46">
        <v>9300</v>
      </c>
      <c r="AL3588" s="46">
        <v>46074.89899999999</v>
      </c>
      <c r="AM3588" s="46">
        <v>4.9539999999999997</v>
      </c>
      <c r="AN3588" s="46" t="s">
        <v>63</v>
      </c>
      <c r="AO3588" s="46">
        <v>2200</v>
      </c>
      <c r="AP3588" s="46">
        <v>10812.001</v>
      </c>
      <c r="AQ3588" s="46">
        <v>4.915</v>
      </c>
      <c r="AR3588" s="46">
        <v>65.099999999999994</v>
      </c>
      <c r="AS3588" s="46">
        <v>24</v>
      </c>
      <c r="AT3588" s="46">
        <v>12000</v>
      </c>
      <c r="AU3588" s="46">
        <v>58852.200000000012</v>
      </c>
      <c r="AV3588" s="46">
        <v>4.9039999999999999</v>
      </c>
      <c r="AW3588" s="46">
        <v>23</v>
      </c>
      <c r="AX3588" s="46">
        <v>9300</v>
      </c>
      <c r="AY3588" s="46">
        <v>46074.89899999999</v>
      </c>
      <c r="AZ3588" s="46">
        <v>4.9539999999999997</v>
      </c>
      <c r="BA3588" s="46" t="s">
        <v>63</v>
      </c>
      <c r="BB3588" s="46">
        <v>2700</v>
      </c>
      <c r="BC3588" s="46">
        <v>12777.300999999999</v>
      </c>
      <c r="BD3588" s="46">
        <v>4.7320000000000002</v>
      </c>
      <c r="BE3588" s="46">
        <v>465</v>
      </c>
      <c r="BF3588" s="46">
        <v>1965.3000000000029</v>
      </c>
      <c r="BG3588" s="46">
        <v>3.93</v>
      </c>
      <c r="BH3588" s="46">
        <v>0</v>
      </c>
      <c r="BJ3588">
        <v>1965.2999999999993</v>
      </c>
      <c r="BK3588">
        <v>3.93</v>
      </c>
      <c r="BL3588">
        <v>14.43</v>
      </c>
    </row>
    <row r="3589" spans="1:64" x14ac:dyDescent="0.25">
      <c r="A3589" s="136">
        <v>43648</v>
      </c>
      <c r="B3589" t="s">
        <v>124</v>
      </c>
      <c r="C3589" t="s">
        <v>125</v>
      </c>
      <c r="D3589">
        <v>100</v>
      </c>
      <c r="E3589">
        <v>100</v>
      </c>
      <c r="F3589">
        <v>-53.82</v>
      </c>
      <c r="G3589">
        <v>5975</v>
      </c>
      <c r="H3589">
        <v>0</v>
      </c>
      <c r="I3589">
        <v>593</v>
      </c>
      <c r="J3589">
        <v>5.93</v>
      </c>
      <c r="K3589" s="133">
        <v>1.0920906248108294E-3</v>
      </c>
      <c r="L3589" s="181">
        <v>1</v>
      </c>
      <c r="M3589" s="133">
        <v>0</v>
      </c>
      <c r="N3589" s="73">
        <v>5573.0690000000113</v>
      </c>
      <c r="O3589" s="73">
        <v>1102.4501845505636</v>
      </c>
      <c r="P3589" s="182">
        <v>0</v>
      </c>
      <c r="Q3589" s="182">
        <v>0</v>
      </c>
      <c r="R3589" s="46">
        <v>0</v>
      </c>
      <c r="S3589" s="46">
        <v>5</v>
      </c>
      <c r="T3589" s="46">
        <v>2300</v>
      </c>
      <c r="U3589" s="46">
        <v>4.99</v>
      </c>
      <c r="V3589" s="46" t="s">
        <v>68</v>
      </c>
      <c r="W3589" s="46">
        <v>2300</v>
      </c>
      <c r="X3589" s="46">
        <v>4.99</v>
      </c>
      <c r="AF3589" s="46">
        <v>50</v>
      </c>
      <c r="AG3589" s="46">
        <v>36700</v>
      </c>
      <c r="AH3589" s="46">
        <v>180101.02000000002</v>
      </c>
      <c r="AI3589" s="46">
        <v>4.907</v>
      </c>
      <c r="AJ3589" s="46">
        <v>58</v>
      </c>
      <c r="AK3589" s="46">
        <v>35300</v>
      </c>
      <c r="AL3589" s="46">
        <v>178266.546</v>
      </c>
      <c r="AM3589" s="46">
        <v>5.05</v>
      </c>
      <c r="AN3589" s="46" t="s">
        <v>63</v>
      </c>
      <c r="AO3589" s="46">
        <v>1400</v>
      </c>
      <c r="AP3589" s="46">
        <v>1834.4739999999999</v>
      </c>
      <c r="AQ3589" s="46">
        <v>1.31</v>
      </c>
      <c r="AR3589" s="46">
        <v>5047.8999999999996</v>
      </c>
      <c r="AS3589" s="46">
        <v>51</v>
      </c>
      <c r="AT3589" s="46">
        <v>37700</v>
      </c>
      <c r="AU3589" s="46">
        <v>185106.62</v>
      </c>
      <c r="AV3589" s="46">
        <v>4.91</v>
      </c>
      <c r="AW3589" s="46">
        <v>63</v>
      </c>
      <c r="AX3589" s="46">
        <v>37600</v>
      </c>
      <c r="AY3589" s="46">
        <v>189713.68900000001</v>
      </c>
      <c r="AZ3589" s="46">
        <v>5.0460000000000003</v>
      </c>
      <c r="BA3589" s="46" t="s">
        <v>63</v>
      </c>
      <c r="BB3589" s="46">
        <v>100</v>
      </c>
      <c r="BC3589" s="46">
        <v>4607.0690000000004</v>
      </c>
      <c r="BD3589" s="46">
        <v>46.070999999999998</v>
      </c>
      <c r="BE3589" s="46">
        <v>5113.6000000000004</v>
      </c>
      <c r="BF3589" s="46">
        <v>5005.5999999999767</v>
      </c>
      <c r="BH3589" s="46">
        <v>11447.143000000011</v>
      </c>
      <c r="BI3589">
        <v>4.9800000000000004</v>
      </c>
      <c r="BJ3589">
        <v>2772.5950000000003</v>
      </c>
      <c r="BK3589">
        <v>1.21</v>
      </c>
      <c r="BL3589">
        <v>851.25</v>
      </c>
    </row>
    <row r="3590" spans="1:64" x14ac:dyDescent="0.25">
      <c r="A3590" s="136">
        <v>43648</v>
      </c>
      <c r="B3590" t="s">
        <v>71</v>
      </c>
      <c r="C3590" t="s">
        <v>126</v>
      </c>
      <c r="D3590">
        <v>3000</v>
      </c>
      <c r="E3590">
        <v>3000</v>
      </c>
      <c r="F3590">
        <v>5.25</v>
      </c>
      <c r="G3590">
        <v>2399.59</v>
      </c>
      <c r="H3590">
        <v>15.24</v>
      </c>
      <c r="I3590">
        <v>18150</v>
      </c>
      <c r="J3590">
        <v>6.05</v>
      </c>
      <c r="K3590" s="133">
        <v>3.3425707993788453E-2</v>
      </c>
      <c r="L3590" s="181">
        <v>-60</v>
      </c>
      <c r="M3590" s="133">
        <v>2.9006534735120972E-2</v>
      </c>
      <c r="N3590" s="73">
        <v>2864.5400000000063</v>
      </c>
      <c r="O3590" s="73">
        <v>399.51367458745989</v>
      </c>
      <c r="P3590" s="182">
        <v>0</v>
      </c>
      <c r="Q3590" s="182">
        <v>0</v>
      </c>
      <c r="R3590" s="46">
        <v>0</v>
      </c>
      <c r="S3590" s="46">
        <v>4</v>
      </c>
      <c r="T3590" s="46">
        <v>1500</v>
      </c>
      <c r="U3590" s="46">
        <v>6.5330000000000004</v>
      </c>
      <c r="V3590" s="46" t="s">
        <v>68</v>
      </c>
      <c r="W3590" s="46">
        <v>1500</v>
      </c>
      <c r="X3590" s="46">
        <v>6.5330000000000004</v>
      </c>
      <c r="AF3590" s="46">
        <v>56</v>
      </c>
      <c r="AG3590" s="46">
        <v>29100</v>
      </c>
      <c r="AH3590" s="46">
        <v>184288.42999999993</v>
      </c>
      <c r="AI3590" s="46">
        <v>6.3330000000000002</v>
      </c>
      <c r="AJ3590" s="46">
        <v>56</v>
      </c>
      <c r="AK3590" s="46">
        <v>24600</v>
      </c>
      <c r="AL3590" s="46">
        <v>158600.19399999999</v>
      </c>
      <c r="AM3590" s="46">
        <v>6.4470000000000001</v>
      </c>
      <c r="AN3590" s="46" t="s">
        <v>63</v>
      </c>
      <c r="AO3590" s="46">
        <v>4500</v>
      </c>
      <c r="AP3590" s="46">
        <v>25688.236000000001</v>
      </c>
      <c r="AQ3590" s="46">
        <v>5.7080000000000002</v>
      </c>
      <c r="AR3590" s="46">
        <v>2804.4</v>
      </c>
      <c r="AS3590" s="46">
        <v>56</v>
      </c>
      <c r="AT3590" s="46">
        <v>29100</v>
      </c>
      <c r="AU3590" s="46">
        <v>184288.42999999993</v>
      </c>
      <c r="AV3590" s="46">
        <v>6.3330000000000002</v>
      </c>
      <c r="AW3590" s="46">
        <v>60</v>
      </c>
      <c r="AX3590" s="46">
        <v>26100</v>
      </c>
      <c r="AY3590" s="46">
        <v>168369.49400000001</v>
      </c>
      <c r="AZ3590" s="46">
        <v>6.4509999999999996</v>
      </c>
      <c r="BA3590" s="46" t="s">
        <v>63</v>
      </c>
      <c r="BB3590" s="46">
        <v>3000</v>
      </c>
      <c r="BC3590" s="46">
        <v>15918.936</v>
      </c>
      <c r="BD3590" s="46">
        <v>5.306</v>
      </c>
      <c r="BE3590" s="46">
        <v>3079.8</v>
      </c>
      <c r="BF3590" s="46">
        <v>0</v>
      </c>
      <c r="BH3590" s="46">
        <v>9769.3000000000175</v>
      </c>
      <c r="BI3590">
        <v>6.51</v>
      </c>
      <c r="BJ3590">
        <v>-9769.3000000000011</v>
      </c>
      <c r="BK3590">
        <v>-6.51</v>
      </c>
      <c r="BL3590">
        <v>463.54</v>
      </c>
    </row>
    <row r="3591" spans="1:64" x14ac:dyDescent="0.25">
      <c r="A3591" s="136">
        <v>43648</v>
      </c>
      <c r="B3591" t="s">
        <v>79</v>
      </c>
      <c r="C3591" t="s">
        <v>143</v>
      </c>
      <c r="D3591">
        <v>11920</v>
      </c>
      <c r="E3591">
        <v>11920</v>
      </c>
      <c r="F3591">
        <v>10.119</v>
      </c>
      <c r="G3591">
        <v>-27641.65</v>
      </c>
      <c r="H3591">
        <v>-22.92</v>
      </c>
      <c r="I3591">
        <v>92976</v>
      </c>
      <c r="J3591">
        <v>7.8</v>
      </c>
      <c r="K3591" s="133">
        <v>0.17122802349479202</v>
      </c>
      <c r="L3591" s="181">
        <v>508.59999999999854</v>
      </c>
      <c r="M3591" s="133">
        <v>0.22213390345988859</v>
      </c>
      <c r="N3591" s="73">
        <v>-26947.860000000292</v>
      </c>
      <c r="O3591" s="73">
        <v>-3426.7666755725563</v>
      </c>
      <c r="P3591" s="182">
        <v>11</v>
      </c>
      <c r="Q3591" s="182">
        <v>7820</v>
      </c>
      <c r="R3591" s="46">
        <v>5.3639999999999999</v>
      </c>
      <c r="S3591" s="46">
        <v>0</v>
      </c>
      <c r="T3591" s="46">
        <v>0</v>
      </c>
      <c r="U3591" s="46">
        <v>0</v>
      </c>
      <c r="V3591" s="46" t="s">
        <v>62</v>
      </c>
      <c r="W3591" s="46">
        <v>7820</v>
      </c>
      <c r="X3591" s="46">
        <v>5.3639999999999999</v>
      </c>
      <c r="AF3591" s="46">
        <v>40</v>
      </c>
      <c r="AG3591" s="46">
        <v>20500</v>
      </c>
      <c r="AH3591" s="46">
        <v>282187.29999999976</v>
      </c>
      <c r="AI3591" s="46">
        <v>13.765000000000001</v>
      </c>
      <c r="AJ3591" s="46">
        <v>41</v>
      </c>
      <c r="AK3591" s="46">
        <v>16400</v>
      </c>
      <c r="AL3591" s="46">
        <v>203551.93199999974</v>
      </c>
      <c r="AM3591" s="46">
        <v>12.412000000000001</v>
      </c>
      <c r="AN3591" s="46" t="s">
        <v>63</v>
      </c>
      <c r="AO3591" s="46">
        <v>4100</v>
      </c>
      <c r="AP3591" s="46">
        <v>78635.368000000002</v>
      </c>
      <c r="AQ3591" s="46">
        <v>19.178999999999998</v>
      </c>
      <c r="AR3591" s="46">
        <v>-22189.200000000001</v>
      </c>
      <c r="AS3591" s="46">
        <v>51</v>
      </c>
      <c r="AT3591" s="46">
        <v>28320</v>
      </c>
      <c r="AU3591" s="46">
        <v>324190.99199999962</v>
      </c>
      <c r="AV3591" s="46">
        <v>11.446999999999999</v>
      </c>
      <c r="AW3591" s="46">
        <v>41</v>
      </c>
      <c r="AX3591" s="46">
        <v>16400</v>
      </c>
      <c r="AY3591" s="46">
        <v>203551.93199999974</v>
      </c>
      <c r="AZ3591" s="46">
        <v>12.412000000000001</v>
      </c>
      <c r="BA3591" s="46" t="s">
        <v>63</v>
      </c>
      <c r="BB3591" s="46">
        <v>11920</v>
      </c>
      <c r="BC3591" s="46">
        <v>120639.06</v>
      </c>
      <c r="BD3591" s="46">
        <v>10.121</v>
      </c>
      <c r="BE3591" s="46">
        <v>15826</v>
      </c>
      <c r="BF3591" s="46">
        <v>42003.691999999864</v>
      </c>
      <c r="BG3591" s="46">
        <v>5.37</v>
      </c>
      <c r="BH3591" s="46">
        <v>0</v>
      </c>
      <c r="BJ3591">
        <v>42003.691999999995</v>
      </c>
      <c r="BK3591">
        <v>5.37</v>
      </c>
      <c r="BL3591">
        <v>-2844.77</v>
      </c>
    </row>
    <row r="3592" spans="1:64" x14ac:dyDescent="0.25">
      <c r="A3592" s="136">
        <v>43648</v>
      </c>
      <c r="B3592" t="s">
        <v>65</v>
      </c>
      <c r="C3592" t="s">
        <v>127</v>
      </c>
      <c r="D3592">
        <v>26800</v>
      </c>
      <c r="E3592">
        <v>26800</v>
      </c>
      <c r="F3592">
        <v>8.4269999999999996</v>
      </c>
      <c r="G3592">
        <v>-13056.06</v>
      </c>
      <c r="H3592">
        <v>-5.78</v>
      </c>
      <c r="I3592">
        <v>212792</v>
      </c>
      <c r="J3592">
        <v>7.94</v>
      </c>
      <c r="K3592" s="133">
        <v>0.39188557881070152</v>
      </c>
      <c r="L3592" s="181">
        <v>275.81000000000131</v>
      </c>
      <c r="M3592" s="133">
        <v>0.41593009942278869</v>
      </c>
      <c r="N3592" s="73">
        <v>-16534.493000000104</v>
      </c>
      <c r="O3592" s="73">
        <v>-1536.6139310226149</v>
      </c>
      <c r="P3592" s="182">
        <v>6</v>
      </c>
      <c r="Q3592" s="182">
        <v>4000</v>
      </c>
      <c r="R3592" s="46">
        <v>8.3800000000000008</v>
      </c>
      <c r="S3592" s="46">
        <v>4</v>
      </c>
      <c r="T3592" s="46">
        <v>1600</v>
      </c>
      <c r="U3592" s="46">
        <v>7.7249999999999996</v>
      </c>
      <c r="V3592" s="46" t="s">
        <v>62</v>
      </c>
      <c r="W3592" s="46">
        <v>2400</v>
      </c>
      <c r="X3592" s="46">
        <v>8.8170000000000002</v>
      </c>
      <c r="AF3592" s="46">
        <v>247</v>
      </c>
      <c r="AG3592" s="46">
        <v>133300</v>
      </c>
      <c r="AH3592" s="46">
        <v>1403902.6810000001</v>
      </c>
      <c r="AI3592" s="46">
        <v>10.532</v>
      </c>
      <c r="AJ3592" s="46">
        <v>277</v>
      </c>
      <c r="AK3592" s="46">
        <v>118100</v>
      </c>
      <c r="AL3592" s="46">
        <v>1184931.5460000003</v>
      </c>
      <c r="AM3592" s="46">
        <v>10.032999999999999</v>
      </c>
      <c r="AN3592" s="46" t="s">
        <v>63</v>
      </c>
      <c r="AO3592" s="46">
        <v>15200</v>
      </c>
      <c r="AP3592" s="46">
        <v>218971.13500000001</v>
      </c>
      <c r="AQ3592" s="46">
        <v>14.406000000000001</v>
      </c>
      <c r="AR3592" s="46">
        <v>-58931.9</v>
      </c>
      <c r="AS3592" s="46">
        <v>254</v>
      </c>
      <c r="AT3592" s="46">
        <v>137400</v>
      </c>
      <c r="AU3592" s="46">
        <v>1438740.6810000001</v>
      </c>
      <c r="AV3592" s="46">
        <v>10.471</v>
      </c>
      <c r="AW3592" s="46">
        <v>281</v>
      </c>
      <c r="AX3592" s="46">
        <v>119700</v>
      </c>
      <c r="AY3592" s="46">
        <v>1197259.186</v>
      </c>
      <c r="AZ3592" s="46">
        <v>10.002000000000001</v>
      </c>
      <c r="BA3592" s="46" t="s">
        <v>63</v>
      </c>
      <c r="BB3592" s="46">
        <v>17700</v>
      </c>
      <c r="BC3592" s="46">
        <v>241481.495</v>
      </c>
      <c r="BD3592" s="46">
        <v>13.643000000000001</v>
      </c>
      <c r="BE3592" s="46">
        <v>-56139.3</v>
      </c>
      <c r="BF3592" s="46">
        <v>34838</v>
      </c>
      <c r="BG3592" s="46">
        <v>8.7100000000000009</v>
      </c>
      <c r="BH3592" s="46">
        <v>12327.639999999665</v>
      </c>
      <c r="BI3592">
        <v>7.7</v>
      </c>
      <c r="BJ3592">
        <v>22510.359999999986</v>
      </c>
      <c r="BK3592">
        <v>9.3800000000000008</v>
      </c>
      <c r="BL3592">
        <v>-7422.15</v>
      </c>
    </row>
    <row r="3593" spans="1:64" x14ac:dyDescent="0.25">
      <c r="A3593" s="136">
        <v>43648</v>
      </c>
      <c r="B3593" t="s">
        <v>77</v>
      </c>
      <c r="C3593" t="s">
        <v>150</v>
      </c>
      <c r="D3593">
        <v>6600</v>
      </c>
      <c r="E3593">
        <v>6600</v>
      </c>
      <c r="F3593">
        <v>5.19</v>
      </c>
      <c r="G3593">
        <v>-7525.58</v>
      </c>
      <c r="H3593">
        <v>-21.97</v>
      </c>
      <c r="I3593">
        <v>26730</v>
      </c>
      <c r="J3593">
        <v>4.05</v>
      </c>
      <c r="K3593" s="133">
        <v>4.9226951772670273E-2</v>
      </c>
      <c r="L3593" s="181">
        <v>66</v>
      </c>
      <c r="M3593" s="133">
        <v>6.3086336872609367E-2</v>
      </c>
      <c r="N3593" s="73">
        <v>-7832.525999999998</v>
      </c>
      <c r="O3593" s="73">
        <v>-1796.2891512254898</v>
      </c>
      <c r="P3593" s="182">
        <v>8</v>
      </c>
      <c r="Q3593" s="182">
        <v>4000</v>
      </c>
      <c r="R3593" s="46">
        <v>4.2549999999999999</v>
      </c>
      <c r="S3593" s="46">
        <v>0</v>
      </c>
      <c r="T3593" s="46">
        <v>0</v>
      </c>
      <c r="U3593" s="46">
        <v>0</v>
      </c>
      <c r="V3593" s="46" t="s">
        <v>62</v>
      </c>
      <c r="W3593" s="46">
        <v>4000</v>
      </c>
      <c r="X3593" s="46">
        <v>4.2549999999999999</v>
      </c>
      <c r="AF3593" s="46">
        <v>52</v>
      </c>
      <c r="AG3593" s="46">
        <v>26000</v>
      </c>
      <c r="AH3593" s="46">
        <v>177594</v>
      </c>
      <c r="AI3593" s="46">
        <v>6.8310000000000004</v>
      </c>
      <c r="AJ3593" s="46">
        <v>52</v>
      </c>
      <c r="AK3593" s="46">
        <v>23400</v>
      </c>
      <c r="AL3593" s="46">
        <v>160105.47400000005</v>
      </c>
      <c r="AM3593" s="46">
        <v>6.8419999999999996</v>
      </c>
      <c r="AN3593" s="46" t="s">
        <v>63</v>
      </c>
      <c r="AO3593" s="46">
        <v>2600</v>
      </c>
      <c r="AP3593" s="46">
        <v>17488.526000000002</v>
      </c>
      <c r="AQ3593" s="46">
        <v>6.726</v>
      </c>
      <c r="AR3593" s="46">
        <v>257.39999999999998</v>
      </c>
      <c r="AS3593" s="46">
        <v>60</v>
      </c>
      <c r="AT3593" s="46">
        <v>30000</v>
      </c>
      <c r="AU3593" s="46">
        <v>194366</v>
      </c>
      <c r="AV3593" s="46">
        <v>6.4790000000000001</v>
      </c>
      <c r="AW3593" s="46">
        <v>52</v>
      </c>
      <c r="AX3593" s="46">
        <v>23400</v>
      </c>
      <c r="AY3593" s="46">
        <v>160105.47400000005</v>
      </c>
      <c r="AZ3593" s="46">
        <v>6.8419999999999996</v>
      </c>
      <c r="BA3593" s="46" t="s">
        <v>63</v>
      </c>
      <c r="BB3593" s="46">
        <v>6600</v>
      </c>
      <c r="BC3593" s="46">
        <v>34260.525999999998</v>
      </c>
      <c r="BD3593" s="46">
        <v>5.1909999999999998</v>
      </c>
      <c r="BE3593" s="46">
        <v>8494.2000000000007</v>
      </c>
      <c r="BF3593" s="46">
        <v>16772</v>
      </c>
      <c r="BG3593" s="46">
        <v>4.1900000000000004</v>
      </c>
      <c r="BH3593" s="46">
        <v>0</v>
      </c>
      <c r="BJ3593">
        <v>16771.999999999996</v>
      </c>
      <c r="BK3593">
        <v>4.1900000000000004</v>
      </c>
      <c r="BL3593">
        <v>63.56</v>
      </c>
    </row>
    <row r="3594" spans="1:64" x14ac:dyDescent="0.25">
      <c r="A3594" s="136">
        <v>43648</v>
      </c>
      <c r="B3594" t="s">
        <v>67</v>
      </c>
      <c r="C3594" t="s">
        <v>129</v>
      </c>
      <c r="D3594">
        <v>1930</v>
      </c>
      <c r="E3594">
        <v>1930</v>
      </c>
      <c r="F3594">
        <v>4.4690000000000003</v>
      </c>
      <c r="G3594">
        <v>4536.71</v>
      </c>
      <c r="H3594">
        <v>52.6</v>
      </c>
      <c r="I3594">
        <v>13162.6</v>
      </c>
      <c r="J3594">
        <v>6.82</v>
      </c>
      <c r="K3594" s="133">
        <v>2.4240728597192281E-2</v>
      </c>
      <c r="L3594" s="181">
        <v>-77.199999999999818</v>
      </c>
      <c r="M3594" s="133">
        <v>1.588575649182038E-2</v>
      </c>
      <c r="N3594" s="73">
        <v>4647.6994999999661</v>
      </c>
      <c r="O3594" s="73">
        <v>675.19994916424173</v>
      </c>
      <c r="P3594" s="182">
        <v>1</v>
      </c>
      <c r="Q3594" s="182">
        <v>30</v>
      </c>
      <c r="R3594" s="46">
        <v>0</v>
      </c>
      <c r="S3594" s="46">
        <v>21</v>
      </c>
      <c r="T3594" s="46">
        <v>8400</v>
      </c>
      <c r="U3594" s="46">
        <v>8.8680000000000003</v>
      </c>
      <c r="V3594" s="46" t="s">
        <v>68</v>
      </c>
      <c r="W3594" s="46">
        <v>8370</v>
      </c>
      <c r="X3594" s="46">
        <v>8.9</v>
      </c>
      <c r="AF3594" s="46">
        <v>200</v>
      </c>
      <c r="AG3594" s="46">
        <v>98800</v>
      </c>
      <c r="AH3594" s="46">
        <v>817869</v>
      </c>
      <c r="AI3594" s="46">
        <v>8.2780000000000005</v>
      </c>
      <c r="AJ3594" s="46">
        <v>204</v>
      </c>
      <c r="AK3594" s="46">
        <v>91100</v>
      </c>
      <c r="AL3594" s="46">
        <v>804056.4075000002</v>
      </c>
      <c r="AM3594" s="46">
        <v>8.8260000000000005</v>
      </c>
      <c r="AN3594" s="46" t="s">
        <v>63</v>
      </c>
      <c r="AO3594" s="46">
        <v>7700</v>
      </c>
      <c r="AP3594" s="46">
        <v>13812.592000000001</v>
      </c>
      <c r="AQ3594" s="46">
        <v>1.794</v>
      </c>
      <c r="AR3594" s="46">
        <v>49922.8</v>
      </c>
      <c r="AS3594" s="46">
        <v>201</v>
      </c>
      <c r="AT3594" s="46">
        <v>98830</v>
      </c>
      <c r="AU3594" s="46">
        <v>817874</v>
      </c>
      <c r="AV3594" s="46">
        <v>8.2759999999999998</v>
      </c>
      <c r="AW3594" s="46">
        <v>225</v>
      </c>
      <c r="AX3594" s="46">
        <v>99500</v>
      </c>
      <c r="AY3594" s="46">
        <v>878371.41550000024</v>
      </c>
      <c r="AZ3594" s="46">
        <v>8.8279999999999994</v>
      </c>
      <c r="BA3594" s="46" t="s">
        <v>69</v>
      </c>
      <c r="BB3594" s="46">
        <v>670</v>
      </c>
      <c r="BC3594" s="46">
        <v>60497.415999999997</v>
      </c>
      <c r="BD3594" s="46">
        <v>90.295000000000002</v>
      </c>
      <c r="BE3594" s="46">
        <v>54554.16</v>
      </c>
      <c r="BF3594" s="46">
        <v>5</v>
      </c>
      <c r="BG3594" s="46">
        <v>0.17</v>
      </c>
      <c r="BH3594" s="46">
        <v>74315.008000000031</v>
      </c>
      <c r="BI3594">
        <v>8.85</v>
      </c>
      <c r="BJ3594">
        <v>46684.823999999993</v>
      </c>
      <c r="BK3594">
        <v>5.58</v>
      </c>
      <c r="BL3594">
        <v>7320.06</v>
      </c>
    </row>
    <row r="3595" spans="1:64" x14ac:dyDescent="0.25">
      <c r="A3595" s="136">
        <v>43648</v>
      </c>
      <c r="B3595" t="s">
        <v>78</v>
      </c>
      <c r="C3595" t="s">
        <v>142</v>
      </c>
      <c r="D3595">
        <v>200</v>
      </c>
      <c r="E3595">
        <v>200</v>
      </c>
      <c r="F3595">
        <v>1.9870000000000001</v>
      </c>
      <c r="G3595">
        <v>1442.65</v>
      </c>
      <c r="H3595">
        <v>363.02</v>
      </c>
      <c r="I3595">
        <v>1840</v>
      </c>
      <c r="J3595">
        <v>9.1999999999999993</v>
      </c>
      <c r="K3595" s="133">
        <v>3.3886117194804823E-3</v>
      </c>
      <c r="L3595" s="181">
        <v>-14</v>
      </c>
      <c r="M3595" s="133">
        <v>7.3177438409541815E-4</v>
      </c>
      <c r="N3595" s="73">
        <v>1472.650999999996</v>
      </c>
      <c r="O3595" s="73">
        <v>157.42402935828835</v>
      </c>
      <c r="P3595" s="182">
        <v>0</v>
      </c>
      <c r="Q3595" s="182">
        <v>0</v>
      </c>
      <c r="R3595" s="46">
        <v>0</v>
      </c>
      <c r="S3595" s="46">
        <v>3</v>
      </c>
      <c r="T3595" s="46">
        <v>1200</v>
      </c>
      <c r="U3595" s="46">
        <v>9.923</v>
      </c>
      <c r="V3595" s="46" t="s">
        <v>68</v>
      </c>
      <c r="W3595" s="46">
        <v>1200</v>
      </c>
      <c r="X3595" s="46">
        <v>9.923</v>
      </c>
      <c r="AF3595" s="46">
        <v>14</v>
      </c>
      <c r="AG3595" s="46">
        <v>7000</v>
      </c>
      <c r="AH3595" s="46">
        <v>67625</v>
      </c>
      <c r="AI3595" s="46">
        <v>9.6609999999999996</v>
      </c>
      <c r="AJ3595" s="46">
        <v>15</v>
      </c>
      <c r="AK3595" s="46">
        <v>5600</v>
      </c>
      <c r="AL3595" s="46">
        <v>55310.559000000008</v>
      </c>
      <c r="AM3595" s="46">
        <v>9.8770000000000007</v>
      </c>
      <c r="AN3595" s="46" t="s">
        <v>63</v>
      </c>
      <c r="AO3595" s="46">
        <v>1400</v>
      </c>
      <c r="AP3595" s="46">
        <v>12314.441000000001</v>
      </c>
      <c r="AQ3595" s="46">
        <v>8.7959999999999994</v>
      </c>
      <c r="AR3595" s="46">
        <v>1209.5999999999999</v>
      </c>
      <c r="AS3595" s="46">
        <v>14</v>
      </c>
      <c r="AT3595" s="46">
        <v>7000</v>
      </c>
      <c r="AU3595" s="46">
        <v>67625</v>
      </c>
      <c r="AV3595" s="46">
        <v>9.6609999999999996</v>
      </c>
      <c r="AW3595" s="46">
        <v>18</v>
      </c>
      <c r="AX3595" s="46">
        <v>6800</v>
      </c>
      <c r="AY3595" s="46">
        <v>67227.651000000013</v>
      </c>
      <c r="AZ3595" s="46">
        <v>9.8859999999999992</v>
      </c>
      <c r="BA3595" s="46" t="s">
        <v>63</v>
      </c>
      <c r="BB3595" s="46">
        <v>200</v>
      </c>
      <c r="BC3595" s="46">
        <v>397.34899999999999</v>
      </c>
      <c r="BD3595" s="46">
        <v>1.9870000000000001</v>
      </c>
      <c r="BE3595" s="46">
        <v>1530</v>
      </c>
      <c r="BF3595" s="46">
        <v>0</v>
      </c>
      <c r="BH3595" s="46">
        <v>11917.092000000004</v>
      </c>
      <c r="BI3595">
        <v>9.93</v>
      </c>
      <c r="BJ3595">
        <v>-11917.092000000001</v>
      </c>
      <c r="BK3595">
        <v>-9.93</v>
      </c>
      <c r="BL3595">
        <v>131.47999999999999</v>
      </c>
    </row>
    <row r="3596" spans="1:64" x14ac:dyDescent="0.25">
      <c r="A3596" s="136">
        <v>43648</v>
      </c>
      <c r="B3596" t="s">
        <v>72</v>
      </c>
      <c r="C3596" t="s">
        <v>130</v>
      </c>
      <c r="D3596">
        <v>100</v>
      </c>
      <c r="E3596">
        <v>100</v>
      </c>
      <c r="F3596">
        <v>-18.477</v>
      </c>
      <c r="G3596">
        <v>2447.6999999999998</v>
      </c>
      <c r="H3596">
        <v>0</v>
      </c>
      <c r="I3596">
        <v>600</v>
      </c>
      <c r="J3596">
        <v>6</v>
      </c>
      <c r="K3596" s="133">
        <v>1.1049820824392878E-3</v>
      </c>
      <c r="L3596" s="181">
        <v>-10</v>
      </c>
      <c r="M3596" s="133">
        <v>0</v>
      </c>
      <c r="N3596" s="73">
        <v>-1498.9659999999872</v>
      </c>
      <c r="O3596" s="73">
        <v>376.42007904191922</v>
      </c>
      <c r="P3596" s="182">
        <v>0</v>
      </c>
      <c r="Q3596" s="182">
        <v>0</v>
      </c>
      <c r="R3596" s="46">
        <v>0</v>
      </c>
      <c r="S3596" s="46">
        <v>20</v>
      </c>
      <c r="T3596" s="46">
        <v>8600</v>
      </c>
      <c r="U3596" s="46">
        <v>7.3840000000000003</v>
      </c>
      <c r="V3596" s="46" t="s">
        <v>68</v>
      </c>
      <c r="W3596" s="46">
        <v>8600</v>
      </c>
      <c r="X3596" s="46">
        <v>7.3840000000000003</v>
      </c>
      <c r="AF3596" s="46">
        <v>42</v>
      </c>
      <c r="AG3596" s="46">
        <v>20900</v>
      </c>
      <c r="AH3596" s="46">
        <v>152800</v>
      </c>
      <c r="AI3596" s="46">
        <v>7.3109999999999999</v>
      </c>
      <c r="AJ3596" s="46">
        <v>42</v>
      </c>
      <c r="AK3596" s="46">
        <v>18800</v>
      </c>
      <c r="AL3596" s="46">
        <v>92037.725000000035</v>
      </c>
      <c r="AM3596" s="46">
        <v>4.8959999999999999</v>
      </c>
      <c r="AN3596" s="46" t="s">
        <v>63</v>
      </c>
      <c r="AO3596" s="46">
        <v>2100</v>
      </c>
      <c r="AP3596" s="46">
        <v>60762.275000000001</v>
      </c>
      <c r="AQ3596" s="46">
        <v>28.934000000000001</v>
      </c>
      <c r="AR3596" s="46">
        <v>-45402</v>
      </c>
      <c r="AS3596" s="46">
        <v>42</v>
      </c>
      <c r="AT3596" s="46">
        <v>20900</v>
      </c>
      <c r="AU3596" s="46">
        <v>152800</v>
      </c>
      <c r="AV3596" s="46">
        <v>7.3109999999999999</v>
      </c>
      <c r="AW3596" s="46">
        <v>63</v>
      </c>
      <c r="AX3596" s="46">
        <v>27900</v>
      </c>
      <c r="AY3596" s="46">
        <v>155380.21900000001</v>
      </c>
      <c r="AZ3596" s="46">
        <v>5.569</v>
      </c>
      <c r="BA3596" s="46" t="s">
        <v>69</v>
      </c>
      <c r="BB3596" s="46">
        <v>7000</v>
      </c>
      <c r="BC3596" s="46">
        <v>2580.2190000000001</v>
      </c>
      <c r="BD3596" s="46">
        <v>0.36899999999999999</v>
      </c>
      <c r="BE3596" s="46">
        <v>-36407.800000000003</v>
      </c>
      <c r="BF3596" s="46">
        <v>0</v>
      </c>
      <c r="BH3596" s="46">
        <v>63342.493999999977</v>
      </c>
      <c r="BI3596">
        <v>7.37</v>
      </c>
      <c r="BJ3596">
        <v>-58182.056000000004</v>
      </c>
      <c r="BK3596">
        <v>-6.77</v>
      </c>
      <c r="BL3596">
        <v>-7567</v>
      </c>
    </row>
    <row r="3597" spans="1:64" x14ac:dyDescent="0.25">
      <c r="A3597" s="136">
        <v>43648</v>
      </c>
      <c r="B3597" t="s">
        <v>70</v>
      </c>
      <c r="C3597" t="s">
        <v>131</v>
      </c>
      <c r="D3597">
        <v>11280</v>
      </c>
      <c r="E3597">
        <v>11280</v>
      </c>
      <c r="F3597">
        <v>8.7370000000000001</v>
      </c>
      <c r="G3597">
        <v>3525.81</v>
      </c>
      <c r="H3597">
        <v>3.58</v>
      </c>
      <c r="I3597">
        <v>102084</v>
      </c>
      <c r="J3597">
        <v>9.0500000000000007</v>
      </c>
      <c r="K3597" s="133">
        <v>0.18800165150622042</v>
      </c>
      <c r="L3597" s="181">
        <v>-29.519999999999982</v>
      </c>
      <c r="M3597" s="133">
        <v>0.18150839004607833</v>
      </c>
      <c r="N3597" s="73">
        <v>6200.074999999968</v>
      </c>
      <c r="O3597" s="73">
        <v>667.05866119482982</v>
      </c>
      <c r="P3597" s="182">
        <v>1</v>
      </c>
      <c r="Q3597" s="182">
        <v>1780</v>
      </c>
      <c r="R3597" s="46">
        <v>0</v>
      </c>
      <c r="S3597" s="46">
        <v>15</v>
      </c>
      <c r="T3597" s="46">
        <v>6100</v>
      </c>
      <c r="U3597" s="46">
        <v>10.475</v>
      </c>
      <c r="V3597" s="46" t="s">
        <v>68</v>
      </c>
      <c r="W3597" s="46">
        <v>4320</v>
      </c>
      <c r="X3597" s="46">
        <v>14.791</v>
      </c>
      <c r="AF3597" s="46">
        <v>176</v>
      </c>
      <c r="AG3597" s="46">
        <v>89000</v>
      </c>
      <c r="AH3597" s="46">
        <v>1069050</v>
      </c>
      <c r="AI3597" s="46">
        <v>12.012</v>
      </c>
      <c r="AJ3597" s="46">
        <v>182</v>
      </c>
      <c r="AK3597" s="46">
        <v>73400</v>
      </c>
      <c r="AL3597" s="46">
        <v>905411.7709999996</v>
      </c>
      <c r="AM3597" s="46">
        <v>12.335000000000001</v>
      </c>
      <c r="AN3597" s="46" t="s">
        <v>63</v>
      </c>
      <c r="AO3597" s="46">
        <v>15600</v>
      </c>
      <c r="AP3597" s="46">
        <v>163638.22899999999</v>
      </c>
      <c r="AQ3597" s="46">
        <v>10.49</v>
      </c>
      <c r="AR3597" s="46">
        <v>23708.2</v>
      </c>
      <c r="AS3597" s="46">
        <v>177</v>
      </c>
      <c r="AT3597" s="46">
        <v>90780</v>
      </c>
      <c r="AU3597" s="46">
        <v>1069935</v>
      </c>
      <c r="AV3597" s="46">
        <v>11.786</v>
      </c>
      <c r="AW3597" s="46">
        <v>198</v>
      </c>
      <c r="AX3597" s="46">
        <v>79500</v>
      </c>
      <c r="AY3597" s="46">
        <v>969573.87499999953</v>
      </c>
      <c r="AZ3597" s="46">
        <v>12.196</v>
      </c>
      <c r="BA3597" s="46" t="s">
        <v>63</v>
      </c>
      <c r="BB3597" s="46">
        <v>11280</v>
      </c>
      <c r="BC3597" s="46">
        <v>100361.125</v>
      </c>
      <c r="BD3597" s="46">
        <v>8.8970000000000002</v>
      </c>
      <c r="BE3597" s="46">
        <v>32595</v>
      </c>
      <c r="BF3597" s="46">
        <v>885</v>
      </c>
      <c r="BG3597" s="46">
        <v>0.5</v>
      </c>
      <c r="BH3597" s="46">
        <v>64162.103999999934</v>
      </c>
      <c r="BI3597">
        <v>10.52</v>
      </c>
      <c r="BJ3597">
        <v>-63277.103999999992</v>
      </c>
      <c r="BK3597">
        <v>-14.65</v>
      </c>
      <c r="BL3597">
        <v>2619.69</v>
      </c>
    </row>
    <row r="3598" spans="1:64" x14ac:dyDescent="0.25">
      <c r="A3598" s="136">
        <v>43648</v>
      </c>
      <c r="B3598" t="s">
        <v>628</v>
      </c>
      <c r="C3598" t="s">
        <v>629</v>
      </c>
      <c r="D3598">
        <v>100</v>
      </c>
      <c r="E3598">
        <v>100</v>
      </c>
      <c r="F3598">
        <v>-22.369</v>
      </c>
      <c r="G3598">
        <v>3962.9</v>
      </c>
      <c r="H3598">
        <v>0</v>
      </c>
      <c r="I3598">
        <v>1726</v>
      </c>
      <c r="J3598">
        <v>17.260000000000002</v>
      </c>
      <c r="K3598" s="133">
        <v>3.1786651238170176E-3</v>
      </c>
      <c r="L3598" s="181">
        <v>-130</v>
      </c>
      <c r="M3598" s="133">
        <v>0</v>
      </c>
    </row>
    <row r="3599" spans="1:64" x14ac:dyDescent="0.25">
      <c r="A3599" s="136">
        <v>43648</v>
      </c>
      <c r="B3599" t="s">
        <v>630</v>
      </c>
      <c r="C3599" t="s">
        <v>631</v>
      </c>
      <c r="D3599">
        <v>100</v>
      </c>
      <c r="E3599">
        <v>100</v>
      </c>
      <c r="F3599">
        <v>-94.6</v>
      </c>
      <c r="G3599">
        <v>11968</v>
      </c>
      <c r="H3599">
        <v>0</v>
      </c>
      <c r="I3599">
        <v>2508</v>
      </c>
      <c r="J3599">
        <v>25.08</v>
      </c>
      <c r="K3599" s="133">
        <v>4.6188251045962232E-3</v>
      </c>
      <c r="L3599" s="181">
        <v>-70</v>
      </c>
      <c r="M3599" s="133">
        <v>0</v>
      </c>
    </row>
    <row r="3600" spans="1:64" x14ac:dyDescent="0.25">
      <c r="A3600" s="136">
        <v>43648</v>
      </c>
      <c r="B3600" t="s">
        <v>137</v>
      </c>
      <c r="C3600" t="s">
        <v>149</v>
      </c>
      <c r="D3600">
        <v>150</v>
      </c>
      <c r="E3600">
        <v>150</v>
      </c>
      <c r="F3600">
        <v>-87.406999999999996</v>
      </c>
      <c r="G3600">
        <v>17065.05</v>
      </c>
      <c r="H3600">
        <v>0</v>
      </c>
      <c r="I3600">
        <v>3954</v>
      </c>
      <c r="J3600">
        <v>26.36</v>
      </c>
      <c r="K3600" s="133">
        <v>7.2818319232749061E-3</v>
      </c>
      <c r="L3600" s="181">
        <v>172.5</v>
      </c>
      <c r="M3600" s="133">
        <v>0</v>
      </c>
    </row>
    <row r="3601" spans="1:24" x14ac:dyDescent="0.25">
      <c r="A3601" s="136">
        <v>43648</v>
      </c>
      <c r="B3601" t="s">
        <v>835</v>
      </c>
      <c r="C3601" t="s">
        <v>839</v>
      </c>
      <c r="I3601">
        <v>13697.52</v>
      </c>
      <c r="K3601" s="133">
        <v>2.5225856956422987E-2</v>
      </c>
      <c r="L3601" s="181">
        <v>0</v>
      </c>
      <c r="M3601" s="133">
        <v>9.8900739883110947E-2</v>
      </c>
    </row>
    <row r="3602" spans="1:24" x14ac:dyDescent="0.25">
      <c r="A3602" s="136">
        <v>43650</v>
      </c>
      <c r="B3602" t="str">
        <f>"519888"</f>
        <v>519888</v>
      </c>
      <c r="C3602" t="str">
        <f>"添富快线"</f>
        <v>添富快线</v>
      </c>
      <c r="D3602">
        <v>5000587</v>
      </c>
      <c r="E3602">
        <v>5000587</v>
      </c>
      <c r="F3602">
        <v>8.9999999999999993E-3</v>
      </c>
      <c r="G3602">
        <v>4016.72</v>
      </c>
      <c r="H3602">
        <v>11.11</v>
      </c>
      <c r="I3602">
        <v>50005.87</v>
      </c>
      <c r="J3602">
        <v>0.01</v>
      </c>
      <c r="K3602" s="133">
        <f t="shared" ref="K3602:K3616" si="16">I3602/SUMIF($A:$A,A3602,$I:$I)</f>
        <v>9.1864388440076883E-2</v>
      </c>
      <c r="L3602" s="181">
        <v>4.7599999999997635</v>
      </c>
      <c r="M3602" s="133">
        <v>0</v>
      </c>
    </row>
    <row r="3603" spans="1:24" x14ac:dyDescent="0.25">
      <c r="A3603" s="136">
        <v>43650</v>
      </c>
      <c r="B3603" t="str">
        <f>"600269"</f>
        <v>600269</v>
      </c>
      <c r="C3603" t="str">
        <f>"赣粤高速"</f>
        <v>赣粤高速</v>
      </c>
      <c r="D3603">
        <v>2700</v>
      </c>
      <c r="E3603">
        <v>2700</v>
      </c>
      <c r="F3603">
        <v>4.7309999999999999</v>
      </c>
      <c r="G3603">
        <v>-595.57000000000005</v>
      </c>
      <c r="H3603">
        <v>-4.66</v>
      </c>
      <c r="I3603">
        <v>12177</v>
      </c>
      <c r="J3603">
        <v>4.51</v>
      </c>
      <c r="K3603" s="133">
        <f t="shared" si="16"/>
        <v>2.2370026919535969E-2</v>
      </c>
      <c r="L3603" s="181">
        <v>0</v>
      </c>
      <c r="M3603" s="133">
        <v>2.346413194807075E-2</v>
      </c>
      <c r="N3603" s="73">
        <v>-735.3010000000013</v>
      </c>
      <c r="O3603" s="73">
        <v>-164.78326221973123</v>
      </c>
      <c r="P3603" s="182">
        <v>1</v>
      </c>
      <c r="Q3603" s="182">
        <v>500</v>
      </c>
      <c r="R3603" s="46">
        <v>4.46</v>
      </c>
      <c r="S3603" s="46">
        <v>0</v>
      </c>
      <c r="T3603" s="46">
        <v>0</v>
      </c>
      <c r="U3603" s="46">
        <v>0</v>
      </c>
      <c r="V3603" s="46" t="s">
        <v>62</v>
      </c>
      <c r="W3603" s="46">
        <v>500</v>
      </c>
      <c r="X3603" s="46">
        <v>4.46</v>
      </c>
    </row>
    <row r="3604" spans="1:24" x14ac:dyDescent="0.25">
      <c r="A3604" s="136">
        <v>43650</v>
      </c>
      <c r="B3604" t="str">
        <f>"601398"</f>
        <v>601398</v>
      </c>
      <c r="C3604" t="str">
        <f>"工商银行"</f>
        <v>工商银行</v>
      </c>
      <c r="D3604">
        <v>100</v>
      </c>
      <c r="E3604">
        <v>100</v>
      </c>
      <c r="F3604">
        <v>-54.070999999999998</v>
      </c>
      <c r="G3604">
        <v>5975.1</v>
      </c>
      <c r="H3604">
        <v>0</v>
      </c>
      <c r="I3604">
        <v>568</v>
      </c>
      <c r="J3604">
        <v>5.68</v>
      </c>
      <c r="K3604" s="133">
        <f t="shared" si="16"/>
        <v>1.0434569508332454E-3</v>
      </c>
      <c r="L3604" s="181">
        <v>0.1000000000003638</v>
      </c>
      <c r="M3604" s="133">
        <v>0</v>
      </c>
      <c r="N3604" s="73">
        <v>5573.0690000000113</v>
      </c>
      <c r="O3604" s="73">
        <v>1102.4501845505636</v>
      </c>
      <c r="P3604" s="182">
        <v>0</v>
      </c>
      <c r="Q3604" s="182">
        <v>0</v>
      </c>
      <c r="R3604" s="46">
        <v>0</v>
      </c>
      <c r="S3604" s="46">
        <v>5</v>
      </c>
      <c r="T3604" s="46">
        <v>2300</v>
      </c>
      <c r="U3604" s="46">
        <v>4.99</v>
      </c>
      <c r="V3604" s="46" t="s">
        <v>68</v>
      </c>
      <c r="W3604" s="46">
        <v>2300</v>
      </c>
      <c r="X3604" s="46">
        <v>4.99</v>
      </c>
    </row>
    <row r="3605" spans="1:24" x14ac:dyDescent="0.25">
      <c r="A3605" s="136">
        <v>43650</v>
      </c>
      <c r="B3605" t="str">
        <f>"601998"</f>
        <v>601998</v>
      </c>
      <c r="C3605" t="str">
        <f>"中信银行"</f>
        <v>中信银行</v>
      </c>
      <c r="D3605">
        <v>3000</v>
      </c>
      <c r="E3605">
        <v>3000</v>
      </c>
      <c r="F3605">
        <v>5.25</v>
      </c>
      <c r="G3605">
        <v>2489.59</v>
      </c>
      <c r="H3605">
        <v>15.81</v>
      </c>
      <c r="I3605">
        <v>18240</v>
      </c>
      <c r="J3605">
        <v>6.08</v>
      </c>
      <c r="K3605" s="133">
        <f t="shared" si="16"/>
        <v>3.3508195040842251E-2</v>
      </c>
      <c r="L3605" s="181">
        <v>90</v>
      </c>
      <c r="M3605" s="133">
        <v>2.8934638720023692E-2</v>
      </c>
      <c r="N3605" s="73">
        <v>2864.5400000000063</v>
      </c>
      <c r="O3605" s="73">
        <v>399.51367458745989</v>
      </c>
      <c r="P3605" s="182">
        <v>0</v>
      </c>
      <c r="Q3605" s="182">
        <v>0</v>
      </c>
      <c r="R3605" s="46">
        <v>0</v>
      </c>
      <c r="S3605" s="46">
        <v>4</v>
      </c>
      <c r="T3605" s="46">
        <v>1500</v>
      </c>
      <c r="U3605" s="46">
        <v>6.5330000000000004</v>
      </c>
      <c r="V3605" s="46" t="s">
        <v>68</v>
      </c>
      <c r="W3605" s="46">
        <v>1500</v>
      </c>
      <c r="X3605" s="46">
        <v>6.5330000000000004</v>
      </c>
    </row>
    <row r="3606" spans="1:24" x14ac:dyDescent="0.25">
      <c r="A3606" s="136">
        <v>43650</v>
      </c>
      <c r="B3606" t="str">
        <f>"603116"</f>
        <v>603116</v>
      </c>
      <c r="C3606" t="str">
        <f>"红蜻蜓"</f>
        <v>红蜻蜓</v>
      </c>
      <c r="D3606">
        <v>11920</v>
      </c>
      <c r="E3606">
        <v>11920</v>
      </c>
      <c r="F3606">
        <v>10.119</v>
      </c>
      <c r="G3606">
        <v>-26926.45</v>
      </c>
      <c r="H3606">
        <v>-22.32</v>
      </c>
      <c r="I3606">
        <v>93691.199999999997</v>
      </c>
      <c r="J3606">
        <v>7.86</v>
      </c>
      <c r="K3606" s="133">
        <f t="shared" si="16"/>
        <v>0.17211748921110523</v>
      </c>
      <c r="L3606" s="181">
        <v>715.20000000000073</v>
      </c>
      <c r="M3606" s="133">
        <v>0.2215833191649148</v>
      </c>
      <c r="N3606" s="73">
        <v>-26947.860000000292</v>
      </c>
      <c r="O3606" s="73">
        <v>-3426.7666755725563</v>
      </c>
      <c r="P3606" s="182">
        <v>11</v>
      </c>
      <c r="Q3606" s="182">
        <v>7820</v>
      </c>
      <c r="R3606" s="46">
        <v>5.3639999999999999</v>
      </c>
      <c r="S3606" s="46">
        <v>0</v>
      </c>
      <c r="T3606" s="46">
        <v>0</v>
      </c>
      <c r="U3606" s="46">
        <v>0</v>
      </c>
      <c r="V3606" s="46" t="s">
        <v>62</v>
      </c>
      <c r="W3606" s="46">
        <v>7820</v>
      </c>
      <c r="X3606" s="46">
        <v>5.3639999999999999</v>
      </c>
    </row>
    <row r="3607" spans="1:24" x14ac:dyDescent="0.25">
      <c r="A3607" s="136">
        <v>43650</v>
      </c>
      <c r="B3607" t="str">
        <f>"000402"</f>
        <v>000402</v>
      </c>
      <c r="C3607" t="str">
        <f>"金 融 街"</f>
        <v>金 融 街</v>
      </c>
      <c r="D3607">
        <v>26000</v>
      </c>
      <c r="E3607">
        <v>26000</v>
      </c>
      <c r="F3607">
        <v>8.4369999999999994</v>
      </c>
      <c r="G3607">
        <v>-7988.56</v>
      </c>
      <c r="H3607">
        <v>-3.64</v>
      </c>
      <c r="I3607">
        <v>211380</v>
      </c>
      <c r="J3607">
        <v>8.1300000000000008</v>
      </c>
      <c r="K3607" s="133">
        <f t="shared" si="16"/>
        <v>0.38832029976607646</v>
      </c>
      <c r="L3607" s="181">
        <v>5067.4999999999991</v>
      </c>
      <c r="M3607" s="133">
        <v>0.40299586043359131</v>
      </c>
      <c r="N3607" s="73">
        <v>-11230.989000000118</v>
      </c>
      <c r="O3607" s="73">
        <v>-850.17879831704465</v>
      </c>
      <c r="P3607" s="182">
        <v>6</v>
      </c>
      <c r="Q3607" s="182">
        <v>4000</v>
      </c>
      <c r="R3607" s="46">
        <v>8.3800000000000008</v>
      </c>
      <c r="S3607" s="46">
        <v>6</v>
      </c>
      <c r="T3607" s="46">
        <v>2400</v>
      </c>
      <c r="U3607" s="46">
        <v>7.8570000000000002</v>
      </c>
      <c r="V3607" s="46" t="s">
        <v>62</v>
      </c>
      <c r="W3607" s="46">
        <v>1600</v>
      </c>
      <c r="X3607" s="46">
        <v>9.1649999999999991</v>
      </c>
    </row>
    <row r="3608" spans="1:24" x14ac:dyDescent="0.25">
      <c r="A3608" s="136">
        <v>43650</v>
      </c>
      <c r="B3608" t="str">
        <f>"000415"</f>
        <v>000415</v>
      </c>
      <c r="C3608" t="str">
        <f>"渤海租赁"</f>
        <v>渤海租赁</v>
      </c>
      <c r="D3608">
        <v>6600</v>
      </c>
      <c r="E3608">
        <v>6600</v>
      </c>
      <c r="F3608">
        <v>5.19</v>
      </c>
      <c r="G3608">
        <v>-7591.58</v>
      </c>
      <c r="H3608">
        <v>-22.16</v>
      </c>
      <c r="I3608">
        <v>26664</v>
      </c>
      <c r="J3608">
        <v>4.04</v>
      </c>
      <c r="K3608" s="133">
        <f t="shared" si="16"/>
        <v>4.8983690382073342E-2</v>
      </c>
      <c r="L3608" s="181">
        <v>-66</v>
      </c>
      <c r="M3608" s="133">
        <v>6.2929970168704774E-2</v>
      </c>
      <c r="N3608" s="73">
        <v>-7832.525999999998</v>
      </c>
      <c r="O3608" s="73">
        <v>-1796.2891512254898</v>
      </c>
      <c r="P3608" s="182">
        <v>8</v>
      </c>
      <c r="Q3608" s="182">
        <v>4000</v>
      </c>
      <c r="R3608" s="46">
        <v>4.2549999999999999</v>
      </c>
      <c r="S3608" s="46">
        <v>0</v>
      </c>
      <c r="T3608" s="46">
        <v>0</v>
      </c>
      <c r="U3608" s="46">
        <v>0</v>
      </c>
      <c r="V3608" s="46" t="s">
        <v>62</v>
      </c>
      <c r="W3608" s="46">
        <v>4000</v>
      </c>
      <c r="X3608" s="46">
        <v>4.2549999999999999</v>
      </c>
    </row>
    <row r="3609" spans="1:24" x14ac:dyDescent="0.25">
      <c r="A3609" s="136">
        <v>43650</v>
      </c>
      <c r="B3609" t="str">
        <f>"000528"</f>
        <v>000528</v>
      </c>
      <c r="C3609" t="str">
        <f>"柳    工"</f>
        <v>柳    工</v>
      </c>
      <c r="D3609">
        <v>1930</v>
      </c>
      <c r="E3609">
        <v>1930</v>
      </c>
      <c r="F3609">
        <v>4.4690000000000003</v>
      </c>
      <c r="G3609">
        <v>4440.21</v>
      </c>
      <c r="H3609">
        <v>51.48</v>
      </c>
      <c r="I3609">
        <v>13066.1</v>
      </c>
      <c r="J3609">
        <v>6.77</v>
      </c>
      <c r="K3609" s="133">
        <f t="shared" si="16"/>
        <v>2.4003367720567374E-2</v>
      </c>
      <c r="L3609" s="181">
        <v>-96.5</v>
      </c>
      <c r="M3609" s="133">
        <v>1.5846381826801027E-2</v>
      </c>
      <c r="N3609" s="73">
        <v>4647.6994999999661</v>
      </c>
      <c r="O3609" s="73">
        <v>675.19994916424173</v>
      </c>
      <c r="P3609" s="182">
        <v>1</v>
      </c>
      <c r="Q3609" s="182">
        <v>30</v>
      </c>
      <c r="R3609" s="46">
        <v>0</v>
      </c>
      <c r="S3609" s="46">
        <v>21</v>
      </c>
      <c r="T3609" s="46">
        <v>8400</v>
      </c>
      <c r="U3609" s="46">
        <v>8.8680000000000003</v>
      </c>
      <c r="V3609" s="46" t="s">
        <v>68</v>
      </c>
      <c r="W3609" s="46">
        <v>8370</v>
      </c>
      <c r="X3609" s="46">
        <v>8.9</v>
      </c>
    </row>
    <row r="3610" spans="1:24" x14ac:dyDescent="0.25">
      <c r="A3610" s="136">
        <v>43650</v>
      </c>
      <c r="B3610" t="str">
        <f>"000987"</f>
        <v>000987</v>
      </c>
      <c r="C3610" t="str">
        <f>"越秀金控"</f>
        <v>越秀金控</v>
      </c>
      <c r="D3610">
        <v>200</v>
      </c>
      <c r="E3610">
        <v>200</v>
      </c>
      <c r="F3610">
        <v>1.9870000000000001</v>
      </c>
      <c r="G3610">
        <v>1414.65</v>
      </c>
      <c r="H3610">
        <v>355.98</v>
      </c>
      <c r="I3610">
        <v>1812</v>
      </c>
      <c r="J3610">
        <v>9.06</v>
      </c>
      <c r="K3610" s="133">
        <f t="shared" si="16"/>
        <v>3.3287746389257761E-3</v>
      </c>
      <c r="L3610" s="181">
        <v>-28</v>
      </c>
      <c r="M3610" s="133">
        <v>7.2996059755913736E-4</v>
      </c>
      <c r="N3610" s="73">
        <v>1472.650999999996</v>
      </c>
      <c r="O3610" s="73">
        <v>157.42402935828835</v>
      </c>
      <c r="P3610" s="182">
        <v>0</v>
      </c>
      <c r="Q3610" s="182">
        <v>0</v>
      </c>
      <c r="R3610" s="46">
        <v>0</v>
      </c>
      <c r="S3610" s="46">
        <v>3</v>
      </c>
      <c r="T3610" s="46">
        <v>1200</v>
      </c>
      <c r="U3610" s="46">
        <v>9.923</v>
      </c>
      <c r="V3610" s="46" t="s">
        <v>68</v>
      </c>
      <c r="W3610" s="46">
        <v>1200</v>
      </c>
      <c r="X3610" s="46">
        <v>9.923</v>
      </c>
    </row>
    <row r="3611" spans="1:24" x14ac:dyDescent="0.25">
      <c r="A3611" s="136">
        <v>43650</v>
      </c>
      <c r="B3611" t="str">
        <f>"002006"</f>
        <v>002006</v>
      </c>
      <c r="C3611" t="str">
        <f>"精功科技"</f>
        <v>精功科技</v>
      </c>
      <c r="D3611">
        <v>100</v>
      </c>
      <c r="E3611">
        <v>100</v>
      </c>
      <c r="F3611">
        <v>-18.477</v>
      </c>
      <c r="G3611">
        <v>2421.6999999999998</v>
      </c>
      <c r="H3611">
        <v>0</v>
      </c>
      <c r="I3611">
        <v>574</v>
      </c>
      <c r="J3611">
        <v>5.74</v>
      </c>
      <c r="K3611" s="133">
        <f t="shared" si="16"/>
        <v>1.0544793834124698E-3</v>
      </c>
      <c r="L3611" s="181">
        <v>-26</v>
      </c>
      <c r="M3611" s="133">
        <v>0</v>
      </c>
      <c r="N3611" s="73">
        <v>-1498.9659999999872</v>
      </c>
      <c r="O3611" s="73">
        <v>376.42007904191922</v>
      </c>
      <c r="P3611" s="182">
        <v>0</v>
      </c>
      <c r="Q3611" s="182">
        <v>0</v>
      </c>
      <c r="R3611" s="46">
        <v>0</v>
      </c>
      <c r="S3611" s="46">
        <v>20</v>
      </c>
      <c r="T3611" s="46">
        <v>8600</v>
      </c>
      <c r="U3611" s="46">
        <v>7.3840000000000003</v>
      </c>
      <c r="V3611" s="46" t="s">
        <v>68</v>
      </c>
      <c r="W3611" s="46">
        <v>8600</v>
      </c>
      <c r="X3611" s="46">
        <v>7.3840000000000003</v>
      </c>
    </row>
    <row r="3612" spans="1:24" x14ac:dyDescent="0.25">
      <c r="A3612" s="136">
        <v>43650</v>
      </c>
      <c r="B3612" t="str">
        <f>"002140"</f>
        <v>002140</v>
      </c>
      <c r="C3612" t="str">
        <f>"东华科技"</f>
        <v>东华科技</v>
      </c>
      <c r="D3612">
        <v>12080</v>
      </c>
      <c r="E3612">
        <v>11280</v>
      </c>
      <c r="F3612">
        <v>8.74</v>
      </c>
      <c r="G3612">
        <v>-600.99</v>
      </c>
      <c r="H3612">
        <v>-0.56999999999999995</v>
      </c>
      <c r="I3612">
        <v>104975.2</v>
      </c>
      <c r="J3612">
        <v>8.69</v>
      </c>
      <c r="K3612" s="133">
        <f t="shared" si="16"/>
        <v>0.1928470107484333</v>
      </c>
      <c r="L3612" s="181">
        <v>-4126.8</v>
      </c>
      <c r="M3612" s="133">
        <v>0.19395107270773132</v>
      </c>
      <c r="N3612" s="73">
        <v>-754.72500000003492</v>
      </c>
      <c r="O3612" s="73">
        <v>-86.906409850234439</v>
      </c>
      <c r="P3612" s="182">
        <v>3</v>
      </c>
      <c r="Q3612" s="182">
        <v>2580</v>
      </c>
      <c r="R3612" s="46">
        <v>2.7160000000000002</v>
      </c>
      <c r="S3612" s="46">
        <v>15</v>
      </c>
      <c r="T3612" s="46">
        <v>6100</v>
      </c>
      <c r="U3612" s="46">
        <v>10.475</v>
      </c>
      <c r="V3612" s="46" t="s">
        <v>68</v>
      </c>
      <c r="W3612" s="46">
        <v>3520</v>
      </c>
      <c r="X3612" s="46">
        <v>16.161999999999999</v>
      </c>
    </row>
    <row r="3613" spans="1:24" x14ac:dyDescent="0.25">
      <c r="A3613" s="136">
        <v>43650</v>
      </c>
      <c r="B3613" t="str">
        <f>"002945"</f>
        <v>002945</v>
      </c>
      <c r="C3613" t="str">
        <f>"华林证券"</f>
        <v>华林证券</v>
      </c>
      <c r="D3613">
        <v>100</v>
      </c>
      <c r="E3613">
        <v>100</v>
      </c>
      <c r="F3613">
        <v>-22.369</v>
      </c>
      <c r="G3613">
        <v>3958.9</v>
      </c>
      <c r="H3613">
        <v>0</v>
      </c>
      <c r="I3613">
        <v>1722</v>
      </c>
      <c r="J3613">
        <v>17.22</v>
      </c>
      <c r="K3613" s="133">
        <f t="shared" si="16"/>
        <v>3.1634381502374095E-3</v>
      </c>
      <c r="L3613" s="181">
        <v>-4</v>
      </c>
      <c r="M3613" s="133">
        <v>0</v>
      </c>
    </row>
    <row r="3614" spans="1:24" x14ac:dyDescent="0.25">
      <c r="A3614" s="136">
        <v>43650</v>
      </c>
      <c r="B3614" t="str">
        <f>"002950"</f>
        <v>002950</v>
      </c>
      <c r="C3614" t="str">
        <f>"奥美医疗"</f>
        <v>奥美医疗</v>
      </c>
      <c r="D3614">
        <v>100</v>
      </c>
      <c r="E3614">
        <v>100</v>
      </c>
      <c r="F3614">
        <v>-94.6</v>
      </c>
      <c r="G3614">
        <v>11901</v>
      </c>
      <c r="H3614">
        <v>0</v>
      </c>
      <c r="I3614">
        <v>2441</v>
      </c>
      <c r="J3614">
        <v>24.41</v>
      </c>
      <c r="K3614" s="133">
        <f t="shared" si="16"/>
        <v>4.4842929876478029E-3</v>
      </c>
      <c r="L3614" s="181">
        <v>-67</v>
      </c>
      <c r="M3614" s="133">
        <v>0</v>
      </c>
    </row>
    <row r="3615" spans="1:24" x14ac:dyDescent="0.25">
      <c r="A3615" s="136">
        <v>43650</v>
      </c>
      <c r="B3615" t="str">
        <f>"300701"</f>
        <v>300701</v>
      </c>
      <c r="C3615" t="str">
        <f>"森霸传感"</f>
        <v>森霸传感</v>
      </c>
      <c r="D3615">
        <v>150</v>
      </c>
      <c r="E3615">
        <v>150</v>
      </c>
      <c r="F3615">
        <v>-87.406999999999996</v>
      </c>
      <c r="G3615">
        <v>16963.05</v>
      </c>
      <c r="H3615">
        <v>0</v>
      </c>
      <c r="I3615">
        <v>3852</v>
      </c>
      <c r="J3615">
        <v>25.68</v>
      </c>
      <c r="K3615" s="133">
        <f t="shared" si="16"/>
        <v>7.0764017158620801E-3</v>
      </c>
      <c r="L3615" s="181">
        <v>-102</v>
      </c>
      <c r="M3615" s="133">
        <v>0</v>
      </c>
    </row>
    <row r="3616" spans="1:24" x14ac:dyDescent="0.25">
      <c r="A3616" s="136">
        <v>43650</v>
      </c>
      <c r="B3616" t="s">
        <v>835</v>
      </c>
      <c r="C3616" t="s">
        <v>839</v>
      </c>
      <c r="I3616">
        <v>3176.08</v>
      </c>
      <c r="K3616" s="133">
        <f t="shared" si="16"/>
        <v>5.8346879443705183E-3</v>
      </c>
      <c r="L3616" s="181">
        <v>0</v>
      </c>
      <c r="M3616" s="133">
        <v>0</v>
      </c>
    </row>
    <row r="3617" spans="1:64" x14ac:dyDescent="0.25">
      <c r="A3617" s="136">
        <v>43661</v>
      </c>
      <c r="B3617" t="s">
        <v>132</v>
      </c>
      <c r="C3617" t="s">
        <v>123</v>
      </c>
      <c r="D3617">
        <v>3114452</v>
      </c>
      <c r="E3617">
        <v>2002352</v>
      </c>
      <c r="F3617">
        <v>8.9999999999999993E-3</v>
      </c>
      <c r="G3617">
        <v>4034.37</v>
      </c>
      <c r="H3617">
        <v>11.11</v>
      </c>
      <c r="I3617">
        <v>31144.52</v>
      </c>
      <c r="J3617">
        <v>0.01</v>
      </c>
      <c r="K3617" s="133">
        <v>5.9096165202218547E-2</v>
      </c>
      <c r="L3617" s="181">
        <v>17.650000000000091</v>
      </c>
      <c r="M3617" s="133">
        <v>0</v>
      </c>
    </row>
    <row r="3618" spans="1:64" x14ac:dyDescent="0.25">
      <c r="A3618" s="136">
        <v>43661</v>
      </c>
      <c r="B3618" t="s">
        <v>61</v>
      </c>
      <c r="C3618" t="s">
        <v>136</v>
      </c>
      <c r="D3618">
        <v>2800</v>
      </c>
      <c r="E3618">
        <v>2800</v>
      </c>
      <c r="F3618">
        <v>4.6970000000000001</v>
      </c>
      <c r="G3618">
        <v>-776.48</v>
      </c>
      <c r="H3618">
        <v>-5.9</v>
      </c>
      <c r="I3618">
        <v>12376</v>
      </c>
      <c r="J3618">
        <v>4.42</v>
      </c>
      <c r="K3618" s="133">
        <v>2.348323687578607E-2</v>
      </c>
      <c r="L3618" s="181">
        <v>-180.90999999999997</v>
      </c>
      <c r="M3618" s="133">
        <v>2.4956593676796923E-2</v>
      </c>
      <c r="N3618" s="73">
        <v>-837.67299999999886</v>
      </c>
      <c r="O3618" s="73">
        <v>-190.28503715909065</v>
      </c>
      <c r="P3618" s="182">
        <v>1</v>
      </c>
      <c r="Q3618" s="182">
        <v>500</v>
      </c>
      <c r="R3618" s="46">
        <v>4.4000000000000004</v>
      </c>
      <c r="S3618" s="46">
        <v>0</v>
      </c>
      <c r="T3618" s="46">
        <v>0</v>
      </c>
      <c r="U3618" s="46">
        <v>0</v>
      </c>
      <c r="V3618" s="46" t="s">
        <v>62</v>
      </c>
      <c r="W3618" s="46">
        <v>500</v>
      </c>
      <c r="X3618" s="46">
        <v>4.4000000000000004</v>
      </c>
      <c r="AF3618" s="46">
        <v>24</v>
      </c>
      <c r="AG3618" s="46">
        <v>12000</v>
      </c>
      <c r="AH3618" s="46">
        <v>58852.200000000012</v>
      </c>
      <c r="AI3618" s="46">
        <v>4.9039999999999999</v>
      </c>
      <c r="AJ3618" s="46">
        <v>24</v>
      </c>
      <c r="AK3618" s="46">
        <v>9700</v>
      </c>
      <c r="AL3618" s="46">
        <v>47899.82699999999</v>
      </c>
      <c r="AM3618" s="46">
        <v>4.9379999999999997</v>
      </c>
      <c r="AN3618" s="46" t="s">
        <v>63</v>
      </c>
      <c r="AO3618" s="46">
        <v>2300</v>
      </c>
      <c r="AP3618" s="46">
        <v>10952.373</v>
      </c>
      <c r="AQ3618" s="46">
        <v>4.7619999999999996</v>
      </c>
      <c r="AR3618" s="46">
        <v>329.8</v>
      </c>
      <c r="AS3618" s="46">
        <v>25</v>
      </c>
      <c r="AT3618" s="46">
        <v>12500</v>
      </c>
      <c r="AU3618" s="46">
        <v>61057.500000000015</v>
      </c>
      <c r="AV3618" s="46">
        <v>4.8849999999999998</v>
      </c>
      <c r="AW3618" s="46">
        <v>24</v>
      </c>
      <c r="AX3618" s="46">
        <v>9700</v>
      </c>
      <c r="AY3618" s="46">
        <v>47899.82699999999</v>
      </c>
      <c r="AZ3618" s="46">
        <v>4.9379999999999997</v>
      </c>
      <c r="BA3618" s="46" t="s">
        <v>63</v>
      </c>
      <c r="BB3618" s="46">
        <v>2800</v>
      </c>
      <c r="BC3618" s="46">
        <v>13157.673000000001</v>
      </c>
      <c r="BD3618" s="46">
        <v>4.6989999999999998</v>
      </c>
      <c r="BE3618" s="46">
        <v>514.1</v>
      </c>
      <c r="BF3618" s="46">
        <v>2205.3000000000029</v>
      </c>
      <c r="BG3618" s="46">
        <v>4.41</v>
      </c>
      <c r="BH3618" s="46">
        <v>0</v>
      </c>
      <c r="BJ3618">
        <v>2205.3000000000011</v>
      </c>
      <c r="BK3618">
        <v>4.41</v>
      </c>
      <c r="BL3618">
        <v>74.62</v>
      </c>
    </row>
    <row r="3619" spans="1:64" x14ac:dyDescent="0.25">
      <c r="A3619" s="136">
        <v>43661</v>
      </c>
      <c r="B3619" t="s">
        <v>124</v>
      </c>
      <c r="C3619" t="s">
        <v>125</v>
      </c>
      <c r="D3619">
        <v>100</v>
      </c>
      <c r="E3619">
        <v>100</v>
      </c>
      <c r="F3619">
        <v>-54.070999999999998</v>
      </c>
      <c r="G3619">
        <v>5967.1</v>
      </c>
      <c r="H3619">
        <v>0</v>
      </c>
      <c r="I3619">
        <v>560</v>
      </c>
      <c r="J3619">
        <v>5.6</v>
      </c>
      <c r="K3619" s="133">
        <v>1.0625899038817226E-3</v>
      </c>
      <c r="L3619" s="181">
        <v>-8</v>
      </c>
      <c r="M3619" s="133">
        <v>0</v>
      </c>
      <c r="N3619" s="73">
        <v>5573.0690000000113</v>
      </c>
      <c r="O3619" s="73">
        <v>1102.4501845505636</v>
      </c>
      <c r="P3619" s="182">
        <v>0</v>
      </c>
      <c r="Q3619" s="182">
        <v>0</v>
      </c>
      <c r="R3619" s="46">
        <v>0</v>
      </c>
      <c r="S3619" s="46">
        <v>5</v>
      </c>
      <c r="T3619" s="46">
        <v>2300</v>
      </c>
      <c r="U3619" s="46">
        <v>4.99</v>
      </c>
      <c r="V3619" s="46" t="s">
        <v>68</v>
      </c>
      <c r="W3619" s="46">
        <v>2300</v>
      </c>
      <c r="X3619" s="46">
        <v>4.99</v>
      </c>
      <c r="AF3619" s="46">
        <v>50</v>
      </c>
      <c r="AG3619" s="46">
        <v>36700</v>
      </c>
      <c r="AH3619" s="46">
        <v>180101.02000000002</v>
      </c>
      <c r="AI3619" s="46">
        <v>4.907</v>
      </c>
      <c r="AJ3619" s="46">
        <v>58</v>
      </c>
      <c r="AK3619" s="46">
        <v>35300</v>
      </c>
      <c r="AL3619" s="46">
        <v>178266.546</v>
      </c>
      <c r="AM3619" s="46">
        <v>5.05</v>
      </c>
      <c r="AN3619" s="46" t="s">
        <v>63</v>
      </c>
      <c r="AO3619" s="46">
        <v>1400</v>
      </c>
      <c r="AP3619" s="46">
        <v>1834.4739999999999</v>
      </c>
      <c r="AQ3619" s="46">
        <v>1.31</v>
      </c>
      <c r="AR3619" s="46">
        <v>5047.8999999999996</v>
      </c>
      <c r="AS3619" s="46">
        <v>51</v>
      </c>
      <c r="AT3619" s="46">
        <v>37700</v>
      </c>
      <c r="AU3619" s="46">
        <v>185106.62</v>
      </c>
      <c r="AV3619" s="46">
        <v>4.91</v>
      </c>
      <c r="AW3619" s="46">
        <v>63</v>
      </c>
      <c r="AX3619" s="46">
        <v>37600</v>
      </c>
      <c r="AY3619" s="46">
        <v>189713.68900000001</v>
      </c>
      <c r="AZ3619" s="46">
        <v>5.0460000000000003</v>
      </c>
      <c r="BA3619" s="46" t="s">
        <v>63</v>
      </c>
      <c r="BB3619" s="46">
        <v>100</v>
      </c>
      <c r="BC3619" s="46">
        <v>4607.0690000000004</v>
      </c>
      <c r="BD3619" s="46">
        <v>46.070999999999998</v>
      </c>
      <c r="BE3619" s="46">
        <v>5113.6000000000004</v>
      </c>
      <c r="BF3619" s="46">
        <v>5005.5999999999767</v>
      </c>
      <c r="BH3619" s="46">
        <v>11447.143000000011</v>
      </c>
      <c r="BI3619">
        <v>4.9800000000000004</v>
      </c>
      <c r="BJ3619">
        <v>2772.5950000000003</v>
      </c>
      <c r="BK3619">
        <v>1.21</v>
      </c>
      <c r="BL3619">
        <v>901.41</v>
      </c>
    </row>
    <row r="3620" spans="1:64" x14ac:dyDescent="0.25">
      <c r="A3620" s="136">
        <v>43661</v>
      </c>
      <c r="B3620" t="s">
        <v>71</v>
      </c>
      <c r="C3620" t="s">
        <v>126</v>
      </c>
      <c r="D3620">
        <v>3000</v>
      </c>
      <c r="E3620">
        <v>3000</v>
      </c>
      <c r="F3620">
        <v>5.25</v>
      </c>
      <c r="G3620">
        <v>2039.59</v>
      </c>
      <c r="H3620">
        <v>12.95</v>
      </c>
      <c r="I3620">
        <v>17790</v>
      </c>
      <c r="J3620">
        <v>5.93</v>
      </c>
      <c r="K3620" s="133">
        <v>3.3756204267956863E-2</v>
      </c>
      <c r="L3620" s="181">
        <v>-450.00000000000023</v>
      </c>
      <c r="M3620" s="133">
        <v>2.9886119014281644E-2</v>
      </c>
      <c r="N3620" s="73">
        <v>2864.5400000000063</v>
      </c>
      <c r="O3620" s="73">
        <v>399.51367458745989</v>
      </c>
      <c r="P3620" s="182">
        <v>0</v>
      </c>
      <c r="Q3620" s="182">
        <v>0</v>
      </c>
      <c r="R3620" s="46">
        <v>0</v>
      </c>
      <c r="S3620" s="46">
        <v>4</v>
      </c>
      <c r="T3620" s="46">
        <v>1500</v>
      </c>
      <c r="U3620" s="46">
        <v>6.5330000000000004</v>
      </c>
      <c r="V3620" s="46" t="s">
        <v>68</v>
      </c>
      <c r="W3620" s="46">
        <v>1500</v>
      </c>
      <c r="X3620" s="46">
        <v>6.5330000000000004</v>
      </c>
      <c r="AF3620" s="46">
        <v>56</v>
      </c>
      <c r="AG3620" s="46">
        <v>29100</v>
      </c>
      <c r="AH3620" s="46">
        <v>184288.42999999993</v>
      </c>
      <c r="AI3620" s="46">
        <v>6.3330000000000002</v>
      </c>
      <c r="AJ3620" s="46">
        <v>56</v>
      </c>
      <c r="AK3620" s="46">
        <v>24600</v>
      </c>
      <c r="AL3620" s="46">
        <v>158600.19399999999</v>
      </c>
      <c r="AM3620" s="46">
        <v>6.4470000000000001</v>
      </c>
      <c r="AN3620" s="46" t="s">
        <v>63</v>
      </c>
      <c r="AO3620" s="46">
        <v>4500</v>
      </c>
      <c r="AP3620" s="46">
        <v>25688.236000000001</v>
      </c>
      <c r="AQ3620" s="46">
        <v>5.7080000000000002</v>
      </c>
      <c r="AR3620" s="46">
        <v>2804.4</v>
      </c>
      <c r="AS3620" s="46">
        <v>56</v>
      </c>
      <c r="AT3620" s="46">
        <v>29100</v>
      </c>
      <c r="AU3620" s="46">
        <v>184288.42999999993</v>
      </c>
      <c r="AV3620" s="46">
        <v>6.3330000000000002</v>
      </c>
      <c r="AW3620" s="46">
        <v>60</v>
      </c>
      <c r="AX3620" s="46">
        <v>26100</v>
      </c>
      <c r="AY3620" s="46">
        <v>168369.49400000001</v>
      </c>
      <c r="AZ3620" s="46">
        <v>6.4509999999999996</v>
      </c>
      <c r="BA3620" s="46" t="s">
        <v>63</v>
      </c>
      <c r="BB3620" s="46">
        <v>3000</v>
      </c>
      <c r="BC3620" s="46">
        <v>15918.936</v>
      </c>
      <c r="BD3620" s="46">
        <v>5.306</v>
      </c>
      <c r="BE3620" s="46">
        <v>3079.8</v>
      </c>
      <c r="BF3620" s="46">
        <v>0</v>
      </c>
      <c r="BH3620" s="46">
        <v>9769.3000000000175</v>
      </c>
      <c r="BI3620">
        <v>6.51</v>
      </c>
      <c r="BJ3620">
        <v>-9769.3000000000011</v>
      </c>
      <c r="BK3620">
        <v>-6.51</v>
      </c>
      <c r="BL3620">
        <v>472.92</v>
      </c>
    </row>
    <row r="3621" spans="1:64" x14ac:dyDescent="0.25">
      <c r="A3621" s="136">
        <v>43661</v>
      </c>
      <c r="B3621" t="s">
        <v>79</v>
      </c>
      <c r="C3621" t="s">
        <v>143</v>
      </c>
      <c r="D3621">
        <v>11920</v>
      </c>
      <c r="E3621">
        <v>11920</v>
      </c>
      <c r="F3621">
        <v>10.112</v>
      </c>
      <c r="G3621">
        <v>-28631.75</v>
      </c>
      <c r="H3621">
        <v>-23.75</v>
      </c>
      <c r="I3621">
        <v>91903.2</v>
      </c>
      <c r="J3621">
        <v>7.71</v>
      </c>
      <c r="K3621" s="133">
        <v>0.17438466509718342</v>
      </c>
      <c r="L3621" s="181">
        <v>-1705.2999999999993</v>
      </c>
      <c r="M3621" s="133">
        <v>0.22871289452658614</v>
      </c>
      <c r="N3621" s="73">
        <v>-28653.520000000295</v>
      </c>
      <c r="O3621" s="73">
        <v>-3714.5516523995198</v>
      </c>
      <c r="P3621" s="182">
        <v>12</v>
      </c>
      <c r="Q3621" s="182">
        <v>8220</v>
      </c>
      <c r="R3621" s="46">
        <v>5.4779999999999998</v>
      </c>
      <c r="S3621" s="46">
        <v>1</v>
      </c>
      <c r="T3621" s="46">
        <v>400</v>
      </c>
      <c r="U3621" s="46">
        <v>7.95</v>
      </c>
      <c r="V3621" s="46" t="s">
        <v>62</v>
      </c>
      <c r="W3621" s="46">
        <v>7820</v>
      </c>
      <c r="X3621" s="46">
        <v>5.3520000000000003</v>
      </c>
      <c r="AF3621" s="46">
        <v>40</v>
      </c>
      <c r="AG3621" s="46">
        <v>20500</v>
      </c>
      <c r="AH3621" s="46">
        <v>282187.29999999976</v>
      </c>
      <c r="AI3621" s="46">
        <v>13.765000000000001</v>
      </c>
      <c r="AJ3621" s="46">
        <v>41</v>
      </c>
      <c r="AK3621" s="46">
        <v>16400</v>
      </c>
      <c r="AL3621" s="46">
        <v>203551.93199999974</v>
      </c>
      <c r="AM3621" s="46">
        <v>12.412000000000001</v>
      </c>
      <c r="AN3621" s="46" t="s">
        <v>63</v>
      </c>
      <c r="AO3621" s="46">
        <v>4100</v>
      </c>
      <c r="AP3621" s="46">
        <v>78635.368000000002</v>
      </c>
      <c r="AQ3621" s="46">
        <v>19.178999999999998</v>
      </c>
      <c r="AR3621" s="46">
        <v>-22189.200000000001</v>
      </c>
      <c r="AS3621" s="46">
        <v>52</v>
      </c>
      <c r="AT3621" s="46">
        <v>28720</v>
      </c>
      <c r="AU3621" s="46">
        <v>327280.23199999961</v>
      </c>
      <c r="AV3621" s="46">
        <v>11.396000000000001</v>
      </c>
      <c r="AW3621" s="46">
        <v>42</v>
      </c>
      <c r="AX3621" s="46">
        <v>16800</v>
      </c>
      <c r="AY3621" s="46">
        <v>206723.51199999976</v>
      </c>
      <c r="AZ3621" s="46">
        <v>12.305</v>
      </c>
      <c r="BA3621" s="46" t="s">
        <v>63</v>
      </c>
      <c r="BB3621" s="46">
        <v>11920</v>
      </c>
      <c r="BC3621" s="46">
        <v>120556.72</v>
      </c>
      <c r="BD3621" s="46">
        <v>10.114000000000001</v>
      </c>
      <c r="BE3621" s="46">
        <v>15271.2</v>
      </c>
      <c r="BF3621" s="46">
        <v>45092.931999999855</v>
      </c>
      <c r="BG3621" s="46">
        <v>5.49</v>
      </c>
      <c r="BH3621" s="46">
        <v>3171.5800000000163</v>
      </c>
      <c r="BI3621">
        <v>7.93</v>
      </c>
      <c r="BJ3621">
        <v>41921.351999999999</v>
      </c>
      <c r="BK3621">
        <v>5.36</v>
      </c>
      <c r="BL3621">
        <v>-2877.98</v>
      </c>
    </row>
    <row r="3622" spans="1:64" x14ac:dyDescent="0.25">
      <c r="A3622" s="136">
        <v>43661</v>
      </c>
      <c r="B3622" t="s">
        <v>65</v>
      </c>
      <c r="C3622" t="s">
        <v>127</v>
      </c>
      <c r="D3622">
        <v>26400</v>
      </c>
      <c r="E3622">
        <v>26400</v>
      </c>
      <c r="F3622">
        <v>8.4290000000000003</v>
      </c>
      <c r="G3622">
        <v>-15281.56</v>
      </c>
      <c r="H3622">
        <v>-6.87</v>
      </c>
      <c r="I3622">
        <v>207240</v>
      </c>
      <c r="J3622">
        <v>7.85</v>
      </c>
      <c r="K3622" s="133">
        <v>0.39323416371508602</v>
      </c>
      <c r="L3622" s="181">
        <v>-7292.9999999999991</v>
      </c>
      <c r="M3622" s="133">
        <v>0.42223064830716239</v>
      </c>
      <c r="N3622" s="73">
        <v>-19035.989000000118</v>
      </c>
      <c r="O3622" s="73">
        <v>-1873.8320561944415</v>
      </c>
      <c r="P3622" s="182">
        <v>6</v>
      </c>
      <c r="Q3622" s="182">
        <v>4000</v>
      </c>
      <c r="R3622" s="46">
        <v>8.3800000000000008</v>
      </c>
      <c r="S3622" s="46">
        <v>5</v>
      </c>
      <c r="T3622" s="46">
        <v>2000</v>
      </c>
      <c r="U3622" s="46">
        <v>7.8339999999999996</v>
      </c>
      <c r="V3622" s="46" t="s">
        <v>62</v>
      </c>
      <c r="W3622" s="46">
        <v>2000</v>
      </c>
      <c r="X3622" s="46">
        <v>8.9260000000000002</v>
      </c>
      <c r="AF3622" s="46">
        <v>248</v>
      </c>
      <c r="AG3622" s="46">
        <v>133700</v>
      </c>
      <c r="AH3622" s="46">
        <v>1407055.6810000001</v>
      </c>
      <c r="AI3622" s="46">
        <v>10.523999999999999</v>
      </c>
      <c r="AJ3622" s="46">
        <v>278</v>
      </c>
      <c r="AK3622" s="46">
        <v>118500</v>
      </c>
      <c r="AL3622" s="46">
        <v>1188111.3580000002</v>
      </c>
      <c r="AM3622" s="46">
        <v>10.026</v>
      </c>
      <c r="AN3622" s="46" t="s">
        <v>63</v>
      </c>
      <c r="AO3622" s="46">
        <v>15200</v>
      </c>
      <c r="AP3622" s="46">
        <v>218944.323</v>
      </c>
      <c r="AQ3622" s="46">
        <v>14.404</v>
      </c>
      <c r="AR3622" s="46">
        <v>-59013</v>
      </c>
      <c r="AS3622" s="46">
        <v>255</v>
      </c>
      <c r="AT3622" s="46">
        <v>137800</v>
      </c>
      <c r="AU3622" s="46">
        <v>1441893.6810000001</v>
      </c>
      <c r="AV3622" s="46">
        <v>10.464</v>
      </c>
      <c r="AW3622" s="46">
        <v>283</v>
      </c>
      <c r="AX3622" s="46">
        <v>120500</v>
      </c>
      <c r="AY3622" s="46">
        <v>1203738.6900000002</v>
      </c>
      <c r="AZ3622" s="46">
        <v>9.99</v>
      </c>
      <c r="BA3622" s="46" t="s">
        <v>63</v>
      </c>
      <c r="BB3622" s="46">
        <v>17300</v>
      </c>
      <c r="BC3622" s="46">
        <v>238154.99100000001</v>
      </c>
      <c r="BD3622" s="46">
        <v>13.766</v>
      </c>
      <c r="BE3622" s="46">
        <v>-57117</v>
      </c>
      <c r="BF3622" s="46">
        <v>34838</v>
      </c>
      <c r="BG3622" s="46">
        <v>8.7100000000000009</v>
      </c>
      <c r="BH3622" s="46">
        <v>15627.331999999937</v>
      </c>
      <c r="BI3622">
        <v>7.81</v>
      </c>
      <c r="BJ3622">
        <v>19210.668000000005</v>
      </c>
      <c r="BK3622">
        <v>9.61</v>
      </c>
      <c r="BL3622">
        <v>-7517.58</v>
      </c>
    </row>
    <row r="3623" spans="1:64" x14ac:dyDescent="0.25">
      <c r="A3623" s="136">
        <v>43661</v>
      </c>
      <c r="B3623" t="s">
        <v>77</v>
      </c>
      <c r="C3623" t="s">
        <v>150</v>
      </c>
      <c r="D3623">
        <v>6700</v>
      </c>
      <c r="E3623">
        <v>6700</v>
      </c>
      <c r="F3623">
        <v>5.1630000000000003</v>
      </c>
      <c r="G3623">
        <v>-7860.18</v>
      </c>
      <c r="H3623">
        <v>-22.72</v>
      </c>
      <c r="I3623">
        <v>26733</v>
      </c>
      <c r="J3623">
        <v>3.99</v>
      </c>
      <c r="K3623" s="133">
        <v>5.072538553655373E-2</v>
      </c>
      <c r="L3623" s="181">
        <v>-268.60000000000036</v>
      </c>
      <c r="M3623" s="133">
        <v>6.5639935377077019E-2</v>
      </c>
      <c r="N3623" s="73">
        <v>-8231.1299999999974</v>
      </c>
      <c r="O3623" s="73">
        <v>-1926.9986122194509</v>
      </c>
      <c r="P3623" s="182">
        <v>8</v>
      </c>
      <c r="Q3623" s="182">
        <v>4000</v>
      </c>
      <c r="R3623" s="46">
        <v>4.2389999999999999</v>
      </c>
      <c r="S3623" s="46">
        <v>0</v>
      </c>
      <c r="T3623" s="46">
        <v>0</v>
      </c>
      <c r="U3623" s="46">
        <v>0</v>
      </c>
      <c r="V3623" s="46" t="s">
        <v>62</v>
      </c>
      <c r="W3623" s="46">
        <v>4000</v>
      </c>
      <c r="X3623" s="46">
        <v>4.2389999999999999</v>
      </c>
      <c r="AF3623" s="46">
        <v>53</v>
      </c>
      <c r="AG3623" s="46">
        <v>26500</v>
      </c>
      <c r="AH3623" s="46">
        <v>179594</v>
      </c>
      <c r="AI3623" s="46">
        <v>6.7770000000000001</v>
      </c>
      <c r="AJ3623" s="46">
        <v>53</v>
      </c>
      <c r="AK3623" s="46">
        <v>23800</v>
      </c>
      <c r="AL3623" s="46">
        <v>161702.87000000005</v>
      </c>
      <c r="AM3623" s="46">
        <v>6.7939999999999996</v>
      </c>
      <c r="AN3623" s="46" t="s">
        <v>63</v>
      </c>
      <c r="AO3623" s="46">
        <v>2700</v>
      </c>
      <c r="AP3623" s="46">
        <v>17891.13</v>
      </c>
      <c r="AQ3623" s="46">
        <v>6.6260000000000003</v>
      </c>
      <c r="AR3623" s="46">
        <v>404.6</v>
      </c>
      <c r="AS3623" s="46">
        <v>61</v>
      </c>
      <c r="AT3623" s="46">
        <v>30500</v>
      </c>
      <c r="AU3623" s="46">
        <v>196301</v>
      </c>
      <c r="AV3623" s="46">
        <v>6.4359999999999999</v>
      </c>
      <c r="AW3623" s="46">
        <v>53</v>
      </c>
      <c r="AX3623" s="46">
        <v>23800</v>
      </c>
      <c r="AY3623" s="46">
        <v>161702.87000000005</v>
      </c>
      <c r="AZ3623" s="46">
        <v>6.7939999999999996</v>
      </c>
      <c r="BA3623" s="46" t="s">
        <v>63</v>
      </c>
      <c r="BB3623" s="46">
        <v>6700</v>
      </c>
      <c r="BC3623" s="46">
        <v>34598.129999999997</v>
      </c>
      <c r="BD3623" s="46">
        <v>5.1639999999999997</v>
      </c>
      <c r="BE3623" s="46">
        <v>8520.4</v>
      </c>
      <c r="BF3623" s="46">
        <v>16707</v>
      </c>
      <c r="BG3623" s="46">
        <v>4.18</v>
      </c>
      <c r="BH3623" s="46">
        <v>0</v>
      </c>
      <c r="BJ3623">
        <v>16706.999999999996</v>
      </c>
      <c r="BK3623">
        <v>4.18</v>
      </c>
      <c r="BL3623">
        <v>101.4</v>
      </c>
    </row>
    <row r="3624" spans="1:64" x14ac:dyDescent="0.25">
      <c r="A3624" s="136">
        <v>43661</v>
      </c>
      <c r="B3624" t="s">
        <v>67</v>
      </c>
      <c r="C3624" t="s">
        <v>129</v>
      </c>
      <c r="D3624">
        <v>2530</v>
      </c>
      <c r="E3624">
        <v>2530</v>
      </c>
      <c r="F3624">
        <v>4.9550000000000001</v>
      </c>
      <c r="G3624">
        <v>4263.66</v>
      </c>
      <c r="H3624">
        <v>34.01</v>
      </c>
      <c r="I3624">
        <v>16799.2</v>
      </c>
      <c r="J3624">
        <v>6.64</v>
      </c>
      <c r="K3624" s="133">
        <v>3.1876179130874704E-2</v>
      </c>
      <c r="L3624" s="181">
        <v>-176.55000000000018</v>
      </c>
      <c r="M3624" s="133">
        <v>2.3785961149474087E-2</v>
      </c>
      <c r="N3624" s="73">
        <v>2174.8914999999688</v>
      </c>
      <c r="O3624" s="73">
        <v>635.3696939954657</v>
      </c>
      <c r="P3624" s="182">
        <v>2</v>
      </c>
      <c r="Q3624" s="182">
        <v>530</v>
      </c>
      <c r="R3624" s="46">
        <v>6.1230000000000002</v>
      </c>
      <c r="S3624" s="46">
        <v>21</v>
      </c>
      <c r="T3624" s="46">
        <v>8400</v>
      </c>
      <c r="U3624" s="46">
        <v>8.8680000000000003</v>
      </c>
      <c r="V3624" s="46" t="s">
        <v>68</v>
      </c>
      <c r="W3624" s="46">
        <v>7870</v>
      </c>
      <c r="X3624" s="46">
        <v>9.0530000000000008</v>
      </c>
      <c r="AF3624" s="46">
        <v>201</v>
      </c>
      <c r="AG3624" s="46">
        <v>99300</v>
      </c>
      <c r="AH3624" s="46">
        <v>821169</v>
      </c>
      <c r="AI3624" s="46">
        <v>8.27</v>
      </c>
      <c r="AJ3624" s="46">
        <v>205</v>
      </c>
      <c r="AK3624" s="46">
        <v>91500</v>
      </c>
      <c r="AL3624" s="46">
        <v>806696.75950000016</v>
      </c>
      <c r="AM3624" s="46">
        <v>8.8160000000000007</v>
      </c>
      <c r="AN3624" s="46" t="s">
        <v>63</v>
      </c>
      <c r="AO3624" s="46">
        <v>7800</v>
      </c>
      <c r="AP3624" s="46">
        <v>14472.24</v>
      </c>
      <c r="AQ3624" s="46">
        <v>1.855</v>
      </c>
      <c r="AR3624" s="46">
        <v>49959</v>
      </c>
      <c r="AS3624" s="46">
        <v>203</v>
      </c>
      <c r="AT3624" s="46">
        <v>99830</v>
      </c>
      <c r="AU3624" s="46">
        <v>824424</v>
      </c>
      <c r="AV3624" s="46">
        <v>8.2579999999999991</v>
      </c>
      <c r="AW3624" s="46">
        <v>226</v>
      </c>
      <c r="AX3624" s="46">
        <v>99900</v>
      </c>
      <c r="AY3624" s="46">
        <v>881011.76750000019</v>
      </c>
      <c r="AZ3624" s="46">
        <v>8.8190000000000008</v>
      </c>
      <c r="BA3624" s="46" t="s">
        <v>69</v>
      </c>
      <c r="BB3624" s="46">
        <v>70</v>
      </c>
      <c r="BC3624" s="46">
        <v>56587.767999999996</v>
      </c>
      <c r="BD3624" s="46">
        <v>808.39700000000005</v>
      </c>
      <c r="BE3624" s="46">
        <v>56004.63</v>
      </c>
      <c r="BF3624" s="46">
        <v>3255</v>
      </c>
      <c r="BG3624" s="46">
        <v>6.14</v>
      </c>
      <c r="BH3624" s="46">
        <v>74315.008000000031</v>
      </c>
      <c r="BI3624">
        <v>8.85</v>
      </c>
      <c r="BJ3624">
        <v>42115.527999999998</v>
      </c>
      <c r="BK3624">
        <v>5.35</v>
      </c>
      <c r="BL3624">
        <v>7523.95</v>
      </c>
    </row>
    <row r="3625" spans="1:64" x14ac:dyDescent="0.25">
      <c r="A3625" s="136">
        <v>43661</v>
      </c>
      <c r="B3625" t="s">
        <v>78</v>
      </c>
      <c r="C3625" t="s">
        <v>142</v>
      </c>
      <c r="D3625">
        <v>100</v>
      </c>
      <c r="E3625">
        <v>100</v>
      </c>
      <c r="F3625">
        <v>-5.867</v>
      </c>
      <c r="G3625">
        <v>1591.7</v>
      </c>
      <c r="H3625">
        <v>0</v>
      </c>
      <c r="I3625">
        <v>1005</v>
      </c>
      <c r="J3625">
        <v>10.050000000000001</v>
      </c>
      <c r="K3625" s="133">
        <v>1.9069693810734485E-3</v>
      </c>
      <c r="L3625" s="181">
        <v>177.04999999999995</v>
      </c>
      <c r="M3625" s="133">
        <v>0</v>
      </c>
      <c r="N3625" s="73">
        <v>1576.660999999996</v>
      </c>
      <c r="O3625" s="73">
        <v>159.17905752525212</v>
      </c>
      <c r="P3625" s="182">
        <v>0</v>
      </c>
      <c r="Q3625" s="182">
        <v>0</v>
      </c>
      <c r="R3625" s="46">
        <v>0</v>
      </c>
      <c r="S3625" s="46">
        <v>4</v>
      </c>
      <c r="T3625" s="46">
        <v>1300</v>
      </c>
      <c r="U3625" s="46">
        <v>9.9220000000000006</v>
      </c>
      <c r="V3625" s="46" t="s">
        <v>68</v>
      </c>
      <c r="W3625" s="46">
        <v>1300</v>
      </c>
      <c r="X3625" s="46">
        <v>9.9220000000000006</v>
      </c>
      <c r="AF3625" s="46">
        <v>14</v>
      </c>
      <c r="AG3625" s="46">
        <v>7000</v>
      </c>
      <c r="AH3625" s="46">
        <v>67625</v>
      </c>
      <c r="AI3625" s="46">
        <v>9.6609999999999996</v>
      </c>
      <c r="AJ3625" s="46">
        <v>15</v>
      </c>
      <c r="AK3625" s="46">
        <v>5600</v>
      </c>
      <c r="AL3625" s="46">
        <v>55310.559000000008</v>
      </c>
      <c r="AM3625" s="46">
        <v>9.8770000000000007</v>
      </c>
      <c r="AN3625" s="46" t="s">
        <v>63</v>
      </c>
      <c r="AO3625" s="46">
        <v>1400</v>
      </c>
      <c r="AP3625" s="46">
        <v>12314.441000000001</v>
      </c>
      <c r="AQ3625" s="46">
        <v>8.7959999999999994</v>
      </c>
      <c r="AR3625" s="46">
        <v>1209.5999999999999</v>
      </c>
      <c r="AS3625" s="46">
        <v>14</v>
      </c>
      <c r="AT3625" s="46">
        <v>7000</v>
      </c>
      <c r="AU3625" s="46">
        <v>67625</v>
      </c>
      <c r="AV3625" s="46">
        <v>9.6609999999999996</v>
      </c>
      <c r="AW3625" s="46">
        <v>19</v>
      </c>
      <c r="AX3625" s="46">
        <v>6900</v>
      </c>
      <c r="AY3625" s="46">
        <v>68211.661000000007</v>
      </c>
      <c r="AZ3625" s="46">
        <v>9.8859999999999992</v>
      </c>
      <c r="BA3625" s="46" t="s">
        <v>63</v>
      </c>
      <c r="BB3625" s="46">
        <v>100</v>
      </c>
      <c r="BC3625" s="46">
        <v>586.66099999999994</v>
      </c>
      <c r="BD3625" s="46">
        <v>5.867</v>
      </c>
      <c r="BE3625" s="46">
        <v>1552.5</v>
      </c>
      <c r="BF3625" s="46">
        <v>0</v>
      </c>
      <c r="BH3625" s="46">
        <v>12901.101999999999</v>
      </c>
      <c r="BI3625">
        <v>9.92</v>
      </c>
      <c r="BJ3625">
        <v>-11727.78</v>
      </c>
      <c r="BK3625">
        <v>-9.02</v>
      </c>
      <c r="BL3625">
        <v>120.36</v>
      </c>
    </row>
    <row r="3626" spans="1:64" x14ac:dyDescent="0.25">
      <c r="A3626" s="136">
        <v>43661</v>
      </c>
      <c r="B3626" t="s">
        <v>72</v>
      </c>
      <c r="C3626" t="s">
        <v>130</v>
      </c>
      <c r="D3626">
        <v>100</v>
      </c>
      <c r="E3626">
        <v>100</v>
      </c>
      <c r="F3626">
        <v>-18.477</v>
      </c>
      <c r="G3626">
        <v>2366.6999999999998</v>
      </c>
      <c r="H3626">
        <v>0</v>
      </c>
      <c r="I3626">
        <v>519</v>
      </c>
      <c r="J3626">
        <v>5.19</v>
      </c>
      <c r="K3626" s="133">
        <v>9.8479314306181075E-4</v>
      </c>
      <c r="L3626" s="181">
        <v>-55</v>
      </c>
      <c r="M3626" s="133">
        <v>0</v>
      </c>
      <c r="N3626" s="73">
        <v>-1498.9659999999872</v>
      </c>
      <c r="O3626" s="73">
        <v>376.42007904191922</v>
      </c>
      <c r="P3626" s="182">
        <v>0</v>
      </c>
      <c r="Q3626" s="182">
        <v>0</v>
      </c>
      <c r="R3626" s="46">
        <v>0</v>
      </c>
      <c r="S3626" s="46">
        <v>20</v>
      </c>
      <c r="T3626" s="46">
        <v>8600</v>
      </c>
      <c r="U3626" s="46">
        <v>7.3840000000000003</v>
      </c>
      <c r="V3626" s="46" t="s">
        <v>68</v>
      </c>
      <c r="W3626" s="46">
        <v>8600</v>
      </c>
      <c r="X3626" s="46">
        <v>7.3840000000000003</v>
      </c>
      <c r="AF3626" s="46">
        <v>42</v>
      </c>
      <c r="AG3626" s="46">
        <v>20900</v>
      </c>
      <c r="AH3626" s="46">
        <v>152800</v>
      </c>
      <c r="AI3626" s="46">
        <v>7.3109999999999999</v>
      </c>
      <c r="AJ3626" s="46">
        <v>42</v>
      </c>
      <c r="AK3626" s="46">
        <v>18800</v>
      </c>
      <c r="AL3626" s="46">
        <v>92037.725000000035</v>
      </c>
      <c r="AM3626" s="46">
        <v>4.8959999999999999</v>
      </c>
      <c r="AN3626" s="46" t="s">
        <v>63</v>
      </c>
      <c r="AO3626" s="46">
        <v>2100</v>
      </c>
      <c r="AP3626" s="46">
        <v>60762.275000000001</v>
      </c>
      <c r="AQ3626" s="46">
        <v>28.934000000000001</v>
      </c>
      <c r="AR3626" s="46">
        <v>-45402</v>
      </c>
      <c r="AS3626" s="46">
        <v>42</v>
      </c>
      <c r="AT3626" s="46">
        <v>20900</v>
      </c>
      <c r="AU3626" s="46">
        <v>152800</v>
      </c>
      <c r="AV3626" s="46">
        <v>7.3109999999999999</v>
      </c>
      <c r="AW3626" s="46">
        <v>63</v>
      </c>
      <c r="AX3626" s="46">
        <v>27900</v>
      </c>
      <c r="AY3626" s="46">
        <v>155380.21900000001</v>
      </c>
      <c r="AZ3626" s="46">
        <v>5.569</v>
      </c>
      <c r="BA3626" s="46" t="s">
        <v>69</v>
      </c>
      <c r="BB3626" s="46">
        <v>7000</v>
      </c>
      <c r="BC3626" s="46">
        <v>2580.2190000000001</v>
      </c>
      <c r="BD3626" s="46">
        <v>0.36899999999999999</v>
      </c>
      <c r="BE3626" s="46">
        <v>-36407.800000000003</v>
      </c>
      <c r="BF3626" s="46">
        <v>0</v>
      </c>
      <c r="BH3626" s="46">
        <v>63342.493999999977</v>
      </c>
      <c r="BI3626">
        <v>7.37</v>
      </c>
      <c r="BJ3626">
        <v>-58182.056000000004</v>
      </c>
      <c r="BK3626">
        <v>-6.77</v>
      </c>
      <c r="BL3626">
        <v>-8747.98</v>
      </c>
    </row>
    <row r="3627" spans="1:64" x14ac:dyDescent="0.25">
      <c r="A3627" s="136">
        <v>43661</v>
      </c>
      <c r="B3627" t="s">
        <v>70</v>
      </c>
      <c r="C3627" t="s">
        <v>131</v>
      </c>
      <c r="D3627">
        <v>13180</v>
      </c>
      <c r="E3627">
        <v>13180</v>
      </c>
      <c r="F3627">
        <v>8.6980000000000004</v>
      </c>
      <c r="G3627">
        <v>-4723.6099999999997</v>
      </c>
      <c r="H3627">
        <v>-4.12</v>
      </c>
      <c r="I3627">
        <v>109921.2</v>
      </c>
      <c r="J3627">
        <v>8.34</v>
      </c>
      <c r="K3627" s="133">
        <v>0.20857349525457786</v>
      </c>
      <c r="L3627" s="181">
        <v>-4122.62</v>
      </c>
      <c r="M3627" s="133">
        <v>0.21753646006863989</v>
      </c>
      <c r="N3627" s="73">
        <v>-4361.1410000000324</v>
      </c>
      <c r="O3627" s="73">
        <v>-520.78380280765032</v>
      </c>
      <c r="P3627" s="182">
        <v>4</v>
      </c>
      <c r="Q3627" s="182">
        <v>3080</v>
      </c>
      <c r="R3627" s="46">
        <v>3.5720000000000001</v>
      </c>
      <c r="S3627" s="46">
        <v>14</v>
      </c>
      <c r="T3627" s="46">
        <v>5700</v>
      </c>
      <c r="U3627" s="46">
        <v>10.487</v>
      </c>
      <c r="V3627" s="46" t="s">
        <v>68</v>
      </c>
      <c r="W3627" s="46">
        <v>2620</v>
      </c>
      <c r="X3627" s="46">
        <v>18.616</v>
      </c>
      <c r="AF3627" s="46">
        <v>179</v>
      </c>
      <c r="AG3627" s="46">
        <v>90400</v>
      </c>
      <c r="AH3627" s="46">
        <v>1080718</v>
      </c>
      <c r="AI3627" s="46">
        <v>11.955</v>
      </c>
      <c r="AJ3627" s="46">
        <v>185</v>
      </c>
      <c r="AK3627" s="46">
        <v>74600</v>
      </c>
      <c r="AL3627" s="46">
        <v>916122.03499999968</v>
      </c>
      <c r="AM3627" s="46">
        <v>12.28</v>
      </c>
      <c r="AN3627" s="46" t="s">
        <v>63</v>
      </c>
      <c r="AO3627" s="46">
        <v>15800</v>
      </c>
      <c r="AP3627" s="46">
        <v>164595.965</v>
      </c>
      <c r="AQ3627" s="46">
        <v>10.417</v>
      </c>
      <c r="AR3627" s="46">
        <v>24245</v>
      </c>
      <c r="AS3627" s="46">
        <v>183</v>
      </c>
      <c r="AT3627" s="46">
        <v>93480</v>
      </c>
      <c r="AU3627" s="46">
        <v>1092621</v>
      </c>
      <c r="AV3627" s="46">
        <v>11.688000000000001</v>
      </c>
      <c r="AW3627" s="46">
        <v>200</v>
      </c>
      <c r="AX3627" s="46">
        <v>80300</v>
      </c>
      <c r="AY3627" s="46">
        <v>976173.2589999995</v>
      </c>
      <c r="AZ3627" s="46">
        <v>12.157</v>
      </c>
      <c r="BA3627" s="46" t="s">
        <v>63</v>
      </c>
      <c r="BB3627" s="46">
        <v>13180</v>
      </c>
      <c r="BC3627" s="46">
        <v>116447.74099999999</v>
      </c>
      <c r="BD3627" s="46">
        <v>8.8350000000000009</v>
      </c>
      <c r="BE3627" s="46">
        <v>37660.699999999997</v>
      </c>
      <c r="BF3627" s="46">
        <v>11903</v>
      </c>
      <c r="BG3627" s="46">
        <v>3.86</v>
      </c>
      <c r="BH3627" s="46">
        <v>60051.223999999813</v>
      </c>
      <c r="BI3627">
        <v>10.54</v>
      </c>
      <c r="BJ3627">
        <v>-48148.224000000002</v>
      </c>
      <c r="BK3627">
        <v>-18.38</v>
      </c>
      <c r="BL3627">
        <v>2907.07</v>
      </c>
    </row>
    <row r="3628" spans="1:64" x14ac:dyDescent="0.25">
      <c r="A3628" s="136">
        <v>43661</v>
      </c>
      <c r="B3628" t="s">
        <v>628</v>
      </c>
      <c r="C3628" t="s">
        <v>629</v>
      </c>
      <c r="D3628">
        <v>100</v>
      </c>
      <c r="E3628">
        <v>100</v>
      </c>
      <c r="F3628">
        <v>-22.369</v>
      </c>
      <c r="G3628">
        <v>3905.9</v>
      </c>
      <c r="H3628">
        <v>0</v>
      </c>
      <c r="I3628">
        <v>1669</v>
      </c>
      <c r="J3628">
        <v>16.690000000000001</v>
      </c>
      <c r="K3628" s="133">
        <v>3.1668974099617769E-3</v>
      </c>
      <c r="L3628" s="181">
        <v>-53</v>
      </c>
      <c r="M3628" s="133">
        <v>0</v>
      </c>
    </row>
    <row r="3629" spans="1:64" x14ac:dyDescent="0.25">
      <c r="A3629" s="136">
        <v>43661</v>
      </c>
      <c r="B3629" t="s">
        <v>630</v>
      </c>
      <c r="C3629" t="s">
        <v>631</v>
      </c>
      <c r="D3629">
        <v>100</v>
      </c>
      <c r="E3629">
        <v>100</v>
      </c>
      <c r="F3629">
        <v>-94.6</v>
      </c>
      <c r="G3629">
        <v>11785</v>
      </c>
      <c r="H3629">
        <v>0</v>
      </c>
      <c r="I3629">
        <v>2325</v>
      </c>
      <c r="J3629">
        <v>23.25</v>
      </c>
      <c r="K3629" s="133">
        <v>4.4116455830803657E-3</v>
      </c>
      <c r="L3629" s="181">
        <v>-116</v>
      </c>
      <c r="M3629" s="133">
        <v>0</v>
      </c>
    </row>
    <row r="3630" spans="1:64" x14ac:dyDescent="0.25">
      <c r="A3630" s="136">
        <v>43661</v>
      </c>
      <c r="B3630" t="s">
        <v>137</v>
      </c>
      <c r="C3630" t="s">
        <v>149</v>
      </c>
      <c r="D3630">
        <v>150</v>
      </c>
      <c r="E3630">
        <v>150</v>
      </c>
      <c r="F3630">
        <v>-87.406999999999996</v>
      </c>
      <c r="G3630">
        <v>16799.55</v>
      </c>
      <c r="H3630">
        <v>0</v>
      </c>
      <c r="I3630">
        <v>3688.5</v>
      </c>
      <c r="J3630">
        <v>24.59</v>
      </c>
      <c r="K3630" s="133">
        <v>6.9988622508352387E-3</v>
      </c>
      <c r="L3630" s="181">
        <v>-163.5</v>
      </c>
      <c r="M3630" s="133">
        <v>0</v>
      </c>
    </row>
    <row r="3631" spans="1:64" x14ac:dyDescent="0.25">
      <c r="A3631" s="136">
        <v>43661</v>
      </c>
      <c r="B3631" t="s">
        <v>835</v>
      </c>
      <c r="C3631" t="s">
        <v>839</v>
      </c>
      <c r="I3631">
        <v>3340.61</v>
      </c>
      <c r="K3631" s="133">
        <v>6.3387472478684311E-3</v>
      </c>
      <c r="L3631" s="181">
        <v>0</v>
      </c>
      <c r="M3631" s="133">
        <v>6.5434912450086979E-2</v>
      </c>
    </row>
    <row r="3632" spans="1:64" x14ac:dyDescent="0.25">
      <c r="A3632" s="136">
        <v>43663</v>
      </c>
      <c r="B3632" t="s">
        <v>132</v>
      </c>
      <c r="C3632" t="s">
        <v>123</v>
      </c>
      <c r="D3632">
        <v>3114908</v>
      </c>
      <c r="E3632">
        <v>3114908</v>
      </c>
      <c r="F3632">
        <v>8.9999999999999993E-3</v>
      </c>
      <c r="G3632">
        <v>4038.93</v>
      </c>
      <c r="H3632">
        <v>11.11</v>
      </c>
      <c r="I3632">
        <v>31149.08</v>
      </c>
      <c r="J3632">
        <v>0.01</v>
      </c>
      <c r="K3632" s="133">
        <v>5.8652983804952707E-2</v>
      </c>
      <c r="L3632" s="181">
        <v>4.5599999999999454</v>
      </c>
      <c r="M3632" s="133">
        <v>0</v>
      </c>
    </row>
    <row r="3633" spans="1:64" x14ac:dyDescent="0.25">
      <c r="A3633" s="136">
        <v>43663</v>
      </c>
      <c r="B3633" t="s">
        <v>61</v>
      </c>
      <c r="C3633" t="s">
        <v>136</v>
      </c>
      <c r="D3633">
        <v>2800</v>
      </c>
      <c r="E3633">
        <v>2800</v>
      </c>
      <c r="F3633">
        <v>4.6970000000000001</v>
      </c>
      <c r="G3633">
        <v>-832.48</v>
      </c>
      <c r="H3633">
        <v>-6.33</v>
      </c>
      <c r="I3633">
        <v>12320</v>
      </c>
      <c r="J3633">
        <v>4.4000000000000004</v>
      </c>
      <c r="K3633" s="133">
        <v>2.3198269755543899E-2</v>
      </c>
      <c r="L3633" s="181">
        <v>-56</v>
      </c>
      <c r="M3633" s="133">
        <v>2.4765809983311363E-2</v>
      </c>
      <c r="N3633" s="73">
        <v>-837.67299999999886</v>
      </c>
      <c r="O3633" s="73">
        <v>-190.28503715909065</v>
      </c>
      <c r="P3633" s="182">
        <v>1</v>
      </c>
      <c r="Q3633" s="182">
        <v>500</v>
      </c>
      <c r="R3633" s="46">
        <v>4.4000000000000004</v>
      </c>
      <c r="S3633" s="46">
        <v>0</v>
      </c>
      <c r="T3633" s="46">
        <v>0</v>
      </c>
      <c r="U3633" s="46">
        <v>0</v>
      </c>
      <c r="V3633" s="46" t="s">
        <v>62</v>
      </c>
      <c r="W3633" s="46">
        <v>500</v>
      </c>
      <c r="X3633" s="46">
        <v>4.4000000000000004</v>
      </c>
      <c r="AF3633" s="46">
        <v>24</v>
      </c>
      <c r="AG3633" s="46">
        <v>12000</v>
      </c>
      <c r="AH3633" s="46">
        <v>58852.200000000012</v>
      </c>
      <c r="AI3633" s="46">
        <v>4.9039999999999999</v>
      </c>
      <c r="AJ3633" s="46">
        <v>24</v>
      </c>
      <c r="AK3633" s="46">
        <v>9700</v>
      </c>
      <c r="AL3633" s="46">
        <v>47899.82699999999</v>
      </c>
      <c r="AM3633" s="46">
        <v>4.9379999999999997</v>
      </c>
      <c r="AN3633" s="46" t="s">
        <v>63</v>
      </c>
      <c r="AO3633" s="46">
        <v>2300</v>
      </c>
      <c r="AP3633" s="46">
        <v>10952.373</v>
      </c>
      <c r="AQ3633" s="46">
        <v>4.7619999999999996</v>
      </c>
      <c r="AR3633" s="46">
        <v>329.8</v>
      </c>
      <c r="AS3633" s="46">
        <v>25</v>
      </c>
      <c r="AT3633" s="46">
        <v>12500</v>
      </c>
      <c r="AU3633" s="46">
        <v>61057.500000000015</v>
      </c>
      <c r="AV3633" s="46">
        <v>4.8849999999999998</v>
      </c>
      <c r="AW3633" s="46">
        <v>24</v>
      </c>
      <c r="AX3633" s="46">
        <v>9700</v>
      </c>
      <c r="AY3633" s="46">
        <v>47899.82699999999</v>
      </c>
      <c r="AZ3633" s="46">
        <v>4.9379999999999997</v>
      </c>
      <c r="BA3633" s="46" t="s">
        <v>63</v>
      </c>
      <c r="BB3633" s="46">
        <v>2800</v>
      </c>
      <c r="BC3633" s="46">
        <v>13157.673000000001</v>
      </c>
      <c r="BD3633" s="46">
        <v>4.6989999999999998</v>
      </c>
      <c r="BE3633" s="46">
        <v>514.1</v>
      </c>
      <c r="BF3633" s="46">
        <v>2205.3000000000029</v>
      </c>
      <c r="BG3633" s="46">
        <v>4.41</v>
      </c>
      <c r="BH3633" s="46">
        <v>0</v>
      </c>
      <c r="BJ3633">
        <v>2205.3000000000011</v>
      </c>
      <c r="BK3633">
        <v>4.41</v>
      </c>
      <c r="BL3633">
        <v>74.95</v>
      </c>
    </row>
    <row r="3634" spans="1:64" x14ac:dyDescent="0.25">
      <c r="A3634" s="136">
        <v>43663</v>
      </c>
      <c r="B3634" t="s">
        <v>124</v>
      </c>
      <c r="C3634" t="s">
        <v>125</v>
      </c>
      <c r="D3634">
        <v>100</v>
      </c>
      <c r="E3634">
        <v>100</v>
      </c>
      <c r="F3634">
        <v>-54.070999999999998</v>
      </c>
      <c r="G3634">
        <v>5963.1</v>
      </c>
      <c r="H3634">
        <v>0</v>
      </c>
      <c r="I3634">
        <v>556</v>
      </c>
      <c r="J3634">
        <v>5.56</v>
      </c>
      <c r="K3634" s="133">
        <v>1.0469349013053901E-3</v>
      </c>
      <c r="L3634" s="181">
        <v>-4</v>
      </c>
      <c r="M3634" s="133">
        <v>0</v>
      </c>
      <c r="N3634" s="73">
        <v>5573.0690000000113</v>
      </c>
      <c r="O3634" s="73">
        <v>1102.4501845505636</v>
      </c>
      <c r="P3634" s="182">
        <v>0</v>
      </c>
      <c r="Q3634" s="182">
        <v>0</v>
      </c>
      <c r="R3634" s="46">
        <v>0</v>
      </c>
      <c r="S3634" s="46">
        <v>5</v>
      </c>
      <c r="T3634" s="46">
        <v>2300</v>
      </c>
      <c r="U3634" s="46">
        <v>4.99</v>
      </c>
      <c r="V3634" s="46" t="s">
        <v>68</v>
      </c>
      <c r="W3634" s="46">
        <v>2300</v>
      </c>
      <c r="X3634" s="46">
        <v>4.99</v>
      </c>
      <c r="AF3634" s="46">
        <v>50</v>
      </c>
      <c r="AG3634" s="46">
        <v>36700</v>
      </c>
      <c r="AH3634" s="46">
        <v>180101.02000000002</v>
      </c>
      <c r="AI3634" s="46">
        <v>4.907</v>
      </c>
      <c r="AJ3634" s="46">
        <v>58</v>
      </c>
      <c r="AK3634" s="46">
        <v>35300</v>
      </c>
      <c r="AL3634" s="46">
        <v>178266.546</v>
      </c>
      <c r="AM3634" s="46">
        <v>5.05</v>
      </c>
      <c r="AN3634" s="46" t="s">
        <v>63</v>
      </c>
      <c r="AO3634" s="46">
        <v>1400</v>
      </c>
      <c r="AP3634" s="46">
        <v>1834.4739999999999</v>
      </c>
      <c r="AQ3634" s="46">
        <v>1.31</v>
      </c>
      <c r="AR3634" s="46">
        <v>5047.8999999999996</v>
      </c>
      <c r="AS3634" s="46">
        <v>51</v>
      </c>
      <c r="AT3634" s="46">
        <v>37700</v>
      </c>
      <c r="AU3634" s="46">
        <v>185106.62</v>
      </c>
      <c r="AV3634" s="46">
        <v>4.91</v>
      </c>
      <c r="AW3634" s="46">
        <v>63</v>
      </c>
      <c r="AX3634" s="46">
        <v>37600</v>
      </c>
      <c r="AY3634" s="46">
        <v>189713.68900000001</v>
      </c>
      <c r="AZ3634" s="46">
        <v>5.0460000000000003</v>
      </c>
      <c r="BA3634" s="46" t="s">
        <v>63</v>
      </c>
      <c r="BB3634" s="46">
        <v>100</v>
      </c>
      <c r="BC3634" s="46">
        <v>4607.0690000000004</v>
      </c>
      <c r="BD3634" s="46">
        <v>46.070999999999998</v>
      </c>
      <c r="BE3634" s="46">
        <v>5113.6000000000004</v>
      </c>
      <c r="BF3634" s="46">
        <v>5005.5999999999767</v>
      </c>
      <c r="BH3634" s="46">
        <v>11447.143000000011</v>
      </c>
      <c r="BI3634">
        <v>4.9800000000000004</v>
      </c>
      <c r="BJ3634">
        <v>2772.5950000000003</v>
      </c>
      <c r="BK3634">
        <v>1.21</v>
      </c>
      <c r="BL3634">
        <v>907.9</v>
      </c>
    </row>
    <row r="3635" spans="1:64" x14ac:dyDescent="0.25">
      <c r="A3635" s="136">
        <v>43663</v>
      </c>
      <c r="B3635" t="s">
        <v>71</v>
      </c>
      <c r="C3635" t="s">
        <v>126</v>
      </c>
      <c r="D3635">
        <v>3000</v>
      </c>
      <c r="E3635">
        <v>3000</v>
      </c>
      <c r="F3635">
        <v>5.25</v>
      </c>
      <c r="G3635">
        <v>2099.59</v>
      </c>
      <c r="H3635">
        <v>13.33</v>
      </c>
      <c r="I3635">
        <v>17850</v>
      </c>
      <c r="J3635">
        <v>5.95</v>
      </c>
      <c r="K3635" s="133">
        <v>3.3611129475361899E-2</v>
      </c>
      <c r="L3635" s="181">
        <v>60.000000000000227</v>
      </c>
      <c r="M3635" s="133">
        <v>2.9657650969189625E-2</v>
      </c>
      <c r="N3635" s="73">
        <v>2864.5400000000063</v>
      </c>
      <c r="O3635" s="73">
        <v>399.51367458745989</v>
      </c>
      <c r="P3635" s="182">
        <v>0</v>
      </c>
      <c r="Q3635" s="182">
        <v>0</v>
      </c>
      <c r="R3635" s="46">
        <v>0</v>
      </c>
      <c r="S3635" s="46">
        <v>4</v>
      </c>
      <c r="T3635" s="46">
        <v>1500</v>
      </c>
      <c r="U3635" s="46">
        <v>6.5330000000000004</v>
      </c>
      <c r="V3635" s="46" t="s">
        <v>68</v>
      </c>
      <c r="W3635" s="46">
        <v>1500</v>
      </c>
      <c r="X3635" s="46">
        <v>6.5330000000000004</v>
      </c>
      <c r="AF3635" s="46">
        <v>56</v>
      </c>
      <c r="AG3635" s="46">
        <v>29100</v>
      </c>
      <c r="AH3635" s="46">
        <v>184288.42999999993</v>
      </c>
      <c r="AI3635" s="46">
        <v>6.3330000000000002</v>
      </c>
      <c r="AJ3635" s="46">
        <v>56</v>
      </c>
      <c r="AK3635" s="46">
        <v>24600</v>
      </c>
      <c r="AL3635" s="46">
        <v>158600.19399999999</v>
      </c>
      <c r="AM3635" s="46">
        <v>6.4470000000000001</v>
      </c>
      <c r="AN3635" s="46" t="s">
        <v>63</v>
      </c>
      <c r="AO3635" s="46">
        <v>4500</v>
      </c>
      <c r="AP3635" s="46">
        <v>25688.236000000001</v>
      </c>
      <c r="AQ3635" s="46">
        <v>5.7080000000000002</v>
      </c>
      <c r="AR3635" s="46">
        <v>2804.4</v>
      </c>
      <c r="AS3635" s="46">
        <v>56</v>
      </c>
      <c r="AT3635" s="46">
        <v>29100</v>
      </c>
      <c r="AU3635" s="46">
        <v>184288.42999999993</v>
      </c>
      <c r="AV3635" s="46">
        <v>6.3330000000000002</v>
      </c>
      <c r="AW3635" s="46">
        <v>60</v>
      </c>
      <c r="AX3635" s="46">
        <v>26100</v>
      </c>
      <c r="AY3635" s="46">
        <v>168369.49400000001</v>
      </c>
      <c r="AZ3635" s="46">
        <v>6.4509999999999996</v>
      </c>
      <c r="BA3635" s="46" t="s">
        <v>63</v>
      </c>
      <c r="BB3635" s="46">
        <v>3000</v>
      </c>
      <c r="BC3635" s="46">
        <v>15918.936</v>
      </c>
      <c r="BD3635" s="46">
        <v>5.306</v>
      </c>
      <c r="BE3635" s="46">
        <v>3079.8</v>
      </c>
      <c r="BF3635" s="46">
        <v>0</v>
      </c>
      <c r="BH3635" s="46">
        <v>9769.3000000000175</v>
      </c>
      <c r="BI3635">
        <v>6.51</v>
      </c>
      <c r="BJ3635">
        <v>-9769.3000000000011</v>
      </c>
      <c r="BK3635">
        <v>-6.51</v>
      </c>
      <c r="BL3635">
        <v>471.33</v>
      </c>
    </row>
    <row r="3636" spans="1:64" x14ac:dyDescent="0.25">
      <c r="A3636" s="136">
        <v>43663</v>
      </c>
      <c r="B3636" t="s">
        <v>79</v>
      </c>
      <c r="C3636" t="s">
        <v>143</v>
      </c>
      <c r="D3636">
        <v>11920</v>
      </c>
      <c r="E3636">
        <v>11920</v>
      </c>
      <c r="F3636">
        <v>10.112</v>
      </c>
      <c r="G3636">
        <v>-28631.75</v>
      </c>
      <c r="H3636">
        <v>-23.75</v>
      </c>
      <c r="I3636">
        <v>91903.2</v>
      </c>
      <c r="J3636">
        <v>7.71</v>
      </c>
      <c r="K3636" s="133">
        <v>0.1730515604705927</v>
      </c>
      <c r="L3636" s="181">
        <v>0</v>
      </c>
      <c r="M3636" s="133">
        <v>0.22696447119082758</v>
      </c>
      <c r="N3636" s="73">
        <v>-28653.520000000295</v>
      </c>
      <c r="O3636" s="73">
        <v>-3714.5516523995198</v>
      </c>
      <c r="P3636" s="182">
        <v>11</v>
      </c>
      <c r="Q3636" s="182">
        <v>7720</v>
      </c>
      <c r="R3636" s="46">
        <v>5.2560000000000002</v>
      </c>
      <c r="S3636" s="46">
        <v>0</v>
      </c>
      <c r="T3636" s="46">
        <v>0</v>
      </c>
      <c r="U3636" s="46">
        <v>0</v>
      </c>
      <c r="V3636" s="46" t="s">
        <v>62</v>
      </c>
      <c r="W3636" s="46">
        <v>7720</v>
      </c>
      <c r="X3636" s="46">
        <v>5.2560000000000002</v>
      </c>
      <c r="AF3636" s="46">
        <v>41</v>
      </c>
      <c r="AG3636" s="46">
        <v>21000</v>
      </c>
      <c r="AH3636" s="46">
        <v>286647.59999999974</v>
      </c>
      <c r="AI3636" s="46">
        <v>13.65</v>
      </c>
      <c r="AJ3636" s="46">
        <v>42</v>
      </c>
      <c r="AK3636" s="46">
        <v>16800</v>
      </c>
      <c r="AL3636" s="46">
        <v>206723.51199999976</v>
      </c>
      <c r="AM3636" s="46">
        <v>12.305</v>
      </c>
      <c r="AN3636" s="46" t="s">
        <v>63</v>
      </c>
      <c r="AO3636" s="46">
        <v>4200</v>
      </c>
      <c r="AP3636" s="46">
        <v>79924.088000000003</v>
      </c>
      <c r="AQ3636" s="46">
        <v>19.03</v>
      </c>
      <c r="AR3636" s="46">
        <v>-22596</v>
      </c>
      <c r="AS3636" s="46">
        <v>52</v>
      </c>
      <c r="AT3636" s="46">
        <v>28720</v>
      </c>
      <c r="AU3636" s="46">
        <v>327280.23199999961</v>
      </c>
      <c r="AV3636" s="46">
        <v>11.396000000000001</v>
      </c>
      <c r="AW3636" s="46">
        <v>42</v>
      </c>
      <c r="AX3636" s="46">
        <v>16800</v>
      </c>
      <c r="AY3636" s="46">
        <v>206723.51199999976</v>
      </c>
      <c r="AZ3636" s="46">
        <v>12.305</v>
      </c>
      <c r="BA3636" s="46" t="s">
        <v>63</v>
      </c>
      <c r="BB3636" s="46">
        <v>11920</v>
      </c>
      <c r="BC3636" s="46">
        <v>120556.72</v>
      </c>
      <c r="BD3636" s="46">
        <v>10.114000000000001</v>
      </c>
      <c r="BE3636" s="46">
        <v>15271.2</v>
      </c>
      <c r="BF3636" s="46">
        <v>40632.631999999867</v>
      </c>
      <c r="BG3636" s="46">
        <v>5.26</v>
      </c>
      <c r="BH3636" s="46">
        <v>0</v>
      </c>
      <c r="BJ3636">
        <v>40632.631999999998</v>
      </c>
      <c r="BK3636">
        <v>5.26</v>
      </c>
      <c r="BL3636">
        <v>-2930.74</v>
      </c>
    </row>
    <row r="3637" spans="1:64" x14ac:dyDescent="0.25">
      <c r="A3637" s="136">
        <v>43663</v>
      </c>
      <c r="B3637" t="s">
        <v>744</v>
      </c>
      <c r="C3637" t="s">
        <v>745</v>
      </c>
      <c r="D3637">
        <v>500</v>
      </c>
      <c r="E3637">
        <v>0</v>
      </c>
      <c r="F3637">
        <v>5.85</v>
      </c>
      <c r="G3637">
        <v>0</v>
      </c>
      <c r="H3637">
        <v>0</v>
      </c>
      <c r="I3637">
        <v>2925</v>
      </c>
      <c r="J3637">
        <v>5.85</v>
      </c>
      <c r="K3637" s="133">
        <v>5.5077060905004789E-3</v>
      </c>
      <c r="M3637" s="133">
        <v>5.5077060905004789E-3</v>
      </c>
    </row>
    <row r="3638" spans="1:64" x14ac:dyDescent="0.25">
      <c r="A3638" s="136">
        <v>43663</v>
      </c>
      <c r="B3638" t="s">
        <v>65</v>
      </c>
      <c r="C3638" t="s">
        <v>127</v>
      </c>
      <c r="D3638">
        <v>26400</v>
      </c>
      <c r="E3638">
        <v>26400</v>
      </c>
      <c r="F3638">
        <v>8.4290000000000003</v>
      </c>
      <c r="G3638">
        <v>-15545.56</v>
      </c>
      <c r="H3638">
        <v>-6.99</v>
      </c>
      <c r="I3638">
        <v>206976</v>
      </c>
      <c r="J3638">
        <v>7.84</v>
      </c>
      <c r="K3638" s="133">
        <v>0.38973093189313751</v>
      </c>
      <c r="L3638" s="181">
        <v>-264</v>
      </c>
      <c r="M3638" s="133">
        <v>0.41900285513834795</v>
      </c>
      <c r="N3638" s="73">
        <v>-19035.989000000118</v>
      </c>
      <c r="O3638" s="73">
        <v>-1873.8320561944415</v>
      </c>
      <c r="P3638" s="182">
        <v>6</v>
      </c>
      <c r="Q3638" s="182">
        <v>4000</v>
      </c>
      <c r="R3638" s="46">
        <v>8.3800000000000008</v>
      </c>
      <c r="S3638" s="46">
        <v>5</v>
      </c>
      <c r="T3638" s="46">
        <v>2000</v>
      </c>
      <c r="U3638" s="46">
        <v>7.8339999999999996</v>
      </c>
      <c r="V3638" s="46" t="s">
        <v>62</v>
      </c>
      <c r="W3638" s="46">
        <v>2000</v>
      </c>
      <c r="X3638" s="46">
        <v>8.9260000000000002</v>
      </c>
      <c r="AF3638" s="46">
        <v>248</v>
      </c>
      <c r="AG3638" s="46">
        <v>133700</v>
      </c>
      <c r="AH3638" s="46">
        <v>1407055.6810000001</v>
      </c>
      <c r="AI3638" s="46">
        <v>10.523999999999999</v>
      </c>
      <c r="AJ3638" s="46">
        <v>278</v>
      </c>
      <c r="AK3638" s="46">
        <v>118500</v>
      </c>
      <c r="AL3638" s="46">
        <v>1188111.3580000002</v>
      </c>
      <c r="AM3638" s="46">
        <v>10.026</v>
      </c>
      <c r="AN3638" s="46" t="s">
        <v>63</v>
      </c>
      <c r="AO3638" s="46">
        <v>15200</v>
      </c>
      <c r="AP3638" s="46">
        <v>218944.323</v>
      </c>
      <c r="AQ3638" s="46">
        <v>14.404</v>
      </c>
      <c r="AR3638" s="46">
        <v>-59013</v>
      </c>
      <c r="AS3638" s="46">
        <v>255</v>
      </c>
      <c r="AT3638" s="46">
        <v>137800</v>
      </c>
      <c r="AU3638" s="46">
        <v>1441893.6810000001</v>
      </c>
      <c r="AV3638" s="46">
        <v>10.464</v>
      </c>
      <c r="AW3638" s="46">
        <v>283</v>
      </c>
      <c r="AX3638" s="46">
        <v>120500</v>
      </c>
      <c r="AY3638" s="46">
        <v>1203738.6900000002</v>
      </c>
      <c r="AZ3638" s="46">
        <v>9.99</v>
      </c>
      <c r="BA3638" s="46" t="s">
        <v>63</v>
      </c>
      <c r="BB3638" s="46">
        <v>17300</v>
      </c>
      <c r="BC3638" s="46">
        <v>238154.99100000001</v>
      </c>
      <c r="BD3638" s="46">
        <v>13.766</v>
      </c>
      <c r="BE3638" s="46">
        <v>-57117</v>
      </c>
      <c r="BF3638" s="46">
        <v>34838</v>
      </c>
      <c r="BG3638" s="46">
        <v>8.7100000000000009</v>
      </c>
      <c r="BH3638" s="46">
        <v>15627.331999999937</v>
      </c>
      <c r="BI3638">
        <v>7.81</v>
      </c>
      <c r="BJ3638">
        <v>19210.668000000005</v>
      </c>
      <c r="BK3638">
        <v>9.61</v>
      </c>
      <c r="BL3638">
        <v>-7527.17</v>
      </c>
    </row>
    <row r="3639" spans="1:64" x14ac:dyDescent="0.25">
      <c r="A3639" s="136">
        <v>43663</v>
      </c>
      <c r="B3639" t="s">
        <v>77</v>
      </c>
      <c r="C3639" t="s">
        <v>150</v>
      </c>
      <c r="D3639">
        <v>6700</v>
      </c>
      <c r="E3639">
        <v>6700</v>
      </c>
      <c r="F3639">
        <v>5.1630000000000003</v>
      </c>
      <c r="G3639">
        <v>-7860.18</v>
      </c>
      <c r="H3639">
        <v>-22.72</v>
      </c>
      <c r="I3639">
        <v>26733</v>
      </c>
      <c r="J3639">
        <v>3.99</v>
      </c>
      <c r="K3639" s="133">
        <v>5.0337609202512582E-2</v>
      </c>
      <c r="L3639" s="181">
        <v>0</v>
      </c>
      <c r="M3639" s="133">
        <v>6.5138142966078408E-2</v>
      </c>
      <c r="N3639" s="73">
        <v>-8231.1299999999974</v>
      </c>
      <c r="O3639" s="73">
        <v>-1926.9986122194509</v>
      </c>
      <c r="P3639" s="182">
        <v>8</v>
      </c>
      <c r="Q3639" s="182">
        <v>4000</v>
      </c>
      <c r="R3639" s="46">
        <v>4.2389999999999999</v>
      </c>
      <c r="S3639" s="46">
        <v>0</v>
      </c>
      <c r="T3639" s="46">
        <v>0</v>
      </c>
      <c r="U3639" s="46">
        <v>0</v>
      </c>
      <c r="V3639" s="46" t="s">
        <v>62</v>
      </c>
      <c r="W3639" s="46">
        <v>4000</v>
      </c>
      <c r="X3639" s="46">
        <v>4.2389999999999999</v>
      </c>
      <c r="AF3639" s="46">
        <v>53</v>
      </c>
      <c r="AG3639" s="46">
        <v>26500</v>
      </c>
      <c r="AH3639" s="46">
        <v>179594</v>
      </c>
      <c r="AI3639" s="46">
        <v>6.7770000000000001</v>
      </c>
      <c r="AJ3639" s="46">
        <v>53</v>
      </c>
      <c r="AK3639" s="46">
        <v>23800</v>
      </c>
      <c r="AL3639" s="46">
        <v>161702.87000000005</v>
      </c>
      <c r="AM3639" s="46">
        <v>6.7939999999999996</v>
      </c>
      <c r="AN3639" s="46" t="s">
        <v>63</v>
      </c>
      <c r="AO3639" s="46">
        <v>2700</v>
      </c>
      <c r="AP3639" s="46">
        <v>17891.13</v>
      </c>
      <c r="AQ3639" s="46">
        <v>6.6260000000000003</v>
      </c>
      <c r="AR3639" s="46">
        <v>404.6</v>
      </c>
      <c r="AS3639" s="46">
        <v>61</v>
      </c>
      <c r="AT3639" s="46">
        <v>30500</v>
      </c>
      <c r="AU3639" s="46">
        <v>196301</v>
      </c>
      <c r="AV3639" s="46">
        <v>6.4359999999999999</v>
      </c>
      <c r="AW3639" s="46">
        <v>53</v>
      </c>
      <c r="AX3639" s="46">
        <v>23800</v>
      </c>
      <c r="AY3639" s="46">
        <v>161702.87000000005</v>
      </c>
      <c r="AZ3639" s="46">
        <v>6.7939999999999996</v>
      </c>
      <c r="BA3639" s="46" t="s">
        <v>63</v>
      </c>
      <c r="BB3639" s="46">
        <v>6700</v>
      </c>
      <c r="BC3639" s="46">
        <v>34598.129999999997</v>
      </c>
      <c r="BD3639" s="46">
        <v>5.1639999999999997</v>
      </c>
      <c r="BE3639" s="46">
        <v>8520.4</v>
      </c>
      <c r="BF3639" s="46">
        <v>16707</v>
      </c>
      <c r="BG3639" s="46">
        <v>4.18</v>
      </c>
      <c r="BH3639" s="46">
        <v>0</v>
      </c>
      <c r="BJ3639">
        <v>16706.999999999996</v>
      </c>
      <c r="BK3639">
        <v>4.18</v>
      </c>
      <c r="BL3639">
        <v>101.4</v>
      </c>
    </row>
    <row r="3640" spans="1:64" x14ac:dyDescent="0.25">
      <c r="A3640" s="136">
        <v>43663</v>
      </c>
      <c r="B3640" t="s">
        <v>67</v>
      </c>
      <c r="C3640" t="s">
        <v>129</v>
      </c>
      <c r="D3640">
        <v>2130</v>
      </c>
      <c r="E3640">
        <v>2130</v>
      </c>
      <c r="F3640">
        <v>4.6230000000000002</v>
      </c>
      <c r="G3640">
        <v>4487.66</v>
      </c>
      <c r="H3640">
        <v>45.57</v>
      </c>
      <c r="I3640">
        <v>14334.9</v>
      </c>
      <c r="J3640">
        <v>6.73</v>
      </c>
      <c r="K3640" s="133">
        <v>2.6992278986911217E-2</v>
      </c>
      <c r="L3640" s="181">
        <v>224</v>
      </c>
      <c r="M3640" s="133">
        <v>1.8542120930810233E-2</v>
      </c>
      <c r="N3640" s="73">
        <v>4504.1554999999717</v>
      </c>
      <c r="O3640" s="73">
        <v>667.93819321216381</v>
      </c>
      <c r="P3640" s="182">
        <v>1</v>
      </c>
      <c r="Q3640" s="182">
        <v>30</v>
      </c>
      <c r="R3640" s="46">
        <v>0</v>
      </c>
      <c r="S3640" s="46">
        <v>21</v>
      </c>
      <c r="T3640" s="46">
        <v>8400</v>
      </c>
      <c r="U3640" s="46">
        <v>8.7739999999999991</v>
      </c>
      <c r="V3640" s="46" t="s">
        <v>68</v>
      </c>
      <c r="W3640" s="46">
        <v>8370</v>
      </c>
      <c r="X3640" s="46">
        <v>8.8049999999999997</v>
      </c>
      <c r="AF3640" s="46">
        <v>202</v>
      </c>
      <c r="AG3640" s="46">
        <v>99800</v>
      </c>
      <c r="AH3640" s="46">
        <v>824419</v>
      </c>
      <c r="AI3640" s="46">
        <v>8.2609999999999992</v>
      </c>
      <c r="AJ3640" s="46">
        <v>206</v>
      </c>
      <c r="AK3640" s="46">
        <v>91900</v>
      </c>
      <c r="AL3640" s="46">
        <v>810176.27150000015</v>
      </c>
      <c r="AM3640" s="46">
        <v>8.8160000000000007</v>
      </c>
      <c r="AN3640" s="46" t="s">
        <v>63</v>
      </c>
      <c r="AO3640" s="46">
        <v>7900</v>
      </c>
      <c r="AP3640" s="46">
        <v>14242.727999999999</v>
      </c>
      <c r="AQ3640" s="46">
        <v>1.8029999999999999</v>
      </c>
      <c r="AR3640" s="46">
        <v>51004.5</v>
      </c>
      <c r="AS3640" s="46">
        <v>203</v>
      </c>
      <c r="AT3640" s="46">
        <v>99830</v>
      </c>
      <c r="AU3640" s="46">
        <v>824424</v>
      </c>
      <c r="AV3640" s="46">
        <v>8.2579999999999991</v>
      </c>
      <c r="AW3640" s="46">
        <v>227</v>
      </c>
      <c r="AX3640" s="46">
        <v>100300</v>
      </c>
      <c r="AY3640" s="46">
        <v>883700.07150000019</v>
      </c>
      <c r="AZ3640" s="46">
        <v>8.8109999999999999</v>
      </c>
      <c r="BA3640" s="46" t="s">
        <v>69</v>
      </c>
      <c r="BB3640" s="46">
        <v>470</v>
      </c>
      <c r="BC3640" s="46">
        <v>59276.072</v>
      </c>
      <c r="BD3640" s="46">
        <v>126.119</v>
      </c>
      <c r="BE3640" s="46">
        <v>55205.99</v>
      </c>
      <c r="BF3640" s="46">
        <v>5</v>
      </c>
      <c r="BG3640" s="46">
        <v>0.17</v>
      </c>
      <c r="BH3640" s="46">
        <v>73523.800000000047</v>
      </c>
      <c r="BI3640">
        <v>8.75</v>
      </c>
      <c r="BJ3640">
        <v>45033.343999999997</v>
      </c>
      <c r="BK3640">
        <v>5.38</v>
      </c>
      <c r="BL3640">
        <v>7578.68</v>
      </c>
    </row>
    <row r="3641" spans="1:64" x14ac:dyDescent="0.25">
      <c r="A3641" s="136">
        <v>43663</v>
      </c>
      <c r="B3641" t="s">
        <v>78</v>
      </c>
      <c r="C3641" t="s">
        <v>142</v>
      </c>
      <c r="D3641">
        <v>100</v>
      </c>
      <c r="E3641">
        <v>100</v>
      </c>
      <c r="F3641">
        <v>-5.867</v>
      </c>
      <c r="G3641">
        <v>1565.7</v>
      </c>
      <c r="H3641">
        <v>0</v>
      </c>
      <c r="I3641">
        <v>979</v>
      </c>
      <c r="J3641">
        <v>9.7899999999999991</v>
      </c>
      <c r="K3641" s="133">
        <v>1.8434339359316133E-3</v>
      </c>
      <c r="L3641" s="181">
        <v>-26</v>
      </c>
      <c r="M3641" s="133">
        <v>0</v>
      </c>
      <c r="N3641" s="73">
        <v>1576.660999999996</v>
      </c>
      <c r="O3641" s="73">
        <v>159.17905752525212</v>
      </c>
      <c r="P3641" s="182">
        <v>0</v>
      </c>
      <c r="Q3641" s="182">
        <v>0</v>
      </c>
      <c r="R3641" s="46">
        <v>0</v>
      </c>
      <c r="S3641" s="46">
        <v>4</v>
      </c>
      <c r="T3641" s="46">
        <v>1300</v>
      </c>
      <c r="U3641" s="46">
        <v>9.9220000000000006</v>
      </c>
      <c r="V3641" s="46" t="s">
        <v>68</v>
      </c>
      <c r="W3641" s="46">
        <v>1300</v>
      </c>
      <c r="X3641" s="46">
        <v>9.9220000000000006</v>
      </c>
      <c r="AF3641" s="46">
        <v>14</v>
      </c>
      <c r="AG3641" s="46">
        <v>7000</v>
      </c>
      <c r="AH3641" s="46">
        <v>67625</v>
      </c>
      <c r="AI3641" s="46">
        <v>9.6609999999999996</v>
      </c>
      <c r="AJ3641" s="46">
        <v>15</v>
      </c>
      <c r="AK3641" s="46">
        <v>5600</v>
      </c>
      <c r="AL3641" s="46">
        <v>55310.559000000008</v>
      </c>
      <c r="AM3641" s="46">
        <v>9.8770000000000007</v>
      </c>
      <c r="AN3641" s="46" t="s">
        <v>63</v>
      </c>
      <c r="AO3641" s="46">
        <v>1400</v>
      </c>
      <c r="AP3641" s="46">
        <v>12314.441000000001</v>
      </c>
      <c r="AQ3641" s="46">
        <v>8.7959999999999994</v>
      </c>
      <c r="AR3641" s="46">
        <v>1209.5999999999999</v>
      </c>
      <c r="AS3641" s="46">
        <v>14</v>
      </c>
      <c r="AT3641" s="46">
        <v>7000</v>
      </c>
      <c r="AU3641" s="46">
        <v>67625</v>
      </c>
      <c r="AV3641" s="46">
        <v>9.6609999999999996</v>
      </c>
      <c r="AW3641" s="46">
        <v>19</v>
      </c>
      <c r="AX3641" s="46">
        <v>6900</v>
      </c>
      <c r="AY3641" s="46">
        <v>68211.661000000007</v>
      </c>
      <c r="AZ3641" s="46">
        <v>9.8859999999999992</v>
      </c>
      <c r="BA3641" s="46" t="s">
        <v>63</v>
      </c>
      <c r="BB3641" s="46">
        <v>100</v>
      </c>
      <c r="BC3641" s="46">
        <v>586.66099999999994</v>
      </c>
      <c r="BD3641" s="46">
        <v>5.867</v>
      </c>
      <c r="BE3641" s="46">
        <v>1552.5</v>
      </c>
      <c r="BF3641" s="46">
        <v>0</v>
      </c>
      <c r="BH3641" s="46">
        <v>12901.101999999999</v>
      </c>
      <c r="BI3641">
        <v>9.92</v>
      </c>
      <c r="BJ3641">
        <v>-11727.78</v>
      </c>
      <c r="BK3641">
        <v>-9.02</v>
      </c>
      <c r="BL3641">
        <v>123.55</v>
      </c>
    </row>
    <row r="3642" spans="1:64" x14ac:dyDescent="0.25">
      <c r="A3642" s="136">
        <v>43663</v>
      </c>
      <c r="B3642" t="s">
        <v>72</v>
      </c>
      <c r="C3642" t="s">
        <v>130</v>
      </c>
      <c r="D3642">
        <v>100</v>
      </c>
      <c r="E3642">
        <v>100</v>
      </c>
      <c r="F3642">
        <v>-18.477</v>
      </c>
      <c r="G3642">
        <v>2353.6999999999998</v>
      </c>
      <c r="H3642">
        <v>0</v>
      </c>
      <c r="I3642">
        <v>506</v>
      </c>
      <c r="J3642">
        <v>5.0599999999999996</v>
      </c>
      <c r="K3642" s="133">
        <v>9.52786079245553E-4</v>
      </c>
      <c r="L3642" s="181">
        <v>-13</v>
      </c>
      <c r="M3642" s="133">
        <v>0</v>
      </c>
      <c r="N3642" s="73">
        <v>-1498.9659999999872</v>
      </c>
      <c r="O3642" s="73">
        <v>376.42007904191922</v>
      </c>
      <c r="P3642" s="182">
        <v>0</v>
      </c>
      <c r="Q3642" s="182">
        <v>0</v>
      </c>
      <c r="R3642" s="46">
        <v>0</v>
      </c>
      <c r="S3642" s="46">
        <v>20</v>
      </c>
      <c r="T3642" s="46">
        <v>8600</v>
      </c>
      <c r="U3642" s="46">
        <v>7.3840000000000003</v>
      </c>
      <c r="V3642" s="46" t="s">
        <v>68</v>
      </c>
      <c r="W3642" s="46">
        <v>8600</v>
      </c>
      <c r="X3642" s="46">
        <v>7.3840000000000003</v>
      </c>
      <c r="AF3642" s="46">
        <v>42</v>
      </c>
      <c r="AG3642" s="46">
        <v>20900</v>
      </c>
      <c r="AH3642" s="46">
        <v>152800</v>
      </c>
      <c r="AI3642" s="46">
        <v>7.3109999999999999</v>
      </c>
      <c r="AJ3642" s="46">
        <v>42</v>
      </c>
      <c r="AK3642" s="46">
        <v>18800</v>
      </c>
      <c r="AL3642" s="46">
        <v>92037.725000000035</v>
      </c>
      <c r="AM3642" s="46">
        <v>4.8959999999999999</v>
      </c>
      <c r="AN3642" s="46" t="s">
        <v>63</v>
      </c>
      <c r="AO3642" s="46">
        <v>2100</v>
      </c>
      <c r="AP3642" s="46">
        <v>60762.275000000001</v>
      </c>
      <c r="AQ3642" s="46">
        <v>28.934000000000001</v>
      </c>
      <c r="AR3642" s="46">
        <v>-45402</v>
      </c>
      <c r="AS3642" s="46">
        <v>42</v>
      </c>
      <c r="AT3642" s="46">
        <v>20900</v>
      </c>
      <c r="AU3642" s="46">
        <v>152800</v>
      </c>
      <c r="AV3642" s="46">
        <v>7.3109999999999999</v>
      </c>
      <c r="AW3642" s="46">
        <v>63</v>
      </c>
      <c r="AX3642" s="46">
        <v>27900</v>
      </c>
      <c r="AY3642" s="46">
        <v>155380.21900000001</v>
      </c>
      <c r="AZ3642" s="46">
        <v>5.569</v>
      </c>
      <c r="BA3642" s="46" t="s">
        <v>69</v>
      </c>
      <c r="BB3642" s="46">
        <v>7000</v>
      </c>
      <c r="BC3642" s="46">
        <v>2580.2190000000001</v>
      </c>
      <c r="BD3642" s="46">
        <v>0.36899999999999999</v>
      </c>
      <c r="BE3642" s="46">
        <v>-36407.800000000003</v>
      </c>
      <c r="BF3642" s="46">
        <v>0</v>
      </c>
      <c r="BH3642" s="46">
        <v>63342.493999999977</v>
      </c>
      <c r="BI3642">
        <v>7.37</v>
      </c>
      <c r="BJ3642">
        <v>-58182.056000000004</v>
      </c>
      <c r="BK3642">
        <v>-6.77</v>
      </c>
      <c r="BL3642">
        <v>-8972.73</v>
      </c>
    </row>
    <row r="3643" spans="1:64" x14ac:dyDescent="0.25">
      <c r="A3643" s="136">
        <v>43663</v>
      </c>
      <c r="B3643" t="s">
        <v>70</v>
      </c>
      <c r="C3643" t="s">
        <v>131</v>
      </c>
      <c r="D3643">
        <v>12780</v>
      </c>
      <c r="E3643">
        <v>12780</v>
      </c>
      <c r="F3643">
        <v>8.7050000000000001</v>
      </c>
      <c r="G3643">
        <v>-3517.81</v>
      </c>
      <c r="H3643">
        <v>-3.16</v>
      </c>
      <c r="I3643">
        <v>107735.4</v>
      </c>
      <c r="J3643">
        <v>8.43</v>
      </c>
      <c r="K3643" s="133">
        <v>0.20286322008290777</v>
      </c>
      <c r="L3643" s="181">
        <v>1205.7999999999997</v>
      </c>
      <c r="M3643" s="133">
        <v>0.20948717343751411</v>
      </c>
      <c r="N3643" s="73">
        <v>-2656.1410000000178</v>
      </c>
      <c r="O3643" s="73">
        <v>-312.33093288235506</v>
      </c>
      <c r="P3643" s="182">
        <v>4</v>
      </c>
      <c r="Q3643" s="182">
        <v>3080</v>
      </c>
      <c r="R3643" s="46">
        <v>3.5720000000000001</v>
      </c>
      <c r="S3643" s="46">
        <v>15</v>
      </c>
      <c r="T3643" s="46">
        <v>6100</v>
      </c>
      <c r="U3643" s="46">
        <v>10.356999999999999</v>
      </c>
      <c r="V3643" s="46" t="s">
        <v>68</v>
      </c>
      <c r="W3643" s="46">
        <v>3020</v>
      </c>
      <c r="X3643" s="46">
        <v>17.277000000000001</v>
      </c>
      <c r="AF3643" s="46">
        <v>179</v>
      </c>
      <c r="AG3643" s="46">
        <v>90400</v>
      </c>
      <c r="AH3643" s="46">
        <v>1080718</v>
      </c>
      <c r="AI3643" s="46">
        <v>11.955</v>
      </c>
      <c r="AJ3643" s="46">
        <v>185</v>
      </c>
      <c r="AK3643" s="46">
        <v>74600</v>
      </c>
      <c r="AL3643" s="46">
        <v>916122.03499999968</v>
      </c>
      <c r="AM3643" s="46">
        <v>12.28</v>
      </c>
      <c r="AN3643" s="46" t="s">
        <v>63</v>
      </c>
      <c r="AO3643" s="46">
        <v>15800</v>
      </c>
      <c r="AP3643" s="46">
        <v>164595.965</v>
      </c>
      <c r="AQ3643" s="46">
        <v>10.417</v>
      </c>
      <c r="AR3643" s="46">
        <v>24245</v>
      </c>
      <c r="AS3643" s="46">
        <v>183</v>
      </c>
      <c r="AT3643" s="46">
        <v>93480</v>
      </c>
      <c r="AU3643" s="46">
        <v>1092621</v>
      </c>
      <c r="AV3643" s="46">
        <v>11.688000000000001</v>
      </c>
      <c r="AW3643" s="46">
        <v>201</v>
      </c>
      <c r="AX3643" s="46">
        <v>80700</v>
      </c>
      <c r="AY3643" s="46">
        <v>979564.85899999947</v>
      </c>
      <c r="AZ3643" s="46">
        <v>12.138</v>
      </c>
      <c r="BA3643" s="46" t="s">
        <v>63</v>
      </c>
      <c r="BB3643" s="46">
        <v>12780</v>
      </c>
      <c r="BC3643" s="46">
        <v>113056.141</v>
      </c>
      <c r="BD3643" s="46">
        <v>8.8460000000000001</v>
      </c>
      <c r="BE3643" s="46">
        <v>36315</v>
      </c>
      <c r="BF3643" s="46">
        <v>11903</v>
      </c>
      <c r="BG3643" s="46">
        <v>3.86</v>
      </c>
      <c r="BH3643" s="46">
        <v>63442.82399999979</v>
      </c>
      <c r="BI3643">
        <v>10.4</v>
      </c>
      <c r="BJ3643">
        <v>-51539.823999999993</v>
      </c>
      <c r="BK3643">
        <v>-17.07</v>
      </c>
      <c r="BL3643">
        <v>2876.04</v>
      </c>
    </row>
    <row r="3644" spans="1:64" x14ac:dyDescent="0.25">
      <c r="A3644" s="136">
        <v>43663</v>
      </c>
      <c r="B3644" t="s">
        <v>628</v>
      </c>
      <c r="C3644" t="s">
        <v>629</v>
      </c>
      <c r="D3644">
        <v>100</v>
      </c>
      <c r="E3644">
        <v>100</v>
      </c>
      <c r="F3644">
        <v>-22.369</v>
      </c>
      <c r="G3644">
        <v>3923.9</v>
      </c>
      <c r="H3644">
        <v>0</v>
      </c>
      <c r="I3644">
        <v>1687</v>
      </c>
      <c r="J3644">
        <v>16.87</v>
      </c>
      <c r="K3644" s="133">
        <v>3.1765812562989087E-3</v>
      </c>
      <c r="L3644" s="181">
        <v>18</v>
      </c>
      <c r="M3644" s="133">
        <v>0</v>
      </c>
    </row>
    <row r="3645" spans="1:64" x14ac:dyDescent="0.25">
      <c r="A3645" s="136">
        <v>43663</v>
      </c>
      <c r="B3645" t="s">
        <v>630</v>
      </c>
      <c r="C3645" t="s">
        <v>631</v>
      </c>
      <c r="D3645">
        <v>100</v>
      </c>
      <c r="E3645">
        <v>100</v>
      </c>
      <c r="F3645">
        <v>-94.6</v>
      </c>
      <c r="G3645">
        <v>11814</v>
      </c>
      <c r="H3645">
        <v>0</v>
      </c>
      <c r="I3645">
        <v>2354</v>
      </c>
      <c r="J3645">
        <v>23.54</v>
      </c>
      <c r="K3645" s="133">
        <v>4.4325265425771377E-3</v>
      </c>
      <c r="L3645" s="181">
        <v>29</v>
      </c>
      <c r="M3645" s="133">
        <v>0</v>
      </c>
    </row>
    <row r="3646" spans="1:64" x14ac:dyDescent="0.25">
      <c r="A3646" s="136">
        <v>43663</v>
      </c>
      <c r="B3646" t="s">
        <v>137</v>
      </c>
      <c r="C3646" t="s">
        <v>149</v>
      </c>
      <c r="D3646">
        <v>150</v>
      </c>
      <c r="E3646">
        <v>150</v>
      </c>
      <c r="F3646">
        <v>-87.406999999999996</v>
      </c>
      <c r="G3646">
        <v>16786.05</v>
      </c>
      <c r="H3646">
        <v>0</v>
      </c>
      <c r="I3646">
        <v>3675</v>
      </c>
      <c r="J3646">
        <v>24.5</v>
      </c>
      <c r="K3646" s="133">
        <v>6.9199384213980376E-3</v>
      </c>
      <c r="L3646" s="181">
        <v>-13.5</v>
      </c>
      <c r="M3646" s="133">
        <v>0</v>
      </c>
    </row>
    <row r="3647" spans="1:64" x14ac:dyDescent="0.25">
      <c r="A3647" s="136">
        <v>43663</v>
      </c>
      <c r="B3647" t="s">
        <v>835</v>
      </c>
      <c r="C3647" t="s">
        <v>839</v>
      </c>
      <c r="I3647">
        <v>9390.51</v>
      </c>
      <c r="K3647" s="133">
        <v>1.7682109100822446E-2</v>
      </c>
      <c r="L3647" s="181">
        <v>0</v>
      </c>
      <c r="M3647" s="133">
        <v>7.6335092905775156E-2</v>
      </c>
    </row>
    <row r="3648" spans="1:64" x14ac:dyDescent="0.25">
      <c r="A3648" s="136">
        <v>43669</v>
      </c>
      <c r="B3648" t="s">
        <v>132</v>
      </c>
      <c r="C3648" t="s">
        <v>123</v>
      </c>
      <c r="D3648">
        <v>2716027</v>
      </c>
      <c r="E3648">
        <v>2716027</v>
      </c>
      <c r="F3648">
        <v>8.9999999999999993E-3</v>
      </c>
      <c r="G3648">
        <v>4050.12</v>
      </c>
      <c r="H3648">
        <v>11.11</v>
      </c>
      <c r="I3648">
        <v>27160.27</v>
      </c>
      <c r="J3648">
        <v>0.01</v>
      </c>
      <c r="K3648" s="133">
        <v>5.2098171621717482E-2</v>
      </c>
      <c r="L3648" s="181">
        <v>11.190000000000055</v>
      </c>
      <c r="M3648" s="133">
        <v>0</v>
      </c>
    </row>
    <row r="3649" spans="1:64" x14ac:dyDescent="0.25">
      <c r="A3649" s="136">
        <v>43669</v>
      </c>
      <c r="B3649" t="s">
        <v>61</v>
      </c>
      <c r="C3649" t="s">
        <v>136</v>
      </c>
      <c r="D3649">
        <v>2800</v>
      </c>
      <c r="E3649">
        <v>2800</v>
      </c>
      <c r="F3649">
        <v>4.6970000000000001</v>
      </c>
      <c r="G3649">
        <v>-1028.48</v>
      </c>
      <c r="H3649">
        <v>-7.82</v>
      </c>
      <c r="I3649">
        <v>12124</v>
      </c>
      <c r="J3649">
        <v>4.33</v>
      </c>
      <c r="K3649" s="133">
        <v>2.3255962946675521E-2</v>
      </c>
      <c r="L3649" s="181">
        <v>-196</v>
      </c>
      <c r="M3649" s="133">
        <v>2.5228768355071828E-2</v>
      </c>
      <c r="N3649" s="73">
        <v>-837.67299999999886</v>
      </c>
      <c r="O3649" s="73">
        <v>-190.28503715909065</v>
      </c>
      <c r="P3649" s="182">
        <v>1</v>
      </c>
      <c r="Q3649" s="182">
        <v>500</v>
      </c>
      <c r="R3649" s="46">
        <v>4.4000000000000004</v>
      </c>
      <c r="S3649" s="46">
        <v>0</v>
      </c>
      <c r="T3649" s="46">
        <v>0</v>
      </c>
      <c r="U3649" s="46">
        <v>0</v>
      </c>
      <c r="V3649" s="46" t="s">
        <v>62</v>
      </c>
      <c r="W3649" s="46">
        <v>500</v>
      </c>
      <c r="X3649" s="46">
        <v>4.4000000000000004</v>
      </c>
      <c r="AF3649" s="46">
        <v>24</v>
      </c>
      <c r="AG3649" s="46">
        <v>12000</v>
      </c>
      <c r="AH3649" s="46">
        <v>58852.200000000012</v>
      </c>
      <c r="AI3649" s="46">
        <v>4.9039999999999999</v>
      </c>
      <c r="AJ3649" s="46">
        <v>24</v>
      </c>
      <c r="AK3649" s="46">
        <v>9700</v>
      </c>
      <c r="AL3649" s="46">
        <v>47899.82699999999</v>
      </c>
      <c r="AM3649" s="46">
        <v>4.9379999999999997</v>
      </c>
      <c r="AN3649" s="46" t="s">
        <v>63</v>
      </c>
      <c r="AO3649" s="46">
        <v>2300</v>
      </c>
      <c r="AP3649" s="46">
        <v>10952.373</v>
      </c>
      <c r="AQ3649" s="46">
        <v>4.7619999999999996</v>
      </c>
      <c r="AR3649" s="46">
        <v>329.8</v>
      </c>
      <c r="AS3649" s="46">
        <v>25</v>
      </c>
      <c r="AT3649" s="46">
        <v>12500</v>
      </c>
      <c r="AU3649" s="46">
        <v>61057.500000000015</v>
      </c>
      <c r="AV3649" s="46">
        <v>4.8849999999999998</v>
      </c>
      <c r="AW3649" s="46">
        <v>24</v>
      </c>
      <c r="AX3649" s="46">
        <v>9700</v>
      </c>
      <c r="AY3649" s="46">
        <v>47899.82699999999</v>
      </c>
      <c r="AZ3649" s="46">
        <v>4.9379999999999997</v>
      </c>
      <c r="BA3649" s="46" t="s">
        <v>63</v>
      </c>
      <c r="BB3649" s="46">
        <v>2800</v>
      </c>
      <c r="BC3649" s="46">
        <v>13157.673000000001</v>
      </c>
      <c r="BD3649" s="46">
        <v>4.6989999999999998</v>
      </c>
      <c r="BE3649" s="46">
        <v>514.1</v>
      </c>
      <c r="BF3649" s="46">
        <v>2205.3000000000029</v>
      </c>
      <c r="BG3649" s="46">
        <v>4.41</v>
      </c>
      <c r="BH3649" s="46">
        <v>0</v>
      </c>
      <c r="BJ3649">
        <v>2205.3000000000011</v>
      </c>
      <c r="BK3649">
        <v>4.41</v>
      </c>
      <c r="BL3649">
        <v>76.17</v>
      </c>
    </row>
    <row r="3650" spans="1:64" x14ac:dyDescent="0.25">
      <c r="A3650" s="136">
        <v>43669</v>
      </c>
      <c r="B3650" t="s">
        <v>124</v>
      </c>
      <c r="C3650" t="s">
        <v>125</v>
      </c>
      <c r="D3650">
        <v>100</v>
      </c>
      <c r="E3650">
        <v>100</v>
      </c>
      <c r="F3650">
        <v>-54.070999999999998</v>
      </c>
      <c r="G3650">
        <v>5973.1</v>
      </c>
      <c r="H3650">
        <v>0</v>
      </c>
      <c r="I3650">
        <v>566</v>
      </c>
      <c r="J3650">
        <v>5.66</v>
      </c>
      <c r="K3650" s="133">
        <v>1.0856874816742284E-3</v>
      </c>
      <c r="L3650" s="181">
        <v>10</v>
      </c>
      <c r="M3650" s="133">
        <v>0</v>
      </c>
      <c r="N3650" s="73">
        <v>5573.0690000000113</v>
      </c>
      <c r="O3650" s="73">
        <v>1102.4501845505636</v>
      </c>
      <c r="P3650" s="182">
        <v>0</v>
      </c>
      <c r="Q3650" s="182">
        <v>0</v>
      </c>
      <c r="R3650" s="46">
        <v>0</v>
      </c>
      <c r="S3650" s="46">
        <v>5</v>
      </c>
      <c r="T3650" s="46">
        <v>2300</v>
      </c>
      <c r="U3650" s="46">
        <v>4.99</v>
      </c>
      <c r="V3650" s="46" t="s">
        <v>68</v>
      </c>
      <c r="W3650" s="46">
        <v>2300</v>
      </c>
      <c r="X3650" s="46">
        <v>4.99</v>
      </c>
      <c r="AF3650" s="46">
        <v>50</v>
      </c>
      <c r="AG3650" s="46">
        <v>36700</v>
      </c>
      <c r="AH3650" s="46">
        <v>180101.02000000002</v>
      </c>
      <c r="AI3650" s="46">
        <v>4.907</v>
      </c>
      <c r="AJ3650" s="46">
        <v>58</v>
      </c>
      <c r="AK3650" s="46">
        <v>35300</v>
      </c>
      <c r="AL3650" s="46">
        <v>178266.546</v>
      </c>
      <c r="AM3650" s="46">
        <v>5.05</v>
      </c>
      <c r="AN3650" s="46" t="s">
        <v>63</v>
      </c>
      <c r="AO3650" s="46">
        <v>1400</v>
      </c>
      <c r="AP3650" s="46">
        <v>1834.4739999999999</v>
      </c>
      <c r="AQ3650" s="46">
        <v>1.31</v>
      </c>
      <c r="AR3650" s="46">
        <v>5047.8999999999996</v>
      </c>
      <c r="AS3650" s="46">
        <v>51</v>
      </c>
      <c r="AT3650" s="46">
        <v>37700</v>
      </c>
      <c r="AU3650" s="46">
        <v>185106.62</v>
      </c>
      <c r="AV3650" s="46">
        <v>4.91</v>
      </c>
      <c r="AW3650" s="46">
        <v>63</v>
      </c>
      <c r="AX3650" s="46">
        <v>37600</v>
      </c>
      <c r="AY3650" s="46">
        <v>189713.68900000001</v>
      </c>
      <c r="AZ3650" s="46">
        <v>5.0460000000000003</v>
      </c>
      <c r="BA3650" s="46" t="s">
        <v>63</v>
      </c>
      <c r="BB3650" s="46">
        <v>100</v>
      </c>
      <c r="BC3650" s="46">
        <v>4607.0690000000004</v>
      </c>
      <c r="BD3650" s="46">
        <v>46.070999999999998</v>
      </c>
      <c r="BE3650" s="46">
        <v>5113.6000000000004</v>
      </c>
      <c r="BF3650" s="46">
        <v>5005.5999999999767</v>
      </c>
      <c r="BH3650" s="46">
        <v>11447.143000000011</v>
      </c>
      <c r="BI3650">
        <v>4.9800000000000004</v>
      </c>
      <c r="BJ3650">
        <v>2772.5950000000003</v>
      </c>
      <c r="BK3650">
        <v>1.21</v>
      </c>
      <c r="BL3650">
        <v>891.86</v>
      </c>
    </row>
    <row r="3651" spans="1:64" x14ac:dyDescent="0.25">
      <c r="A3651" s="136">
        <v>43669</v>
      </c>
      <c r="B3651" t="s">
        <v>71</v>
      </c>
      <c r="C3651" t="s">
        <v>126</v>
      </c>
      <c r="D3651">
        <v>4000</v>
      </c>
      <c r="E3651">
        <v>4000</v>
      </c>
      <c r="F3651">
        <v>5.1890000000000001</v>
      </c>
      <c r="G3651">
        <v>2044.47</v>
      </c>
      <c r="H3651">
        <v>9.85</v>
      </c>
      <c r="I3651">
        <v>22800</v>
      </c>
      <c r="J3651">
        <v>5.7</v>
      </c>
      <c r="K3651" s="133">
        <v>4.3734407388997185E-2</v>
      </c>
      <c r="L3651" s="181">
        <v>-55.120000000000118</v>
      </c>
      <c r="M3651" s="133">
        <v>3.9812754587480383E-2</v>
      </c>
      <c r="N3651" s="73">
        <v>2509.096000000005</v>
      </c>
      <c r="O3651" s="73">
        <v>337.86696084656228</v>
      </c>
      <c r="P3651" s="182">
        <v>0</v>
      </c>
      <c r="Q3651" s="182">
        <v>0</v>
      </c>
      <c r="R3651" s="46">
        <v>0</v>
      </c>
      <c r="S3651" s="46">
        <v>2</v>
      </c>
      <c r="T3651" s="46">
        <v>800</v>
      </c>
      <c r="U3651" s="46">
        <v>6.31</v>
      </c>
      <c r="V3651" s="46" t="s">
        <v>68</v>
      </c>
      <c r="W3651" s="46">
        <v>800</v>
      </c>
      <c r="X3651" s="46">
        <v>6.31</v>
      </c>
      <c r="AF3651" s="46">
        <v>58</v>
      </c>
      <c r="AG3651" s="46">
        <v>30100</v>
      </c>
      <c r="AH3651" s="46">
        <v>189294.02999999991</v>
      </c>
      <c r="AI3651" s="46">
        <v>6.2889999999999997</v>
      </c>
      <c r="AJ3651" s="46">
        <v>58</v>
      </c>
      <c r="AK3651" s="46">
        <v>25300</v>
      </c>
      <c r="AL3651" s="46">
        <v>163337.022</v>
      </c>
      <c r="AM3651" s="46">
        <v>6.4560000000000004</v>
      </c>
      <c r="AN3651" s="46" t="s">
        <v>63</v>
      </c>
      <c r="AO3651" s="46">
        <v>4800</v>
      </c>
      <c r="AP3651" s="46">
        <v>25957.008000000002</v>
      </c>
      <c r="AQ3651" s="46">
        <v>5.4080000000000004</v>
      </c>
      <c r="AR3651" s="46">
        <v>4225.1000000000004</v>
      </c>
      <c r="AS3651" s="46">
        <v>58</v>
      </c>
      <c r="AT3651" s="46">
        <v>30100</v>
      </c>
      <c r="AU3651" s="46">
        <v>189294.02999999991</v>
      </c>
      <c r="AV3651" s="46">
        <v>6.2889999999999997</v>
      </c>
      <c r="AW3651" s="46">
        <v>60</v>
      </c>
      <c r="AX3651" s="46">
        <v>26100</v>
      </c>
      <c r="AY3651" s="46">
        <v>168369.49400000001</v>
      </c>
      <c r="AZ3651" s="46">
        <v>6.4509999999999996</v>
      </c>
      <c r="BA3651" s="46" t="s">
        <v>63</v>
      </c>
      <c r="BB3651" s="46">
        <v>4000</v>
      </c>
      <c r="BC3651" s="46">
        <v>20924.536</v>
      </c>
      <c r="BD3651" s="46">
        <v>5.2309999999999999</v>
      </c>
      <c r="BE3651" s="46">
        <v>4228.2</v>
      </c>
      <c r="BF3651" s="46">
        <v>0</v>
      </c>
      <c r="BH3651" s="46">
        <v>5032.4720000000088</v>
      </c>
      <c r="BI3651">
        <v>6.29</v>
      </c>
      <c r="BJ3651">
        <v>-5032.4720000000016</v>
      </c>
      <c r="BK3651">
        <v>-6.29</v>
      </c>
      <c r="BL3651">
        <v>741.25</v>
      </c>
    </row>
    <row r="3652" spans="1:64" x14ac:dyDescent="0.25">
      <c r="A3652" s="136">
        <v>43669</v>
      </c>
      <c r="B3652" t="s">
        <v>79</v>
      </c>
      <c r="C3652" t="s">
        <v>143</v>
      </c>
      <c r="D3652">
        <v>12420</v>
      </c>
      <c r="E3652">
        <v>12420</v>
      </c>
      <c r="F3652">
        <v>10.007999999999999</v>
      </c>
      <c r="G3652">
        <v>-30658.23</v>
      </c>
      <c r="H3652">
        <v>-24.66</v>
      </c>
      <c r="I3652">
        <v>93646.8</v>
      </c>
      <c r="J3652">
        <v>7.54</v>
      </c>
      <c r="K3652" s="133">
        <v>0.17963102201210271</v>
      </c>
      <c r="L3652" s="181">
        <v>-2026.4799999999996</v>
      </c>
      <c r="M3652" s="133">
        <v>0.23843889572462793</v>
      </c>
      <c r="N3652" s="73">
        <v>-30804.420000000289</v>
      </c>
      <c r="O3652" s="73">
        <v>-4088.8469840637836</v>
      </c>
      <c r="P3652" s="182">
        <v>12</v>
      </c>
      <c r="Q3652" s="182">
        <v>8220</v>
      </c>
      <c r="R3652" s="46">
        <v>5.3940000000000001</v>
      </c>
      <c r="S3652" s="46">
        <v>0</v>
      </c>
      <c r="T3652" s="46">
        <v>0</v>
      </c>
      <c r="U3652" s="46">
        <v>0</v>
      </c>
      <c r="V3652" s="46" t="s">
        <v>62</v>
      </c>
      <c r="W3652" s="46">
        <v>8220</v>
      </c>
      <c r="X3652" s="46">
        <v>5.3940000000000001</v>
      </c>
      <c r="AF3652" s="46">
        <v>41</v>
      </c>
      <c r="AG3652" s="46">
        <v>21000</v>
      </c>
      <c r="AH3652" s="46">
        <v>286647.59999999974</v>
      </c>
      <c r="AI3652" s="46">
        <v>13.65</v>
      </c>
      <c r="AJ3652" s="46">
        <v>42</v>
      </c>
      <c r="AK3652" s="46">
        <v>16800</v>
      </c>
      <c r="AL3652" s="46">
        <v>206723.51199999976</v>
      </c>
      <c r="AM3652" s="46">
        <v>12.305</v>
      </c>
      <c r="AN3652" s="46" t="s">
        <v>63</v>
      </c>
      <c r="AO3652" s="46">
        <v>4200</v>
      </c>
      <c r="AP3652" s="46">
        <v>79924.088000000003</v>
      </c>
      <c r="AQ3652" s="46">
        <v>19.03</v>
      </c>
      <c r="AR3652" s="46">
        <v>-22596</v>
      </c>
      <c r="AS3652" s="46">
        <v>53</v>
      </c>
      <c r="AT3652" s="46">
        <v>29220</v>
      </c>
      <c r="AU3652" s="46">
        <v>331050.5319999996</v>
      </c>
      <c r="AV3652" s="46">
        <v>11.33</v>
      </c>
      <c r="AW3652" s="46">
        <v>42</v>
      </c>
      <c r="AX3652" s="46">
        <v>16800</v>
      </c>
      <c r="AY3652" s="46">
        <v>206723.51199999976</v>
      </c>
      <c r="AZ3652" s="46">
        <v>12.305</v>
      </c>
      <c r="BA3652" s="46" t="s">
        <v>63</v>
      </c>
      <c r="BB3652" s="46">
        <v>12420</v>
      </c>
      <c r="BC3652" s="46">
        <v>124327.02</v>
      </c>
      <c r="BD3652" s="46">
        <v>10.01</v>
      </c>
      <c r="BE3652" s="46">
        <v>16380</v>
      </c>
      <c r="BF3652" s="46">
        <v>44402.931999999855</v>
      </c>
      <c r="BG3652" s="46">
        <v>5.4</v>
      </c>
      <c r="BH3652" s="46">
        <v>0</v>
      </c>
      <c r="BJ3652">
        <v>44402.932000000001</v>
      </c>
      <c r="BK3652">
        <v>5.4</v>
      </c>
      <c r="BL3652">
        <v>-2996.82</v>
      </c>
    </row>
    <row r="3653" spans="1:64" x14ac:dyDescent="0.25">
      <c r="A3653" s="136">
        <v>43669</v>
      </c>
      <c r="B3653" t="s">
        <v>749</v>
      </c>
      <c r="C3653" t="s">
        <v>750</v>
      </c>
      <c r="D3653">
        <v>500</v>
      </c>
      <c r="E3653">
        <v>500</v>
      </c>
      <c r="F3653">
        <v>5.85</v>
      </c>
      <c r="G3653">
        <v>2080</v>
      </c>
      <c r="H3653">
        <v>71.11</v>
      </c>
      <c r="I3653">
        <v>5005</v>
      </c>
      <c r="J3653">
        <v>10.01</v>
      </c>
      <c r="K3653" s="133">
        <v>9.6004696921899516E-3</v>
      </c>
      <c r="M3653" s="133">
        <v>5.6106641058252969E-3</v>
      </c>
    </row>
    <row r="3654" spans="1:64" x14ac:dyDescent="0.25">
      <c r="A3654" s="136">
        <v>43669</v>
      </c>
      <c r="B3654" t="s">
        <v>65</v>
      </c>
      <c r="C3654" t="s">
        <v>127</v>
      </c>
      <c r="D3654">
        <v>26400</v>
      </c>
      <c r="E3654">
        <v>26400</v>
      </c>
      <c r="F3654">
        <v>8.4269999999999996</v>
      </c>
      <c r="G3654">
        <v>-17866.73</v>
      </c>
      <c r="H3654">
        <v>-8.0299999999999994</v>
      </c>
      <c r="I3654">
        <v>204600</v>
      </c>
      <c r="J3654">
        <v>7.75</v>
      </c>
      <c r="K3654" s="133">
        <v>0.39245876104336946</v>
      </c>
      <c r="L3654" s="181">
        <v>-2321.17</v>
      </c>
      <c r="M3654" s="133">
        <v>0.42673028948763342</v>
      </c>
      <c r="N3654" s="73">
        <v>-17397.161000000109</v>
      </c>
      <c r="O3654" s="73">
        <v>-1653.0958002837638</v>
      </c>
      <c r="P3654" s="182">
        <v>4</v>
      </c>
      <c r="Q3654" s="182">
        <v>3000</v>
      </c>
      <c r="R3654" s="46">
        <v>8.6129999999999995</v>
      </c>
      <c r="S3654" s="46">
        <v>3</v>
      </c>
      <c r="T3654" s="46">
        <v>1200</v>
      </c>
      <c r="U3654" s="46">
        <v>7.86</v>
      </c>
      <c r="V3654" s="46" t="s">
        <v>62</v>
      </c>
      <c r="W3654" s="46">
        <v>1800</v>
      </c>
      <c r="X3654" s="46">
        <v>9.1150000000000002</v>
      </c>
      <c r="AF3654" s="46">
        <v>251</v>
      </c>
      <c r="AG3654" s="46">
        <v>135100</v>
      </c>
      <c r="AH3654" s="46">
        <v>1417854.6810000001</v>
      </c>
      <c r="AI3654" s="46">
        <v>10.494999999999999</v>
      </c>
      <c r="AJ3654" s="46">
        <v>281</v>
      </c>
      <c r="AK3654" s="46">
        <v>119700</v>
      </c>
      <c r="AL3654" s="46">
        <v>1197494.9500000002</v>
      </c>
      <c r="AM3654" s="46">
        <v>10.004</v>
      </c>
      <c r="AN3654" s="46" t="s">
        <v>63</v>
      </c>
      <c r="AO3654" s="46">
        <v>15400</v>
      </c>
      <c r="AP3654" s="46">
        <v>220359.731</v>
      </c>
      <c r="AQ3654" s="46">
        <v>14.308999999999999</v>
      </c>
      <c r="AR3654" s="46">
        <v>-58772.7</v>
      </c>
      <c r="AS3654" s="46">
        <v>256</v>
      </c>
      <c r="AT3654" s="46">
        <v>138200</v>
      </c>
      <c r="AU3654" s="46">
        <v>1445002.6810000001</v>
      </c>
      <c r="AV3654" s="46">
        <v>10.456</v>
      </c>
      <c r="AW3654" s="46">
        <v>284</v>
      </c>
      <c r="AX3654" s="46">
        <v>120900</v>
      </c>
      <c r="AY3654" s="46">
        <v>1206902.5180000002</v>
      </c>
      <c r="AZ3654" s="46">
        <v>9.9830000000000005</v>
      </c>
      <c r="BA3654" s="46" t="s">
        <v>63</v>
      </c>
      <c r="BB3654" s="46">
        <v>17300</v>
      </c>
      <c r="BC3654" s="46">
        <v>238100.163</v>
      </c>
      <c r="BD3654" s="46">
        <v>13.763</v>
      </c>
      <c r="BE3654" s="46">
        <v>-57185.7</v>
      </c>
      <c r="BF3654" s="46">
        <v>27148</v>
      </c>
      <c r="BG3654" s="46">
        <v>9.0500000000000007</v>
      </c>
      <c r="BH3654" s="46">
        <v>9407.5679999999702</v>
      </c>
      <c r="BI3654">
        <v>7.84</v>
      </c>
      <c r="BJ3654">
        <v>17740.432000000001</v>
      </c>
      <c r="BK3654">
        <v>9.86</v>
      </c>
      <c r="BL3654">
        <v>-7583.57</v>
      </c>
    </row>
    <row r="3655" spans="1:64" x14ac:dyDescent="0.25">
      <c r="A3655" s="136">
        <v>43669</v>
      </c>
      <c r="B3655" t="s">
        <v>77</v>
      </c>
      <c r="C3655" t="s">
        <v>150</v>
      </c>
      <c r="D3655">
        <v>6700</v>
      </c>
      <c r="E3655">
        <v>6700</v>
      </c>
      <c r="F3655">
        <v>5.1630000000000003</v>
      </c>
      <c r="G3655">
        <v>-8664.18</v>
      </c>
      <c r="H3655">
        <v>-25.05</v>
      </c>
      <c r="I3655">
        <v>25929</v>
      </c>
      <c r="J3655">
        <v>3.87</v>
      </c>
      <c r="K3655" s="133">
        <v>4.9736379350408248E-2</v>
      </c>
      <c r="L3655" s="181">
        <v>-804</v>
      </c>
      <c r="M3655" s="133">
        <v>6.6355799429864457E-2</v>
      </c>
      <c r="N3655" s="73">
        <v>-8231.1299999999974</v>
      </c>
      <c r="O3655" s="73">
        <v>-1926.9986122194509</v>
      </c>
      <c r="P3655" s="182">
        <v>8</v>
      </c>
      <c r="Q3655" s="182">
        <v>4000</v>
      </c>
      <c r="R3655" s="46">
        <v>4.2389999999999999</v>
      </c>
      <c r="S3655" s="46">
        <v>0</v>
      </c>
      <c r="T3655" s="46">
        <v>0</v>
      </c>
      <c r="U3655" s="46">
        <v>0</v>
      </c>
      <c r="V3655" s="46" t="s">
        <v>62</v>
      </c>
      <c r="W3655" s="46">
        <v>4000</v>
      </c>
      <c r="X3655" s="46">
        <v>4.2389999999999999</v>
      </c>
      <c r="AF3655" s="46">
        <v>53</v>
      </c>
      <c r="AG3655" s="46">
        <v>26500</v>
      </c>
      <c r="AH3655" s="46">
        <v>179594</v>
      </c>
      <c r="AI3655" s="46">
        <v>6.7770000000000001</v>
      </c>
      <c r="AJ3655" s="46">
        <v>53</v>
      </c>
      <c r="AK3655" s="46">
        <v>23800</v>
      </c>
      <c r="AL3655" s="46">
        <v>161702.87000000005</v>
      </c>
      <c r="AM3655" s="46">
        <v>6.7939999999999996</v>
      </c>
      <c r="AN3655" s="46" t="s">
        <v>63</v>
      </c>
      <c r="AO3655" s="46">
        <v>2700</v>
      </c>
      <c r="AP3655" s="46">
        <v>17891.13</v>
      </c>
      <c r="AQ3655" s="46">
        <v>6.6260000000000003</v>
      </c>
      <c r="AR3655" s="46">
        <v>404.6</v>
      </c>
      <c r="AS3655" s="46">
        <v>61</v>
      </c>
      <c r="AT3655" s="46">
        <v>30500</v>
      </c>
      <c r="AU3655" s="46">
        <v>196301</v>
      </c>
      <c r="AV3655" s="46">
        <v>6.4359999999999999</v>
      </c>
      <c r="AW3655" s="46">
        <v>53</v>
      </c>
      <c r="AX3655" s="46">
        <v>23800</v>
      </c>
      <c r="AY3655" s="46">
        <v>161702.87000000005</v>
      </c>
      <c r="AZ3655" s="46">
        <v>6.7939999999999996</v>
      </c>
      <c r="BA3655" s="46" t="s">
        <v>63</v>
      </c>
      <c r="BB3655" s="46">
        <v>6700</v>
      </c>
      <c r="BC3655" s="46">
        <v>34598.129999999997</v>
      </c>
      <c r="BD3655" s="46">
        <v>5.1639999999999997</v>
      </c>
      <c r="BE3655" s="46">
        <v>8520.4</v>
      </c>
      <c r="BF3655" s="46">
        <v>16707</v>
      </c>
      <c r="BG3655" s="46">
        <v>4.18</v>
      </c>
      <c r="BH3655" s="46">
        <v>0</v>
      </c>
      <c r="BJ3655">
        <v>16706.999999999996</v>
      </c>
      <c r="BK3655">
        <v>4.18</v>
      </c>
      <c r="BL3655">
        <v>104.55</v>
      </c>
    </row>
    <row r="3656" spans="1:64" x14ac:dyDescent="0.25">
      <c r="A3656" s="136">
        <v>43669</v>
      </c>
      <c r="B3656" t="s">
        <v>67</v>
      </c>
      <c r="C3656" t="s">
        <v>129</v>
      </c>
      <c r="D3656">
        <v>2130</v>
      </c>
      <c r="E3656">
        <v>2130</v>
      </c>
      <c r="F3656">
        <v>4.6230000000000002</v>
      </c>
      <c r="G3656">
        <v>4445.0600000000004</v>
      </c>
      <c r="H3656">
        <v>45.14</v>
      </c>
      <c r="I3656">
        <v>14292.3</v>
      </c>
      <c r="J3656">
        <v>6.71</v>
      </c>
      <c r="K3656" s="133">
        <v>2.7415143452884407E-2</v>
      </c>
      <c r="L3656" s="181">
        <v>-42.599999999999454</v>
      </c>
      <c r="M3656" s="133">
        <v>1.8888737097246866E-2</v>
      </c>
      <c r="N3656" s="73">
        <v>4504.1554999999717</v>
      </c>
      <c r="O3656" s="73">
        <v>667.93819321216381</v>
      </c>
      <c r="P3656" s="182">
        <v>1</v>
      </c>
      <c r="Q3656" s="182">
        <v>30</v>
      </c>
      <c r="R3656" s="46">
        <v>0</v>
      </c>
      <c r="S3656" s="46">
        <v>21</v>
      </c>
      <c r="T3656" s="46">
        <v>8400</v>
      </c>
      <c r="U3656" s="46">
        <v>8.7739999999999991</v>
      </c>
      <c r="V3656" s="46" t="s">
        <v>68</v>
      </c>
      <c r="W3656" s="46">
        <v>8370</v>
      </c>
      <c r="X3656" s="46">
        <v>8.8049999999999997</v>
      </c>
      <c r="AF3656" s="46">
        <v>202</v>
      </c>
      <c r="AG3656" s="46">
        <v>99800</v>
      </c>
      <c r="AH3656" s="46">
        <v>824419</v>
      </c>
      <c r="AI3656" s="46">
        <v>8.2609999999999992</v>
      </c>
      <c r="AJ3656" s="46">
        <v>206</v>
      </c>
      <c r="AK3656" s="46">
        <v>91900</v>
      </c>
      <c r="AL3656" s="46">
        <v>810176.27150000015</v>
      </c>
      <c r="AM3656" s="46">
        <v>8.8160000000000007</v>
      </c>
      <c r="AN3656" s="46" t="s">
        <v>63</v>
      </c>
      <c r="AO3656" s="46">
        <v>7900</v>
      </c>
      <c r="AP3656" s="46">
        <v>14242.727999999999</v>
      </c>
      <c r="AQ3656" s="46">
        <v>1.8029999999999999</v>
      </c>
      <c r="AR3656" s="46">
        <v>51004.5</v>
      </c>
      <c r="AS3656" s="46">
        <v>203</v>
      </c>
      <c r="AT3656" s="46">
        <v>99830</v>
      </c>
      <c r="AU3656" s="46">
        <v>824424</v>
      </c>
      <c r="AV3656" s="46">
        <v>8.2579999999999991</v>
      </c>
      <c r="AW3656" s="46">
        <v>227</v>
      </c>
      <c r="AX3656" s="46">
        <v>100300</v>
      </c>
      <c r="AY3656" s="46">
        <v>883700.07150000019</v>
      </c>
      <c r="AZ3656" s="46">
        <v>8.8109999999999999</v>
      </c>
      <c r="BA3656" s="46" t="s">
        <v>69</v>
      </c>
      <c r="BB3656" s="46">
        <v>470</v>
      </c>
      <c r="BC3656" s="46">
        <v>59276.072</v>
      </c>
      <c r="BD3656" s="46">
        <v>126.119</v>
      </c>
      <c r="BE3656" s="46">
        <v>55205.99</v>
      </c>
      <c r="BF3656" s="46">
        <v>5</v>
      </c>
      <c r="BG3656" s="46">
        <v>0.17</v>
      </c>
      <c r="BH3656" s="46">
        <v>73523.800000000047</v>
      </c>
      <c r="BI3656">
        <v>8.75</v>
      </c>
      <c r="BJ3656">
        <v>45033.343999999997</v>
      </c>
      <c r="BK3656">
        <v>5.38</v>
      </c>
      <c r="BL3656">
        <v>7601.27</v>
      </c>
    </row>
    <row r="3657" spans="1:64" x14ac:dyDescent="0.25">
      <c r="A3657" s="136">
        <v>43669</v>
      </c>
      <c r="B3657" t="s">
        <v>78</v>
      </c>
      <c r="C3657" t="s">
        <v>142</v>
      </c>
      <c r="D3657">
        <v>100</v>
      </c>
      <c r="E3657">
        <v>100</v>
      </c>
      <c r="F3657">
        <v>-5.867</v>
      </c>
      <c r="G3657">
        <v>1537.7</v>
      </c>
      <c r="H3657">
        <v>0</v>
      </c>
      <c r="I3657">
        <v>951</v>
      </c>
      <c r="J3657">
        <v>9.51</v>
      </c>
      <c r="K3657" s="133">
        <v>1.8241851503042247E-3</v>
      </c>
      <c r="L3657" s="181">
        <v>-28</v>
      </c>
      <c r="M3657" s="133">
        <v>0</v>
      </c>
      <c r="N3657" s="73">
        <v>1576.660999999996</v>
      </c>
      <c r="O3657" s="73">
        <v>159.17905752525212</v>
      </c>
      <c r="P3657" s="182">
        <v>0</v>
      </c>
      <c r="Q3657" s="182">
        <v>0</v>
      </c>
      <c r="R3657" s="46">
        <v>0</v>
      </c>
      <c r="S3657" s="46">
        <v>4</v>
      </c>
      <c r="T3657" s="46">
        <v>1300</v>
      </c>
      <c r="U3657" s="46">
        <v>9.9220000000000006</v>
      </c>
      <c r="V3657" s="46" t="s">
        <v>68</v>
      </c>
      <c r="W3657" s="46">
        <v>1300</v>
      </c>
      <c r="X3657" s="46">
        <v>9.9220000000000006</v>
      </c>
      <c r="AF3657" s="46">
        <v>14</v>
      </c>
      <c r="AG3657" s="46">
        <v>7000</v>
      </c>
      <c r="AH3657" s="46">
        <v>67625</v>
      </c>
      <c r="AI3657" s="46">
        <v>9.6609999999999996</v>
      </c>
      <c r="AJ3657" s="46">
        <v>15</v>
      </c>
      <c r="AK3657" s="46">
        <v>5600</v>
      </c>
      <c r="AL3657" s="46">
        <v>55310.559000000008</v>
      </c>
      <c r="AM3657" s="46">
        <v>9.8770000000000007</v>
      </c>
      <c r="AN3657" s="46" t="s">
        <v>63</v>
      </c>
      <c r="AO3657" s="46">
        <v>1400</v>
      </c>
      <c r="AP3657" s="46">
        <v>12314.441000000001</v>
      </c>
      <c r="AQ3657" s="46">
        <v>8.7959999999999994</v>
      </c>
      <c r="AR3657" s="46">
        <v>1209.5999999999999</v>
      </c>
      <c r="AS3657" s="46">
        <v>14</v>
      </c>
      <c r="AT3657" s="46">
        <v>7000</v>
      </c>
      <c r="AU3657" s="46">
        <v>67625</v>
      </c>
      <c r="AV3657" s="46">
        <v>9.6609999999999996</v>
      </c>
      <c r="AW3657" s="46">
        <v>19</v>
      </c>
      <c r="AX3657" s="46">
        <v>6900</v>
      </c>
      <c r="AY3657" s="46">
        <v>68211.661000000007</v>
      </c>
      <c r="AZ3657" s="46">
        <v>9.8859999999999992</v>
      </c>
      <c r="BA3657" s="46" t="s">
        <v>63</v>
      </c>
      <c r="BB3657" s="46">
        <v>100</v>
      </c>
      <c r="BC3657" s="46">
        <v>586.66099999999994</v>
      </c>
      <c r="BD3657" s="46">
        <v>5.867</v>
      </c>
      <c r="BE3657" s="46">
        <v>1552.5</v>
      </c>
      <c r="BF3657" s="46">
        <v>0</v>
      </c>
      <c r="BH3657" s="46">
        <v>12901.101999999999</v>
      </c>
      <c r="BI3657">
        <v>9.92</v>
      </c>
      <c r="BJ3657">
        <v>-11727.78</v>
      </c>
      <c r="BK3657">
        <v>-9.02</v>
      </c>
      <c r="BL3657">
        <v>127.19</v>
      </c>
    </row>
    <row r="3658" spans="1:64" x14ac:dyDescent="0.25">
      <c r="A3658" s="136">
        <v>43669</v>
      </c>
      <c r="B3658" t="s">
        <v>72</v>
      </c>
      <c r="C3658" t="s">
        <v>130</v>
      </c>
      <c r="D3658">
        <v>100</v>
      </c>
      <c r="E3658">
        <v>100</v>
      </c>
      <c r="F3658">
        <v>-18.477</v>
      </c>
      <c r="G3658">
        <v>2338.6999999999998</v>
      </c>
      <c r="H3658">
        <v>0</v>
      </c>
      <c r="I3658">
        <v>491</v>
      </c>
      <c r="J3658">
        <v>4.91</v>
      </c>
      <c r="K3658" s="133">
        <v>9.4182429947357968E-4</v>
      </c>
      <c r="L3658" s="181">
        <v>-15</v>
      </c>
      <c r="M3658" s="133">
        <v>0</v>
      </c>
      <c r="N3658" s="73">
        <v>-1498.9659999999872</v>
      </c>
      <c r="O3658" s="73">
        <v>376.42007904191922</v>
      </c>
      <c r="P3658" s="182">
        <v>0</v>
      </c>
      <c r="Q3658" s="182">
        <v>0</v>
      </c>
      <c r="R3658" s="46">
        <v>0</v>
      </c>
      <c r="S3658" s="46">
        <v>20</v>
      </c>
      <c r="T3658" s="46">
        <v>8600</v>
      </c>
      <c r="U3658" s="46">
        <v>7.3840000000000003</v>
      </c>
      <c r="V3658" s="46" t="s">
        <v>68</v>
      </c>
      <c r="W3658" s="46">
        <v>8600</v>
      </c>
      <c r="X3658" s="46">
        <v>7.3840000000000003</v>
      </c>
      <c r="AF3658" s="46">
        <v>42</v>
      </c>
      <c r="AG3658" s="46">
        <v>20900</v>
      </c>
      <c r="AH3658" s="46">
        <v>152800</v>
      </c>
      <c r="AI3658" s="46">
        <v>7.3109999999999999</v>
      </c>
      <c r="AJ3658" s="46">
        <v>42</v>
      </c>
      <c r="AK3658" s="46">
        <v>18800</v>
      </c>
      <c r="AL3658" s="46">
        <v>92037.725000000035</v>
      </c>
      <c r="AM3658" s="46">
        <v>4.8959999999999999</v>
      </c>
      <c r="AN3658" s="46" t="s">
        <v>63</v>
      </c>
      <c r="AO3658" s="46">
        <v>2100</v>
      </c>
      <c r="AP3658" s="46">
        <v>60762.275000000001</v>
      </c>
      <c r="AQ3658" s="46">
        <v>28.934000000000001</v>
      </c>
      <c r="AR3658" s="46">
        <v>-45402</v>
      </c>
      <c r="AS3658" s="46">
        <v>42</v>
      </c>
      <c r="AT3658" s="46">
        <v>20900</v>
      </c>
      <c r="AU3658" s="46">
        <v>152800</v>
      </c>
      <c r="AV3658" s="46">
        <v>7.3109999999999999</v>
      </c>
      <c r="AW3658" s="46">
        <v>63</v>
      </c>
      <c r="AX3658" s="46">
        <v>27900</v>
      </c>
      <c r="AY3658" s="46">
        <v>155380.21900000001</v>
      </c>
      <c r="AZ3658" s="46">
        <v>5.569</v>
      </c>
      <c r="BA3658" s="46" t="s">
        <v>69</v>
      </c>
      <c r="BB3658" s="46">
        <v>7000</v>
      </c>
      <c r="BC3658" s="46">
        <v>2580.2190000000001</v>
      </c>
      <c r="BD3658" s="46">
        <v>0.36899999999999999</v>
      </c>
      <c r="BE3658" s="46">
        <v>-36407.800000000003</v>
      </c>
      <c r="BF3658" s="46">
        <v>0</v>
      </c>
      <c r="BH3658" s="46">
        <v>63342.493999999977</v>
      </c>
      <c r="BI3658">
        <v>7.37</v>
      </c>
      <c r="BJ3658">
        <v>-58182.056000000004</v>
      </c>
      <c r="BK3658">
        <v>-6.77</v>
      </c>
      <c r="BL3658">
        <v>-9246.84</v>
      </c>
    </row>
    <row r="3659" spans="1:64" x14ac:dyDescent="0.25">
      <c r="A3659" s="136">
        <v>43669</v>
      </c>
      <c r="B3659" t="s">
        <v>70</v>
      </c>
      <c r="C3659" t="s">
        <v>131</v>
      </c>
      <c r="D3659">
        <v>13280</v>
      </c>
      <c r="E3659">
        <v>13280</v>
      </c>
      <c r="F3659">
        <v>8.6839999999999993</v>
      </c>
      <c r="G3659">
        <v>-9486.61</v>
      </c>
      <c r="H3659">
        <v>-8.23</v>
      </c>
      <c r="I3659">
        <v>105841.60000000001</v>
      </c>
      <c r="J3659">
        <v>7.97</v>
      </c>
      <c r="K3659" s="133">
        <v>0.20302279180277563</v>
      </c>
      <c r="L3659" s="181">
        <v>-5968.8000000000011</v>
      </c>
      <c r="M3659" s="133">
        <v>0.2212197771747289</v>
      </c>
      <c r="N3659" s="73">
        <v>-7261.9410000000062</v>
      </c>
      <c r="O3659" s="73">
        <v>-891.68427880835463</v>
      </c>
      <c r="P3659" s="182">
        <v>5</v>
      </c>
      <c r="Q3659" s="182">
        <v>3580</v>
      </c>
      <c r="R3659" s="46">
        <v>4.21</v>
      </c>
      <c r="S3659" s="46">
        <v>15</v>
      </c>
      <c r="T3659" s="46">
        <v>6100</v>
      </c>
      <c r="U3659" s="46">
        <v>10.356999999999999</v>
      </c>
      <c r="V3659" s="46" t="s">
        <v>68</v>
      </c>
      <c r="W3659" s="46">
        <v>2520</v>
      </c>
      <c r="X3659" s="46">
        <v>19.09</v>
      </c>
      <c r="AF3659" s="46">
        <v>179</v>
      </c>
      <c r="AG3659" s="46">
        <v>90400</v>
      </c>
      <c r="AH3659" s="46">
        <v>1080718</v>
      </c>
      <c r="AI3659" s="46">
        <v>11.955</v>
      </c>
      <c r="AJ3659" s="46">
        <v>185</v>
      </c>
      <c r="AK3659" s="46">
        <v>74600</v>
      </c>
      <c r="AL3659" s="46">
        <v>916122.03499999968</v>
      </c>
      <c r="AM3659" s="46">
        <v>12.28</v>
      </c>
      <c r="AN3659" s="46" t="s">
        <v>63</v>
      </c>
      <c r="AO3659" s="46">
        <v>15800</v>
      </c>
      <c r="AP3659" s="46">
        <v>164595.965</v>
      </c>
      <c r="AQ3659" s="46">
        <v>10.417</v>
      </c>
      <c r="AR3659" s="46">
        <v>24245</v>
      </c>
      <c r="AS3659" s="46">
        <v>184</v>
      </c>
      <c r="AT3659" s="46">
        <v>93980</v>
      </c>
      <c r="AU3659" s="46">
        <v>1096696</v>
      </c>
      <c r="AV3659" s="46">
        <v>11.669</v>
      </c>
      <c r="AW3659" s="46">
        <v>201</v>
      </c>
      <c r="AX3659" s="46">
        <v>80700</v>
      </c>
      <c r="AY3659" s="46">
        <v>979564.85899999947</v>
      </c>
      <c r="AZ3659" s="46">
        <v>12.138</v>
      </c>
      <c r="BA3659" s="46" t="s">
        <v>63</v>
      </c>
      <c r="BB3659" s="46">
        <v>13280</v>
      </c>
      <c r="BC3659" s="46">
        <v>117131.141</v>
      </c>
      <c r="BD3659" s="46">
        <v>8.82</v>
      </c>
      <c r="BE3659" s="46">
        <v>37848.300000000003</v>
      </c>
      <c r="BF3659" s="46">
        <v>15978</v>
      </c>
      <c r="BG3659" s="46">
        <v>4.46</v>
      </c>
      <c r="BH3659" s="46">
        <v>63442.82399999979</v>
      </c>
      <c r="BI3659">
        <v>10.4</v>
      </c>
      <c r="BJ3659">
        <v>-47464.823999999993</v>
      </c>
      <c r="BK3659">
        <v>-18.84</v>
      </c>
      <c r="BL3659">
        <v>3042.03</v>
      </c>
    </row>
    <row r="3660" spans="1:64" x14ac:dyDescent="0.25">
      <c r="A3660" s="136">
        <v>43669</v>
      </c>
      <c r="B3660" t="s">
        <v>628</v>
      </c>
      <c r="C3660" t="s">
        <v>629</v>
      </c>
      <c r="D3660">
        <v>100</v>
      </c>
      <c r="E3660">
        <v>100</v>
      </c>
      <c r="F3660">
        <v>-22.369</v>
      </c>
      <c r="G3660">
        <v>4042.9</v>
      </c>
      <c r="H3660">
        <v>0</v>
      </c>
      <c r="I3660">
        <v>1806</v>
      </c>
      <c r="J3660">
        <v>18.059999999999999</v>
      </c>
      <c r="K3660" s="133">
        <v>3.4642254273916191E-3</v>
      </c>
      <c r="L3660" s="181">
        <v>119</v>
      </c>
      <c r="M3660" s="133">
        <v>0</v>
      </c>
    </row>
    <row r="3661" spans="1:64" x14ac:dyDescent="0.25">
      <c r="A3661" s="136">
        <v>43669</v>
      </c>
      <c r="B3661" t="s">
        <v>630</v>
      </c>
      <c r="C3661" t="s">
        <v>631</v>
      </c>
      <c r="D3661">
        <v>100</v>
      </c>
      <c r="E3661">
        <v>100</v>
      </c>
      <c r="F3661">
        <v>-94.6</v>
      </c>
      <c r="G3661">
        <v>11639</v>
      </c>
      <c r="H3661">
        <v>0</v>
      </c>
      <c r="I3661">
        <v>2179</v>
      </c>
      <c r="J3661">
        <v>21.79</v>
      </c>
      <c r="K3661" s="133">
        <v>4.1797049868695117E-3</v>
      </c>
      <c r="L3661" s="181">
        <v>-175</v>
      </c>
      <c r="M3661" s="133">
        <v>0</v>
      </c>
    </row>
    <row r="3662" spans="1:64" x14ac:dyDescent="0.25">
      <c r="A3662" s="136">
        <v>43669</v>
      </c>
      <c r="B3662" t="s">
        <v>137</v>
      </c>
      <c r="C3662" t="s">
        <v>149</v>
      </c>
      <c r="D3662">
        <v>150</v>
      </c>
      <c r="E3662">
        <v>150</v>
      </c>
      <c r="F3662">
        <v>-87.406999999999996</v>
      </c>
      <c r="G3662">
        <v>16456.05</v>
      </c>
      <c r="H3662">
        <v>0</v>
      </c>
      <c r="I3662">
        <v>3345</v>
      </c>
      <c r="J3662">
        <v>22.3</v>
      </c>
      <c r="K3662" s="133">
        <v>6.4162979261489289E-3</v>
      </c>
      <c r="L3662" s="181">
        <v>-330</v>
      </c>
      <c r="M3662" s="133">
        <v>0</v>
      </c>
    </row>
    <row r="3663" spans="1:64" x14ac:dyDescent="0.25">
      <c r="A3663" s="136">
        <v>43669</v>
      </c>
      <c r="B3663" t="s">
        <v>835</v>
      </c>
      <c r="C3663" t="s">
        <v>839</v>
      </c>
      <c r="I3663">
        <v>591.69000000000005</v>
      </c>
      <c r="K3663" s="133">
        <v>1.1349654170173572E-3</v>
      </c>
      <c r="L3663" s="181">
        <v>0</v>
      </c>
      <c r="M3663" s="133">
        <v>5.3233137038734842E-2</v>
      </c>
    </row>
    <row r="3664" spans="1:64" x14ac:dyDescent="0.25">
      <c r="A3664" s="136">
        <v>43713</v>
      </c>
      <c r="B3664" t="s">
        <v>79</v>
      </c>
      <c r="C3664" t="s">
        <v>143</v>
      </c>
      <c r="D3664">
        <v>12420</v>
      </c>
      <c r="E3664">
        <v>12420</v>
      </c>
      <c r="F3664">
        <v>10.007999999999999</v>
      </c>
      <c r="G3664">
        <v>-32893.83</v>
      </c>
      <c r="H3664">
        <v>-26.46</v>
      </c>
      <c r="I3664">
        <v>91411.199999999997</v>
      </c>
      <c r="J3664">
        <v>7.36</v>
      </c>
      <c r="K3664" s="133">
        <v>0.17767538571437899</v>
      </c>
      <c r="L3664" s="181">
        <v>-2235.6000000000022</v>
      </c>
      <c r="M3664" s="133">
        <v>0.24161092023173805</v>
      </c>
      <c r="N3664" s="73">
        <v>-30804.420000000289</v>
      </c>
      <c r="O3664" s="73">
        <v>-4088.8469840637836</v>
      </c>
      <c r="P3664" s="182">
        <v>12</v>
      </c>
      <c r="Q3664" s="182">
        <v>8220</v>
      </c>
      <c r="R3664" s="46">
        <v>5.3940000000000001</v>
      </c>
      <c r="S3664" s="46">
        <v>0</v>
      </c>
      <c r="T3664" s="46">
        <v>0</v>
      </c>
      <c r="U3664" s="46">
        <v>0</v>
      </c>
      <c r="V3664" s="46" t="s">
        <v>62</v>
      </c>
      <c r="W3664" s="46">
        <v>8220</v>
      </c>
      <c r="X3664" s="46">
        <v>5.3940000000000001</v>
      </c>
      <c r="AF3664" s="46">
        <v>41</v>
      </c>
      <c r="AG3664" s="46">
        <v>21000</v>
      </c>
      <c r="AH3664" s="46">
        <v>286647.59999999974</v>
      </c>
      <c r="AI3664" s="46">
        <v>13.65</v>
      </c>
      <c r="AJ3664" s="46">
        <v>42</v>
      </c>
      <c r="AK3664" s="46">
        <v>16800</v>
      </c>
      <c r="AL3664" s="46">
        <v>206723.51199999976</v>
      </c>
      <c r="AM3664" s="46">
        <v>12.305</v>
      </c>
      <c r="AN3664" s="46" t="s">
        <v>63</v>
      </c>
      <c r="AO3664" s="46">
        <v>4200</v>
      </c>
      <c r="AP3664" s="46">
        <v>79924.088000000003</v>
      </c>
      <c r="AQ3664" s="46">
        <v>19.03</v>
      </c>
      <c r="AR3664" s="46">
        <v>-22596</v>
      </c>
      <c r="AS3664" s="46">
        <v>53</v>
      </c>
      <c r="AT3664" s="46">
        <v>29220</v>
      </c>
      <c r="AU3664" s="46">
        <v>331050.5319999996</v>
      </c>
      <c r="AV3664" s="46">
        <v>11.33</v>
      </c>
      <c r="AW3664" s="46">
        <v>42</v>
      </c>
      <c r="AX3664" s="46">
        <v>16800</v>
      </c>
      <c r="AY3664" s="46">
        <v>206723.51199999976</v>
      </c>
      <c r="AZ3664" s="46">
        <v>12.305</v>
      </c>
      <c r="BA3664" s="46" t="s">
        <v>63</v>
      </c>
      <c r="BB3664" s="46">
        <v>12420</v>
      </c>
      <c r="BC3664" s="46">
        <v>124327.02</v>
      </c>
      <c r="BD3664" s="46">
        <v>10.01</v>
      </c>
      <c r="BE3664" s="46">
        <v>16380</v>
      </c>
      <c r="BF3664" s="46">
        <v>44402.931999999855</v>
      </c>
      <c r="BG3664" s="46">
        <v>5.4</v>
      </c>
      <c r="BH3664" s="46">
        <v>0</v>
      </c>
      <c r="BJ3664">
        <v>44402.932000000001</v>
      </c>
      <c r="BK3664">
        <v>5.4</v>
      </c>
      <c r="BL3664">
        <v>-3070.11</v>
      </c>
    </row>
    <row r="3665" spans="1:64" x14ac:dyDescent="0.25">
      <c r="A3665" s="136">
        <v>43713</v>
      </c>
      <c r="B3665" t="s">
        <v>65</v>
      </c>
      <c r="C3665" t="s">
        <v>127</v>
      </c>
      <c r="D3665">
        <v>27400</v>
      </c>
      <c r="E3665">
        <v>27400</v>
      </c>
      <c r="F3665">
        <v>8.3859999999999992</v>
      </c>
      <c r="G3665">
        <v>-17437.939999999999</v>
      </c>
      <c r="H3665">
        <v>-7.59</v>
      </c>
      <c r="I3665">
        <v>212350</v>
      </c>
      <c r="J3665">
        <v>7.75</v>
      </c>
      <c r="K3665" s="133">
        <v>0.41274338545439054</v>
      </c>
      <c r="L3665" s="181">
        <v>428.79000000000087</v>
      </c>
      <c r="M3665" s="133">
        <v>0.44663740189399748</v>
      </c>
      <c r="N3665" s="73">
        <v>-24734.353000000148</v>
      </c>
      <c r="O3665" s="73">
        <v>-2675.7294633835454</v>
      </c>
      <c r="P3665" s="182">
        <v>3</v>
      </c>
      <c r="Q3665" s="182">
        <v>2500</v>
      </c>
      <c r="R3665" s="46">
        <v>8.484</v>
      </c>
      <c r="S3665" s="46">
        <v>1</v>
      </c>
      <c r="T3665" s="46">
        <v>400</v>
      </c>
      <c r="U3665" s="46">
        <v>7.64</v>
      </c>
      <c r="V3665" s="46" t="s">
        <v>62</v>
      </c>
      <c r="W3665" s="46">
        <v>2100</v>
      </c>
      <c r="X3665" s="46">
        <v>8.6449999999999996</v>
      </c>
      <c r="AF3665" s="46">
        <v>260</v>
      </c>
      <c r="AG3665" s="46">
        <v>139400</v>
      </c>
      <c r="AH3665" s="46">
        <v>1450946.6810000001</v>
      </c>
      <c r="AI3665" s="46">
        <v>10.409000000000001</v>
      </c>
      <c r="AJ3665" s="46">
        <v>290</v>
      </c>
      <c r="AK3665" s="46">
        <v>123300</v>
      </c>
      <c r="AL3665" s="46">
        <v>1224990.382</v>
      </c>
      <c r="AM3665" s="46">
        <v>9.9350000000000005</v>
      </c>
      <c r="AN3665" s="46" t="s">
        <v>63</v>
      </c>
      <c r="AO3665" s="46">
        <v>16100</v>
      </c>
      <c r="AP3665" s="46">
        <v>225956.299</v>
      </c>
      <c r="AQ3665" s="46">
        <v>14.035</v>
      </c>
      <c r="AR3665" s="46">
        <v>-58444.2</v>
      </c>
      <c r="AS3665" s="46">
        <v>264</v>
      </c>
      <c r="AT3665" s="46">
        <v>142000</v>
      </c>
      <c r="AU3665" s="46">
        <v>1473459.6810000001</v>
      </c>
      <c r="AV3665" s="46">
        <v>10.375999999999999</v>
      </c>
      <c r="AW3665" s="46">
        <v>291</v>
      </c>
      <c r="AX3665" s="46">
        <v>123700</v>
      </c>
      <c r="AY3665" s="46">
        <v>1228038.3259999999</v>
      </c>
      <c r="AZ3665" s="46">
        <v>9.9280000000000008</v>
      </c>
      <c r="BA3665" s="46" t="s">
        <v>63</v>
      </c>
      <c r="BB3665" s="46">
        <v>18300</v>
      </c>
      <c r="BC3665" s="46">
        <v>245421.35500000001</v>
      </c>
      <c r="BD3665" s="46">
        <v>13.411</v>
      </c>
      <c r="BE3665" s="46">
        <v>-55417.599999999999</v>
      </c>
      <c r="BF3665" s="46">
        <v>22513</v>
      </c>
      <c r="BG3665" s="46">
        <v>9.01</v>
      </c>
      <c r="BH3665" s="46">
        <v>3047.9439999999013</v>
      </c>
      <c r="BI3665">
        <v>7.62</v>
      </c>
      <c r="BJ3665">
        <v>19465.056000000011</v>
      </c>
      <c r="BK3665">
        <v>9.27</v>
      </c>
      <c r="BL3665">
        <v>-7541.19</v>
      </c>
    </row>
    <row r="3666" spans="1:64" x14ac:dyDescent="0.25">
      <c r="A3666" s="136">
        <v>43713</v>
      </c>
      <c r="B3666" t="s">
        <v>70</v>
      </c>
      <c r="C3666" t="s">
        <v>131</v>
      </c>
      <c r="D3666">
        <v>13780</v>
      </c>
      <c r="E3666">
        <v>13780</v>
      </c>
      <c r="F3666">
        <v>8.6289999999999996</v>
      </c>
      <c r="G3666">
        <v>-15001.85</v>
      </c>
      <c r="H3666">
        <v>-12.62</v>
      </c>
      <c r="I3666">
        <v>103901.2</v>
      </c>
      <c r="J3666">
        <v>7.54</v>
      </c>
      <c r="K3666" s="133">
        <v>0.20195212168953952</v>
      </c>
      <c r="L3666" s="181">
        <v>-5515.24</v>
      </c>
      <c r="M3666" s="133">
        <v>0.23111112501932032</v>
      </c>
      <c r="N3666" s="73">
        <v>-12278.781000000017</v>
      </c>
      <c r="O3666" s="73">
        <v>-1585.6126110465138</v>
      </c>
      <c r="P3666" s="182">
        <v>4</v>
      </c>
      <c r="Q3666" s="182">
        <v>1800</v>
      </c>
      <c r="R3666" s="46">
        <v>8.2430000000000003</v>
      </c>
      <c r="S3666" s="46">
        <v>11</v>
      </c>
      <c r="T3666" s="46">
        <v>4500</v>
      </c>
      <c r="U3666" s="46">
        <v>9.1910000000000007</v>
      </c>
      <c r="V3666" s="46" t="s">
        <v>68</v>
      </c>
      <c r="W3666" s="46">
        <v>2700</v>
      </c>
      <c r="X3666" s="46">
        <v>9.8230000000000004</v>
      </c>
      <c r="AF3666" s="46">
        <v>185</v>
      </c>
      <c r="AG3666" s="46">
        <v>94680</v>
      </c>
      <c r="AH3666" s="46">
        <v>1100213</v>
      </c>
      <c r="AI3666" s="46">
        <v>11.62</v>
      </c>
      <c r="AJ3666" s="46">
        <v>194</v>
      </c>
      <c r="AK3666" s="46">
        <v>78200</v>
      </c>
      <c r="AL3666" s="46">
        <v>952696.37899999972</v>
      </c>
      <c r="AM3666" s="46">
        <v>12.183</v>
      </c>
      <c r="AN3666" s="46" t="s">
        <v>63</v>
      </c>
      <c r="AO3666" s="46">
        <v>16480</v>
      </c>
      <c r="AP3666" s="46">
        <v>147516.62100000001</v>
      </c>
      <c r="AQ3666" s="46">
        <v>8.9510000000000005</v>
      </c>
      <c r="AR3666" s="46">
        <v>44026.6</v>
      </c>
      <c r="AS3666" s="46">
        <v>189</v>
      </c>
      <c r="AT3666" s="46">
        <v>96480</v>
      </c>
      <c r="AU3666" s="46">
        <v>1115071</v>
      </c>
      <c r="AV3666" s="46">
        <v>11.558</v>
      </c>
      <c r="AW3666" s="46">
        <v>206</v>
      </c>
      <c r="AX3666" s="46">
        <v>82700</v>
      </c>
      <c r="AY3666" s="46">
        <v>994365.01899999939</v>
      </c>
      <c r="AZ3666" s="46">
        <v>12.023999999999999</v>
      </c>
      <c r="BA3666" s="46" t="s">
        <v>63</v>
      </c>
      <c r="BB3666" s="46">
        <v>13780</v>
      </c>
      <c r="BC3666" s="46">
        <v>120705.981</v>
      </c>
      <c r="BD3666" s="46">
        <v>8.76</v>
      </c>
      <c r="BE3666" s="46">
        <v>38538.199999999997</v>
      </c>
      <c r="BF3666" s="46">
        <v>14858</v>
      </c>
      <c r="BG3666" s="46">
        <v>8.25</v>
      </c>
      <c r="BH3666" s="46">
        <v>41668.639999999665</v>
      </c>
      <c r="BI3666">
        <v>9.26</v>
      </c>
      <c r="BJ3666">
        <v>-26810.640000000014</v>
      </c>
      <c r="BK3666">
        <v>-9.93</v>
      </c>
      <c r="BL3666">
        <v>5839.07</v>
      </c>
    </row>
    <row r="3667" spans="1:64" x14ac:dyDescent="0.25">
      <c r="A3667" s="136">
        <v>43713</v>
      </c>
      <c r="B3667" t="s">
        <v>77</v>
      </c>
      <c r="C3667" t="s">
        <v>150</v>
      </c>
      <c r="D3667">
        <v>6800</v>
      </c>
      <c r="E3667">
        <v>6800</v>
      </c>
      <c r="F3667">
        <v>5.1470000000000002</v>
      </c>
      <c r="G3667">
        <v>-9088.67</v>
      </c>
      <c r="H3667">
        <v>-25.97</v>
      </c>
      <c r="I3667">
        <v>25908</v>
      </c>
      <c r="J3667">
        <v>3.81</v>
      </c>
      <c r="K3667" s="133">
        <v>5.0357219827418649E-2</v>
      </c>
      <c r="L3667" s="181">
        <v>-424.48999999999978</v>
      </c>
      <c r="M3667" s="133">
        <v>6.8022811657311541E-2</v>
      </c>
      <c r="N3667" s="73">
        <v>-10205.617999999995</v>
      </c>
      <c r="O3667" s="73">
        <v>-2607.7325782258049</v>
      </c>
      <c r="P3667" s="182">
        <v>8</v>
      </c>
      <c r="Q3667" s="182">
        <v>4000</v>
      </c>
      <c r="R3667" s="46">
        <v>4.2809999999999997</v>
      </c>
      <c r="S3667" s="46">
        <v>0</v>
      </c>
      <c r="T3667" s="46">
        <v>0</v>
      </c>
      <c r="U3667" s="46">
        <v>0</v>
      </c>
      <c r="V3667" s="46" t="s">
        <v>62</v>
      </c>
      <c r="W3667" s="46">
        <v>4000</v>
      </c>
      <c r="X3667" s="46">
        <v>4.2809999999999997</v>
      </c>
      <c r="AF3667" s="46">
        <v>54</v>
      </c>
      <c r="AG3667" s="46">
        <v>27000</v>
      </c>
      <c r="AH3667" s="46">
        <v>181309</v>
      </c>
      <c r="AI3667" s="46">
        <v>6.7149999999999999</v>
      </c>
      <c r="AJ3667" s="46">
        <v>54</v>
      </c>
      <c r="AK3667" s="46">
        <v>24200</v>
      </c>
      <c r="AL3667" s="46">
        <v>163184.38200000004</v>
      </c>
      <c r="AM3667" s="46">
        <v>6.7430000000000003</v>
      </c>
      <c r="AN3667" s="46" t="s">
        <v>63</v>
      </c>
      <c r="AO3667" s="46">
        <v>2800</v>
      </c>
      <c r="AP3667" s="46">
        <v>18124.617999999999</v>
      </c>
      <c r="AQ3667" s="46">
        <v>6.4729999999999999</v>
      </c>
      <c r="AR3667" s="46">
        <v>677.6</v>
      </c>
      <c r="AS3667" s="46">
        <v>62</v>
      </c>
      <c r="AT3667" s="46">
        <v>31000</v>
      </c>
      <c r="AU3667" s="46">
        <v>198186</v>
      </c>
      <c r="AV3667" s="46">
        <v>6.3929999999999998</v>
      </c>
      <c r="AW3667" s="46">
        <v>54</v>
      </c>
      <c r="AX3667" s="46">
        <v>24200</v>
      </c>
      <c r="AY3667" s="46">
        <v>163184.38200000004</v>
      </c>
      <c r="AZ3667" s="46">
        <v>6.7430000000000003</v>
      </c>
      <c r="BA3667" s="46" t="s">
        <v>63</v>
      </c>
      <c r="BB3667" s="46">
        <v>6800</v>
      </c>
      <c r="BC3667" s="46">
        <v>35001.618000000002</v>
      </c>
      <c r="BD3667" s="46">
        <v>5.1470000000000002</v>
      </c>
      <c r="BE3667" s="46">
        <v>8470</v>
      </c>
      <c r="BF3667" s="46">
        <v>16877</v>
      </c>
      <c r="BG3667" s="46">
        <v>4.22</v>
      </c>
      <c r="BH3667" s="46">
        <v>0</v>
      </c>
      <c r="BJ3667">
        <v>16877.000000000004</v>
      </c>
      <c r="BK3667">
        <v>4.22</v>
      </c>
      <c r="BL3667">
        <v>177.85</v>
      </c>
    </row>
    <row r="3668" spans="1:64" x14ac:dyDescent="0.25">
      <c r="A3668" s="136">
        <v>43713</v>
      </c>
      <c r="B3668" t="s">
        <v>61</v>
      </c>
      <c r="C3668" t="s">
        <v>136</v>
      </c>
      <c r="D3668">
        <v>3300</v>
      </c>
      <c r="E3668">
        <v>2800</v>
      </c>
      <c r="F3668">
        <v>4.633</v>
      </c>
      <c r="G3668">
        <v>-1295.52</v>
      </c>
      <c r="H3668">
        <v>-8.4700000000000006</v>
      </c>
      <c r="I3668">
        <v>13992</v>
      </c>
      <c r="J3668">
        <v>4.24</v>
      </c>
      <c r="K3668" s="133">
        <v>2.7196164112445641E-2</v>
      </c>
      <c r="L3668" s="181">
        <v>-267.03999999999996</v>
      </c>
      <c r="M3668" s="133">
        <v>2.9714258347076545E-2</v>
      </c>
      <c r="N3668" s="73">
        <v>599.38700000000608</v>
      </c>
      <c r="O3668" s="73">
        <v>-289.75481537558687</v>
      </c>
      <c r="P3668" s="182">
        <v>2</v>
      </c>
      <c r="Q3668" s="182">
        <v>1000</v>
      </c>
      <c r="R3668" s="46">
        <v>4.33</v>
      </c>
      <c r="S3668" s="46">
        <v>0</v>
      </c>
      <c r="T3668" s="46">
        <v>0</v>
      </c>
      <c r="U3668" s="46">
        <v>0</v>
      </c>
      <c r="V3668" s="46" t="s">
        <v>62</v>
      </c>
      <c r="W3668" s="46">
        <v>1000</v>
      </c>
      <c r="X3668" s="46">
        <v>4.33</v>
      </c>
      <c r="AF3668" s="46">
        <v>24</v>
      </c>
      <c r="AG3668" s="46">
        <v>12000</v>
      </c>
      <c r="AH3668" s="46">
        <v>58852.200000000012</v>
      </c>
      <c r="AI3668" s="46">
        <v>4.9039999999999999</v>
      </c>
      <c r="AJ3668" s="46">
        <v>24</v>
      </c>
      <c r="AK3668" s="46">
        <v>9700</v>
      </c>
      <c r="AL3668" s="46">
        <v>47899.82699999999</v>
      </c>
      <c r="AM3668" s="46">
        <v>4.9379999999999997</v>
      </c>
      <c r="AN3668" s="46" t="s">
        <v>63</v>
      </c>
      <c r="AO3668" s="46">
        <v>2300</v>
      </c>
      <c r="AP3668" s="46">
        <v>10952.373</v>
      </c>
      <c r="AQ3668" s="46">
        <v>4.7619999999999996</v>
      </c>
      <c r="AR3668" s="46">
        <v>329.8</v>
      </c>
      <c r="AS3668" s="46">
        <v>26</v>
      </c>
      <c r="AT3668" s="46">
        <v>13000</v>
      </c>
      <c r="AU3668" s="46">
        <v>63192.800000000017</v>
      </c>
      <c r="AV3668" s="46">
        <v>4.8609999999999998</v>
      </c>
      <c r="AW3668" s="46">
        <v>24</v>
      </c>
      <c r="AX3668" s="46">
        <v>9700</v>
      </c>
      <c r="AY3668" s="46">
        <v>47899.82699999999</v>
      </c>
      <c r="AZ3668" s="46">
        <v>4.9379999999999997</v>
      </c>
      <c r="BA3668" s="46" t="s">
        <v>63</v>
      </c>
      <c r="BB3668" s="46">
        <v>3300</v>
      </c>
      <c r="BC3668" s="46">
        <v>15292.973</v>
      </c>
      <c r="BD3668" s="46">
        <v>4.6340000000000003</v>
      </c>
      <c r="BE3668" s="46">
        <v>746.9</v>
      </c>
      <c r="BF3668" s="46">
        <v>4340.6000000000058</v>
      </c>
      <c r="BG3668" s="46">
        <v>4.34</v>
      </c>
      <c r="BH3668" s="46">
        <v>0</v>
      </c>
      <c r="BJ3668">
        <v>4340.6000000000004</v>
      </c>
      <c r="BK3668">
        <v>4.34</v>
      </c>
      <c r="BL3668">
        <v>77.78</v>
      </c>
    </row>
    <row r="3669" spans="1:64" x14ac:dyDescent="0.25">
      <c r="A3669" s="136">
        <v>43713</v>
      </c>
      <c r="B3669" t="s">
        <v>768</v>
      </c>
      <c r="C3669" t="s">
        <v>769</v>
      </c>
      <c r="D3669">
        <v>500</v>
      </c>
      <c r="E3669">
        <v>500</v>
      </c>
      <c r="F3669">
        <v>2.4900000000000002</v>
      </c>
      <c r="G3669">
        <v>1180</v>
      </c>
      <c r="H3669">
        <v>94.78</v>
      </c>
      <c r="I3669">
        <v>2425</v>
      </c>
      <c r="J3669">
        <v>4.8499999999999996</v>
      </c>
      <c r="K3669" s="133">
        <v>4.7134575452173156E-3</v>
      </c>
      <c r="M3669" s="133">
        <v>2.4198988221837353E-3</v>
      </c>
    </row>
    <row r="3670" spans="1:64" x14ac:dyDescent="0.25">
      <c r="A3670" s="136">
        <v>43713</v>
      </c>
      <c r="B3670" t="s">
        <v>78</v>
      </c>
      <c r="C3670" t="s">
        <v>142</v>
      </c>
      <c r="D3670">
        <v>100</v>
      </c>
      <c r="E3670">
        <v>100</v>
      </c>
      <c r="F3670">
        <v>-5.867</v>
      </c>
      <c r="G3670">
        <v>1542.7</v>
      </c>
      <c r="H3670">
        <v>0</v>
      </c>
      <c r="I3670">
        <v>956</v>
      </c>
      <c r="J3670">
        <v>9.56</v>
      </c>
      <c r="K3670" s="133">
        <v>1.8581713044238161E-3</v>
      </c>
      <c r="L3670" s="181">
        <v>5</v>
      </c>
      <c r="M3670" s="133">
        <v>0</v>
      </c>
      <c r="N3670" s="73">
        <v>1576.660999999996</v>
      </c>
      <c r="O3670" s="73">
        <v>159.17905752525212</v>
      </c>
      <c r="P3670" s="182">
        <v>0</v>
      </c>
      <c r="Q3670" s="182">
        <v>0</v>
      </c>
      <c r="R3670" s="46">
        <v>0</v>
      </c>
      <c r="S3670" s="46">
        <v>4</v>
      </c>
      <c r="T3670" s="46">
        <v>1300</v>
      </c>
      <c r="U3670" s="46">
        <v>9.9220000000000006</v>
      </c>
      <c r="V3670" s="46" t="s">
        <v>68</v>
      </c>
      <c r="W3670" s="46">
        <v>1300</v>
      </c>
      <c r="X3670" s="46">
        <v>9.9220000000000006</v>
      </c>
      <c r="AF3670" s="46">
        <v>14</v>
      </c>
      <c r="AG3670" s="46">
        <v>7000</v>
      </c>
      <c r="AH3670" s="46">
        <v>67625</v>
      </c>
      <c r="AI3670" s="46">
        <v>9.6609999999999996</v>
      </c>
      <c r="AJ3670" s="46">
        <v>15</v>
      </c>
      <c r="AK3670" s="46">
        <v>5600</v>
      </c>
      <c r="AL3670" s="46">
        <v>55310.559000000008</v>
      </c>
      <c r="AM3670" s="46">
        <v>9.8770000000000007</v>
      </c>
      <c r="AN3670" s="46" t="s">
        <v>63</v>
      </c>
      <c r="AO3670" s="46">
        <v>1400</v>
      </c>
      <c r="AP3670" s="46">
        <v>12314.441000000001</v>
      </c>
      <c r="AQ3670" s="46">
        <v>8.7959999999999994</v>
      </c>
      <c r="AR3670" s="46">
        <v>1209.5999999999999</v>
      </c>
      <c r="AS3670" s="46">
        <v>14</v>
      </c>
      <c r="AT3670" s="46">
        <v>7000</v>
      </c>
      <c r="AU3670" s="46">
        <v>67625</v>
      </c>
      <c r="AV3670" s="46">
        <v>9.6609999999999996</v>
      </c>
      <c r="AW3670" s="46">
        <v>19</v>
      </c>
      <c r="AX3670" s="46">
        <v>6900</v>
      </c>
      <c r="AY3670" s="46">
        <v>68211.661000000007</v>
      </c>
      <c r="AZ3670" s="46">
        <v>9.8859999999999992</v>
      </c>
      <c r="BA3670" s="46" t="s">
        <v>63</v>
      </c>
      <c r="BB3670" s="46">
        <v>100</v>
      </c>
      <c r="BC3670" s="46">
        <v>586.66099999999994</v>
      </c>
      <c r="BD3670" s="46">
        <v>5.867</v>
      </c>
      <c r="BE3670" s="46">
        <v>1552.5</v>
      </c>
      <c r="BF3670" s="46">
        <v>0</v>
      </c>
      <c r="BH3670" s="46">
        <v>12901.101999999999</v>
      </c>
      <c r="BI3670">
        <v>9.92</v>
      </c>
      <c r="BJ3670">
        <v>-11727.78</v>
      </c>
      <c r="BK3670">
        <v>-9.02</v>
      </c>
      <c r="BL3670">
        <v>126.53</v>
      </c>
    </row>
    <row r="3671" spans="1:64" x14ac:dyDescent="0.25">
      <c r="A3671" s="136">
        <v>43713</v>
      </c>
      <c r="B3671" t="s">
        <v>749</v>
      </c>
      <c r="C3671" t="s">
        <v>750</v>
      </c>
      <c r="D3671">
        <v>500</v>
      </c>
      <c r="E3671">
        <v>500</v>
      </c>
      <c r="F3671">
        <v>5.85</v>
      </c>
      <c r="G3671">
        <v>2090</v>
      </c>
      <c r="H3671">
        <v>71.45</v>
      </c>
      <c r="I3671">
        <v>5015</v>
      </c>
      <c r="J3671">
        <v>10.029999999999999</v>
      </c>
      <c r="K3671" s="133">
        <v>9.7476245728927175E-3</v>
      </c>
      <c r="L3671" s="181">
        <v>10</v>
      </c>
      <c r="M3671" s="133">
        <v>5.6853044617569681E-3</v>
      </c>
    </row>
    <row r="3672" spans="1:64" x14ac:dyDescent="0.25">
      <c r="A3672" s="136">
        <v>43713</v>
      </c>
      <c r="B3672" t="s">
        <v>71</v>
      </c>
      <c r="C3672" t="s">
        <v>126</v>
      </c>
      <c r="D3672">
        <v>3600</v>
      </c>
      <c r="E3672">
        <v>3600</v>
      </c>
      <c r="F3672">
        <v>5.117</v>
      </c>
      <c r="G3672">
        <v>2241.08</v>
      </c>
      <c r="H3672">
        <v>12.17</v>
      </c>
      <c r="I3672">
        <v>20664</v>
      </c>
      <c r="J3672">
        <v>5.74</v>
      </c>
      <c r="K3672" s="133">
        <v>4.0164489366750766E-2</v>
      </c>
      <c r="L3672" s="181">
        <v>196.6099999999999</v>
      </c>
      <c r="M3672" s="133">
        <v>3.5808515991313399E-2</v>
      </c>
      <c r="N3672" s="73">
        <v>3077.4640000000054</v>
      </c>
      <c r="O3672" s="73">
        <v>430.90059312714862</v>
      </c>
      <c r="P3672" s="182">
        <v>0</v>
      </c>
      <c r="Q3672" s="182">
        <v>0</v>
      </c>
      <c r="R3672" s="46">
        <v>0</v>
      </c>
      <c r="S3672" s="46">
        <v>3</v>
      </c>
      <c r="T3672" s="46">
        <v>1200</v>
      </c>
      <c r="U3672" s="46">
        <v>6.1470000000000002</v>
      </c>
      <c r="V3672" s="46" t="s">
        <v>68</v>
      </c>
      <c r="W3672" s="46">
        <v>1200</v>
      </c>
      <c r="X3672" s="46">
        <v>6.1470000000000002</v>
      </c>
      <c r="AF3672" s="46">
        <v>58</v>
      </c>
      <c r="AG3672" s="46">
        <v>30100</v>
      </c>
      <c r="AH3672" s="46">
        <v>189294.02999999991</v>
      </c>
      <c r="AI3672" s="46">
        <v>6.2889999999999997</v>
      </c>
      <c r="AJ3672" s="46">
        <v>58</v>
      </c>
      <c r="AK3672" s="46">
        <v>25300</v>
      </c>
      <c r="AL3672" s="46">
        <v>163337.022</v>
      </c>
      <c r="AM3672" s="46">
        <v>6.4560000000000004</v>
      </c>
      <c r="AN3672" s="46" t="s">
        <v>63</v>
      </c>
      <c r="AO3672" s="46">
        <v>4800</v>
      </c>
      <c r="AP3672" s="46">
        <v>25957.008000000002</v>
      </c>
      <c r="AQ3672" s="46">
        <v>5.4080000000000004</v>
      </c>
      <c r="AR3672" s="46">
        <v>4225.1000000000004</v>
      </c>
      <c r="AS3672" s="46">
        <v>58</v>
      </c>
      <c r="AT3672" s="46">
        <v>30100</v>
      </c>
      <c r="AU3672" s="46">
        <v>189294.02999999991</v>
      </c>
      <c r="AV3672" s="46">
        <v>6.2889999999999997</v>
      </c>
      <c r="AW3672" s="46">
        <v>61</v>
      </c>
      <c r="AX3672" s="46">
        <v>26500</v>
      </c>
      <c r="AY3672" s="46">
        <v>170689.92600000001</v>
      </c>
      <c r="AZ3672" s="46">
        <v>6.4409999999999998</v>
      </c>
      <c r="BA3672" s="46" t="s">
        <v>63</v>
      </c>
      <c r="BB3672" s="46">
        <v>3600</v>
      </c>
      <c r="BC3672" s="46">
        <v>18604.103999999999</v>
      </c>
      <c r="BD3672" s="46">
        <v>5.1680000000000001</v>
      </c>
      <c r="BE3672" s="46">
        <v>4028</v>
      </c>
      <c r="BF3672" s="46">
        <v>0</v>
      </c>
      <c r="BH3672" s="46">
        <v>7352.9040000000095</v>
      </c>
      <c r="BI3672">
        <v>6.13</v>
      </c>
      <c r="BJ3672">
        <v>-7352.9040000000023</v>
      </c>
      <c r="BK3672">
        <v>-6.13</v>
      </c>
      <c r="BL3672">
        <v>736.08</v>
      </c>
    </row>
    <row r="3673" spans="1:64" x14ac:dyDescent="0.25">
      <c r="A3673" s="136">
        <v>43713</v>
      </c>
      <c r="B3673" t="s">
        <v>72</v>
      </c>
      <c r="C3673" t="s">
        <v>130</v>
      </c>
      <c r="D3673">
        <v>100</v>
      </c>
      <c r="E3673">
        <v>100</v>
      </c>
      <c r="F3673">
        <v>-18.477</v>
      </c>
      <c r="G3673">
        <v>2320.6999999999998</v>
      </c>
      <c r="H3673">
        <v>0</v>
      </c>
      <c r="I3673">
        <v>473</v>
      </c>
      <c r="J3673">
        <v>4.7300000000000004</v>
      </c>
      <c r="K3673" s="133">
        <v>9.1936718304651147E-4</v>
      </c>
      <c r="L3673" s="181">
        <v>-18</v>
      </c>
      <c r="M3673" s="133">
        <v>0</v>
      </c>
      <c r="N3673" s="73">
        <v>-1498.9659999999872</v>
      </c>
      <c r="O3673" s="73">
        <v>376.42007904191922</v>
      </c>
      <c r="P3673" s="182">
        <v>0</v>
      </c>
      <c r="Q3673" s="182">
        <v>0</v>
      </c>
      <c r="R3673" s="46">
        <v>0</v>
      </c>
      <c r="S3673" s="46">
        <v>20</v>
      </c>
      <c r="T3673" s="46">
        <v>8600</v>
      </c>
      <c r="U3673" s="46">
        <v>7.3840000000000003</v>
      </c>
      <c r="V3673" s="46" t="s">
        <v>68</v>
      </c>
      <c r="W3673" s="46">
        <v>8600</v>
      </c>
      <c r="X3673" s="46">
        <v>7.3840000000000003</v>
      </c>
      <c r="AF3673" s="46">
        <v>42</v>
      </c>
      <c r="AG3673" s="46">
        <v>20900</v>
      </c>
      <c r="AH3673" s="46">
        <v>152800</v>
      </c>
      <c r="AI3673" s="46">
        <v>7.3109999999999999</v>
      </c>
      <c r="AJ3673" s="46">
        <v>42</v>
      </c>
      <c r="AK3673" s="46">
        <v>18800</v>
      </c>
      <c r="AL3673" s="46">
        <v>92037.725000000035</v>
      </c>
      <c r="AM3673" s="46">
        <v>4.8959999999999999</v>
      </c>
      <c r="AN3673" s="46" t="s">
        <v>63</v>
      </c>
      <c r="AO3673" s="46">
        <v>2100</v>
      </c>
      <c r="AP3673" s="46">
        <v>60762.275000000001</v>
      </c>
      <c r="AQ3673" s="46">
        <v>28.934000000000001</v>
      </c>
      <c r="AR3673" s="46">
        <v>-45402</v>
      </c>
      <c r="AS3673" s="46">
        <v>42</v>
      </c>
      <c r="AT3673" s="46">
        <v>20900</v>
      </c>
      <c r="AU3673" s="46">
        <v>152800</v>
      </c>
      <c r="AV3673" s="46">
        <v>7.3109999999999999</v>
      </c>
      <c r="AW3673" s="46">
        <v>63</v>
      </c>
      <c r="AX3673" s="46">
        <v>27900</v>
      </c>
      <c r="AY3673" s="46">
        <v>155380.21900000001</v>
      </c>
      <c r="AZ3673" s="46">
        <v>5.569</v>
      </c>
      <c r="BA3673" s="46" t="s">
        <v>69</v>
      </c>
      <c r="BB3673" s="46">
        <v>7000</v>
      </c>
      <c r="BC3673" s="46">
        <v>2580.2190000000001</v>
      </c>
      <c r="BD3673" s="46">
        <v>0.36899999999999999</v>
      </c>
      <c r="BE3673" s="46">
        <v>-36407.800000000003</v>
      </c>
      <c r="BF3673" s="46">
        <v>0</v>
      </c>
      <c r="BH3673" s="46">
        <v>63342.493999999977</v>
      </c>
      <c r="BI3673">
        <v>7.37</v>
      </c>
      <c r="BJ3673">
        <v>-58182.056000000004</v>
      </c>
      <c r="BK3673">
        <v>-6.77</v>
      </c>
      <c r="BL3673">
        <v>-9598.73</v>
      </c>
    </row>
    <row r="3674" spans="1:64" x14ac:dyDescent="0.25">
      <c r="A3674" s="136">
        <v>43713</v>
      </c>
      <c r="B3674" t="s">
        <v>628</v>
      </c>
      <c r="C3674" t="s">
        <v>629</v>
      </c>
      <c r="D3674">
        <v>100</v>
      </c>
      <c r="E3674">
        <v>100</v>
      </c>
      <c r="F3674">
        <v>-22.369</v>
      </c>
      <c r="G3674">
        <v>3951.9</v>
      </c>
      <c r="H3674">
        <v>0</v>
      </c>
      <c r="I3674">
        <v>1715</v>
      </c>
      <c r="J3674">
        <v>17.149999999999999</v>
      </c>
      <c r="K3674" s="133">
        <v>3.3334349237310089E-3</v>
      </c>
      <c r="L3674" s="181">
        <v>-91</v>
      </c>
      <c r="M3674" s="133">
        <v>0</v>
      </c>
    </row>
    <row r="3675" spans="1:64" x14ac:dyDescent="0.25">
      <c r="A3675" s="136">
        <v>43713</v>
      </c>
      <c r="B3675" t="s">
        <v>132</v>
      </c>
      <c r="C3675" t="s">
        <v>123</v>
      </c>
      <c r="D3675">
        <v>17106</v>
      </c>
      <c r="E3675">
        <v>17106</v>
      </c>
      <c r="F3675">
        <v>-0.22700000000000001</v>
      </c>
      <c r="G3675">
        <v>4054.1219999999998</v>
      </c>
      <c r="H3675">
        <v>0</v>
      </c>
      <c r="I3675">
        <v>171.06</v>
      </c>
      <c r="J3675">
        <v>0.01</v>
      </c>
      <c r="K3675" s="133">
        <v>3.32488267086546E-4</v>
      </c>
      <c r="L3675" s="181">
        <v>4.0019999999999527</v>
      </c>
      <c r="M3675" s="133">
        <v>0</v>
      </c>
    </row>
    <row r="3676" spans="1:64" x14ac:dyDescent="0.25">
      <c r="A3676" s="136">
        <v>43713</v>
      </c>
      <c r="B3676" t="s">
        <v>67</v>
      </c>
      <c r="C3676" t="s">
        <v>129</v>
      </c>
      <c r="D3676">
        <v>1930</v>
      </c>
      <c r="E3676">
        <v>1930</v>
      </c>
      <c r="F3676">
        <v>4.2910000000000004</v>
      </c>
      <c r="G3676">
        <v>4283.1000000000004</v>
      </c>
      <c r="H3676">
        <v>51.72</v>
      </c>
      <c r="I3676">
        <v>12564.3</v>
      </c>
      <c r="J3676">
        <v>6.51</v>
      </c>
      <c r="K3676" s="133">
        <v>2.4421152426958317E-2</v>
      </c>
      <c r="L3676" s="181">
        <v>-161.96000000000004</v>
      </c>
      <c r="M3676" s="133">
        <v>1.6096117370496342E-2</v>
      </c>
      <c r="N3676" s="73">
        <v>5787.7974999999715</v>
      </c>
      <c r="O3676" s="73">
        <v>670.39282739361477</v>
      </c>
      <c r="P3676" s="182">
        <v>1</v>
      </c>
      <c r="Q3676" s="182">
        <v>30</v>
      </c>
      <c r="R3676" s="46">
        <v>0</v>
      </c>
      <c r="S3676" s="46">
        <v>22</v>
      </c>
      <c r="T3676" s="46">
        <v>8800</v>
      </c>
      <c r="U3676" s="46">
        <v>8.5860000000000003</v>
      </c>
      <c r="V3676" s="46" t="s">
        <v>68</v>
      </c>
      <c r="W3676" s="46">
        <v>8770</v>
      </c>
      <c r="X3676" s="46">
        <v>8.6150000000000002</v>
      </c>
      <c r="AF3676" s="46">
        <v>204</v>
      </c>
      <c r="AG3676" s="46">
        <v>100800</v>
      </c>
      <c r="AH3676" s="46">
        <v>830794</v>
      </c>
      <c r="AI3676" s="46">
        <v>8.2420000000000009</v>
      </c>
      <c r="AJ3676" s="46">
        <v>208</v>
      </c>
      <c r="AK3676" s="46">
        <v>92700</v>
      </c>
      <c r="AL3676" s="46">
        <v>816268.16350000014</v>
      </c>
      <c r="AM3676" s="46">
        <v>8.8049999999999997</v>
      </c>
      <c r="AN3676" s="46" t="s">
        <v>63</v>
      </c>
      <c r="AO3676" s="46">
        <v>8100</v>
      </c>
      <c r="AP3676" s="46">
        <v>14525.835999999999</v>
      </c>
      <c r="AQ3676" s="46">
        <v>1.7929999999999999</v>
      </c>
      <c r="AR3676" s="46">
        <v>52190.1</v>
      </c>
      <c r="AS3676" s="46">
        <v>205</v>
      </c>
      <c r="AT3676" s="46">
        <v>100830</v>
      </c>
      <c r="AU3676" s="46">
        <v>830799</v>
      </c>
      <c r="AV3676" s="46">
        <v>8.24</v>
      </c>
      <c r="AW3676" s="46">
        <v>230</v>
      </c>
      <c r="AX3676" s="46">
        <v>101500</v>
      </c>
      <c r="AY3676" s="46">
        <v>891641.10750000016</v>
      </c>
      <c r="AZ3676" s="46">
        <v>8.7850000000000001</v>
      </c>
      <c r="BA3676" s="46" t="s">
        <v>69</v>
      </c>
      <c r="BB3676" s="46">
        <v>670</v>
      </c>
      <c r="BC3676" s="46">
        <v>60842.108</v>
      </c>
      <c r="BD3676" s="46">
        <v>90.808999999999997</v>
      </c>
      <c r="BE3676" s="46">
        <v>54952.35</v>
      </c>
      <c r="BF3676" s="46">
        <v>5</v>
      </c>
      <c r="BG3676" s="46">
        <v>0.17</v>
      </c>
      <c r="BH3676" s="46">
        <v>75372.944000000018</v>
      </c>
      <c r="BI3676">
        <v>8.57</v>
      </c>
      <c r="BJ3676">
        <v>46316.271999999997</v>
      </c>
      <c r="BK3676">
        <v>5.28</v>
      </c>
      <c r="BL3676">
        <v>8016.91</v>
      </c>
    </row>
    <row r="3677" spans="1:64" x14ac:dyDescent="0.25">
      <c r="A3677" s="136">
        <v>43713</v>
      </c>
      <c r="B3677" t="s">
        <v>124</v>
      </c>
      <c r="C3677" t="s">
        <v>125</v>
      </c>
      <c r="D3677">
        <v>100</v>
      </c>
      <c r="E3677">
        <v>100</v>
      </c>
      <c r="F3677">
        <v>-54.070999999999998</v>
      </c>
      <c r="G3677">
        <v>5957.1</v>
      </c>
      <c r="H3677">
        <v>0</v>
      </c>
      <c r="I3677">
        <v>550</v>
      </c>
      <c r="J3677">
        <v>5.5</v>
      </c>
      <c r="K3677" s="133">
        <v>1.0690316081936181E-3</v>
      </c>
      <c r="L3677" s="181">
        <v>-16</v>
      </c>
      <c r="M3677" s="133">
        <v>0</v>
      </c>
      <c r="N3677" s="73">
        <v>5573.0690000000113</v>
      </c>
      <c r="O3677" s="73">
        <v>1102.4501845505636</v>
      </c>
      <c r="P3677" s="182">
        <v>0</v>
      </c>
      <c r="Q3677" s="182">
        <v>0</v>
      </c>
      <c r="R3677" s="46">
        <v>0</v>
      </c>
      <c r="S3677" s="46">
        <v>5</v>
      </c>
      <c r="T3677" s="46">
        <v>2300</v>
      </c>
      <c r="U3677" s="46">
        <v>4.99</v>
      </c>
      <c r="V3677" s="46" t="s">
        <v>68</v>
      </c>
      <c r="W3677" s="46">
        <v>2300</v>
      </c>
      <c r="X3677" s="46">
        <v>4.99</v>
      </c>
      <c r="AF3677" s="46">
        <v>50</v>
      </c>
      <c r="AG3677" s="46">
        <v>36700</v>
      </c>
      <c r="AH3677" s="46">
        <v>180101.02000000002</v>
      </c>
      <c r="AI3677" s="46">
        <v>4.907</v>
      </c>
      <c r="AJ3677" s="46">
        <v>58</v>
      </c>
      <c r="AK3677" s="46">
        <v>35300</v>
      </c>
      <c r="AL3677" s="46">
        <v>178266.546</v>
      </c>
      <c r="AM3677" s="46">
        <v>5.05</v>
      </c>
      <c r="AN3677" s="46" t="s">
        <v>63</v>
      </c>
      <c r="AO3677" s="46">
        <v>1400</v>
      </c>
      <c r="AP3677" s="46">
        <v>1834.4739999999999</v>
      </c>
      <c r="AQ3677" s="46">
        <v>1.31</v>
      </c>
      <c r="AR3677" s="46">
        <v>5047.8999999999996</v>
      </c>
      <c r="AS3677" s="46">
        <v>51</v>
      </c>
      <c r="AT3677" s="46">
        <v>37700</v>
      </c>
      <c r="AU3677" s="46">
        <v>185106.62</v>
      </c>
      <c r="AV3677" s="46">
        <v>4.91</v>
      </c>
      <c r="AW3677" s="46">
        <v>63</v>
      </c>
      <c r="AX3677" s="46">
        <v>37600</v>
      </c>
      <c r="AY3677" s="46">
        <v>189713.68900000001</v>
      </c>
      <c r="AZ3677" s="46">
        <v>5.0460000000000003</v>
      </c>
      <c r="BA3677" s="46" t="s">
        <v>63</v>
      </c>
      <c r="BB3677" s="46">
        <v>100</v>
      </c>
      <c r="BC3677" s="46">
        <v>4607.0690000000004</v>
      </c>
      <c r="BD3677" s="46">
        <v>46.070999999999998</v>
      </c>
      <c r="BE3677" s="46">
        <v>5113.6000000000004</v>
      </c>
      <c r="BF3677" s="46">
        <v>5005.5999999999767</v>
      </c>
      <c r="BH3677" s="46">
        <v>11447.143000000011</v>
      </c>
      <c r="BI3677">
        <v>4.9800000000000004</v>
      </c>
      <c r="BJ3677">
        <v>2772.5950000000003</v>
      </c>
      <c r="BK3677">
        <v>1.21</v>
      </c>
      <c r="BL3677">
        <v>917.8</v>
      </c>
    </row>
    <row r="3678" spans="1:64" x14ac:dyDescent="0.25">
      <c r="A3678" s="136">
        <v>43713</v>
      </c>
      <c r="B3678" t="s">
        <v>630</v>
      </c>
      <c r="C3678" t="s">
        <v>631</v>
      </c>
      <c r="D3678">
        <v>100</v>
      </c>
      <c r="E3678">
        <v>100</v>
      </c>
      <c r="F3678">
        <v>-94.6</v>
      </c>
      <c r="G3678">
        <v>11633</v>
      </c>
      <c r="H3678">
        <v>0</v>
      </c>
      <c r="I3678">
        <v>2173</v>
      </c>
      <c r="J3678">
        <v>21.73</v>
      </c>
      <c r="K3678" s="133">
        <v>4.2236466992813309E-3</v>
      </c>
      <c r="L3678" s="181">
        <v>-6</v>
      </c>
      <c r="M3678" s="133">
        <v>0</v>
      </c>
    </row>
    <row r="3679" spans="1:64" x14ac:dyDescent="0.25">
      <c r="A3679" s="136">
        <v>43713</v>
      </c>
      <c r="B3679" t="s">
        <v>137</v>
      </c>
      <c r="C3679" t="s">
        <v>149</v>
      </c>
      <c r="D3679">
        <v>150</v>
      </c>
      <c r="E3679">
        <v>150</v>
      </c>
      <c r="F3679">
        <v>-87.406999999999996</v>
      </c>
      <c r="G3679">
        <v>16573.05</v>
      </c>
      <c r="H3679">
        <v>0</v>
      </c>
      <c r="I3679">
        <v>3462</v>
      </c>
      <c r="J3679">
        <v>23.08</v>
      </c>
      <c r="K3679" s="133">
        <v>6.7290680501205557E-3</v>
      </c>
      <c r="L3679" s="181">
        <v>117</v>
      </c>
      <c r="M3679" s="133">
        <v>0</v>
      </c>
    </row>
    <row r="3680" spans="1:64" x14ac:dyDescent="0.25">
      <c r="A3680" s="136">
        <v>43713</v>
      </c>
      <c r="B3680" t="s">
        <v>835</v>
      </c>
      <c r="C3680" t="s">
        <v>839</v>
      </c>
      <c r="I3680">
        <v>16753.560000000001</v>
      </c>
      <c r="K3680" s="133">
        <v>3.2563791254124133E-2</v>
      </c>
      <c r="L3680" s="181">
        <v>0</v>
      </c>
      <c r="M3680" s="133">
        <v>3.2896279521210679E-2</v>
      </c>
    </row>
    <row r="3681" spans="1:64" x14ac:dyDescent="0.25">
      <c r="A3681" s="136">
        <v>43719</v>
      </c>
      <c r="B3681" t="s">
        <v>132</v>
      </c>
      <c r="C3681" t="s">
        <v>123</v>
      </c>
      <c r="D3681">
        <v>17112</v>
      </c>
      <c r="E3681">
        <v>17112</v>
      </c>
      <c r="F3681">
        <v>-0.22700000000000001</v>
      </c>
      <c r="G3681">
        <v>4055.5439999999999</v>
      </c>
      <c r="H3681">
        <v>0</v>
      </c>
      <c r="I3681">
        <v>171.12</v>
      </c>
      <c r="J3681">
        <v>0.01</v>
      </c>
      <c r="K3681" s="133">
        <v>3.2602281035587298E-4</v>
      </c>
      <c r="L3681" s="181">
        <v>1.4220000000000255</v>
      </c>
      <c r="M3681" s="133">
        <v>0</v>
      </c>
    </row>
    <row r="3682" spans="1:64" x14ac:dyDescent="0.25">
      <c r="A3682" s="136">
        <v>43719</v>
      </c>
      <c r="B3682" t="s">
        <v>61</v>
      </c>
      <c r="C3682" t="s">
        <v>136</v>
      </c>
      <c r="D3682">
        <v>3300</v>
      </c>
      <c r="E3682">
        <v>3300</v>
      </c>
      <c r="F3682">
        <v>4.633</v>
      </c>
      <c r="G3682">
        <v>-1262.52</v>
      </c>
      <c r="H3682">
        <v>-8.26</v>
      </c>
      <c r="I3682">
        <v>14025</v>
      </c>
      <c r="J3682">
        <v>4.25</v>
      </c>
      <c r="K3682" s="133">
        <v>2.6720838681867219E-2</v>
      </c>
      <c r="L3682" s="181">
        <v>33</v>
      </c>
      <c r="M3682" s="133">
        <v>2.9126228575102941E-2</v>
      </c>
      <c r="N3682" s="73">
        <v>599.38700000000608</v>
      </c>
      <c r="O3682" s="73">
        <v>-289.75481537558687</v>
      </c>
      <c r="P3682" s="182">
        <v>2</v>
      </c>
      <c r="Q3682" s="182">
        <v>1000</v>
      </c>
      <c r="R3682" s="46">
        <v>4.33</v>
      </c>
      <c r="S3682" s="46">
        <v>0</v>
      </c>
      <c r="T3682" s="46">
        <v>0</v>
      </c>
      <c r="U3682" s="46">
        <v>0</v>
      </c>
      <c r="V3682" s="46" t="s">
        <v>62</v>
      </c>
      <c r="W3682" s="46">
        <v>1000</v>
      </c>
      <c r="X3682" s="46">
        <v>4.33</v>
      </c>
      <c r="AF3682" s="46">
        <v>24</v>
      </c>
      <c r="AG3682" s="46">
        <v>12000</v>
      </c>
      <c r="AH3682" s="46">
        <v>58852.200000000012</v>
      </c>
      <c r="AI3682" s="46">
        <v>4.9039999999999999</v>
      </c>
      <c r="AJ3682" s="46">
        <v>24</v>
      </c>
      <c r="AK3682" s="46">
        <v>9700</v>
      </c>
      <c r="AL3682" s="46">
        <v>47899.82699999999</v>
      </c>
      <c r="AM3682" s="46">
        <v>4.9379999999999997</v>
      </c>
      <c r="AN3682" s="46" t="s">
        <v>63</v>
      </c>
      <c r="AO3682" s="46">
        <v>2300</v>
      </c>
      <c r="AP3682" s="46">
        <v>10952.373</v>
      </c>
      <c r="AQ3682" s="46">
        <v>4.7619999999999996</v>
      </c>
      <c r="AR3682" s="46">
        <v>329.8</v>
      </c>
      <c r="AS3682" s="46">
        <v>26</v>
      </c>
      <c r="AT3682" s="46">
        <v>13000</v>
      </c>
      <c r="AU3682" s="46">
        <v>63192.800000000017</v>
      </c>
      <c r="AV3682" s="46">
        <v>4.8609999999999998</v>
      </c>
      <c r="AW3682" s="46">
        <v>24</v>
      </c>
      <c r="AX3682" s="46">
        <v>9700</v>
      </c>
      <c r="AY3682" s="46">
        <v>47899.82699999999</v>
      </c>
      <c r="AZ3682" s="46">
        <v>4.9379999999999997</v>
      </c>
      <c r="BA3682" s="46" t="s">
        <v>63</v>
      </c>
      <c r="BB3682" s="46">
        <v>3300</v>
      </c>
      <c r="BC3682" s="46">
        <v>15292.973</v>
      </c>
      <c r="BD3682" s="46">
        <v>4.6340000000000003</v>
      </c>
      <c r="BE3682" s="46">
        <v>746.9</v>
      </c>
      <c r="BF3682" s="46">
        <v>4340.6000000000058</v>
      </c>
      <c r="BG3682" s="46">
        <v>4.34</v>
      </c>
      <c r="BH3682" s="46">
        <v>0</v>
      </c>
      <c r="BJ3682">
        <v>4340.6000000000004</v>
      </c>
      <c r="BK3682">
        <v>4.34</v>
      </c>
      <c r="BL3682">
        <v>77.599999999999994</v>
      </c>
    </row>
    <row r="3683" spans="1:64" x14ac:dyDescent="0.25">
      <c r="A3683" s="136">
        <v>43719</v>
      </c>
      <c r="B3683" t="s">
        <v>124</v>
      </c>
      <c r="C3683" t="s">
        <v>125</v>
      </c>
      <c r="D3683">
        <v>100</v>
      </c>
      <c r="E3683">
        <v>100</v>
      </c>
      <c r="F3683">
        <v>-54.070999999999998</v>
      </c>
      <c r="G3683">
        <v>5962.1</v>
      </c>
      <c r="H3683">
        <v>0</v>
      </c>
      <c r="I3683">
        <v>555</v>
      </c>
      <c r="J3683">
        <v>5.55</v>
      </c>
      <c r="K3683" s="133">
        <v>1.0574021724375263E-3</v>
      </c>
      <c r="L3683" s="181">
        <v>5</v>
      </c>
      <c r="M3683" s="133">
        <v>0</v>
      </c>
      <c r="N3683" s="73">
        <v>5573.0690000000113</v>
      </c>
      <c r="O3683" s="73">
        <v>1102.4501845505636</v>
      </c>
      <c r="P3683" s="182">
        <v>0</v>
      </c>
      <c r="Q3683" s="182">
        <v>0</v>
      </c>
      <c r="R3683" s="46">
        <v>0</v>
      </c>
      <c r="S3683" s="46">
        <v>5</v>
      </c>
      <c r="T3683" s="46">
        <v>2300</v>
      </c>
      <c r="U3683" s="46">
        <v>4.99</v>
      </c>
      <c r="V3683" s="46" t="s">
        <v>68</v>
      </c>
      <c r="W3683" s="46">
        <v>2300</v>
      </c>
      <c r="X3683" s="46">
        <v>4.99</v>
      </c>
      <c r="AF3683" s="46">
        <v>50</v>
      </c>
      <c r="AG3683" s="46">
        <v>36700</v>
      </c>
      <c r="AH3683" s="46">
        <v>180101.02000000002</v>
      </c>
      <c r="AI3683" s="46">
        <v>4.907</v>
      </c>
      <c r="AJ3683" s="46">
        <v>58</v>
      </c>
      <c r="AK3683" s="46">
        <v>35300</v>
      </c>
      <c r="AL3683" s="46">
        <v>178266.546</v>
      </c>
      <c r="AM3683" s="46">
        <v>5.05</v>
      </c>
      <c r="AN3683" s="46" t="s">
        <v>63</v>
      </c>
      <c r="AO3683" s="46">
        <v>1400</v>
      </c>
      <c r="AP3683" s="46">
        <v>1834.4739999999999</v>
      </c>
      <c r="AQ3683" s="46">
        <v>1.31</v>
      </c>
      <c r="AR3683" s="46">
        <v>5047.8999999999996</v>
      </c>
      <c r="AS3683" s="46">
        <v>51</v>
      </c>
      <c r="AT3683" s="46">
        <v>37700</v>
      </c>
      <c r="AU3683" s="46">
        <v>185106.62</v>
      </c>
      <c r="AV3683" s="46">
        <v>4.91</v>
      </c>
      <c r="AW3683" s="46">
        <v>63</v>
      </c>
      <c r="AX3683" s="46">
        <v>37600</v>
      </c>
      <c r="AY3683" s="46">
        <v>189713.68900000001</v>
      </c>
      <c r="AZ3683" s="46">
        <v>5.0460000000000003</v>
      </c>
      <c r="BA3683" s="46" t="s">
        <v>63</v>
      </c>
      <c r="BB3683" s="46">
        <v>100</v>
      </c>
      <c r="BC3683" s="46">
        <v>4607.0690000000004</v>
      </c>
      <c r="BD3683" s="46">
        <v>46.070999999999998</v>
      </c>
      <c r="BE3683" s="46">
        <v>5113.6000000000004</v>
      </c>
      <c r="BF3683" s="46">
        <v>5005.5999999999767</v>
      </c>
      <c r="BH3683" s="46">
        <v>11447.143000000011</v>
      </c>
      <c r="BI3683">
        <v>4.9800000000000004</v>
      </c>
      <c r="BJ3683">
        <v>2772.5950000000003</v>
      </c>
      <c r="BK3683">
        <v>1.21</v>
      </c>
      <c r="BL3683">
        <v>909.53</v>
      </c>
    </row>
    <row r="3684" spans="1:64" x14ac:dyDescent="0.25">
      <c r="A3684" s="136">
        <v>43719</v>
      </c>
      <c r="B3684" t="s">
        <v>71</v>
      </c>
      <c r="C3684" t="s">
        <v>126</v>
      </c>
      <c r="D3684">
        <v>3600</v>
      </c>
      <c r="E3684">
        <v>3600</v>
      </c>
      <c r="F3684">
        <v>5.117</v>
      </c>
      <c r="G3684">
        <v>2529.08</v>
      </c>
      <c r="H3684">
        <v>13.73</v>
      </c>
      <c r="I3684">
        <v>20952</v>
      </c>
      <c r="J3684">
        <v>5.82</v>
      </c>
      <c r="K3684" s="133">
        <v>3.9918360931371265E-2</v>
      </c>
      <c r="L3684" s="181">
        <v>288</v>
      </c>
      <c r="M3684" s="133">
        <v>3.5099884019176131E-2</v>
      </c>
      <c r="N3684" s="73">
        <v>3077.4640000000054</v>
      </c>
      <c r="O3684" s="73">
        <v>430.90059312714862</v>
      </c>
      <c r="P3684" s="182">
        <v>0</v>
      </c>
      <c r="Q3684" s="182">
        <v>0</v>
      </c>
      <c r="R3684" s="46">
        <v>0</v>
      </c>
      <c r="S3684" s="46">
        <v>3</v>
      </c>
      <c r="T3684" s="46">
        <v>1200</v>
      </c>
      <c r="U3684" s="46">
        <v>6.1470000000000002</v>
      </c>
      <c r="V3684" s="46" t="s">
        <v>68</v>
      </c>
      <c r="W3684" s="46">
        <v>1200</v>
      </c>
      <c r="X3684" s="46">
        <v>6.1470000000000002</v>
      </c>
      <c r="AF3684" s="46">
        <v>58</v>
      </c>
      <c r="AG3684" s="46">
        <v>30100</v>
      </c>
      <c r="AH3684" s="46">
        <v>189294.02999999991</v>
      </c>
      <c r="AI3684" s="46">
        <v>6.2889999999999997</v>
      </c>
      <c r="AJ3684" s="46">
        <v>58</v>
      </c>
      <c r="AK3684" s="46">
        <v>25300</v>
      </c>
      <c r="AL3684" s="46">
        <v>163337.022</v>
      </c>
      <c r="AM3684" s="46">
        <v>6.4560000000000004</v>
      </c>
      <c r="AN3684" s="46" t="s">
        <v>63</v>
      </c>
      <c r="AO3684" s="46">
        <v>4800</v>
      </c>
      <c r="AP3684" s="46">
        <v>25957.008000000002</v>
      </c>
      <c r="AQ3684" s="46">
        <v>5.4080000000000004</v>
      </c>
      <c r="AR3684" s="46">
        <v>4225.1000000000004</v>
      </c>
      <c r="AS3684" s="46">
        <v>58</v>
      </c>
      <c r="AT3684" s="46">
        <v>30100</v>
      </c>
      <c r="AU3684" s="46">
        <v>189294.02999999991</v>
      </c>
      <c r="AV3684" s="46">
        <v>6.2889999999999997</v>
      </c>
      <c r="AW3684" s="46">
        <v>61</v>
      </c>
      <c r="AX3684" s="46">
        <v>26500</v>
      </c>
      <c r="AY3684" s="46">
        <v>170689.92600000001</v>
      </c>
      <c r="AZ3684" s="46">
        <v>6.4409999999999998</v>
      </c>
      <c r="BA3684" s="46" t="s">
        <v>63</v>
      </c>
      <c r="BB3684" s="46">
        <v>3600</v>
      </c>
      <c r="BC3684" s="46">
        <v>18604.103999999999</v>
      </c>
      <c r="BD3684" s="46">
        <v>5.1680000000000001</v>
      </c>
      <c r="BE3684" s="46">
        <v>4028</v>
      </c>
      <c r="BF3684" s="46">
        <v>0</v>
      </c>
      <c r="BH3684" s="46">
        <v>7352.9040000000095</v>
      </c>
      <c r="BI3684">
        <v>6.13</v>
      </c>
      <c r="BJ3684">
        <v>-7352.9040000000023</v>
      </c>
      <c r="BK3684">
        <v>-6.13</v>
      </c>
      <c r="BL3684">
        <v>725.96</v>
      </c>
    </row>
    <row r="3685" spans="1:64" x14ac:dyDescent="0.25">
      <c r="A3685" s="136">
        <v>43719</v>
      </c>
      <c r="B3685" t="s">
        <v>79</v>
      </c>
      <c r="C3685" t="s">
        <v>143</v>
      </c>
      <c r="D3685">
        <v>12920</v>
      </c>
      <c r="E3685">
        <v>12920</v>
      </c>
      <c r="F3685">
        <v>9.9039999999999999</v>
      </c>
      <c r="G3685">
        <v>-33003.1</v>
      </c>
      <c r="H3685">
        <v>-25.79</v>
      </c>
      <c r="I3685">
        <v>94962</v>
      </c>
      <c r="J3685">
        <v>7.35</v>
      </c>
      <c r="K3685" s="133">
        <v>0.18092436954777005</v>
      </c>
      <c r="L3685" s="181">
        <v>-109.2699999999968</v>
      </c>
      <c r="M3685" s="133">
        <v>0.24380283736249606</v>
      </c>
      <c r="N3685" s="73">
        <v>-33542.120000000301</v>
      </c>
      <c r="O3685" s="73">
        <v>-4586.2310451436806</v>
      </c>
      <c r="P3685" s="182">
        <v>13</v>
      </c>
      <c r="Q3685" s="182">
        <v>8720</v>
      </c>
      <c r="R3685" s="46">
        <v>5.5039999999999996</v>
      </c>
      <c r="S3685" s="46">
        <v>0</v>
      </c>
      <c r="T3685" s="46">
        <v>0</v>
      </c>
      <c r="U3685" s="46">
        <v>0</v>
      </c>
      <c r="V3685" s="46" t="s">
        <v>62</v>
      </c>
      <c r="W3685" s="46">
        <v>8720</v>
      </c>
      <c r="X3685" s="46">
        <v>5.5039999999999996</v>
      </c>
      <c r="AF3685" s="46">
        <v>41</v>
      </c>
      <c r="AG3685" s="46">
        <v>21000</v>
      </c>
      <c r="AH3685" s="46">
        <v>286647.59999999974</v>
      </c>
      <c r="AI3685" s="46">
        <v>13.65</v>
      </c>
      <c r="AJ3685" s="46">
        <v>42</v>
      </c>
      <c r="AK3685" s="46">
        <v>16800</v>
      </c>
      <c r="AL3685" s="46">
        <v>206723.51199999976</v>
      </c>
      <c r="AM3685" s="46">
        <v>12.305</v>
      </c>
      <c r="AN3685" s="46" t="s">
        <v>63</v>
      </c>
      <c r="AO3685" s="46">
        <v>4200</v>
      </c>
      <c r="AP3685" s="46">
        <v>79924.088000000003</v>
      </c>
      <c r="AQ3685" s="46">
        <v>19.03</v>
      </c>
      <c r="AR3685" s="46">
        <v>-22596</v>
      </c>
      <c r="AS3685" s="46">
        <v>54</v>
      </c>
      <c r="AT3685" s="46">
        <v>29720</v>
      </c>
      <c r="AU3685" s="46">
        <v>334710.83199999959</v>
      </c>
      <c r="AV3685" s="46">
        <v>11.262</v>
      </c>
      <c r="AW3685" s="46">
        <v>42</v>
      </c>
      <c r="AX3685" s="46">
        <v>16800</v>
      </c>
      <c r="AY3685" s="46">
        <v>206723.51199999976</v>
      </c>
      <c r="AZ3685" s="46">
        <v>12.305</v>
      </c>
      <c r="BA3685" s="46" t="s">
        <v>63</v>
      </c>
      <c r="BB3685" s="46">
        <v>12920</v>
      </c>
      <c r="BC3685" s="46">
        <v>127987.32</v>
      </c>
      <c r="BD3685" s="46">
        <v>9.9060000000000006</v>
      </c>
      <c r="BE3685" s="46">
        <v>17522.400000000001</v>
      </c>
      <c r="BF3685" s="46">
        <v>48063.231999999844</v>
      </c>
      <c r="BG3685" s="46">
        <v>5.51</v>
      </c>
      <c r="BH3685" s="46">
        <v>0</v>
      </c>
      <c r="BJ3685">
        <v>48063.232000000004</v>
      </c>
      <c r="BK3685">
        <v>5.51</v>
      </c>
      <c r="BL3685">
        <v>-3074.29</v>
      </c>
    </row>
    <row r="3686" spans="1:64" x14ac:dyDescent="0.25">
      <c r="A3686" s="136">
        <v>43719</v>
      </c>
      <c r="B3686" t="s">
        <v>749</v>
      </c>
      <c r="C3686" t="s">
        <v>750</v>
      </c>
      <c r="D3686">
        <v>500</v>
      </c>
      <c r="E3686">
        <v>500</v>
      </c>
      <c r="F3686">
        <v>5.85</v>
      </c>
      <c r="G3686">
        <v>2015</v>
      </c>
      <c r="H3686">
        <v>68.89</v>
      </c>
      <c r="I3686">
        <v>4940</v>
      </c>
      <c r="J3686">
        <v>9.8800000000000008</v>
      </c>
      <c r="K3686" s="133">
        <v>9.4118319492637482E-3</v>
      </c>
      <c r="L3686" s="181">
        <v>-75</v>
      </c>
      <c r="M3686" s="133">
        <v>5.5727952331166928E-3</v>
      </c>
    </row>
    <row r="3687" spans="1:64" x14ac:dyDescent="0.25">
      <c r="A3687" s="136">
        <v>43719</v>
      </c>
      <c r="B3687" t="s">
        <v>65</v>
      </c>
      <c r="C3687" t="s">
        <v>127</v>
      </c>
      <c r="D3687">
        <v>27000</v>
      </c>
      <c r="E3687">
        <v>27000</v>
      </c>
      <c r="F3687">
        <v>8.3960000000000008</v>
      </c>
      <c r="G3687">
        <v>-15822.04</v>
      </c>
      <c r="H3687">
        <v>-6.98</v>
      </c>
      <c r="I3687">
        <v>210870</v>
      </c>
      <c r="J3687">
        <v>7.81</v>
      </c>
      <c r="K3687" s="133">
        <v>0.40175566865207418</v>
      </c>
      <c r="L3687" s="181">
        <v>1615.8999999999978</v>
      </c>
      <c r="M3687" s="133">
        <v>0.43190028030683719</v>
      </c>
      <c r="N3687" s="73">
        <v>-21454.45700000014</v>
      </c>
      <c r="O3687" s="73">
        <v>-2211.8965268363759</v>
      </c>
      <c r="P3687" s="182">
        <v>3</v>
      </c>
      <c r="Q3687" s="182">
        <v>2500</v>
      </c>
      <c r="R3687" s="46">
        <v>8.484</v>
      </c>
      <c r="S3687" s="46">
        <v>2</v>
      </c>
      <c r="T3687" s="46">
        <v>800</v>
      </c>
      <c r="U3687" s="46">
        <v>7.7</v>
      </c>
      <c r="V3687" s="46" t="s">
        <v>62</v>
      </c>
      <c r="W3687" s="46">
        <v>1700</v>
      </c>
      <c r="X3687" s="46">
        <v>8.8529999999999998</v>
      </c>
      <c r="AF3687" s="46">
        <v>260</v>
      </c>
      <c r="AG3687" s="46">
        <v>139400</v>
      </c>
      <c r="AH3687" s="46">
        <v>1450946.6810000001</v>
      </c>
      <c r="AI3687" s="46">
        <v>10.409000000000001</v>
      </c>
      <c r="AJ3687" s="46">
        <v>290</v>
      </c>
      <c r="AK3687" s="46">
        <v>123300</v>
      </c>
      <c r="AL3687" s="46">
        <v>1224990.382</v>
      </c>
      <c r="AM3687" s="46">
        <v>9.9350000000000005</v>
      </c>
      <c r="AN3687" s="46" t="s">
        <v>63</v>
      </c>
      <c r="AO3687" s="46">
        <v>16100</v>
      </c>
      <c r="AP3687" s="46">
        <v>225956.299</v>
      </c>
      <c r="AQ3687" s="46">
        <v>14.035</v>
      </c>
      <c r="AR3687" s="46">
        <v>-58444.2</v>
      </c>
      <c r="AS3687" s="46">
        <v>264</v>
      </c>
      <c r="AT3687" s="46">
        <v>142000</v>
      </c>
      <c r="AU3687" s="46">
        <v>1473459.6810000001</v>
      </c>
      <c r="AV3687" s="46">
        <v>10.375999999999999</v>
      </c>
      <c r="AW3687" s="46">
        <v>292</v>
      </c>
      <c r="AX3687" s="46">
        <v>124100</v>
      </c>
      <c r="AY3687" s="46">
        <v>1231134.2219999998</v>
      </c>
      <c r="AZ3687" s="46">
        <v>9.9209999999999994</v>
      </c>
      <c r="BA3687" s="46" t="s">
        <v>63</v>
      </c>
      <c r="BB3687" s="46">
        <v>17900</v>
      </c>
      <c r="BC3687" s="46">
        <v>242325.459</v>
      </c>
      <c r="BD3687" s="46">
        <v>13.538</v>
      </c>
      <c r="BE3687" s="46">
        <v>-56465.5</v>
      </c>
      <c r="BF3687" s="46">
        <v>22513</v>
      </c>
      <c r="BG3687" s="46">
        <v>9.01</v>
      </c>
      <c r="BH3687" s="46">
        <v>6143.839999999851</v>
      </c>
      <c r="BI3687">
        <v>7.68</v>
      </c>
      <c r="BJ3687">
        <v>16369.160000000003</v>
      </c>
      <c r="BK3687">
        <v>9.6300000000000008</v>
      </c>
      <c r="BL3687">
        <v>-7483.25</v>
      </c>
    </row>
    <row r="3688" spans="1:64" x14ac:dyDescent="0.25">
      <c r="A3688" s="136">
        <v>43719</v>
      </c>
      <c r="B3688" t="s">
        <v>77</v>
      </c>
      <c r="C3688" t="s">
        <v>150</v>
      </c>
      <c r="D3688">
        <v>6400</v>
      </c>
      <c r="E3688">
        <v>6400</v>
      </c>
      <c r="F3688">
        <v>5.226</v>
      </c>
      <c r="G3688">
        <v>-8483.23</v>
      </c>
      <c r="H3688">
        <v>-25.36</v>
      </c>
      <c r="I3688">
        <v>24960</v>
      </c>
      <c r="J3688">
        <v>3.9</v>
      </c>
      <c r="K3688" s="133">
        <v>4.755451932259578E-2</v>
      </c>
      <c r="L3688" s="181">
        <v>605.44000000000051</v>
      </c>
      <c r="M3688" s="133">
        <v>6.3717016315906039E-2</v>
      </c>
      <c r="N3688" s="73">
        <v>-8988.1779999999926</v>
      </c>
      <c r="O3688" s="73">
        <v>-2175.3676694871779</v>
      </c>
      <c r="P3688" s="182">
        <v>7</v>
      </c>
      <c r="Q3688" s="182">
        <v>3500</v>
      </c>
      <c r="R3688" s="46">
        <v>4.3390000000000004</v>
      </c>
      <c r="S3688" s="46">
        <v>0</v>
      </c>
      <c r="T3688" s="46">
        <v>0</v>
      </c>
      <c r="U3688" s="46">
        <v>0</v>
      </c>
      <c r="V3688" s="46" t="s">
        <v>62</v>
      </c>
      <c r="W3688" s="46">
        <v>3500</v>
      </c>
      <c r="X3688" s="46">
        <v>4.3390000000000004</v>
      </c>
      <c r="AF3688" s="46">
        <v>55</v>
      </c>
      <c r="AG3688" s="46">
        <v>27500</v>
      </c>
      <c r="AH3688" s="46">
        <v>183254</v>
      </c>
      <c r="AI3688" s="46">
        <v>6.6639999999999997</v>
      </c>
      <c r="AJ3688" s="46">
        <v>55</v>
      </c>
      <c r="AK3688" s="46">
        <v>24600</v>
      </c>
      <c r="AL3688" s="46">
        <v>164737.82200000004</v>
      </c>
      <c r="AM3688" s="46">
        <v>6.6970000000000001</v>
      </c>
      <c r="AN3688" s="46" t="s">
        <v>63</v>
      </c>
      <c r="AO3688" s="46">
        <v>2900</v>
      </c>
      <c r="AP3688" s="46">
        <v>18516.178</v>
      </c>
      <c r="AQ3688" s="46">
        <v>6.3849999999999998</v>
      </c>
      <c r="AR3688" s="46">
        <v>811.8</v>
      </c>
      <c r="AS3688" s="46">
        <v>62</v>
      </c>
      <c r="AT3688" s="46">
        <v>31000</v>
      </c>
      <c r="AU3688" s="46">
        <v>198186</v>
      </c>
      <c r="AV3688" s="46">
        <v>6.3929999999999998</v>
      </c>
      <c r="AW3688" s="46">
        <v>55</v>
      </c>
      <c r="AX3688" s="46">
        <v>24600</v>
      </c>
      <c r="AY3688" s="46">
        <v>164737.82200000004</v>
      </c>
      <c r="AZ3688" s="46">
        <v>6.6970000000000001</v>
      </c>
      <c r="BA3688" s="46" t="s">
        <v>63</v>
      </c>
      <c r="BB3688" s="46">
        <v>6400</v>
      </c>
      <c r="BC3688" s="46">
        <v>33448.178</v>
      </c>
      <c r="BD3688" s="46">
        <v>5.226</v>
      </c>
      <c r="BE3688" s="46">
        <v>7478.4</v>
      </c>
      <c r="BF3688" s="46">
        <v>14932</v>
      </c>
      <c r="BG3688" s="46">
        <v>4.2699999999999996</v>
      </c>
      <c r="BH3688" s="46">
        <v>0</v>
      </c>
      <c r="BJ3688">
        <v>14932</v>
      </c>
      <c r="BK3688">
        <v>4.2699999999999996</v>
      </c>
      <c r="BL3688">
        <v>208.15</v>
      </c>
    </row>
    <row r="3689" spans="1:64" x14ac:dyDescent="0.25">
      <c r="A3689" s="136">
        <v>43719</v>
      </c>
      <c r="B3689" t="s">
        <v>67</v>
      </c>
      <c r="C3689" t="s">
        <v>129</v>
      </c>
      <c r="D3689">
        <v>1930</v>
      </c>
      <c r="E3689">
        <v>1930</v>
      </c>
      <c r="F3689">
        <v>4.2910000000000004</v>
      </c>
      <c r="G3689">
        <v>4398.8999999999996</v>
      </c>
      <c r="H3689">
        <v>53.12</v>
      </c>
      <c r="I3689">
        <v>12680.1</v>
      </c>
      <c r="J3689">
        <v>6.57</v>
      </c>
      <c r="K3689" s="133">
        <v>2.4158496012117257E-2</v>
      </c>
      <c r="L3689" s="181">
        <v>115.79999999999927</v>
      </c>
      <c r="M3689" s="133">
        <v>1.5777583550251609E-2</v>
      </c>
      <c r="N3689" s="73">
        <v>5787.7974999999715</v>
      </c>
      <c r="O3689" s="73">
        <v>670.39282739361477</v>
      </c>
      <c r="P3689" s="182">
        <v>1</v>
      </c>
      <c r="Q3689" s="182">
        <v>30</v>
      </c>
      <c r="R3689" s="46">
        <v>0</v>
      </c>
      <c r="S3689" s="46">
        <v>22</v>
      </c>
      <c r="T3689" s="46">
        <v>8800</v>
      </c>
      <c r="U3689" s="46">
        <v>8.5860000000000003</v>
      </c>
      <c r="V3689" s="46" t="s">
        <v>68</v>
      </c>
      <c r="W3689" s="46">
        <v>8770</v>
      </c>
      <c r="X3689" s="46">
        <v>8.6150000000000002</v>
      </c>
      <c r="AF3689" s="46">
        <v>204</v>
      </c>
      <c r="AG3689" s="46">
        <v>100800</v>
      </c>
      <c r="AH3689" s="46">
        <v>830794</v>
      </c>
      <c r="AI3689" s="46">
        <v>8.2420000000000009</v>
      </c>
      <c r="AJ3689" s="46">
        <v>208</v>
      </c>
      <c r="AK3689" s="46">
        <v>92700</v>
      </c>
      <c r="AL3689" s="46">
        <v>816268.16350000014</v>
      </c>
      <c r="AM3689" s="46">
        <v>8.8049999999999997</v>
      </c>
      <c r="AN3689" s="46" t="s">
        <v>63</v>
      </c>
      <c r="AO3689" s="46">
        <v>8100</v>
      </c>
      <c r="AP3689" s="46">
        <v>14525.835999999999</v>
      </c>
      <c r="AQ3689" s="46">
        <v>1.7929999999999999</v>
      </c>
      <c r="AR3689" s="46">
        <v>52190.1</v>
      </c>
      <c r="AS3689" s="46">
        <v>205</v>
      </c>
      <c r="AT3689" s="46">
        <v>100830</v>
      </c>
      <c r="AU3689" s="46">
        <v>830799</v>
      </c>
      <c r="AV3689" s="46">
        <v>8.24</v>
      </c>
      <c r="AW3689" s="46">
        <v>230</v>
      </c>
      <c r="AX3689" s="46">
        <v>101500</v>
      </c>
      <c r="AY3689" s="46">
        <v>891641.10750000016</v>
      </c>
      <c r="AZ3689" s="46">
        <v>8.7850000000000001</v>
      </c>
      <c r="BA3689" s="46" t="s">
        <v>69</v>
      </c>
      <c r="BB3689" s="46">
        <v>670</v>
      </c>
      <c r="BC3689" s="46">
        <v>60842.108</v>
      </c>
      <c r="BD3689" s="46">
        <v>90.808999999999997</v>
      </c>
      <c r="BE3689" s="46">
        <v>54952.35</v>
      </c>
      <c r="BF3689" s="46">
        <v>5</v>
      </c>
      <c r="BG3689" s="46">
        <v>0.17</v>
      </c>
      <c r="BH3689" s="46">
        <v>75372.944000000018</v>
      </c>
      <c r="BI3689">
        <v>8.57</v>
      </c>
      <c r="BJ3689">
        <v>46316.271999999997</v>
      </c>
      <c r="BK3689">
        <v>5.28</v>
      </c>
      <c r="BL3689">
        <v>7943.7</v>
      </c>
    </row>
    <row r="3690" spans="1:64" x14ac:dyDescent="0.25">
      <c r="A3690" s="136">
        <v>43719</v>
      </c>
      <c r="B3690" t="s">
        <v>78</v>
      </c>
      <c r="C3690" t="s">
        <v>142</v>
      </c>
      <c r="D3690">
        <v>100</v>
      </c>
      <c r="E3690">
        <v>100</v>
      </c>
      <c r="F3690">
        <v>-5.867</v>
      </c>
      <c r="G3690">
        <v>1563.7</v>
      </c>
      <c r="H3690">
        <v>0</v>
      </c>
      <c r="I3690">
        <v>977</v>
      </c>
      <c r="J3690">
        <v>9.77</v>
      </c>
      <c r="K3690" s="133">
        <v>1.8614088693179518E-3</v>
      </c>
      <c r="L3690" s="181">
        <v>21</v>
      </c>
      <c r="M3690" s="133">
        <v>0</v>
      </c>
      <c r="N3690" s="73">
        <v>1576.660999999996</v>
      </c>
      <c r="O3690" s="73">
        <v>159.17905752525212</v>
      </c>
      <c r="P3690" s="182">
        <v>0</v>
      </c>
      <c r="Q3690" s="182">
        <v>0</v>
      </c>
      <c r="R3690" s="46">
        <v>0</v>
      </c>
      <c r="S3690" s="46">
        <v>4</v>
      </c>
      <c r="T3690" s="46">
        <v>1300</v>
      </c>
      <c r="U3690" s="46">
        <v>9.9220000000000006</v>
      </c>
      <c r="V3690" s="46" t="s">
        <v>68</v>
      </c>
      <c r="W3690" s="46">
        <v>1300</v>
      </c>
      <c r="X3690" s="46">
        <v>9.9220000000000006</v>
      </c>
      <c r="AF3690" s="46">
        <v>14</v>
      </c>
      <c r="AG3690" s="46">
        <v>7000</v>
      </c>
      <c r="AH3690" s="46">
        <v>67625</v>
      </c>
      <c r="AI3690" s="46">
        <v>9.6609999999999996</v>
      </c>
      <c r="AJ3690" s="46">
        <v>15</v>
      </c>
      <c r="AK3690" s="46">
        <v>5600</v>
      </c>
      <c r="AL3690" s="46">
        <v>55310.559000000008</v>
      </c>
      <c r="AM3690" s="46">
        <v>9.8770000000000007</v>
      </c>
      <c r="AN3690" s="46" t="s">
        <v>63</v>
      </c>
      <c r="AO3690" s="46">
        <v>1400</v>
      </c>
      <c r="AP3690" s="46">
        <v>12314.441000000001</v>
      </c>
      <c r="AQ3690" s="46">
        <v>8.7959999999999994</v>
      </c>
      <c r="AR3690" s="46">
        <v>1209.5999999999999</v>
      </c>
      <c r="AS3690" s="46">
        <v>14</v>
      </c>
      <c r="AT3690" s="46">
        <v>7000</v>
      </c>
      <c r="AU3690" s="46">
        <v>67625</v>
      </c>
      <c r="AV3690" s="46">
        <v>9.6609999999999996</v>
      </c>
      <c r="AW3690" s="46">
        <v>19</v>
      </c>
      <c r="AX3690" s="46">
        <v>6900</v>
      </c>
      <c r="AY3690" s="46">
        <v>68211.661000000007</v>
      </c>
      <c r="AZ3690" s="46">
        <v>9.8859999999999992</v>
      </c>
      <c r="BA3690" s="46" t="s">
        <v>63</v>
      </c>
      <c r="BB3690" s="46">
        <v>100</v>
      </c>
      <c r="BC3690" s="46">
        <v>586.66099999999994</v>
      </c>
      <c r="BD3690" s="46">
        <v>5.867</v>
      </c>
      <c r="BE3690" s="46">
        <v>1552.5</v>
      </c>
      <c r="BF3690" s="46">
        <v>0</v>
      </c>
      <c r="BH3690" s="46">
        <v>12901.101999999999</v>
      </c>
      <c r="BI3690">
        <v>9.92</v>
      </c>
      <c r="BJ3690">
        <v>-11727.78</v>
      </c>
      <c r="BK3690">
        <v>-9.02</v>
      </c>
      <c r="BL3690">
        <v>123.81</v>
      </c>
    </row>
    <row r="3691" spans="1:64" x14ac:dyDescent="0.25">
      <c r="A3691" s="136">
        <v>43719</v>
      </c>
      <c r="B3691" t="s">
        <v>72</v>
      </c>
      <c r="C3691" t="s">
        <v>130</v>
      </c>
      <c r="D3691">
        <v>100</v>
      </c>
      <c r="E3691">
        <v>100</v>
      </c>
      <c r="F3691">
        <v>-18.477</v>
      </c>
      <c r="G3691">
        <v>2324.6999999999998</v>
      </c>
      <c r="H3691">
        <v>0</v>
      </c>
      <c r="I3691">
        <v>477</v>
      </c>
      <c r="J3691">
        <v>4.7699999999999996</v>
      </c>
      <c r="K3691" s="133">
        <v>9.0879429955441457E-4</v>
      </c>
      <c r="L3691" s="181">
        <v>4</v>
      </c>
      <c r="M3691" s="133">
        <v>0</v>
      </c>
      <c r="N3691" s="73">
        <v>-1498.9659999999872</v>
      </c>
      <c r="O3691" s="73">
        <v>376.42007904191922</v>
      </c>
      <c r="P3691" s="182">
        <v>0</v>
      </c>
      <c r="Q3691" s="182">
        <v>0</v>
      </c>
      <c r="R3691" s="46">
        <v>0</v>
      </c>
      <c r="S3691" s="46">
        <v>20</v>
      </c>
      <c r="T3691" s="46">
        <v>8600</v>
      </c>
      <c r="U3691" s="46">
        <v>7.3840000000000003</v>
      </c>
      <c r="V3691" s="46" t="s">
        <v>68</v>
      </c>
      <c r="W3691" s="46">
        <v>8600</v>
      </c>
      <c r="X3691" s="46">
        <v>7.3840000000000003</v>
      </c>
      <c r="AF3691" s="46">
        <v>42</v>
      </c>
      <c r="AG3691" s="46">
        <v>20900</v>
      </c>
      <c r="AH3691" s="46">
        <v>152800</v>
      </c>
      <c r="AI3691" s="46">
        <v>7.3109999999999999</v>
      </c>
      <c r="AJ3691" s="46">
        <v>42</v>
      </c>
      <c r="AK3691" s="46">
        <v>18800</v>
      </c>
      <c r="AL3691" s="46">
        <v>92037.725000000035</v>
      </c>
      <c r="AM3691" s="46">
        <v>4.8959999999999999</v>
      </c>
      <c r="AN3691" s="46" t="s">
        <v>63</v>
      </c>
      <c r="AO3691" s="46">
        <v>2100</v>
      </c>
      <c r="AP3691" s="46">
        <v>60762.275000000001</v>
      </c>
      <c r="AQ3691" s="46">
        <v>28.934000000000001</v>
      </c>
      <c r="AR3691" s="46">
        <v>-45402</v>
      </c>
      <c r="AS3691" s="46">
        <v>42</v>
      </c>
      <c r="AT3691" s="46">
        <v>20900</v>
      </c>
      <c r="AU3691" s="46">
        <v>152800</v>
      </c>
      <c r="AV3691" s="46">
        <v>7.3109999999999999</v>
      </c>
      <c r="AW3691" s="46">
        <v>63</v>
      </c>
      <c r="AX3691" s="46">
        <v>27900</v>
      </c>
      <c r="AY3691" s="46">
        <v>155380.21900000001</v>
      </c>
      <c r="AZ3691" s="46">
        <v>5.569</v>
      </c>
      <c r="BA3691" s="46" t="s">
        <v>69</v>
      </c>
      <c r="BB3691" s="46">
        <v>7000</v>
      </c>
      <c r="BC3691" s="46">
        <v>2580.2190000000001</v>
      </c>
      <c r="BD3691" s="46">
        <v>0.36899999999999999</v>
      </c>
      <c r="BE3691" s="46">
        <v>-36407.800000000003</v>
      </c>
      <c r="BF3691" s="46">
        <v>0</v>
      </c>
      <c r="BH3691" s="46">
        <v>63342.493999999977</v>
      </c>
      <c r="BI3691">
        <v>7.37</v>
      </c>
      <c r="BJ3691">
        <v>-58182.056000000004</v>
      </c>
      <c r="BK3691">
        <v>-6.77</v>
      </c>
      <c r="BL3691">
        <v>-9518.24</v>
      </c>
    </row>
    <row r="3692" spans="1:64" x14ac:dyDescent="0.25">
      <c r="A3692" s="136">
        <v>43719</v>
      </c>
      <c r="B3692" t="s">
        <v>70</v>
      </c>
      <c r="C3692" t="s">
        <v>131</v>
      </c>
      <c r="D3692">
        <v>12980</v>
      </c>
      <c r="E3692">
        <v>12980</v>
      </c>
      <c r="F3692">
        <v>8.6609999999999996</v>
      </c>
      <c r="G3692">
        <v>-7407.35</v>
      </c>
      <c r="H3692">
        <v>-6.59</v>
      </c>
      <c r="I3692">
        <v>105008.2</v>
      </c>
      <c r="J3692">
        <v>8.09</v>
      </c>
      <c r="K3692" s="133">
        <v>0.20006468252928694</v>
      </c>
      <c r="L3692" s="181">
        <v>7594.5</v>
      </c>
      <c r="M3692" s="133">
        <v>0.21417738159596283</v>
      </c>
      <c r="N3692" s="73">
        <v>-5623.0850000000064</v>
      </c>
      <c r="O3692" s="73">
        <v>-682.90078462940539</v>
      </c>
      <c r="P3692" s="182">
        <v>2</v>
      </c>
      <c r="Q3692" s="182">
        <v>800</v>
      </c>
      <c r="R3692" s="46">
        <v>8.76</v>
      </c>
      <c r="S3692" s="46">
        <v>11</v>
      </c>
      <c r="T3692" s="46">
        <v>4500</v>
      </c>
      <c r="U3692" s="46">
        <v>9.1910000000000007</v>
      </c>
      <c r="V3692" s="46" t="s">
        <v>68</v>
      </c>
      <c r="W3692" s="46">
        <v>3700</v>
      </c>
      <c r="X3692" s="46">
        <v>9.2840000000000007</v>
      </c>
      <c r="AF3692" s="46">
        <v>187</v>
      </c>
      <c r="AG3692" s="46">
        <v>95680</v>
      </c>
      <c r="AH3692" s="46">
        <v>1108053</v>
      </c>
      <c r="AI3692" s="46">
        <v>11.581</v>
      </c>
      <c r="AJ3692" s="46">
        <v>196</v>
      </c>
      <c r="AK3692" s="46">
        <v>79000</v>
      </c>
      <c r="AL3692" s="46">
        <v>959183.87499999965</v>
      </c>
      <c r="AM3692" s="46">
        <v>12.141999999999999</v>
      </c>
      <c r="AN3692" s="46" t="s">
        <v>63</v>
      </c>
      <c r="AO3692" s="46">
        <v>16680</v>
      </c>
      <c r="AP3692" s="46">
        <v>148869.125</v>
      </c>
      <c r="AQ3692" s="46">
        <v>8.9250000000000007</v>
      </c>
      <c r="AR3692" s="46">
        <v>44319</v>
      </c>
      <c r="AS3692" s="46">
        <v>189</v>
      </c>
      <c r="AT3692" s="46">
        <v>96480</v>
      </c>
      <c r="AU3692" s="46">
        <v>1115071</v>
      </c>
      <c r="AV3692" s="46">
        <v>11.558</v>
      </c>
      <c r="AW3692" s="46">
        <v>208</v>
      </c>
      <c r="AX3692" s="46">
        <v>83500</v>
      </c>
      <c r="AY3692" s="46">
        <v>1000852.5149999993</v>
      </c>
      <c r="AZ3692" s="46">
        <v>11.986000000000001</v>
      </c>
      <c r="BA3692" s="46" t="s">
        <v>63</v>
      </c>
      <c r="BB3692" s="46">
        <v>12980</v>
      </c>
      <c r="BC3692" s="46">
        <v>114218.485</v>
      </c>
      <c r="BD3692" s="46">
        <v>8.8000000000000007</v>
      </c>
      <c r="BE3692" s="46">
        <v>35738</v>
      </c>
      <c r="BF3692" s="46">
        <v>7018</v>
      </c>
      <c r="BG3692" s="46">
        <v>8.77</v>
      </c>
      <c r="BH3692" s="46">
        <v>41668.639999999665</v>
      </c>
      <c r="BI3692">
        <v>9.26</v>
      </c>
      <c r="BJ3692">
        <v>-34650.639999999999</v>
      </c>
      <c r="BK3692">
        <v>-9.3699999999999992</v>
      </c>
      <c r="BL3692">
        <v>5478.24</v>
      </c>
    </row>
    <row r="3693" spans="1:64" x14ac:dyDescent="0.25">
      <c r="A3693" s="136">
        <v>43719</v>
      </c>
      <c r="B3693" t="s">
        <v>628</v>
      </c>
      <c r="C3693" t="s">
        <v>629</v>
      </c>
      <c r="D3693">
        <v>100</v>
      </c>
      <c r="E3693">
        <v>100</v>
      </c>
      <c r="F3693">
        <v>-22.369</v>
      </c>
      <c r="G3693">
        <v>4056.9</v>
      </c>
      <c r="H3693">
        <v>0</v>
      </c>
      <c r="I3693">
        <v>1820</v>
      </c>
      <c r="J3693">
        <v>18.2</v>
      </c>
      <c r="K3693" s="133">
        <v>3.4675170339392757E-3</v>
      </c>
      <c r="L3693" s="181">
        <v>105</v>
      </c>
      <c r="M3693" s="133">
        <v>0</v>
      </c>
    </row>
    <row r="3694" spans="1:64" x14ac:dyDescent="0.25">
      <c r="A3694" s="136">
        <v>43719</v>
      </c>
      <c r="B3694" t="s">
        <v>630</v>
      </c>
      <c r="C3694" t="s">
        <v>631</v>
      </c>
      <c r="D3694">
        <v>100</v>
      </c>
      <c r="E3694">
        <v>100</v>
      </c>
      <c r="F3694">
        <v>-94.6</v>
      </c>
      <c r="G3694">
        <v>11755</v>
      </c>
      <c r="H3694">
        <v>0</v>
      </c>
      <c r="I3694">
        <v>2295</v>
      </c>
      <c r="J3694">
        <v>22.95</v>
      </c>
      <c r="K3694" s="133">
        <v>4.3725008752146357E-3</v>
      </c>
      <c r="L3694" s="181">
        <v>122</v>
      </c>
      <c r="M3694" s="133">
        <v>0</v>
      </c>
    </row>
    <row r="3695" spans="1:64" x14ac:dyDescent="0.25">
      <c r="A3695" s="136">
        <v>43719</v>
      </c>
      <c r="B3695" t="s">
        <v>768</v>
      </c>
      <c r="C3695" t="s">
        <v>769</v>
      </c>
      <c r="D3695">
        <v>500</v>
      </c>
      <c r="E3695">
        <v>500</v>
      </c>
      <c r="F3695">
        <v>2.4900000000000002</v>
      </c>
      <c r="G3695">
        <v>1060</v>
      </c>
      <c r="H3695">
        <v>85.14</v>
      </c>
      <c r="I3695">
        <v>2305</v>
      </c>
      <c r="J3695">
        <v>4.6100000000000003</v>
      </c>
      <c r="K3695" s="133">
        <v>4.3915531666099067E-3</v>
      </c>
      <c r="L3695" s="181">
        <v>-120</v>
      </c>
      <c r="M3695" s="133">
        <v>2.3720102787112077E-3</v>
      </c>
    </row>
    <row r="3696" spans="1:64" x14ac:dyDescent="0.25">
      <c r="A3696" s="136">
        <v>43719</v>
      </c>
      <c r="B3696" t="s">
        <v>137</v>
      </c>
      <c r="C3696" t="s">
        <v>149</v>
      </c>
      <c r="D3696">
        <v>150</v>
      </c>
      <c r="E3696">
        <v>150</v>
      </c>
      <c r="F3696">
        <v>-87.406999999999996</v>
      </c>
      <c r="G3696">
        <v>16766.55</v>
      </c>
      <c r="H3696">
        <v>0</v>
      </c>
      <c r="I3696">
        <v>3655.5</v>
      </c>
      <c r="J3696">
        <v>24.37</v>
      </c>
      <c r="K3696" s="133">
        <v>6.9645651195412205E-3</v>
      </c>
      <c r="L3696" s="181">
        <v>193.5</v>
      </c>
      <c r="M3696" s="133">
        <v>0</v>
      </c>
    </row>
    <row r="3697" spans="1:64" x14ac:dyDescent="0.25">
      <c r="A3697" s="136">
        <v>43719</v>
      </c>
      <c r="B3697" t="s">
        <v>835</v>
      </c>
      <c r="C3697" t="s">
        <v>839</v>
      </c>
      <c r="I3697">
        <v>24218.33</v>
      </c>
      <c r="K3697" s="133">
        <v>4.6141468026682737E-2</v>
      </c>
      <c r="L3697" s="181">
        <v>0</v>
      </c>
      <c r="M3697" s="133">
        <v>4.6467490837038612E-2</v>
      </c>
    </row>
    <row r="3698" spans="1:64" x14ac:dyDescent="0.25">
      <c r="A3698" s="136">
        <v>43720</v>
      </c>
      <c r="B3698" t="s">
        <v>132</v>
      </c>
      <c r="C3698" t="s">
        <v>123</v>
      </c>
      <c r="D3698">
        <v>17113</v>
      </c>
      <c r="E3698">
        <v>17113</v>
      </c>
      <c r="F3698">
        <v>-0.22700000000000001</v>
      </c>
      <c r="G3698">
        <v>4055.7809999999999</v>
      </c>
      <c r="H3698">
        <v>0</v>
      </c>
      <c r="I3698">
        <v>171.13</v>
      </c>
      <c r="J3698">
        <v>0.01</v>
      </c>
      <c r="K3698" s="133">
        <v>3.2487712457261752E-4</v>
      </c>
      <c r="L3698" s="181">
        <v>0.23700000000008004</v>
      </c>
      <c r="M3698" s="133">
        <v>0</v>
      </c>
    </row>
    <row r="3699" spans="1:64" x14ac:dyDescent="0.25">
      <c r="A3699" s="136">
        <v>43720</v>
      </c>
      <c r="B3699" t="s">
        <v>61</v>
      </c>
      <c r="C3699" t="s">
        <v>136</v>
      </c>
      <c r="D3699">
        <v>3300</v>
      </c>
      <c r="E3699">
        <v>3300</v>
      </c>
      <c r="F3699">
        <v>4.633</v>
      </c>
      <c r="G3699">
        <v>-1229.52</v>
      </c>
      <c r="H3699">
        <v>-8.0399999999999991</v>
      </c>
      <c r="I3699">
        <v>14058</v>
      </c>
      <c r="J3699">
        <v>4.26</v>
      </c>
      <c r="K3699" s="133">
        <v>2.6688030253268609E-2</v>
      </c>
      <c r="L3699" s="181">
        <v>33</v>
      </c>
      <c r="M3699" s="133">
        <v>2.9022179275675696E-2</v>
      </c>
      <c r="N3699" s="73">
        <v>599.38700000000608</v>
      </c>
      <c r="O3699" s="73">
        <v>-289.75481537558687</v>
      </c>
      <c r="P3699" s="182">
        <v>2</v>
      </c>
      <c r="Q3699" s="182">
        <v>1000</v>
      </c>
      <c r="R3699" s="46">
        <v>4.33</v>
      </c>
      <c r="S3699" s="46">
        <v>0</v>
      </c>
      <c r="T3699" s="46">
        <v>0</v>
      </c>
      <c r="U3699" s="46">
        <v>0</v>
      </c>
      <c r="V3699" s="46" t="s">
        <v>62</v>
      </c>
      <c r="W3699" s="46">
        <v>1000</v>
      </c>
      <c r="X3699" s="46">
        <v>4.33</v>
      </c>
      <c r="AF3699" s="46">
        <v>24</v>
      </c>
      <c r="AG3699" s="46">
        <v>12000</v>
      </c>
      <c r="AH3699" s="46">
        <v>58852.200000000012</v>
      </c>
      <c r="AI3699" s="46">
        <v>4.9039999999999999</v>
      </c>
      <c r="AJ3699" s="46">
        <v>24</v>
      </c>
      <c r="AK3699" s="46">
        <v>9700</v>
      </c>
      <c r="AL3699" s="46">
        <v>47899.82699999999</v>
      </c>
      <c r="AM3699" s="46">
        <v>4.9379999999999997</v>
      </c>
      <c r="AN3699" s="46" t="s">
        <v>63</v>
      </c>
      <c r="AO3699" s="46">
        <v>2300</v>
      </c>
      <c r="AP3699" s="46">
        <v>10952.373</v>
      </c>
      <c r="AQ3699" s="46">
        <v>4.7619999999999996</v>
      </c>
      <c r="AR3699" s="46">
        <v>329.8</v>
      </c>
      <c r="AS3699" s="46">
        <v>26</v>
      </c>
      <c r="AT3699" s="46">
        <v>13000</v>
      </c>
      <c r="AU3699" s="46">
        <v>63192.800000000017</v>
      </c>
      <c r="AV3699" s="46">
        <v>4.8609999999999998</v>
      </c>
      <c r="AW3699" s="46">
        <v>24</v>
      </c>
      <c r="AX3699" s="46">
        <v>9700</v>
      </c>
      <c r="AY3699" s="46">
        <v>47899.82699999999</v>
      </c>
      <c r="AZ3699" s="46">
        <v>4.9379999999999997</v>
      </c>
      <c r="BA3699" s="46" t="s">
        <v>63</v>
      </c>
      <c r="BB3699" s="46">
        <v>3300</v>
      </c>
      <c r="BC3699" s="46">
        <v>15292.973</v>
      </c>
      <c r="BD3699" s="46">
        <v>4.6340000000000003</v>
      </c>
      <c r="BE3699" s="46">
        <v>746.9</v>
      </c>
      <c r="BF3699" s="46">
        <v>4340.6000000000058</v>
      </c>
      <c r="BG3699" s="46">
        <v>4.34</v>
      </c>
      <c r="BH3699" s="46">
        <v>0</v>
      </c>
      <c r="BJ3699">
        <v>4340.6000000000004</v>
      </c>
      <c r="BK3699">
        <v>4.34</v>
      </c>
      <c r="BL3699">
        <v>77.42</v>
      </c>
    </row>
    <row r="3700" spans="1:64" x14ac:dyDescent="0.25">
      <c r="A3700" s="136">
        <v>43720</v>
      </c>
      <c r="B3700" t="s">
        <v>124</v>
      </c>
      <c r="C3700" t="s">
        <v>125</v>
      </c>
      <c r="D3700">
        <v>100</v>
      </c>
      <c r="E3700">
        <v>100</v>
      </c>
      <c r="F3700">
        <v>-54.070999999999998</v>
      </c>
      <c r="G3700">
        <v>5964.1</v>
      </c>
      <c r="H3700">
        <v>0</v>
      </c>
      <c r="I3700">
        <v>557</v>
      </c>
      <c r="J3700">
        <v>5.57</v>
      </c>
      <c r="K3700" s="133">
        <v>1.0574215998769821E-3</v>
      </c>
      <c r="L3700" s="181">
        <v>2</v>
      </c>
      <c r="M3700" s="133">
        <v>0</v>
      </c>
      <c r="N3700" s="73">
        <v>5573.0690000000113</v>
      </c>
      <c r="O3700" s="73">
        <v>1102.4501845505636</v>
      </c>
      <c r="P3700" s="182">
        <v>0</v>
      </c>
      <c r="Q3700" s="182">
        <v>0</v>
      </c>
      <c r="R3700" s="46">
        <v>0</v>
      </c>
      <c r="S3700" s="46">
        <v>5</v>
      </c>
      <c r="T3700" s="46">
        <v>2300</v>
      </c>
      <c r="U3700" s="46">
        <v>4.99</v>
      </c>
      <c r="V3700" s="46" t="s">
        <v>68</v>
      </c>
      <c r="W3700" s="46">
        <v>2300</v>
      </c>
      <c r="X3700" s="46">
        <v>4.99</v>
      </c>
      <c r="AF3700" s="46">
        <v>50</v>
      </c>
      <c r="AG3700" s="46">
        <v>36700</v>
      </c>
      <c r="AH3700" s="46">
        <v>180101.02000000002</v>
      </c>
      <c r="AI3700" s="46">
        <v>4.907</v>
      </c>
      <c r="AJ3700" s="46">
        <v>58</v>
      </c>
      <c r="AK3700" s="46">
        <v>35300</v>
      </c>
      <c r="AL3700" s="46">
        <v>178266.546</v>
      </c>
      <c r="AM3700" s="46">
        <v>5.05</v>
      </c>
      <c r="AN3700" s="46" t="s">
        <v>63</v>
      </c>
      <c r="AO3700" s="46">
        <v>1400</v>
      </c>
      <c r="AP3700" s="46">
        <v>1834.4739999999999</v>
      </c>
      <c r="AQ3700" s="46">
        <v>1.31</v>
      </c>
      <c r="AR3700" s="46">
        <v>5047.8999999999996</v>
      </c>
      <c r="AS3700" s="46">
        <v>51</v>
      </c>
      <c r="AT3700" s="46">
        <v>37700</v>
      </c>
      <c r="AU3700" s="46">
        <v>185106.62</v>
      </c>
      <c r="AV3700" s="46">
        <v>4.91</v>
      </c>
      <c r="AW3700" s="46">
        <v>63</v>
      </c>
      <c r="AX3700" s="46">
        <v>37600</v>
      </c>
      <c r="AY3700" s="46">
        <v>189713.68900000001</v>
      </c>
      <c r="AZ3700" s="46">
        <v>5.0460000000000003</v>
      </c>
      <c r="BA3700" s="46" t="s">
        <v>63</v>
      </c>
      <c r="BB3700" s="46">
        <v>100</v>
      </c>
      <c r="BC3700" s="46">
        <v>4607.0690000000004</v>
      </c>
      <c r="BD3700" s="46">
        <v>46.070999999999998</v>
      </c>
      <c r="BE3700" s="46">
        <v>5113.6000000000004</v>
      </c>
      <c r="BF3700" s="46">
        <v>5005.5999999999767</v>
      </c>
      <c r="BH3700" s="46">
        <v>11447.143000000011</v>
      </c>
      <c r="BI3700">
        <v>4.9800000000000004</v>
      </c>
      <c r="BJ3700">
        <v>2772.5950000000003</v>
      </c>
      <c r="BK3700">
        <v>1.21</v>
      </c>
      <c r="BL3700">
        <v>906.27</v>
      </c>
    </row>
    <row r="3701" spans="1:64" x14ac:dyDescent="0.25">
      <c r="A3701" s="136">
        <v>43720</v>
      </c>
      <c r="B3701" t="s">
        <v>71</v>
      </c>
      <c r="C3701" t="s">
        <v>126</v>
      </c>
      <c r="D3701">
        <v>3600</v>
      </c>
      <c r="E3701">
        <v>3600</v>
      </c>
      <c r="F3701">
        <v>5.117</v>
      </c>
      <c r="G3701">
        <v>2601.08</v>
      </c>
      <c r="H3701">
        <v>14.12</v>
      </c>
      <c r="I3701">
        <v>21024</v>
      </c>
      <c r="J3701">
        <v>5.84</v>
      </c>
      <c r="K3701" s="133">
        <v>3.9912444732160997E-2</v>
      </c>
      <c r="L3701" s="181">
        <v>72</v>
      </c>
      <c r="M3701" s="133">
        <v>3.497449468726329E-2</v>
      </c>
      <c r="N3701" s="73">
        <v>3077.4640000000054</v>
      </c>
      <c r="O3701" s="73">
        <v>430.90059312714862</v>
      </c>
      <c r="P3701" s="182">
        <v>0</v>
      </c>
      <c r="Q3701" s="182">
        <v>0</v>
      </c>
      <c r="R3701" s="46">
        <v>0</v>
      </c>
      <c r="S3701" s="46">
        <v>3</v>
      </c>
      <c r="T3701" s="46">
        <v>1200</v>
      </c>
      <c r="U3701" s="46">
        <v>6.1470000000000002</v>
      </c>
      <c r="V3701" s="46" t="s">
        <v>68</v>
      </c>
      <c r="W3701" s="46">
        <v>1200</v>
      </c>
      <c r="X3701" s="46">
        <v>6.1470000000000002</v>
      </c>
      <c r="AF3701" s="46">
        <v>58</v>
      </c>
      <c r="AG3701" s="46">
        <v>30100</v>
      </c>
      <c r="AH3701" s="46">
        <v>189294.02999999991</v>
      </c>
      <c r="AI3701" s="46">
        <v>6.2889999999999997</v>
      </c>
      <c r="AJ3701" s="46">
        <v>58</v>
      </c>
      <c r="AK3701" s="46">
        <v>25300</v>
      </c>
      <c r="AL3701" s="46">
        <v>163337.022</v>
      </c>
      <c r="AM3701" s="46">
        <v>6.4560000000000004</v>
      </c>
      <c r="AN3701" s="46" t="s">
        <v>63</v>
      </c>
      <c r="AO3701" s="46">
        <v>4800</v>
      </c>
      <c r="AP3701" s="46">
        <v>25957.008000000002</v>
      </c>
      <c r="AQ3701" s="46">
        <v>5.4080000000000004</v>
      </c>
      <c r="AR3701" s="46">
        <v>4225.1000000000004</v>
      </c>
      <c r="AS3701" s="46">
        <v>58</v>
      </c>
      <c r="AT3701" s="46">
        <v>30100</v>
      </c>
      <c r="AU3701" s="46">
        <v>189294.02999999991</v>
      </c>
      <c r="AV3701" s="46">
        <v>6.2889999999999997</v>
      </c>
      <c r="AW3701" s="46">
        <v>61</v>
      </c>
      <c r="AX3701" s="46">
        <v>26500</v>
      </c>
      <c r="AY3701" s="46">
        <v>170689.92600000001</v>
      </c>
      <c r="AZ3701" s="46">
        <v>6.4409999999999998</v>
      </c>
      <c r="BA3701" s="46" t="s">
        <v>63</v>
      </c>
      <c r="BB3701" s="46">
        <v>3600</v>
      </c>
      <c r="BC3701" s="46">
        <v>18604.103999999999</v>
      </c>
      <c r="BD3701" s="46">
        <v>5.1680000000000001</v>
      </c>
      <c r="BE3701" s="46">
        <v>4028</v>
      </c>
      <c r="BF3701" s="46">
        <v>0</v>
      </c>
      <c r="BH3701" s="46">
        <v>7352.9040000000095</v>
      </c>
      <c r="BI3701">
        <v>6.13</v>
      </c>
      <c r="BJ3701">
        <v>-7352.9040000000023</v>
      </c>
      <c r="BK3701">
        <v>-6.13</v>
      </c>
      <c r="BL3701">
        <v>723.48</v>
      </c>
    </row>
    <row r="3702" spans="1:64" x14ac:dyDescent="0.25">
      <c r="A3702" s="136">
        <v>43720</v>
      </c>
      <c r="B3702" t="s">
        <v>79</v>
      </c>
      <c r="C3702" t="s">
        <v>143</v>
      </c>
      <c r="D3702">
        <v>12920</v>
      </c>
      <c r="E3702">
        <v>12920</v>
      </c>
      <c r="F3702">
        <v>9.9039999999999999</v>
      </c>
      <c r="G3702">
        <v>-32744.7</v>
      </c>
      <c r="H3702">
        <v>-25.59</v>
      </c>
      <c r="I3702">
        <v>95220.4</v>
      </c>
      <c r="J3702">
        <v>7.37</v>
      </c>
      <c r="K3702" s="133">
        <v>0.18076859552769514</v>
      </c>
      <c r="L3702" s="181">
        <v>258.39999999999782</v>
      </c>
      <c r="M3702" s="133">
        <v>0.24293188648189948</v>
      </c>
      <c r="N3702" s="73">
        <v>-33542.120000000301</v>
      </c>
      <c r="O3702" s="73">
        <v>-4586.2310451436806</v>
      </c>
      <c r="P3702" s="182">
        <v>13</v>
      </c>
      <c r="Q3702" s="182">
        <v>8720</v>
      </c>
      <c r="R3702" s="46">
        <v>5.5039999999999996</v>
      </c>
      <c r="S3702" s="46">
        <v>0</v>
      </c>
      <c r="T3702" s="46">
        <v>0</v>
      </c>
      <c r="U3702" s="46">
        <v>0</v>
      </c>
      <c r="V3702" s="46" t="s">
        <v>62</v>
      </c>
      <c r="W3702" s="46">
        <v>8720</v>
      </c>
      <c r="X3702" s="46">
        <v>5.5039999999999996</v>
      </c>
      <c r="AF3702" s="46">
        <v>41</v>
      </c>
      <c r="AG3702" s="46">
        <v>21000</v>
      </c>
      <c r="AH3702" s="46">
        <v>286647.59999999974</v>
      </c>
      <c r="AI3702" s="46">
        <v>13.65</v>
      </c>
      <c r="AJ3702" s="46">
        <v>42</v>
      </c>
      <c r="AK3702" s="46">
        <v>16800</v>
      </c>
      <c r="AL3702" s="46">
        <v>206723.51199999976</v>
      </c>
      <c r="AM3702" s="46">
        <v>12.305</v>
      </c>
      <c r="AN3702" s="46" t="s">
        <v>63</v>
      </c>
      <c r="AO3702" s="46">
        <v>4200</v>
      </c>
      <c r="AP3702" s="46">
        <v>79924.088000000003</v>
      </c>
      <c r="AQ3702" s="46">
        <v>19.03</v>
      </c>
      <c r="AR3702" s="46">
        <v>-22596</v>
      </c>
      <c r="AS3702" s="46">
        <v>54</v>
      </c>
      <c r="AT3702" s="46">
        <v>29720</v>
      </c>
      <c r="AU3702" s="46">
        <v>334710.83199999959</v>
      </c>
      <c r="AV3702" s="46">
        <v>11.262</v>
      </c>
      <c r="AW3702" s="46">
        <v>42</v>
      </c>
      <c r="AX3702" s="46">
        <v>16800</v>
      </c>
      <c r="AY3702" s="46">
        <v>206723.51199999976</v>
      </c>
      <c r="AZ3702" s="46">
        <v>12.305</v>
      </c>
      <c r="BA3702" s="46" t="s">
        <v>63</v>
      </c>
      <c r="BB3702" s="46">
        <v>12920</v>
      </c>
      <c r="BC3702" s="46">
        <v>127987.32</v>
      </c>
      <c r="BD3702" s="46">
        <v>9.9060000000000006</v>
      </c>
      <c r="BE3702" s="46">
        <v>17522.400000000001</v>
      </c>
      <c r="BF3702" s="46">
        <v>48063.231999999844</v>
      </c>
      <c r="BG3702" s="46">
        <v>5.51</v>
      </c>
      <c r="BH3702" s="46">
        <v>0</v>
      </c>
      <c r="BJ3702">
        <v>48063.232000000004</v>
      </c>
      <c r="BK3702">
        <v>5.51</v>
      </c>
      <c r="BL3702">
        <v>-3065.94</v>
      </c>
    </row>
    <row r="3703" spans="1:64" x14ac:dyDescent="0.25">
      <c r="A3703" s="136">
        <v>43720</v>
      </c>
      <c r="B3703" t="s">
        <v>749</v>
      </c>
      <c r="C3703" t="s">
        <v>750</v>
      </c>
      <c r="D3703">
        <v>500</v>
      </c>
      <c r="E3703">
        <v>500</v>
      </c>
      <c r="F3703">
        <v>5.85</v>
      </c>
      <c r="G3703">
        <v>1910</v>
      </c>
      <c r="H3703">
        <v>65.3</v>
      </c>
      <c r="I3703">
        <v>4835</v>
      </c>
      <c r="J3703">
        <v>9.67</v>
      </c>
      <c r="K3703" s="133">
        <v>9.178875108447412E-3</v>
      </c>
      <c r="L3703" s="181">
        <v>-105</v>
      </c>
      <c r="M3703" s="133">
        <v>5.5528872165891792E-3</v>
      </c>
    </row>
    <row r="3704" spans="1:64" x14ac:dyDescent="0.25">
      <c r="A3704" s="136">
        <v>43720</v>
      </c>
      <c r="B3704" t="s">
        <v>65</v>
      </c>
      <c r="C3704" t="s">
        <v>127</v>
      </c>
      <c r="D3704">
        <v>26600</v>
      </c>
      <c r="E3704">
        <v>26600</v>
      </c>
      <c r="F3704">
        <v>8.4039999999999999</v>
      </c>
      <c r="G3704">
        <v>-13932.2</v>
      </c>
      <c r="H3704">
        <v>-6.23</v>
      </c>
      <c r="I3704">
        <v>209608</v>
      </c>
      <c r="J3704">
        <v>7.88</v>
      </c>
      <c r="K3704" s="133">
        <v>0.39792464399823069</v>
      </c>
      <c r="L3704" s="181">
        <v>1889.8400000000001</v>
      </c>
      <c r="M3704" s="133">
        <v>0.42437385264061145</v>
      </c>
      <c r="N3704" s="73">
        <v>-17682.617000000144</v>
      </c>
      <c r="O3704" s="73">
        <v>-1695.4889833228203</v>
      </c>
      <c r="P3704" s="182">
        <v>3</v>
      </c>
      <c r="Q3704" s="182">
        <v>2500</v>
      </c>
      <c r="R3704" s="46">
        <v>8.484</v>
      </c>
      <c r="S3704" s="46">
        <v>3</v>
      </c>
      <c r="T3704" s="46">
        <v>1200</v>
      </c>
      <c r="U3704" s="46">
        <v>7.7670000000000003</v>
      </c>
      <c r="V3704" s="46" t="s">
        <v>62</v>
      </c>
      <c r="W3704" s="46">
        <v>1300</v>
      </c>
      <c r="X3704" s="46">
        <v>9.1460000000000008</v>
      </c>
      <c r="AF3704" s="46">
        <v>260</v>
      </c>
      <c r="AG3704" s="46">
        <v>139400</v>
      </c>
      <c r="AH3704" s="46">
        <v>1450946.6810000001</v>
      </c>
      <c r="AI3704" s="46">
        <v>10.409000000000001</v>
      </c>
      <c r="AJ3704" s="46">
        <v>290</v>
      </c>
      <c r="AK3704" s="46">
        <v>123300</v>
      </c>
      <c r="AL3704" s="46">
        <v>1224990.382</v>
      </c>
      <c r="AM3704" s="46">
        <v>9.9350000000000005</v>
      </c>
      <c r="AN3704" s="46" t="s">
        <v>63</v>
      </c>
      <c r="AO3704" s="46">
        <v>16100</v>
      </c>
      <c r="AP3704" s="46">
        <v>225956.299</v>
      </c>
      <c r="AQ3704" s="46">
        <v>14.035</v>
      </c>
      <c r="AR3704" s="46">
        <v>-58444.2</v>
      </c>
      <c r="AS3704" s="46">
        <v>264</v>
      </c>
      <c r="AT3704" s="46">
        <v>142000</v>
      </c>
      <c r="AU3704" s="46">
        <v>1473459.6810000001</v>
      </c>
      <c r="AV3704" s="46">
        <v>10.375999999999999</v>
      </c>
      <c r="AW3704" s="46">
        <v>293</v>
      </c>
      <c r="AX3704" s="46">
        <v>124500</v>
      </c>
      <c r="AY3704" s="46">
        <v>1234286.0619999999</v>
      </c>
      <c r="AZ3704" s="46">
        <v>9.9139999999999997</v>
      </c>
      <c r="BA3704" s="46" t="s">
        <v>63</v>
      </c>
      <c r="BB3704" s="46">
        <v>17500</v>
      </c>
      <c r="BC3704" s="46">
        <v>239173.61900000001</v>
      </c>
      <c r="BD3704" s="46">
        <v>13.667</v>
      </c>
      <c r="BE3704" s="46">
        <v>-57519</v>
      </c>
      <c r="BF3704" s="46">
        <v>22513</v>
      </c>
      <c r="BG3704" s="46">
        <v>9.01</v>
      </c>
      <c r="BH3704" s="46">
        <v>9295.6799999999348</v>
      </c>
      <c r="BI3704">
        <v>7.75</v>
      </c>
      <c r="BJ3704">
        <v>13217.320000000007</v>
      </c>
      <c r="BK3704">
        <v>10.17</v>
      </c>
      <c r="BL3704">
        <v>-7416.78</v>
      </c>
    </row>
    <row r="3705" spans="1:64" x14ac:dyDescent="0.25">
      <c r="A3705" s="136">
        <v>43720</v>
      </c>
      <c r="B3705" t="s">
        <v>77</v>
      </c>
      <c r="C3705" t="s">
        <v>150</v>
      </c>
      <c r="D3705">
        <v>6400</v>
      </c>
      <c r="E3705">
        <v>6400</v>
      </c>
      <c r="F3705">
        <v>5.226</v>
      </c>
      <c r="G3705">
        <v>-8355.23</v>
      </c>
      <c r="H3705">
        <v>-24.98</v>
      </c>
      <c r="I3705">
        <v>25088</v>
      </c>
      <c r="J3705">
        <v>3.92</v>
      </c>
      <c r="K3705" s="133">
        <v>4.7627635723004901E-2</v>
      </c>
      <c r="L3705" s="181">
        <v>128</v>
      </c>
      <c r="M3705" s="133">
        <v>6.3489396358445027E-2</v>
      </c>
      <c r="N3705" s="73">
        <v>-8988.1779999999926</v>
      </c>
      <c r="O3705" s="73">
        <v>-2175.3676694871779</v>
      </c>
      <c r="P3705" s="182">
        <v>7</v>
      </c>
      <c r="Q3705" s="182">
        <v>3500</v>
      </c>
      <c r="R3705" s="46">
        <v>4.3390000000000004</v>
      </c>
      <c r="S3705" s="46">
        <v>0</v>
      </c>
      <c r="T3705" s="46">
        <v>0</v>
      </c>
      <c r="U3705" s="46">
        <v>0</v>
      </c>
      <c r="V3705" s="46" t="s">
        <v>62</v>
      </c>
      <c r="W3705" s="46">
        <v>3500</v>
      </c>
      <c r="X3705" s="46">
        <v>4.3390000000000004</v>
      </c>
      <c r="AF3705" s="46">
        <v>55</v>
      </c>
      <c r="AG3705" s="46">
        <v>27500</v>
      </c>
      <c r="AH3705" s="46">
        <v>183254</v>
      </c>
      <c r="AI3705" s="46">
        <v>6.6639999999999997</v>
      </c>
      <c r="AJ3705" s="46">
        <v>55</v>
      </c>
      <c r="AK3705" s="46">
        <v>24600</v>
      </c>
      <c r="AL3705" s="46">
        <v>164737.82200000004</v>
      </c>
      <c r="AM3705" s="46">
        <v>6.6970000000000001</v>
      </c>
      <c r="AN3705" s="46" t="s">
        <v>63</v>
      </c>
      <c r="AO3705" s="46">
        <v>2900</v>
      </c>
      <c r="AP3705" s="46">
        <v>18516.178</v>
      </c>
      <c r="AQ3705" s="46">
        <v>6.3849999999999998</v>
      </c>
      <c r="AR3705" s="46">
        <v>811.8</v>
      </c>
      <c r="AS3705" s="46">
        <v>62</v>
      </c>
      <c r="AT3705" s="46">
        <v>31000</v>
      </c>
      <c r="AU3705" s="46">
        <v>198186</v>
      </c>
      <c r="AV3705" s="46">
        <v>6.3929999999999998</v>
      </c>
      <c r="AW3705" s="46">
        <v>55</v>
      </c>
      <c r="AX3705" s="46">
        <v>24600</v>
      </c>
      <c r="AY3705" s="46">
        <v>164737.82200000004</v>
      </c>
      <c r="AZ3705" s="46">
        <v>6.6970000000000001</v>
      </c>
      <c r="BA3705" s="46" t="s">
        <v>63</v>
      </c>
      <c r="BB3705" s="46">
        <v>6400</v>
      </c>
      <c r="BC3705" s="46">
        <v>33448.178</v>
      </c>
      <c r="BD3705" s="46">
        <v>5.226</v>
      </c>
      <c r="BE3705" s="46">
        <v>7478.4</v>
      </c>
      <c r="BF3705" s="46">
        <v>14932</v>
      </c>
      <c r="BG3705" s="46">
        <v>4.2699999999999996</v>
      </c>
      <c r="BH3705" s="46">
        <v>0</v>
      </c>
      <c r="BJ3705">
        <v>14932</v>
      </c>
      <c r="BK3705">
        <v>4.2699999999999996</v>
      </c>
      <c r="BL3705">
        <v>207.09</v>
      </c>
    </row>
    <row r="3706" spans="1:64" x14ac:dyDescent="0.25">
      <c r="A3706" s="136">
        <v>43720</v>
      </c>
      <c r="B3706" t="s">
        <v>67</v>
      </c>
      <c r="C3706" t="s">
        <v>129</v>
      </c>
      <c r="D3706">
        <v>1930</v>
      </c>
      <c r="E3706">
        <v>1930</v>
      </c>
      <c r="F3706">
        <v>4.2910000000000004</v>
      </c>
      <c r="G3706">
        <v>4476.1000000000004</v>
      </c>
      <c r="H3706">
        <v>54.05</v>
      </c>
      <c r="I3706">
        <v>12757.3</v>
      </c>
      <c r="J3706">
        <v>6.61</v>
      </c>
      <c r="K3706" s="133">
        <v>2.4218751483142953E-2</v>
      </c>
      <c r="L3706" s="181">
        <v>77.200000000000728</v>
      </c>
      <c r="M3706" s="133">
        <v>1.5721220382228479E-2</v>
      </c>
      <c r="N3706" s="73">
        <v>5787.7974999999715</v>
      </c>
      <c r="O3706" s="73">
        <v>670.39282739361477</v>
      </c>
      <c r="P3706" s="182">
        <v>1</v>
      </c>
      <c r="Q3706" s="182">
        <v>30</v>
      </c>
      <c r="R3706" s="46">
        <v>0</v>
      </c>
      <c r="S3706" s="46">
        <v>22</v>
      </c>
      <c r="T3706" s="46">
        <v>8800</v>
      </c>
      <c r="U3706" s="46">
        <v>8.5860000000000003</v>
      </c>
      <c r="V3706" s="46" t="s">
        <v>68</v>
      </c>
      <c r="W3706" s="46">
        <v>8770</v>
      </c>
      <c r="X3706" s="46">
        <v>8.6150000000000002</v>
      </c>
      <c r="AF3706" s="46">
        <v>204</v>
      </c>
      <c r="AG3706" s="46">
        <v>100800</v>
      </c>
      <c r="AH3706" s="46">
        <v>830794</v>
      </c>
      <c r="AI3706" s="46">
        <v>8.2420000000000009</v>
      </c>
      <c r="AJ3706" s="46">
        <v>208</v>
      </c>
      <c r="AK3706" s="46">
        <v>92700</v>
      </c>
      <c r="AL3706" s="46">
        <v>816268.16350000014</v>
      </c>
      <c r="AM3706" s="46">
        <v>8.8049999999999997</v>
      </c>
      <c r="AN3706" s="46" t="s">
        <v>63</v>
      </c>
      <c r="AO3706" s="46">
        <v>8100</v>
      </c>
      <c r="AP3706" s="46">
        <v>14525.835999999999</v>
      </c>
      <c r="AQ3706" s="46">
        <v>1.7929999999999999</v>
      </c>
      <c r="AR3706" s="46">
        <v>52190.1</v>
      </c>
      <c r="AS3706" s="46">
        <v>205</v>
      </c>
      <c r="AT3706" s="46">
        <v>100830</v>
      </c>
      <c r="AU3706" s="46">
        <v>830799</v>
      </c>
      <c r="AV3706" s="46">
        <v>8.24</v>
      </c>
      <c r="AW3706" s="46">
        <v>230</v>
      </c>
      <c r="AX3706" s="46">
        <v>101500</v>
      </c>
      <c r="AY3706" s="46">
        <v>891641.10750000016</v>
      </c>
      <c r="AZ3706" s="46">
        <v>8.7850000000000001</v>
      </c>
      <c r="BA3706" s="46" t="s">
        <v>69</v>
      </c>
      <c r="BB3706" s="46">
        <v>670</v>
      </c>
      <c r="BC3706" s="46">
        <v>60842.108</v>
      </c>
      <c r="BD3706" s="46">
        <v>90.808999999999997</v>
      </c>
      <c r="BE3706" s="46">
        <v>54952.35</v>
      </c>
      <c r="BF3706" s="46">
        <v>5</v>
      </c>
      <c r="BG3706" s="46">
        <v>0.17</v>
      </c>
      <c r="BH3706" s="46">
        <v>75372.944000000018</v>
      </c>
      <c r="BI3706">
        <v>8.57</v>
      </c>
      <c r="BJ3706">
        <v>46316.271999999997</v>
      </c>
      <c r="BK3706">
        <v>5.28</v>
      </c>
      <c r="BL3706">
        <v>7895.63</v>
      </c>
    </row>
    <row r="3707" spans="1:64" x14ac:dyDescent="0.25">
      <c r="A3707" s="136">
        <v>43720</v>
      </c>
      <c r="B3707" t="s">
        <v>78</v>
      </c>
      <c r="C3707" t="s">
        <v>142</v>
      </c>
      <c r="D3707">
        <v>100</v>
      </c>
      <c r="E3707">
        <v>100</v>
      </c>
      <c r="F3707">
        <v>-5.867</v>
      </c>
      <c r="G3707">
        <v>1567.7</v>
      </c>
      <c r="H3707">
        <v>0</v>
      </c>
      <c r="I3707">
        <v>981</v>
      </c>
      <c r="J3707">
        <v>9.81</v>
      </c>
      <c r="K3707" s="133">
        <v>1.8623529434099093E-3</v>
      </c>
      <c r="L3707" s="181">
        <v>4</v>
      </c>
      <c r="M3707" s="133">
        <v>0</v>
      </c>
      <c r="N3707" s="73">
        <v>1576.660999999996</v>
      </c>
      <c r="O3707" s="73">
        <v>159.17905752525212</v>
      </c>
      <c r="P3707" s="182">
        <v>0</v>
      </c>
      <c r="Q3707" s="182">
        <v>0</v>
      </c>
      <c r="R3707" s="46">
        <v>0</v>
      </c>
      <c r="S3707" s="46">
        <v>4</v>
      </c>
      <c r="T3707" s="46">
        <v>1300</v>
      </c>
      <c r="U3707" s="46">
        <v>9.9220000000000006</v>
      </c>
      <c r="V3707" s="46" t="s">
        <v>68</v>
      </c>
      <c r="W3707" s="46">
        <v>1300</v>
      </c>
      <c r="X3707" s="46">
        <v>9.9220000000000006</v>
      </c>
      <c r="AF3707" s="46">
        <v>14</v>
      </c>
      <c r="AG3707" s="46">
        <v>7000</v>
      </c>
      <c r="AH3707" s="46">
        <v>67625</v>
      </c>
      <c r="AI3707" s="46">
        <v>9.6609999999999996</v>
      </c>
      <c r="AJ3707" s="46">
        <v>15</v>
      </c>
      <c r="AK3707" s="46">
        <v>5600</v>
      </c>
      <c r="AL3707" s="46">
        <v>55310.559000000008</v>
      </c>
      <c r="AM3707" s="46">
        <v>9.8770000000000007</v>
      </c>
      <c r="AN3707" s="46" t="s">
        <v>63</v>
      </c>
      <c r="AO3707" s="46">
        <v>1400</v>
      </c>
      <c r="AP3707" s="46">
        <v>12314.441000000001</v>
      </c>
      <c r="AQ3707" s="46">
        <v>8.7959999999999994</v>
      </c>
      <c r="AR3707" s="46">
        <v>1209.5999999999999</v>
      </c>
      <c r="AS3707" s="46">
        <v>14</v>
      </c>
      <c r="AT3707" s="46">
        <v>7000</v>
      </c>
      <c r="AU3707" s="46">
        <v>67625</v>
      </c>
      <c r="AV3707" s="46">
        <v>9.6609999999999996</v>
      </c>
      <c r="AW3707" s="46">
        <v>19</v>
      </c>
      <c r="AX3707" s="46">
        <v>6900</v>
      </c>
      <c r="AY3707" s="46">
        <v>68211.661000000007</v>
      </c>
      <c r="AZ3707" s="46">
        <v>9.8859999999999992</v>
      </c>
      <c r="BA3707" s="46" t="s">
        <v>63</v>
      </c>
      <c r="BB3707" s="46">
        <v>100</v>
      </c>
      <c r="BC3707" s="46">
        <v>586.66099999999994</v>
      </c>
      <c r="BD3707" s="46">
        <v>5.867</v>
      </c>
      <c r="BE3707" s="46">
        <v>1552.5</v>
      </c>
      <c r="BF3707" s="46">
        <v>0</v>
      </c>
      <c r="BH3707" s="46">
        <v>12901.101999999999</v>
      </c>
      <c r="BI3707">
        <v>9.92</v>
      </c>
      <c r="BJ3707">
        <v>-11727.78</v>
      </c>
      <c r="BK3707">
        <v>-9.02</v>
      </c>
      <c r="BL3707">
        <v>123.3</v>
      </c>
    </row>
    <row r="3708" spans="1:64" x14ac:dyDescent="0.25">
      <c r="A3708" s="136">
        <v>43720</v>
      </c>
      <c r="B3708" t="s">
        <v>72</v>
      </c>
      <c r="C3708" t="s">
        <v>130</v>
      </c>
      <c r="D3708">
        <v>100</v>
      </c>
      <c r="E3708">
        <v>100</v>
      </c>
      <c r="F3708">
        <v>-18.477</v>
      </c>
      <c r="G3708">
        <v>2333.6999999999998</v>
      </c>
      <c r="H3708">
        <v>0</v>
      </c>
      <c r="I3708">
        <v>486</v>
      </c>
      <c r="J3708">
        <v>4.8600000000000003</v>
      </c>
      <c r="K3708" s="133">
        <v>9.2263356829481752E-4</v>
      </c>
      <c r="L3708" s="181">
        <v>9</v>
      </c>
      <c r="M3708" s="133">
        <v>0</v>
      </c>
      <c r="N3708" s="73">
        <v>-1498.9659999999872</v>
      </c>
      <c r="O3708" s="73">
        <v>376.42007904191922</v>
      </c>
      <c r="P3708" s="182">
        <v>0</v>
      </c>
      <c r="Q3708" s="182">
        <v>0</v>
      </c>
      <c r="R3708" s="46">
        <v>0</v>
      </c>
      <c r="S3708" s="46">
        <v>20</v>
      </c>
      <c r="T3708" s="46">
        <v>8600</v>
      </c>
      <c r="U3708" s="46">
        <v>7.3840000000000003</v>
      </c>
      <c r="V3708" s="46" t="s">
        <v>68</v>
      </c>
      <c r="W3708" s="46">
        <v>8600</v>
      </c>
      <c r="X3708" s="46">
        <v>7.3840000000000003</v>
      </c>
      <c r="AF3708" s="46">
        <v>42</v>
      </c>
      <c r="AG3708" s="46">
        <v>20900</v>
      </c>
      <c r="AH3708" s="46">
        <v>152800</v>
      </c>
      <c r="AI3708" s="46">
        <v>7.3109999999999999</v>
      </c>
      <c r="AJ3708" s="46">
        <v>42</v>
      </c>
      <c r="AK3708" s="46">
        <v>18800</v>
      </c>
      <c r="AL3708" s="46">
        <v>92037.725000000035</v>
      </c>
      <c r="AM3708" s="46">
        <v>4.8959999999999999</v>
      </c>
      <c r="AN3708" s="46" t="s">
        <v>63</v>
      </c>
      <c r="AO3708" s="46">
        <v>2100</v>
      </c>
      <c r="AP3708" s="46">
        <v>60762.275000000001</v>
      </c>
      <c r="AQ3708" s="46">
        <v>28.934000000000001</v>
      </c>
      <c r="AR3708" s="46">
        <v>-45402</v>
      </c>
      <c r="AS3708" s="46">
        <v>42</v>
      </c>
      <c r="AT3708" s="46">
        <v>20900</v>
      </c>
      <c r="AU3708" s="46">
        <v>152800</v>
      </c>
      <c r="AV3708" s="46">
        <v>7.3109999999999999</v>
      </c>
      <c r="AW3708" s="46">
        <v>63</v>
      </c>
      <c r="AX3708" s="46">
        <v>27900</v>
      </c>
      <c r="AY3708" s="46">
        <v>155380.21900000001</v>
      </c>
      <c r="AZ3708" s="46">
        <v>5.569</v>
      </c>
      <c r="BA3708" s="46" t="s">
        <v>69</v>
      </c>
      <c r="BB3708" s="46">
        <v>7000</v>
      </c>
      <c r="BC3708" s="46">
        <v>2580.2190000000001</v>
      </c>
      <c r="BD3708" s="46">
        <v>0.36899999999999999</v>
      </c>
      <c r="BE3708" s="46">
        <v>-36407.800000000003</v>
      </c>
      <c r="BF3708" s="46">
        <v>0</v>
      </c>
      <c r="BH3708" s="46">
        <v>63342.493999999977</v>
      </c>
      <c r="BI3708">
        <v>7.37</v>
      </c>
      <c r="BJ3708">
        <v>-58182.056000000004</v>
      </c>
      <c r="BK3708">
        <v>-6.77</v>
      </c>
      <c r="BL3708">
        <v>-9341.98</v>
      </c>
    </row>
    <row r="3709" spans="1:64" x14ac:dyDescent="0.25">
      <c r="A3709" s="136">
        <v>43720</v>
      </c>
      <c r="B3709" t="s">
        <v>70</v>
      </c>
      <c r="C3709" t="s">
        <v>131</v>
      </c>
      <c r="D3709">
        <v>12980</v>
      </c>
      <c r="E3709">
        <v>12980</v>
      </c>
      <c r="F3709">
        <v>8.6609999999999996</v>
      </c>
      <c r="G3709">
        <v>-7926.55</v>
      </c>
      <c r="H3709">
        <v>-7.05</v>
      </c>
      <c r="I3709">
        <v>104489</v>
      </c>
      <c r="J3709">
        <v>8.0500000000000007</v>
      </c>
      <c r="K3709" s="133">
        <v>0.19836431876040572</v>
      </c>
      <c r="L3709" s="181">
        <v>-519.19999999999982</v>
      </c>
      <c r="M3709" s="133">
        <v>0.2134122634327664</v>
      </c>
      <c r="N3709" s="73">
        <v>-5623.0850000000064</v>
      </c>
      <c r="O3709" s="73">
        <v>-682.90078462940539</v>
      </c>
      <c r="P3709" s="182">
        <v>0</v>
      </c>
      <c r="Q3709" s="182">
        <v>0</v>
      </c>
      <c r="R3709" s="46">
        <v>0</v>
      </c>
      <c r="S3709" s="46">
        <v>9</v>
      </c>
      <c r="T3709" s="46">
        <v>3700</v>
      </c>
      <c r="U3709" s="46">
        <v>8.9510000000000005</v>
      </c>
      <c r="V3709" s="46" t="s">
        <v>68</v>
      </c>
      <c r="W3709" s="46">
        <v>3700</v>
      </c>
      <c r="X3709" s="46">
        <v>8.9510000000000005</v>
      </c>
      <c r="AF3709" s="46">
        <v>189</v>
      </c>
      <c r="AG3709" s="46">
        <v>96480</v>
      </c>
      <c r="AH3709" s="46">
        <v>1115071</v>
      </c>
      <c r="AI3709" s="46">
        <v>11.558</v>
      </c>
      <c r="AJ3709" s="46">
        <v>198</v>
      </c>
      <c r="AK3709" s="46">
        <v>79800</v>
      </c>
      <c r="AL3709" s="46">
        <v>967405.63499999966</v>
      </c>
      <c r="AM3709" s="46">
        <v>12.122999999999999</v>
      </c>
      <c r="AN3709" s="46" t="s">
        <v>63</v>
      </c>
      <c r="AO3709" s="46">
        <v>16680</v>
      </c>
      <c r="AP3709" s="46">
        <v>147665.36499999999</v>
      </c>
      <c r="AQ3709" s="46">
        <v>8.8529999999999998</v>
      </c>
      <c r="AR3709" s="46">
        <v>45087</v>
      </c>
      <c r="AS3709" s="46">
        <v>189</v>
      </c>
      <c r="AT3709" s="46">
        <v>96480</v>
      </c>
      <c r="AU3709" s="46">
        <v>1115071</v>
      </c>
      <c r="AV3709" s="46">
        <v>11.558</v>
      </c>
      <c r="AW3709" s="46">
        <v>208</v>
      </c>
      <c r="AX3709" s="46">
        <v>83500</v>
      </c>
      <c r="AY3709" s="46">
        <v>1000852.5149999993</v>
      </c>
      <c r="AZ3709" s="46">
        <v>11.986000000000001</v>
      </c>
      <c r="BA3709" s="46" t="s">
        <v>63</v>
      </c>
      <c r="BB3709" s="46">
        <v>12980</v>
      </c>
      <c r="BC3709" s="46">
        <v>114218.485</v>
      </c>
      <c r="BD3709" s="46">
        <v>8.8000000000000007</v>
      </c>
      <c r="BE3709" s="46">
        <v>35738</v>
      </c>
      <c r="BF3709" s="46">
        <v>0</v>
      </c>
      <c r="BH3709" s="46">
        <v>33446.879999999655</v>
      </c>
      <c r="BI3709">
        <v>9.0399999999999991</v>
      </c>
      <c r="BJ3709">
        <v>-33446.87999999999</v>
      </c>
      <c r="BK3709">
        <v>-9.0399999999999991</v>
      </c>
      <c r="BL3709">
        <v>5600.87</v>
      </c>
    </row>
    <row r="3710" spans="1:64" x14ac:dyDescent="0.25">
      <c r="A3710" s="136">
        <v>43720</v>
      </c>
      <c r="B3710" t="s">
        <v>628</v>
      </c>
      <c r="C3710" t="s">
        <v>629</v>
      </c>
      <c r="D3710">
        <v>100</v>
      </c>
      <c r="E3710">
        <v>100</v>
      </c>
      <c r="F3710">
        <v>-22.369</v>
      </c>
      <c r="G3710">
        <v>4058.9</v>
      </c>
      <c r="H3710">
        <v>0</v>
      </c>
      <c r="I3710">
        <v>1822</v>
      </c>
      <c r="J3710">
        <v>18.22</v>
      </c>
      <c r="K3710" s="133">
        <v>3.4589266696155503E-3</v>
      </c>
      <c r="L3710" s="181">
        <v>2</v>
      </c>
      <c r="M3710" s="133">
        <v>0</v>
      </c>
    </row>
    <row r="3711" spans="1:64" x14ac:dyDescent="0.25">
      <c r="A3711" s="136">
        <v>43720</v>
      </c>
      <c r="B3711" t="s">
        <v>630</v>
      </c>
      <c r="C3711" t="s">
        <v>631</v>
      </c>
      <c r="D3711">
        <v>100</v>
      </c>
      <c r="E3711">
        <v>100</v>
      </c>
      <c r="F3711">
        <v>-94.6</v>
      </c>
      <c r="G3711">
        <v>11738</v>
      </c>
      <c r="H3711">
        <v>0</v>
      </c>
      <c r="I3711">
        <v>2278</v>
      </c>
      <c r="J3711">
        <v>22.78</v>
      </c>
      <c r="K3711" s="133">
        <v>4.3246075485094534E-3</v>
      </c>
      <c r="L3711" s="181">
        <v>-17</v>
      </c>
      <c r="M3711" s="133">
        <v>0</v>
      </c>
    </row>
    <row r="3712" spans="1:64" x14ac:dyDescent="0.25">
      <c r="A3712" s="136">
        <v>43720</v>
      </c>
      <c r="B3712" t="s">
        <v>768</v>
      </c>
      <c r="C3712" t="s">
        <v>769</v>
      </c>
      <c r="D3712">
        <v>500</v>
      </c>
      <c r="E3712">
        <v>500</v>
      </c>
      <c r="F3712">
        <v>2.4900000000000002</v>
      </c>
      <c r="G3712">
        <v>1025</v>
      </c>
      <c r="H3712">
        <v>82.33</v>
      </c>
      <c r="I3712">
        <v>2270</v>
      </c>
      <c r="J3712">
        <v>4.54</v>
      </c>
      <c r="K3712" s="133">
        <v>4.3094201646692093E-3</v>
      </c>
      <c r="L3712" s="181">
        <v>-35</v>
      </c>
      <c r="M3712" s="133">
        <v>2.3635366101379582E-3</v>
      </c>
    </row>
    <row r="3713" spans="1:64" x14ac:dyDescent="0.25">
      <c r="A3713" s="136">
        <v>43720</v>
      </c>
      <c r="B3713" t="s">
        <v>137</v>
      </c>
      <c r="C3713" t="s">
        <v>149</v>
      </c>
      <c r="D3713">
        <v>150</v>
      </c>
      <c r="E3713">
        <v>150</v>
      </c>
      <c r="F3713">
        <v>-87.406999999999996</v>
      </c>
      <c r="G3713">
        <v>16873.05</v>
      </c>
      <c r="H3713">
        <v>0</v>
      </c>
      <c r="I3713">
        <v>3762</v>
      </c>
      <c r="J3713">
        <v>25.08</v>
      </c>
      <c r="K3713" s="133">
        <v>7.1418672508746983E-3</v>
      </c>
      <c r="L3713" s="181">
        <v>106.5</v>
      </c>
      <c r="M3713" s="133">
        <v>0</v>
      </c>
    </row>
    <row r="3714" spans="1:64" x14ac:dyDescent="0.25">
      <c r="A3714" s="136">
        <v>43720</v>
      </c>
      <c r="B3714" t="s">
        <v>835</v>
      </c>
      <c r="C3714" t="s">
        <v>839</v>
      </c>
      <c r="I3714">
        <v>27346.17</v>
      </c>
      <c r="K3714" s="133">
        <v>5.1914597543820343E-2</v>
      </c>
      <c r="L3714" s="181">
        <v>0</v>
      </c>
      <c r="M3714" s="133">
        <v>5.223947466839296E-2</v>
      </c>
    </row>
    <row r="3715" spans="1:64" x14ac:dyDescent="0.25">
      <c r="A3715" s="136">
        <v>43724</v>
      </c>
      <c r="B3715" t="s">
        <v>132</v>
      </c>
      <c r="C3715" t="s">
        <v>123</v>
      </c>
      <c r="D3715">
        <v>3068114</v>
      </c>
      <c r="E3715">
        <v>17114</v>
      </c>
      <c r="F3715">
        <v>8.9999999999999993E-3</v>
      </c>
      <c r="G3715">
        <v>4060.99</v>
      </c>
      <c r="H3715">
        <v>11.11</v>
      </c>
      <c r="I3715">
        <v>30681.14</v>
      </c>
      <c r="J3715">
        <v>0.01</v>
      </c>
      <c r="K3715" s="133">
        <v>5.8099951457665659E-2</v>
      </c>
      <c r="L3715" s="181">
        <v>5.2089999999998327</v>
      </c>
      <c r="M3715" s="133">
        <v>0</v>
      </c>
    </row>
    <row r="3716" spans="1:64" x14ac:dyDescent="0.25">
      <c r="A3716" s="136">
        <v>43724</v>
      </c>
      <c r="B3716" t="s">
        <v>61</v>
      </c>
      <c r="C3716" t="s">
        <v>136</v>
      </c>
      <c r="D3716">
        <v>3300</v>
      </c>
      <c r="E3716">
        <v>3300</v>
      </c>
      <c r="F3716">
        <v>4.633</v>
      </c>
      <c r="G3716">
        <v>-1229.52</v>
      </c>
      <c r="H3716">
        <v>-8.0399999999999991</v>
      </c>
      <c r="I3716">
        <v>14058</v>
      </c>
      <c r="J3716">
        <v>4.26</v>
      </c>
      <c r="K3716" s="133">
        <v>2.6621211519254628E-2</v>
      </c>
      <c r="L3716" s="181">
        <v>0</v>
      </c>
      <c r="M3716" s="133">
        <v>2.894951654039234E-2</v>
      </c>
      <c r="N3716" s="73">
        <v>599.38700000000608</v>
      </c>
      <c r="O3716" s="73">
        <v>-289.75481537558687</v>
      </c>
      <c r="P3716" s="182">
        <v>2</v>
      </c>
      <c r="Q3716" s="182">
        <v>1000</v>
      </c>
      <c r="R3716" s="46">
        <v>4.33</v>
      </c>
      <c r="S3716" s="46">
        <v>0</v>
      </c>
      <c r="T3716" s="46">
        <v>0</v>
      </c>
      <c r="U3716" s="46">
        <v>0</v>
      </c>
      <c r="V3716" s="46" t="s">
        <v>62</v>
      </c>
      <c r="W3716" s="46">
        <v>1000</v>
      </c>
      <c r="X3716" s="46">
        <v>4.33</v>
      </c>
      <c r="AF3716" s="46">
        <v>24</v>
      </c>
      <c r="AG3716" s="46">
        <v>12000</v>
      </c>
      <c r="AH3716" s="46">
        <v>58852.200000000012</v>
      </c>
      <c r="AI3716" s="46">
        <v>4.9039999999999999</v>
      </c>
      <c r="AJ3716" s="46">
        <v>24</v>
      </c>
      <c r="AK3716" s="46">
        <v>9700</v>
      </c>
      <c r="AL3716" s="46">
        <v>47899.82699999999</v>
      </c>
      <c r="AM3716" s="46">
        <v>4.9379999999999997</v>
      </c>
      <c r="AN3716" s="46" t="s">
        <v>63</v>
      </c>
      <c r="AO3716" s="46">
        <v>2300</v>
      </c>
      <c r="AP3716" s="46">
        <v>10952.373</v>
      </c>
      <c r="AQ3716" s="46">
        <v>4.7619999999999996</v>
      </c>
      <c r="AR3716" s="46">
        <v>329.8</v>
      </c>
      <c r="AS3716" s="46">
        <v>26</v>
      </c>
      <c r="AT3716" s="46">
        <v>13000</v>
      </c>
      <c r="AU3716" s="46">
        <v>63192.800000000017</v>
      </c>
      <c r="AV3716" s="46">
        <v>4.8609999999999998</v>
      </c>
      <c r="AW3716" s="46">
        <v>24</v>
      </c>
      <c r="AX3716" s="46">
        <v>9700</v>
      </c>
      <c r="AY3716" s="46">
        <v>47899.82699999999</v>
      </c>
      <c r="AZ3716" s="46">
        <v>4.9379999999999997</v>
      </c>
      <c r="BA3716" s="46" t="s">
        <v>63</v>
      </c>
      <c r="BB3716" s="46">
        <v>3300</v>
      </c>
      <c r="BC3716" s="46">
        <v>15292.973</v>
      </c>
      <c r="BD3716" s="46">
        <v>4.6340000000000003</v>
      </c>
      <c r="BE3716" s="46">
        <v>746.9</v>
      </c>
      <c r="BF3716" s="46">
        <v>4340.6000000000058</v>
      </c>
      <c r="BG3716" s="46">
        <v>4.34</v>
      </c>
      <c r="BH3716" s="46">
        <v>0</v>
      </c>
      <c r="BJ3716">
        <v>4340.6000000000004</v>
      </c>
      <c r="BK3716">
        <v>4.34</v>
      </c>
      <c r="BL3716">
        <v>77.42</v>
      </c>
    </row>
    <row r="3717" spans="1:64" x14ac:dyDescent="0.25">
      <c r="A3717" s="136">
        <v>43724</v>
      </c>
      <c r="B3717" t="s">
        <v>124</v>
      </c>
      <c r="C3717" t="s">
        <v>125</v>
      </c>
      <c r="D3717">
        <v>100</v>
      </c>
      <c r="E3717">
        <v>100</v>
      </c>
      <c r="F3717">
        <v>-54.070999999999998</v>
      </c>
      <c r="G3717">
        <v>5964.1</v>
      </c>
      <c r="H3717">
        <v>0</v>
      </c>
      <c r="I3717">
        <v>557</v>
      </c>
      <c r="J3717">
        <v>5.57</v>
      </c>
      <c r="K3717" s="133">
        <v>1.0547741368775662E-3</v>
      </c>
      <c r="L3717" s="181">
        <v>0</v>
      </c>
      <c r="M3717" s="133">
        <v>0</v>
      </c>
      <c r="N3717" s="73">
        <v>5573.0690000000113</v>
      </c>
      <c r="O3717" s="73">
        <v>1102.4501845505636</v>
      </c>
      <c r="P3717" s="182">
        <v>0</v>
      </c>
      <c r="Q3717" s="182">
        <v>0</v>
      </c>
      <c r="R3717" s="46">
        <v>0</v>
      </c>
      <c r="S3717" s="46">
        <v>5</v>
      </c>
      <c r="T3717" s="46">
        <v>2300</v>
      </c>
      <c r="U3717" s="46">
        <v>4.99</v>
      </c>
      <c r="V3717" s="46" t="s">
        <v>68</v>
      </c>
      <c r="W3717" s="46">
        <v>2300</v>
      </c>
      <c r="X3717" s="46">
        <v>4.99</v>
      </c>
      <c r="AF3717" s="46">
        <v>50</v>
      </c>
      <c r="AG3717" s="46">
        <v>36700</v>
      </c>
      <c r="AH3717" s="46">
        <v>180101.02000000002</v>
      </c>
      <c r="AI3717" s="46">
        <v>4.907</v>
      </c>
      <c r="AJ3717" s="46">
        <v>58</v>
      </c>
      <c r="AK3717" s="46">
        <v>35300</v>
      </c>
      <c r="AL3717" s="46">
        <v>178266.546</v>
      </c>
      <c r="AM3717" s="46">
        <v>5.05</v>
      </c>
      <c r="AN3717" s="46" t="s">
        <v>63</v>
      </c>
      <c r="AO3717" s="46">
        <v>1400</v>
      </c>
      <c r="AP3717" s="46">
        <v>1834.4739999999999</v>
      </c>
      <c r="AQ3717" s="46">
        <v>1.31</v>
      </c>
      <c r="AR3717" s="46">
        <v>5047.8999999999996</v>
      </c>
      <c r="AS3717" s="46">
        <v>51</v>
      </c>
      <c r="AT3717" s="46">
        <v>37700</v>
      </c>
      <c r="AU3717" s="46">
        <v>185106.62</v>
      </c>
      <c r="AV3717" s="46">
        <v>4.91</v>
      </c>
      <c r="AW3717" s="46">
        <v>63</v>
      </c>
      <c r="AX3717" s="46">
        <v>37600</v>
      </c>
      <c r="AY3717" s="46">
        <v>189713.68900000001</v>
      </c>
      <c r="AZ3717" s="46">
        <v>5.0460000000000003</v>
      </c>
      <c r="BA3717" s="46" t="s">
        <v>63</v>
      </c>
      <c r="BB3717" s="46">
        <v>100</v>
      </c>
      <c r="BC3717" s="46">
        <v>4607.0690000000004</v>
      </c>
      <c r="BD3717" s="46">
        <v>46.070999999999998</v>
      </c>
      <c r="BE3717" s="46">
        <v>5113.6000000000004</v>
      </c>
      <c r="BF3717" s="46">
        <v>5005.5999999999767</v>
      </c>
      <c r="BH3717" s="46">
        <v>11447.143000000011</v>
      </c>
      <c r="BI3717">
        <v>4.9800000000000004</v>
      </c>
      <c r="BJ3717">
        <v>2772.5950000000003</v>
      </c>
      <c r="BK3717">
        <v>1.21</v>
      </c>
      <c r="BL3717">
        <v>906.27</v>
      </c>
    </row>
    <row r="3718" spans="1:64" x14ac:dyDescent="0.25">
      <c r="A3718" s="136">
        <v>43724</v>
      </c>
      <c r="B3718" t="s">
        <v>71</v>
      </c>
      <c r="C3718" t="s">
        <v>126</v>
      </c>
      <c r="D3718">
        <v>3600</v>
      </c>
      <c r="E3718">
        <v>3600</v>
      </c>
      <c r="F3718">
        <v>5.117</v>
      </c>
      <c r="G3718">
        <v>2457.08</v>
      </c>
      <c r="H3718">
        <v>13.34</v>
      </c>
      <c r="I3718">
        <v>20880</v>
      </c>
      <c r="J3718">
        <v>5.8</v>
      </c>
      <c r="K3718" s="133">
        <v>3.9539827608624026E-2</v>
      </c>
      <c r="L3718" s="181">
        <v>-144</v>
      </c>
      <c r="M3718" s="133">
        <v>3.4886929159361674E-2</v>
      </c>
      <c r="N3718" s="73">
        <v>3077.4640000000054</v>
      </c>
      <c r="O3718" s="73">
        <v>430.90059312714862</v>
      </c>
      <c r="P3718" s="182">
        <v>0</v>
      </c>
      <c r="Q3718" s="182">
        <v>0</v>
      </c>
      <c r="R3718" s="46">
        <v>0</v>
      </c>
      <c r="S3718" s="46">
        <v>3</v>
      </c>
      <c r="T3718" s="46">
        <v>1200</v>
      </c>
      <c r="U3718" s="46">
        <v>6.1470000000000002</v>
      </c>
      <c r="V3718" s="46" t="s">
        <v>68</v>
      </c>
      <c r="W3718" s="46">
        <v>1200</v>
      </c>
      <c r="X3718" s="46">
        <v>6.1470000000000002</v>
      </c>
      <c r="AF3718" s="46">
        <v>58</v>
      </c>
      <c r="AG3718" s="46">
        <v>30100</v>
      </c>
      <c r="AH3718" s="46">
        <v>189294.02999999991</v>
      </c>
      <c r="AI3718" s="46">
        <v>6.2889999999999997</v>
      </c>
      <c r="AJ3718" s="46">
        <v>58</v>
      </c>
      <c r="AK3718" s="46">
        <v>25300</v>
      </c>
      <c r="AL3718" s="46">
        <v>163337.022</v>
      </c>
      <c r="AM3718" s="46">
        <v>6.4560000000000004</v>
      </c>
      <c r="AN3718" s="46" t="s">
        <v>63</v>
      </c>
      <c r="AO3718" s="46">
        <v>4800</v>
      </c>
      <c r="AP3718" s="46">
        <v>25957.008000000002</v>
      </c>
      <c r="AQ3718" s="46">
        <v>5.4080000000000004</v>
      </c>
      <c r="AR3718" s="46">
        <v>4225.1000000000004</v>
      </c>
      <c r="AS3718" s="46">
        <v>58</v>
      </c>
      <c r="AT3718" s="46">
        <v>30100</v>
      </c>
      <c r="AU3718" s="46">
        <v>189294.02999999991</v>
      </c>
      <c r="AV3718" s="46">
        <v>6.2889999999999997</v>
      </c>
      <c r="AW3718" s="46">
        <v>61</v>
      </c>
      <c r="AX3718" s="46">
        <v>26500</v>
      </c>
      <c r="AY3718" s="46">
        <v>170689.92600000001</v>
      </c>
      <c r="AZ3718" s="46">
        <v>6.4409999999999998</v>
      </c>
      <c r="BA3718" s="46" t="s">
        <v>63</v>
      </c>
      <c r="BB3718" s="46">
        <v>3600</v>
      </c>
      <c r="BC3718" s="46">
        <v>18604.103999999999</v>
      </c>
      <c r="BD3718" s="46">
        <v>5.1680000000000001</v>
      </c>
      <c r="BE3718" s="46">
        <v>4028</v>
      </c>
      <c r="BF3718" s="46">
        <v>0</v>
      </c>
      <c r="BH3718" s="46">
        <v>7352.9040000000095</v>
      </c>
      <c r="BI3718">
        <v>6.13</v>
      </c>
      <c r="BJ3718">
        <v>-7352.9040000000023</v>
      </c>
      <c r="BK3718">
        <v>-6.13</v>
      </c>
      <c r="BL3718">
        <v>728.47</v>
      </c>
    </row>
    <row r="3719" spans="1:64" x14ac:dyDescent="0.25">
      <c r="A3719" s="136">
        <v>43724</v>
      </c>
      <c r="B3719" t="s">
        <v>79</v>
      </c>
      <c r="C3719" t="s">
        <v>143</v>
      </c>
      <c r="D3719">
        <v>12920</v>
      </c>
      <c r="E3719">
        <v>12920</v>
      </c>
      <c r="F3719">
        <v>9.9039999999999999</v>
      </c>
      <c r="G3719">
        <v>-32486.3</v>
      </c>
      <c r="H3719">
        <v>-25.39</v>
      </c>
      <c r="I3719">
        <v>95478.8</v>
      </c>
      <c r="J3719">
        <v>7.39</v>
      </c>
      <c r="K3719" s="133">
        <v>0.18080533008995653</v>
      </c>
      <c r="L3719" s="181">
        <v>258.40000000000146</v>
      </c>
      <c r="M3719" s="133">
        <v>0.24232365871265973</v>
      </c>
      <c r="N3719" s="73">
        <v>-33542.120000000301</v>
      </c>
      <c r="O3719" s="73">
        <v>-4586.2310451436806</v>
      </c>
      <c r="P3719" s="182">
        <v>13</v>
      </c>
      <c r="Q3719" s="182">
        <v>8720</v>
      </c>
      <c r="R3719" s="46">
        <v>5.5039999999999996</v>
      </c>
      <c r="S3719" s="46">
        <v>0</v>
      </c>
      <c r="T3719" s="46">
        <v>0</v>
      </c>
      <c r="U3719" s="46">
        <v>0</v>
      </c>
      <c r="V3719" s="46" t="s">
        <v>62</v>
      </c>
      <c r="W3719" s="46">
        <v>8720</v>
      </c>
      <c r="X3719" s="46">
        <v>5.5039999999999996</v>
      </c>
      <c r="AF3719" s="46">
        <v>41</v>
      </c>
      <c r="AG3719" s="46">
        <v>21000</v>
      </c>
      <c r="AH3719" s="46">
        <v>286647.59999999974</v>
      </c>
      <c r="AI3719" s="46">
        <v>13.65</v>
      </c>
      <c r="AJ3719" s="46">
        <v>42</v>
      </c>
      <c r="AK3719" s="46">
        <v>16800</v>
      </c>
      <c r="AL3719" s="46">
        <v>206723.51199999976</v>
      </c>
      <c r="AM3719" s="46">
        <v>12.305</v>
      </c>
      <c r="AN3719" s="46" t="s">
        <v>63</v>
      </c>
      <c r="AO3719" s="46">
        <v>4200</v>
      </c>
      <c r="AP3719" s="46">
        <v>79924.088000000003</v>
      </c>
      <c r="AQ3719" s="46">
        <v>19.03</v>
      </c>
      <c r="AR3719" s="46">
        <v>-22596</v>
      </c>
      <c r="AS3719" s="46">
        <v>54</v>
      </c>
      <c r="AT3719" s="46">
        <v>29720</v>
      </c>
      <c r="AU3719" s="46">
        <v>334710.83199999959</v>
      </c>
      <c r="AV3719" s="46">
        <v>11.262</v>
      </c>
      <c r="AW3719" s="46">
        <v>42</v>
      </c>
      <c r="AX3719" s="46">
        <v>16800</v>
      </c>
      <c r="AY3719" s="46">
        <v>206723.51199999976</v>
      </c>
      <c r="AZ3719" s="46">
        <v>12.305</v>
      </c>
      <c r="BA3719" s="46" t="s">
        <v>63</v>
      </c>
      <c r="BB3719" s="46">
        <v>12920</v>
      </c>
      <c r="BC3719" s="46">
        <v>127987.32</v>
      </c>
      <c r="BD3719" s="46">
        <v>9.9060000000000006</v>
      </c>
      <c r="BE3719" s="46">
        <v>17522.400000000001</v>
      </c>
      <c r="BF3719" s="46">
        <v>48063.231999999844</v>
      </c>
      <c r="BG3719" s="46">
        <v>5.51</v>
      </c>
      <c r="BH3719" s="46">
        <v>0</v>
      </c>
      <c r="BJ3719">
        <v>48063.232000000004</v>
      </c>
      <c r="BK3719">
        <v>5.51</v>
      </c>
      <c r="BL3719">
        <v>-3057.65</v>
      </c>
    </row>
    <row r="3720" spans="1:64" x14ac:dyDescent="0.25">
      <c r="A3720" s="136">
        <v>43724</v>
      </c>
      <c r="B3720" t="s">
        <v>749</v>
      </c>
      <c r="C3720" t="s">
        <v>750</v>
      </c>
      <c r="D3720">
        <v>500</v>
      </c>
      <c r="E3720">
        <v>500</v>
      </c>
      <c r="F3720">
        <v>5.85</v>
      </c>
      <c r="G3720">
        <v>1915</v>
      </c>
      <c r="H3720">
        <v>65.47</v>
      </c>
      <c r="I3720">
        <v>4840</v>
      </c>
      <c r="J3720">
        <v>9.68</v>
      </c>
      <c r="K3720" s="133">
        <v>9.1653623383975234E-3</v>
      </c>
      <c r="L3720" s="181">
        <v>5</v>
      </c>
      <c r="M3720" s="133">
        <v>5.5389844710356934E-3</v>
      </c>
    </row>
    <row r="3721" spans="1:64" x14ac:dyDescent="0.25">
      <c r="A3721" s="136">
        <v>43724</v>
      </c>
      <c r="B3721" t="s">
        <v>65</v>
      </c>
      <c r="C3721" t="s">
        <v>127</v>
      </c>
      <c r="D3721">
        <v>26200</v>
      </c>
      <c r="E3721">
        <v>26200</v>
      </c>
      <c r="F3721">
        <v>8.4109999999999996</v>
      </c>
      <c r="G3721">
        <v>-13134.37</v>
      </c>
      <c r="H3721">
        <v>-5.96</v>
      </c>
      <c r="I3721">
        <v>207242</v>
      </c>
      <c r="J3721">
        <v>7.91</v>
      </c>
      <c r="K3721" s="133">
        <v>0.3924479383748305</v>
      </c>
      <c r="L3721" s="181">
        <v>797.82999999999993</v>
      </c>
      <c r="M3721" s="133">
        <v>0.41732009956007393</v>
      </c>
      <c r="N3721" s="73">
        <v>-16892.789000000135</v>
      </c>
      <c r="O3721" s="73">
        <v>-1589.5245753152929</v>
      </c>
      <c r="P3721" s="182">
        <v>3</v>
      </c>
      <c r="Q3721" s="182">
        <v>2500</v>
      </c>
      <c r="R3721" s="46">
        <v>8.484</v>
      </c>
      <c r="S3721" s="46">
        <v>4</v>
      </c>
      <c r="T3721" s="46">
        <v>1600</v>
      </c>
      <c r="U3721" s="46">
        <v>7.8079999999999998</v>
      </c>
      <c r="V3721" s="46" t="s">
        <v>62</v>
      </c>
      <c r="W3721" s="46">
        <v>900</v>
      </c>
      <c r="X3721" s="46">
        <v>9.6859999999999999</v>
      </c>
      <c r="AF3721" s="46">
        <v>260</v>
      </c>
      <c r="AG3721" s="46">
        <v>139400</v>
      </c>
      <c r="AH3721" s="46">
        <v>1450946.6810000001</v>
      </c>
      <c r="AI3721" s="46">
        <v>10.409000000000001</v>
      </c>
      <c r="AJ3721" s="46">
        <v>290</v>
      </c>
      <c r="AK3721" s="46">
        <v>123300</v>
      </c>
      <c r="AL3721" s="46">
        <v>1224990.382</v>
      </c>
      <c r="AM3721" s="46">
        <v>9.9350000000000005</v>
      </c>
      <c r="AN3721" s="46" t="s">
        <v>63</v>
      </c>
      <c r="AO3721" s="46">
        <v>16100</v>
      </c>
      <c r="AP3721" s="46">
        <v>225956.299</v>
      </c>
      <c r="AQ3721" s="46">
        <v>14.035</v>
      </c>
      <c r="AR3721" s="46">
        <v>-58444.2</v>
      </c>
      <c r="AS3721" s="46">
        <v>264</v>
      </c>
      <c r="AT3721" s="46">
        <v>142000</v>
      </c>
      <c r="AU3721" s="46">
        <v>1473459.6810000001</v>
      </c>
      <c r="AV3721" s="46">
        <v>10.375999999999999</v>
      </c>
      <c r="AW3721" s="46">
        <v>294</v>
      </c>
      <c r="AX3721" s="46">
        <v>124900</v>
      </c>
      <c r="AY3721" s="46">
        <v>1237449.8899999999</v>
      </c>
      <c r="AZ3721" s="46">
        <v>9.9079999999999995</v>
      </c>
      <c r="BA3721" s="46" t="s">
        <v>63</v>
      </c>
      <c r="BB3721" s="46">
        <v>17100</v>
      </c>
      <c r="BC3721" s="46">
        <v>236009.791</v>
      </c>
      <c r="BD3721" s="46">
        <v>13.802</v>
      </c>
      <c r="BE3721" s="46">
        <v>-58453.2</v>
      </c>
      <c r="BF3721" s="46">
        <v>22513</v>
      </c>
      <c r="BG3721" s="46">
        <v>9.01</v>
      </c>
      <c r="BH3721" s="46">
        <v>12459.507999999914</v>
      </c>
      <c r="BI3721">
        <v>7.79</v>
      </c>
      <c r="BJ3721">
        <v>10053.491999999998</v>
      </c>
      <c r="BK3721">
        <v>11.17</v>
      </c>
      <c r="BL3721">
        <v>-7388.65</v>
      </c>
    </row>
    <row r="3722" spans="1:64" x14ac:dyDescent="0.25">
      <c r="A3722" s="136">
        <v>43724</v>
      </c>
      <c r="B3722" t="s">
        <v>77</v>
      </c>
      <c r="C3722" t="s">
        <v>150</v>
      </c>
      <c r="D3722">
        <v>6400</v>
      </c>
      <c r="E3722">
        <v>6400</v>
      </c>
      <c r="F3722">
        <v>5.226</v>
      </c>
      <c r="G3722">
        <v>-8675.23</v>
      </c>
      <c r="H3722">
        <v>-25.94</v>
      </c>
      <c r="I3722">
        <v>24768</v>
      </c>
      <c r="J3722">
        <v>3.87</v>
      </c>
      <c r="K3722" s="133">
        <v>4.6902416197816092E-2</v>
      </c>
      <c r="L3722" s="181">
        <v>-320</v>
      </c>
      <c r="M3722" s="133">
        <v>6.3330438164538469E-2</v>
      </c>
      <c r="N3722" s="73">
        <v>-8988.1779999999926</v>
      </c>
      <c r="O3722" s="73">
        <v>-2175.3676694871779</v>
      </c>
      <c r="P3722" s="182">
        <v>7</v>
      </c>
      <c r="Q3722" s="182">
        <v>3500</v>
      </c>
      <c r="R3722" s="46">
        <v>4.3390000000000004</v>
      </c>
      <c r="S3722" s="46">
        <v>0</v>
      </c>
      <c r="T3722" s="46">
        <v>0</v>
      </c>
      <c r="U3722" s="46">
        <v>0</v>
      </c>
      <c r="V3722" s="46" t="s">
        <v>62</v>
      </c>
      <c r="W3722" s="46">
        <v>3500</v>
      </c>
      <c r="X3722" s="46">
        <v>4.3390000000000004</v>
      </c>
      <c r="AF3722" s="46">
        <v>55</v>
      </c>
      <c r="AG3722" s="46">
        <v>27500</v>
      </c>
      <c r="AH3722" s="46">
        <v>183254</v>
      </c>
      <c r="AI3722" s="46">
        <v>6.6639999999999997</v>
      </c>
      <c r="AJ3722" s="46">
        <v>55</v>
      </c>
      <c r="AK3722" s="46">
        <v>24600</v>
      </c>
      <c r="AL3722" s="46">
        <v>164737.82200000004</v>
      </c>
      <c r="AM3722" s="46">
        <v>6.6970000000000001</v>
      </c>
      <c r="AN3722" s="46" t="s">
        <v>63</v>
      </c>
      <c r="AO3722" s="46">
        <v>2900</v>
      </c>
      <c r="AP3722" s="46">
        <v>18516.178</v>
      </c>
      <c r="AQ3722" s="46">
        <v>6.3849999999999998</v>
      </c>
      <c r="AR3722" s="46">
        <v>811.8</v>
      </c>
      <c r="AS3722" s="46">
        <v>62</v>
      </c>
      <c r="AT3722" s="46">
        <v>31000</v>
      </c>
      <c r="AU3722" s="46">
        <v>198186</v>
      </c>
      <c r="AV3722" s="46">
        <v>6.3929999999999998</v>
      </c>
      <c r="AW3722" s="46">
        <v>55</v>
      </c>
      <c r="AX3722" s="46">
        <v>24600</v>
      </c>
      <c r="AY3722" s="46">
        <v>164737.82200000004</v>
      </c>
      <c r="AZ3722" s="46">
        <v>6.6970000000000001</v>
      </c>
      <c r="BA3722" s="46" t="s">
        <v>63</v>
      </c>
      <c r="BB3722" s="46">
        <v>6400</v>
      </c>
      <c r="BC3722" s="46">
        <v>33448.178</v>
      </c>
      <c r="BD3722" s="46">
        <v>5.226</v>
      </c>
      <c r="BE3722" s="46">
        <v>7478.4</v>
      </c>
      <c r="BF3722" s="46">
        <v>14932</v>
      </c>
      <c r="BG3722" s="46">
        <v>4.2699999999999996</v>
      </c>
      <c r="BH3722" s="46">
        <v>0</v>
      </c>
      <c r="BJ3722">
        <v>14932</v>
      </c>
      <c r="BK3722">
        <v>4.2699999999999996</v>
      </c>
      <c r="BL3722">
        <v>209.77</v>
      </c>
    </row>
    <row r="3723" spans="1:64" x14ac:dyDescent="0.25">
      <c r="A3723" s="136">
        <v>43724</v>
      </c>
      <c r="B3723" t="s">
        <v>67</v>
      </c>
      <c r="C3723" t="s">
        <v>129</v>
      </c>
      <c r="D3723">
        <v>1930</v>
      </c>
      <c r="E3723">
        <v>1930</v>
      </c>
      <c r="F3723">
        <v>4.2910000000000004</v>
      </c>
      <c r="G3723">
        <v>4418.2</v>
      </c>
      <c r="H3723">
        <v>53.35</v>
      </c>
      <c r="I3723">
        <v>12699.4</v>
      </c>
      <c r="J3723">
        <v>6.58</v>
      </c>
      <c r="K3723" s="133">
        <v>2.4048471586827585E-2</v>
      </c>
      <c r="L3723" s="181">
        <v>-57.900000000000546</v>
      </c>
      <c r="M3723" s="133">
        <v>1.5681859214201978E-2</v>
      </c>
      <c r="N3723" s="73">
        <v>5787.7974999999715</v>
      </c>
      <c r="O3723" s="73">
        <v>670.39282739361477</v>
      </c>
      <c r="P3723" s="182">
        <v>1</v>
      </c>
      <c r="Q3723" s="182">
        <v>30</v>
      </c>
      <c r="R3723" s="46">
        <v>0</v>
      </c>
      <c r="S3723" s="46">
        <v>22</v>
      </c>
      <c r="T3723" s="46">
        <v>8800</v>
      </c>
      <c r="U3723" s="46">
        <v>8.5860000000000003</v>
      </c>
      <c r="V3723" s="46" t="s">
        <v>68</v>
      </c>
      <c r="W3723" s="46">
        <v>8770</v>
      </c>
      <c r="X3723" s="46">
        <v>8.6150000000000002</v>
      </c>
      <c r="AF3723" s="46">
        <v>204</v>
      </c>
      <c r="AG3723" s="46">
        <v>100800</v>
      </c>
      <c r="AH3723" s="46">
        <v>830794</v>
      </c>
      <c r="AI3723" s="46">
        <v>8.2420000000000009</v>
      </c>
      <c r="AJ3723" s="46">
        <v>208</v>
      </c>
      <c r="AK3723" s="46">
        <v>92700</v>
      </c>
      <c r="AL3723" s="46">
        <v>816268.16350000014</v>
      </c>
      <c r="AM3723" s="46">
        <v>8.8049999999999997</v>
      </c>
      <c r="AN3723" s="46" t="s">
        <v>63</v>
      </c>
      <c r="AO3723" s="46">
        <v>8100</v>
      </c>
      <c r="AP3723" s="46">
        <v>14525.835999999999</v>
      </c>
      <c r="AQ3723" s="46">
        <v>1.7929999999999999</v>
      </c>
      <c r="AR3723" s="46">
        <v>52190.1</v>
      </c>
      <c r="AS3723" s="46">
        <v>205</v>
      </c>
      <c r="AT3723" s="46">
        <v>100830</v>
      </c>
      <c r="AU3723" s="46">
        <v>830799</v>
      </c>
      <c r="AV3723" s="46">
        <v>8.24</v>
      </c>
      <c r="AW3723" s="46">
        <v>230</v>
      </c>
      <c r="AX3723" s="46">
        <v>101500</v>
      </c>
      <c r="AY3723" s="46">
        <v>891641.10750000016</v>
      </c>
      <c r="AZ3723" s="46">
        <v>8.7850000000000001</v>
      </c>
      <c r="BA3723" s="46" t="s">
        <v>69</v>
      </c>
      <c r="BB3723" s="46">
        <v>670</v>
      </c>
      <c r="BC3723" s="46">
        <v>60842.108</v>
      </c>
      <c r="BD3723" s="46">
        <v>90.808999999999997</v>
      </c>
      <c r="BE3723" s="46">
        <v>54952.35</v>
      </c>
      <c r="BF3723" s="46">
        <v>5</v>
      </c>
      <c r="BG3723" s="46">
        <v>0.17</v>
      </c>
      <c r="BH3723" s="46">
        <v>75372.944000000018</v>
      </c>
      <c r="BI3723">
        <v>8.57</v>
      </c>
      <c r="BJ3723">
        <v>46316.271999999997</v>
      </c>
      <c r="BK3723">
        <v>5.28</v>
      </c>
      <c r="BL3723">
        <v>7931.63</v>
      </c>
    </row>
    <row r="3724" spans="1:64" x14ac:dyDescent="0.25">
      <c r="A3724" s="136">
        <v>43724</v>
      </c>
      <c r="B3724" t="s">
        <v>78</v>
      </c>
      <c r="C3724" t="s">
        <v>142</v>
      </c>
      <c r="D3724">
        <v>100</v>
      </c>
      <c r="E3724">
        <v>100</v>
      </c>
      <c r="F3724">
        <v>-5.867</v>
      </c>
      <c r="G3724">
        <v>1556.7</v>
      </c>
      <c r="H3724">
        <v>0</v>
      </c>
      <c r="I3724">
        <v>970</v>
      </c>
      <c r="J3724">
        <v>9.6999999999999993</v>
      </c>
      <c r="K3724" s="133">
        <v>1.83685980748876E-3</v>
      </c>
      <c r="L3724" s="181">
        <v>-11</v>
      </c>
      <c r="M3724" s="133">
        <v>0</v>
      </c>
      <c r="N3724" s="73">
        <v>1576.660999999996</v>
      </c>
      <c r="O3724" s="73">
        <v>159.17905752525212</v>
      </c>
      <c r="P3724" s="182">
        <v>0</v>
      </c>
      <c r="Q3724" s="182">
        <v>0</v>
      </c>
      <c r="R3724" s="46">
        <v>0</v>
      </c>
      <c r="S3724" s="46">
        <v>4</v>
      </c>
      <c r="T3724" s="46">
        <v>1300</v>
      </c>
      <c r="U3724" s="46">
        <v>9.9220000000000006</v>
      </c>
      <c r="V3724" s="46" t="s">
        <v>68</v>
      </c>
      <c r="W3724" s="46">
        <v>1300</v>
      </c>
      <c r="X3724" s="46">
        <v>9.9220000000000006</v>
      </c>
      <c r="AF3724" s="46">
        <v>14</v>
      </c>
      <c r="AG3724" s="46">
        <v>7000</v>
      </c>
      <c r="AH3724" s="46">
        <v>67625</v>
      </c>
      <c r="AI3724" s="46">
        <v>9.6609999999999996</v>
      </c>
      <c r="AJ3724" s="46">
        <v>15</v>
      </c>
      <c r="AK3724" s="46">
        <v>5600</v>
      </c>
      <c r="AL3724" s="46">
        <v>55310.559000000008</v>
      </c>
      <c r="AM3724" s="46">
        <v>9.8770000000000007</v>
      </c>
      <c r="AN3724" s="46" t="s">
        <v>63</v>
      </c>
      <c r="AO3724" s="46">
        <v>1400</v>
      </c>
      <c r="AP3724" s="46">
        <v>12314.441000000001</v>
      </c>
      <c r="AQ3724" s="46">
        <v>8.7959999999999994</v>
      </c>
      <c r="AR3724" s="46">
        <v>1209.5999999999999</v>
      </c>
      <c r="AS3724" s="46">
        <v>14</v>
      </c>
      <c r="AT3724" s="46">
        <v>7000</v>
      </c>
      <c r="AU3724" s="46">
        <v>67625</v>
      </c>
      <c r="AV3724" s="46">
        <v>9.6609999999999996</v>
      </c>
      <c r="AW3724" s="46">
        <v>19</v>
      </c>
      <c r="AX3724" s="46">
        <v>6900</v>
      </c>
      <c r="AY3724" s="46">
        <v>68211.661000000007</v>
      </c>
      <c r="AZ3724" s="46">
        <v>9.8859999999999992</v>
      </c>
      <c r="BA3724" s="46" t="s">
        <v>63</v>
      </c>
      <c r="BB3724" s="46">
        <v>100</v>
      </c>
      <c r="BC3724" s="46">
        <v>586.66099999999994</v>
      </c>
      <c r="BD3724" s="46">
        <v>5.867</v>
      </c>
      <c r="BE3724" s="46">
        <v>1552.5</v>
      </c>
      <c r="BF3724" s="46">
        <v>0</v>
      </c>
      <c r="BH3724" s="46">
        <v>12901.101999999999</v>
      </c>
      <c r="BI3724">
        <v>9.92</v>
      </c>
      <c r="BJ3724">
        <v>-11727.78</v>
      </c>
      <c r="BK3724">
        <v>-9.02</v>
      </c>
      <c r="BL3724">
        <v>124.7</v>
      </c>
    </row>
    <row r="3725" spans="1:64" x14ac:dyDescent="0.25">
      <c r="A3725" s="136">
        <v>43724</v>
      </c>
      <c r="B3725" t="s">
        <v>72</v>
      </c>
      <c r="C3725" t="s">
        <v>130</v>
      </c>
      <c r="D3725">
        <v>100</v>
      </c>
      <c r="E3725">
        <v>100</v>
      </c>
      <c r="F3725">
        <v>-18.477</v>
      </c>
      <c r="G3725">
        <v>2326.6999999999998</v>
      </c>
      <c r="H3725">
        <v>0</v>
      </c>
      <c r="I3725">
        <v>479</v>
      </c>
      <c r="J3725">
        <v>4.79</v>
      </c>
      <c r="K3725" s="133">
        <v>9.0706788431661441E-4</v>
      </c>
      <c r="L3725" s="181">
        <v>-7</v>
      </c>
      <c r="M3725" s="133">
        <v>0</v>
      </c>
      <c r="N3725" s="73">
        <v>-1498.9659999999872</v>
      </c>
      <c r="O3725" s="73">
        <v>376.42007904191922</v>
      </c>
      <c r="P3725" s="182">
        <v>0</v>
      </c>
      <c r="Q3725" s="182">
        <v>0</v>
      </c>
      <c r="R3725" s="46">
        <v>0</v>
      </c>
      <c r="S3725" s="46">
        <v>20</v>
      </c>
      <c r="T3725" s="46">
        <v>8600</v>
      </c>
      <c r="U3725" s="46">
        <v>7.3840000000000003</v>
      </c>
      <c r="V3725" s="46" t="s">
        <v>68</v>
      </c>
      <c r="W3725" s="46">
        <v>8600</v>
      </c>
      <c r="X3725" s="46">
        <v>7.3840000000000003</v>
      </c>
      <c r="AF3725" s="46">
        <v>42</v>
      </c>
      <c r="AG3725" s="46">
        <v>20900</v>
      </c>
      <c r="AH3725" s="46">
        <v>152800</v>
      </c>
      <c r="AI3725" s="46">
        <v>7.3109999999999999</v>
      </c>
      <c r="AJ3725" s="46">
        <v>42</v>
      </c>
      <c r="AK3725" s="46">
        <v>18800</v>
      </c>
      <c r="AL3725" s="46">
        <v>92037.725000000035</v>
      </c>
      <c r="AM3725" s="46">
        <v>4.8959999999999999</v>
      </c>
      <c r="AN3725" s="46" t="s">
        <v>63</v>
      </c>
      <c r="AO3725" s="46">
        <v>2100</v>
      </c>
      <c r="AP3725" s="46">
        <v>60762.275000000001</v>
      </c>
      <c r="AQ3725" s="46">
        <v>28.934000000000001</v>
      </c>
      <c r="AR3725" s="46">
        <v>-45402</v>
      </c>
      <c r="AS3725" s="46">
        <v>42</v>
      </c>
      <c r="AT3725" s="46">
        <v>20900</v>
      </c>
      <c r="AU3725" s="46">
        <v>152800</v>
      </c>
      <c r="AV3725" s="46">
        <v>7.3109999999999999</v>
      </c>
      <c r="AW3725" s="46">
        <v>63</v>
      </c>
      <c r="AX3725" s="46">
        <v>27900</v>
      </c>
      <c r="AY3725" s="46">
        <v>155380.21900000001</v>
      </c>
      <c r="AZ3725" s="46">
        <v>5.569</v>
      </c>
      <c r="BA3725" s="46" t="s">
        <v>69</v>
      </c>
      <c r="BB3725" s="46">
        <v>7000</v>
      </c>
      <c r="BC3725" s="46">
        <v>2580.2190000000001</v>
      </c>
      <c r="BD3725" s="46">
        <v>0.36899999999999999</v>
      </c>
      <c r="BE3725" s="46">
        <v>-36407.800000000003</v>
      </c>
      <c r="BF3725" s="46">
        <v>0</v>
      </c>
      <c r="BH3725" s="46">
        <v>63342.493999999977</v>
      </c>
      <c r="BI3725">
        <v>7.37</v>
      </c>
      <c r="BJ3725">
        <v>-58182.056000000004</v>
      </c>
      <c r="BK3725">
        <v>-6.77</v>
      </c>
      <c r="BL3725">
        <v>-9478.5</v>
      </c>
    </row>
    <row r="3726" spans="1:64" x14ac:dyDescent="0.25">
      <c r="A3726" s="136">
        <v>43724</v>
      </c>
      <c r="B3726" t="s">
        <v>70</v>
      </c>
      <c r="C3726" t="s">
        <v>131</v>
      </c>
      <c r="D3726">
        <v>12980</v>
      </c>
      <c r="E3726">
        <v>12980</v>
      </c>
      <c r="F3726">
        <v>8.6609999999999996</v>
      </c>
      <c r="G3726">
        <v>-7147.75</v>
      </c>
      <c r="H3726">
        <v>-6.36</v>
      </c>
      <c r="I3726">
        <v>105267.8</v>
      </c>
      <c r="J3726">
        <v>8.11</v>
      </c>
      <c r="K3726" s="133">
        <v>0.19934246478635598</v>
      </c>
      <c r="L3726" s="181">
        <v>778.80000000000018</v>
      </c>
      <c r="M3726" s="133">
        <v>0.2128779438471578</v>
      </c>
      <c r="N3726" s="73">
        <v>-5623.0850000000064</v>
      </c>
      <c r="O3726" s="73">
        <v>-682.90078462940539</v>
      </c>
      <c r="P3726" s="182">
        <v>0</v>
      </c>
      <c r="Q3726" s="182">
        <v>0</v>
      </c>
      <c r="R3726" s="46">
        <v>0</v>
      </c>
      <c r="S3726" s="46">
        <v>9</v>
      </c>
      <c r="T3726" s="46">
        <v>3700</v>
      </c>
      <c r="U3726" s="46">
        <v>8.9510000000000005</v>
      </c>
      <c r="V3726" s="46" t="s">
        <v>68</v>
      </c>
      <c r="W3726" s="46">
        <v>3700</v>
      </c>
      <c r="X3726" s="46">
        <v>8.9510000000000005</v>
      </c>
      <c r="AF3726" s="46">
        <v>189</v>
      </c>
      <c r="AG3726" s="46">
        <v>96480</v>
      </c>
      <c r="AH3726" s="46">
        <v>1115071</v>
      </c>
      <c r="AI3726" s="46">
        <v>11.558</v>
      </c>
      <c r="AJ3726" s="46">
        <v>198</v>
      </c>
      <c r="AK3726" s="46">
        <v>79800</v>
      </c>
      <c r="AL3726" s="46">
        <v>967405.63499999966</v>
      </c>
      <c r="AM3726" s="46">
        <v>12.122999999999999</v>
      </c>
      <c r="AN3726" s="46" t="s">
        <v>63</v>
      </c>
      <c r="AO3726" s="46">
        <v>16680</v>
      </c>
      <c r="AP3726" s="46">
        <v>147665.36499999999</v>
      </c>
      <c r="AQ3726" s="46">
        <v>8.8529999999999998</v>
      </c>
      <c r="AR3726" s="46">
        <v>45087</v>
      </c>
      <c r="AS3726" s="46">
        <v>189</v>
      </c>
      <c r="AT3726" s="46">
        <v>96480</v>
      </c>
      <c r="AU3726" s="46">
        <v>1115071</v>
      </c>
      <c r="AV3726" s="46">
        <v>11.558</v>
      </c>
      <c r="AW3726" s="46">
        <v>208</v>
      </c>
      <c r="AX3726" s="46">
        <v>83500</v>
      </c>
      <c r="AY3726" s="46">
        <v>1000852.5149999993</v>
      </c>
      <c r="AZ3726" s="46">
        <v>11.986000000000001</v>
      </c>
      <c r="BA3726" s="46" t="s">
        <v>63</v>
      </c>
      <c r="BB3726" s="46">
        <v>12980</v>
      </c>
      <c r="BC3726" s="46">
        <v>114218.485</v>
      </c>
      <c r="BD3726" s="46">
        <v>8.8000000000000007</v>
      </c>
      <c r="BE3726" s="46">
        <v>35738</v>
      </c>
      <c r="BF3726" s="46">
        <v>0</v>
      </c>
      <c r="BH3726" s="46">
        <v>33446.879999999655</v>
      </c>
      <c r="BI3726">
        <v>9.0399999999999991</v>
      </c>
      <c r="BJ3726">
        <v>-33446.87999999999</v>
      </c>
      <c r="BK3726">
        <v>-9.0399999999999991</v>
      </c>
      <c r="BL3726">
        <v>5559.43</v>
      </c>
    </row>
    <row r="3727" spans="1:64" x14ac:dyDescent="0.25">
      <c r="A3727" s="136">
        <v>43724</v>
      </c>
      <c r="B3727" t="s">
        <v>628</v>
      </c>
      <c r="C3727" t="s">
        <v>629</v>
      </c>
      <c r="D3727">
        <v>100</v>
      </c>
      <c r="E3727">
        <v>100</v>
      </c>
      <c r="F3727">
        <v>-22.369</v>
      </c>
      <c r="G3727">
        <v>4017.9</v>
      </c>
      <c r="H3727">
        <v>0</v>
      </c>
      <c r="I3727">
        <v>1781</v>
      </c>
      <c r="J3727">
        <v>17.809999999999999</v>
      </c>
      <c r="K3727" s="133">
        <v>3.3726261001417335E-3</v>
      </c>
      <c r="L3727" s="181">
        <v>-41</v>
      </c>
      <c r="M3727" s="133">
        <v>0</v>
      </c>
    </row>
    <row r="3728" spans="1:64" x14ac:dyDescent="0.25">
      <c r="A3728" s="136">
        <v>43724</v>
      </c>
      <c r="B3728" t="s">
        <v>630</v>
      </c>
      <c r="C3728" t="s">
        <v>631</v>
      </c>
      <c r="D3728">
        <v>100</v>
      </c>
      <c r="E3728">
        <v>100</v>
      </c>
      <c r="F3728">
        <v>-94.6</v>
      </c>
      <c r="G3728">
        <v>11718</v>
      </c>
      <c r="H3728">
        <v>0</v>
      </c>
      <c r="I3728">
        <v>2258</v>
      </c>
      <c r="J3728">
        <v>22.58</v>
      </c>
      <c r="K3728" s="133">
        <v>4.2759066446490931E-3</v>
      </c>
      <c r="L3728" s="181">
        <v>-20</v>
      </c>
      <c r="M3728" s="133">
        <v>0</v>
      </c>
    </row>
    <row r="3729" spans="1:64" x14ac:dyDescent="0.25">
      <c r="A3729" s="136">
        <v>43724</v>
      </c>
      <c r="B3729" t="s">
        <v>768</v>
      </c>
      <c r="C3729" t="s">
        <v>769</v>
      </c>
      <c r="D3729">
        <v>500</v>
      </c>
      <c r="E3729">
        <v>500</v>
      </c>
      <c r="F3729">
        <v>2.4900000000000002</v>
      </c>
      <c r="G3729">
        <v>1045</v>
      </c>
      <c r="H3729">
        <v>83.94</v>
      </c>
      <c r="I3729">
        <v>2290</v>
      </c>
      <c r="J3729">
        <v>4.58</v>
      </c>
      <c r="K3729" s="133">
        <v>4.3365040815971758E-3</v>
      </c>
      <c r="L3729" s="181">
        <v>20</v>
      </c>
      <c r="M3729" s="133">
        <v>2.3576190312613464E-3</v>
      </c>
    </row>
    <row r="3730" spans="1:64" x14ac:dyDescent="0.25">
      <c r="A3730" s="136">
        <v>43724</v>
      </c>
      <c r="B3730" t="s">
        <v>137</v>
      </c>
      <c r="C3730" t="s">
        <v>149</v>
      </c>
      <c r="D3730">
        <v>150</v>
      </c>
      <c r="E3730">
        <v>150</v>
      </c>
      <c r="F3730">
        <v>-87.406999999999996</v>
      </c>
      <c r="G3730">
        <v>16936.05</v>
      </c>
      <c r="H3730">
        <v>0</v>
      </c>
      <c r="I3730">
        <v>3825</v>
      </c>
      <c r="J3730">
        <v>25.5</v>
      </c>
      <c r="K3730" s="133">
        <v>7.2432873852005227E-3</v>
      </c>
      <c r="L3730" s="181">
        <v>63</v>
      </c>
      <c r="M3730" s="133">
        <v>0</v>
      </c>
    </row>
    <row r="3731" spans="1:64" x14ac:dyDescent="0.25">
      <c r="A3731" s="136">
        <v>43724</v>
      </c>
      <c r="B3731" t="s">
        <v>835</v>
      </c>
      <c r="C3731" t="s">
        <v>839</v>
      </c>
      <c r="I3731">
        <v>0</v>
      </c>
      <c r="K3731" s="133">
        <v>0</v>
      </c>
      <c r="L3731" s="181">
        <v>0</v>
      </c>
      <c r="M3731" s="133">
        <v>5.8099951457665659E-2</v>
      </c>
    </row>
    <row r="3732" spans="1:64" x14ac:dyDescent="0.25">
      <c r="A3732" s="136">
        <v>43738</v>
      </c>
      <c r="B3732" t="s">
        <v>132</v>
      </c>
      <c r="C3732" t="s">
        <v>123</v>
      </c>
      <c r="D3732">
        <v>82</v>
      </c>
      <c r="E3732">
        <v>82</v>
      </c>
      <c r="F3732">
        <v>-49.631999999999998</v>
      </c>
      <c r="G3732">
        <v>4070.6439999999998</v>
      </c>
      <c r="H3732">
        <v>0</v>
      </c>
      <c r="I3732">
        <v>0.82</v>
      </c>
      <c r="J3732">
        <v>0.01</v>
      </c>
      <c r="K3732" s="133">
        <v>1.6213983774033698E-6</v>
      </c>
      <c r="L3732" s="181">
        <v>9.6539999999999964</v>
      </c>
      <c r="M3732" s="133">
        <v>0</v>
      </c>
    </row>
    <row r="3733" spans="1:64" x14ac:dyDescent="0.25">
      <c r="A3733" s="136">
        <v>43738</v>
      </c>
      <c r="B3733" t="s">
        <v>61</v>
      </c>
      <c r="C3733" t="s">
        <v>136</v>
      </c>
      <c r="D3733">
        <v>3300</v>
      </c>
      <c r="E3733">
        <v>3300</v>
      </c>
      <c r="F3733">
        <v>4.633</v>
      </c>
      <c r="G3733">
        <v>-1724.52</v>
      </c>
      <c r="H3733">
        <v>-11.28</v>
      </c>
      <c r="I3733">
        <v>13563</v>
      </c>
      <c r="J3733">
        <v>4.1100000000000003</v>
      </c>
      <c r="K3733" s="133">
        <v>2.6818324625270618E-2</v>
      </c>
      <c r="L3733" s="181">
        <v>-495</v>
      </c>
      <c r="M3733" s="133">
        <v>3.022824405185557E-2</v>
      </c>
      <c r="N3733" s="73">
        <v>599.38700000000608</v>
      </c>
      <c r="O3733" s="73">
        <v>-289.75481537558687</v>
      </c>
      <c r="P3733" s="182">
        <v>2</v>
      </c>
      <c r="Q3733" s="182">
        <v>1000</v>
      </c>
      <c r="R3733" s="46">
        <v>4.33</v>
      </c>
      <c r="S3733" s="46">
        <v>0</v>
      </c>
      <c r="T3733" s="46">
        <v>0</v>
      </c>
      <c r="U3733" s="46">
        <v>0</v>
      </c>
      <c r="V3733" s="46" t="s">
        <v>62</v>
      </c>
      <c r="W3733" s="46">
        <v>1000</v>
      </c>
      <c r="X3733" s="46">
        <v>4.33</v>
      </c>
      <c r="AF3733" s="46">
        <v>24</v>
      </c>
      <c r="AG3733" s="46">
        <v>12000</v>
      </c>
      <c r="AH3733" s="46">
        <v>58852.200000000012</v>
      </c>
      <c r="AI3733" s="46">
        <v>4.9039999999999999</v>
      </c>
      <c r="AJ3733" s="46">
        <v>24</v>
      </c>
      <c r="AK3733" s="46">
        <v>9700</v>
      </c>
      <c r="AL3733" s="46">
        <v>47899.82699999999</v>
      </c>
      <c r="AM3733" s="46">
        <v>4.9379999999999997</v>
      </c>
      <c r="AN3733" s="46" t="s">
        <v>63</v>
      </c>
      <c r="AO3733" s="46">
        <v>2300</v>
      </c>
      <c r="AP3733" s="46">
        <v>10952.373</v>
      </c>
      <c r="AQ3733" s="46">
        <v>4.7619999999999996</v>
      </c>
      <c r="AR3733" s="46">
        <v>329.8</v>
      </c>
      <c r="AS3733" s="46">
        <v>26</v>
      </c>
      <c r="AT3733" s="46">
        <v>13000</v>
      </c>
      <c r="AU3733" s="46">
        <v>63192.800000000017</v>
      </c>
      <c r="AV3733" s="46">
        <v>4.8609999999999998</v>
      </c>
      <c r="AW3733" s="46">
        <v>24</v>
      </c>
      <c r="AX3733" s="46">
        <v>9700</v>
      </c>
      <c r="AY3733" s="46">
        <v>47899.82699999999</v>
      </c>
      <c r="AZ3733" s="46">
        <v>4.9379999999999997</v>
      </c>
      <c r="BA3733" s="46" t="s">
        <v>63</v>
      </c>
      <c r="BB3733" s="46">
        <v>3300</v>
      </c>
      <c r="BC3733" s="46">
        <v>15292.973</v>
      </c>
      <c r="BD3733" s="46">
        <v>4.6340000000000003</v>
      </c>
      <c r="BE3733" s="46">
        <v>746.9</v>
      </c>
      <c r="BF3733" s="46">
        <v>4340.6000000000058</v>
      </c>
      <c r="BG3733" s="46">
        <v>4.34</v>
      </c>
      <c r="BH3733" s="46">
        <v>0</v>
      </c>
      <c r="BJ3733">
        <v>4340.6000000000004</v>
      </c>
      <c r="BK3733">
        <v>4.34</v>
      </c>
      <c r="BL3733">
        <v>80.239999999999995</v>
      </c>
    </row>
    <row r="3734" spans="1:64" x14ac:dyDescent="0.25">
      <c r="A3734" s="136">
        <v>43738</v>
      </c>
      <c r="B3734" t="s">
        <v>124</v>
      </c>
      <c r="C3734" t="s">
        <v>125</v>
      </c>
      <c r="D3734">
        <v>100</v>
      </c>
      <c r="E3734">
        <v>100</v>
      </c>
      <c r="F3734">
        <v>-54.070999999999998</v>
      </c>
      <c r="G3734">
        <v>5960.1</v>
      </c>
      <c r="H3734">
        <v>0</v>
      </c>
      <c r="I3734">
        <v>553</v>
      </c>
      <c r="J3734">
        <v>5.53</v>
      </c>
      <c r="K3734" s="133">
        <v>1.0934552472000776E-3</v>
      </c>
      <c r="L3734" s="181">
        <v>-4</v>
      </c>
      <c r="M3734" s="133">
        <v>0</v>
      </c>
      <c r="N3734" s="73">
        <v>5573.0690000000113</v>
      </c>
      <c r="O3734" s="73">
        <v>1102.4501845505636</v>
      </c>
      <c r="P3734" s="182">
        <v>0</v>
      </c>
      <c r="Q3734" s="182">
        <v>0</v>
      </c>
      <c r="R3734" s="46">
        <v>0</v>
      </c>
      <c r="S3734" s="46">
        <v>5</v>
      </c>
      <c r="T3734" s="46">
        <v>2300</v>
      </c>
      <c r="U3734" s="46">
        <v>4.99</v>
      </c>
      <c r="V3734" s="46" t="s">
        <v>68</v>
      </c>
      <c r="W3734" s="46">
        <v>2300</v>
      </c>
      <c r="X3734" s="46">
        <v>4.99</v>
      </c>
      <c r="AF3734" s="46">
        <v>50</v>
      </c>
      <c r="AG3734" s="46">
        <v>36700</v>
      </c>
      <c r="AH3734" s="46">
        <v>180101.02000000002</v>
      </c>
      <c r="AI3734" s="46">
        <v>4.907</v>
      </c>
      <c r="AJ3734" s="46">
        <v>58</v>
      </c>
      <c r="AK3734" s="46">
        <v>35300</v>
      </c>
      <c r="AL3734" s="46">
        <v>178266.546</v>
      </c>
      <c r="AM3734" s="46">
        <v>5.05</v>
      </c>
      <c r="AN3734" s="46" t="s">
        <v>63</v>
      </c>
      <c r="AO3734" s="46">
        <v>1400</v>
      </c>
      <c r="AP3734" s="46">
        <v>1834.4739999999999</v>
      </c>
      <c r="AQ3734" s="46">
        <v>1.31</v>
      </c>
      <c r="AR3734" s="46">
        <v>5047.8999999999996</v>
      </c>
      <c r="AS3734" s="46">
        <v>51</v>
      </c>
      <c r="AT3734" s="46">
        <v>37700</v>
      </c>
      <c r="AU3734" s="46">
        <v>185106.62</v>
      </c>
      <c r="AV3734" s="46">
        <v>4.91</v>
      </c>
      <c r="AW3734" s="46">
        <v>63</v>
      </c>
      <c r="AX3734" s="46">
        <v>37600</v>
      </c>
      <c r="AY3734" s="46">
        <v>189713.68900000001</v>
      </c>
      <c r="AZ3734" s="46">
        <v>5.0460000000000003</v>
      </c>
      <c r="BA3734" s="46" t="s">
        <v>63</v>
      </c>
      <c r="BB3734" s="46">
        <v>100</v>
      </c>
      <c r="BC3734" s="46">
        <v>4607.0690000000004</v>
      </c>
      <c r="BD3734" s="46">
        <v>46.070999999999998</v>
      </c>
      <c r="BE3734" s="46">
        <v>5113.6000000000004</v>
      </c>
      <c r="BF3734" s="46">
        <v>5005.5999999999767</v>
      </c>
      <c r="BH3734" s="46">
        <v>11447.143000000011</v>
      </c>
      <c r="BI3734">
        <v>4.9800000000000004</v>
      </c>
      <c r="BJ3734">
        <v>2772.5950000000003</v>
      </c>
      <c r="BK3734">
        <v>1.21</v>
      </c>
      <c r="BL3734">
        <v>912.82</v>
      </c>
    </row>
    <row r="3735" spans="1:64" x14ac:dyDescent="0.25">
      <c r="A3735" s="136">
        <v>43738</v>
      </c>
      <c r="B3735" t="s">
        <v>71</v>
      </c>
      <c r="C3735" t="s">
        <v>126</v>
      </c>
      <c r="D3735">
        <v>3600</v>
      </c>
      <c r="E3735">
        <v>3600</v>
      </c>
      <c r="F3735">
        <v>5.117</v>
      </c>
      <c r="G3735">
        <v>1881.08</v>
      </c>
      <c r="H3735">
        <v>10.210000000000001</v>
      </c>
      <c r="I3735">
        <v>20304</v>
      </c>
      <c r="J3735">
        <v>5.64</v>
      </c>
      <c r="K3735" s="133">
        <v>4.0147405676582953E-2</v>
      </c>
      <c r="L3735" s="181">
        <v>-576</v>
      </c>
      <c r="M3735" s="133">
        <v>3.6427917798819619E-2</v>
      </c>
      <c r="N3735" s="73">
        <v>3077.4640000000054</v>
      </c>
      <c r="O3735" s="73">
        <v>430.90059312714862</v>
      </c>
      <c r="P3735" s="182">
        <v>0</v>
      </c>
      <c r="Q3735" s="182">
        <v>0</v>
      </c>
      <c r="R3735" s="46">
        <v>0</v>
      </c>
      <c r="S3735" s="46">
        <v>3</v>
      </c>
      <c r="T3735" s="46">
        <v>1200</v>
      </c>
      <c r="U3735" s="46">
        <v>6.1470000000000002</v>
      </c>
      <c r="V3735" s="46" t="s">
        <v>68</v>
      </c>
      <c r="W3735" s="46">
        <v>1200</v>
      </c>
      <c r="X3735" s="46">
        <v>6.1470000000000002</v>
      </c>
      <c r="AF3735" s="46">
        <v>58</v>
      </c>
      <c r="AG3735" s="46">
        <v>30100</v>
      </c>
      <c r="AH3735" s="46">
        <v>189294.02999999991</v>
      </c>
      <c r="AI3735" s="46">
        <v>6.2889999999999997</v>
      </c>
      <c r="AJ3735" s="46">
        <v>58</v>
      </c>
      <c r="AK3735" s="46">
        <v>25300</v>
      </c>
      <c r="AL3735" s="46">
        <v>163337.022</v>
      </c>
      <c r="AM3735" s="46">
        <v>6.4560000000000004</v>
      </c>
      <c r="AN3735" s="46" t="s">
        <v>63</v>
      </c>
      <c r="AO3735" s="46">
        <v>4800</v>
      </c>
      <c r="AP3735" s="46">
        <v>25957.008000000002</v>
      </c>
      <c r="AQ3735" s="46">
        <v>5.4080000000000004</v>
      </c>
      <c r="AR3735" s="46">
        <v>4225.1000000000004</v>
      </c>
      <c r="AS3735" s="46">
        <v>58</v>
      </c>
      <c r="AT3735" s="46">
        <v>30100</v>
      </c>
      <c r="AU3735" s="46">
        <v>189294.02999999991</v>
      </c>
      <c r="AV3735" s="46">
        <v>6.2889999999999997</v>
      </c>
      <c r="AW3735" s="46">
        <v>61</v>
      </c>
      <c r="AX3735" s="46">
        <v>26500</v>
      </c>
      <c r="AY3735" s="46">
        <v>170689.92600000001</v>
      </c>
      <c r="AZ3735" s="46">
        <v>6.4409999999999998</v>
      </c>
      <c r="BA3735" s="46" t="s">
        <v>63</v>
      </c>
      <c r="BB3735" s="46">
        <v>3600</v>
      </c>
      <c r="BC3735" s="46">
        <v>18604.103999999999</v>
      </c>
      <c r="BD3735" s="46">
        <v>5.1680000000000001</v>
      </c>
      <c r="BE3735" s="46">
        <v>4028</v>
      </c>
      <c r="BF3735" s="46">
        <v>0</v>
      </c>
      <c r="BH3735" s="46">
        <v>7352.9040000000095</v>
      </c>
      <c r="BI3735">
        <v>6.13</v>
      </c>
      <c r="BJ3735">
        <v>-7352.9040000000023</v>
      </c>
      <c r="BK3735">
        <v>-6.13</v>
      </c>
      <c r="BL3735">
        <v>749.13</v>
      </c>
    </row>
    <row r="3736" spans="1:64" x14ac:dyDescent="0.25">
      <c r="A3736" s="136">
        <v>43738</v>
      </c>
      <c r="B3736" t="s">
        <v>79</v>
      </c>
      <c r="C3736" t="s">
        <v>143</v>
      </c>
      <c r="D3736">
        <v>13920</v>
      </c>
      <c r="E3736">
        <v>13920</v>
      </c>
      <c r="F3736">
        <v>9.6999999999999993</v>
      </c>
      <c r="G3736">
        <v>-38007.839999999997</v>
      </c>
      <c r="H3736">
        <v>-28.15</v>
      </c>
      <c r="I3736">
        <v>97022.399999999994</v>
      </c>
      <c r="J3736">
        <v>6.97</v>
      </c>
      <c r="K3736" s="133">
        <v>0.19184385601436671</v>
      </c>
      <c r="L3736" s="181">
        <v>-5521.5399999999972</v>
      </c>
      <c r="M3736" s="133">
        <v>0.26699733175169221</v>
      </c>
      <c r="N3736" s="73">
        <v>-37612.920000000275</v>
      </c>
      <c r="O3736" s="73">
        <v>-5370.587648571468</v>
      </c>
      <c r="P3736" s="182">
        <v>15</v>
      </c>
      <c r="Q3736" s="182">
        <v>9720</v>
      </c>
      <c r="R3736" s="46">
        <v>5.6630000000000003</v>
      </c>
      <c r="S3736" s="46">
        <v>0</v>
      </c>
      <c r="T3736" s="46">
        <v>0</v>
      </c>
      <c r="U3736" s="46">
        <v>0</v>
      </c>
      <c r="V3736" s="46" t="s">
        <v>62</v>
      </c>
      <c r="W3736" s="46">
        <v>9720</v>
      </c>
      <c r="X3736" s="46">
        <v>5.6630000000000003</v>
      </c>
      <c r="AF3736" s="46">
        <v>41</v>
      </c>
      <c r="AG3736" s="46">
        <v>21000</v>
      </c>
      <c r="AH3736" s="46">
        <v>286647.59999999974</v>
      </c>
      <c r="AI3736" s="46">
        <v>13.65</v>
      </c>
      <c r="AJ3736" s="46">
        <v>42</v>
      </c>
      <c r="AK3736" s="46">
        <v>16800</v>
      </c>
      <c r="AL3736" s="46">
        <v>206723.51199999976</v>
      </c>
      <c r="AM3736" s="46">
        <v>12.305</v>
      </c>
      <c r="AN3736" s="46" t="s">
        <v>63</v>
      </c>
      <c r="AO3736" s="46">
        <v>4200</v>
      </c>
      <c r="AP3736" s="46">
        <v>79924.088000000003</v>
      </c>
      <c r="AQ3736" s="46">
        <v>19.03</v>
      </c>
      <c r="AR3736" s="46">
        <v>-22596</v>
      </c>
      <c r="AS3736" s="46">
        <v>56</v>
      </c>
      <c r="AT3736" s="46">
        <v>30720</v>
      </c>
      <c r="AU3736" s="46">
        <v>341776.43199999956</v>
      </c>
      <c r="AV3736" s="46">
        <v>11.125999999999999</v>
      </c>
      <c r="AW3736" s="46">
        <v>42</v>
      </c>
      <c r="AX3736" s="46">
        <v>16800</v>
      </c>
      <c r="AY3736" s="46">
        <v>206723.51199999976</v>
      </c>
      <c r="AZ3736" s="46">
        <v>12.305</v>
      </c>
      <c r="BA3736" s="46" t="s">
        <v>63</v>
      </c>
      <c r="BB3736" s="46">
        <v>13920</v>
      </c>
      <c r="BC3736" s="46">
        <v>135052.92000000001</v>
      </c>
      <c r="BD3736" s="46">
        <v>9.702</v>
      </c>
      <c r="BE3736" s="46">
        <v>19807.2</v>
      </c>
      <c r="BF3736" s="46">
        <v>55128.83199999982</v>
      </c>
      <c r="BG3736" s="46">
        <v>5.67</v>
      </c>
      <c r="BH3736" s="46">
        <v>0</v>
      </c>
      <c r="BJ3736">
        <v>55128.832000000009</v>
      </c>
      <c r="BK3736">
        <v>5.67</v>
      </c>
      <c r="BL3736">
        <v>-3241.89</v>
      </c>
    </row>
    <row r="3737" spans="1:64" x14ac:dyDescent="0.25">
      <c r="A3737" s="136">
        <v>43738</v>
      </c>
      <c r="B3737" t="s">
        <v>749</v>
      </c>
      <c r="C3737" t="s">
        <v>750</v>
      </c>
      <c r="D3737">
        <v>500</v>
      </c>
      <c r="E3737">
        <v>500</v>
      </c>
      <c r="F3737">
        <v>5.85</v>
      </c>
      <c r="G3737">
        <v>1305</v>
      </c>
      <c r="H3737">
        <v>44.62</v>
      </c>
      <c r="I3737">
        <v>4230</v>
      </c>
      <c r="J3737">
        <v>8.4600000000000009</v>
      </c>
      <c r="K3737" s="133">
        <v>8.3640428492881159E-3</v>
      </c>
      <c r="L3737" s="181">
        <v>-610</v>
      </c>
      <c r="M3737" s="133">
        <v>5.7836466511034844E-3</v>
      </c>
    </row>
    <row r="3738" spans="1:64" x14ac:dyDescent="0.25">
      <c r="A3738" s="136">
        <v>43738</v>
      </c>
      <c r="B3738" t="s">
        <v>65</v>
      </c>
      <c r="C3738" t="s">
        <v>127</v>
      </c>
      <c r="D3738">
        <v>26600</v>
      </c>
      <c r="E3738">
        <v>26600</v>
      </c>
      <c r="F3738">
        <v>8.4019999999999992</v>
      </c>
      <c r="G3738">
        <v>-18661.37</v>
      </c>
      <c r="H3738">
        <v>-8.35</v>
      </c>
      <c r="I3738">
        <v>204820</v>
      </c>
      <c r="J3738">
        <v>7.7</v>
      </c>
      <c r="K3738" s="133">
        <v>0.40499367763385147</v>
      </c>
      <c r="L3738" s="181">
        <v>-5526.9999999999982</v>
      </c>
      <c r="M3738" s="133">
        <v>0.44189308621692946</v>
      </c>
      <c r="N3738" s="73">
        <v>-21613.789000000135</v>
      </c>
      <c r="O3738" s="73">
        <v>-2235.2992751290676</v>
      </c>
      <c r="P3738" s="182">
        <v>3</v>
      </c>
      <c r="Q3738" s="182">
        <v>2500</v>
      </c>
      <c r="R3738" s="46">
        <v>8.484</v>
      </c>
      <c r="S3738" s="46">
        <v>3</v>
      </c>
      <c r="T3738" s="46">
        <v>1200</v>
      </c>
      <c r="U3738" s="46">
        <v>7.8230000000000004</v>
      </c>
      <c r="V3738" s="46" t="s">
        <v>62</v>
      </c>
      <c r="W3738" s="46">
        <v>1300</v>
      </c>
      <c r="X3738" s="46">
        <v>9.0939999999999994</v>
      </c>
      <c r="AF3738" s="46">
        <v>261</v>
      </c>
      <c r="AG3738" s="46">
        <v>139800</v>
      </c>
      <c r="AH3738" s="46">
        <v>1454051.6810000001</v>
      </c>
      <c r="AI3738" s="46">
        <v>10.401</v>
      </c>
      <c r="AJ3738" s="46">
        <v>291</v>
      </c>
      <c r="AK3738" s="46">
        <v>123700</v>
      </c>
      <c r="AL3738" s="46">
        <v>1228086.2779999999</v>
      </c>
      <c r="AM3738" s="46">
        <v>9.9280000000000008</v>
      </c>
      <c r="AN3738" s="46" t="s">
        <v>63</v>
      </c>
      <c r="AO3738" s="46">
        <v>16100</v>
      </c>
      <c r="AP3738" s="46">
        <v>225965.40299999999</v>
      </c>
      <c r="AQ3738" s="46">
        <v>14.035</v>
      </c>
      <c r="AR3738" s="46">
        <v>-58510.1</v>
      </c>
      <c r="AS3738" s="46">
        <v>265</v>
      </c>
      <c r="AT3738" s="46">
        <v>142400</v>
      </c>
      <c r="AU3738" s="46">
        <v>1476564.6810000001</v>
      </c>
      <c r="AV3738" s="46">
        <v>10.369</v>
      </c>
      <c r="AW3738" s="46">
        <v>294</v>
      </c>
      <c r="AX3738" s="46">
        <v>124900</v>
      </c>
      <c r="AY3738" s="46">
        <v>1237449.8899999999</v>
      </c>
      <c r="AZ3738" s="46">
        <v>9.9079999999999995</v>
      </c>
      <c r="BA3738" s="46" t="s">
        <v>63</v>
      </c>
      <c r="BB3738" s="46">
        <v>17500</v>
      </c>
      <c r="BC3738" s="46">
        <v>239114.791</v>
      </c>
      <c r="BD3738" s="46">
        <v>13.664</v>
      </c>
      <c r="BE3738" s="46">
        <v>-57578.9</v>
      </c>
      <c r="BF3738" s="46">
        <v>22513</v>
      </c>
      <c r="BG3738" s="46">
        <v>9.01</v>
      </c>
      <c r="BH3738" s="46">
        <v>9363.6119999999646</v>
      </c>
      <c r="BI3738">
        <v>7.8</v>
      </c>
      <c r="BJ3738">
        <v>13149.388000000006</v>
      </c>
      <c r="BK3738">
        <v>10.11</v>
      </c>
      <c r="BL3738">
        <v>-7598.71</v>
      </c>
    </row>
    <row r="3739" spans="1:64" x14ac:dyDescent="0.25">
      <c r="A3739" s="136">
        <v>43738</v>
      </c>
      <c r="B3739" t="s">
        <v>77</v>
      </c>
      <c r="C3739" t="s">
        <v>150</v>
      </c>
      <c r="D3739">
        <v>6900</v>
      </c>
      <c r="E3739">
        <v>6900</v>
      </c>
      <c r="F3739">
        <v>5.1159999999999997</v>
      </c>
      <c r="G3739">
        <v>-10596.23</v>
      </c>
      <c r="H3739">
        <v>-30.02</v>
      </c>
      <c r="I3739">
        <v>24702</v>
      </c>
      <c r="J3739">
        <v>3.58</v>
      </c>
      <c r="K3739" s="133">
        <v>4.8843637461729324E-2</v>
      </c>
      <c r="L3739" s="181">
        <v>-1921</v>
      </c>
      <c r="M3739" s="133">
        <v>6.9795722984403591E-2</v>
      </c>
      <c r="N3739" s="73">
        <v>-10273.177999999993</v>
      </c>
      <c r="O3739" s="73">
        <v>-2640.0787597297276</v>
      </c>
      <c r="P3739" s="182">
        <v>8</v>
      </c>
      <c r="Q3739" s="182">
        <v>4000</v>
      </c>
      <c r="R3739" s="46">
        <v>4.2590000000000003</v>
      </c>
      <c r="S3739" s="46">
        <v>0</v>
      </c>
      <c r="T3739" s="46">
        <v>0</v>
      </c>
      <c r="U3739" s="46">
        <v>0</v>
      </c>
      <c r="V3739" s="46" t="s">
        <v>62</v>
      </c>
      <c r="W3739" s="46">
        <v>4000</v>
      </c>
      <c r="X3739" s="46">
        <v>4.2590000000000003</v>
      </c>
      <c r="AF3739" s="46">
        <v>55</v>
      </c>
      <c r="AG3739" s="46">
        <v>27500</v>
      </c>
      <c r="AH3739" s="46">
        <v>183254</v>
      </c>
      <c r="AI3739" s="46">
        <v>6.6639999999999997</v>
      </c>
      <c r="AJ3739" s="46">
        <v>55</v>
      </c>
      <c r="AK3739" s="46">
        <v>24600</v>
      </c>
      <c r="AL3739" s="46">
        <v>164737.82200000004</v>
      </c>
      <c r="AM3739" s="46">
        <v>6.6970000000000001</v>
      </c>
      <c r="AN3739" s="46" t="s">
        <v>63</v>
      </c>
      <c r="AO3739" s="46">
        <v>2900</v>
      </c>
      <c r="AP3739" s="46">
        <v>18516.178</v>
      </c>
      <c r="AQ3739" s="46">
        <v>6.3849999999999998</v>
      </c>
      <c r="AR3739" s="46">
        <v>811.8</v>
      </c>
      <c r="AS3739" s="46">
        <v>63</v>
      </c>
      <c r="AT3739" s="46">
        <v>31500</v>
      </c>
      <c r="AU3739" s="46">
        <v>200041</v>
      </c>
      <c r="AV3739" s="46">
        <v>6.351</v>
      </c>
      <c r="AW3739" s="46">
        <v>55</v>
      </c>
      <c r="AX3739" s="46">
        <v>24600</v>
      </c>
      <c r="AY3739" s="46">
        <v>164737.82200000004</v>
      </c>
      <c r="AZ3739" s="46">
        <v>6.6970000000000001</v>
      </c>
      <c r="BA3739" s="46" t="s">
        <v>63</v>
      </c>
      <c r="BB3739" s="46">
        <v>6900</v>
      </c>
      <c r="BC3739" s="46">
        <v>35303.178</v>
      </c>
      <c r="BD3739" s="46">
        <v>5.1159999999999997</v>
      </c>
      <c r="BE3739" s="46">
        <v>8511.6</v>
      </c>
      <c r="BF3739" s="46">
        <v>16787</v>
      </c>
      <c r="BG3739" s="46">
        <v>4.2</v>
      </c>
      <c r="BH3739" s="46">
        <v>0</v>
      </c>
      <c r="BJ3739">
        <v>16787</v>
      </c>
      <c r="BK3739">
        <v>4.2</v>
      </c>
      <c r="BL3739">
        <v>226.76</v>
      </c>
    </row>
    <row r="3740" spans="1:64" x14ac:dyDescent="0.25">
      <c r="A3740" s="136">
        <v>43738</v>
      </c>
      <c r="B3740" t="s">
        <v>67</v>
      </c>
      <c r="C3740" t="s">
        <v>129</v>
      </c>
      <c r="D3740">
        <v>2330</v>
      </c>
      <c r="E3740">
        <v>2330</v>
      </c>
      <c r="F3740">
        <v>4.6340000000000003</v>
      </c>
      <c r="G3740">
        <v>3787.6</v>
      </c>
      <c r="H3740">
        <v>35.08</v>
      </c>
      <c r="I3740">
        <v>14585.8</v>
      </c>
      <c r="J3740">
        <v>6.26</v>
      </c>
      <c r="K3740" s="133">
        <v>2.8840722503817161E-2</v>
      </c>
      <c r="L3740" s="181">
        <v>-630.59999999999991</v>
      </c>
      <c r="M3740" s="133">
        <v>2.1351443852289105E-2</v>
      </c>
      <c r="N3740" s="73">
        <v>3829.3914999999761</v>
      </c>
      <c r="O3740" s="73">
        <v>609.47082870222721</v>
      </c>
      <c r="P3740" s="182">
        <v>1</v>
      </c>
      <c r="Q3740" s="182">
        <v>30</v>
      </c>
      <c r="R3740" s="46">
        <v>0</v>
      </c>
      <c r="S3740" s="46">
        <v>21</v>
      </c>
      <c r="T3740" s="46">
        <v>8400</v>
      </c>
      <c r="U3740" s="46">
        <v>8.5749999999999993</v>
      </c>
      <c r="V3740" s="46" t="s">
        <v>68</v>
      </c>
      <c r="W3740" s="46">
        <v>8370</v>
      </c>
      <c r="X3740" s="46">
        <v>8.6059999999999999</v>
      </c>
      <c r="AF3740" s="46">
        <v>205</v>
      </c>
      <c r="AG3740" s="46">
        <v>101200</v>
      </c>
      <c r="AH3740" s="46">
        <v>833311</v>
      </c>
      <c r="AI3740" s="46">
        <v>8.234</v>
      </c>
      <c r="AJ3740" s="46">
        <v>209</v>
      </c>
      <c r="AK3740" s="46">
        <v>93100</v>
      </c>
      <c r="AL3740" s="46">
        <v>819783.63950000016</v>
      </c>
      <c r="AM3740" s="46">
        <v>8.8049999999999997</v>
      </c>
      <c r="AN3740" s="46" t="s">
        <v>63</v>
      </c>
      <c r="AO3740" s="46">
        <v>8100</v>
      </c>
      <c r="AP3740" s="46">
        <v>13527.36</v>
      </c>
      <c r="AQ3740" s="46">
        <v>1.67</v>
      </c>
      <c r="AR3740" s="46">
        <v>53160.1</v>
      </c>
      <c r="AS3740" s="46">
        <v>206</v>
      </c>
      <c r="AT3740" s="46">
        <v>101230</v>
      </c>
      <c r="AU3740" s="46">
        <v>833316</v>
      </c>
      <c r="AV3740" s="46">
        <v>8.2319999999999993</v>
      </c>
      <c r="AW3740" s="46">
        <v>230</v>
      </c>
      <c r="AX3740" s="46">
        <v>101500</v>
      </c>
      <c r="AY3740" s="46">
        <v>891641.10750000016</v>
      </c>
      <c r="AZ3740" s="46">
        <v>8.7850000000000001</v>
      </c>
      <c r="BA3740" s="46" t="s">
        <v>69</v>
      </c>
      <c r="BB3740" s="46">
        <v>270</v>
      </c>
      <c r="BC3740" s="46">
        <v>58325.108</v>
      </c>
      <c r="BD3740" s="46">
        <v>216.01900000000001</v>
      </c>
      <c r="BE3740" s="46">
        <v>55980.19</v>
      </c>
      <c r="BF3740" s="46">
        <v>5</v>
      </c>
      <c r="BG3740" s="46">
        <v>0.17</v>
      </c>
      <c r="BH3740" s="46">
        <v>71857.467999999993</v>
      </c>
      <c r="BI3740">
        <v>8.5500000000000007</v>
      </c>
      <c r="BJ3740">
        <v>44797.748</v>
      </c>
      <c r="BK3740">
        <v>5.35</v>
      </c>
      <c r="BL3740">
        <v>8492.0300000000007</v>
      </c>
    </row>
    <row r="3741" spans="1:64" x14ac:dyDescent="0.25">
      <c r="A3741" s="136">
        <v>43738</v>
      </c>
      <c r="B3741" t="s">
        <v>78</v>
      </c>
      <c r="C3741" t="s">
        <v>142</v>
      </c>
      <c r="D3741">
        <v>100</v>
      </c>
      <c r="E3741">
        <v>100</v>
      </c>
      <c r="F3741">
        <v>-5.867</v>
      </c>
      <c r="G3741">
        <v>1474.7</v>
      </c>
      <c r="H3741">
        <v>0</v>
      </c>
      <c r="I3741">
        <v>888</v>
      </c>
      <c r="J3741">
        <v>8.8800000000000008</v>
      </c>
      <c r="K3741" s="133">
        <v>1.7558558038221859E-3</v>
      </c>
      <c r="L3741" s="181">
        <v>-82</v>
      </c>
      <c r="M3741" s="133">
        <v>0</v>
      </c>
      <c r="N3741" s="73">
        <v>1576.660999999996</v>
      </c>
      <c r="O3741" s="73">
        <v>159.17905752525212</v>
      </c>
      <c r="P3741" s="182">
        <v>0</v>
      </c>
      <c r="Q3741" s="182">
        <v>0</v>
      </c>
      <c r="R3741" s="46">
        <v>0</v>
      </c>
      <c r="S3741" s="46">
        <v>4</v>
      </c>
      <c r="T3741" s="46">
        <v>1300</v>
      </c>
      <c r="U3741" s="46">
        <v>9.9220000000000006</v>
      </c>
      <c r="V3741" s="46" t="s">
        <v>68</v>
      </c>
      <c r="W3741" s="46">
        <v>1300</v>
      </c>
      <c r="X3741" s="46">
        <v>9.9220000000000006</v>
      </c>
      <c r="AF3741" s="46">
        <v>14</v>
      </c>
      <c r="AG3741" s="46">
        <v>7000</v>
      </c>
      <c r="AH3741" s="46">
        <v>67625</v>
      </c>
      <c r="AI3741" s="46">
        <v>9.6609999999999996</v>
      </c>
      <c r="AJ3741" s="46">
        <v>15</v>
      </c>
      <c r="AK3741" s="46">
        <v>5600</v>
      </c>
      <c r="AL3741" s="46">
        <v>55310.559000000008</v>
      </c>
      <c r="AM3741" s="46">
        <v>9.8770000000000007</v>
      </c>
      <c r="AN3741" s="46" t="s">
        <v>63</v>
      </c>
      <c r="AO3741" s="46">
        <v>1400</v>
      </c>
      <c r="AP3741" s="46">
        <v>12314.441000000001</v>
      </c>
      <c r="AQ3741" s="46">
        <v>8.7959999999999994</v>
      </c>
      <c r="AR3741" s="46">
        <v>1209.5999999999999</v>
      </c>
      <c r="AS3741" s="46">
        <v>14</v>
      </c>
      <c r="AT3741" s="46">
        <v>7000</v>
      </c>
      <c r="AU3741" s="46">
        <v>67625</v>
      </c>
      <c r="AV3741" s="46">
        <v>9.6609999999999996</v>
      </c>
      <c r="AW3741" s="46">
        <v>19</v>
      </c>
      <c r="AX3741" s="46">
        <v>6900</v>
      </c>
      <c r="AY3741" s="46">
        <v>68211.661000000007</v>
      </c>
      <c r="AZ3741" s="46">
        <v>9.8859999999999992</v>
      </c>
      <c r="BA3741" s="46" t="s">
        <v>63</v>
      </c>
      <c r="BB3741" s="46">
        <v>100</v>
      </c>
      <c r="BC3741" s="46">
        <v>586.66099999999994</v>
      </c>
      <c r="BD3741" s="46">
        <v>5.867</v>
      </c>
      <c r="BE3741" s="46">
        <v>1552.5</v>
      </c>
      <c r="BF3741" s="46">
        <v>0</v>
      </c>
      <c r="BH3741" s="46">
        <v>12901.101999999999</v>
      </c>
      <c r="BI3741">
        <v>9.92</v>
      </c>
      <c r="BJ3741">
        <v>-11727.78</v>
      </c>
      <c r="BK3741">
        <v>-9.02</v>
      </c>
      <c r="BL3741">
        <v>136.22</v>
      </c>
    </row>
    <row r="3742" spans="1:64" x14ac:dyDescent="0.25">
      <c r="A3742" s="136">
        <v>43738</v>
      </c>
      <c r="B3742" t="s">
        <v>72</v>
      </c>
      <c r="C3742" t="s">
        <v>130</v>
      </c>
      <c r="D3742">
        <v>100</v>
      </c>
      <c r="E3742">
        <v>100</v>
      </c>
      <c r="F3742">
        <v>-18.477</v>
      </c>
      <c r="G3742">
        <v>2319.6999999999998</v>
      </c>
      <c r="H3742">
        <v>0</v>
      </c>
      <c r="I3742">
        <v>472</v>
      </c>
      <c r="J3742">
        <v>4.72</v>
      </c>
      <c r="K3742" s="133">
        <v>9.3329272455413485E-4</v>
      </c>
      <c r="L3742" s="181">
        <v>-7</v>
      </c>
      <c r="M3742" s="133">
        <v>0</v>
      </c>
      <c r="N3742" s="73">
        <v>-1498.9659999999872</v>
      </c>
      <c r="O3742" s="73">
        <v>376.42007904191922</v>
      </c>
      <c r="P3742" s="182">
        <v>0</v>
      </c>
      <c r="Q3742" s="182">
        <v>0</v>
      </c>
      <c r="R3742" s="46">
        <v>0</v>
      </c>
      <c r="S3742" s="46">
        <v>20</v>
      </c>
      <c r="T3742" s="46">
        <v>8600</v>
      </c>
      <c r="U3742" s="46">
        <v>7.3840000000000003</v>
      </c>
      <c r="V3742" s="46" t="s">
        <v>68</v>
      </c>
      <c r="W3742" s="46">
        <v>8600</v>
      </c>
      <c r="X3742" s="46">
        <v>7.3840000000000003</v>
      </c>
      <c r="AF3742" s="46">
        <v>42</v>
      </c>
      <c r="AG3742" s="46">
        <v>20900</v>
      </c>
      <c r="AH3742" s="46">
        <v>152800</v>
      </c>
      <c r="AI3742" s="46">
        <v>7.3109999999999999</v>
      </c>
      <c r="AJ3742" s="46">
        <v>42</v>
      </c>
      <c r="AK3742" s="46">
        <v>18800</v>
      </c>
      <c r="AL3742" s="46">
        <v>92037.725000000035</v>
      </c>
      <c r="AM3742" s="46">
        <v>4.8959999999999999</v>
      </c>
      <c r="AN3742" s="46" t="s">
        <v>63</v>
      </c>
      <c r="AO3742" s="46">
        <v>2100</v>
      </c>
      <c r="AP3742" s="46">
        <v>60762.275000000001</v>
      </c>
      <c r="AQ3742" s="46">
        <v>28.934000000000001</v>
      </c>
      <c r="AR3742" s="46">
        <v>-45402</v>
      </c>
      <c r="AS3742" s="46">
        <v>42</v>
      </c>
      <c r="AT3742" s="46">
        <v>20900</v>
      </c>
      <c r="AU3742" s="46">
        <v>152800</v>
      </c>
      <c r="AV3742" s="46">
        <v>7.3109999999999999</v>
      </c>
      <c r="AW3742" s="46">
        <v>63</v>
      </c>
      <c r="AX3742" s="46">
        <v>27900</v>
      </c>
      <c r="AY3742" s="46">
        <v>155380.21900000001</v>
      </c>
      <c r="AZ3742" s="46">
        <v>5.569</v>
      </c>
      <c r="BA3742" s="46" t="s">
        <v>69</v>
      </c>
      <c r="BB3742" s="46">
        <v>7000</v>
      </c>
      <c r="BC3742" s="46">
        <v>2580.2190000000001</v>
      </c>
      <c r="BD3742" s="46">
        <v>0.36899999999999999</v>
      </c>
      <c r="BE3742" s="46">
        <v>-36407.800000000003</v>
      </c>
      <c r="BF3742" s="46">
        <v>0</v>
      </c>
      <c r="BH3742" s="46">
        <v>63342.493999999977</v>
      </c>
      <c r="BI3742">
        <v>7.37</v>
      </c>
      <c r="BJ3742">
        <v>-58182.056000000004</v>
      </c>
      <c r="BK3742">
        <v>-6.77</v>
      </c>
      <c r="BL3742">
        <v>-9619.07</v>
      </c>
    </row>
    <row r="3743" spans="1:64" x14ac:dyDescent="0.25">
      <c r="A3743" s="136">
        <v>43738</v>
      </c>
      <c r="B3743" t="s">
        <v>70</v>
      </c>
      <c r="C3743" t="s">
        <v>131</v>
      </c>
      <c r="D3743">
        <v>14480</v>
      </c>
      <c r="E3743">
        <v>14480</v>
      </c>
      <c r="F3743">
        <v>8.5640000000000001</v>
      </c>
      <c r="G3743">
        <v>-13519.2</v>
      </c>
      <c r="H3743">
        <v>-10.9</v>
      </c>
      <c r="I3743">
        <v>110482.4</v>
      </c>
      <c r="J3743">
        <v>7.63</v>
      </c>
      <c r="K3743" s="133">
        <v>0.21845851718491471</v>
      </c>
      <c r="L3743" s="181">
        <v>-6371.4500000000007</v>
      </c>
      <c r="M3743" s="133">
        <v>0.24519023540905086</v>
      </c>
      <c r="N3743" s="73">
        <v>-13552.137000000017</v>
      </c>
      <c r="O3743" s="73">
        <v>-1775.2766620576695</v>
      </c>
      <c r="P3743" s="182">
        <v>3</v>
      </c>
      <c r="Q3743" s="182">
        <v>1400</v>
      </c>
      <c r="R3743" s="46">
        <v>7.8040000000000003</v>
      </c>
      <c r="S3743" s="46">
        <v>9</v>
      </c>
      <c r="T3743" s="46">
        <v>3700</v>
      </c>
      <c r="U3743" s="46">
        <v>8.9719999999999995</v>
      </c>
      <c r="V3743" s="46" t="s">
        <v>68</v>
      </c>
      <c r="W3743" s="46">
        <v>2300</v>
      </c>
      <c r="X3743" s="46">
        <v>9.6829999999999998</v>
      </c>
      <c r="AF3743" s="46">
        <v>190</v>
      </c>
      <c r="AG3743" s="46">
        <v>96980</v>
      </c>
      <c r="AH3743" s="46">
        <v>1118761</v>
      </c>
      <c r="AI3743" s="46">
        <v>11.536</v>
      </c>
      <c r="AJ3743" s="46">
        <v>199</v>
      </c>
      <c r="AK3743" s="46">
        <v>80200</v>
      </c>
      <c r="AL3743" s="46">
        <v>970373.65899999964</v>
      </c>
      <c r="AM3743" s="46">
        <v>12.099</v>
      </c>
      <c r="AN3743" s="46" t="s">
        <v>63</v>
      </c>
      <c r="AO3743" s="46">
        <v>16780</v>
      </c>
      <c r="AP3743" s="46">
        <v>148387.34099999999</v>
      </c>
      <c r="AQ3743" s="46">
        <v>8.843</v>
      </c>
      <c r="AR3743" s="46">
        <v>45152.6</v>
      </c>
      <c r="AS3743" s="46">
        <v>193</v>
      </c>
      <c r="AT3743" s="46">
        <v>98380</v>
      </c>
      <c r="AU3743" s="46">
        <v>1129701</v>
      </c>
      <c r="AV3743" s="46">
        <v>11.483000000000001</v>
      </c>
      <c r="AW3743" s="46">
        <v>209</v>
      </c>
      <c r="AX3743" s="46">
        <v>83900</v>
      </c>
      <c r="AY3743" s="46">
        <v>1003896.4629999993</v>
      </c>
      <c r="AZ3743" s="46">
        <v>11.965</v>
      </c>
      <c r="BA3743" s="46" t="s">
        <v>63</v>
      </c>
      <c r="BB3743" s="46">
        <v>14480</v>
      </c>
      <c r="BC3743" s="46">
        <v>125804.537</v>
      </c>
      <c r="BD3743" s="46">
        <v>8.6880000000000006</v>
      </c>
      <c r="BE3743" s="46">
        <v>40439.800000000003</v>
      </c>
      <c r="BF3743" s="46">
        <v>10940</v>
      </c>
      <c r="BG3743" s="46">
        <v>7.81</v>
      </c>
      <c r="BH3743" s="46">
        <v>33522.803999999654</v>
      </c>
      <c r="BI3743">
        <v>9.06</v>
      </c>
      <c r="BJ3743">
        <v>-22582.803999999989</v>
      </c>
      <c r="BK3743">
        <v>-9.82</v>
      </c>
      <c r="BL3743">
        <v>5917.77</v>
      </c>
    </row>
    <row r="3744" spans="1:64" x14ac:dyDescent="0.25">
      <c r="A3744" s="136">
        <v>43738</v>
      </c>
      <c r="B3744" t="s">
        <v>628</v>
      </c>
      <c r="C3744" t="s">
        <v>629</v>
      </c>
      <c r="D3744">
        <v>100</v>
      </c>
      <c r="E3744">
        <v>100</v>
      </c>
      <c r="F3744">
        <v>-22.369</v>
      </c>
      <c r="G3744">
        <v>3828.9</v>
      </c>
      <c r="H3744">
        <v>0</v>
      </c>
      <c r="I3744">
        <v>1592</v>
      </c>
      <c r="J3744">
        <v>15.92</v>
      </c>
      <c r="K3744" s="133">
        <v>3.1478856302758107E-3</v>
      </c>
      <c r="L3744" s="181">
        <v>-189</v>
      </c>
      <c r="M3744" s="133">
        <v>0</v>
      </c>
    </row>
    <row r="3745" spans="1:64" x14ac:dyDescent="0.25">
      <c r="A3745" s="136">
        <v>43738</v>
      </c>
      <c r="B3745" t="s">
        <v>630</v>
      </c>
      <c r="C3745" t="s">
        <v>631</v>
      </c>
      <c r="D3745">
        <v>100</v>
      </c>
      <c r="E3745">
        <v>100</v>
      </c>
      <c r="F3745">
        <v>-94.6</v>
      </c>
      <c r="G3745">
        <v>11540</v>
      </c>
      <c r="H3745">
        <v>0</v>
      </c>
      <c r="I3745">
        <v>2080</v>
      </c>
      <c r="J3745">
        <v>20.8</v>
      </c>
      <c r="K3745" s="133">
        <v>4.1128153963402555E-3</v>
      </c>
      <c r="L3745" s="181">
        <v>-178</v>
      </c>
      <c r="M3745" s="133">
        <v>0</v>
      </c>
    </row>
    <row r="3746" spans="1:64" x14ac:dyDescent="0.25">
      <c r="A3746" s="136">
        <v>43738</v>
      </c>
      <c r="B3746" t="s">
        <v>768</v>
      </c>
      <c r="C3746" t="s">
        <v>769</v>
      </c>
      <c r="D3746">
        <v>500</v>
      </c>
      <c r="E3746">
        <v>500</v>
      </c>
      <c r="F3746">
        <v>2.4900000000000002</v>
      </c>
      <c r="G3746">
        <v>855</v>
      </c>
      <c r="H3746">
        <v>68.67</v>
      </c>
      <c r="I3746">
        <v>2100</v>
      </c>
      <c r="J3746">
        <v>4.2</v>
      </c>
      <c r="K3746" s="133">
        <v>4.1523616982281422E-3</v>
      </c>
      <c r="L3746" s="181">
        <v>-190</v>
      </c>
      <c r="M3746" s="133">
        <v>2.4617572925209703E-3</v>
      </c>
    </row>
    <row r="3747" spans="1:64" x14ac:dyDescent="0.25">
      <c r="A3747" s="136">
        <v>43738</v>
      </c>
      <c r="B3747" t="s">
        <v>137</v>
      </c>
      <c r="C3747" t="s">
        <v>149</v>
      </c>
      <c r="D3747">
        <v>150</v>
      </c>
      <c r="E3747">
        <v>150</v>
      </c>
      <c r="F3747">
        <v>-87.406999999999996</v>
      </c>
      <c r="G3747">
        <v>16883.55</v>
      </c>
      <c r="H3747">
        <v>0</v>
      </c>
      <c r="I3747">
        <v>3772.5</v>
      </c>
      <c r="J3747">
        <v>25.15</v>
      </c>
      <c r="K3747" s="133">
        <v>7.4594211936026989E-3</v>
      </c>
      <c r="L3747" s="181">
        <v>-52.5</v>
      </c>
      <c r="M3747" s="133">
        <v>0</v>
      </c>
    </row>
    <row r="3748" spans="1:64" x14ac:dyDescent="0.25">
      <c r="A3748" s="136">
        <v>43738</v>
      </c>
      <c r="B3748" t="s">
        <v>835</v>
      </c>
      <c r="C3748" t="s">
        <v>839</v>
      </c>
      <c r="I3748">
        <v>4568.37</v>
      </c>
      <c r="K3748" s="133">
        <v>9.0331069577783332E-3</v>
      </c>
      <c r="L3748" s="181">
        <v>0</v>
      </c>
      <c r="M3748" s="133">
        <v>9.0347283561557357E-3</v>
      </c>
    </row>
    <row r="3749" spans="1:64" x14ac:dyDescent="0.25">
      <c r="A3749" s="136">
        <v>43753</v>
      </c>
      <c r="B3749" t="s">
        <v>132</v>
      </c>
      <c r="C3749" t="s">
        <v>123</v>
      </c>
      <c r="D3749">
        <v>2500082</v>
      </c>
      <c r="E3749">
        <v>2500082</v>
      </c>
      <c r="F3749">
        <v>8.0000000000000002E-3</v>
      </c>
      <c r="G3749">
        <v>4070.67</v>
      </c>
      <c r="H3749">
        <v>25</v>
      </c>
      <c r="I3749">
        <v>25000.82</v>
      </c>
      <c r="J3749">
        <v>0.01</v>
      </c>
      <c r="K3749" s="133">
        <v>4.7895862025206647E-2</v>
      </c>
      <c r="L3749" s="181">
        <v>2.6000000000294676E-2</v>
      </c>
      <c r="M3749" s="133">
        <v>0</v>
      </c>
    </row>
    <row r="3750" spans="1:64" x14ac:dyDescent="0.25">
      <c r="A3750" s="136">
        <v>43753</v>
      </c>
      <c r="B3750" t="s">
        <v>61</v>
      </c>
      <c r="C3750" t="s">
        <v>136</v>
      </c>
      <c r="D3750">
        <v>3300</v>
      </c>
      <c r="E3750">
        <v>3300</v>
      </c>
      <c r="F3750">
        <v>4.633</v>
      </c>
      <c r="G3750">
        <v>-1460.52</v>
      </c>
      <c r="H3750">
        <v>-9.5500000000000007</v>
      </c>
      <c r="I3750">
        <v>13827</v>
      </c>
      <c r="J3750">
        <v>4.1900000000000004</v>
      </c>
      <c r="K3750" s="133">
        <v>2.6489374517417123E-2</v>
      </c>
      <c r="L3750" s="181">
        <v>264</v>
      </c>
      <c r="M3750" s="133">
        <v>2.928739731847144E-2</v>
      </c>
      <c r="N3750" s="73">
        <v>599.38700000000608</v>
      </c>
      <c r="O3750" s="73">
        <v>-289.75481537558687</v>
      </c>
      <c r="P3750" s="182">
        <v>2</v>
      </c>
      <c r="Q3750" s="182">
        <v>1000</v>
      </c>
      <c r="R3750" s="46">
        <v>4.33</v>
      </c>
      <c r="S3750" s="46">
        <v>0</v>
      </c>
      <c r="T3750" s="46">
        <v>0</v>
      </c>
      <c r="U3750" s="46">
        <v>0</v>
      </c>
      <c r="V3750" s="46" t="s">
        <v>62</v>
      </c>
      <c r="W3750" s="46">
        <v>1000</v>
      </c>
      <c r="X3750" s="46">
        <v>4.33</v>
      </c>
      <c r="AF3750" s="46">
        <v>24</v>
      </c>
      <c r="AG3750" s="46">
        <v>12000</v>
      </c>
      <c r="AH3750" s="46">
        <v>58852.200000000012</v>
      </c>
      <c r="AI3750" s="46">
        <v>4.9039999999999999</v>
      </c>
      <c r="AJ3750" s="46">
        <v>24</v>
      </c>
      <c r="AK3750" s="46">
        <v>9700</v>
      </c>
      <c r="AL3750" s="46">
        <v>47899.82699999999</v>
      </c>
      <c r="AM3750" s="46">
        <v>4.9379999999999997</v>
      </c>
      <c r="AN3750" s="46" t="s">
        <v>63</v>
      </c>
      <c r="AO3750" s="46">
        <v>2300</v>
      </c>
      <c r="AP3750" s="46">
        <v>10952.373</v>
      </c>
      <c r="AQ3750" s="46">
        <v>4.7619999999999996</v>
      </c>
      <c r="AR3750" s="46">
        <v>329.8</v>
      </c>
      <c r="AS3750" s="46">
        <v>26</v>
      </c>
      <c r="AT3750" s="46">
        <v>13000</v>
      </c>
      <c r="AU3750" s="46">
        <v>63192.800000000017</v>
      </c>
      <c r="AV3750" s="46">
        <v>4.8609999999999998</v>
      </c>
      <c r="AW3750" s="46">
        <v>24</v>
      </c>
      <c r="AX3750" s="46">
        <v>9700</v>
      </c>
      <c r="AY3750" s="46">
        <v>47899.82699999999</v>
      </c>
      <c r="AZ3750" s="46">
        <v>4.9379999999999997</v>
      </c>
      <c r="BA3750" s="46" t="s">
        <v>63</v>
      </c>
      <c r="BB3750" s="46">
        <v>3300</v>
      </c>
      <c r="BC3750" s="46">
        <v>15292.973</v>
      </c>
      <c r="BD3750" s="46">
        <v>4.6340000000000003</v>
      </c>
      <c r="BE3750" s="46">
        <v>746.9</v>
      </c>
      <c r="BF3750" s="46">
        <v>4340.6000000000058</v>
      </c>
      <c r="BG3750" s="46">
        <v>4.34</v>
      </c>
      <c r="BH3750" s="46">
        <v>0</v>
      </c>
      <c r="BJ3750">
        <v>4340.6000000000004</v>
      </c>
      <c r="BK3750">
        <v>4.34</v>
      </c>
      <c r="BL3750">
        <v>78.709999999999994</v>
      </c>
    </row>
    <row r="3751" spans="1:64" x14ac:dyDescent="0.25">
      <c r="A3751" s="136">
        <v>43753</v>
      </c>
      <c r="B3751" t="s">
        <v>124</v>
      </c>
      <c r="C3751" t="s">
        <v>125</v>
      </c>
      <c r="D3751">
        <v>100</v>
      </c>
      <c r="E3751">
        <v>100</v>
      </c>
      <c r="F3751">
        <v>-54.070999999999998</v>
      </c>
      <c r="G3751">
        <v>5979.1</v>
      </c>
      <c r="H3751">
        <v>0</v>
      </c>
      <c r="I3751">
        <v>572</v>
      </c>
      <c r="J3751">
        <v>5.72</v>
      </c>
      <c r="K3751" s="133">
        <v>1.0958213801954577E-3</v>
      </c>
      <c r="L3751" s="181">
        <v>19</v>
      </c>
      <c r="M3751" s="133">
        <v>0</v>
      </c>
      <c r="N3751" s="73">
        <v>5573.0690000000113</v>
      </c>
      <c r="O3751" s="73">
        <v>1102.4501845505636</v>
      </c>
      <c r="P3751" s="182">
        <v>0</v>
      </c>
      <c r="Q3751" s="182">
        <v>0</v>
      </c>
      <c r="R3751" s="46">
        <v>0</v>
      </c>
      <c r="S3751" s="46">
        <v>5</v>
      </c>
      <c r="T3751" s="46">
        <v>2300</v>
      </c>
      <c r="U3751" s="46">
        <v>4.99</v>
      </c>
      <c r="V3751" s="46" t="s">
        <v>68</v>
      </c>
      <c r="W3751" s="46">
        <v>2300</v>
      </c>
      <c r="X3751" s="46">
        <v>4.99</v>
      </c>
      <c r="AF3751" s="46">
        <v>50</v>
      </c>
      <c r="AG3751" s="46">
        <v>36700</v>
      </c>
      <c r="AH3751" s="46">
        <v>180101.02000000002</v>
      </c>
      <c r="AI3751" s="46">
        <v>4.907</v>
      </c>
      <c r="AJ3751" s="46">
        <v>58</v>
      </c>
      <c r="AK3751" s="46">
        <v>35300</v>
      </c>
      <c r="AL3751" s="46">
        <v>178266.546</v>
      </c>
      <c r="AM3751" s="46">
        <v>5.05</v>
      </c>
      <c r="AN3751" s="46" t="s">
        <v>63</v>
      </c>
      <c r="AO3751" s="46">
        <v>1400</v>
      </c>
      <c r="AP3751" s="46">
        <v>1834.4739999999999</v>
      </c>
      <c r="AQ3751" s="46">
        <v>1.31</v>
      </c>
      <c r="AR3751" s="46">
        <v>5047.8999999999996</v>
      </c>
      <c r="AS3751" s="46">
        <v>51</v>
      </c>
      <c r="AT3751" s="46">
        <v>37700</v>
      </c>
      <c r="AU3751" s="46">
        <v>185106.62</v>
      </c>
      <c r="AV3751" s="46">
        <v>4.91</v>
      </c>
      <c r="AW3751" s="46">
        <v>63</v>
      </c>
      <c r="AX3751" s="46">
        <v>37600</v>
      </c>
      <c r="AY3751" s="46">
        <v>189713.68900000001</v>
      </c>
      <c r="AZ3751" s="46">
        <v>5.0460000000000003</v>
      </c>
      <c r="BA3751" s="46" t="s">
        <v>63</v>
      </c>
      <c r="BB3751" s="46">
        <v>100</v>
      </c>
      <c r="BC3751" s="46">
        <v>4607.0690000000004</v>
      </c>
      <c r="BD3751" s="46">
        <v>46.070999999999998</v>
      </c>
      <c r="BE3751" s="46">
        <v>5113.6000000000004</v>
      </c>
      <c r="BF3751" s="46">
        <v>5005.5999999999767</v>
      </c>
      <c r="BH3751" s="46">
        <v>11447.143000000011</v>
      </c>
      <c r="BI3751">
        <v>4.9800000000000004</v>
      </c>
      <c r="BJ3751">
        <v>2772.5950000000003</v>
      </c>
      <c r="BK3751">
        <v>1.21</v>
      </c>
      <c r="BL3751">
        <v>882.5</v>
      </c>
    </row>
    <row r="3752" spans="1:64" x14ac:dyDescent="0.25">
      <c r="A3752" s="136">
        <v>43753</v>
      </c>
      <c r="B3752" t="s">
        <v>71</v>
      </c>
      <c r="C3752" t="s">
        <v>126</v>
      </c>
      <c r="D3752">
        <v>2800</v>
      </c>
      <c r="E3752">
        <v>2800</v>
      </c>
      <c r="F3752">
        <v>4.8620000000000001</v>
      </c>
      <c r="G3752">
        <v>3466.15</v>
      </c>
      <c r="H3752">
        <v>25.46</v>
      </c>
      <c r="I3752">
        <v>17080</v>
      </c>
      <c r="J3752">
        <v>6.1</v>
      </c>
      <c r="K3752" s="133">
        <v>3.2721379674367862E-2</v>
      </c>
      <c r="L3752" s="181">
        <v>1585.0700000000002</v>
      </c>
      <c r="M3752" s="133">
        <v>2.6081027791562818E-2</v>
      </c>
      <c r="N3752" s="73">
        <v>3970.0360000000055</v>
      </c>
      <c r="O3752" s="73">
        <v>579.15522866449601</v>
      </c>
      <c r="P3752" s="182">
        <v>0</v>
      </c>
      <c r="Q3752" s="182">
        <v>0</v>
      </c>
      <c r="R3752" s="46">
        <v>0</v>
      </c>
      <c r="S3752" s="46">
        <v>5</v>
      </c>
      <c r="T3752" s="46">
        <v>2000</v>
      </c>
      <c r="U3752" s="46">
        <v>6.1</v>
      </c>
      <c r="V3752" s="46" t="s">
        <v>68</v>
      </c>
      <c r="W3752" s="46">
        <v>2000</v>
      </c>
      <c r="X3752" s="46">
        <v>6.1</v>
      </c>
      <c r="AF3752" s="46">
        <v>58</v>
      </c>
      <c r="AG3752" s="46">
        <v>30100</v>
      </c>
      <c r="AH3752" s="46">
        <v>189294.02999999991</v>
      </c>
      <c r="AI3752" s="46">
        <v>6.2889999999999997</v>
      </c>
      <c r="AJ3752" s="46">
        <v>58</v>
      </c>
      <c r="AK3752" s="46">
        <v>25300</v>
      </c>
      <c r="AL3752" s="46">
        <v>163337.022</v>
      </c>
      <c r="AM3752" s="46">
        <v>6.4560000000000004</v>
      </c>
      <c r="AN3752" s="46" t="s">
        <v>63</v>
      </c>
      <c r="AO3752" s="46">
        <v>4800</v>
      </c>
      <c r="AP3752" s="46">
        <v>25957.008000000002</v>
      </c>
      <c r="AQ3752" s="46">
        <v>5.4080000000000004</v>
      </c>
      <c r="AR3752" s="46">
        <v>4225.1000000000004</v>
      </c>
      <c r="AS3752" s="46">
        <v>58</v>
      </c>
      <c r="AT3752" s="46">
        <v>30100</v>
      </c>
      <c r="AU3752" s="46">
        <v>189294.02999999991</v>
      </c>
      <c r="AV3752" s="46">
        <v>6.2889999999999997</v>
      </c>
      <c r="AW3752" s="46">
        <v>63</v>
      </c>
      <c r="AX3752" s="46">
        <v>27300</v>
      </c>
      <c r="AY3752" s="46">
        <v>175498.622</v>
      </c>
      <c r="AZ3752" s="46">
        <v>6.4290000000000003</v>
      </c>
      <c r="BA3752" s="46" t="s">
        <v>63</v>
      </c>
      <c r="BB3752" s="46">
        <v>2800</v>
      </c>
      <c r="BC3752" s="46">
        <v>13795.407999999999</v>
      </c>
      <c r="BD3752" s="46">
        <v>4.9269999999999996</v>
      </c>
      <c r="BE3752" s="46">
        <v>3822</v>
      </c>
      <c r="BF3752" s="46">
        <v>0</v>
      </c>
      <c r="BH3752" s="46">
        <v>12161.600000000006</v>
      </c>
      <c r="BI3752">
        <v>6.08</v>
      </c>
      <c r="BJ3752">
        <v>-12161.600000000002</v>
      </c>
      <c r="BK3752">
        <v>-6.08</v>
      </c>
      <c r="BL3752">
        <v>692.64</v>
      </c>
    </row>
    <row r="3753" spans="1:64" x14ac:dyDescent="0.25">
      <c r="A3753" s="136">
        <v>43753</v>
      </c>
      <c r="B3753" t="s">
        <v>79</v>
      </c>
      <c r="C3753" t="s">
        <v>143</v>
      </c>
      <c r="D3753">
        <v>13520</v>
      </c>
      <c r="E3753">
        <v>13520</v>
      </c>
      <c r="F3753">
        <v>9.7759999999999998</v>
      </c>
      <c r="G3753">
        <v>-36182.160000000003</v>
      </c>
      <c r="H3753">
        <v>-27.38</v>
      </c>
      <c r="I3753">
        <v>95992</v>
      </c>
      <c r="J3753">
        <v>7.1</v>
      </c>
      <c r="K3753" s="133">
        <v>0.18389875162189226</v>
      </c>
      <c r="L3753" s="181">
        <v>1825.679999999993</v>
      </c>
      <c r="M3753" s="133">
        <v>0.25321550775764906</v>
      </c>
      <c r="N3753" s="73">
        <v>-35393.82400000027</v>
      </c>
      <c r="O3753" s="73">
        <v>-4940.7998726257365</v>
      </c>
      <c r="P3753" s="182">
        <v>14</v>
      </c>
      <c r="Q3753" s="182">
        <v>9220</v>
      </c>
      <c r="R3753" s="46">
        <v>5.585</v>
      </c>
      <c r="S3753" s="46">
        <v>0</v>
      </c>
      <c r="T3753" s="46">
        <v>0</v>
      </c>
      <c r="U3753" s="46">
        <v>0</v>
      </c>
      <c r="V3753" s="46" t="s">
        <v>62</v>
      </c>
      <c r="W3753" s="46">
        <v>9220</v>
      </c>
      <c r="X3753" s="46">
        <v>5.585</v>
      </c>
      <c r="AF3753" s="46">
        <v>42</v>
      </c>
      <c r="AG3753" s="46">
        <v>21500</v>
      </c>
      <c r="AH3753" s="46">
        <v>290207.89999999973</v>
      </c>
      <c r="AI3753" s="46">
        <v>13.497999999999999</v>
      </c>
      <c r="AJ3753" s="46">
        <v>43</v>
      </c>
      <c r="AK3753" s="46">
        <v>17200</v>
      </c>
      <c r="AL3753" s="46">
        <v>209579.40799999976</v>
      </c>
      <c r="AM3753" s="46">
        <v>12.185</v>
      </c>
      <c r="AN3753" s="46" t="s">
        <v>63</v>
      </c>
      <c r="AO3753" s="46">
        <v>4300</v>
      </c>
      <c r="AP3753" s="46">
        <v>80628.491999999998</v>
      </c>
      <c r="AQ3753" s="46">
        <v>18.751000000000001</v>
      </c>
      <c r="AR3753" s="46">
        <v>-22583.599999999999</v>
      </c>
      <c r="AS3753" s="46">
        <v>56</v>
      </c>
      <c r="AT3753" s="46">
        <v>30720</v>
      </c>
      <c r="AU3753" s="46">
        <v>341776.43199999956</v>
      </c>
      <c r="AV3753" s="46">
        <v>11.125999999999999</v>
      </c>
      <c r="AW3753" s="46">
        <v>43</v>
      </c>
      <c r="AX3753" s="46">
        <v>17200</v>
      </c>
      <c r="AY3753" s="46">
        <v>209579.40799999976</v>
      </c>
      <c r="AZ3753" s="46">
        <v>12.185</v>
      </c>
      <c r="BA3753" s="46" t="s">
        <v>63</v>
      </c>
      <c r="BB3753" s="46">
        <v>13520</v>
      </c>
      <c r="BC3753" s="46">
        <v>132197.024</v>
      </c>
      <c r="BD3753" s="46">
        <v>9.7780000000000005</v>
      </c>
      <c r="BE3753" s="46">
        <v>18214.8</v>
      </c>
      <c r="BF3753" s="46">
        <v>51568.531999999832</v>
      </c>
      <c r="BG3753" s="46">
        <v>5.59</v>
      </c>
      <c r="BH3753" s="46">
        <v>0</v>
      </c>
      <c r="BJ3753">
        <v>51568.532000000007</v>
      </c>
      <c r="BK3753">
        <v>5.59</v>
      </c>
      <c r="BL3753">
        <v>-3180.79</v>
      </c>
    </row>
    <row r="3754" spans="1:64" x14ac:dyDescent="0.25">
      <c r="A3754" s="136">
        <v>43753</v>
      </c>
      <c r="B3754" t="s">
        <v>749</v>
      </c>
      <c r="C3754" t="s">
        <v>750</v>
      </c>
      <c r="D3754">
        <v>500</v>
      </c>
      <c r="E3754">
        <v>500</v>
      </c>
      <c r="F3754">
        <v>5.85</v>
      </c>
      <c r="G3754">
        <v>1250</v>
      </c>
      <c r="H3754">
        <v>42.74</v>
      </c>
      <c r="I3754">
        <v>4175</v>
      </c>
      <c r="J3754">
        <v>8.35</v>
      </c>
      <c r="K3754" s="133">
        <v>7.9983466124406224E-3</v>
      </c>
      <c r="L3754" s="181">
        <v>-55</v>
      </c>
      <c r="M3754" s="133">
        <v>5.6036320578176819E-3</v>
      </c>
    </row>
    <row r="3755" spans="1:64" x14ac:dyDescent="0.25">
      <c r="A3755" s="136">
        <v>43753</v>
      </c>
      <c r="B3755" t="s">
        <v>65</v>
      </c>
      <c r="C3755" t="s">
        <v>127</v>
      </c>
      <c r="D3755">
        <v>25000</v>
      </c>
      <c r="E3755">
        <v>25000</v>
      </c>
      <c r="F3755">
        <v>8.4280000000000008</v>
      </c>
      <c r="G3755">
        <v>-9194.2000000000007</v>
      </c>
      <c r="H3755">
        <v>-4.3600000000000003</v>
      </c>
      <c r="I3755">
        <v>201500</v>
      </c>
      <c r="J3755">
        <v>8.06</v>
      </c>
      <c r="K3755" s="133">
        <v>0.38602798620521805</v>
      </c>
      <c r="L3755" s="181">
        <v>9467.1699999999983</v>
      </c>
      <c r="M3755" s="133">
        <v>0.40364197385170947</v>
      </c>
      <c r="N3755" s="73">
        <v>-11476.609000000142</v>
      </c>
      <c r="O3755" s="73">
        <v>-883.47149536244206</v>
      </c>
      <c r="P3755" s="182">
        <v>3</v>
      </c>
      <c r="Q3755" s="182">
        <v>2500</v>
      </c>
      <c r="R3755" s="46">
        <v>8.484</v>
      </c>
      <c r="S3755" s="46">
        <v>7</v>
      </c>
      <c r="T3755" s="46">
        <v>2800</v>
      </c>
      <c r="U3755" s="46">
        <v>7.931</v>
      </c>
      <c r="V3755" s="46" t="s">
        <v>68</v>
      </c>
      <c r="W3755" s="46">
        <v>300</v>
      </c>
      <c r="X3755" s="46">
        <v>3.323</v>
      </c>
      <c r="AF3755" s="46">
        <v>261</v>
      </c>
      <c r="AG3755" s="46">
        <v>139800</v>
      </c>
      <c r="AH3755" s="46">
        <v>1454051.6810000001</v>
      </c>
      <c r="AI3755" s="46">
        <v>10.401</v>
      </c>
      <c r="AJ3755" s="46">
        <v>291</v>
      </c>
      <c r="AK3755" s="46">
        <v>123700</v>
      </c>
      <c r="AL3755" s="46">
        <v>1228086.2779999999</v>
      </c>
      <c r="AM3755" s="46">
        <v>9.9280000000000008</v>
      </c>
      <c r="AN3755" s="46" t="s">
        <v>63</v>
      </c>
      <c r="AO3755" s="46">
        <v>16100</v>
      </c>
      <c r="AP3755" s="46">
        <v>225965.40299999999</v>
      </c>
      <c r="AQ3755" s="46">
        <v>14.035</v>
      </c>
      <c r="AR3755" s="46">
        <v>-58510.1</v>
      </c>
      <c r="AS3755" s="46">
        <v>265</v>
      </c>
      <c r="AT3755" s="46">
        <v>142400</v>
      </c>
      <c r="AU3755" s="46">
        <v>1476564.6810000001</v>
      </c>
      <c r="AV3755" s="46">
        <v>10.369</v>
      </c>
      <c r="AW3755" s="46">
        <v>298</v>
      </c>
      <c r="AX3755" s="46">
        <v>126500</v>
      </c>
      <c r="AY3755" s="46">
        <v>1250237.0699999998</v>
      </c>
      <c r="AZ3755" s="46">
        <v>9.8829999999999991</v>
      </c>
      <c r="BA3755" s="46" t="s">
        <v>63</v>
      </c>
      <c r="BB3755" s="46">
        <v>15900</v>
      </c>
      <c r="BC3755" s="46">
        <v>226327.611</v>
      </c>
      <c r="BD3755" s="46">
        <v>14.234</v>
      </c>
      <c r="BE3755" s="46">
        <v>-61479</v>
      </c>
      <c r="BF3755" s="46">
        <v>22513</v>
      </c>
      <c r="BG3755" s="46">
        <v>9.01</v>
      </c>
      <c r="BH3755" s="46">
        <v>22150.791999999899</v>
      </c>
      <c r="BI3755">
        <v>7.91</v>
      </c>
      <c r="BJ3755">
        <v>362.20800000001327</v>
      </c>
      <c r="BK3755">
        <v>1.21</v>
      </c>
      <c r="BL3755">
        <v>-7259.32</v>
      </c>
    </row>
    <row r="3756" spans="1:64" x14ac:dyDescent="0.25">
      <c r="A3756" s="136">
        <v>43753</v>
      </c>
      <c r="B3756" t="s">
        <v>77</v>
      </c>
      <c r="C3756" t="s">
        <v>150</v>
      </c>
      <c r="D3756">
        <v>6600</v>
      </c>
      <c r="E3756">
        <v>6600</v>
      </c>
      <c r="F3756">
        <v>5.1580000000000004</v>
      </c>
      <c r="G3756">
        <v>-8105.28</v>
      </c>
      <c r="H3756">
        <v>-23.81</v>
      </c>
      <c r="I3756">
        <v>25938</v>
      </c>
      <c r="J3756">
        <v>3.93</v>
      </c>
      <c r="K3756" s="133">
        <v>4.9691284894247872E-2</v>
      </c>
      <c r="L3756" s="181">
        <v>2490.9499999999998</v>
      </c>
      <c r="M3756" s="133">
        <v>6.5219150482483251E-2</v>
      </c>
      <c r="N3756" s="73">
        <v>-8808.2259999999878</v>
      </c>
      <c r="O3756" s="73">
        <v>-2129.2492017948689</v>
      </c>
      <c r="P3756" s="182">
        <v>8</v>
      </c>
      <c r="Q3756" s="182">
        <v>4000</v>
      </c>
      <c r="R3756" s="46">
        <v>4.24</v>
      </c>
      <c r="S3756" s="46">
        <v>1</v>
      </c>
      <c r="T3756" s="46">
        <v>400</v>
      </c>
      <c r="U3756" s="46">
        <v>3.9</v>
      </c>
      <c r="V3756" s="46" t="s">
        <v>62</v>
      </c>
      <c r="W3756" s="46">
        <v>3600</v>
      </c>
      <c r="X3756" s="46">
        <v>4.2779999999999996</v>
      </c>
      <c r="AF3756" s="46">
        <v>56</v>
      </c>
      <c r="AG3756" s="46">
        <v>28000</v>
      </c>
      <c r="AH3756" s="46">
        <v>185109</v>
      </c>
      <c r="AI3756" s="46">
        <v>6.6109999999999998</v>
      </c>
      <c r="AJ3756" s="46">
        <v>56</v>
      </c>
      <c r="AK3756" s="46">
        <v>25000</v>
      </c>
      <c r="AL3756" s="46">
        <v>166219.33400000003</v>
      </c>
      <c r="AM3756" s="46">
        <v>6.649</v>
      </c>
      <c r="AN3756" s="46" t="s">
        <v>63</v>
      </c>
      <c r="AO3756" s="46">
        <v>3000</v>
      </c>
      <c r="AP3756" s="46">
        <v>18889.666000000001</v>
      </c>
      <c r="AQ3756" s="46">
        <v>6.2969999999999997</v>
      </c>
      <c r="AR3756" s="46">
        <v>950</v>
      </c>
      <c r="AS3756" s="46">
        <v>64</v>
      </c>
      <c r="AT3756" s="46">
        <v>32000</v>
      </c>
      <c r="AU3756" s="46">
        <v>201821</v>
      </c>
      <c r="AV3756" s="46">
        <v>6.3070000000000004</v>
      </c>
      <c r="AW3756" s="46">
        <v>57</v>
      </c>
      <c r="AX3756" s="46">
        <v>25400</v>
      </c>
      <c r="AY3756" s="46">
        <v>167772.77400000003</v>
      </c>
      <c r="AZ3756" s="46">
        <v>6.6050000000000004</v>
      </c>
      <c r="BA3756" s="46" t="s">
        <v>63</v>
      </c>
      <c r="BB3756" s="46">
        <v>6600</v>
      </c>
      <c r="BC3756" s="46">
        <v>34048.226000000002</v>
      </c>
      <c r="BD3756" s="46">
        <v>5.1589999999999998</v>
      </c>
      <c r="BE3756" s="46">
        <v>7569.2</v>
      </c>
      <c r="BF3756" s="46">
        <v>16712</v>
      </c>
      <c r="BG3756" s="46">
        <v>4.18</v>
      </c>
      <c r="BH3756" s="46">
        <v>1553.4400000000023</v>
      </c>
      <c r="BI3756">
        <v>3.88</v>
      </c>
      <c r="BJ3756">
        <v>15158.560000000001</v>
      </c>
      <c r="BK3756">
        <v>4.21</v>
      </c>
      <c r="BL3756">
        <v>241.73</v>
      </c>
    </row>
    <row r="3757" spans="1:64" x14ac:dyDescent="0.25">
      <c r="A3757" s="136">
        <v>43753</v>
      </c>
      <c r="B3757" t="s">
        <v>67</v>
      </c>
      <c r="C3757" t="s">
        <v>129</v>
      </c>
      <c r="D3757">
        <v>1930</v>
      </c>
      <c r="E3757">
        <v>1930</v>
      </c>
      <c r="F3757">
        <v>4.2430000000000003</v>
      </c>
      <c r="G3757">
        <v>4393.78</v>
      </c>
      <c r="H3757">
        <v>53.65</v>
      </c>
      <c r="I3757">
        <v>12583.6</v>
      </c>
      <c r="J3757">
        <v>6.52</v>
      </c>
      <c r="K3757" s="133">
        <v>2.4107304055642591E-2</v>
      </c>
      <c r="L3757" s="181">
        <v>606.17999999999984</v>
      </c>
      <c r="M3757" s="133">
        <v>1.5689824922993645E-2</v>
      </c>
      <c r="N3757" s="73">
        <v>4427.5754999999772</v>
      </c>
      <c r="O3757" s="73">
        <v>676.66081227064012</v>
      </c>
      <c r="P3757" s="182">
        <v>1</v>
      </c>
      <c r="Q3757" s="182">
        <v>30</v>
      </c>
      <c r="R3757" s="46">
        <v>0</v>
      </c>
      <c r="S3757" s="46">
        <v>22</v>
      </c>
      <c r="T3757" s="46">
        <v>8800</v>
      </c>
      <c r="U3757" s="46">
        <v>8.4830000000000005</v>
      </c>
      <c r="V3757" s="46" t="s">
        <v>68</v>
      </c>
      <c r="W3757" s="46">
        <v>8770</v>
      </c>
      <c r="X3757" s="46">
        <v>8.5120000000000005</v>
      </c>
      <c r="AF3757" s="46">
        <v>205</v>
      </c>
      <c r="AG3757" s="46">
        <v>101200</v>
      </c>
      <c r="AH3757" s="46">
        <v>833311</v>
      </c>
      <c r="AI3757" s="46">
        <v>8.234</v>
      </c>
      <c r="AJ3757" s="46">
        <v>209</v>
      </c>
      <c r="AK3757" s="46">
        <v>93100</v>
      </c>
      <c r="AL3757" s="46">
        <v>819783.63950000016</v>
      </c>
      <c r="AM3757" s="46">
        <v>8.8049999999999997</v>
      </c>
      <c r="AN3757" s="46" t="s">
        <v>63</v>
      </c>
      <c r="AO3757" s="46">
        <v>8100</v>
      </c>
      <c r="AP3757" s="46">
        <v>13527.36</v>
      </c>
      <c r="AQ3757" s="46">
        <v>1.67</v>
      </c>
      <c r="AR3757" s="46">
        <v>53160.1</v>
      </c>
      <c r="AS3757" s="46">
        <v>206</v>
      </c>
      <c r="AT3757" s="46">
        <v>101230</v>
      </c>
      <c r="AU3757" s="46">
        <v>833316</v>
      </c>
      <c r="AV3757" s="46">
        <v>8.2319999999999993</v>
      </c>
      <c r="AW3757" s="46">
        <v>231</v>
      </c>
      <c r="AX3757" s="46">
        <v>101900</v>
      </c>
      <c r="AY3757" s="46">
        <v>894249.49150000012</v>
      </c>
      <c r="AZ3757" s="46">
        <v>8.7759999999999998</v>
      </c>
      <c r="BA3757" s="46" t="s">
        <v>69</v>
      </c>
      <c r="BB3757" s="46">
        <v>670</v>
      </c>
      <c r="BC3757" s="46">
        <v>60933.491999999998</v>
      </c>
      <c r="BD3757" s="46">
        <v>90.945999999999998</v>
      </c>
      <c r="BE3757" s="46">
        <v>55069.120000000003</v>
      </c>
      <c r="BF3757" s="46">
        <v>5</v>
      </c>
      <c r="BG3757" s="46">
        <v>0.17</v>
      </c>
      <c r="BH3757" s="46">
        <v>74465.851999999955</v>
      </c>
      <c r="BI3757">
        <v>8.4600000000000009</v>
      </c>
      <c r="BJ3757">
        <v>47406.131999999998</v>
      </c>
      <c r="BK3757">
        <v>5.41</v>
      </c>
      <c r="BL3757">
        <v>8153.39</v>
      </c>
    </row>
    <row r="3758" spans="1:64" x14ac:dyDescent="0.25">
      <c r="A3758" s="136">
        <v>43753</v>
      </c>
      <c r="B3758" t="s">
        <v>78</v>
      </c>
      <c r="C3758" t="s">
        <v>142</v>
      </c>
      <c r="D3758">
        <v>100</v>
      </c>
      <c r="E3758">
        <v>100</v>
      </c>
      <c r="F3758">
        <v>-5.867</v>
      </c>
      <c r="G3758">
        <v>1692.7</v>
      </c>
      <c r="H3758">
        <v>0</v>
      </c>
      <c r="I3758">
        <v>1106</v>
      </c>
      <c r="J3758">
        <v>11.06</v>
      </c>
      <c r="K3758" s="133">
        <v>2.1188434379303782E-3</v>
      </c>
      <c r="L3758" s="181">
        <v>218</v>
      </c>
      <c r="M3758" s="133">
        <v>0</v>
      </c>
      <c r="N3758" s="73">
        <v>1576.660999999996</v>
      </c>
      <c r="O3758" s="73">
        <v>159.17905752525212</v>
      </c>
      <c r="P3758" s="182">
        <v>0</v>
      </c>
      <c r="Q3758" s="182">
        <v>0</v>
      </c>
      <c r="R3758" s="46">
        <v>0</v>
      </c>
      <c r="S3758" s="46">
        <v>4</v>
      </c>
      <c r="T3758" s="46">
        <v>1300</v>
      </c>
      <c r="U3758" s="46">
        <v>9.9220000000000006</v>
      </c>
      <c r="V3758" s="46" t="s">
        <v>68</v>
      </c>
      <c r="W3758" s="46">
        <v>1300</v>
      </c>
      <c r="X3758" s="46">
        <v>9.9220000000000006</v>
      </c>
      <c r="AF3758" s="46">
        <v>14</v>
      </c>
      <c r="AG3758" s="46">
        <v>7000</v>
      </c>
      <c r="AH3758" s="46">
        <v>67625</v>
      </c>
      <c r="AI3758" s="46">
        <v>9.6609999999999996</v>
      </c>
      <c r="AJ3758" s="46">
        <v>15</v>
      </c>
      <c r="AK3758" s="46">
        <v>5600</v>
      </c>
      <c r="AL3758" s="46">
        <v>55310.559000000008</v>
      </c>
      <c r="AM3758" s="46">
        <v>9.8770000000000007</v>
      </c>
      <c r="AN3758" s="46" t="s">
        <v>63</v>
      </c>
      <c r="AO3758" s="46">
        <v>1400</v>
      </c>
      <c r="AP3758" s="46">
        <v>12314.441000000001</v>
      </c>
      <c r="AQ3758" s="46">
        <v>8.7959999999999994</v>
      </c>
      <c r="AR3758" s="46">
        <v>1209.5999999999999</v>
      </c>
      <c r="AS3758" s="46">
        <v>14</v>
      </c>
      <c r="AT3758" s="46">
        <v>7000</v>
      </c>
      <c r="AU3758" s="46">
        <v>67625</v>
      </c>
      <c r="AV3758" s="46">
        <v>9.6609999999999996</v>
      </c>
      <c r="AW3758" s="46">
        <v>19</v>
      </c>
      <c r="AX3758" s="46">
        <v>6900</v>
      </c>
      <c r="AY3758" s="46">
        <v>68211.661000000007</v>
      </c>
      <c r="AZ3758" s="46">
        <v>9.8859999999999992</v>
      </c>
      <c r="BA3758" s="46" t="s">
        <v>63</v>
      </c>
      <c r="BB3758" s="46">
        <v>100</v>
      </c>
      <c r="BC3758" s="46">
        <v>586.66099999999994</v>
      </c>
      <c r="BD3758" s="46">
        <v>5.867</v>
      </c>
      <c r="BE3758" s="46">
        <v>1552.5</v>
      </c>
      <c r="BF3758" s="46">
        <v>0</v>
      </c>
      <c r="BH3758" s="46">
        <v>12901.101999999999</v>
      </c>
      <c r="BI3758">
        <v>9.92</v>
      </c>
      <c r="BJ3758">
        <v>-11727.78</v>
      </c>
      <c r="BK3758">
        <v>-9.02</v>
      </c>
      <c r="BL3758">
        <v>109.37</v>
      </c>
    </row>
    <row r="3759" spans="1:64" x14ac:dyDescent="0.25">
      <c r="A3759" s="136">
        <v>43753</v>
      </c>
      <c r="B3759" t="s">
        <v>72</v>
      </c>
      <c r="C3759" t="s">
        <v>130</v>
      </c>
      <c r="D3759">
        <v>100</v>
      </c>
      <c r="E3759">
        <v>100</v>
      </c>
      <c r="F3759">
        <v>-18.477</v>
      </c>
      <c r="G3759">
        <v>2329.6999999999998</v>
      </c>
      <c r="H3759">
        <v>0</v>
      </c>
      <c r="I3759">
        <v>482</v>
      </c>
      <c r="J3759">
        <v>4.82</v>
      </c>
      <c r="K3759" s="133">
        <v>9.23401932262606E-4</v>
      </c>
      <c r="L3759" s="181">
        <v>10</v>
      </c>
      <c r="M3759" s="133">
        <v>0</v>
      </c>
      <c r="N3759" s="73">
        <v>-1498.9659999999872</v>
      </c>
      <c r="O3759" s="73">
        <v>376.42007904191922</v>
      </c>
      <c r="P3759" s="182">
        <v>0</v>
      </c>
      <c r="Q3759" s="182">
        <v>0</v>
      </c>
      <c r="R3759" s="46">
        <v>0</v>
      </c>
      <c r="S3759" s="46">
        <v>20</v>
      </c>
      <c r="T3759" s="46">
        <v>8600</v>
      </c>
      <c r="U3759" s="46">
        <v>7.3840000000000003</v>
      </c>
      <c r="V3759" s="46" t="s">
        <v>68</v>
      </c>
      <c r="W3759" s="46">
        <v>8600</v>
      </c>
      <c r="X3759" s="46">
        <v>7.3840000000000003</v>
      </c>
      <c r="AF3759" s="46">
        <v>42</v>
      </c>
      <c r="AG3759" s="46">
        <v>20900</v>
      </c>
      <c r="AH3759" s="46">
        <v>152800</v>
      </c>
      <c r="AI3759" s="46">
        <v>7.3109999999999999</v>
      </c>
      <c r="AJ3759" s="46">
        <v>42</v>
      </c>
      <c r="AK3759" s="46">
        <v>18800</v>
      </c>
      <c r="AL3759" s="46">
        <v>92037.725000000035</v>
      </c>
      <c r="AM3759" s="46">
        <v>4.8959999999999999</v>
      </c>
      <c r="AN3759" s="46" t="s">
        <v>63</v>
      </c>
      <c r="AO3759" s="46">
        <v>2100</v>
      </c>
      <c r="AP3759" s="46">
        <v>60762.275000000001</v>
      </c>
      <c r="AQ3759" s="46">
        <v>28.934000000000001</v>
      </c>
      <c r="AR3759" s="46">
        <v>-45402</v>
      </c>
      <c r="AS3759" s="46">
        <v>42</v>
      </c>
      <c r="AT3759" s="46">
        <v>20900</v>
      </c>
      <c r="AU3759" s="46">
        <v>152800</v>
      </c>
      <c r="AV3759" s="46">
        <v>7.3109999999999999</v>
      </c>
      <c r="AW3759" s="46">
        <v>63</v>
      </c>
      <c r="AX3759" s="46">
        <v>27900</v>
      </c>
      <c r="AY3759" s="46">
        <v>155380.21900000001</v>
      </c>
      <c r="AZ3759" s="46">
        <v>5.569</v>
      </c>
      <c r="BA3759" s="46" t="s">
        <v>69</v>
      </c>
      <c r="BB3759" s="46">
        <v>7000</v>
      </c>
      <c r="BC3759" s="46">
        <v>2580.2190000000001</v>
      </c>
      <c r="BD3759" s="46">
        <v>0.36899999999999999</v>
      </c>
      <c r="BE3759" s="46">
        <v>-36407.800000000003</v>
      </c>
      <c r="BF3759" s="46">
        <v>0</v>
      </c>
      <c r="BH3759" s="46">
        <v>63342.493999999977</v>
      </c>
      <c r="BI3759">
        <v>7.37</v>
      </c>
      <c r="BJ3759">
        <v>-58182.056000000004</v>
      </c>
      <c r="BK3759">
        <v>-6.77</v>
      </c>
      <c r="BL3759">
        <v>-9419.5</v>
      </c>
    </row>
    <row r="3760" spans="1:64" x14ac:dyDescent="0.25">
      <c r="A3760" s="136">
        <v>43753</v>
      </c>
      <c r="B3760" t="s">
        <v>70</v>
      </c>
      <c r="C3760" t="s">
        <v>131</v>
      </c>
      <c r="D3760">
        <v>13680</v>
      </c>
      <c r="E3760">
        <v>13680</v>
      </c>
      <c r="F3760">
        <v>8.6010000000000009</v>
      </c>
      <c r="G3760">
        <v>-13827.76</v>
      </c>
      <c r="H3760">
        <v>-11.75</v>
      </c>
      <c r="I3760">
        <v>103831.2</v>
      </c>
      <c r="J3760">
        <v>7.59</v>
      </c>
      <c r="K3760" s="133">
        <v>0.19891686869117239</v>
      </c>
      <c r="L3760" s="181">
        <v>-308.55999999999949</v>
      </c>
      <c r="M3760" s="133">
        <v>0.22540769919503872</v>
      </c>
      <c r="N3760" s="73">
        <v>-11398.293000000005</v>
      </c>
      <c r="O3760" s="73">
        <v>-1466.2282951737461</v>
      </c>
      <c r="P3760" s="182">
        <v>2</v>
      </c>
      <c r="Q3760" s="182">
        <v>900</v>
      </c>
      <c r="R3760" s="46">
        <v>7.883</v>
      </c>
      <c r="S3760" s="46">
        <v>10</v>
      </c>
      <c r="T3760" s="46">
        <v>4100</v>
      </c>
      <c r="U3760" s="46">
        <v>8.8840000000000003</v>
      </c>
      <c r="V3760" s="46" t="s">
        <v>68</v>
      </c>
      <c r="W3760" s="46">
        <v>3200</v>
      </c>
      <c r="X3760" s="46">
        <v>9.1660000000000004</v>
      </c>
      <c r="AF3760" s="46">
        <v>192</v>
      </c>
      <c r="AG3760" s="46">
        <v>97880</v>
      </c>
      <c r="AH3760" s="46">
        <v>1125585</v>
      </c>
      <c r="AI3760" s="46">
        <v>11.5</v>
      </c>
      <c r="AJ3760" s="46">
        <v>201</v>
      </c>
      <c r="AK3760" s="46">
        <v>81000</v>
      </c>
      <c r="AL3760" s="46">
        <v>976485.53099999961</v>
      </c>
      <c r="AM3760" s="46">
        <v>12.055</v>
      </c>
      <c r="AN3760" s="46" t="s">
        <v>63</v>
      </c>
      <c r="AO3760" s="46">
        <v>16880</v>
      </c>
      <c r="AP3760" s="46">
        <v>149099.46900000001</v>
      </c>
      <c r="AQ3760" s="46">
        <v>8.8330000000000002</v>
      </c>
      <c r="AR3760" s="46">
        <v>44955</v>
      </c>
      <c r="AS3760" s="46">
        <v>194</v>
      </c>
      <c r="AT3760" s="46">
        <v>98780</v>
      </c>
      <c r="AU3760" s="46">
        <v>1132690</v>
      </c>
      <c r="AV3760" s="46">
        <v>11.467000000000001</v>
      </c>
      <c r="AW3760" s="46">
        <v>212</v>
      </c>
      <c r="AX3760" s="46">
        <v>85100</v>
      </c>
      <c r="AY3760" s="46">
        <v>1013228.1069999994</v>
      </c>
      <c r="AZ3760" s="46">
        <v>11.906000000000001</v>
      </c>
      <c r="BA3760" s="46" t="s">
        <v>63</v>
      </c>
      <c r="BB3760" s="46">
        <v>13680</v>
      </c>
      <c r="BC3760" s="46">
        <v>119461.893</v>
      </c>
      <c r="BD3760" s="46">
        <v>8.7330000000000005</v>
      </c>
      <c r="BE3760" s="46">
        <v>37358.9</v>
      </c>
      <c r="BF3760" s="46">
        <v>7105</v>
      </c>
      <c r="BG3760" s="46">
        <v>7.89</v>
      </c>
      <c r="BH3760" s="46">
        <v>36742.575999999768</v>
      </c>
      <c r="BI3760">
        <v>8.9600000000000009</v>
      </c>
      <c r="BJ3760">
        <v>-29637.576000000015</v>
      </c>
      <c r="BK3760">
        <v>-9.26</v>
      </c>
      <c r="BL3760">
        <v>5922.92</v>
      </c>
    </row>
    <row r="3761" spans="1:64" x14ac:dyDescent="0.25">
      <c r="A3761" s="136">
        <v>43753</v>
      </c>
      <c r="B3761" t="s">
        <v>628</v>
      </c>
      <c r="C3761" t="s">
        <v>629</v>
      </c>
      <c r="D3761">
        <v>100</v>
      </c>
      <c r="E3761">
        <v>100</v>
      </c>
      <c r="F3761">
        <v>-22.369</v>
      </c>
      <c r="G3761">
        <v>3830.9</v>
      </c>
      <c r="H3761">
        <v>0</v>
      </c>
      <c r="I3761">
        <v>1594</v>
      </c>
      <c r="J3761">
        <v>15.94</v>
      </c>
      <c r="K3761" s="133">
        <v>3.0537400000551743E-3</v>
      </c>
      <c r="L3761" s="181">
        <v>2</v>
      </c>
      <c r="M3761" s="133">
        <v>0</v>
      </c>
    </row>
    <row r="3762" spans="1:64" x14ac:dyDescent="0.25">
      <c r="A3762" s="136">
        <v>43753</v>
      </c>
      <c r="B3762" t="s">
        <v>630</v>
      </c>
      <c r="C3762" t="s">
        <v>631</v>
      </c>
      <c r="D3762">
        <v>100</v>
      </c>
      <c r="E3762">
        <v>100</v>
      </c>
      <c r="F3762">
        <v>-94.6</v>
      </c>
      <c r="G3762">
        <v>11747</v>
      </c>
      <c r="H3762">
        <v>0</v>
      </c>
      <c r="I3762">
        <v>2287</v>
      </c>
      <c r="J3762">
        <v>22.87</v>
      </c>
      <c r="K3762" s="133">
        <v>4.381369749138133E-3</v>
      </c>
      <c r="L3762" s="181">
        <v>207</v>
      </c>
      <c r="M3762" s="133">
        <v>0</v>
      </c>
    </row>
    <row r="3763" spans="1:64" x14ac:dyDescent="0.25">
      <c r="A3763" s="136">
        <v>43753</v>
      </c>
      <c r="B3763" t="s">
        <v>768</v>
      </c>
      <c r="C3763" t="s">
        <v>769</v>
      </c>
      <c r="D3763">
        <v>500</v>
      </c>
      <c r="E3763">
        <v>500</v>
      </c>
      <c r="F3763">
        <v>2.4900000000000002</v>
      </c>
      <c r="G3763">
        <v>835</v>
      </c>
      <c r="H3763">
        <v>67.069999999999993</v>
      </c>
      <c r="I3763">
        <v>2080</v>
      </c>
      <c r="J3763">
        <v>4.16</v>
      </c>
      <c r="K3763" s="133">
        <v>3.9848050188925734E-3</v>
      </c>
      <c r="L3763" s="181">
        <v>-20</v>
      </c>
      <c r="M3763" s="133">
        <v>2.3851356964044489E-3</v>
      </c>
    </row>
    <row r="3764" spans="1:64" x14ac:dyDescent="0.25">
      <c r="A3764" s="136">
        <v>43753</v>
      </c>
      <c r="B3764" t="s">
        <v>137</v>
      </c>
      <c r="C3764" t="s">
        <v>149</v>
      </c>
      <c r="D3764">
        <v>150</v>
      </c>
      <c r="E3764">
        <v>150</v>
      </c>
      <c r="F3764">
        <v>-87.406999999999996</v>
      </c>
      <c r="G3764">
        <v>16885.05</v>
      </c>
      <c r="H3764">
        <v>0</v>
      </c>
      <c r="I3764">
        <v>3774</v>
      </c>
      <c r="J3764">
        <v>25.16</v>
      </c>
      <c r="K3764" s="133">
        <v>7.2301221833175828E-3</v>
      </c>
      <c r="L3764" s="181">
        <v>1.5</v>
      </c>
      <c r="M3764" s="133">
        <v>0</v>
      </c>
    </row>
    <row r="3765" spans="1:64" x14ac:dyDescent="0.25">
      <c r="A3765" s="136">
        <v>43753</v>
      </c>
      <c r="B3765" t="s">
        <v>835</v>
      </c>
      <c r="C3765" t="s">
        <v>839</v>
      </c>
      <c r="I3765">
        <v>10160.26</v>
      </c>
      <c r="K3765" s="133">
        <v>1.9464738000602624E-2</v>
      </c>
      <c r="L3765" s="181">
        <v>0</v>
      </c>
      <c r="M3765" s="133">
        <v>6.7360600025809264E-2</v>
      </c>
    </row>
    <row r="3766" spans="1:64" x14ac:dyDescent="0.25">
      <c r="A3766" s="136">
        <v>43773</v>
      </c>
      <c r="B3766" t="s">
        <v>132</v>
      </c>
      <c r="C3766" t="s">
        <v>123</v>
      </c>
      <c r="D3766">
        <v>166</v>
      </c>
      <c r="E3766">
        <v>166</v>
      </c>
      <c r="F3766">
        <v>-24.632000000000001</v>
      </c>
      <c r="G3766">
        <v>4090.5720000000001</v>
      </c>
      <c r="H3766">
        <v>0</v>
      </c>
      <c r="I3766">
        <v>1.66</v>
      </c>
      <c r="J3766">
        <v>0.01</v>
      </c>
      <c r="K3766" s="133">
        <v>3.2913909664086985E-6</v>
      </c>
      <c r="L3766" s="181">
        <v>19.902000000000044</v>
      </c>
      <c r="M3766" s="133">
        <v>0</v>
      </c>
    </row>
    <row r="3767" spans="1:64" x14ac:dyDescent="0.25">
      <c r="A3767" s="136">
        <v>43773</v>
      </c>
      <c r="B3767" t="s">
        <v>61</v>
      </c>
      <c r="C3767" t="s">
        <v>136</v>
      </c>
      <c r="D3767">
        <v>3800</v>
      </c>
      <c r="E3767">
        <v>3800</v>
      </c>
      <c r="F3767">
        <v>4.5640000000000001</v>
      </c>
      <c r="G3767">
        <v>-1800.56</v>
      </c>
      <c r="H3767">
        <v>-10.38</v>
      </c>
      <c r="I3767">
        <v>15542</v>
      </c>
      <c r="J3767">
        <v>4.09</v>
      </c>
      <c r="K3767" s="133">
        <v>3.0816143614412046E-2</v>
      </c>
      <c r="L3767" s="181">
        <v>-340.03999999999996</v>
      </c>
      <c r="M3767" s="133">
        <v>3.4386232119518585E-2</v>
      </c>
      <c r="N3767" s="73">
        <v>-1768.2729999999992</v>
      </c>
      <c r="O3767" s="73">
        <v>-431.070454512195</v>
      </c>
      <c r="P3767" s="182">
        <v>3</v>
      </c>
      <c r="Q3767" s="182">
        <v>1500</v>
      </c>
      <c r="R3767" s="46">
        <v>4.2530000000000001</v>
      </c>
      <c r="S3767" s="46">
        <v>0</v>
      </c>
      <c r="T3767" s="46">
        <v>0</v>
      </c>
      <c r="U3767" s="46">
        <v>0</v>
      </c>
      <c r="V3767" s="46" t="s">
        <v>62</v>
      </c>
      <c r="W3767" s="46">
        <v>1500</v>
      </c>
      <c r="X3767" s="46">
        <v>4.2530000000000001</v>
      </c>
      <c r="AF3767" s="46">
        <v>24</v>
      </c>
      <c r="AG3767" s="46">
        <v>12000</v>
      </c>
      <c r="AH3767" s="46">
        <v>58852.200000000012</v>
      </c>
      <c r="AI3767" s="46">
        <v>4.9039999999999999</v>
      </c>
      <c r="AJ3767" s="46">
        <v>24</v>
      </c>
      <c r="AK3767" s="46">
        <v>9700</v>
      </c>
      <c r="AL3767" s="46">
        <v>47899.82699999999</v>
      </c>
      <c r="AM3767" s="46">
        <v>4.9379999999999997</v>
      </c>
      <c r="AN3767" s="46" t="s">
        <v>63</v>
      </c>
      <c r="AO3767" s="46">
        <v>2300</v>
      </c>
      <c r="AP3767" s="46">
        <v>10952.373</v>
      </c>
      <c r="AQ3767" s="46">
        <v>4.7619999999999996</v>
      </c>
      <c r="AR3767" s="46">
        <v>329.8</v>
      </c>
      <c r="AS3767" s="46">
        <v>27</v>
      </c>
      <c r="AT3767" s="46">
        <v>13500</v>
      </c>
      <c r="AU3767" s="46">
        <v>65248.100000000013</v>
      </c>
      <c r="AV3767" s="46">
        <v>4.8330000000000002</v>
      </c>
      <c r="AW3767" s="46">
        <v>24</v>
      </c>
      <c r="AX3767" s="46">
        <v>9700</v>
      </c>
      <c r="AY3767" s="46">
        <v>47899.82699999999</v>
      </c>
      <c r="AZ3767" s="46">
        <v>4.9379999999999997</v>
      </c>
      <c r="BA3767" s="46" t="s">
        <v>63</v>
      </c>
      <c r="BB3767" s="46">
        <v>3800</v>
      </c>
      <c r="BC3767" s="46">
        <v>17348.273000000001</v>
      </c>
      <c r="BD3767" s="46">
        <v>4.5650000000000004</v>
      </c>
      <c r="BE3767" s="46">
        <v>1018.5</v>
      </c>
      <c r="BF3767" s="46">
        <v>6395.9000000000015</v>
      </c>
      <c r="BG3767" s="46">
        <v>4.26</v>
      </c>
      <c r="BH3767" s="46">
        <v>0</v>
      </c>
      <c r="BJ3767">
        <v>6395.9000000000015</v>
      </c>
      <c r="BK3767">
        <v>4.26</v>
      </c>
      <c r="BL3767">
        <v>80.64</v>
      </c>
    </row>
    <row r="3768" spans="1:64" x14ac:dyDescent="0.25">
      <c r="A3768" s="136">
        <v>43773</v>
      </c>
      <c r="B3768" t="s">
        <v>124</v>
      </c>
      <c r="C3768" t="s">
        <v>125</v>
      </c>
      <c r="D3768">
        <v>100</v>
      </c>
      <c r="E3768">
        <v>100</v>
      </c>
      <c r="F3768">
        <v>-54.070999999999998</v>
      </c>
      <c r="G3768">
        <v>5997.1</v>
      </c>
      <c r="H3768">
        <v>0</v>
      </c>
      <c r="I3768">
        <v>590</v>
      </c>
      <c r="J3768">
        <v>5.9</v>
      </c>
      <c r="K3768" s="133">
        <v>1.1698317290247786E-3</v>
      </c>
      <c r="L3768" s="181">
        <v>18</v>
      </c>
      <c r="M3768" s="133">
        <v>0</v>
      </c>
      <c r="N3768" s="73">
        <v>5573.0690000000113</v>
      </c>
      <c r="O3768" s="73">
        <v>1102.4501845505636</v>
      </c>
      <c r="P3768" s="182">
        <v>0</v>
      </c>
      <c r="Q3768" s="182">
        <v>0</v>
      </c>
      <c r="R3768" s="46">
        <v>0</v>
      </c>
      <c r="S3768" s="46">
        <v>5</v>
      </c>
      <c r="T3768" s="46">
        <v>2300</v>
      </c>
      <c r="U3768" s="46">
        <v>4.99</v>
      </c>
      <c r="V3768" s="46" t="s">
        <v>68</v>
      </c>
      <c r="W3768" s="46">
        <v>2300</v>
      </c>
      <c r="X3768" s="46">
        <v>4.99</v>
      </c>
      <c r="AF3768" s="46">
        <v>50</v>
      </c>
      <c r="AG3768" s="46">
        <v>36700</v>
      </c>
      <c r="AH3768" s="46">
        <v>180101.02000000002</v>
      </c>
      <c r="AI3768" s="46">
        <v>4.907</v>
      </c>
      <c r="AJ3768" s="46">
        <v>58</v>
      </c>
      <c r="AK3768" s="46">
        <v>35300</v>
      </c>
      <c r="AL3768" s="46">
        <v>178266.546</v>
      </c>
      <c r="AM3768" s="46">
        <v>5.05</v>
      </c>
      <c r="AN3768" s="46" t="s">
        <v>63</v>
      </c>
      <c r="AO3768" s="46">
        <v>1400</v>
      </c>
      <c r="AP3768" s="46">
        <v>1834.4739999999999</v>
      </c>
      <c r="AQ3768" s="46">
        <v>1.31</v>
      </c>
      <c r="AR3768" s="46">
        <v>5047.8999999999996</v>
      </c>
      <c r="AS3768" s="46">
        <v>51</v>
      </c>
      <c r="AT3768" s="46">
        <v>37700</v>
      </c>
      <c r="AU3768" s="46">
        <v>185106.62</v>
      </c>
      <c r="AV3768" s="46">
        <v>4.91</v>
      </c>
      <c r="AW3768" s="46">
        <v>63</v>
      </c>
      <c r="AX3768" s="46">
        <v>37600</v>
      </c>
      <c r="AY3768" s="46">
        <v>189713.68900000001</v>
      </c>
      <c r="AZ3768" s="46">
        <v>5.0460000000000003</v>
      </c>
      <c r="BA3768" s="46" t="s">
        <v>63</v>
      </c>
      <c r="BB3768" s="46">
        <v>100</v>
      </c>
      <c r="BC3768" s="46">
        <v>4607.0690000000004</v>
      </c>
      <c r="BD3768" s="46">
        <v>46.070999999999998</v>
      </c>
      <c r="BE3768" s="46">
        <v>5113.6000000000004</v>
      </c>
      <c r="BF3768" s="46">
        <v>5005.5999999999767</v>
      </c>
      <c r="BH3768" s="46">
        <v>11447.143000000011</v>
      </c>
      <c r="BI3768">
        <v>4.9800000000000004</v>
      </c>
      <c r="BJ3768">
        <v>2772.5950000000003</v>
      </c>
      <c r="BK3768">
        <v>1.21</v>
      </c>
      <c r="BL3768">
        <v>855.58</v>
      </c>
    </row>
    <row r="3769" spans="1:64" x14ac:dyDescent="0.25">
      <c r="A3769" s="136">
        <v>43773</v>
      </c>
      <c r="B3769" t="s">
        <v>71</v>
      </c>
      <c r="C3769" t="s">
        <v>126</v>
      </c>
      <c r="D3769">
        <v>2000</v>
      </c>
      <c r="E3769">
        <v>2000</v>
      </c>
      <c r="F3769">
        <v>4.3</v>
      </c>
      <c r="G3769">
        <v>4059.03</v>
      </c>
      <c r="H3769">
        <v>47.2</v>
      </c>
      <c r="I3769">
        <v>12660</v>
      </c>
      <c r="J3769">
        <v>6.33</v>
      </c>
      <c r="K3769" s="133">
        <v>2.5101813032972365E-2</v>
      </c>
      <c r="L3769" s="181">
        <v>592.88000000000011</v>
      </c>
      <c r="M3769" s="133">
        <v>1.7053707807441098E-2</v>
      </c>
      <c r="N3769" s="73">
        <v>-8626.9559999999947</v>
      </c>
      <c r="O3769" s="73">
        <v>644.0620845911958</v>
      </c>
      <c r="P3769" s="182">
        <v>0</v>
      </c>
      <c r="Q3769" s="182">
        <v>0</v>
      </c>
      <c r="R3769" s="46">
        <v>0</v>
      </c>
      <c r="S3769" s="46">
        <v>7</v>
      </c>
      <c r="T3769" s="46">
        <v>2800</v>
      </c>
      <c r="U3769" s="46">
        <v>6.1529999999999996</v>
      </c>
      <c r="V3769" s="46" t="s">
        <v>68</v>
      </c>
      <c r="W3769" s="46">
        <v>2800</v>
      </c>
      <c r="X3769" s="46">
        <v>6.1529999999999996</v>
      </c>
      <c r="AF3769" s="46">
        <v>58</v>
      </c>
      <c r="AG3769" s="46">
        <v>30100</v>
      </c>
      <c r="AH3769" s="46">
        <v>189294.02999999991</v>
      </c>
      <c r="AI3769" s="46">
        <v>6.2889999999999997</v>
      </c>
      <c r="AJ3769" s="46">
        <v>58</v>
      </c>
      <c r="AK3769" s="46">
        <v>25300</v>
      </c>
      <c r="AL3769" s="46">
        <v>163337.022</v>
      </c>
      <c r="AM3769" s="46">
        <v>6.4560000000000004</v>
      </c>
      <c r="AN3769" s="46" t="s">
        <v>63</v>
      </c>
      <c r="AO3769" s="46">
        <v>4800</v>
      </c>
      <c r="AP3769" s="46">
        <v>25957.008000000002</v>
      </c>
      <c r="AQ3769" s="46">
        <v>5.4080000000000004</v>
      </c>
      <c r="AR3769" s="46">
        <v>4225.1000000000004</v>
      </c>
      <c r="AS3769" s="46">
        <v>58</v>
      </c>
      <c r="AT3769" s="46">
        <v>30100</v>
      </c>
      <c r="AU3769" s="46">
        <v>189294.02999999991</v>
      </c>
      <c r="AV3769" s="46">
        <v>6.2889999999999997</v>
      </c>
      <c r="AW3769" s="46">
        <v>65</v>
      </c>
      <c r="AX3769" s="46">
        <v>28100</v>
      </c>
      <c r="AY3769" s="46">
        <v>180511.114</v>
      </c>
      <c r="AZ3769" s="46">
        <v>6.4240000000000004</v>
      </c>
      <c r="BA3769" s="46" t="s">
        <v>63</v>
      </c>
      <c r="BB3769" s="46">
        <v>2000</v>
      </c>
      <c r="BC3769" s="46">
        <v>8782.9159999999993</v>
      </c>
      <c r="BD3769" s="46">
        <v>4.391</v>
      </c>
      <c r="BE3769" s="46">
        <v>3793.5</v>
      </c>
      <c r="BF3769" s="46">
        <v>0</v>
      </c>
      <c r="BH3769" s="46">
        <v>17174.092000000004</v>
      </c>
      <c r="BI3769">
        <v>6.13</v>
      </c>
      <c r="BJ3769">
        <v>-17174.092000000004</v>
      </c>
      <c r="BK3769">
        <v>-6.13</v>
      </c>
      <c r="BL3769">
        <v>667.47</v>
      </c>
    </row>
    <row r="3770" spans="1:64" x14ac:dyDescent="0.25">
      <c r="A3770" s="136">
        <v>43773</v>
      </c>
      <c r="B3770" t="s">
        <v>79</v>
      </c>
      <c r="C3770" t="s">
        <v>143</v>
      </c>
      <c r="D3770">
        <v>14420</v>
      </c>
      <c r="E3770">
        <v>14420</v>
      </c>
      <c r="F3770">
        <v>9.5939999999999994</v>
      </c>
      <c r="G3770">
        <v>-40714.89</v>
      </c>
      <c r="H3770">
        <v>-29.43</v>
      </c>
      <c r="I3770">
        <v>97623.4</v>
      </c>
      <c r="J3770">
        <v>6.77</v>
      </c>
      <c r="K3770" s="133">
        <v>0.19356432341572466</v>
      </c>
      <c r="L3770" s="181">
        <v>-4532.7299999999959</v>
      </c>
      <c r="M3770" s="133">
        <v>0.27429240844242575</v>
      </c>
      <c r="N3770" s="73">
        <v>-41170.764000000243</v>
      </c>
      <c r="O3770" s="73">
        <v>-6105.3677474777814</v>
      </c>
      <c r="P3770" s="182">
        <v>16</v>
      </c>
      <c r="Q3770" s="182">
        <v>10120</v>
      </c>
      <c r="R3770" s="46">
        <v>5.6959999999999997</v>
      </c>
      <c r="S3770" s="46">
        <v>0</v>
      </c>
      <c r="T3770" s="46">
        <v>0</v>
      </c>
      <c r="U3770" s="46">
        <v>0</v>
      </c>
      <c r="V3770" s="46" t="s">
        <v>62</v>
      </c>
      <c r="W3770" s="46">
        <v>10120</v>
      </c>
      <c r="X3770" s="46">
        <v>5.6959999999999997</v>
      </c>
      <c r="AF3770" s="46">
        <v>42</v>
      </c>
      <c r="AG3770" s="46">
        <v>21500</v>
      </c>
      <c r="AH3770" s="46">
        <v>290207.89999999973</v>
      </c>
      <c r="AI3770" s="46">
        <v>13.497999999999999</v>
      </c>
      <c r="AJ3770" s="46">
        <v>43</v>
      </c>
      <c r="AK3770" s="46">
        <v>17200</v>
      </c>
      <c r="AL3770" s="46">
        <v>209579.40799999976</v>
      </c>
      <c r="AM3770" s="46">
        <v>12.185</v>
      </c>
      <c r="AN3770" s="46" t="s">
        <v>63</v>
      </c>
      <c r="AO3770" s="46">
        <v>4300</v>
      </c>
      <c r="AP3770" s="46">
        <v>80628.491999999998</v>
      </c>
      <c r="AQ3770" s="46">
        <v>18.751000000000001</v>
      </c>
      <c r="AR3770" s="46">
        <v>-22583.599999999999</v>
      </c>
      <c r="AS3770" s="46">
        <v>58</v>
      </c>
      <c r="AT3770" s="46">
        <v>31620</v>
      </c>
      <c r="AU3770" s="46">
        <v>347940.97199999954</v>
      </c>
      <c r="AV3770" s="46">
        <v>11.004</v>
      </c>
      <c r="AW3770" s="46">
        <v>43</v>
      </c>
      <c r="AX3770" s="46">
        <v>17200</v>
      </c>
      <c r="AY3770" s="46">
        <v>209579.40799999976</v>
      </c>
      <c r="AZ3770" s="46">
        <v>12.185</v>
      </c>
      <c r="BA3770" s="46" t="s">
        <v>63</v>
      </c>
      <c r="BB3770" s="46">
        <v>14420</v>
      </c>
      <c r="BC3770" s="46">
        <v>138361.56400000001</v>
      </c>
      <c r="BD3770" s="46">
        <v>9.5950000000000006</v>
      </c>
      <c r="BE3770" s="46">
        <v>20313.2</v>
      </c>
      <c r="BF3770" s="46">
        <v>57733.071999999811</v>
      </c>
      <c r="BG3770" s="46">
        <v>5.7</v>
      </c>
      <c r="BH3770" s="46">
        <v>0</v>
      </c>
      <c r="BJ3770">
        <v>57733.072000000015</v>
      </c>
      <c r="BK3770">
        <v>5.7</v>
      </c>
      <c r="BL3770">
        <v>-3335.83</v>
      </c>
    </row>
    <row r="3771" spans="1:64" x14ac:dyDescent="0.25">
      <c r="A3771" s="136">
        <v>43773</v>
      </c>
      <c r="B3771" t="s">
        <v>749</v>
      </c>
      <c r="C3771" t="s">
        <v>750</v>
      </c>
      <c r="D3771">
        <v>500</v>
      </c>
      <c r="E3771">
        <v>500</v>
      </c>
      <c r="F3771">
        <v>5.85</v>
      </c>
      <c r="G3771">
        <v>915</v>
      </c>
      <c r="H3771">
        <v>31.28</v>
      </c>
      <c r="I3771">
        <v>3840</v>
      </c>
      <c r="J3771">
        <v>7.68</v>
      </c>
      <c r="K3771" s="133">
        <v>7.6138200668731349E-3</v>
      </c>
      <c r="L3771" s="181">
        <v>-335</v>
      </c>
      <c r="M3771" s="133">
        <v>5.79958950406352E-3</v>
      </c>
    </row>
    <row r="3772" spans="1:64" x14ac:dyDescent="0.25">
      <c r="A3772" s="136">
        <v>43773</v>
      </c>
      <c r="B3772" t="s">
        <v>776</v>
      </c>
      <c r="C3772" t="s">
        <v>777</v>
      </c>
      <c r="D3772">
        <v>1</v>
      </c>
      <c r="E3772">
        <v>1</v>
      </c>
      <c r="F3772">
        <v>-13136.34</v>
      </c>
      <c r="G3772">
        <v>13207.49</v>
      </c>
      <c r="H3772">
        <v>0</v>
      </c>
      <c r="I3772">
        <v>71.150000000000006</v>
      </c>
      <c r="J3772">
        <v>71.150000000000006</v>
      </c>
      <c r="K3772" s="133">
        <v>1.4107377545781864E-4</v>
      </c>
      <c r="M3772" s="133">
        <v>0</v>
      </c>
    </row>
    <row r="3773" spans="1:64" x14ac:dyDescent="0.25">
      <c r="A3773" s="136">
        <v>43773</v>
      </c>
      <c r="B3773" t="s">
        <v>65</v>
      </c>
      <c r="C3773" t="s">
        <v>127</v>
      </c>
      <c r="D3773">
        <v>24600</v>
      </c>
      <c r="E3773">
        <v>24600</v>
      </c>
      <c r="F3773">
        <v>8.43</v>
      </c>
      <c r="G3773">
        <v>-8608.93</v>
      </c>
      <c r="H3773">
        <v>-4.1500000000000004</v>
      </c>
      <c r="I3773">
        <v>198768</v>
      </c>
      <c r="J3773">
        <v>8.08</v>
      </c>
      <c r="K3773" s="133">
        <v>0.39411036121152065</v>
      </c>
      <c r="L3773" s="181">
        <v>585.27000000000044</v>
      </c>
      <c r="M3773" s="133">
        <v>0.41117985183347533</v>
      </c>
      <c r="N3773" s="73">
        <v>-11661.341000000131</v>
      </c>
      <c r="O3773" s="73">
        <v>-907.26907825956539</v>
      </c>
      <c r="P3773" s="182">
        <v>3</v>
      </c>
      <c r="Q3773" s="182">
        <v>2500</v>
      </c>
      <c r="R3773" s="46">
        <v>8.484</v>
      </c>
      <c r="S3773" s="46">
        <v>8</v>
      </c>
      <c r="T3773" s="46">
        <v>3200</v>
      </c>
      <c r="U3773" s="46">
        <v>7.9779999999999998</v>
      </c>
      <c r="V3773" s="46" t="s">
        <v>68</v>
      </c>
      <c r="W3773" s="46">
        <v>700</v>
      </c>
      <c r="X3773" s="46">
        <v>6.1710000000000003</v>
      </c>
      <c r="AF3773" s="46">
        <v>263</v>
      </c>
      <c r="AG3773" s="46">
        <v>140600</v>
      </c>
      <c r="AH3773" s="46">
        <v>1460441.6810000001</v>
      </c>
      <c r="AI3773" s="46">
        <v>10.387</v>
      </c>
      <c r="AJ3773" s="46">
        <v>293</v>
      </c>
      <c r="AK3773" s="46">
        <v>124500</v>
      </c>
      <c r="AL3773" s="46">
        <v>1234481.8659999999</v>
      </c>
      <c r="AM3773" s="46">
        <v>9.9160000000000004</v>
      </c>
      <c r="AN3773" s="46" t="s">
        <v>63</v>
      </c>
      <c r="AO3773" s="46">
        <v>16100</v>
      </c>
      <c r="AP3773" s="46">
        <v>225959.815</v>
      </c>
      <c r="AQ3773" s="46">
        <v>14.035</v>
      </c>
      <c r="AR3773" s="46">
        <v>-58639.5</v>
      </c>
      <c r="AS3773" s="46">
        <v>267</v>
      </c>
      <c r="AT3773" s="46">
        <v>143200</v>
      </c>
      <c r="AU3773" s="46">
        <v>1482954.6810000001</v>
      </c>
      <c r="AV3773" s="46">
        <v>10.356</v>
      </c>
      <c r="AW3773" s="46">
        <v>301</v>
      </c>
      <c r="AX3773" s="46">
        <v>127700</v>
      </c>
      <c r="AY3773" s="46">
        <v>1259944.3379999998</v>
      </c>
      <c r="AZ3773" s="46">
        <v>9.8659999999999997</v>
      </c>
      <c r="BA3773" s="46" t="s">
        <v>63</v>
      </c>
      <c r="BB3773" s="46">
        <v>15500</v>
      </c>
      <c r="BC3773" s="46">
        <v>223010.34299999999</v>
      </c>
      <c r="BD3773" s="46">
        <v>14.388</v>
      </c>
      <c r="BE3773" s="46">
        <v>-62573</v>
      </c>
      <c r="BF3773" s="46">
        <v>22513</v>
      </c>
      <c r="BG3773" s="46">
        <v>9.01</v>
      </c>
      <c r="BH3773" s="46">
        <v>25462.471999999834</v>
      </c>
      <c r="BI3773">
        <v>7.96</v>
      </c>
      <c r="BJ3773">
        <v>-2949.4720000000088</v>
      </c>
      <c r="BK3773">
        <v>-4.21</v>
      </c>
      <c r="BL3773">
        <v>-7257.36</v>
      </c>
    </row>
    <row r="3774" spans="1:64" x14ac:dyDescent="0.25">
      <c r="A3774" s="136">
        <v>43773</v>
      </c>
      <c r="B3774" t="s">
        <v>77</v>
      </c>
      <c r="C3774" t="s">
        <v>150</v>
      </c>
      <c r="D3774">
        <v>7600</v>
      </c>
      <c r="E3774">
        <v>7100</v>
      </c>
      <c r="F3774">
        <v>4.9580000000000002</v>
      </c>
      <c r="G3774">
        <v>-10698.28</v>
      </c>
      <c r="H3774">
        <v>-28.39</v>
      </c>
      <c r="I3774">
        <v>26980</v>
      </c>
      <c r="J3774">
        <v>3.55</v>
      </c>
      <c r="K3774" s="133">
        <v>5.3495017032353431E-2</v>
      </c>
      <c r="L3774" s="181">
        <v>-2593.0000000000009</v>
      </c>
      <c r="M3774" s="133">
        <v>7.4707199049287673E-2</v>
      </c>
      <c r="N3774" s="73">
        <v>-11203.225999999988</v>
      </c>
      <c r="O3774" s="73">
        <v>-3013.4857428168984</v>
      </c>
      <c r="P3774" s="182">
        <v>9</v>
      </c>
      <c r="Q3774" s="182">
        <v>4500</v>
      </c>
      <c r="R3774" s="46">
        <v>4.1459999999999999</v>
      </c>
      <c r="S3774" s="46">
        <v>0</v>
      </c>
      <c r="T3774" s="46">
        <v>0</v>
      </c>
      <c r="U3774" s="46">
        <v>0</v>
      </c>
      <c r="V3774" s="46" t="s">
        <v>62</v>
      </c>
      <c r="W3774" s="46">
        <v>4500</v>
      </c>
      <c r="X3774" s="46">
        <v>4.1459999999999999</v>
      </c>
      <c r="AF3774" s="46">
        <v>57</v>
      </c>
      <c r="AG3774" s="46">
        <v>28500</v>
      </c>
      <c r="AH3774" s="46">
        <v>187044</v>
      </c>
      <c r="AI3774" s="46">
        <v>6.5629999999999997</v>
      </c>
      <c r="AJ3774" s="46">
        <v>57</v>
      </c>
      <c r="AK3774" s="46">
        <v>25400</v>
      </c>
      <c r="AL3774" s="46">
        <v>167772.77400000003</v>
      </c>
      <c r="AM3774" s="46">
        <v>6.6050000000000004</v>
      </c>
      <c r="AN3774" s="46" t="s">
        <v>63</v>
      </c>
      <c r="AO3774" s="46">
        <v>3100</v>
      </c>
      <c r="AP3774" s="46">
        <v>19271.225999999999</v>
      </c>
      <c r="AQ3774" s="46">
        <v>6.2169999999999996</v>
      </c>
      <c r="AR3774" s="46">
        <v>1066.8</v>
      </c>
      <c r="AS3774" s="46">
        <v>66</v>
      </c>
      <c r="AT3774" s="46">
        <v>33000</v>
      </c>
      <c r="AU3774" s="46">
        <v>205456</v>
      </c>
      <c r="AV3774" s="46">
        <v>6.226</v>
      </c>
      <c r="AW3774" s="46">
        <v>57</v>
      </c>
      <c r="AX3774" s="46">
        <v>25400</v>
      </c>
      <c r="AY3774" s="46">
        <v>167772.77400000003</v>
      </c>
      <c r="AZ3774" s="46">
        <v>6.6050000000000004</v>
      </c>
      <c r="BA3774" s="46" t="s">
        <v>63</v>
      </c>
      <c r="BB3774" s="46">
        <v>7600</v>
      </c>
      <c r="BC3774" s="46">
        <v>37683.226000000002</v>
      </c>
      <c r="BD3774" s="46">
        <v>4.9580000000000002</v>
      </c>
      <c r="BE3774" s="46">
        <v>9626.6</v>
      </c>
      <c r="BF3774" s="46">
        <v>18412</v>
      </c>
      <c r="BG3774" s="46">
        <v>4.09</v>
      </c>
      <c r="BH3774" s="46">
        <v>0</v>
      </c>
      <c r="BJ3774">
        <v>18412.000000000004</v>
      </c>
      <c r="BK3774">
        <v>4.09</v>
      </c>
      <c r="BL3774">
        <v>300.51</v>
      </c>
    </row>
    <row r="3775" spans="1:64" x14ac:dyDescent="0.25">
      <c r="A3775" s="136">
        <v>43773</v>
      </c>
      <c r="B3775" t="s">
        <v>67</v>
      </c>
      <c r="C3775" t="s">
        <v>129</v>
      </c>
      <c r="D3775">
        <v>1930</v>
      </c>
      <c r="E3775">
        <v>1930</v>
      </c>
      <c r="F3775">
        <v>4.2430000000000003</v>
      </c>
      <c r="G3775">
        <v>4007.78</v>
      </c>
      <c r="H3775">
        <v>48.94</v>
      </c>
      <c r="I3775">
        <v>12197.6</v>
      </c>
      <c r="J3775">
        <v>6.32</v>
      </c>
      <c r="K3775" s="133">
        <v>2.4184982199919727E-2</v>
      </c>
      <c r="L3775" s="181">
        <v>-385.99999999999955</v>
      </c>
      <c r="M3775" s="133">
        <v>1.6238493713562223E-2</v>
      </c>
      <c r="N3775" s="73">
        <v>4427.5754999999772</v>
      </c>
      <c r="O3775" s="73">
        <v>676.66081227064012</v>
      </c>
      <c r="P3775" s="182">
        <v>1</v>
      </c>
      <c r="Q3775" s="182">
        <v>30</v>
      </c>
      <c r="R3775" s="46">
        <v>0</v>
      </c>
      <c r="S3775" s="46">
        <v>22</v>
      </c>
      <c r="T3775" s="46">
        <v>8800</v>
      </c>
      <c r="U3775" s="46">
        <v>8.4830000000000005</v>
      </c>
      <c r="V3775" s="46" t="s">
        <v>68</v>
      </c>
      <c r="W3775" s="46">
        <v>8770</v>
      </c>
      <c r="X3775" s="46">
        <v>8.5120000000000005</v>
      </c>
      <c r="AF3775" s="46">
        <v>205</v>
      </c>
      <c r="AG3775" s="46">
        <v>101200</v>
      </c>
      <c r="AH3775" s="46">
        <v>833311</v>
      </c>
      <c r="AI3775" s="46">
        <v>8.234</v>
      </c>
      <c r="AJ3775" s="46">
        <v>209</v>
      </c>
      <c r="AK3775" s="46">
        <v>93100</v>
      </c>
      <c r="AL3775" s="46">
        <v>819783.63950000016</v>
      </c>
      <c r="AM3775" s="46">
        <v>8.8049999999999997</v>
      </c>
      <c r="AN3775" s="46" t="s">
        <v>63</v>
      </c>
      <c r="AO3775" s="46">
        <v>8100</v>
      </c>
      <c r="AP3775" s="46">
        <v>13527.36</v>
      </c>
      <c r="AQ3775" s="46">
        <v>1.67</v>
      </c>
      <c r="AR3775" s="46">
        <v>53160.1</v>
      </c>
      <c r="AS3775" s="46">
        <v>206</v>
      </c>
      <c r="AT3775" s="46">
        <v>101230</v>
      </c>
      <c r="AU3775" s="46">
        <v>833316</v>
      </c>
      <c r="AV3775" s="46">
        <v>8.2319999999999993</v>
      </c>
      <c r="AW3775" s="46">
        <v>231</v>
      </c>
      <c r="AX3775" s="46">
        <v>101900</v>
      </c>
      <c r="AY3775" s="46">
        <v>894249.49150000012</v>
      </c>
      <c r="AZ3775" s="46">
        <v>8.7759999999999998</v>
      </c>
      <c r="BA3775" s="46" t="s">
        <v>69</v>
      </c>
      <c r="BB3775" s="46">
        <v>670</v>
      </c>
      <c r="BC3775" s="46">
        <v>60933.491999999998</v>
      </c>
      <c r="BD3775" s="46">
        <v>90.945999999999998</v>
      </c>
      <c r="BE3775" s="46">
        <v>55069.120000000003</v>
      </c>
      <c r="BF3775" s="46">
        <v>5</v>
      </c>
      <c r="BG3775" s="46">
        <v>0.17</v>
      </c>
      <c r="BH3775" s="46">
        <v>74465.851999999955</v>
      </c>
      <c r="BI3775">
        <v>8.4600000000000009</v>
      </c>
      <c r="BJ3775">
        <v>47406.131999999998</v>
      </c>
      <c r="BK3775">
        <v>5.41</v>
      </c>
      <c r="BL3775">
        <v>8411.41</v>
      </c>
    </row>
    <row r="3776" spans="1:64" x14ac:dyDescent="0.25">
      <c r="A3776" s="136">
        <v>43773</v>
      </c>
      <c r="B3776" t="s">
        <v>78</v>
      </c>
      <c r="C3776" t="s">
        <v>142</v>
      </c>
      <c r="D3776">
        <v>100</v>
      </c>
      <c r="E3776">
        <v>100</v>
      </c>
      <c r="F3776">
        <v>-5.867</v>
      </c>
      <c r="G3776">
        <v>1455.7</v>
      </c>
      <c r="H3776">
        <v>0</v>
      </c>
      <c r="I3776">
        <v>869</v>
      </c>
      <c r="J3776">
        <v>8.69</v>
      </c>
      <c r="K3776" s="133">
        <v>1.7230233432585296E-3</v>
      </c>
      <c r="L3776" s="181">
        <v>-237</v>
      </c>
      <c r="M3776" s="133">
        <v>0</v>
      </c>
      <c r="N3776" s="73">
        <v>1576.660999999996</v>
      </c>
      <c r="O3776" s="73">
        <v>159.17905752525212</v>
      </c>
      <c r="P3776" s="182">
        <v>0</v>
      </c>
      <c r="Q3776" s="182">
        <v>0</v>
      </c>
      <c r="R3776" s="46">
        <v>0</v>
      </c>
      <c r="S3776" s="46">
        <v>4</v>
      </c>
      <c r="T3776" s="46">
        <v>1300</v>
      </c>
      <c r="U3776" s="46">
        <v>9.9220000000000006</v>
      </c>
      <c r="V3776" s="46" t="s">
        <v>68</v>
      </c>
      <c r="W3776" s="46">
        <v>1300</v>
      </c>
      <c r="X3776" s="46">
        <v>9.9220000000000006</v>
      </c>
      <c r="AF3776" s="46">
        <v>14</v>
      </c>
      <c r="AG3776" s="46">
        <v>7000</v>
      </c>
      <c r="AH3776" s="46">
        <v>67625</v>
      </c>
      <c r="AI3776" s="46">
        <v>9.6609999999999996</v>
      </c>
      <c r="AJ3776" s="46">
        <v>15</v>
      </c>
      <c r="AK3776" s="46">
        <v>5600</v>
      </c>
      <c r="AL3776" s="46">
        <v>55310.559000000008</v>
      </c>
      <c r="AM3776" s="46">
        <v>9.8770000000000007</v>
      </c>
      <c r="AN3776" s="46" t="s">
        <v>63</v>
      </c>
      <c r="AO3776" s="46">
        <v>1400</v>
      </c>
      <c r="AP3776" s="46">
        <v>12314.441000000001</v>
      </c>
      <c r="AQ3776" s="46">
        <v>8.7959999999999994</v>
      </c>
      <c r="AR3776" s="46">
        <v>1209.5999999999999</v>
      </c>
      <c r="AS3776" s="46">
        <v>14</v>
      </c>
      <c r="AT3776" s="46">
        <v>7000</v>
      </c>
      <c r="AU3776" s="46">
        <v>67625</v>
      </c>
      <c r="AV3776" s="46">
        <v>9.6609999999999996</v>
      </c>
      <c r="AW3776" s="46">
        <v>19</v>
      </c>
      <c r="AX3776" s="46">
        <v>6900</v>
      </c>
      <c r="AY3776" s="46">
        <v>68211.661000000007</v>
      </c>
      <c r="AZ3776" s="46">
        <v>9.8859999999999992</v>
      </c>
      <c r="BA3776" s="46" t="s">
        <v>63</v>
      </c>
      <c r="BB3776" s="46">
        <v>100</v>
      </c>
      <c r="BC3776" s="46">
        <v>586.66099999999994</v>
      </c>
      <c r="BD3776" s="46">
        <v>5.867</v>
      </c>
      <c r="BE3776" s="46">
        <v>1552.5</v>
      </c>
      <c r="BF3776" s="46">
        <v>0</v>
      </c>
      <c r="BH3776" s="46">
        <v>12901.101999999999</v>
      </c>
      <c r="BI3776">
        <v>9.92</v>
      </c>
      <c r="BJ3776">
        <v>-11727.78</v>
      </c>
      <c r="BK3776">
        <v>-9.02</v>
      </c>
      <c r="BL3776">
        <v>139.19</v>
      </c>
    </row>
    <row r="3777" spans="1:64" x14ac:dyDescent="0.25">
      <c r="A3777" s="136">
        <v>43773</v>
      </c>
      <c r="B3777" t="s">
        <v>72</v>
      </c>
      <c r="C3777" t="s">
        <v>130</v>
      </c>
      <c r="D3777">
        <v>100</v>
      </c>
      <c r="E3777">
        <v>100</v>
      </c>
      <c r="F3777">
        <v>-18.477</v>
      </c>
      <c r="G3777">
        <v>2304.6999999999998</v>
      </c>
      <c r="H3777">
        <v>0</v>
      </c>
      <c r="I3777">
        <v>457</v>
      </c>
      <c r="J3777">
        <v>4.57</v>
      </c>
      <c r="K3777" s="133">
        <v>9.0612389858359956E-4</v>
      </c>
      <c r="L3777" s="181">
        <v>-25</v>
      </c>
      <c r="M3777" s="133">
        <v>0</v>
      </c>
      <c r="N3777" s="73">
        <v>-1498.9659999999872</v>
      </c>
      <c r="O3777" s="73">
        <v>376.42007904191922</v>
      </c>
      <c r="P3777" s="182">
        <v>0</v>
      </c>
      <c r="Q3777" s="182">
        <v>0</v>
      </c>
      <c r="R3777" s="46">
        <v>0</v>
      </c>
      <c r="S3777" s="46">
        <v>20</v>
      </c>
      <c r="T3777" s="46">
        <v>8600</v>
      </c>
      <c r="U3777" s="46">
        <v>7.3840000000000003</v>
      </c>
      <c r="V3777" s="46" t="s">
        <v>68</v>
      </c>
      <c r="W3777" s="46">
        <v>8600</v>
      </c>
      <c r="X3777" s="46">
        <v>7.3840000000000003</v>
      </c>
      <c r="AF3777" s="46">
        <v>42</v>
      </c>
      <c r="AG3777" s="46">
        <v>20900</v>
      </c>
      <c r="AH3777" s="46">
        <v>152800</v>
      </c>
      <c r="AI3777" s="46">
        <v>7.3109999999999999</v>
      </c>
      <c r="AJ3777" s="46">
        <v>42</v>
      </c>
      <c r="AK3777" s="46">
        <v>18800</v>
      </c>
      <c r="AL3777" s="46">
        <v>92037.725000000035</v>
      </c>
      <c r="AM3777" s="46">
        <v>4.8959999999999999</v>
      </c>
      <c r="AN3777" s="46" t="s">
        <v>63</v>
      </c>
      <c r="AO3777" s="46">
        <v>2100</v>
      </c>
      <c r="AP3777" s="46">
        <v>60762.275000000001</v>
      </c>
      <c r="AQ3777" s="46">
        <v>28.934000000000001</v>
      </c>
      <c r="AR3777" s="46">
        <v>-45402</v>
      </c>
      <c r="AS3777" s="46">
        <v>42</v>
      </c>
      <c r="AT3777" s="46">
        <v>20900</v>
      </c>
      <c r="AU3777" s="46">
        <v>152800</v>
      </c>
      <c r="AV3777" s="46">
        <v>7.3109999999999999</v>
      </c>
      <c r="AW3777" s="46">
        <v>63</v>
      </c>
      <c r="AX3777" s="46">
        <v>27900</v>
      </c>
      <c r="AY3777" s="46">
        <v>155380.21900000001</v>
      </c>
      <c r="AZ3777" s="46">
        <v>5.569</v>
      </c>
      <c r="BA3777" s="46" t="s">
        <v>69</v>
      </c>
      <c r="BB3777" s="46">
        <v>7000</v>
      </c>
      <c r="BC3777" s="46">
        <v>2580.2190000000001</v>
      </c>
      <c r="BD3777" s="46">
        <v>0.36899999999999999</v>
      </c>
      <c r="BE3777" s="46">
        <v>-36407.800000000003</v>
      </c>
      <c r="BF3777" s="46">
        <v>0</v>
      </c>
      <c r="BH3777" s="46">
        <v>63342.493999999977</v>
      </c>
      <c r="BI3777">
        <v>7.37</v>
      </c>
      <c r="BJ3777">
        <v>-58182.056000000004</v>
      </c>
      <c r="BK3777">
        <v>-6.77</v>
      </c>
      <c r="BL3777">
        <v>-9934.7900000000009</v>
      </c>
    </row>
    <row r="3778" spans="1:64" x14ac:dyDescent="0.25">
      <c r="A3778" s="136">
        <v>43773</v>
      </c>
      <c r="B3778" t="s">
        <v>70</v>
      </c>
      <c r="C3778" t="s">
        <v>131</v>
      </c>
      <c r="D3778">
        <v>16080</v>
      </c>
      <c r="E3778">
        <v>16080</v>
      </c>
      <c r="F3778">
        <v>8.3800000000000008</v>
      </c>
      <c r="G3778">
        <v>-23637.11</v>
      </c>
      <c r="H3778">
        <v>-17.54</v>
      </c>
      <c r="I3778">
        <v>111112.8</v>
      </c>
      <c r="J3778">
        <v>6.91</v>
      </c>
      <c r="K3778" s="133">
        <v>0.22031064227251596</v>
      </c>
      <c r="L3778" s="181">
        <v>-9809.35</v>
      </c>
      <c r="M3778" s="133">
        <v>0.26717749186649709</v>
      </c>
      <c r="N3778" s="73">
        <v>-23670.041000000012</v>
      </c>
      <c r="O3778" s="73">
        <v>-3423.7635281476141</v>
      </c>
      <c r="P3778" s="182">
        <v>1</v>
      </c>
      <c r="Q3778" s="182">
        <v>500</v>
      </c>
      <c r="R3778" s="46">
        <v>6.91</v>
      </c>
      <c r="S3778" s="46">
        <v>4</v>
      </c>
      <c r="T3778" s="46">
        <v>1700</v>
      </c>
      <c r="U3778" s="46">
        <v>9.984</v>
      </c>
      <c r="V3778" s="46" t="s">
        <v>68</v>
      </c>
      <c r="W3778" s="46">
        <v>1200</v>
      </c>
      <c r="X3778" s="46">
        <v>11.265000000000001</v>
      </c>
      <c r="AF3778" s="46">
        <v>199</v>
      </c>
      <c r="AG3778" s="46">
        <v>101080</v>
      </c>
      <c r="AH3778" s="46">
        <v>1149261</v>
      </c>
      <c r="AI3778" s="46">
        <v>11.37</v>
      </c>
      <c r="AJ3778" s="46">
        <v>208</v>
      </c>
      <c r="AK3778" s="46">
        <v>83800</v>
      </c>
      <c r="AL3778" s="46">
        <v>998828.13099999947</v>
      </c>
      <c r="AM3778" s="46">
        <v>11.919</v>
      </c>
      <c r="AN3778" s="46" t="s">
        <v>63</v>
      </c>
      <c r="AO3778" s="46">
        <v>17280</v>
      </c>
      <c r="AP3778" s="46">
        <v>150432.86900000001</v>
      </c>
      <c r="AQ3778" s="46">
        <v>8.7059999999999995</v>
      </c>
      <c r="AR3778" s="46">
        <v>46006.2</v>
      </c>
      <c r="AS3778" s="46">
        <v>200</v>
      </c>
      <c r="AT3778" s="46">
        <v>101580</v>
      </c>
      <c r="AU3778" s="46">
        <v>1152721</v>
      </c>
      <c r="AV3778" s="46">
        <v>11.348000000000001</v>
      </c>
      <c r="AW3778" s="46">
        <v>213</v>
      </c>
      <c r="AX3778" s="46">
        <v>85500</v>
      </c>
      <c r="AY3778" s="46">
        <v>1016168.1589999994</v>
      </c>
      <c r="AZ3778" s="46">
        <v>11.885</v>
      </c>
      <c r="BA3778" s="46" t="s">
        <v>63</v>
      </c>
      <c r="BB3778" s="46">
        <v>16080</v>
      </c>
      <c r="BC3778" s="46">
        <v>136552.84099999999</v>
      </c>
      <c r="BD3778" s="46">
        <v>8.4920000000000009</v>
      </c>
      <c r="BE3778" s="46">
        <v>45913.5</v>
      </c>
      <c r="BF3778" s="46">
        <v>3460</v>
      </c>
      <c r="BG3778" s="46">
        <v>6.92</v>
      </c>
      <c r="BH3778" s="46">
        <v>17340.027999999933</v>
      </c>
      <c r="BI3778">
        <v>10.199999999999999</v>
      </c>
      <c r="BJ3778">
        <v>-13880.02800000002</v>
      </c>
      <c r="BK3778">
        <v>-11.57</v>
      </c>
      <c r="BL3778">
        <v>6657.92</v>
      </c>
    </row>
    <row r="3779" spans="1:64" x14ac:dyDescent="0.25">
      <c r="A3779" s="136">
        <v>43773</v>
      </c>
      <c r="B3779" t="s">
        <v>628</v>
      </c>
      <c r="C3779" t="s">
        <v>629</v>
      </c>
      <c r="D3779">
        <v>100</v>
      </c>
      <c r="E3779">
        <v>100</v>
      </c>
      <c r="F3779">
        <v>-22.369</v>
      </c>
      <c r="G3779">
        <v>3649.9</v>
      </c>
      <c r="H3779">
        <v>0</v>
      </c>
      <c r="I3779">
        <v>1413</v>
      </c>
      <c r="J3779">
        <v>14.13</v>
      </c>
      <c r="K3779" s="133">
        <v>2.8016478527322238E-3</v>
      </c>
      <c r="L3779" s="181">
        <v>-181</v>
      </c>
      <c r="M3779" s="133">
        <v>0</v>
      </c>
    </row>
    <row r="3780" spans="1:64" x14ac:dyDescent="0.25">
      <c r="A3780" s="136">
        <v>43773</v>
      </c>
      <c r="B3780" t="s">
        <v>630</v>
      </c>
      <c r="C3780" t="s">
        <v>631</v>
      </c>
      <c r="D3780">
        <v>100</v>
      </c>
      <c r="E3780">
        <v>100</v>
      </c>
      <c r="F3780">
        <v>-94.6</v>
      </c>
      <c r="G3780">
        <v>11584</v>
      </c>
      <c r="H3780">
        <v>0</v>
      </c>
      <c r="I3780">
        <v>2124</v>
      </c>
      <c r="J3780">
        <v>21.24</v>
      </c>
      <c r="K3780" s="133">
        <v>4.2113942244892026E-3</v>
      </c>
      <c r="L3780" s="181">
        <v>-163</v>
      </c>
      <c r="M3780" s="133">
        <v>0</v>
      </c>
    </row>
    <row r="3781" spans="1:64" x14ac:dyDescent="0.25">
      <c r="A3781" s="136">
        <v>43773</v>
      </c>
      <c r="B3781" t="s">
        <v>768</v>
      </c>
      <c r="C3781" t="s">
        <v>769</v>
      </c>
      <c r="D3781">
        <v>500</v>
      </c>
      <c r="E3781">
        <v>500</v>
      </c>
      <c r="F3781">
        <v>2.4900000000000002</v>
      </c>
      <c r="G3781">
        <v>680</v>
      </c>
      <c r="H3781">
        <v>54.62</v>
      </c>
      <c r="I3781">
        <v>1925</v>
      </c>
      <c r="J3781">
        <v>3.85</v>
      </c>
      <c r="K3781" s="133">
        <v>3.8168238616486418E-3</v>
      </c>
      <c r="L3781" s="181">
        <v>-155</v>
      </c>
      <c r="M3781" s="133">
        <v>2.4685432248065242E-3</v>
      </c>
    </row>
    <row r="3782" spans="1:64" x14ac:dyDescent="0.25">
      <c r="A3782" s="136">
        <v>43773</v>
      </c>
      <c r="B3782" t="s">
        <v>137</v>
      </c>
      <c r="C3782" t="s">
        <v>149</v>
      </c>
      <c r="D3782">
        <v>150</v>
      </c>
      <c r="E3782">
        <v>150</v>
      </c>
      <c r="F3782">
        <v>-87.406999999999996</v>
      </c>
      <c r="G3782">
        <v>16603.05</v>
      </c>
      <c r="H3782">
        <v>0</v>
      </c>
      <c r="I3782">
        <v>3492</v>
      </c>
      <c r="J3782">
        <v>23.28</v>
      </c>
      <c r="K3782" s="133">
        <v>6.923817623312757E-3</v>
      </c>
      <c r="L3782" s="181">
        <v>-282</v>
      </c>
      <c r="M3782" s="133">
        <v>0</v>
      </c>
    </row>
    <row r="3783" spans="1:64" x14ac:dyDescent="0.25">
      <c r="A3783" s="136">
        <v>43773</v>
      </c>
      <c r="B3783" t="s">
        <v>835</v>
      </c>
      <c r="C3783" t="s">
        <v>839</v>
      </c>
      <c r="I3783">
        <v>14679.43</v>
      </c>
      <c r="K3783" s="133">
        <v>2.9105869454234243E-2</v>
      </c>
      <c r="L3783" s="181">
        <v>0</v>
      </c>
      <c r="M3783" s="133">
        <v>2.9109160845200651E-2</v>
      </c>
    </row>
    <row r="3784" spans="1:64" x14ac:dyDescent="0.25">
      <c r="A3784" s="136">
        <v>43815</v>
      </c>
      <c r="B3784" t="s">
        <v>132</v>
      </c>
      <c r="C3784" t="s">
        <v>123</v>
      </c>
      <c r="D3784">
        <v>166</v>
      </c>
      <c r="E3784">
        <v>166</v>
      </c>
      <c r="F3784">
        <v>-24.632000000000001</v>
      </c>
      <c r="G3784">
        <v>4090.5720000000001</v>
      </c>
      <c r="H3784">
        <v>0</v>
      </c>
      <c r="I3784">
        <v>1.66</v>
      </c>
      <c r="J3784">
        <v>0.01</v>
      </c>
      <c r="K3784" s="133">
        <v>3.3005453972323693E-6</v>
      </c>
      <c r="L3784" s="181">
        <v>0</v>
      </c>
      <c r="M3784" s="133">
        <v>0</v>
      </c>
    </row>
    <row r="3785" spans="1:64" x14ac:dyDescent="0.25">
      <c r="A3785" s="136">
        <v>43815</v>
      </c>
      <c r="B3785" t="s">
        <v>61</v>
      </c>
      <c r="C3785" t="s">
        <v>136</v>
      </c>
      <c r="D3785">
        <v>4300</v>
      </c>
      <c r="E3785">
        <v>4300</v>
      </c>
      <c r="F3785">
        <v>4.5039999999999996</v>
      </c>
      <c r="G3785">
        <v>-1737.6</v>
      </c>
      <c r="H3785">
        <v>-8.9700000000000006</v>
      </c>
      <c r="I3785">
        <v>17630</v>
      </c>
      <c r="J3785">
        <v>4.0999999999999996</v>
      </c>
      <c r="K3785" s="133">
        <v>3.5053382742895586E-2</v>
      </c>
      <c r="L3785" s="181">
        <v>62.960000000000036</v>
      </c>
      <c r="M3785" s="133">
        <v>3.8508218696046766E-2</v>
      </c>
      <c r="N3785" s="73">
        <v>-2001.5729999999967</v>
      </c>
      <c r="O3785" s="73">
        <v>-495.19114195544472</v>
      </c>
      <c r="P3785" s="182">
        <v>4</v>
      </c>
      <c r="Q3785" s="182">
        <v>2000</v>
      </c>
      <c r="R3785" s="46">
        <v>4.2</v>
      </c>
      <c r="S3785" s="46">
        <v>0</v>
      </c>
      <c r="T3785" s="46">
        <v>0</v>
      </c>
      <c r="U3785" s="46">
        <v>0</v>
      </c>
      <c r="V3785" s="46" t="s">
        <v>62</v>
      </c>
      <c r="W3785" s="46">
        <v>2000</v>
      </c>
      <c r="X3785" s="46">
        <v>4.2</v>
      </c>
      <c r="AF3785" s="46">
        <v>24</v>
      </c>
      <c r="AG3785" s="46">
        <v>12000</v>
      </c>
      <c r="AH3785" s="46">
        <v>58852.200000000012</v>
      </c>
      <c r="AI3785" s="46">
        <v>4.9039999999999999</v>
      </c>
      <c r="AJ3785" s="46">
        <v>24</v>
      </c>
      <c r="AK3785" s="46">
        <v>9700</v>
      </c>
      <c r="AL3785" s="46">
        <v>47899.82699999999</v>
      </c>
      <c r="AM3785" s="46">
        <v>4.9379999999999997</v>
      </c>
      <c r="AN3785" s="46" t="s">
        <v>63</v>
      </c>
      <c r="AO3785" s="46">
        <v>2300</v>
      </c>
      <c r="AP3785" s="46">
        <v>10952.373</v>
      </c>
      <c r="AQ3785" s="46">
        <v>4.7619999999999996</v>
      </c>
      <c r="AR3785" s="46">
        <v>329.8</v>
      </c>
      <c r="AS3785" s="46">
        <v>28</v>
      </c>
      <c r="AT3785" s="46">
        <v>14000</v>
      </c>
      <c r="AU3785" s="46">
        <v>67273.400000000009</v>
      </c>
      <c r="AV3785" s="46">
        <v>4.8049999999999997</v>
      </c>
      <c r="AW3785" s="46">
        <v>24</v>
      </c>
      <c r="AX3785" s="46">
        <v>9700</v>
      </c>
      <c r="AY3785" s="46">
        <v>47899.82699999999</v>
      </c>
      <c r="AZ3785" s="46">
        <v>4.9379999999999997</v>
      </c>
      <c r="BA3785" s="46" t="s">
        <v>63</v>
      </c>
      <c r="BB3785" s="46">
        <v>4300</v>
      </c>
      <c r="BC3785" s="46">
        <v>19373.573</v>
      </c>
      <c r="BD3785" s="46">
        <v>4.5049999999999999</v>
      </c>
      <c r="BE3785" s="46">
        <v>1290.0999999999999</v>
      </c>
      <c r="BF3785" s="46">
        <v>8421.1999999999971</v>
      </c>
      <c r="BG3785" s="46">
        <v>4.21</v>
      </c>
      <c r="BH3785" s="46">
        <v>0</v>
      </c>
      <c r="BJ3785">
        <v>8421.2000000000007</v>
      </c>
      <c r="BK3785">
        <v>4.21</v>
      </c>
      <c r="BL3785">
        <v>80.44</v>
      </c>
    </row>
    <row r="3786" spans="1:64" x14ac:dyDescent="0.25">
      <c r="A3786" s="136">
        <v>43815</v>
      </c>
      <c r="B3786" t="s">
        <v>124</v>
      </c>
      <c r="C3786" t="s">
        <v>125</v>
      </c>
      <c r="D3786">
        <v>100</v>
      </c>
      <c r="E3786">
        <v>100</v>
      </c>
      <c r="F3786">
        <v>-54.070999999999998</v>
      </c>
      <c r="G3786">
        <v>5985.1</v>
      </c>
      <c r="H3786">
        <v>0</v>
      </c>
      <c r="I3786">
        <v>578</v>
      </c>
      <c r="J3786">
        <v>5.78</v>
      </c>
      <c r="K3786" s="133">
        <v>1.1492260479519937E-3</v>
      </c>
      <c r="L3786" s="181">
        <v>-12</v>
      </c>
      <c r="M3786" s="133">
        <v>0</v>
      </c>
      <c r="N3786" s="73">
        <v>5573.0690000000113</v>
      </c>
      <c r="O3786" s="73">
        <v>1102.4501845505636</v>
      </c>
      <c r="P3786" s="182">
        <v>0</v>
      </c>
      <c r="Q3786" s="182">
        <v>0</v>
      </c>
      <c r="R3786" s="46">
        <v>0</v>
      </c>
      <c r="S3786" s="46">
        <v>5</v>
      </c>
      <c r="T3786" s="46">
        <v>2300</v>
      </c>
      <c r="U3786" s="46">
        <v>4.99</v>
      </c>
      <c r="V3786" s="46" t="s">
        <v>68</v>
      </c>
      <c r="W3786" s="46">
        <v>2300</v>
      </c>
      <c r="X3786" s="46">
        <v>4.99</v>
      </c>
      <c r="AF3786" s="46">
        <v>50</v>
      </c>
      <c r="AG3786" s="46">
        <v>36700</v>
      </c>
      <c r="AH3786" s="46">
        <v>180101.02000000002</v>
      </c>
      <c r="AI3786" s="46">
        <v>4.907</v>
      </c>
      <c r="AJ3786" s="46">
        <v>58</v>
      </c>
      <c r="AK3786" s="46">
        <v>35300</v>
      </c>
      <c r="AL3786" s="46">
        <v>178266.546</v>
      </c>
      <c r="AM3786" s="46">
        <v>5.05</v>
      </c>
      <c r="AN3786" s="46" t="s">
        <v>63</v>
      </c>
      <c r="AO3786" s="46">
        <v>1400</v>
      </c>
      <c r="AP3786" s="46">
        <v>1834.4739999999999</v>
      </c>
      <c r="AQ3786" s="46">
        <v>1.31</v>
      </c>
      <c r="AR3786" s="46">
        <v>5047.8999999999996</v>
      </c>
      <c r="AS3786" s="46">
        <v>51</v>
      </c>
      <c r="AT3786" s="46">
        <v>37700</v>
      </c>
      <c r="AU3786" s="46">
        <v>185106.62</v>
      </c>
      <c r="AV3786" s="46">
        <v>4.91</v>
      </c>
      <c r="AW3786" s="46">
        <v>63</v>
      </c>
      <c r="AX3786" s="46">
        <v>37600</v>
      </c>
      <c r="AY3786" s="46">
        <v>189713.68900000001</v>
      </c>
      <c r="AZ3786" s="46">
        <v>5.0460000000000003</v>
      </c>
      <c r="BA3786" s="46" t="s">
        <v>63</v>
      </c>
      <c r="BB3786" s="46">
        <v>100</v>
      </c>
      <c r="BC3786" s="46">
        <v>4607.0690000000004</v>
      </c>
      <c r="BD3786" s="46">
        <v>46.070999999999998</v>
      </c>
      <c r="BE3786" s="46">
        <v>5113.6000000000004</v>
      </c>
      <c r="BF3786" s="46">
        <v>5005.5999999999767</v>
      </c>
      <c r="BH3786" s="46">
        <v>11447.143000000011</v>
      </c>
      <c r="BI3786">
        <v>4.9800000000000004</v>
      </c>
      <c r="BJ3786">
        <v>2772.5950000000003</v>
      </c>
      <c r="BK3786">
        <v>1.21</v>
      </c>
      <c r="BL3786">
        <v>873.34</v>
      </c>
    </row>
    <row r="3787" spans="1:64" x14ac:dyDescent="0.25">
      <c r="A3787" s="136">
        <v>43815</v>
      </c>
      <c r="B3787" t="s">
        <v>71</v>
      </c>
      <c r="C3787" t="s">
        <v>126</v>
      </c>
      <c r="D3787">
        <v>400</v>
      </c>
      <c r="E3787">
        <v>400</v>
      </c>
      <c r="F3787">
        <v>-4.3289999999999997</v>
      </c>
      <c r="G3787">
        <v>4179.6000000000004</v>
      </c>
      <c r="H3787">
        <v>0</v>
      </c>
      <c r="I3787">
        <v>2448</v>
      </c>
      <c r="J3787">
        <v>6.12</v>
      </c>
      <c r="K3787" s="133">
        <v>4.8673103207378561E-3</v>
      </c>
      <c r="L3787" s="181">
        <v>120.57000000000016</v>
      </c>
      <c r="M3787" s="133">
        <v>0</v>
      </c>
      <c r="N3787" s="73">
        <v>1704.2000000000062</v>
      </c>
      <c r="O3787" s="73">
        <v>678.03214983713463</v>
      </c>
      <c r="P3787" s="182">
        <v>0</v>
      </c>
      <c r="Q3787" s="182">
        <v>0</v>
      </c>
      <c r="R3787" s="46">
        <v>0</v>
      </c>
      <c r="S3787" s="46">
        <v>11</v>
      </c>
      <c r="T3787" s="46">
        <v>4400</v>
      </c>
      <c r="U3787" s="46">
        <v>6.2729999999999997</v>
      </c>
      <c r="V3787" s="46" t="s">
        <v>68</v>
      </c>
      <c r="W3787" s="46">
        <v>4400</v>
      </c>
      <c r="X3787" s="46">
        <v>6.2729999999999997</v>
      </c>
      <c r="AF3787" s="46">
        <v>60</v>
      </c>
      <c r="AG3787" s="46">
        <v>30900</v>
      </c>
      <c r="AH3787" s="46">
        <v>194080.50999999989</v>
      </c>
      <c r="AI3787" s="46">
        <v>6.2809999999999997</v>
      </c>
      <c r="AJ3787" s="46">
        <v>60</v>
      </c>
      <c r="AK3787" s="46">
        <v>26100</v>
      </c>
      <c r="AL3787" s="46">
        <v>168113.75</v>
      </c>
      <c r="AM3787" s="46">
        <v>6.4409999999999998</v>
      </c>
      <c r="AN3787" s="46" t="s">
        <v>63</v>
      </c>
      <c r="AO3787" s="46">
        <v>4800</v>
      </c>
      <c r="AP3787" s="46">
        <v>25966.76</v>
      </c>
      <c r="AQ3787" s="46">
        <v>5.41</v>
      </c>
      <c r="AR3787" s="46">
        <v>4176</v>
      </c>
      <c r="AS3787" s="46">
        <v>60</v>
      </c>
      <c r="AT3787" s="46">
        <v>30900</v>
      </c>
      <c r="AU3787" s="46">
        <v>194080.50999999989</v>
      </c>
      <c r="AV3787" s="46">
        <v>6.2809999999999997</v>
      </c>
      <c r="AW3787" s="46">
        <v>71</v>
      </c>
      <c r="AX3787" s="46">
        <v>30500</v>
      </c>
      <c r="AY3787" s="46">
        <v>195628.51</v>
      </c>
      <c r="AZ3787" s="46">
        <v>6.4139999999999997</v>
      </c>
      <c r="BA3787" s="46" t="s">
        <v>63</v>
      </c>
      <c r="BB3787" s="46">
        <v>400</v>
      </c>
      <c r="BC3787" s="46">
        <v>1548</v>
      </c>
      <c r="BD3787" s="46">
        <v>3.87</v>
      </c>
      <c r="BE3787" s="46">
        <v>4056.5</v>
      </c>
      <c r="BF3787" s="46">
        <v>0</v>
      </c>
      <c r="BH3787" s="46">
        <v>27514.760000000009</v>
      </c>
      <c r="BI3787">
        <v>6.25</v>
      </c>
      <c r="BJ3787">
        <v>-24418.76</v>
      </c>
      <c r="BK3787">
        <v>-5.55</v>
      </c>
      <c r="BL3787">
        <v>682.35</v>
      </c>
    </row>
    <row r="3788" spans="1:64" x14ac:dyDescent="0.25">
      <c r="A3788" s="136">
        <v>43815</v>
      </c>
      <c r="B3788" t="s">
        <v>79</v>
      </c>
      <c r="C3788" t="s">
        <v>143</v>
      </c>
      <c r="D3788">
        <v>13420</v>
      </c>
      <c r="E3788">
        <v>13420</v>
      </c>
      <c r="F3788">
        <v>9.7669999999999995</v>
      </c>
      <c r="G3788">
        <v>-38344.39</v>
      </c>
      <c r="H3788">
        <v>-29.25</v>
      </c>
      <c r="I3788">
        <v>92732.2</v>
      </c>
      <c r="J3788">
        <v>6.91</v>
      </c>
      <c r="K3788" s="133">
        <v>0.18437761197905514</v>
      </c>
      <c r="L3788" s="181">
        <v>2370.5</v>
      </c>
      <c r="M3788" s="133">
        <v>0.26061700952374361</v>
      </c>
      <c r="N3788" s="73">
        <v>-38905.284000000247</v>
      </c>
      <c r="O3788" s="73">
        <v>-5660.2374611354071</v>
      </c>
      <c r="P3788" s="182">
        <v>14</v>
      </c>
      <c r="Q3788" s="182">
        <v>9020</v>
      </c>
      <c r="R3788" s="46">
        <v>5.3769999999999998</v>
      </c>
      <c r="S3788" s="46">
        <v>0</v>
      </c>
      <c r="T3788" s="46">
        <v>0</v>
      </c>
      <c r="U3788" s="46">
        <v>0</v>
      </c>
      <c r="V3788" s="46" t="s">
        <v>62</v>
      </c>
      <c r="W3788" s="46">
        <v>9020</v>
      </c>
      <c r="X3788" s="46">
        <v>5.3769999999999998</v>
      </c>
      <c r="AF3788" s="46">
        <v>45</v>
      </c>
      <c r="AG3788" s="46">
        <v>23000</v>
      </c>
      <c r="AH3788" s="46">
        <v>302113.7999999997</v>
      </c>
      <c r="AI3788" s="46">
        <v>13.135</v>
      </c>
      <c r="AJ3788" s="46">
        <v>46</v>
      </c>
      <c r="AK3788" s="46">
        <v>18600</v>
      </c>
      <c r="AL3788" s="46">
        <v>219593.52799999976</v>
      </c>
      <c r="AM3788" s="46">
        <v>11.805999999999999</v>
      </c>
      <c r="AN3788" s="46" t="s">
        <v>63</v>
      </c>
      <c r="AO3788" s="46">
        <v>4400</v>
      </c>
      <c r="AP3788" s="46">
        <v>82520.271999999997</v>
      </c>
      <c r="AQ3788" s="46">
        <v>18.754999999999999</v>
      </c>
      <c r="AR3788" s="46">
        <v>-24719.4</v>
      </c>
      <c r="AS3788" s="46">
        <v>59</v>
      </c>
      <c r="AT3788" s="46">
        <v>32020</v>
      </c>
      <c r="AU3788" s="46">
        <v>350694.21199999953</v>
      </c>
      <c r="AV3788" s="46">
        <v>10.952</v>
      </c>
      <c r="AW3788" s="46">
        <v>46</v>
      </c>
      <c r="AX3788" s="46">
        <v>18600</v>
      </c>
      <c r="AY3788" s="46">
        <v>219593.52799999976</v>
      </c>
      <c r="AZ3788" s="46">
        <v>11.805999999999999</v>
      </c>
      <c r="BA3788" s="46" t="s">
        <v>63</v>
      </c>
      <c r="BB3788" s="46">
        <v>13420</v>
      </c>
      <c r="BC3788" s="46">
        <v>131100.68400000001</v>
      </c>
      <c r="BD3788" s="46">
        <v>9.7690000000000001</v>
      </c>
      <c r="BE3788" s="46">
        <v>15884.4</v>
      </c>
      <c r="BF3788" s="46">
        <v>48580.411999999837</v>
      </c>
      <c r="BG3788" s="46">
        <v>5.39</v>
      </c>
      <c r="BH3788" s="46">
        <v>0</v>
      </c>
      <c r="BJ3788">
        <v>48580.412000000011</v>
      </c>
      <c r="BK3788">
        <v>5.39</v>
      </c>
      <c r="BL3788">
        <v>-3577.34</v>
      </c>
    </row>
    <row r="3789" spans="1:64" x14ac:dyDescent="0.25">
      <c r="A3789" s="136">
        <v>43815</v>
      </c>
      <c r="B3789" t="s">
        <v>749</v>
      </c>
      <c r="C3789" t="s">
        <v>750</v>
      </c>
      <c r="D3789">
        <v>500</v>
      </c>
      <c r="E3789">
        <v>500</v>
      </c>
      <c r="F3789">
        <v>5.85</v>
      </c>
      <c r="G3789">
        <v>530</v>
      </c>
      <c r="H3789">
        <v>18.12</v>
      </c>
      <c r="I3789">
        <v>3455</v>
      </c>
      <c r="J3789">
        <v>6.91</v>
      </c>
      <c r="K3789" s="133">
        <v>6.8695086430348414E-3</v>
      </c>
      <c r="L3789" s="181">
        <v>-385</v>
      </c>
      <c r="M3789" s="133">
        <v>5.8157200523522171E-3</v>
      </c>
    </row>
    <row r="3790" spans="1:64" x14ac:dyDescent="0.25">
      <c r="A3790" s="136">
        <v>43815</v>
      </c>
      <c r="B3790" t="s">
        <v>776</v>
      </c>
      <c r="C3790" t="s">
        <v>777</v>
      </c>
      <c r="D3790">
        <v>1</v>
      </c>
      <c r="E3790">
        <v>1</v>
      </c>
      <c r="F3790">
        <v>-13136.34</v>
      </c>
      <c r="G3790">
        <v>13195.96</v>
      </c>
      <c r="H3790">
        <v>0</v>
      </c>
      <c r="I3790">
        <v>59.62</v>
      </c>
      <c r="J3790">
        <v>59.62</v>
      </c>
      <c r="K3790" s="133">
        <v>1.185412750499963E-4</v>
      </c>
      <c r="L3790" s="181">
        <v>-11.530000000000655</v>
      </c>
      <c r="M3790" s="133">
        <v>0</v>
      </c>
    </row>
    <row r="3791" spans="1:64" x14ac:dyDescent="0.25">
      <c r="A3791" s="136">
        <v>43815</v>
      </c>
      <c r="B3791" t="s">
        <v>65</v>
      </c>
      <c r="C3791" t="s">
        <v>127</v>
      </c>
      <c r="D3791">
        <v>25900</v>
      </c>
      <c r="E3791">
        <v>25900</v>
      </c>
      <c r="F3791">
        <v>8.3960000000000008</v>
      </c>
      <c r="G3791">
        <v>-13623.46</v>
      </c>
      <c r="H3791">
        <v>-6.26</v>
      </c>
      <c r="I3791">
        <v>203833</v>
      </c>
      <c r="J3791">
        <v>7.87</v>
      </c>
      <c r="K3791" s="133">
        <v>0.40527715057473829</v>
      </c>
      <c r="L3791" s="181">
        <v>-5014.5299999999988</v>
      </c>
      <c r="M3791" s="133">
        <v>0.43236440852496677</v>
      </c>
      <c r="N3791" s="73">
        <v>-19977.869000000152</v>
      </c>
      <c r="O3791" s="73">
        <v>-2013.9239206996519</v>
      </c>
      <c r="P3791" s="182">
        <v>4</v>
      </c>
      <c r="Q3791" s="182">
        <v>2900</v>
      </c>
      <c r="R3791" s="46">
        <v>8.3879999999999999</v>
      </c>
      <c r="S3791" s="46">
        <v>6</v>
      </c>
      <c r="T3791" s="46">
        <v>2400</v>
      </c>
      <c r="U3791" s="46">
        <v>7.9729999999999999</v>
      </c>
      <c r="V3791" s="46" t="s">
        <v>62</v>
      </c>
      <c r="W3791" s="46">
        <v>500</v>
      </c>
      <c r="X3791" s="46">
        <v>10.38</v>
      </c>
      <c r="AF3791" s="46">
        <v>269</v>
      </c>
      <c r="AG3791" s="46">
        <v>143100</v>
      </c>
      <c r="AH3791" s="46">
        <v>1479895.6810000001</v>
      </c>
      <c r="AI3791" s="46">
        <v>10.342000000000001</v>
      </c>
      <c r="AJ3791" s="46">
        <v>299</v>
      </c>
      <c r="AK3791" s="46">
        <v>126900</v>
      </c>
      <c r="AL3791" s="46">
        <v>1253352.946</v>
      </c>
      <c r="AM3791" s="46">
        <v>9.8770000000000007</v>
      </c>
      <c r="AN3791" s="46" t="s">
        <v>63</v>
      </c>
      <c r="AO3791" s="46">
        <v>16200</v>
      </c>
      <c r="AP3791" s="46">
        <v>226542.73499999999</v>
      </c>
      <c r="AQ3791" s="46">
        <v>13.984</v>
      </c>
      <c r="AR3791" s="46">
        <v>-59008.5</v>
      </c>
      <c r="AS3791" s="46">
        <v>274</v>
      </c>
      <c r="AT3791" s="46">
        <v>146100</v>
      </c>
      <c r="AU3791" s="46">
        <v>1505529.6810000001</v>
      </c>
      <c r="AV3791" s="46">
        <v>10.305</v>
      </c>
      <c r="AW3791" s="46">
        <v>305</v>
      </c>
      <c r="AX3791" s="46">
        <v>129300</v>
      </c>
      <c r="AY3791" s="46">
        <v>1272439.8099999998</v>
      </c>
      <c r="AZ3791" s="46">
        <v>9.8409999999999993</v>
      </c>
      <c r="BA3791" s="46" t="s">
        <v>63</v>
      </c>
      <c r="BB3791" s="46">
        <v>16800</v>
      </c>
      <c r="BC3791" s="46">
        <v>233089.87100000001</v>
      </c>
      <c r="BD3791" s="46">
        <v>13.874000000000001</v>
      </c>
      <c r="BE3791" s="46">
        <v>-59995.199999999997</v>
      </c>
      <c r="BF3791" s="46">
        <v>25634</v>
      </c>
      <c r="BG3791" s="46">
        <v>8.84</v>
      </c>
      <c r="BH3791" s="46">
        <v>19086.863999999827</v>
      </c>
      <c r="BI3791">
        <v>7.95</v>
      </c>
      <c r="BJ3791">
        <v>6547.1360000000277</v>
      </c>
      <c r="BK3791">
        <v>13.09</v>
      </c>
      <c r="BL3791">
        <v>-7497.9</v>
      </c>
    </row>
    <row r="3792" spans="1:64" x14ac:dyDescent="0.25">
      <c r="A3792" s="136">
        <v>43815</v>
      </c>
      <c r="B3792" t="s">
        <v>77</v>
      </c>
      <c r="C3792" t="s">
        <v>150</v>
      </c>
      <c r="D3792">
        <v>7600</v>
      </c>
      <c r="E3792">
        <v>7600</v>
      </c>
      <c r="F3792">
        <v>4.9580000000000002</v>
      </c>
      <c r="G3792">
        <v>-9938.2800000000007</v>
      </c>
      <c r="H3792">
        <v>-26.37</v>
      </c>
      <c r="I3792">
        <v>27740</v>
      </c>
      <c r="J3792">
        <v>3.65</v>
      </c>
      <c r="K3792" s="133">
        <v>5.5154897180256582E-2</v>
      </c>
      <c r="L3792" s="181">
        <v>760</v>
      </c>
      <c r="M3792" s="133">
        <v>7.4914984114236402E-2</v>
      </c>
      <c r="N3792" s="73">
        <v>-11203.225999999988</v>
      </c>
      <c r="O3792" s="73">
        <v>-3013.4857428168984</v>
      </c>
      <c r="P3792" s="182">
        <v>9</v>
      </c>
      <c r="Q3792" s="182">
        <v>4500</v>
      </c>
      <c r="R3792" s="46">
        <v>4.1459999999999999</v>
      </c>
      <c r="S3792" s="46">
        <v>0</v>
      </c>
      <c r="T3792" s="46">
        <v>0</v>
      </c>
      <c r="U3792" s="46">
        <v>0</v>
      </c>
      <c r="V3792" s="46" t="s">
        <v>62</v>
      </c>
      <c r="W3792" s="46">
        <v>4500</v>
      </c>
      <c r="X3792" s="46">
        <v>4.1459999999999999</v>
      </c>
      <c r="AF3792" s="46">
        <v>57</v>
      </c>
      <c r="AG3792" s="46">
        <v>28500</v>
      </c>
      <c r="AH3792" s="46">
        <v>187044</v>
      </c>
      <c r="AI3792" s="46">
        <v>6.5629999999999997</v>
      </c>
      <c r="AJ3792" s="46">
        <v>57</v>
      </c>
      <c r="AK3792" s="46">
        <v>25400</v>
      </c>
      <c r="AL3792" s="46">
        <v>167772.77400000003</v>
      </c>
      <c r="AM3792" s="46">
        <v>6.6050000000000004</v>
      </c>
      <c r="AN3792" s="46" t="s">
        <v>63</v>
      </c>
      <c r="AO3792" s="46">
        <v>3100</v>
      </c>
      <c r="AP3792" s="46">
        <v>19271.225999999999</v>
      </c>
      <c r="AQ3792" s="46">
        <v>6.2169999999999996</v>
      </c>
      <c r="AR3792" s="46">
        <v>1066.8</v>
      </c>
      <c r="AS3792" s="46">
        <v>66</v>
      </c>
      <c r="AT3792" s="46">
        <v>33000</v>
      </c>
      <c r="AU3792" s="46">
        <v>205456</v>
      </c>
      <c r="AV3792" s="46">
        <v>6.226</v>
      </c>
      <c r="AW3792" s="46">
        <v>57</v>
      </c>
      <c r="AX3792" s="46">
        <v>25400</v>
      </c>
      <c r="AY3792" s="46">
        <v>167772.77400000003</v>
      </c>
      <c r="AZ3792" s="46">
        <v>6.6050000000000004</v>
      </c>
      <c r="BA3792" s="46" t="s">
        <v>63</v>
      </c>
      <c r="BB3792" s="46">
        <v>7600</v>
      </c>
      <c r="BC3792" s="46">
        <v>37683.226000000002</v>
      </c>
      <c r="BD3792" s="46">
        <v>4.9580000000000002</v>
      </c>
      <c r="BE3792" s="46">
        <v>9626.6</v>
      </c>
      <c r="BF3792" s="46">
        <v>18412</v>
      </c>
      <c r="BG3792" s="46">
        <v>4.09</v>
      </c>
      <c r="BH3792" s="46">
        <v>0</v>
      </c>
      <c r="BJ3792">
        <v>18412.000000000004</v>
      </c>
      <c r="BK3792">
        <v>4.09</v>
      </c>
      <c r="BL3792">
        <v>292.27</v>
      </c>
    </row>
    <row r="3793" spans="1:64" x14ac:dyDescent="0.25">
      <c r="A3793" s="136">
        <v>43815</v>
      </c>
      <c r="B3793" t="s">
        <v>67</v>
      </c>
      <c r="C3793" t="s">
        <v>129</v>
      </c>
      <c r="D3793">
        <v>1530</v>
      </c>
      <c r="E3793">
        <v>1530</v>
      </c>
      <c r="F3793">
        <v>3.6190000000000002</v>
      </c>
      <c r="G3793">
        <v>4652.32</v>
      </c>
      <c r="H3793">
        <v>84.02</v>
      </c>
      <c r="I3793">
        <v>10189.799999999999</v>
      </c>
      <c r="J3793">
        <v>6.66</v>
      </c>
      <c r="K3793" s="133">
        <v>2.0260179210071321E-2</v>
      </c>
      <c r="L3793" s="181">
        <v>644.53999999999951</v>
      </c>
      <c r="M3793" s="133">
        <v>1.1010062726666445E-2</v>
      </c>
      <c r="N3793" s="73">
        <v>4632.2154999999766</v>
      </c>
      <c r="O3793" s="73">
        <v>696.22547251879485</v>
      </c>
      <c r="P3793" s="182">
        <v>1</v>
      </c>
      <c r="Q3793" s="182">
        <v>30</v>
      </c>
      <c r="R3793" s="46">
        <v>0</v>
      </c>
      <c r="S3793" s="46">
        <v>23</v>
      </c>
      <c r="T3793" s="46">
        <v>9200</v>
      </c>
      <c r="U3793" s="46">
        <v>8.4030000000000005</v>
      </c>
      <c r="V3793" s="46" t="s">
        <v>68</v>
      </c>
      <c r="W3793" s="46">
        <v>9170</v>
      </c>
      <c r="X3793" s="46">
        <v>8.43</v>
      </c>
      <c r="AF3793" s="46">
        <v>205</v>
      </c>
      <c r="AG3793" s="46">
        <v>101200</v>
      </c>
      <c r="AH3793" s="46">
        <v>833311</v>
      </c>
      <c r="AI3793" s="46">
        <v>8.234</v>
      </c>
      <c r="AJ3793" s="46">
        <v>209</v>
      </c>
      <c r="AK3793" s="46">
        <v>93100</v>
      </c>
      <c r="AL3793" s="46">
        <v>819783.63950000016</v>
      </c>
      <c r="AM3793" s="46">
        <v>8.8049999999999997</v>
      </c>
      <c r="AN3793" s="46" t="s">
        <v>63</v>
      </c>
      <c r="AO3793" s="46">
        <v>8100</v>
      </c>
      <c r="AP3793" s="46">
        <v>13527.36</v>
      </c>
      <c r="AQ3793" s="46">
        <v>1.67</v>
      </c>
      <c r="AR3793" s="46">
        <v>53160.1</v>
      </c>
      <c r="AS3793" s="46">
        <v>206</v>
      </c>
      <c r="AT3793" s="46">
        <v>101230</v>
      </c>
      <c r="AU3793" s="46">
        <v>833316</v>
      </c>
      <c r="AV3793" s="46">
        <v>8.2319999999999993</v>
      </c>
      <c r="AW3793" s="46">
        <v>232</v>
      </c>
      <c r="AX3793" s="46">
        <v>102300</v>
      </c>
      <c r="AY3793" s="46">
        <v>896901.83150000009</v>
      </c>
      <c r="AZ3793" s="46">
        <v>8.7669999999999995</v>
      </c>
      <c r="BA3793" s="46" t="s">
        <v>69</v>
      </c>
      <c r="BB3793" s="46">
        <v>1070</v>
      </c>
      <c r="BC3793" s="46">
        <v>63585.832000000002</v>
      </c>
      <c r="BD3793" s="46">
        <v>59.426000000000002</v>
      </c>
      <c r="BE3793" s="46">
        <v>54158.05</v>
      </c>
      <c r="BF3793" s="46">
        <v>5</v>
      </c>
      <c r="BG3793" s="46">
        <v>0.17</v>
      </c>
      <c r="BH3793" s="46">
        <v>77118.191999999923</v>
      </c>
      <c r="BI3793">
        <v>8.3800000000000008</v>
      </c>
      <c r="BJ3793">
        <v>50058.472000000002</v>
      </c>
      <c r="BK3793">
        <v>5.46</v>
      </c>
      <c r="BL3793">
        <v>7982</v>
      </c>
    </row>
    <row r="3794" spans="1:64" x14ac:dyDescent="0.25">
      <c r="A3794" s="136">
        <v>43815</v>
      </c>
      <c r="B3794" t="s">
        <v>78</v>
      </c>
      <c r="C3794" t="s">
        <v>142</v>
      </c>
      <c r="D3794">
        <v>100</v>
      </c>
      <c r="E3794">
        <v>100</v>
      </c>
      <c r="F3794">
        <v>-5.867</v>
      </c>
      <c r="G3794">
        <v>1554.7</v>
      </c>
      <c r="H3794">
        <v>0</v>
      </c>
      <c r="I3794">
        <v>968</v>
      </c>
      <c r="J3794">
        <v>9.68</v>
      </c>
      <c r="K3794" s="133">
        <v>1.9246553882656227E-3</v>
      </c>
      <c r="L3794" s="181">
        <v>99</v>
      </c>
      <c r="M3794" s="133">
        <v>0</v>
      </c>
      <c r="N3794" s="73">
        <v>1576.660999999996</v>
      </c>
      <c r="O3794" s="73">
        <v>159.17905752525212</v>
      </c>
      <c r="P3794" s="182">
        <v>0</v>
      </c>
      <c r="Q3794" s="182">
        <v>0</v>
      </c>
      <c r="R3794" s="46">
        <v>0</v>
      </c>
      <c r="S3794" s="46">
        <v>4</v>
      </c>
      <c r="T3794" s="46">
        <v>1300</v>
      </c>
      <c r="U3794" s="46">
        <v>9.9220000000000006</v>
      </c>
      <c r="V3794" s="46" t="s">
        <v>68</v>
      </c>
      <c r="W3794" s="46">
        <v>1300</v>
      </c>
      <c r="X3794" s="46">
        <v>9.9220000000000006</v>
      </c>
      <c r="AF3794" s="46">
        <v>14</v>
      </c>
      <c r="AG3794" s="46">
        <v>7000</v>
      </c>
      <c r="AH3794" s="46">
        <v>67625</v>
      </c>
      <c r="AI3794" s="46">
        <v>9.6609999999999996</v>
      </c>
      <c r="AJ3794" s="46">
        <v>15</v>
      </c>
      <c r="AK3794" s="46">
        <v>5600</v>
      </c>
      <c r="AL3794" s="46">
        <v>55310.559000000008</v>
      </c>
      <c r="AM3794" s="46">
        <v>9.8770000000000007</v>
      </c>
      <c r="AN3794" s="46" t="s">
        <v>63</v>
      </c>
      <c r="AO3794" s="46">
        <v>1400</v>
      </c>
      <c r="AP3794" s="46">
        <v>12314.441000000001</v>
      </c>
      <c r="AQ3794" s="46">
        <v>8.7959999999999994</v>
      </c>
      <c r="AR3794" s="46">
        <v>1209.5999999999999</v>
      </c>
      <c r="AS3794" s="46">
        <v>14</v>
      </c>
      <c r="AT3794" s="46">
        <v>7000</v>
      </c>
      <c r="AU3794" s="46">
        <v>67625</v>
      </c>
      <c r="AV3794" s="46">
        <v>9.6609999999999996</v>
      </c>
      <c r="AW3794" s="46">
        <v>19</v>
      </c>
      <c r="AX3794" s="46">
        <v>6900</v>
      </c>
      <c r="AY3794" s="46">
        <v>68211.661000000007</v>
      </c>
      <c r="AZ3794" s="46">
        <v>9.8859999999999992</v>
      </c>
      <c r="BA3794" s="46" t="s">
        <v>63</v>
      </c>
      <c r="BB3794" s="46">
        <v>100</v>
      </c>
      <c r="BC3794" s="46">
        <v>586.66099999999994</v>
      </c>
      <c r="BD3794" s="46">
        <v>5.867</v>
      </c>
      <c r="BE3794" s="46">
        <v>1552.5</v>
      </c>
      <c r="BF3794" s="46">
        <v>0</v>
      </c>
      <c r="BH3794" s="46">
        <v>12901.101999999999</v>
      </c>
      <c r="BI3794">
        <v>9.92</v>
      </c>
      <c r="BJ3794">
        <v>-11727.78</v>
      </c>
      <c r="BK3794">
        <v>-9.02</v>
      </c>
      <c r="BL3794">
        <v>124.96</v>
      </c>
    </row>
    <row r="3795" spans="1:64" x14ac:dyDescent="0.25">
      <c r="A3795" s="136">
        <v>43815</v>
      </c>
      <c r="B3795" t="s">
        <v>72</v>
      </c>
      <c r="C3795" t="s">
        <v>130</v>
      </c>
      <c r="D3795">
        <v>100</v>
      </c>
      <c r="E3795">
        <v>100</v>
      </c>
      <c r="F3795">
        <v>-18.477</v>
      </c>
      <c r="G3795">
        <v>2290.6999999999998</v>
      </c>
      <c r="H3795">
        <v>0</v>
      </c>
      <c r="I3795">
        <v>443</v>
      </c>
      <c r="J3795">
        <v>4.43</v>
      </c>
      <c r="K3795" s="133">
        <v>8.8080819938189138E-4</v>
      </c>
      <c r="L3795" s="181">
        <v>-14</v>
      </c>
      <c r="M3795" s="133">
        <v>0</v>
      </c>
      <c r="N3795" s="73">
        <v>-1498.9659999999872</v>
      </c>
      <c r="O3795" s="73">
        <v>376.42007904191922</v>
      </c>
      <c r="P3795" s="182">
        <v>0</v>
      </c>
      <c r="Q3795" s="182">
        <v>0</v>
      </c>
      <c r="R3795" s="46">
        <v>0</v>
      </c>
      <c r="S3795" s="46">
        <v>20</v>
      </c>
      <c r="T3795" s="46">
        <v>8600</v>
      </c>
      <c r="U3795" s="46">
        <v>7.3840000000000003</v>
      </c>
      <c r="V3795" s="46" t="s">
        <v>68</v>
      </c>
      <c r="W3795" s="46">
        <v>8600</v>
      </c>
      <c r="X3795" s="46">
        <v>7.3840000000000003</v>
      </c>
      <c r="AF3795" s="46">
        <v>42</v>
      </c>
      <c r="AG3795" s="46">
        <v>20900</v>
      </c>
      <c r="AH3795" s="46">
        <v>152800</v>
      </c>
      <c r="AI3795" s="46">
        <v>7.3109999999999999</v>
      </c>
      <c r="AJ3795" s="46">
        <v>42</v>
      </c>
      <c r="AK3795" s="46">
        <v>18800</v>
      </c>
      <c r="AL3795" s="46">
        <v>92037.725000000035</v>
      </c>
      <c r="AM3795" s="46">
        <v>4.8959999999999999</v>
      </c>
      <c r="AN3795" s="46" t="s">
        <v>63</v>
      </c>
      <c r="AO3795" s="46">
        <v>2100</v>
      </c>
      <c r="AP3795" s="46">
        <v>60762.275000000001</v>
      </c>
      <c r="AQ3795" s="46">
        <v>28.934000000000001</v>
      </c>
      <c r="AR3795" s="46">
        <v>-45402</v>
      </c>
      <c r="AS3795" s="46">
        <v>42</v>
      </c>
      <c r="AT3795" s="46">
        <v>20900</v>
      </c>
      <c r="AU3795" s="46">
        <v>152800</v>
      </c>
      <c r="AV3795" s="46">
        <v>7.3109999999999999</v>
      </c>
      <c r="AW3795" s="46">
        <v>63</v>
      </c>
      <c r="AX3795" s="46">
        <v>27900</v>
      </c>
      <c r="AY3795" s="46">
        <v>155380.21900000001</v>
      </c>
      <c r="AZ3795" s="46">
        <v>5.569</v>
      </c>
      <c r="BA3795" s="46" t="s">
        <v>69</v>
      </c>
      <c r="BB3795" s="46">
        <v>7000</v>
      </c>
      <c r="BC3795" s="46">
        <v>2580.2190000000001</v>
      </c>
      <c r="BD3795" s="46">
        <v>0.36899999999999999</v>
      </c>
      <c r="BE3795" s="46">
        <v>-36407.800000000003</v>
      </c>
      <c r="BF3795" s="46">
        <v>0</v>
      </c>
      <c r="BH3795" s="46">
        <v>63342.493999999977</v>
      </c>
      <c r="BI3795">
        <v>7.37</v>
      </c>
      <c r="BJ3795">
        <v>-58182.056000000004</v>
      </c>
      <c r="BK3795">
        <v>-6.77</v>
      </c>
      <c r="BL3795">
        <v>-10248.76</v>
      </c>
    </row>
    <row r="3796" spans="1:64" x14ac:dyDescent="0.25">
      <c r="A3796" s="136">
        <v>43815</v>
      </c>
      <c r="B3796" t="s">
        <v>70</v>
      </c>
      <c r="C3796" t="s">
        <v>131</v>
      </c>
      <c r="D3796">
        <v>16180</v>
      </c>
      <c r="E3796">
        <v>16180</v>
      </c>
      <c r="F3796">
        <v>8.3569999999999993</v>
      </c>
      <c r="G3796">
        <v>-24054.43</v>
      </c>
      <c r="H3796">
        <v>-17.79</v>
      </c>
      <c r="I3796">
        <v>111156.6</v>
      </c>
      <c r="J3796">
        <v>6.87</v>
      </c>
      <c r="K3796" s="133">
        <v>0.22101048463975881</v>
      </c>
      <c r="L3796" s="181">
        <v>-417.31999999999971</v>
      </c>
      <c r="M3796" s="133">
        <v>0.26883743537442639</v>
      </c>
      <c r="N3796" s="73">
        <v>-23925.55700000003</v>
      </c>
      <c r="O3796" s="73">
        <v>-3475.8131135901208</v>
      </c>
      <c r="P3796" s="182">
        <v>0</v>
      </c>
      <c r="Q3796" s="182">
        <v>0</v>
      </c>
      <c r="R3796" s="46">
        <v>0</v>
      </c>
      <c r="S3796" s="46">
        <v>3</v>
      </c>
      <c r="T3796" s="46">
        <v>1200</v>
      </c>
      <c r="U3796" s="46">
        <v>8.1929999999999996</v>
      </c>
      <c r="V3796" s="46" t="s">
        <v>68</v>
      </c>
      <c r="W3796" s="46">
        <v>1200</v>
      </c>
      <c r="X3796" s="46">
        <v>8.1929999999999996</v>
      </c>
      <c r="AF3796" s="46">
        <v>203</v>
      </c>
      <c r="AG3796" s="46">
        <v>102880</v>
      </c>
      <c r="AH3796" s="46">
        <v>1161275</v>
      </c>
      <c r="AI3796" s="46">
        <v>11.288</v>
      </c>
      <c r="AJ3796" s="46">
        <v>212</v>
      </c>
      <c r="AK3796" s="46">
        <v>85500</v>
      </c>
      <c r="AL3796" s="46">
        <v>1014048.8749999995</v>
      </c>
      <c r="AM3796" s="46">
        <v>11.86</v>
      </c>
      <c r="AN3796" s="46" t="s">
        <v>63</v>
      </c>
      <c r="AO3796" s="46">
        <v>17380</v>
      </c>
      <c r="AP3796" s="46">
        <v>147226.125</v>
      </c>
      <c r="AQ3796" s="46">
        <v>8.4710000000000001</v>
      </c>
      <c r="AR3796" s="46">
        <v>48906</v>
      </c>
      <c r="AS3796" s="46">
        <v>203</v>
      </c>
      <c r="AT3796" s="46">
        <v>102880</v>
      </c>
      <c r="AU3796" s="46">
        <v>1161275</v>
      </c>
      <c r="AV3796" s="46">
        <v>11.288</v>
      </c>
      <c r="AW3796" s="46">
        <v>216</v>
      </c>
      <c r="AX3796" s="46">
        <v>86700</v>
      </c>
      <c r="AY3796" s="46">
        <v>1024261.0429999995</v>
      </c>
      <c r="AZ3796" s="46">
        <v>11.814</v>
      </c>
      <c r="BA3796" s="46" t="s">
        <v>63</v>
      </c>
      <c r="BB3796" s="46">
        <v>16180</v>
      </c>
      <c r="BC3796" s="46">
        <v>137013.95699999999</v>
      </c>
      <c r="BD3796" s="46">
        <v>8.468</v>
      </c>
      <c r="BE3796" s="46">
        <v>45604.2</v>
      </c>
      <c r="BF3796" s="46">
        <v>0</v>
      </c>
      <c r="BH3796" s="46">
        <v>10212.167999999947</v>
      </c>
      <c r="BI3796">
        <v>8.51</v>
      </c>
      <c r="BJ3796">
        <v>-10212.168000000005</v>
      </c>
      <c r="BK3796">
        <v>-8.51</v>
      </c>
      <c r="BL3796">
        <v>7118.78</v>
      </c>
    </row>
    <row r="3797" spans="1:64" x14ac:dyDescent="0.25">
      <c r="A3797" s="136">
        <v>43815</v>
      </c>
      <c r="B3797" t="s">
        <v>628</v>
      </c>
      <c r="C3797" t="s">
        <v>629</v>
      </c>
      <c r="D3797">
        <v>100</v>
      </c>
      <c r="E3797">
        <v>100</v>
      </c>
      <c r="F3797">
        <v>-22.369</v>
      </c>
      <c r="G3797">
        <v>3684.9</v>
      </c>
      <c r="H3797">
        <v>0</v>
      </c>
      <c r="I3797">
        <v>1448</v>
      </c>
      <c r="J3797">
        <v>14.48</v>
      </c>
      <c r="K3797" s="133">
        <v>2.8790299609593199E-3</v>
      </c>
      <c r="L3797" s="181">
        <v>35</v>
      </c>
      <c r="M3797" s="133">
        <v>0</v>
      </c>
    </row>
    <row r="3798" spans="1:64" x14ac:dyDescent="0.25">
      <c r="A3798" s="136">
        <v>43815</v>
      </c>
      <c r="B3798" t="s">
        <v>630</v>
      </c>
      <c r="C3798" t="s">
        <v>631</v>
      </c>
      <c r="D3798">
        <v>100</v>
      </c>
      <c r="E3798">
        <v>100</v>
      </c>
      <c r="F3798">
        <v>-94.6</v>
      </c>
      <c r="G3798">
        <v>11481</v>
      </c>
      <c r="H3798">
        <v>0</v>
      </c>
      <c r="I3798">
        <v>2021</v>
      </c>
      <c r="J3798">
        <v>20.21</v>
      </c>
      <c r="K3798" s="133">
        <v>4.0183146071124205E-3</v>
      </c>
      <c r="L3798" s="181">
        <v>-103</v>
      </c>
      <c r="M3798" s="133">
        <v>0</v>
      </c>
    </row>
    <row r="3799" spans="1:64" x14ac:dyDescent="0.25">
      <c r="A3799" s="136">
        <v>43815</v>
      </c>
      <c r="B3799" t="s">
        <v>768</v>
      </c>
      <c r="C3799" t="s">
        <v>769</v>
      </c>
      <c r="D3799">
        <v>500</v>
      </c>
      <c r="E3799">
        <v>500</v>
      </c>
      <c r="F3799">
        <v>2.4900000000000002</v>
      </c>
      <c r="G3799">
        <v>555</v>
      </c>
      <c r="H3799">
        <v>44.58</v>
      </c>
      <c r="I3799">
        <v>1800</v>
      </c>
      <c r="J3799">
        <v>3.6</v>
      </c>
      <c r="K3799" s="133">
        <v>3.5789046476013644E-3</v>
      </c>
      <c r="L3799" s="181">
        <v>-125</v>
      </c>
      <c r="M3799" s="133">
        <v>2.475409047924277E-3</v>
      </c>
    </row>
    <row r="3800" spans="1:64" x14ac:dyDescent="0.25">
      <c r="A3800" s="136">
        <v>43815</v>
      </c>
      <c r="B3800" t="s">
        <v>137</v>
      </c>
      <c r="C3800" t="s">
        <v>149</v>
      </c>
      <c r="D3800">
        <v>150</v>
      </c>
      <c r="E3800">
        <v>150</v>
      </c>
      <c r="F3800">
        <v>-87.406999999999996</v>
      </c>
      <c r="G3800">
        <v>17107.05</v>
      </c>
      <c r="H3800">
        <v>0</v>
      </c>
      <c r="I3800">
        <v>3996</v>
      </c>
      <c r="J3800">
        <v>26.64</v>
      </c>
      <c r="K3800" s="133">
        <v>7.9451683176750294E-3</v>
      </c>
      <c r="L3800" s="181">
        <v>504</v>
      </c>
      <c r="M3800" s="133">
        <v>0</v>
      </c>
    </row>
    <row r="3801" spans="1:64" x14ac:dyDescent="0.25">
      <c r="A3801" s="136">
        <v>43815</v>
      </c>
      <c r="B3801" t="s">
        <v>835</v>
      </c>
      <c r="C3801" t="s">
        <v>839</v>
      </c>
      <c r="I3801">
        <v>22447.3</v>
      </c>
      <c r="K3801" s="133">
        <v>4.4631525720056728E-2</v>
      </c>
      <c r="L3801" s="181">
        <v>0</v>
      </c>
      <c r="M3801" s="133">
        <v>4.463482626545396E-2</v>
      </c>
    </row>
    <row r="3802" spans="1:64" x14ac:dyDescent="0.25">
      <c r="A3802" s="136">
        <v>43816</v>
      </c>
      <c r="B3802" t="s">
        <v>132</v>
      </c>
      <c r="C3802" t="s">
        <v>123</v>
      </c>
      <c r="D3802">
        <v>4044866</v>
      </c>
      <c r="E3802">
        <v>166</v>
      </c>
      <c r="F3802">
        <v>8.9999999999999993E-3</v>
      </c>
      <c r="G3802">
        <v>4090.51</v>
      </c>
      <c r="H3802">
        <v>11.11</v>
      </c>
      <c r="I3802">
        <v>40448.660000000003</v>
      </c>
      <c r="J3802">
        <v>0.01</v>
      </c>
      <c r="K3802" s="133">
        <v>7.8930054688143958E-2</v>
      </c>
      <c r="L3802" s="181">
        <v>-6.1999999999898137E-2</v>
      </c>
      <c r="M3802" s="133">
        <v>0</v>
      </c>
    </row>
    <row r="3803" spans="1:64" x14ac:dyDescent="0.25">
      <c r="A3803" s="136">
        <v>43816</v>
      </c>
      <c r="B3803" t="s">
        <v>61</v>
      </c>
      <c r="C3803" t="s">
        <v>136</v>
      </c>
      <c r="D3803">
        <v>3900</v>
      </c>
      <c r="E3803">
        <v>3900</v>
      </c>
      <c r="F3803">
        <v>4.5430000000000001</v>
      </c>
      <c r="G3803">
        <v>-1572.29</v>
      </c>
      <c r="H3803">
        <v>-8.8699999999999992</v>
      </c>
      <c r="I3803">
        <v>16146</v>
      </c>
      <c r="J3803">
        <v>4.1399999999999997</v>
      </c>
      <c r="K3803" s="133">
        <v>3.1506721433905899E-2</v>
      </c>
      <c r="L3803" s="181">
        <v>165.30999999999995</v>
      </c>
      <c r="M3803" s="133">
        <v>3.4574831370937732E-2</v>
      </c>
      <c r="N3803" s="73">
        <v>-1578.4689999999991</v>
      </c>
      <c r="O3803" s="73">
        <v>-381.08206896135249</v>
      </c>
      <c r="P3803" s="182">
        <v>3</v>
      </c>
      <c r="Q3803" s="182">
        <v>1500</v>
      </c>
      <c r="R3803" s="46">
        <v>4.2329999999999997</v>
      </c>
      <c r="S3803" s="46">
        <v>0</v>
      </c>
      <c r="T3803" s="46">
        <v>0</v>
      </c>
      <c r="U3803" s="46">
        <v>0</v>
      </c>
      <c r="V3803" s="46" t="s">
        <v>62</v>
      </c>
      <c r="W3803" s="46">
        <v>1500</v>
      </c>
      <c r="X3803" s="46">
        <v>4.2329999999999997</v>
      </c>
      <c r="AF3803" s="46">
        <v>25</v>
      </c>
      <c r="AG3803" s="46">
        <v>12500</v>
      </c>
      <c r="AH3803" s="46">
        <v>60907.500000000007</v>
      </c>
      <c r="AI3803" s="46">
        <v>4.8730000000000002</v>
      </c>
      <c r="AJ3803" s="46">
        <v>25</v>
      </c>
      <c r="AK3803" s="46">
        <v>10100</v>
      </c>
      <c r="AL3803" s="46">
        <v>49548.93099999999</v>
      </c>
      <c r="AM3803" s="46">
        <v>4.9059999999999997</v>
      </c>
      <c r="AN3803" s="46" t="s">
        <v>63</v>
      </c>
      <c r="AO3803" s="46">
        <v>2400</v>
      </c>
      <c r="AP3803" s="46">
        <v>11358.569</v>
      </c>
      <c r="AQ3803" s="46">
        <v>4.7329999999999997</v>
      </c>
      <c r="AR3803" s="46">
        <v>333.3</v>
      </c>
      <c r="AS3803" s="46">
        <v>28</v>
      </c>
      <c r="AT3803" s="46">
        <v>14000</v>
      </c>
      <c r="AU3803" s="46">
        <v>67273.400000000009</v>
      </c>
      <c r="AV3803" s="46">
        <v>4.8049999999999997</v>
      </c>
      <c r="AW3803" s="46">
        <v>25</v>
      </c>
      <c r="AX3803" s="46">
        <v>10100</v>
      </c>
      <c r="AY3803" s="46">
        <v>49548.93099999999</v>
      </c>
      <c r="AZ3803" s="46">
        <v>4.9059999999999997</v>
      </c>
      <c r="BA3803" s="46" t="s">
        <v>63</v>
      </c>
      <c r="BB3803" s="46">
        <v>3900</v>
      </c>
      <c r="BC3803" s="46">
        <v>17724.469000000001</v>
      </c>
      <c r="BD3803" s="46">
        <v>4.5449999999999999</v>
      </c>
      <c r="BE3803" s="46">
        <v>1020.1</v>
      </c>
      <c r="BF3803" s="46">
        <v>6365.9000000000015</v>
      </c>
      <c r="BG3803" s="46">
        <v>4.24</v>
      </c>
      <c r="BH3803" s="46">
        <v>0</v>
      </c>
      <c r="BJ3803">
        <v>6365.9000000000015</v>
      </c>
      <c r="BK3803">
        <v>4.24</v>
      </c>
      <c r="BL3803">
        <v>80.510000000000005</v>
      </c>
    </row>
    <row r="3804" spans="1:64" x14ac:dyDescent="0.25">
      <c r="A3804" s="136">
        <v>43816</v>
      </c>
      <c r="B3804" t="s">
        <v>124</v>
      </c>
      <c r="C3804" t="s">
        <v>125</v>
      </c>
      <c r="D3804">
        <v>100</v>
      </c>
      <c r="E3804">
        <v>100</v>
      </c>
      <c r="F3804">
        <v>-54.070999999999998</v>
      </c>
      <c r="G3804">
        <v>5991.1</v>
      </c>
      <c r="H3804">
        <v>0</v>
      </c>
      <c r="I3804">
        <v>584</v>
      </c>
      <c r="J3804">
        <v>5.84</v>
      </c>
      <c r="K3804" s="133">
        <v>1.1395965141459833E-3</v>
      </c>
      <c r="L3804" s="181">
        <v>6</v>
      </c>
      <c r="M3804" s="133">
        <v>0</v>
      </c>
      <c r="N3804" s="73">
        <v>5573.0690000000113</v>
      </c>
      <c r="O3804" s="73">
        <v>1102.4501845505636</v>
      </c>
      <c r="P3804" s="182">
        <v>0</v>
      </c>
      <c r="Q3804" s="182">
        <v>0</v>
      </c>
      <c r="R3804" s="46">
        <v>0</v>
      </c>
      <c r="S3804" s="46">
        <v>5</v>
      </c>
      <c r="T3804" s="46">
        <v>2300</v>
      </c>
      <c r="U3804" s="46">
        <v>4.99</v>
      </c>
      <c r="V3804" s="46" t="s">
        <v>68</v>
      </c>
      <c r="W3804" s="46">
        <v>2300</v>
      </c>
      <c r="X3804" s="46">
        <v>4.99</v>
      </c>
      <c r="AF3804" s="46">
        <v>50</v>
      </c>
      <c r="AG3804" s="46">
        <v>36700</v>
      </c>
      <c r="AH3804" s="46">
        <v>180101.02000000002</v>
      </c>
      <c r="AI3804" s="46">
        <v>4.907</v>
      </c>
      <c r="AJ3804" s="46">
        <v>58</v>
      </c>
      <c r="AK3804" s="46">
        <v>35300</v>
      </c>
      <c r="AL3804" s="46">
        <v>178266.546</v>
      </c>
      <c r="AM3804" s="46">
        <v>5.05</v>
      </c>
      <c r="AN3804" s="46" t="s">
        <v>63</v>
      </c>
      <c r="AO3804" s="46">
        <v>1400</v>
      </c>
      <c r="AP3804" s="46">
        <v>1834.4739999999999</v>
      </c>
      <c r="AQ3804" s="46">
        <v>1.31</v>
      </c>
      <c r="AR3804" s="46">
        <v>5047.8999999999996</v>
      </c>
      <c r="AS3804" s="46">
        <v>51</v>
      </c>
      <c r="AT3804" s="46">
        <v>37700</v>
      </c>
      <c r="AU3804" s="46">
        <v>185106.62</v>
      </c>
      <c r="AV3804" s="46">
        <v>4.91</v>
      </c>
      <c r="AW3804" s="46">
        <v>63</v>
      </c>
      <c r="AX3804" s="46">
        <v>37600</v>
      </c>
      <c r="AY3804" s="46">
        <v>189713.68900000001</v>
      </c>
      <c r="AZ3804" s="46">
        <v>5.0460000000000003</v>
      </c>
      <c r="BA3804" s="46" t="s">
        <v>63</v>
      </c>
      <c r="BB3804" s="46">
        <v>100</v>
      </c>
      <c r="BC3804" s="46">
        <v>4607.0690000000004</v>
      </c>
      <c r="BD3804" s="46">
        <v>46.070999999999998</v>
      </c>
      <c r="BE3804" s="46">
        <v>5113.6000000000004</v>
      </c>
      <c r="BF3804" s="46">
        <v>5005.5999999999767</v>
      </c>
      <c r="BH3804" s="46">
        <v>11447.143000000011</v>
      </c>
      <c r="BI3804">
        <v>4.9800000000000004</v>
      </c>
      <c r="BJ3804">
        <v>2772.5950000000003</v>
      </c>
      <c r="BK3804">
        <v>1.21</v>
      </c>
      <c r="BL3804">
        <v>864.37</v>
      </c>
    </row>
    <row r="3805" spans="1:64" x14ac:dyDescent="0.25">
      <c r="A3805" s="136">
        <v>43816</v>
      </c>
      <c r="B3805" t="s">
        <v>71</v>
      </c>
      <c r="C3805" t="s">
        <v>126</v>
      </c>
      <c r="D3805">
        <v>400</v>
      </c>
      <c r="E3805">
        <v>400</v>
      </c>
      <c r="F3805">
        <v>-4.3289999999999997</v>
      </c>
      <c r="G3805">
        <v>4219.6000000000004</v>
      </c>
      <c r="H3805">
        <v>0</v>
      </c>
      <c r="I3805">
        <v>2488</v>
      </c>
      <c r="J3805">
        <v>6.22</v>
      </c>
      <c r="K3805" s="133">
        <v>4.8549933684849424E-3</v>
      </c>
      <c r="L3805" s="181">
        <v>40</v>
      </c>
      <c r="M3805" s="133">
        <v>0</v>
      </c>
      <c r="N3805" s="73">
        <v>1704.2000000000062</v>
      </c>
      <c r="O3805" s="73">
        <v>678.03214983713463</v>
      </c>
      <c r="P3805" s="182">
        <v>0</v>
      </c>
      <c r="Q3805" s="182">
        <v>0</v>
      </c>
      <c r="R3805" s="46">
        <v>0</v>
      </c>
      <c r="S3805" s="46">
        <v>11</v>
      </c>
      <c r="T3805" s="46">
        <v>4400</v>
      </c>
      <c r="U3805" s="46">
        <v>6.2729999999999997</v>
      </c>
      <c r="V3805" s="46" t="s">
        <v>68</v>
      </c>
      <c r="W3805" s="46">
        <v>4400</v>
      </c>
      <c r="X3805" s="46">
        <v>6.2729999999999997</v>
      </c>
      <c r="AF3805" s="46">
        <v>60</v>
      </c>
      <c r="AG3805" s="46">
        <v>30900</v>
      </c>
      <c r="AH3805" s="46">
        <v>194080.50999999989</v>
      </c>
      <c r="AI3805" s="46">
        <v>6.2809999999999997</v>
      </c>
      <c r="AJ3805" s="46">
        <v>60</v>
      </c>
      <c r="AK3805" s="46">
        <v>26100</v>
      </c>
      <c r="AL3805" s="46">
        <v>168113.75</v>
      </c>
      <c r="AM3805" s="46">
        <v>6.4409999999999998</v>
      </c>
      <c r="AN3805" s="46" t="s">
        <v>63</v>
      </c>
      <c r="AO3805" s="46">
        <v>4800</v>
      </c>
      <c r="AP3805" s="46">
        <v>25966.76</v>
      </c>
      <c r="AQ3805" s="46">
        <v>5.41</v>
      </c>
      <c r="AR3805" s="46">
        <v>4176</v>
      </c>
      <c r="AS3805" s="46">
        <v>60</v>
      </c>
      <c r="AT3805" s="46">
        <v>30900</v>
      </c>
      <c r="AU3805" s="46">
        <v>194080.50999999989</v>
      </c>
      <c r="AV3805" s="46">
        <v>6.2809999999999997</v>
      </c>
      <c r="AW3805" s="46">
        <v>71</v>
      </c>
      <c r="AX3805" s="46">
        <v>30500</v>
      </c>
      <c r="AY3805" s="46">
        <v>195628.51</v>
      </c>
      <c r="AZ3805" s="46">
        <v>6.4139999999999997</v>
      </c>
      <c r="BA3805" s="46" t="s">
        <v>63</v>
      </c>
      <c r="BB3805" s="46">
        <v>400</v>
      </c>
      <c r="BC3805" s="46">
        <v>1548</v>
      </c>
      <c r="BD3805" s="46">
        <v>3.87</v>
      </c>
      <c r="BE3805" s="46">
        <v>4056.5</v>
      </c>
      <c r="BF3805" s="46">
        <v>0</v>
      </c>
      <c r="BH3805" s="46">
        <v>27514.760000000009</v>
      </c>
      <c r="BI3805">
        <v>6.25</v>
      </c>
      <c r="BJ3805">
        <v>-24418.76</v>
      </c>
      <c r="BK3805">
        <v>-5.55</v>
      </c>
      <c r="BL3805">
        <v>671.38</v>
      </c>
    </row>
    <row r="3806" spans="1:64" x14ac:dyDescent="0.25">
      <c r="A3806" s="136">
        <v>43816</v>
      </c>
      <c r="B3806" t="s">
        <v>79</v>
      </c>
      <c r="C3806" t="s">
        <v>143</v>
      </c>
      <c r="D3806">
        <v>13020</v>
      </c>
      <c r="E3806">
        <v>13020</v>
      </c>
      <c r="F3806">
        <v>9.8520000000000003</v>
      </c>
      <c r="G3806">
        <v>-36737.870000000003</v>
      </c>
      <c r="H3806">
        <v>-28.64</v>
      </c>
      <c r="I3806">
        <v>91530.6</v>
      </c>
      <c r="J3806">
        <v>7.03</v>
      </c>
      <c r="K3806" s="133">
        <v>0.17860950804399031</v>
      </c>
      <c r="L3806" s="181">
        <v>1606.5199999999968</v>
      </c>
      <c r="M3806" s="133">
        <v>0.2502984611076004</v>
      </c>
      <c r="N3806" s="73">
        <v>-36631.94000000025</v>
      </c>
      <c r="O3806" s="73">
        <v>-5200.7988678977626</v>
      </c>
      <c r="P3806" s="182">
        <v>13</v>
      </c>
      <c r="Q3806" s="182">
        <v>8620</v>
      </c>
      <c r="R3806" s="46">
        <v>5.3040000000000003</v>
      </c>
      <c r="S3806" s="46">
        <v>0</v>
      </c>
      <c r="T3806" s="46">
        <v>0</v>
      </c>
      <c r="U3806" s="46">
        <v>0</v>
      </c>
      <c r="V3806" s="46" t="s">
        <v>62</v>
      </c>
      <c r="W3806" s="46">
        <v>8620</v>
      </c>
      <c r="X3806" s="46">
        <v>5.3040000000000003</v>
      </c>
      <c r="AF3806" s="46">
        <v>46</v>
      </c>
      <c r="AG3806" s="46">
        <v>23400</v>
      </c>
      <c r="AH3806" s="46">
        <v>304903.03999999969</v>
      </c>
      <c r="AI3806" s="46">
        <v>13.03</v>
      </c>
      <c r="AJ3806" s="46">
        <v>47</v>
      </c>
      <c r="AK3806" s="46">
        <v>19000</v>
      </c>
      <c r="AL3806" s="46">
        <v>222401.47199999975</v>
      </c>
      <c r="AM3806" s="46">
        <v>11.705</v>
      </c>
      <c r="AN3806" s="46" t="s">
        <v>63</v>
      </c>
      <c r="AO3806" s="46">
        <v>4400</v>
      </c>
      <c r="AP3806" s="46">
        <v>82501.567999999999</v>
      </c>
      <c r="AQ3806" s="46">
        <v>18.75</v>
      </c>
      <c r="AR3806" s="46">
        <v>-25175</v>
      </c>
      <c r="AS3806" s="46">
        <v>59</v>
      </c>
      <c r="AT3806" s="46">
        <v>32020</v>
      </c>
      <c r="AU3806" s="46">
        <v>350694.21199999953</v>
      </c>
      <c r="AV3806" s="46">
        <v>10.952</v>
      </c>
      <c r="AW3806" s="46">
        <v>47</v>
      </c>
      <c r="AX3806" s="46">
        <v>19000</v>
      </c>
      <c r="AY3806" s="46">
        <v>222401.47199999975</v>
      </c>
      <c r="AZ3806" s="46">
        <v>11.705</v>
      </c>
      <c r="BA3806" s="46" t="s">
        <v>63</v>
      </c>
      <c r="BB3806" s="46">
        <v>13020</v>
      </c>
      <c r="BC3806" s="46">
        <v>128292.74</v>
      </c>
      <c r="BD3806" s="46">
        <v>9.8539999999999992</v>
      </c>
      <c r="BE3806" s="46">
        <v>14307</v>
      </c>
      <c r="BF3806" s="46">
        <v>45791.171999999846</v>
      </c>
      <c r="BG3806" s="46">
        <v>5.31</v>
      </c>
      <c r="BH3806" s="46">
        <v>0</v>
      </c>
      <c r="BJ3806">
        <v>45791.172000000006</v>
      </c>
      <c r="BK3806">
        <v>5.31</v>
      </c>
      <c r="BL3806">
        <v>-3581.08</v>
      </c>
    </row>
    <row r="3807" spans="1:64" x14ac:dyDescent="0.25">
      <c r="A3807" s="136">
        <v>43816</v>
      </c>
      <c r="B3807" t="s">
        <v>749</v>
      </c>
      <c r="C3807" t="s">
        <v>750</v>
      </c>
      <c r="D3807">
        <v>500</v>
      </c>
      <c r="E3807">
        <v>500</v>
      </c>
      <c r="F3807">
        <v>5.85</v>
      </c>
      <c r="G3807">
        <v>600</v>
      </c>
      <c r="H3807">
        <v>20.51</v>
      </c>
      <c r="I3807">
        <v>3525</v>
      </c>
      <c r="J3807">
        <v>7.05</v>
      </c>
      <c r="K3807" s="133">
        <v>6.8785577266516967E-3</v>
      </c>
      <c r="L3807" s="181">
        <v>70</v>
      </c>
      <c r="M3807" s="133">
        <v>5.7077393902003441E-3</v>
      </c>
    </row>
    <row r="3808" spans="1:64" x14ac:dyDescent="0.25">
      <c r="A3808" s="136">
        <v>43816</v>
      </c>
      <c r="B3808" t="s">
        <v>776</v>
      </c>
      <c r="C3808" t="s">
        <v>777</v>
      </c>
      <c r="D3808">
        <v>1</v>
      </c>
      <c r="E3808">
        <v>1</v>
      </c>
      <c r="F3808">
        <v>-13136.34</v>
      </c>
      <c r="G3808">
        <v>13196.02</v>
      </c>
      <c r="H3808">
        <v>0</v>
      </c>
      <c r="I3808">
        <v>59.68</v>
      </c>
      <c r="J3808">
        <v>59.68</v>
      </c>
      <c r="K3808" s="133">
        <v>1.1645739719902787E-4</v>
      </c>
      <c r="L3808" s="181">
        <v>6.0000000001309672E-2</v>
      </c>
      <c r="M3808" s="133">
        <v>0</v>
      </c>
    </row>
    <row r="3809" spans="1:64" x14ac:dyDescent="0.25">
      <c r="A3809" s="136">
        <v>43816</v>
      </c>
      <c r="B3809" t="s">
        <v>65</v>
      </c>
      <c r="C3809" t="s">
        <v>127</v>
      </c>
      <c r="D3809">
        <v>24700</v>
      </c>
      <c r="E3809">
        <v>24700</v>
      </c>
      <c r="F3809">
        <v>8.4160000000000004</v>
      </c>
      <c r="G3809">
        <v>-8309.06</v>
      </c>
      <c r="H3809">
        <v>-4</v>
      </c>
      <c r="I3809">
        <v>199576</v>
      </c>
      <c r="J3809">
        <v>8.08</v>
      </c>
      <c r="K3809" s="133">
        <v>0.38944540052602528</v>
      </c>
      <c r="L3809" s="181">
        <v>5314.4</v>
      </c>
      <c r="M3809" s="133">
        <v>0.40565940020381602</v>
      </c>
      <c r="N3809" s="73">
        <v>-12838.465000000171</v>
      </c>
      <c r="O3809" s="73">
        <v>-1059.8058295229625</v>
      </c>
      <c r="P3809" s="182">
        <v>2</v>
      </c>
      <c r="Q3809" s="182">
        <v>2000</v>
      </c>
      <c r="R3809" s="46">
        <v>8.4450000000000003</v>
      </c>
      <c r="S3809" s="46">
        <v>7</v>
      </c>
      <c r="T3809" s="46">
        <v>2800</v>
      </c>
      <c r="U3809" s="46">
        <v>7.9969999999999999</v>
      </c>
      <c r="V3809" s="46" t="s">
        <v>68</v>
      </c>
      <c r="W3809" s="46">
        <v>800</v>
      </c>
      <c r="X3809" s="46">
        <v>6.8769999999999998</v>
      </c>
      <c r="AF3809" s="46">
        <v>271</v>
      </c>
      <c r="AG3809" s="46">
        <v>144000</v>
      </c>
      <c r="AH3809" s="46">
        <v>1487341.6810000001</v>
      </c>
      <c r="AI3809" s="46">
        <v>10.329000000000001</v>
      </c>
      <c r="AJ3809" s="46">
        <v>301</v>
      </c>
      <c r="AK3809" s="46">
        <v>127700</v>
      </c>
      <c r="AL3809" s="46">
        <v>1259676.6060000001</v>
      </c>
      <c r="AM3809" s="46">
        <v>9.8640000000000008</v>
      </c>
      <c r="AN3809" s="46" t="s">
        <v>63</v>
      </c>
      <c r="AO3809" s="46">
        <v>16300</v>
      </c>
      <c r="AP3809" s="46">
        <v>227665.07500000001</v>
      </c>
      <c r="AQ3809" s="46">
        <v>13.967000000000001</v>
      </c>
      <c r="AR3809" s="46">
        <v>-59380.5</v>
      </c>
      <c r="AS3809" s="46">
        <v>274</v>
      </c>
      <c r="AT3809" s="46">
        <v>146100</v>
      </c>
      <c r="AU3809" s="46">
        <v>1505529.6810000001</v>
      </c>
      <c r="AV3809" s="46">
        <v>10.305</v>
      </c>
      <c r="AW3809" s="46">
        <v>308</v>
      </c>
      <c r="AX3809" s="46">
        <v>130500</v>
      </c>
      <c r="AY3809" s="46">
        <v>1282011.2139999997</v>
      </c>
      <c r="AZ3809" s="46">
        <v>9.8239999999999998</v>
      </c>
      <c r="BA3809" s="46" t="s">
        <v>63</v>
      </c>
      <c r="BB3809" s="46">
        <v>15600</v>
      </c>
      <c r="BC3809" s="46">
        <v>223518.467</v>
      </c>
      <c r="BD3809" s="46">
        <v>14.327999999999999</v>
      </c>
      <c r="BE3809" s="46">
        <v>-62770.5</v>
      </c>
      <c r="BF3809" s="46">
        <v>18188</v>
      </c>
      <c r="BG3809" s="46">
        <v>9.09</v>
      </c>
      <c r="BH3809" s="46">
        <v>22334.607999999542</v>
      </c>
      <c r="BI3809">
        <v>7.98</v>
      </c>
      <c r="BJ3809">
        <v>-4146.6080000000075</v>
      </c>
      <c r="BK3809">
        <v>-5.18</v>
      </c>
      <c r="BL3809">
        <v>-7349.07</v>
      </c>
    </row>
    <row r="3810" spans="1:64" x14ac:dyDescent="0.25">
      <c r="A3810" s="136">
        <v>43816</v>
      </c>
      <c r="B3810" t="s">
        <v>77</v>
      </c>
      <c r="C3810" t="s">
        <v>150</v>
      </c>
      <c r="D3810">
        <v>7200</v>
      </c>
      <c r="E3810">
        <v>7200</v>
      </c>
      <c r="F3810">
        <v>5.0259999999999998</v>
      </c>
      <c r="G3810">
        <v>-9332.7800000000007</v>
      </c>
      <c r="H3810">
        <v>-25.79</v>
      </c>
      <c r="I3810">
        <v>26856</v>
      </c>
      <c r="J3810">
        <v>3.73</v>
      </c>
      <c r="K3810" s="133">
        <v>5.2405828739562545E-2</v>
      </c>
      <c r="L3810" s="181">
        <v>605.5</v>
      </c>
      <c r="M3810" s="133">
        <v>7.0617478663006633E-2</v>
      </c>
      <c r="N3810" s="73">
        <v>-9765.721999999987</v>
      </c>
      <c r="O3810" s="73">
        <v>-2476.2270425133656</v>
      </c>
      <c r="P3810" s="182">
        <v>8</v>
      </c>
      <c r="Q3810" s="182">
        <v>4000</v>
      </c>
      <c r="R3810" s="46">
        <v>4.194</v>
      </c>
      <c r="S3810" s="46">
        <v>0</v>
      </c>
      <c r="T3810" s="46">
        <v>0</v>
      </c>
      <c r="U3810" s="46">
        <v>0</v>
      </c>
      <c r="V3810" s="46" t="s">
        <v>62</v>
      </c>
      <c r="W3810" s="46">
        <v>4000</v>
      </c>
      <c r="X3810" s="46">
        <v>4.194</v>
      </c>
      <c r="AF3810" s="46">
        <v>58</v>
      </c>
      <c r="AG3810" s="46">
        <v>29000</v>
      </c>
      <c r="AH3810" s="46">
        <v>188929</v>
      </c>
      <c r="AI3810" s="46">
        <v>6.5149999999999997</v>
      </c>
      <c r="AJ3810" s="46">
        <v>58</v>
      </c>
      <c r="AK3810" s="46">
        <v>25800</v>
      </c>
      <c r="AL3810" s="46">
        <v>169262.27800000005</v>
      </c>
      <c r="AM3810" s="46">
        <v>6.5609999999999999</v>
      </c>
      <c r="AN3810" s="46" t="s">
        <v>63</v>
      </c>
      <c r="AO3810" s="46">
        <v>3200</v>
      </c>
      <c r="AP3810" s="46">
        <v>19666.722000000002</v>
      </c>
      <c r="AQ3810" s="46">
        <v>6.1459999999999999</v>
      </c>
      <c r="AR3810" s="46">
        <v>1186.8</v>
      </c>
      <c r="AS3810" s="46">
        <v>66</v>
      </c>
      <c r="AT3810" s="46">
        <v>33000</v>
      </c>
      <c r="AU3810" s="46">
        <v>205456</v>
      </c>
      <c r="AV3810" s="46">
        <v>6.226</v>
      </c>
      <c r="AW3810" s="46">
        <v>58</v>
      </c>
      <c r="AX3810" s="46">
        <v>25800</v>
      </c>
      <c r="AY3810" s="46">
        <v>169262.27800000005</v>
      </c>
      <c r="AZ3810" s="46">
        <v>6.5609999999999999</v>
      </c>
      <c r="BA3810" s="46" t="s">
        <v>63</v>
      </c>
      <c r="BB3810" s="46">
        <v>7200</v>
      </c>
      <c r="BC3810" s="46">
        <v>36193.722000000002</v>
      </c>
      <c r="BD3810" s="46">
        <v>5.0270000000000001</v>
      </c>
      <c r="BE3810" s="46">
        <v>8643</v>
      </c>
      <c r="BF3810" s="46">
        <v>16527</v>
      </c>
      <c r="BG3810" s="46">
        <v>4.13</v>
      </c>
      <c r="BH3810" s="46">
        <v>0</v>
      </c>
      <c r="BJ3810">
        <v>16527</v>
      </c>
      <c r="BK3810">
        <v>4.13</v>
      </c>
      <c r="BL3810">
        <v>318.18</v>
      </c>
    </row>
    <row r="3811" spans="1:64" x14ac:dyDescent="0.25">
      <c r="A3811" s="136">
        <v>43816</v>
      </c>
      <c r="B3811" t="s">
        <v>67</v>
      </c>
      <c r="C3811" t="s">
        <v>129</v>
      </c>
      <c r="D3811">
        <v>1130</v>
      </c>
      <c r="E3811">
        <v>1130</v>
      </c>
      <c r="F3811">
        <v>2.5249999999999999</v>
      </c>
      <c r="G3811">
        <v>4751.7299999999996</v>
      </c>
      <c r="H3811">
        <v>166.54</v>
      </c>
      <c r="I3811">
        <v>7604.9</v>
      </c>
      <c r="J3811">
        <v>6.73</v>
      </c>
      <c r="K3811" s="133">
        <v>1.4839927278131486E-2</v>
      </c>
      <c r="L3811" s="181">
        <v>99.409999999999854</v>
      </c>
      <c r="M3811" s="133">
        <v>5.5675729216881761E-3</v>
      </c>
      <c r="N3811" s="73">
        <v>4947.191499999979</v>
      </c>
      <c r="O3811" s="73">
        <v>704.98514684249426</v>
      </c>
      <c r="P3811" s="182">
        <v>1</v>
      </c>
      <c r="Q3811" s="182">
        <v>30</v>
      </c>
      <c r="R3811" s="46">
        <v>0</v>
      </c>
      <c r="S3811" s="46">
        <v>24</v>
      </c>
      <c r="T3811" s="46">
        <v>9600</v>
      </c>
      <c r="U3811" s="46">
        <v>8.3330000000000002</v>
      </c>
      <c r="V3811" s="46" t="s">
        <v>68</v>
      </c>
      <c r="W3811" s="46">
        <v>9570</v>
      </c>
      <c r="X3811" s="46">
        <v>8.359</v>
      </c>
      <c r="AF3811" s="46">
        <v>205</v>
      </c>
      <c r="AG3811" s="46">
        <v>101200</v>
      </c>
      <c r="AH3811" s="46">
        <v>833311</v>
      </c>
      <c r="AI3811" s="46">
        <v>8.234</v>
      </c>
      <c r="AJ3811" s="46">
        <v>209</v>
      </c>
      <c r="AK3811" s="46">
        <v>93100</v>
      </c>
      <c r="AL3811" s="46">
        <v>819783.63950000016</v>
      </c>
      <c r="AM3811" s="46">
        <v>8.8049999999999997</v>
      </c>
      <c r="AN3811" s="46" t="s">
        <v>63</v>
      </c>
      <c r="AO3811" s="46">
        <v>8100</v>
      </c>
      <c r="AP3811" s="46">
        <v>13527.36</v>
      </c>
      <c r="AQ3811" s="46">
        <v>1.67</v>
      </c>
      <c r="AR3811" s="46">
        <v>53160.1</v>
      </c>
      <c r="AS3811" s="46">
        <v>206</v>
      </c>
      <c r="AT3811" s="46">
        <v>101230</v>
      </c>
      <c r="AU3811" s="46">
        <v>833316</v>
      </c>
      <c r="AV3811" s="46">
        <v>8.2319999999999993</v>
      </c>
      <c r="AW3811" s="46">
        <v>233</v>
      </c>
      <c r="AX3811" s="46">
        <v>102700</v>
      </c>
      <c r="AY3811" s="46">
        <v>899586.13950000005</v>
      </c>
      <c r="AZ3811" s="46">
        <v>8.7590000000000003</v>
      </c>
      <c r="BA3811" s="46" t="s">
        <v>69</v>
      </c>
      <c r="BB3811" s="46">
        <v>1470</v>
      </c>
      <c r="BC3811" s="46">
        <v>66270.14</v>
      </c>
      <c r="BD3811" s="46">
        <v>45.082000000000001</v>
      </c>
      <c r="BE3811" s="46">
        <v>53348.21</v>
      </c>
      <c r="BF3811" s="46">
        <v>5</v>
      </c>
      <c r="BG3811" s="46">
        <v>0.17</v>
      </c>
      <c r="BH3811" s="46">
        <v>79802.499999999884</v>
      </c>
      <c r="BI3811">
        <v>8.31</v>
      </c>
      <c r="BJ3811">
        <v>52742.78</v>
      </c>
      <c r="BK3811">
        <v>5.51</v>
      </c>
      <c r="BL3811">
        <v>7898.97</v>
      </c>
    </row>
    <row r="3812" spans="1:64" x14ac:dyDescent="0.25">
      <c r="A3812" s="136">
        <v>43816</v>
      </c>
      <c r="B3812" t="s">
        <v>78</v>
      </c>
      <c r="C3812" t="s">
        <v>142</v>
      </c>
      <c r="D3812">
        <v>100</v>
      </c>
      <c r="E3812">
        <v>100</v>
      </c>
      <c r="F3812">
        <v>-5.867</v>
      </c>
      <c r="G3812">
        <v>1558.7</v>
      </c>
      <c r="H3812">
        <v>0</v>
      </c>
      <c r="I3812">
        <v>972</v>
      </c>
      <c r="J3812">
        <v>9.7200000000000006</v>
      </c>
      <c r="K3812" s="133">
        <v>1.8967257050511912E-3</v>
      </c>
      <c r="L3812" s="181">
        <v>4</v>
      </c>
      <c r="M3812" s="133">
        <v>0</v>
      </c>
      <c r="N3812" s="73">
        <v>1576.660999999996</v>
      </c>
      <c r="O3812" s="73">
        <v>159.17905752525212</v>
      </c>
      <c r="P3812" s="182">
        <v>0</v>
      </c>
      <c r="Q3812" s="182">
        <v>0</v>
      </c>
      <c r="R3812" s="46">
        <v>0</v>
      </c>
      <c r="S3812" s="46">
        <v>4</v>
      </c>
      <c r="T3812" s="46">
        <v>1300</v>
      </c>
      <c r="U3812" s="46">
        <v>9.9220000000000006</v>
      </c>
      <c r="V3812" s="46" t="s">
        <v>68</v>
      </c>
      <c r="W3812" s="46">
        <v>1300</v>
      </c>
      <c r="X3812" s="46">
        <v>9.9220000000000006</v>
      </c>
      <c r="AF3812" s="46">
        <v>14</v>
      </c>
      <c r="AG3812" s="46">
        <v>7000</v>
      </c>
      <c r="AH3812" s="46">
        <v>67625</v>
      </c>
      <c r="AI3812" s="46">
        <v>9.6609999999999996</v>
      </c>
      <c r="AJ3812" s="46">
        <v>15</v>
      </c>
      <c r="AK3812" s="46">
        <v>5600</v>
      </c>
      <c r="AL3812" s="46">
        <v>55310.559000000008</v>
      </c>
      <c r="AM3812" s="46">
        <v>9.8770000000000007</v>
      </c>
      <c r="AN3812" s="46" t="s">
        <v>63</v>
      </c>
      <c r="AO3812" s="46">
        <v>1400</v>
      </c>
      <c r="AP3812" s="46">
        <v>12314.441000000001</v>
      </c>
      <c r="AQ3812" s="46">
        <v>8.7959999999999994</v>
      </c>
      <c r="AR3812" s="46">
        <v>1209.5999999999999</v>
      </c>
      <c r="AS3812" s="46">
        <v>14</v>
      </c>
      <c r="AT3812" s="46">
        <v>7000</v>
      </c>
      <c r="AU3812" s="46">
        <v>67625</v>
      </c>
      <c r="AV3812" s="46">
        <v>9.6609999999999996</v>
      </c>
      <c r="AW3812" s="46">
        <v>19</v>
      </c>
      <c r="AX3812" s="46">
        <v>6900</v>
      </c>
      <c r="AY3812" s="46">
        <v>68211.661000000007</v>
      </c>
      <c r="AZ3812" s="46">
        <v>9.8859999999999992</v>
      </c>
      <c r="BA3812" s="46" t="s">
        <v>63</v>
      </c>
      <c r="BB3812" s="46">
        <v>100</v>
      </c>
      <c r="BC3812" s="46">
        <v>586.66099999999994</v>
      </c>
      <c r="BD3812" s="46">
        <v>5.867</v>
      </c>
      <c r="BE3812" s="46">
        <v>1552.5</v>
      </c>
      <c r="BF3812" s="46">
        <v>0</v>
      </c>
      <c r="BH3812" s="46">
        <v>12901.101999999999</v>
      </c>
      <c r="BI3812">
        <v>9.92</v>
      </c>
      <c r="BJ3812">
        <v>-11727.78</v>
      </c>
      <c r="BK3812">
        <v>-9.02</v>
      </c>
      <c r="BL3812">
        <v>124.44</v>
      </c>
    </row>
    <row r="3813" spans="1:64" x14ac:dyDescent="0.25">
      <c r="A3813" s="136">
        <v>43816</v>
      </c>
      <c r="B3813" t="s">
        <v>72</v>
      </c>
      <c r="C3813" t="s">
        <v>130</v>
      </c>
      <c r="D3813">
        <v>100</v>
      </c>
      <c r="E3813">
        <v>100</v>
      </c>
      <c r="F3813">
        <v>-18.477</v>
      </c>
      <c r="G3813">
        <v>2295.6999999999998</v>
      </c>
      <c r="H3813">
        <v>0</v>
      </c>
      <c r="I3813">
        <v>448</v>
      </c>
      <c r="J3813">
        <v>4.4800000000000004</v>
      </c>
      <c r="K3813" s="133">
        <v>8.7421102455034327E-4</v>
      </c>
      <c r="L3813" s="181">
        <v>5</v>
      </c>
      <c r="M3813" s="133">
        <v>0</v>
      </c>
      <c r="N3813" s="73">
        <v>-1498.9659999999872</v>
      </c>
      <c r="O3813" s="73">
        <v>376.42007904191922</v>
      </c>
      <c r="P3813" s="182">
        <v>0</v>
      </c>
      <c r="Q3813" s="182">
        <v>0</v>
      </c>
      <c r="R3813" s="46">
        <v>0</v>
      </c>
      <c r="S3813" s="46">
        <v>20</v>
      </c>
      <c r="T3813" s="46">
        <v>8600</v>
      </c>
      <c r="U3813" s="46">
        <v>7.3840000000000003</v>
      </c>
      <c r="V3813" s="46" t="s">
        <v>68</v>
      </c>
      <c r="W3813" s="46">
        <v>8600</v>
      </c>
      <c r="X3813" s="46">
        <v>7.3840000000000003</v>
      </c>
      <c r="AF3813" s="46">
        <v>42</v>
      </c>
      <c r="AG3813" s="46">
        <v>20900</v>
      </c>
      <c r="AH3813" s="46">
        <v>152800</v>
      </c>
      <c r="AI3813" s="46">
        <v>7.3109999999999999</v>
      </c>
      <c r="AJ3813" s="46">
        <v>42</v>
      </c>
      <c r="AK3813" s="46">
        <v>18800</v>
      </c>
      <c r="AL3813" s="46">
        <v>92037.725000000035</v>
      </c>
      <c r="AM3813" s="46">
        <v>4.8959999999999999</v>
      </c>
      <c r="AN3813" s="46" t="s">
        <v>63</v>
      </c>
      <c r="AO3813" s="46">
        <v>2100</v>
      </c>
      <c r="AP3813" s="46">
        <v>60762.275000000001</v>
      </c>
      <c r="AQ3813" s="46">
        <v>28.934000000000001</v>
      </c>
      <c r="AR3813" s="46">
        <v>-45402</v>
      </c>
      <c r="AS3813" s="46">
        <v>42</v>
      </c>
      <c r="AT3813" s="46">
        <v>20900</v>
      </c>
      <c r="AU3813" s="46">
        <v>152800</v>
      </c>
      <c r="AV3813" s="46">
        <v>7.3109999999999999</v>
      </c>
      <c r="AW3813" s="46">
        <v>63</v>
      </c>
      <c r="AX3813" s="46">
        <v>27900</v>
      </c>
      <c r="AY3813" s="46">
        <v>155380.21900000001</v>
      </c>
      <c r="AZ3813" s="46">
        <v>5.569</v>
      </c>
      <c r="BA3813" s="46" t="s">
        <v>69</v>
      </c>
      <c r="BB3813" s="46">
        <v>7000</v>
      </c>
      <c r="BC3813" s="46">
        <v>2580.2190000000001</v>
      </c>
      <c r="BD3813" s="46">
        <v>0.36899999999999999</v>
      </c>
      <c r="BE3813" s="46">
        <v>-36407.800000000003</v>
      </c>
      <c r="BF3813" s="46">
        <v>0</v>
      </c>
      <c r="BH3813" s="46">
        <v>63342.493999999977</v>
      </c>
      <c r="BI3813">
        <v>7.37</v>
      </c>
      <c r="BJ3813">
        <v>-58182.056000000004</v>
      </c>
      <c r="BK3813">
        <v>-6.77</v>
      </c>
      <c r="BL3813">
        <v>-10134.379999999999</v>
      </c>
    </row>
    <row r="3814" spans="1:64" x14ac:dyDescent="0.25">
      <c r="A3814" s="136">
        <v>43816</v>
      </c>
      <c r="B3814" t="s">
        <v>70</v>
      </c>
      <c r="C3814" t="s">
        <v>131</v>
      </c>
      <c r="D3814">
        <v>16180</v>
      </c>
      <c r="E3814">
        <v>16180</v>
      </c>
      <c r="F3814">
        <v>8.3569999999999993</v>
      </c>
      <c r="G3814">
        <v>-22598.23</v>
      </c>
      <c r="H3814">
        <v>-16.71</v>
      </c>
      <c r="I3814">
        <v>112612.8</v>
      </c>
      <c r="J3814">
        <v>6.96</v>
      </c>
      <c r="K3814" s="133">
        <v>0.21974855193188148</v>
      </c>
      <c r="L3814" s="181">
        <v>1456.2000000000007</v>
      </c>
      <c r="M3814" s="133">
        <v>0.26384592202412321</v>
      </c>
      <c r="N3814" s="73">
        <v>-23925.55700000003</v>
      </c>
      <c r="O3814" s="73">
        <v>-3475.8131135901208</v>
      </c>
      <c r="P3814" s="182">
        <v>0</v>
      </c>
      <c r="Q3814" s="182">
        <v>0</v>
      </c>
      <c r="R3814" s="46">
        <v>0</v>
      </c>
      <c r="S3814" s="46">
        <v>3</v>
      </c>
      <c r="T3814" s="46">
        <v>1200</v>
      </c>
      <c r="U3814" s="46">
        <v>8.1929999999999996</v>
      </c>
      <c r="V3814" s="46" t="s">
        <v>68</v>
      </c>
      <c r="W3814" s="46">
        <v>1200</v>
      </c>
      <c r="X3814" s="46">
        <v>8.1929999999999996</v>
      </c>
      <c r="AF3814" s="46">
        <v>203</v>
      </c>
      <c r="AG3814" s="46">
        <v>102880</v>
      </c>
      <c r="AH3814" s="46">
        <v>1161275</v>
      </c>
      <c r="AI3814" s="46">
        <v>11.288</v>
      </c>
      <c r="AJ3814" s="46">
        <v>212</v>
      </c>
      <c r="AK3814" s="46">
        <v>85500</v>
      </c>
      <c r="AL3814" s="46">
        <v>1014048.8749999995</v>
      </c>
      <c r="AM3814" s="46">
        <v>11.86</v>
      </c>
      <c r="AN3814" s="46" t="s">
        <v>63</v>
      </c>
      <c r="AO3814" s="46">
        <v>17380</v>
      </c>
      <c r="AP3814" s="46">
        <v>147226.125</v>
      </c>
      <c r="AQ3814" s="46">
        <v>8.4710000000000001</v>
      </c>
      <c r="AR3814" s="46">
        <v>48906</v>
      </c>
      <c r="AS3814" s="46">
        <v>203</v>
      </c>
      <c r="AT3814" s="46">
        <v>102880</v>
      </c>
      <c r="AU3814" s="46">
        <v>1161275</v>
      </c>
      <c r="AV3814" s="46">
        <v>11.288</v>
      </c>
      <c r="AW3814" s="46">
        <v>216</v>
      </c>
      <c r="AX3814" s="46">
        <v>86700</v>
      </c>
      <c r="AY3814" s="46">
        <v>1024261.0429999995</v>
      </c>
      <c r="AZ3814" s="46">
        <v>11.814</v>
      </c>
      <c r="BA3814" s="46" t="s">
        <v>63</v>
      </c>
      <c r="BB3814" s="46">
        <v>16180</v>
      </c>
      <c r="BC3814" s="46">
        <v>137013.95699999999</v>
      </c>
      <c r="BD3814" s="46">
        <v>8.468</v>
      </c>
      <c r="BE3814" s="46">
        <v>45604.2</v>
      </c>
      <c r="BF3814" s="46">
        <v>0</v>
      </c>
      <c r="BH3814" s="46">
        <v>10212.167999999947</v>
      </c>
      <c r="BI3814">
        <v>8.51</v>
      </c>
      <c r="BJ3814">
        <v>-10212.168000000005</v>
      </c>
      <c r="BK3814">
        <v>-8.51</v>
      </c>
      <c r="BL3814">
        <v>7026.72</v>
      </c>
    </row>
    <row r="3815" spans="1:64" x14ac:dyDescent="0.25">
      <c r="A3815" s="136">
        <v>43816</v>
      </c>
      <c r="B3815" t="s">
        <v>628</v>
      </c>
      <c r="C3815" t="s">
        <v>629</v>
      </c>
      <c r="D3815">
        <v>100</v>
      </c>
      <c r="E3815">
        <v>100</v>
      </c>
      <c r="F3815">
        <v>-22.369</v>
      </c>
      <c r="G3815">
        <v>3713.9</v>
      </c>
      <c r="H3815">
        <v>0</v>
      </c>
      <c r="I3815">
        <v>1477</v>
      </c>
      <c r="J3815">
        <v>14.77</v>
      </c>
      <c r="K3815" s="133">
        <v>2.8821644715644129E-3</v>
      </c>
      <c r="L3815" s="181">
        <v>29</v>
      </c>
      <c r="M3815" s="133">
        <v>0</v>
      </c>
    </row>
    <row r="3816" spans="1:64" x14ac:dyDescent="0.25">
      <c r="A3816" s="136">
        <v>43816</v>
      </c>
      <c r="B3816" t="s">
        <v>630</v>
      </c>
      <c r="C3816" t="s">
        <v>631</v>
      </c>
      <c r="D3816">
        <v>100</v>
      </c>
      <c r="E3816">
        <v>100</v>
      </c>
      <c r="F3816">
        <v>-94.6</v>
      </c>
      <c r="G3816">
        <v>11525</v>
      </c>
      <c r="H3816">
        <v>0</v>
      </c>
      <c r="I3816">
        <v>2065</v>
      </c>
      <c r="J3816">
        <v>20.65</v>
      </c>
      <c r="K3816" s="133">
        <v>4.029566441286739E-3</v>
      </c>
      <c r="L3816" s="181">
        <v>44</v>
      </c>
      <c r="M3816" s="133">
        <v>0</v>
      </c>
    </row>
    <row r="3817" spans="1:64" x14ac:dyDescent="0.25">
      <c r="A3817" s="136">
        <v>43816</v>
      </c>
      <c r="B3817" t="s">
        <v>768</v>
      </c>
      <c r="C3817" t="s">
        <v>769</v>
      </c>
      <c r="D3817">
        <v>500</v>
      </c>
      <c r="E3817">
        <v>500</v>
      </c>
      <c r="F3817">
        <v>2.4900000000000002</v>
      </c>
      <c r="G3817">
        <v>605</v>
      </c>
      <c r="H3817">
        <v>48.59</v>
      </c>
      <c r="I3817">
        <v>1850</v>
      </c>
      <c r="J3817">
        <v>3.7</v>
      </c>
      <c r="K3817" s="133">
        <v>3.610023204058337E-3</v>
      </c>
      <c r="L3817" s="181">
        <v>50</v>
      </c>
      <c r="M3817" s="133">
        <v>2.4294480481365567E-3</v>
      </c>
    </row>
    <row r="3818" spans="1:64" x14ac:dyDescent="0.25">
      <c r="A3818" s="136">
        <v>43816</v>
      </c>
      <c r="B3818" t="s">
        <v>137</v>
      </c>
      <c r="C3818" t="s">
        <v>149</v>
      </c>
      <c r="D3818">
        <v>150</v>
      </c>
      <c r="E3818">
        <v>150</v>
      </c>
      <c r="F3818">
        <v>-87.406999999999996</v>
      </c>
      <c r="G3818">
        <v>17126.55</v>
      </c>
      <c r="H3818">
        <v>0</v>
      </c>
      <c r="I3818">
        <v>4015.5</v>
      </c>
      <c r="J3818">
        <v>26.77</v>
      </c>
      <c r="K3818" s="133">
        <v>7.8357017167006767E-3</v>
      </c>
      <c r="L3818" s="181">
        <v>19.5</v>
      </c>
      <c r="M3818" s="133">
        <v>0</v>
      </c>
    </row>
    <row r="3819" spans="1:64" x14ac:dyDescent="0.25">
      <c r="A3819" s="136">
        <v>43816</v>
      </c>
      <c r="B3819" t="s">
        <v>835</v>
      </c>
      <c r="C3819" t="s">
        <v>839</v>
      </c>
      <c r="I3819">
        <v>202.94</v>
      </c>
      <c r="K3819" s="133">
        <v>3.9600978866572914E-4</v>
      </c>
      <c r="L3819" s="181">
        <v>0</v>
      </c>
      <c r="M3819" s="133">
        <v>7.9326064476809691E-2</v>
      </c>
    </row>
    <row r="3820" spans="1:64" x14ac:dyDescent="0.25">
      <c r="A3820" s="136">
        <v>43818</v>
      </c>
      <c r="B3820" t="s">
        <v>132</v>
      </c>
      <c r="C3820" t="s">
        <v>123</v>
      </c>
      <c r="D3820">
        <v>4045079</v>
      </c>
      <c r="E3820">
        <v>4045079</v>
      </c>
      <c r="F3820">
        <v>8.9999999999999993E-3</v>
      </c>
      <c r="G3820">
        <v>4092.64</v>
      </c>
      <c r="H3820">
        <v>11.11</v>
      </c>
      <c r="I3820">
        <v>40450.79</v>
      </c>
      <c r="J3820">
        <v>0.01</v>
      </c>
      <c r="K3820" s="133">
        <v>7.8275226964698852E-2</v>
      </c>
      <c r="L3820" s="181">
        <v>2.1299999999996544</v>
      </c>
      <c r="M3820" s="133">
        <v>0</v>
      </c>
    </row>
    <row r="3821" spans="1:64" x14ac:dyDescent="0.25">
      <c r="A3821" s="136">
        <v>43818</v>
      </c>
      <c r="B3821" t="s">
        <v>65</v>
      </c>
      <c r="C3821" t="s">
        <v>127</v>
      </c>
      <c r="D3821">
        <v>24300</v>
      </c>
      <c r="E3821">
        <v>24300</v>
      </c>
      <c r="F3821">
        <v>8.4209999999999994</v>
      </c>
      <c r="G3821">
        <v>-6333.33</v>
      </c>
      <c r="H3821">
        <v>-3.1</v>
      </c>
      <c r="I3821">
        <v>198288</v>
      </c>
      <c r="J3821">
        <v>8.16</v>
      </c>
      <c r="K3821" s="133">
        <v>0.38370173250945666</v>
      </c>
      <c r="L3821" s="181">
        <v>1975.7299999999996</v>
      </c>
      <c r="M3821" s="133">
        <v>0.39595718767343085</v>
      </c>
      <c r="N3821" s="73">
        <v>-10129.737000000168</v>
      </c>
      <c r="O3821" s="73">
        <v>-714.57938976165099</v>
      </c>
      <c r="P3821" s="182">
        <v>2</v>
      </c>
      <c r="Q3821" s="182">
        <v>2000</v>
      </c>
      <c r="R3821" s="46">
        <v>8.4450000000000003</v>
      </c>
      <c r="S3821" s="46">
        <v>8</v>
      </c>
      <c r="T3821" s="46">
        <v>3200</v>
      </c>
      <c r="U3821" s="46">
        <v>8.02</v>
      </c>
      <c r="V3821" s="46" t="s">
        <v>68</v>
      </c>
      <c r="W3821" s="46">
        <v>1200</v>
      </c>
      <c r="X3821" s="46">
        <v>7.3120000000000003</v>
      </c>
      <c r="AF3821" s="46">
        <v>271</v>
      </c>
      <c r="AG3821" s="46">
        <v>144000</v>
      </c>
      <c r="AH3821" s="46">
        <v>1487341.6810000001</v>
      </c>
      <c r="AI3821" s="46">
        <v>10.329000000000001</v>
      </c>
      <c r="AJ3821" s="46">
        <v>301</v>
      </c>
      <c r="AK3821" s="46">
        <v>127700</v>
      </c>
      <c r="AL3821" s="46">
        <v>1259676.6060000001</v>
      </c>
      <c r="AM3821" s="46">
        <v>9.8640000000000008</v>
      </c>
      <c r="AN3821" s="46" t="s">
        <v>63</v>
      </c>
      <c r="AO3821" s="46">
        <v>16300</v>
      </c>
      <c r="AP3821" s="46">
        <v>227665.07500000001</v>
      </c>
      <c r="AQ3821" s="46">
        <v>13.967000000000001</v>
      </c>
      <c r="AR3821" s="46">
        <v>-59380.5</v>
      </c>
      <c r="AS3821" s="46">
        <v>274</v>
      </c>
      <c r="AT3821" s="46">
        <v>146100</v>
      </c>
      <c r="AU3821" s="46">
        <v>1505529.6810000001</v>
      </c>
      <c r="AV3821" s="46">
        <v>10.305</v>
      </c>
      <c r="AW3821" s="46">
        <v>309</v>
      </c>
      <c r="AX3821" s="46">
        <v>130900</v>
      </c>
      <c r="AY3821" s="46">
        <v>1285274.9419999998</v>
      </c>
      <c r="AZ3821" s="46">
        <v>9.8190000000000008</v>
      </c>
      <c r="BA3821" s="46" t="s">
        <v>63</v>
      </c>
      <c r="BB3821" s="46">
        <v>15200</v>
      </c>
      <c r="BC3821" s="46">
        <v>220254.739</v>
      </c>
      <c r="BD3821" s="46">
        <v>14.49</v>
      </c>
      <c r="BE3821" s="46">
        <v>-63617.4</v>
      </c>
      <c r="BF3821" s="46">
        <v>18188</v>
      </c>
      <c r="BG3821" s="46">
        <v>9.09</v>
      </c>
      <c r="BH3821" s="46">
        <v>25598.335999999661</v>
      </c>
      <c r="BI3821">
        <v>8</v>
      </c>
      <c r="BJ3821">
        <v>-7410.3360000000102</v>
      </c>
      <c r="BK3821">
        <v>-6.18</v>
      </c>
      <c r="BL3821">
        <v>-7277.02</v>
      </c>
    </row>
    <row r="3822" spans="1:64" x14ac:dyDescent="0.25">
      <c r="A3822" s="136">
        <v>43818</v>
      </c>
      <c r="B3822" t="s">
        <v>70</v>
      </c>
      <c r="C3822" t="s">
        <v>131</v>
      </c>
      <c r="D3822">
        <v>15380</v>
      </c>
      <c r="E3822">
        <v>15380</v>
      </c>
      <c r="F3822">
        <v>8.423</v>
      </c>
      <c r="G3822">
        <v>-19417.919999999998</v>
      </c>
      <c r="H3822">
        <v>-14.99</v>
      </c>
      <c r="I3822">
        <v>110120.8</v>
      </c>
      <c r="J3822">
        <v>7.16</v>
      </c>
      <c r="K3822" s="133">
        <v>0.21309177431477133</v>
      </c>
      <c r="L3822" s="181">
        <v>3180.3100000000013</v>
      </c>
      <c r="M3822" s="133">
        <v>0.25066686481813022</v>
      </c>
      <c r="N3822" s="73">
        <v>-19143.245000000024</v>
      </c>
      <c r="O3822" s="73">
        <v>-2664.857016364906</v>
      </c>
      <c r="P3822" s="182">
        <v>0</v>
      </c>
      <c r="Q3822" s="182">
        <v>0</v>
      </c>
      <c r="R3822" s="46">
        <v>0</v>
      </c>
      <c r="S3822" s="46">
        <v>5</v>
      </c>
      <c r="T3822" s="46">
        <v>2000</v>
      </c>
      <c r="U3822" s="46">
        <v>7.76</v>
      </c>
      <c r="V3822" s="46" t="s">
        <v>68</v>
      </c>
      <c r="W3822" s="46">
        <v>2000</v>
      </c>
      <c r="X3822" s="46">
        <v>7.76</v>
      </c>
      <c r="AF3822" s="46">
        <v>203</v>
      </c>
      <c r="AG3822" s="46">
        <v>102880</v>
      </c>
      <c r="AH3822" s="46">
        <v>1161275</v>
      </c>
      <c r="AI3822" s="46">
        <v>11.288</v>
      </c>
      <c r="AJ3822" s="46">
        <v>212</v>
      </c>
      <c r="AK3822" s="46">
        <v>85500</v>
      </c>
      <c r="AL3822" s="46">
        <v>1014048.8749999995</v>
      </c>
      <c r="AM3822" s="46">
        <v>11.86</v>
      </c>
      <c r="AN3822" s="46" t="s">
        <v>63</v>
      </c>
      <c r="AO3822" s="46">
        <v>17380</v>
      </c>
      <c r="AP3822" s="46">
        <v>147226.125</v>
      </c>
      <c r="AQ3822" s="46">
        <v>8.4710000000000001</v>
      </c>
      <c r="AR3822" s="46">
        <v>48906</v>
      </c>
      <c r="AS3822" s="46">
        <v>203</v>
      </c>
      <c r="AT3822" s="46">
        <v>102880</v>
      </c>
      <c r="AU3822" s="46">
        <v>1161275</v>
      </c>
      <c r="AV3822" s="46">
        <v>11.288</v>
      </c>
      <c r="AW3822" s="46">
        <v>218</v>
      </c>
      <c r="AX3822" s="46">
        <v>87500</v>
      </c>
      <c r="AY3822" s="46">
        <v>1029933.3549999995</v>
      </c>
      <c r="AZ3822" s="46">
        <v>11.771000000000001</v>
      </c>
      <c r="BA3822" s="46" t="s">
        <v>63</v>
      </c>
      <c r="BB3822" s="46">
        <v>15380</v>
      </c>
      <c r="BC3822" s="46">
        <v>131341.64499999999</v>
      </c>
      <c r="BD3822" s="46">
        <v>8.5399999999999991</v>
      </c>
      <c r="BE3822" s="46">
        <v>42262.5</v>
      </c>
      <c r="BF3822" s="46">
        <v>0</v>
      </c>
      <c r="BH3822" s="46">
        <v>15884.479999999981</v>
      </c>
      <c r="BI3822">
        <v>7.94</v>
      </c>
      <c r="BJ3822">
        <v>-15884.48000000001</v>
      </c>
      <c r="BK3822">
        <v>-7.94</v>
      </c>
      <c r="BL3822">
        <v>6830.45</v>
      </c>
    </row>
    <row r="3823" spans="1:64" x14ac:dyDescent="0.25">
      <c r="A3823" s="136">
        <v>43818</v>
      </c>
      <c r="B3823" t="s">
        <v>79</v>
      </c>
      <c r="C3823" t="s">
        <v>143</v>
      </c>
      <c r="D3823">
        <v>13020</v>
      </c>
      <c r="E3823">
        <v>13020</v>
      </c>
      <c r="F3823">
        <v>9.8520000000000003</v>
      </c>
      <c r="G3823">
        <v>-37649.269999999997</v>
      </c>
      <c r="H3823">
        <v>-29.35</v>
      </c>
      <c r="I3823">
        <v>90619.199999999997</v>
      </c>
      <c r="J3823">
        <v>6.96</v>
      </c>
      <c r="K3823" s="133">
        <v>0.17535475691227384</v>
      </c>
      <c r="L3823" s="181">
        <v>-911.39999999999418</v>
      </c>
      <c r="M3823" s="133">
        <v>0.24820883848411032</v>
      </c>
      <c r="N3823" s="73">
        <v>-36631.94000000025</v>
      </c>
      <c r="O3823" s="73">
        <v>-5200.7988678977626</v>
      </c>
      <c r="P3823" s="182">
        <v>13</v>
      </c>
      <c r="Q3823" s="182">
        <v>8620</v>
      </c>
      <c r="R3823" s="46">
        <v>5.3040000000000003</v>
      </c>
      <c r="S3823" s="46">
        <v>0</v>
      </c>
      <c r="T3823" s="46">
        <v>0</v>
      </c>
      <c r="U3823" s="46">
        <v>0</v>
      </c>
      <c r="V3823" s="46" t="s">
        <v>62</v>
      </c>
      <c r="W3823" s="46">
        <v>8620</v>
      </c>
      <c r="X3823" s="46">
        <v>5.3040000000000003</v>
      </c>
      <c r="AF3823" s="46">
        <v>46</v>
      </c>
      <c r="AG3823" s="46">
        <v>23400</v>
      </c>
      <c r="AH3823" s="46">
        <v>304903.03999999969</v>
      </c>
      <c r="AI3823" s="46">
        <v>13.03</v>
      </c>
      <c r="AJ3823" s="46">
        <v>47</v>
      </c>
      <c r="AK3823" s="46">
        <v>19000</v>
      </c>
      <c r="AL3823" s="46">
        <v>222401.47199999975</v>
      </c>
      <c r="AM3823" s="46">
        <v>11.705</v>
      </c>
      <c r="AN3823" s="46" t="s">
        <v>63</v>
      </c>
      <c r="AO3823" s="46">
        <v>4400</v>
      </c>
      <c r="AP3823" s="46">
        <v>82501.567999999999</v>
      </c>
      <c r="AQ3823" s="46">
        <v>18.75</v>
      </c>
      <c r="AR3823" s="46">
        <v>-25175</v>
      </c>
      <c r="AS3823" s="46">
        <v>59</v>
      </c>
      <c r="AT3823" s="46">
        <v>32020</v>
      </c>
      <c r="AU3823" s="46">
        <v>350694.21199999953</v>
      </c>
      <c r="AV3823" s="46">
        <v>10.952</v>
      </c>
      <c r="AW3823" s="46">
        <v>47</v>
      </c>
      <c r="AX3823" s="46">
        <v>19000</v>
      </c>
      <c r="AY3823" s="46">
        <v>222401.47199999975</v>
      </c>
      <c r="AZ3823" s="46">
        <v>11.705</v>
      </c>
      <c r="BA3823" s="46" t="s">
        <v>63</v>
      </c>
      <c r="BB3823" s="46">
        <v>13020</v>
      </c>
      <c r="BC3823" s="46">
        <v>128292.74</v>
      </c>
      <c r="BD3823" s="46">
        <v>9.8539999999999992</v>
      </c>
      <c r="BE3823" s="46">
        <v>14307</v>
      </c>
      <c r="BF3823" s="46">
        <v>45791.171999999846</v>
      </c>
      <c r="BG3823" s="46">
        <v>5.31</v>
      </c>
      <c r="BH3823" s="46">
        <v>0</v>
      </c>
      <c r="BJ3823">
        <v>45791.172000000006</v>
      </c>
      <c r="BK3823">
        <v>5.31</v>
      </c>
      <c r="BL3823">
        <v>-3617.1</v>
      </c>
    </row>
    <row r="3824" spans="1:64" x14ac:dyDescent="0.25">
      <c r="A3824" s="136">
        <v>43818</v>
      </c>
      <c r="B3824" t="s">
        <v>77</v>
      </c>
      <c r="C3824" t="s">
        <v>150</v>
      </c>
      <c r="D3824">
        <v>7200</v>
      </c>
      <c r="E3824">
        <v>7200</v>
      </c>
      <c r="F3824">
        <v>5.0259999999999998</v>
      </c>
      <c r="G3824">
        <v>-9404.7800000000007</v>
      </c>
      <c r="H3824">
        <v>-25.99</v>
      </c>
      <c r="I3824">
        <v>26784</v>
      </c>
      <c r="J3824">
        <v>3.72</v>
      </c>
      <c r="K3824" s="133">
        <v>5.1828992190819857E-2</v>
      </c>
      <c r="L3824" s="181">
        <v>-72</v>
      </c>
      <c r="M3824" s="133">
        <v>7.0027926971897317E-2</v>
      </c>
      <c r="N3824" s="73">
        <v>-9765.721999999987</v>
      </c>
      <c r="O3824" s="73">
        <v>-2476.2270425133656</v>
      </c>
      <c r="P3824" s="182">
        <v>8</v>
      </c>
      <c r="Q3824" s="182">
        <v>4000</v>
      </c>
      <c r="R3824" s="46">
        <v>4.194</v>
      </c>
      <c r="S3824" s="46">
        <v>0</v>
      </c>
      <c r="T3824" s="46">
        <v>0</v>
      </c>
      <c r="U3824" s="46">
        <v>0</v>
      </c>
      <c r="V3824" s="46" t="s">
        <v>62</v>
      </c>
      <c r="W3824" s="46">
        <v>4000</v>
      </c>
      <c r="X3824" s="46">
        <v>4.194</v>
      </c>
      <c r="AF3824" s="46">
        <v>58</v>
      </c>
      <c r="AG3824" s="46">
        <v>29000</v>
      </c>
      <c r="AH3824" s="46">
        <v>188929</v>
      </c>
      <c r="AI3824" s="46">
        <v>6.5149999999999997</v>
      </c>
      <c r="AJ3824" s="46">
        <v>58</v>
      </c>
      <c r="AK3824" s="46">
        <v>25800</v>
      </c>
      <c r="AL3824" s="46">
        <v>169262.27800000005</v>
      </c>
      <c r="AM3824" s="46">
        <v>6.5609999999999999</v>
      </c>
      <c r="AN3824" s="46" t="s">
        <v>63</v>
      </c>
      <c r="AO3824" s="46">
        <v>3200</v>
      </c>
      <c r="AP3824" s="46">
        <v>19666.722000000002</v>
      </c>
      <c r="AQ3824" s="46">
        <v>6.1459999999999999</v>
      </c>
      <c r="AR3824" s="46">
        <v>1186.8</v>
      </c>
      <c r="AS3824" s="46">
        <v>66</v>
      </c>
      <c r="AT3824" s="46">
        <v>33000</v>
      </c>
      <c r="AU3824" s="46">
        <v>205456</v>
      </c>
      <c r="AV3824" s="46">
        <v>6.226</v>
      </c>
      <c r="AW3824" s="46">
        <v>58</v>
      </c>
      <c r="AX3824" s="46">
        <v>25800</v>
      </c>
      <c r="AY3824" s="46">
        <v>169262.27800000005</v>
      </c>
      <c r="AZ3824" s="46">
        <v>6.5609999999999999</v>
      </c>
      <c r="BA3824" s="46" t="s">
        <v>63</v>
      </c>
      <c r="BB3824" s="46">
        <v>7200</v>
      </c>
      <c r="BC3824" s="46">
        <v>36193.722000000002</v>
      </c>
      <c r="BD3824" s="46">
        <v>5.0270000000000001</v>
      </c>
      <c r="BE3824" s="46">
        <v>8643</v>
      </c>
      <c r="BF3824" s="46">
        <v>16527</v>
      </c>
      <c r="BG3824" s="46">
        <v>4.13</v>
      </c>
      <c r="BH3824" s="46">
        <v>0</v>
      </c>
      <c r="BJ3824">
        <v>16527</v>
      </c>
      <c r="BK3824">
        <v>4.13</v>
      </c>
      <c r="BL3824">
        <v>319.02999999999997</v>
      </c>
    </row>
    <row r="3825" spans="1:64" x14ac:dyDescent="0.25">
      <c r="A3825" s="136">
        <v>43818</v>
      </c>
      <c r="B3825" t="s">
        <v>61</v>
      </c>
      <c r="C3825" t="s">
        <v>136</v>
      </c>
      <c r="D3825">
        <v>3900</v>
      </c>
      <c r="E3825">
        <v>3900</v>
      </c>
      <c r="F3825">
        <v>4.5430000000000001</v>
      </c>
      <c r="G3825">
        <v>-1611.29</v>
      </c>
      <c r="H3825">
        <v>-9.09</v>
      </c>
      <c r="I3825">
        <v>16107</v>
      </c>
      <c r="J3825">
        <v>4.13</v>
      </c>
      <c r="K3825" s="133">
        <v>3.1168218982136179E-2</v>
      </c>
      <c r="L3825" s="181">
        <v>-39</v>
      </c>
      <c r="M3825" s="133">
        <v>3.4286182573352808E-2</v>
      </c>
      <c r="N3825" s="73">
        <v>-1578.4689999999991</v>
      </c>
      <c r="O3825" s="73">
        <v>-381.08206896135249</v>
      </c>
      <c r="P3825" s="182">
        <v>3</v>
      </c>
      <c r="Q3825" s="182">
        <v>1500</v>
      </c>
      <c r="R3825" s="46">
        <v>4.2329999999999997</v>
      </c>
      <c r="S3825" s="46">
        <v>0</v>
      </c>
      <c r="T3825" s="46">
        <v>0</v>
      </c>
      <c r="U3825" s="46">
        <v>0</v>
      </c>
      <c r="V3825" s="46" t="s">
        <v>62</v>
      </c>
      <c r="W3825" s="46">
        <v>1500</v>
      </c>
      <c r="X3825" s="46">
        <v>4.2329999999999997</v>
      </c>
      <c r="AF3825" s="46">
        <v>25</v>
      </c>
      <c r="AG3825" s="46">
        <v>12500</v>
      </c>
      <c r="AH3825" s="46">
        <v>60907.500000000007</v>
      </c>
      <c r="AI3825" s="46">
        <v>4.8730000000000002</v>
      </c>
      <c r="AJ3825" s="46">
        <v>25</v>
      </c>
      <c r="AK3825" s="46">
        <v>10100</v>
      </c>
      <c r="AL3825" s="46">
        <v>49548.93099999999</v>
      </c>
      <c r="AM3825" s="46">
        <v>4.9059999999999997</v>
      </c>
      <c r="AN3825" s="46" t="s">
        <v>63</v>
      </c>
      <c r="AO3825" s="46">
        <v>2400</v>
      </c>
      <c r="AP3825" s="46">
        <v>11358.569</v>
      </c>
      <c r="AQ3825" s="46">
        <v>4.7329999999999997</v>
      </c>
      <c r="AR3825" s="46">
        <v>333.3</v>
      </c>
      <c r="AS3825" s="46">
        <v>28</v>
      </c>
      <c r="AT3825" s="46">
        <v>14000</v>
      </c>
      <c r="AU3825" s="46">
        <v>67273.400000000009</v>
      </c>
      <c r="AV3825" s="46">
        <v>4.8049999999999997</v>
      </c>
      <c r="AW3825" s="46">
        <v>25</v>
      </c>
      <c r="AX3825" s="46">
        <v>10100</v>
      </c>
      <c r="AY3825" s="46">
        <v>49548.93099999999</v>
      </c>
      <c r="AZ3825" s="46">
        <v>4.9059999999999997</v>
      </c>
      <c r="BA3825" s="46" t="s">
        <v>63</v>
      </c>
      <c r="BB3825" s="46">
        <v>3900</v>
      </c>
      <c r="BC3825" s="46">
        <v>17724.469000000001</v>
      </c>
      <c r="BD3825" s="46">
        <v>4.5449999999999999</v>
      </c>
      <c r="BE3825" s="46">
        <v>1020.1</v>
      </c>
      <c r="BF3825" s="46">
        <v>6365.9000000000015</v>
      </c>
      <c r="BG3825" s="46">
        <v>4.24</v>
      </c>
      <c r="BH3825" s="46">
        <v>0</v>
      </c>
      <c r="BJ3825">
        <v>6365.9000000000015</v>
      </c>
      <c r="BK3825">
        <v>4.24</v>
      </c>
      <c r="BL3825">
        <v>80.7</v>
      </c>
    </row>
    <row r="3826" spans="1:64" x14ac:dyDescent="0.25">
      <c r="A3826" s="136">
        <v>43818</v>
      </c>
      <c r="B3826" t="s">
        <v>67</v>
      </c>
      <c r="C3826" t="s">
        <v>129</v>
      </c>
      <c r="D3826">
        <v>1130</v>
      </c>
      <c r="E3826">
        <v>1130</v>
      </c>
      <c r="F3826">
        <v>2.5249999999999999</v>
      </c>
      <c r="G3826">
        <v>4763.03</v>
      </c>
      <c r="H3826">
        <v>166.93</v>
      </c>
      <c r="I3826">
        <v>7616.2</v>
      </c>
      <c r="J3826">
        <v>6.74</v>
      </c>
      <c r="K3826" s="133">
        <v>1.4737902117821168E-2</v>
      </c>
      <c r="L3826" s="181">
        <v>11.300000000000182</v>
      </c>
      <c r="M3826" s="133">
        <v>5.5210919074477859E-3</v>
      </c>
      <c r="N3826" s="73">
        <v>4947.191499999979</v>
      </c>
      <c r="O3826" s="73">
        <v>704.98514684249426</v>
      </c>
      <c r="P3826" s="182">
        <v>1</v>
      </c>
      <c r="Q3826" s="182">
        <v>30</v>
      </c>
      <c r="R3826" s="46">
        <v>0</v>
      </c>
      <c r="S3826" s="46">
        <v>24</v>
      </c>
      <c r="T3826" s="46">
        <v>9600</v>
      </c>
      <c r="U3826" s="46">
        <v>8.3330000000000002</v>
      </c>
      <c r="V3826" s="46" t="s">
        <v>68</v>
      </c>
      <c r="W3826" s="46">
        <v>9570</v>
      </c>
      <c r="X3826" s="46">
        <v>8.359</v>
      </c>
      <c r="AF3826" s="46">
        <v>205</v>
      </c>
      <c r="AG3826" s="46">
        <v>101200</v>
      </c>
      <c r="AH3826" s="46">
        <v>833311</v>
      </c>
      <c r="AI3826" s="46">
        <v>8.234</v>
      </c>
      <c r="AJ3826" s="46">
        <v>209</v>
      </c>
      <c r="AK3826" s="46">
        <v>93100</v>
      </c>
      <c r="AL3826" s="46">
        <v>819783.63950000016</v>
      </c>
      <c r="AM3826" s="46">
        <v>8.8049999999999997</v>
      </c>
      <c r="AN3826" s="46" t="s">
        <v>63</v>
      </c>
      <c r="AO3826" s="46">
        <v>8100</v>
      </c>
      <c r="AP3826" s="46">
        <v>13527.36</v>
      </c>
      <c r="AQ3826" s="46">
        <v>1.67</v>
      </c>
      <c r="AR3826" s="46">
        <v>53160.1</v>
      </c>
      <c r="AS3826" s="46">
        <v>206</v>
      </c>
      <c r="AT3826" s="46">
        <v>101230</v>
      </c>
      <c r="AU3826" s="46">
        <v>833316</v>
      </c>
      <c r="AV3826" s="46">
        <v>8.2319999999999993</v>
      </c>
      <c r="AW3826" s="46">
        <v>233</v>
      </c>
      <c r="AX3826" s="46">
        <v>102700</v>
      </c>
      <c r="AY3826" s="46">
        <v>899586.13950000005</v>
      </c>
      <c r="AZ3826" s="46">
        <v>8.7590000000000003</v>
      </c>
      <c r="BA3826" s="46" t="s">
        <v>69</v>
      </c>
      <c r="BB3826" s="46">
        <v>1470</v>
      </c>
      <c r="BC3826" s="46">
        <v>66270.14</v>
      </c>
      <c r="BD3826" s="46">
        <v>45.082000000000001</v>
      </c>
      <c r="BE3826" s="46">
        <v>53348.21</v>
      </c>
      <c r="BF3826" s="46">
        <v>5</v>
      </c>
      <c r="BG3826" s="46">
        <v>0.17</v>
      </c>
      <c r="BH3826" s="46">
        <v>79802.499999999884</v>
      </c>
      <c r="BI3826">
        <v>8.31</v>
      </c>
      <c r="BJ3826">
        <v>52742.78</v>
      </c>
      <c r="BK3826">
        <v>5.51</v>
      </c>
      <c r="BL3826">
        <v>7887.26</v>
      </c>
    </row>
    <row r="3827" spans="1:64" x14ac:dyDescent="0.25">
      <c r="A3827" s="136">
        <v>43818</v>
      </c>
      <c r="B3827" t="s">
        <v>749</v>
      </c>
      <c r="C3827" t="s">
        <v>750</v>
      </c>
      <c r="D3827">
        <v>500</v>
      </c>
      <c r="E3827">
        <v>500</v>
      </c>
      <c r="F3827">
        <v>5.85</v>
      </c>
      <c r="G3827">
        <v>640</v>
      </c>
      <c r="H3827">
        <v>21.88</v>
      </c>
      <c r="I3827">
        <v>3565</v>
      </c>
      <c r="J3827">
        <v>7.13</v>
      </c>
      <c r="K3827" s="133">
        <v>6.8985348402132909E-3</v>
      </c>
      <c r="L3827" s="181">
        <v>40</v>
      </c>
      <c r="M3827" s="133">
        <v>5.6600881928818726E-3</v>
      </c>
    </row>
    <row r="3828" spans="1:64" x14ac:dyDescent="0.25">
      <c r="A3828" s="136">
        <v>43818</v>
      </c>
      <c r="B3828" t="s">
        <v>768</v>
      </c>
      <c r="C3828" t="s">
        <v>769</v>
      </c>
      <c r="D3828">
        <v>500</v>
      </c>
      <c r="E3828">
        <v>500</v>
      </c>
      <c r="F3828">
        <v>2.4900000000000002</v>
      </c>
      <c r="G3828">
        <v>600</v>
      </c>
      <c r="H3828">
        <v>48.19</v>
      </c>
      <c r="I3828">
        <v>1845</v>
      </c>
      <c r="J3828">
        <v>3.69</v>
      </c>
      <c r="K3828" s="133">
        <v>3.5702094755101044E-3</v>
      </c>
      <c r="L3828" s="181">
        <v>-5</v>
      </c>
      <c r="M3828" s="133">
        <v>2.4091657436368999E-3</v>
      </c>
    </row>
    <row r="3829" spans="1:64" x14ac:dyDescent="0.25">
      <c r="A3829" s="136">
        <v>43818</v>
      </c>
      <c r="B3829" t="s">
        <v>71</v>
      </c>
      <c r="C3829" t="s">
        <v>126</v>
      </c>
      <c r="D3829">
        <v>400</v>
      </c>
      <c r="E3829">
        <v>400</v>
      </c>
      <c r="F3829">
        <v>-4.3289999999999997</v>
      </c>
      <c r="G3829">
        <v>4219.6000000000004</v>
      </c>
      <c r="H3829">
        <v>0</v>
      </c>
      <c r="I3829">
        <v>2488</v>
      </c>
      <c r="J3829">
        <v>6.22</v>
      </c>
      <c r="K3829" s="133">
        <v>4.8144613415008891E-3</v>
      </c>
      <c r="L3829" s="181">
        <v>0</v>
      </c>
      <c r="M3829" s="133">
        <v>0</v>
      </c>
      <c r="N3829" s="73">
        <v>1704.2000000000062</v>
      </c>
      <c r="O3829" s="73">
        <v>678.03214983713463</v>
      </c>
      <c r="P3829" s="182">
        <v>0</v>
      </c>
      <c r="Q3829" s="182">
        <v>0</v>
      </c>
      <c r="R3829" s="46">
        <v>0</v>
      </c>
      <c r="S3829" s="46">
        <v>11</v>
      </c>
      <c r="T3829" s="46">
        <v>4400</v>
      </c>
      <c r="U3829" s="46">
        <v>6.2729999999999997</v>
      </c>
      <c r="V3829" s="46" t="s">
        <v>68</v>
      </c>
      <c r="W3829" s="46">
        <v>4400</v>
      </c>
      <c r="X3829" s="46">
        <v>6.2729999999999997</v>
      </c>
      <c r="AF3829" s="46">
        <v>60</v>
      </c>
      <c r="AG3829" s="46">
        <v>30900</v>
      </c>
      <c r="AH3829" s="46">
        <v>194080.50999999989</v>
      </c>
      <c r="AI3829" s="46">
        <v>6.2809999999999997</v>
      </c>
      <c r="AJ3829" s="46">
        <v>60</v>
      </c>
      <c r="AK3829" s="46">
        <v>26100</v>
      </c>
      <c r="AL3829" s="46">
        <v>168113.75</v>
      </c>
      <c r="AM3829" s="46">
        <v>6.4409999999999998</v>
      </c>
      <c r="AN3829" s="46" t="s">
        <v>63</v>
      </c>
      <c r="AO3829" s="46">
        <v>4800</v>
      </c>
      <c r="AP3829" s="46">
        <v>25966.76</v>
      </c>
      <c r="AQ3829" s="46">
        <v>5.41</v>
      </c>
      <c r="AR3829" s="46">
        <v>4176</v>
      </c>
      <c r="AS3829" s="46">
        <v>60</v>
      </c>
      <c r="AT3829" s="46">
        <v>30900</v>
      </c>
      <c r="AU3829" s="46">
        <v>194080.50999999989</v>
      </c>
      <c r="AV3829" s="46">
        <v>6.2809999999999997</v>
      </c>
      <c r="AW3829" s="46">
        <v>71</v>
      </c>
      <c r="AX3829" s="46">
        <v>30500</v>
      </c>
      <c r="AY3829" s="46">
        <v>195628.51</v>
      </c>
      <c r="AZ3829" s="46">
        <v>6.4139999999999997</v>
      </c>
      <c r="BA3829" s="46" t="s">
        <v>63</v>
      </c>
      <c r="BB3829" s="46">
        <v>400</v>
      </c>
      <c r="BC3829" s="46">
        <v>1548</v>
      </c>
      <c r="BD3829" s="46">
        <v>3.87</v>
      </c>
      <c r="BE3829" s="46">
        <v>4056.5</v>
      </c>
      <c r="BF3829" s="46">
        <v>0</v>
      </c>
      <c r="BH3829" s="46">
        <v>27514.760000000009</v>
      </c>
      <c r="BI3829">
        <v>6.25</v>
      </c>
      <c r="BJ3829">
        <v>-24418.76</v>
      </c>
      <c r="BK3829">
        <v>-5.55</v>
      </c>
      <c r="BL3829">
        <v>671.38</v>
      </c>
    </row>
    <row r="3830" spans="1:64" x14ac:dyDescent="0.25">
      <c r="A3830" s="136">
        <v>43818</v>
      </c>
      <c r="B3830" t="s">
        <v>137</v>
      </c>
      <c r="C3830" t="s">
        <v>149</v>
      </c>
      <c r="D3830">
        <v>150</v>
      </c>
      <c r="E3830">
        <v>150</v>
      </c>
      <c r="F3830">
        <v>-87.406999999999996</v>
      </c>
      <c r="G3830">
        <v>17215.05</v>
      </c>
      <c r="H3830">
        <v>0</v>
      </c>
      <c r="I3830">
        <v>4104</v>
      </c>
      <c r="J3830">
        <v>27.36</v>
      </c>
      <c r="K3830" s="133">
        <v>7.9415391260127203E-3</v>
      </c>
      <c r="L3830" s="181">
        <v>88.5</v>
      </c>
      <c r="M3830" s="133">
        <v>0</v>
      </c>
    </row>
    <row r="3831" spans="1:64" x14ac:dyDescent="0.25">
      <c r="A3831" s="136">
        <v>43818</v>
      </c>
      <c r="B3831" t="s">
        <v>124</v>
      </c>
      <c r="C3831" t="s">
        <v>125</v>
      </c>
      <c r="D3831">
        <v>100</v>
      </c>
      <c r="E3831">
        <v>100</v>
      </c>
      <c r="F3831">
        <v>-54.070999999999998</v>
      </c>
      <c r="G3831">
        <v>6000.1</v>
      </c>
      <c r="H3831">
        <v>0</v>
      </c>
      <c r="I3831">
        <v>593</v>
      </c>
      <c r="J3831">
        <v>5.93</v>
      </c>
      <c r="K3831" s="133">
        <v>1.1474982216680173E-3</v>
      </c>
      <c r="L3831" s="181">
        <v>9</v>
      </c>
      <c r="M3831" s="133">
        <v>0</v>
      </c>
      <c r="N3831" s="73">
        <v>5573.0690000000113</v>
      </c>
      <c r="O3831" s="73">
        <v>1102.4501845505636</v>
      </c>
      <c r="P3831" s="182">
        <v>0</v>
      </c>
      <c r="Q3831" s="182">
        <v>0</v>
      </c>
      <c r="R3831" s="46">
        <v>0</v>
      </c>
      <c r="S3831" s="46">
        <v>5</v>
      </c>
      <c r="T3831" s="46">
        <v>2300</v>
      </c>
      <c r="U3831" s="46">
        <v>4.99</v>
      </c>
      <c r="V3831" s="46" t="s">
        <v>68</v>
      </c>
      <c r="W3831" s="46">
        <v>2300</v>
      </c>
      <c r="X3831" s="46">
        <v>4.99</v>
      </c>
      <c r="AF3831" s="46">
        <v>50</v>
      </c>
      <c r="AG3831" s="46">
        <v>36700</v>
      </c>
      <c r="AH3831" s="46">
        <v>180101.02000000002</v>
      </c>
      <c r="AI3831" s="46">
        <v>4.907</v>
      </c>
      <c r="AJ3831" s="46">
        <v>58</v>
      </c>
      <c r="AK3831" s="46">
        <v>35300</v>
      </c>
      <c r="AL3831" s="46">
        <v>178266.546</v>
      </c>
      <c r="AM3831" s="46">
        <v>5.05</v>
      </c>
      <c r="AN3831" s="46" t="s">
        <v>63</v>
      </c>
      <c r="AO3831" s="46">
        <v>1400</v>
      </c>
      <c r="AP3831" s="46">
        <v>1834.4739999999999</v>
      </c>
      <c r="AQ3831" s="46">
        <v>1.31</v>
      </c>
      <c r="AR3831" s="46">
        <v>5047.8999999999996</v>
      </c>
      <c r="AS3831" s="46">
        <v>51</v>
      </c>
      <c r="AT3831" s="46">
        <v>37700</v>
      </c>
      <c r="AU3831" s="46">
        <v>185106.62</v>
      </c>
      <c r="AV3831" s="46">
        <v>4.91</v>
      </c>
      <c r="AW3831" s="46">
        <v>63</v>
      </c>
      <c r="AX3831" s="46">
        <v>37600</v>
      </c>
      <c r="AY3831" s="46">
        <v>189713.68900000001</v>
      </c>
      <c r="AZ3831" s="46">
        <v>5.0460000000000003</v>
      </c>
      <c r="BA3831" s="46" t="s">
        <v>63</v>
      </c>
      <c r="BB3831" s="46">
        <v>100</v>
      </c>
      <c r="BC3831" s="46">
        <v>4607.0690000000004</v>
      </c>
      <c r="BD3831" s="46">
        <v>46.070999999999998</v>
      </c>
      <c r="BE3831" s="46">
        <v>5113.6000000000004</v>
      </c>
      <c r="BF3831" s="46">
        <v>5005.5999999999767</v>
      </c>
      <c r="BH3831" s="46">
        <v>11447.143000000011</v>
      </c>
      <c r="BI3831">
        <v>4.9800000000000004</v>
      </c>
      <c r="BJ3831">
        <v>2772.5950000000003</v>
      </c>
      <c r="BK3831">
        <v>1.21</v>
      </c>
      <c r="BL3831">
        <v>851.25</v>
      </c>
    </row>
    <row r="3832" spans="1:64" x14ac:dyDescent="0.25">
      <c r="A3832" s="136">
        <v>43818</v>
      </c>
      <c r="B3832" t="s">
        <v>78</v>
      </c>
      <c r="C3832" t="s">
        <v>142</v>
      </c>
      <c r="D3832">
        <v>100</v>
      </c>
      <c r="E3832">
        <v>100</v>
      </c>
      <c r="F3832">
        <v>-5.867</v>
      </c>
      <c r="G3832">
        <v>1545.7</v>
      </c>
      <c r="H3832">
        <v>0</v>
      </c>
      <c r="I3832">
        <v>959</v>
      </c>
      <c r="J3832">
        <v>9.59</v>
      </c>
      <c r="K3832" s="133">
        <v>1.8557348981106721E-3</v>
      </c>
      <c r="L3832" s="181">
        <v>-13</v>
      </c>
      <c r="M3832" s="133">
        <v>0</v>
      </c>
      <c r="N3832" s="73">
        <v>1576.660999999996</v>
      </c>
      <c r="O3832" s="73">
        <v>159.17905752525212</v>
      </c>
      <c r="P3832" s="182">
        <v>0</v>
      </c>
      <c r="Q3832" s="182">
        <v>0</v>
      </c>
      <c r="R3832" s="46">
        <v>0</v>
      </c>
      <c r="S3832" s="46">
        <v>4</v>
      </c>
      <c r="T3832" s="46">
        <v>1300</v>
      </c>
      <c r="U3832" s="46">
        <v>9.9220000000000006</v>
      </c>
      <c r="V3832" s="46" t="s">
        <v>68</v>
      </c>
      <c r="W3832" s="46">
        <v>1300</v>
      </c>
      <c r="X3832" s="46">
        <v>9.9220000000000006</v>
      </c>
      <c r="AF3832" s="46">
        <v>14</v>
      </c>
      <c r="AG3832" s="46">
        <v>7000</v>
      </c>
      <c r="AH3832" s="46">
        <v>67625</v>
      </c>
      <c r="AI3832" s="46">
        <v>9.6609999999999996</v>
      </c>
      <c r="AJ3832" s="46">
        <v>15</v>
      </c>
      <c r="AK3832" s="46">
        <v>5600</v>
      </c>
      <c r="AL3832" s="46">
        <v>55310.559000000008</v>
      </c>
      <c r="AM3832" s="46">
        <v>9.8770000000000007</v>
      </c>
      <c r="AN3832" s="46" t="s">
        <v>63</v>
      </c>
      <c r="AO3832" s="46">
        <v>1400</v>
      </c>
      <c r="AP3832" s="46">
        <v>12314.441000000001</v>
      </c>
      <c r="AQ3832" s="46">
        <v>8.7959999999999994</v>
      </c>
      <c r="AR3832" s="46">
        <v>1209.5999999999999</v>
      </c>
      <c r="AS3832" s="46">
        <v>14</v>
      </c>
      <c r="AT3832" s="46">
        <v>7000</v>
      </c>
      <c r="AU3832" s="46">
        <v>67625</v>
      </c>
      <c r="AV3832" s="46">
        <v>9.6609999999999996</v>
      </c>
      <c r="AW3832" s="46">
        <v>19</v>
      </c>
      <c r="AX3832" s="46">
        <v>6900</v>
      </c>
      <c r="AY3832" s="46">
        <v>68211.661000000007</v>
      </c>
      <c r="AZ3832" s="46">
        <v>9.8859999999999992</v>
      </c>
      <c r="BA3832" s="46" t="s">
        <v>63</v>
      </c>
      <c r="BB3832" s="46">
        <v>100</v>
      </c>
      <c r="BC3832" s="46">
        <v>586.66099999999994</v>
      </c>
      <c r="BD3832" s="46">
        <v>5.867</v>
      </c>
      <c r="BE3832" s="46">
        <v>1552.5</v>
      </c>
      <c r="BF3832" s="46">
        <v>0</v>
      </c>
      <c r="BH3832" s="46">
        <v>12901.101999999999</v>
      </c>
      <c r="BI3832">
        <v>9.92</v>
      </c>
      <c r="BJ3832">
        <v>-11727.78</v>
      </c>
      <c r="BK3832">
        <v>-9.02</v>
      </c>
      <c r="BL3832">
        <v>126.13</v>
      </c>
    </row>
    <row r="3833" spans="1:64" x14ac:dyDescent="0.25">
      <c r="A3833" s="136">
        <v>43818</v>
      </c>
      <c r="B3833" t="s">
        <v>72</v>
      </c>
      <c r="C3833" t="s">
        <v>130</v>
      </c>
      <c r="D3833">
        <v>100</v>
      </c>
      <c r="E3833">
        <v>100</v>
      </c>
      <c r="F3833">
        <v>-18.477</v>
      </c>
      <c r="G3833">
        <v>2297.6999999999998</v>
      </c>
      <c r="H3833">
        <v>0</v>
      </c>
      <c r="I3833">
        <v>450</v>
      </c>
      <c r="J3833">
        <v>4.5</v>
      </c>
      <c r="K3833" s="133">
        <v>8.7078279890490356E-4</v>
      </c>
      <c r="L3833" s="181">
        <v>2</v>
      </c>
      <c r="M3833" s="133">
        <v>0</v>
      </c>
      <c r="N3833" s="73">
        <v>-1498.9659999999872</v>
      </c>
      <c r="O3833" s="73">
        <v>376.42007904191922</v>
      </c>
      <c r="P3833" s="182">
        <v>0</v>
      </c>
      <c r="Q3833" s="182">
        <v>0</v>
      </c>
      <c r="R3833" s="46">
        <v>0</v>
      </c>
      <c r="S3833" s="46">
        <v>20</v>
      </c>
      <c r="T3833" s="46">
        <v>8600</v>
      </c>
      <c r="U3833" s="46">
        <v>7.3840000000000003</v>
      </c>
      <c r="V3833" s="46" t="s">
        <v>68</v>
      </c>
      <c r="W3833" s="46">
        <v>8600</v>
      </c>
      <c r="X3833" s="46">
        <v>7.3840000000000003</v>
      </c>
      <c r="AF3833" s="46">
        <v>42</v>
      </c>
      <c r="AG3833" s="46">
        <v>20900</v>
      </c>
      <c r="AH3833" s="46">
        <v>152800</v>
      </c>
      <c r="AI3833" s="46">
        <v>7.3109999999999999</v>
      </c>
      <c r="AJ3833" s="46">
        <v>42</v>
      </c>
      <c r="AK3833" s="46">
        <v>18800</v>
      </c>
      <c r="AL3833" s="46">
        <v>92037.725000000035</v>
      </c>
      <c r="AM3833" s="46">
        <v>4.8959999999999999</v>
      </c>
      <c r="AN3833" s="46" t="s">
        <v>63</v>
      </c>
      <c r="AO3833" s="46">
        <v>2100</v>
      </c>
      <c r="AP3833" s="46">
        <v>60762.275000000001</v>
      </c>
      <c r="AQ3833" s="46">
        <v>28.934000000000001</v>
      </c>
      <c r="AR3833" s="46">
        <v>-45402</v>
      </c>
      <c r="AS3833" s="46">
        <v>42</v>
      </c>
      <c r="AT3833" s="46">
        <v>20900</v>
      </c>
      <c r="AU3833" s="46">
        <v>152800</v>
      </c>
      <c r="AV3833" s="46">
        <v>7.3109999999999999</v>
      </c>
      <c r="AW3833" s="46">
        <v>63</v>
      </c>
      <c r="AX3833" s="46">
        <v>27900</v>
      </c>
      <c r="AY3833" s="46">
        <v>155380.21900000001</v>
      </c>
      <c r="AZ3833" s="46">
        <v>5.569</v>
      </c>
      <c r="BA3833" s="46" t="s">
        <v>69</v>
      </c>
      <c r="BB3833" s="46">
        <v>7000</v>
      </c>
      <c r="BC3833" s="46">
        <v>2580.2190000000001</v>
      </c>
      <c r="BD3833" s="46">
        <v>0.36899999999999999</v>
      </c>
      <c r="BE3833" s="46">
        <v>-36407.800000000003</v>
      </c>
      <c r="BF3833" s="46">
        <v>0</v>
      </c>
      <c r="BH3833" s="46">
        <v>63342.493999999977</v>
      </c>
      <c r="BI3833">
        <v>7.37</v>
      </c>
      <c r="BJ3833">
        <v>-58182.056000000004</v>
      </c>
      <c r="BK3833">
        <v>-6.77</v>
      </c>
      <c r="BL3833">
        <v>-10089.33</v>
      </c>
    </row>
    <row r="3834" spans="1:64" x14ac:dyDescent="0.25">
      <c r="A3834" s="136">
        <v>43818</v>
      </c>
      <c r="B3834" t="s">
        <v>628</v>
      </c>
      <c r="C3834" t="s">
        <v>629</v>
      </c>
      <c r="D3834">
        <v>100</v>
      </c>
      <c r="E3834">
        <v>100</v>
      </c>
      <c r="F3834">
        <v>-22.369</v>
      </c>
      <c r="G3834">
        <v>3731.9</v>
      </c>
      <c r="H3834">
        <v>0</v>
      </c>
      <c r="I3834">
        <v>1495</v>
      </c>
      <c r="J3834">
        <v>14.95</v>
      </c>
      <c r="K3834" s="133">
        <v>2.8929339652507351E-3</v>
      </c>
      <c r="L3834" s="181">
        <v>18</v>
      </c>
      <c r="M3834" s="133">
        <v>0</v>
      </c>
    </row>
    <row r="3835" spans="1:64" x14ac:dyDescent="0.25">
      <c r="A3835" s="136">
        <v>43818</v>
      </c>
      <c r="B3835" t="s">
        <v>630</v>
      </c>
      <c r="C3835" t="s">
        <v>631</v>
      </c>
      <c r="D3835">
        <v>100</v>
      </c>
      <c r="E3835">
        <v>100</v>
      </c>
      <c r="F3835">
        <v>-94.6</v>
      </c>
      <c r="G3835">
        <v>11552</v>
      </c>
      <c r="H3835">
        <v>0</v>
      </c>
      <c r="I3835">
        <v>2092</v>
      </c>
      <c r="J3835">
        <v>20.92</v>
      </c>
      <c r="K3835" s="133">
        <v>4.0481724784645736E-3</v>
      </c>
      <c r="L3835" s="181">
        <v>27</v>
      </c>
      <c r="M3835" s="133">
        <v>0</v>
      </c>
    </row>
    <row r="3836" spans="1:64" x14ac:dyDescent="0.25">
      <c r="A3836" s="136">
        <v>43818</v>
      </c>
      <c r="B3836" t="s">
        <v>776</v>
      </c>
      <c r="C3836" t="s">
        <v>777</v>
      </c>
      <c r="D3836">
        <v>1</v>
      </c>
      <c r="E3836">
        <v>1</v>
      </c>
      <c r="F3836">
        <v>-13136.34</v>
      </c>
      <c r="G3836">
        <v>13197.77</v>
      </c>
      <c r="H3836">
        <v>0</v>
      </c>
      <c r="I3836">
        <v>61.43</v>
      </c>
      <c r="J3836">
        <v>61.43</v>
      </c>
      <c r="K3836" s="133">
        <v>1.188715274149516E-4</v>
      </c>
      <c r="L3836" s="181">
        <v>1.75</v>
      </c>
      <c r="M3836" s="133">
        <v>0</v>
      </c>
    </row>
    <row r="3837" spans="1:64" x14ac:dyDescent="0.25">
      <c r="A3837" s="136">
        <v>43818</v>
      </c>
      <c r="B3837" t="s">
        <v>835</v>
      </c>
      <c r="C3837" t="s">
        <v>839</v>
      </c>
      <c r="I3837">
        <v>9137.98</v>
      </c>
      <c r="K3837" s="133">
        <v>1.7682657334971177E-2</v>
      </c>
      <c r="L3837" s="181">
        <v>0</v>
      </c>
      <c r="M3837" s="133">
        <v>9.5957884299670032E-2</v>
      </c>
    </row>
    <row r="3838" spans="1:64" x14ac:dyDescent="0.25">
      <c r="A3838" s="136">
        <v>43825</v>
      </c>
      <c r="B3838" t="s">
        <v>132</v>
      </c>
      <c r="C3838" t="s">
        <v>123</v>
      </c>
      <c r="D3838">
        <v>4046839</v>
      </c>
      <c r="E3838">
        <v>4046839</v>
      </c>
      <c r="F3838">
        <v>8.9999999999999993E-3</v>
      </c>
      <c r="G3838">
        <v>4110.24</v>
      </c>
      <c r="H3838">
        <v>11.11</v>
      </c>
      <c r="I3838">
        <v>40468.39</v>
      </c>
      <c r="J3838">
        <v>0.01</v>
      </c>
      <c r="K3838" s="133">
        <v>7.8970675520996916E-2</v>
      </c>
      <c r="L3838" s="181">
        <v>17.599999999999909</v>
      </c>
      <c r="M3838" s="133">
        <v>0</v>
      </c>
    </row>
    <row r="3839" spans="1:64" x14ac:dyDescent="0.25">
      <c r="A3839" s="136">
        <v>43825</v>
      </c>
      <c r="B3839" t="s">
        <v>61</v>
      </c>
      <c r="C3839" t="s">
        <v>136</v>
      </c>
      <c r="D3839">
        <v>3900</v>
      </c>
      <c r="E3839">
        <v>3900</v>
      </c>
      <c r="F3839">
        <v>4.5430000000000001</v>
      </c>
      <c r="G3839">
        <v>-1806.29</v>
      </c>
      <c r="H3839">
        <v>-10.19</v>
      </c>
      <c r="I3839">
        <v>15912</v>
      </c>
      <c r="J3839">
        <v>4.08</v>
      </c>
      <c r="K3839" s="133">
        <v>3.1050936024143855E-2</v>
      </c>
      <c r="L3839" s="181">
        <v>-195</v>
      </c>
      <c r="M3839" s="133">
        <v>3.457575975661311E-2</v>
      </c>
      <c r="N3839" s="73">
        <v>-1578.4689999999991</v>
      </c>
      <c r="O3839" s="73">
        <v>-381.08206896135249</v>
      </c>
      <c r="P3839" s="182">
        <v>3</v>
      </c>
      <c r="Q3839" s="182">
        <v>1500</v>
      </c>
      <c r="R3839" s="46">
        <v>4.2329999999999997</v>
      </c>
      <c r="S3839" s="46">
        <v>0</v>
      </c>
      <c r="T3839" s="46">
        <v>0</v>
      </c>
      <c r="U3839" s="46">
        <v>0</v>
      </c>
      <c r="V3839" s="46" t="s">
        <v>62</v>
      </c>
      <c r="W3839" s="46">
        <v>1500</v>
      </c>
      <c r="X3839" s="46">
        <v>4.2329999999999997</v>
      </c>
      <c r="AF3839" s="46">
        <v>25</v>
      </c>
      <c r="AG3839" s="46">
        <v>12500</v>
      </c>
      <c r="AH3839" s="46">
        <v>60907.500000000007</v>
      </c>
      <c r="AI3839" s="46">
        <v>4.8730000000000002</v>
      </c>
      <c r="AJ3839" s="46">
        <v>25</v>
      </c>
      <c r="AK3839" s="46">
        <v>10100</v>
      </c>
      <c r="AL3839" s="46">
        <v>49548.93099999999</v>
      </c>
      <c r="AM3839" s="46">
        <v>4.9059999999999997</v>
      </c>
      <c r="AN3839" s="46" t="s">
        <v>63</v>
      </c>
      <c r="AO3839" s="46">
        <v>2400</v>
      </c>
      <c r="AP3839" s="46">
        <v>11358.569</v>
      </c>
      <c r="AQ3839" s="46">
        <v>4.7329999999999997</v>
      </c>
      <c r="AR3839" s="46">
        <v>333.3</v>
      </c>
      <c r="AS3839" s="46">
        <v>28</v>
      </c>
      <c r="AT3839" s="46">
        <v>14000</v>
      </c>
      <c r="AU3839" s="46">
        <v>67273.400000000009</v>
      </c>
      <c r="AV3839" s="46">
        <v>4.8049999999999997</v>
      </c>
      <c r="AW3839" s="46">
        <v>25</v>
      </c>
      <c r="AX3839" s="46">
        <v>10100</v>
      </c>
      <c r="AY3839" s="46">
        <v>49548.93099999999</v>
      </c>
      <c r="AZ3839" s="46">
        <v>4.9059999999999997</v>
      </c>
      <c r="BA3839" s="46" t="s">
        <v>63</v>
      </c>
      <c r="BB3839" s="46">
        <v>3900</v>
      </c>
      <c r="BC3839" s="46">
        <v>17724.469000000001</v>
      </c>
      <c r="BD3839" s="46">
        <v>4.5449999999999999</v>
      </c>
      <c r="BE3839" s="46">
        <v>1020.1</v>
      </c>
      <c r="BF3839" s="46">
        <v>6365.9000000000015</v>
      </c>
      <c r="BG3839" s="46">
        <v>4.24</v>
      </c>
      <c r="BH3839" s="46">
        <v>0</v>
      </c>
      <c r="BJ3839">
        <v>6365.9000000000015</v>
      </c>
      <c r="BK3839">
        <v>4.24</v>
      </c>
      <c r="BL3839">
        <v>81.69</v>
      </c>
    </row>
    <row r="3840" spans="1:64" x14ac:dyDescent="0.25">
      <c r="A3840" s="136">
        <v>43825</v>
      </c>
      <c r="B3840" t="s">
        <v>124</v>
      </c>
      <c r="C3840" t="s">
        <v>125</v>
      </c>
      <c r="D3840">
        <v>100</v>
      </c>
      <c r="E3840">
        <v>100</v>
      </c>
      <c r="F3840">
        <v>-54.070999999999998</v>
      </c>
      <c r="G3840">
        <v>5993.1</v>
      </c>
      <c r="H3840">
        <v>0</v>
      </c>
      <c r="I3840">
        <v>586</v>
      </c>
      <c r="J3840">
        <v>5.86</v>
      </c>
      <c r="K3840" s="133">
        <v>1.1435299465905166E-3</v>
      </c>
      <c r="L3840" s="181">
        <v>-7</v>
      </c>
      <c r="M3840" s="133">
        <v>0</v>
      </c>
      <c r="N3840" s="73">
        <v>5573.0690000000113</v>
      </c>
      <c r="O3840" s="73">
        <v>1102.4501845505636</v>
      </c>
      <c r="P3840" s="182">
        <v>0</v>
      </c>
      <c r="Q3840" s="182">
        <v>0</v>
      </c>
      <c r="R3840" s="46">
        <v>0</v>
      </c>
      <c r="S3840" s="46">
        <v>5</v>
      </c>
      <c r="T3840" s="46">
        <v>2300</v>
      </c>
      <c r="U3840" s="46">
        <v>4.99</v>
      </c>
      <c r="V3840" s="46" t="s">
        <v>68</v>
      </c>
      <c r="W3840" s="46">
        <v>2300</v>
      </c>
      <c r="X3840" s="46">
        <v>4.99</v>
      </c>
      <c r="AF3840" s="46">
        <v>50</v>
      </c>
      <c r="AG3840" s="46">
        <v>36700</v>
      </c>
      <c r="AH3840" s="46">
        <v>180101.02000000002</v>
      </c>
      <c r="AI3840" s="46">
        <v>4.907</v>
      </c>
      <c r="AJ3840" s="46">
        <v>58</v>
      </c>
      <c r="AK3840" s="46">
        <v>35300</v>
      </c>
      <c r="AL3840" s="46">
        <v>178266.546</v>
      </c>
      <c r="AM3840" s="46">
        <v>5.05</v>
      </c>
      <c r="AN3840" s="46" t="s">
        <v>63</v>
      </c>
      <c r="AO3840" s="46">
        <v>1400</v>
      </c>
      <c r="AP3840" s="46">
        <v>1834.4739999999999</v>
      </c>
      <c r="AQ3840" s="46">
        <v>1.31</v>
      </c>
      <c r="AR3840" s="46">
        <v>5047.8999999999996</v>
      </c>
      <c r="AS3840" s="46">
        <v>51</v>
      </c>
      <c r="AT3840" s="46">
        <v>37700</v>
      </c>
      <c r="AU3840" s="46">
        <v>185106.62</v>
      </c>
      <c r="AV3840" s="46">
        <v>4.91</v>
      </c>
      <c r="AW3840" s="46">
        <v>63</v>
      </c>
      <c r="AX3840" s="46">
        <v>37600</v>
      </c>
      <c r="AY3840" s="46">
        <v>189713.68900000001</v>
      </c>
      <c r="AZ3840" s="46">
        <v>5.0460000000000003</v>
      </c>
      <c r="BA3840" s="46" t="s">
        <v>63</v>
      </c>
      <c r="BB3840" s="46">
        <v>100</v>
      </c>
      <c r="BC3840" s="46">
        <v>4607.0690000000004</v>
      </c>
      <c r="BD3840" s="46">
        <v>46.070999999999998</v>
      </c>
      <c r="BE3840" s="46">
        <v>5113.6000000000004</v>
      </c>
      <c r="BF3840" s="46">
        <v>5005.5999999999767</v>
      </c>
      <c r="BH3840" s="46">
        <v>11447.143000000011</v>
      </c>
      <c r="BI3840">
        <v>4.9800000000000004</v>
      </c>
      <c r="BJ3840">
        <v>2772.5950000000003</v>
      </c>
      <c r="BK3840">
        <v>1.21</v>
      </c>
      <c r="BL3840">
        <v>861.42</v>
      </c>
    </row>
    <row r="3841" spans="1:64" x14ac:dyDescent="0.25">
      <c r="A3841" s="136">
        <v>43825</v>
      </c>
      <c r="B3841" t="s">
        <v>71</v>
      </c>
      <c r="C3841" t="s">
        <v>126</v>
      </c>
      <c r="D3841">
        <v>100</v>
      </c>
      <c r="E3841">
        <v>100</v>
      </c>
      <c r="F3841">
        <v>-35.786000000000001</v>
      </c>
      <c r="G3841">
        <v>4190.6000000000004</v>
      </c>
      <c r="H3841">
        <v>0</v>
      </c>
      <c r="I3841">
        <v>612</v>
      </c>
      <c r="J3841">
        <v>6.12</v>
      </c>
      <c r="K3841" s="133">
        <v>1.194266770159379E-3</v>
      </c>
      <c r="L3841" s="181">
        <v>-29</v>
      </c>
      <c r="M3841" s="133">
        <v>0</v>
      </c>
      <c r="N3841" s="73">
        <v>3551.1660000000065</v>
      </c>
      <c r="O3841" s="73">
        <v>675.09367588996872</v>
      </c>
      <c r="P3841" s="182">
        <v>0</v>
      </c>
      <c r="Q3841" s="182">
        <v>0</v>
      </c>
      <c r="R3841" s="46">
        <v>0</v>
      </c>
      <c r="S3841" s="46">
        <v>12</v>
      </c>
      <c r="T3841" s="46">
        <v>4700</v>
      </c>
      <c r="U3841" s="46">
        <v>6.2670000000000003</v>
      </c>
      <c r="V3841" s="46" t="s">
        <v>68</v>
      </c>
      <c r="W3841" s="46">
        <v>4700</v>
      </c>
      <c r="X3841" s="46">
        <v>6.2670000000000003</v>
      </c>
      <c r="AF3841" s="46">
        <v>60</v>
      </c>
      <c r="AG3841" s="46">
        <v>30900</v>
      </c>
      <c r="AH3841" s="46">
        <v>194080.50999999989</v>
      </c>
      <c r="AI3841" s="46">
        <v>6.2809999999999997</v>
      </c>
      <c r="AJ3841" s="46">
        <v>60</v>
      </c>
      <c r="AK3841" s="46">
        <v>26100</v>
      </c>
      <c r="AL3841" s="46">
        <v>168113.75</v>
      </c>
      <c r="AM3841" s="46">
        <v>6.4409999999999998</v>
      </c>
      <c r="AN3841" s="46" t="s">
        <v>63</v>
      </c>
      <c r="AO3841" s="46">
        <v>4800</v>
      </c>
      <c r="AP3841" s="46">
        <v>25966.76</v>
      </c>
      <c r="AQ3841" s="46">
        <v>5.41</v>
      </c>
      <c r="AR3841" s="46">
        <v>4176</v>
      </c>
      <c r="AS3841" s="46">
        <v>60</v>
      </c>
      <c r="AT3841" s="46">
        <v>30900</v>
      </c>
      <c r="AU3841" s="46">
        <v>194080.50999999989</v>
      </c>
      <c r="AV3841" s="46">
        <v>6.2809999999999997</v>
      </c>
      <c r="AW3841" s="46">
        <v>72</v>
      </c>
      <c r="AX3841" s="46">
        <v>30800</v>
      </c>
      <c r="AY3841" s="46">
        <v>197475.47600000002</v>
      </c>
      <c r="AZ3841" s="46">
        <v>6.4119999999999999</v>
      </c>
      <c r="BA3841" s="46" t="s">
        <v>63</v>
      </c>
      <c r="BB3841" s="46">
        <v>100</v>
      </c>
      <c r="BC3841" s="46">
        <v>3394.9659999999999</v>
      </c>
      <c r="BD3841" s="46">
        <v>33.950000000000003</v>
      </c>
      <c r="BE3841" s="46">
        <v>4034.8</v>
      </c>
      <c r="BF3841" s="46">
        <v>0</v>
      </c>
      <c r="BH3841" s="46">
        <v>29361.726000000024</v>
      </c>
      <c r="BI3841">
        <v>6.25</v>
      </c>
      <c r="BJ3841">
        <v>-22571.793999999998</v>
      </c>
      <c r="BK3841">
        <v>-4.8</v>
      </c>
      <c r="BL3841">
        <v>682.35</v>
      </c>
    </row>
    <row r="3842" spans="1:64" x14ac:dyDescent="0.25">
      <c r="A3842" s="136">
        <v>43825</v>
      </c>
      <c r="B3842" t="s">
        <v>79</v>
      </c>
      <c r="C3842" t="s">
        <v>143</v>
      </c>
      <c r="D3842">
        <v>13420</v>
      </c>
      <c r="E3842">
        <v>13020</v>
      </c>
      <c r="F3842">
        <v>9.7639999999999993</v>
      </c>
      <c r="G3842">
        <v>-37768.53</v>
      </c>
      <c r="H3842">
        <v>-28.82</v>
      </c>
      <c r="I3842">
        <v>93269</v>
      </c>
      <c r="J3842">
        <v>6.95</v>
      </c>
      <c r="K3842" s="133">
        <v>0.18200664605554759</v>
      </c>
      <c r="L3842" s="181">
        <v>-119.26000000000204</v>
      </c>
      <c r="M3842" s="133">
        <v>0.25570877078882798</v>
      </c>
      <c r="N3842" s="73">
        <v>-38329.780000000261</v>
      </c>
      <c r="O3842" s="73">
        <v>-5544.2279464544517</v>
      </c>
      <c r="P3842" s="182">
        <v>14</v>
      </c>
      <c r="Q3842" s="182">
        <v>9020</v>
      </c>
      <c r="R3842" s="46">
        <v>5.375</v>
      </c>
      <c r="S3842" s="46">
        <v>0</v>
      </c>
      <c r="T3842" s="46">
        <v>0</v>
      </c>
      <c r="U3842" s="46">
        <v>0</v>
      </c>
      <c r="V3842" s="46" t="s">
        <v>62</v>
      </c>
      <c r="W3842" s="46">
        <v>9020</v>
      </c>
      <c r="X3842" s="46">
        <v>5.375</v>
      </c>
      <c r="AF3842" s="46">
        <v>46</v>
      </c>
      <c r="AG3842" s="46">
        <v>23400</v>
      </c>
      <c r="AH3842" s="46">
        <v>304903.03999999969</v>
      </c>
      <c r="AI3842" s="46">
        <v>13.03</v>
      </c>
      <c r="AJ3842" s="46">
        <v>47</v>
      </c>
      <c r="AK3842" s="46">
        <v>19000</v>
      </c>
      <c r="AL3842" s="46">
        <v>222401.47199999975</v>
      </c>
      <c r="AM3842" s="46">
        <v>11.705</v>
      </c>
      <c r="AN3842" s="46" t="s">
        <v>63</v>
      </c>
      <c r="AO3842" s="46">
        <v>4400</v>
      </c>
      <c r="AP3842" s="46">
        <v>82501.567999999999</v>
      </c>
      <c r="AQ3842" s="46">
        <v>18.75</v>
      </c>
      <c r="AR3842" s="46">
        <v>-25175</v>
      </c>
      <c r="AS3842" s="46">
        <v>60</v>
      </c>
      <c r="AT3842" s="46">
        <v>32420</v>
      </c>
      <c r="AU3842" s="46">
        <v>353463.45199999952</v>
      </c>
      <c r="AV3842" s="46">
        <v>10.903</v>
      </c>
      <c r="AW3842" s="46">
        <v>47</v>
      </c>
      <c r="AX3842" s="46">
        <v>19000</v>
      </c>
      <c r="AY3842" s="46">
        <v>222401.47199999975</v>
      </c>
      <c r="AZ3842" s="46">
        <v>11.705</v>
      </c>
      <c r="BA3842" s="46" t="s">
        <v>63</v>
      </c>
      <c r="BB3842" s="46">
        <v>13420</v>
      </c>
      <c r="BC3842" s="46">
        <v>131061.98</v>
      </c>
      <c r="BD3842" s="46">
        <v>9.766</v>
      </c>
      <c r="BE3842" s="46">
        <v>15238</v>
      </c>
      <c r="BF3842" s="46">
        <v>48560.411999999837</v>
      </c>
      <c r="BG3842" s="46">
        <v>5.38</v>
      </c>
      <c r="BH3842" s="46">
        <v>0</v>
      </c>
      <c r="BJ3842">
        <v>48560.411999999997</v>
      </c>
      <c r="BK3842">
        <v>5.38</v>
      </c>
      <c r="BL3842">
        <v>-3622.3</v>
      </c>
    </row>
    <row r="3843" spans="1:64" x14ac:dyDescent="0.25">
      <c r="A3843" s="136">
        <v>43825</v>
      </c>
      <c r="B3843" t="s">
        <v>749</v>
      </c>
      <c r="C3843" t="s">
        <v>750</v>
      </c>
      <c r="D3843">
        <v>500</v>
      </c>
      <c r="E3843">
        <v>500</v>
      </c>
      <c r="F3843">
        <v>5.85</v>
      </c>
      <c r="G3843">
        <v>560</v>
      </c>
      <c r="H3843">
        <v>19.149999999999999</v>
      </c>
      <c r="I3843">
        <v>3485</v>
      </c>
      <c r="J3843">
        <v>6.97</v>
      </c>
      <c r="K3843" s="133">
        <v>6.8006857745186861E-3</v>
      </c>
      <c r="L3843" s="181">
        <v>-80</v>
      </c>
      <c r="M3843" s="133">
        <v>5.7078926514970325E-3</v>
      </c>
    </row>
    <row r="3844" spans="1:64" x14ac:dyDescent="0.25">
      <c r="A3844" s="136">
        <v>43825</v>
      </c>
      <c r="B3844" t="s">
        <v>776</v>
      </c>
      <c r="C3844" t="s">
        <v>777</v>
      </c>
      <c r="D3844">
        <v>1</v>
      </c>
      <c r="E3844">
        <v>1</v>
      </c>
      <c r="F3844">
        <v>-13136.34</v>
      </c>
      <c r="G3844">
        <v>13195.84</v>
      </c>
      <c r="H3844">
        <v>0</v>
      </c>
      <c r="I3844">
        <v>59.5</v>
      </c>
      <c r="J3844">
        <v>59.5</v>
      </c>
      <c r="K3844" s="133">
        <v>1.1610926932105074E-4</v>
      </c>
      <c r="L3844" s="181">
        <v>-1.930000000000291</v>
      </c>
      <c r="M3844" s="133">
        <v>0</v>
      </c>
    </row>
    <row r="3845" spans="1:64" x14ac:dyDescent="0.25">
      <c r="A3845" s="136">
        <v>43825</v>
      </c>
      <c r="B3845" t="s">
        <v>65</v>
      </c>
      <c r="C3845" t="s">
        <v>127</v>
      </c>
      <c r="D3845">
        <v>24300</v>
      </c>
      <c r="E3845">
        <v>24300</v>
      </c>
      <c r="F3845">
        <v>8.4179999999999993</v>
      </c>
      <c r="G3845">
        <v>-9672.61</v>
      </c>
      <c r="H3845">
        <v>-4.7300000000000004</v>
      </c>
      <c r="I3845">
        <v>194886</v>
      </c>
      <c r="J3845">
        <v>8.02</v>
      </c>
      <c r="K3845" s="133">
        <v>0.38030371530928225</v>
      </c>
      <c r="L3845" s="181">
        <v>-3339.2800000000007</v>
      </c>
      <c r="M3845" s="133">
        <v>0.39917900404083667</v>
      </c>
      <c r="N3845" s="73">
        <v>-14198.017000000167</v>
      </c>
      <c r="O3845" s="73">
        <v>-1237.3914192572165</v>
      </c>
      <c r="P3845" s="182">
        <v>2</v>
      </c>
      <c r="Q3845" s="182">
        <v>2000</v>
      </c>
      <c r="R3845" s="46">
        <v>8.4450000000000003</v>
      </c>
      <c r="S3845" s="46">
        <v>8</v>
      </c>
      <c r="T3845" s="46">
        <v>3200</v>
      </c>
      <c r="U3845" s="46">
        <v>8.0429999999999993</v>
      </c>
      <c r="V3845" s="46" t="s">
        <v>68</v>
      </c>
      <c r="W3845" s="46">
        <v>1200</v>
      </c>
      <c r="X3845" s="46">
        <v>7.3730000000000002</v>
      </c>
      <c r="AF3845" s="46">
        <v>272</v>
      </c>
      <c r="AG3845" s="46">
        <v>144400</v>
      </c>
      <c r="AH3845" s="46">
        <v>1490550.6810000001</v>
      </c>
      <c r="AI3845" s="46">
        <v>10.321999999999999</v>
      </c>
      <c r="AJ3845" s="46">
        <v>302</v>
      </c>
      <c r="AK3845" s="46">
        <v>128100</v>
      </c>
      <c r="AL3845" s="46">
        <v>1262876.398</v>
      </c>
      <c r="AM3845" s="46">
        <v>9.859</v>
      </c>
      <c r="AN3845" s="46" t="s">
        <v>63</v>
      </c>
      <c r="AO3845" s="46">
        <v>16300</v>
      </c>
      <c r="AP3845" s="46">
        <v>227674.283</v>
      </c>
      <c r="AQ3845" s="46">
        <v>13.968</v>
      </c>
      <c r="AR3845" s="46">
        <v>-59310.3</v>
      </c>
      <c r="AS3845" s="46">
        <v>275</v>
      </c>
      <c r="AT3845" s="46">
        <v>146500</v>
      </c>
      <c r="AU3845" s="46">
        <v>1508738.6810000001</v>
      </c>
      <c r="AV3845" s="46">
        <v>10.298999999999999</v>
      </c>
      <c r="AW3845" s="46">
        <v>310</v>
      </c>
      <c r="AX3845" s="46">
        <v>131300</v>
      </c>
      <c r="AY3845" s="46">
        <v>1288546.6619999998</v>
      </c>
      <c r="AZ3845" s="46">
        <v>9.8140000000000001</v>
      </c>
      <c r="BA3845" s="46" t="s">
        <v>63</v>
      </c>
      <c r="BB3845" s="46">
        <v>15200</v>
      </c>
      <c r="BC3845" s="46">
        <v>220192.019</v>
      </c>
      <c r="BD3845" s="46">
        <v>14.486000000000001</v>
      </c>
      <c r="BE3845" s="46">
        <v>-63680.5</v>
      </c>
      <c r="BF3845" s="46">
        <v>18188</v>
      </c>
      <c r="BG3845" s="46">
        <v>9.09</v>
      </c>
      <c r="BH3845" s="46">
        <v>25670.263999999734</v>
      </c>
      <c r="BI3845">
        <v>8.02</v>
      </c>
      <c r="BJ3845">
        <v>-7482.2639999999956</v>
      </c>
      <c r="BK3845">
        <v>-6.24</v>
      </c>
      <c r="BL3845">
        <v>-7395.3</v>
      </c>
    </row>
    <row r="3846" spans="1:64" x14ac:dyDescent="0.25">
      <c r="A3846" s="136">
        <v>43825</v>
      </c>
      <c r="B3846" t="s">
        <v>77</v>
      </c>
      <c r="C3846" t="s">
        <v>150</v>
      </c>
      <c r="D3846">
        <v>6800</v>
      </c>
      <c r="E3846">
        <v>6800</v>
      </c>
      <c r="F3846">
        <v>5.0979999999999999</v>
      </c>
      <c r="G3846">
        <v>-9303.31</v>
      </c>
      <c r="H3846">
        <v>-26.84</v>
      </c>
      <c r="I3846">
        <v>25364</v>
      </c>
      <c r="J3846">
        <v>3.73</v>
      </c>
      <c r="K3846" s="133">
        <v>4.949572280771649E-2</v>
      </c>
      <c r="L3846" s="181">
        <v>101.47000000000116</v>
      </c>
      <c r="M3846" s="133">
        <v>6.7650353502963959E-2</v>
      </c>
      <c r="N3846" s="73">
        <v>-9196.2499999999854</v>
      </c>
      <c r="O3846" s="73">
        <v>-2275.3669829842897</v>
      </c>
      <c r="P3846" s="182">
        <v>7</v>
      </c>
      <c r="Q3846" s="182">
        <v>3500</v>
      </c>
      <c r="R3846" s="46">
        <v>4.2640000000000002</v>
      </c>
      <c r="S3846" s="46">
        <v>0</v>
      </c>
      <c r="T3846" s="46">
        <v>0</v>
      </c>
      <c r="U3846" s="46">
        <v>0</v>
      </c>
      <c r="V3846" s="46" t="s">
        <v>62</v>
      </c>
      <c r="W3846" s="46">
        <v>3500</v>
      </c>
      <c r="X3846" s="46">
        <v>4.2640000000000002</v>
      </c>
      <c r="AF3846" s="46">
        <v>59</v>
      </c>
      <c r="AG3846" s="46">
        <v>29500</v>
      </c>
      <c r="AH3846" s="46">
        <v>190784</v>
      </c>
      <c r="AI3846" s="46">
        <v>6.4669999999999996</v>
      </c>
      <c r="AJ3846" s="46">
        <v>59</v>
      </c>
      <c r="AK3846" s="46">
        <v>26200</v>
      </c>
      <c r="AL3846" s="46">
        <v>170783.75000000006</v>
      </c>
      <c r="AM3846" s="46">
        <v>6.5179999999999998</v>
      </c>
      <c r="AN3846" s="46" t="s">
        <v>63</v>
      </c>
      <c r="AO3846" s="46">
        <v>3300</v>
      </c>
      <c r="AP3846" s="46">
        <v>20000.25</v>
      </c>
      <c r="AQ3846" s="46">
        <v>6.0609999999999999</v>
      </c>
      <c r="AR3846" s="46">
        <v>1336.2</v>
      </c>
      <c r="AS3846" s="46">
        <v>66</v>
      </c>
      <c r="AT3846" s="46">
        <v>33000</v>
      </c>
      <c r="AU3846" s="46">
        <v>205456</v>
      </c>
      <c r="AV3846" s="46">
        <v>6.226</v>
      </c>
      <c r="AW3846" s="46">
        <v>59</v>
      </c>
      <c r="AX3846" s="46">
        <v>26200</v>
      </c>
      <c r="AY3846" s="46">
        <v>170783.75000000006</v>
      </c>
      <c r="AZ3846" s="46">
        <v>6.5179999999999998</v>
      </c>
      <c r="BA3846" s="46" t="s">
        <v>63</v>
      </c>
      <c r="BB3846" s="46">
        <v>6800</v>
      </c>
      <c r="BC3846" s="46">
        <v>34672.25</v>
      </c>
      <c r="BD3846" s="46">
        <v>5.0990000000000002</v>
      </c>
      <c r="BE3846" s="46">
        <v>7650.4</v>
      </c>
      <c r="BF3846" s="46">
        <v>14672</v>
      </c>
      <c r="BG3846" s="46">
        <v>4.1900000000000004</v>
      </c>
      <c r="BH3846" s="46">
        <v>0</v>
      </c>
      <c r="BJ3846">
        <v>14672</v>
      </c>
      <c r="BK3846">
        <v>4.1900000000000004</v>
      </c>
      <c r="BL3846">
        <v>358.23</v>
      </c>
    </row>
    <row r="3847" spans="1:64" x14ac:dyDescent="0.25">
      <c r="A3847" s="136">
        <v>43825</v>
      </c>
      <c r="B3847" t="s">
        <v>67</v>
      </c>
      <c r="C3847" t="s">
        <v>129</v>
      </c>
      <c r="D3847">
        <v>730</v>
      </c>
      <c r="E3847">
        <v>730</v>
      </c>
      <c r="F3847">
        <v>0.112</v>
      </c>
      <c r="G3847">
        <v>4867.82</v>
      </c>
      <c r="H3847">
        <v>5953.79</v>
      </c>
      <c r="I3847">
        <v>4949.3999999999996</v>
      </c>
      <c r="J3847">
        <v>6.78</v>
      </c>
      <c r="K3847" s="133">
        <v>9.6583397912203099E-3</v>
      </c>
      <c r="L3847" s="181">
        <v>104.78999999999996</v>
      </c>
      <c r="M3847" s="133">
        <v>1.5919654102876152E-4</v>
      </c>
      <c r="N3847" s="73">
        <v>4892.2194999999774</v>
      </c>
      <c r="O3847" s="73">
        <v>716.97557041788662</v>
      </c>
      <c r="P3847" s="182">
        <v>1</v>
      </c>
      <c r="Q3847" s="182">
        <v>30</v>
      </c>
      <c r="R3847" s="46">
        <v>0</v>
      </c>
      <c r="S3847" s="46">
        <v>25</v>
      </c>
      <c r="T3847" s="46">
        <v>10000</v>
      </c>
      <c r="U3847" s="46">
        <v>8.2789999999999999</v>
      </c>
      <c r="V3847" s="46" t="s">
        <v>68</v>
      </c>
      <c r="W3847" s="46">
        <v>9970</v>
      </c>
      <c r="X3847" s="46">
        <v>8.3040000000000003</v>
      </c>
      <c r="AF3847" s="46">
        <v>206</v>
      </c>
      <c r="AG3847" s="46">
        <v>101600</v>
      </c>
      <c r="AH3847" s="46">
        <v>835928</v>
      </c>
      <c r="AI3847" s="46">
        <v>8.2279999999999998</v>
      </c>
      <c r="AJ3847" s="46">
        <v>210</v>
      </c>
      <c r="AK3847" s="46">
        <v>93500</v>
      </c>
      <c r="AL3847" s="46">
        <v>822392.02350000013</v>
      </c>
      <c r="AM3847" s="46">
        <v>8.7959999999999994</v>
      </c>
      <c r="AN3847" s="46" t="s">
        <v>63</v>
      </c>
      <c r="AO3847" s="46">
        <v>8100</v>
      </c>
      <c r="AP3847" s="46">
        <v>13535.976000000001</v>
      </c>
      <c r="AQ3847" s="46">
        <v>1.671</v>
      </c>
      <c r="AR3847" s="46">
        <v>53108</v>
      </c>
      <c r="AS3847" s="46">
        <v>207</v>
      </c>
      <c r="AT3847" s="46">
        <v>101630</v>
      </c>
      <c r="AU3847" s="46">
        <v>835933</v>
      </c>
      <c r="AV3847" s="46">
        <v>8.2249999999999996</v>
      </c>
      <c r="AW3847" s="46">
        <v>235</v>
      </c>
      <c r="AX3847" s="46">
        <v>103500</v>
      </c>
      <c r="AY3847" s="46">
        <v>904974.73550000007</v>
      </c>
      <c r="AZ3847" s="46">
        <v>8.7439999999999998</v>
      </c>
      <c r="BA3847" s="46" t="s">
        <v>69</v>
      </c>
      <c r="BB3847" s="46">
        <v>1870</v>
      </c>
      <c r="BC3847" s="46">
        <v>69041.736000000004</v>
      </c>
      <c r="BD3847" s="46">
        <v>36.920999999999999</v>
      </c>
      <c r="BE3847" s="46">
        <v>52745.97</v>
      </c>
      <c r="BF3847" s="46">
        <v>5</v>
      </c>
      <c r="BG3847" s="46">
        <v>0.17</v>
      </c>
      <c r="BH3847" s="46">
        <v>82582.711999999941</v>
      </c>
      <c r="BI3847">
        <v>8.26</v>
      </c>
      <c r="BJ3847">
        <v>55505.760000000002</v>
      </c>
      <c r="BK3847">
        <v>5.57</v>
      </c>
      <c r="BL3847">
        <v>7833.04</v>
      </c>
    </row>
    <row r="3848" spans="1:64" x14ac:dyDescent="0.25">
      <c r="A3848" s="136">
        <v>43825</v>
      </c>
      <c r="B3848" t="s">
        <v>78</v>
      </c>
      <c r="C3848" t="s">
        <v>142</v>
      </c>
      <c r="D3848">
        <v>100</v>
      </c>
      <c r="E3848">
        <v>100</v>
      </c>
      <c r="F3848">
        <v>-5.867</v>
      </c>
      <c r="G3848">
        <v>1529.7</v>
      </c>
      <c r="H3848">
        <v>0</v>
      </c>
      <c r="I3848">
        <v>943</v>
      </c>
      <c r="J3848">
        <v>9.43</v>
      </c>
      <c r="K3848" s="133">
        <v>1.8401855625168209E-3</v>
      </c>
      <c r="L3848" s="181">
        <v>-16</v>
      </c>
      <c r="M3848" s="133">
        <v>0</v>
      </c>
      <c r="N3848" s="73">
        <v>1576.660999999996</v>
      </c>
      <c r="O3848" s="73">
        <v>159.17905752525212</v>
      </c>
      <c r="P3848" s="182">
        <v>0</v>
      </c>
      <c r="Q3848" s="182">
        <v>0</v>
      </c>
      <c r="R3848" s="46">
        <v>0</v>
      </c>
      <c r="S3848" s="46">
        <v>4</v>
      </c>
      <c r="T3848" s="46">
        <v>1300</v>
      </c>
      <c r="U3848" s="46">
        <v>9.9220000000000006</v>
      </c>
      <c r="V3848" s="46" t="s">
        <v>68</v>
      </c>
      <c r="W3848" s="46">
        <v>1300</v>
      </c>
      <c r="X3848" s="46">
        <v>9.9220000000000006</v>
      </c>
      <c r="AF3848" s="46">
        <v>14</v>
      </c>
      <c r="AG3848" s="46">
        <v>7000</v>
      </c>
      <c r="AH3848" s="46">
        <v>67625</v>
      </c>
      <c r="AI3848" s="46">
        <v>9.6609999999999996</v>
      </c>
      <c r="AJ3848" s="46">
        <v>15</v>
      </c>
      <c r="AK3848" s="46">
        <v>5600</v>
      </c>
      <c r="AL3848" s="46">
        <v>55310.559000000008</v>
      </c>
      <c r="AM3848" s="46">
        <v>9.8770000000000007</v>
      </c>
      <c r="AN3848" s="46" t="s">
        <v>63</v>
      </c>
      <c r="AO3848" s="46">
        <v>1400</v>
      </c>
      <c r="AP3848" s="46">
        <v>12314.441000000001</v>
      </c>
      <c r="AQ3848" s="46">
        <v>8.7959999999999994</v>
      </c>
      <c r="AR3848" s="46">
        <v>1209.5999999999999</v>
      </c>
      <c r="AS3848" s="46">
        <v>14</v>
      </c>
      <c r="AT3848" s="46">
        <v>7000</v>
      </c>
      <c r="AU3848" s="46">
        <v>67625</v>
      </c>
      <c r="AV3848" s="46">
        <v>9.6609999999999996</v>
      </c>
      <c r="AW3848" s="46">
        <v>19</v>
      </c>
      <c r="AX3848" s="46">
        <v>6900</v>
      </c>
      <c r="AY3848" s="46">
        <v>68211.661000000007</v>
      </c>
      <c r="AZ3848" s="46">
        <v>9.8859999999999992</v>
      </c>
      <c r="BA3848" s="46" t="s">
        <v>63</v>
      </c>
      <c r="BB3848" s="46">
        <v>100</v>
      </c>
      <c r="BC3848" s="46">
        <v>586.66099999999994</v>
      </c>
      <c r="BD3848" s="46">
        <v>5.867</v>
      </c>
      <c r="BE3848" s="46">
        <v>1552.5</v>
      </c>
      <c r="BF3848" s="46">
        <v>0</v>
      </c>
      <c r="BH3848" s="46">
        <v>12901.101999999999</v>
      </c>
      <c r="BI3848">
        <v>9.92</v>
      </c>
      <c r="BJ3848">
        <v>-11727.78</v>
      </c>
      <c r="BK3848">
        <v>-9.02</v>
      </c>
      <c r="BL3848">
        <v>128.27000000000001</v>
      </c>
    </row>
    <row r="3849" spans="1:64" x14ac:dyDescent="0.25">
      <c r="A3849" s="136">
        <v>43825</v>
      </c>
      <c r="B3849" t="s">
        <v>72</v>
      </c>
      <c r="C3849" t="s">
        <v>130</v>
      </c>
      <c r="D3849">
        <v>100</v>
      </c>
      <c r="E3849">
        <v>100</v>
      </c>
      <c r="F3849">
        <v>-18.477</v>
      </c>
      <c r="G3849">
        <v>2327.6999999999998</v>
      </c>
      <c r="H3849">
        <v>0</v>
      </c>
      <c r="I3849">
        <v>480</v>
      </c>
      <c r="J3849">
        <v>4.8</v>
      </c>
      <c r="K3849" s="133">
        <v>9.3667981973284632E-4</v>
      </c>
      <c r="L3849" s="181">
        <v>30</v>
      </c>
      <c r="M3849" s="133">
        <v>0</v>
      </c>
      <c r="N3849" s="73">
        <v>-1498.9659999999872</v>
      </c>
      <c r="O3849" s="73">
        <v>376.42007904191922</v>
      </c>
      <c r="P3849" s="182">
        <v>0</v>
      </c>
      <c r="Q3849" s="182">
        <v>0</v>
      </c>
      <c r="R3849" s="46">
        <v>0</v>
      </c>
      <c r="S3849" s="46">
        <v>20</v>
      </c>
      <c r="T3849" s="46">
        <v>8600</v>
      </c>
      <c r="U3849" s="46">
        <v>7.3840000000000003</v>
      </c>
      <c r="V3849" s="46" t="s">
        <v>68</v>
      </c>
      <c r="W3849" s="46">
        <v>8600</v>
      </c>
      <c r="X3849" s="46">
        <v>7.3840000000000003</v>
      </c>
      <c r="AF3849" s="46">
        <v>42</v>
      </c>
      <c r="AG3849" s="46">
        <v>20900</v>
      </c>
      <c r="AH3849" s="46">
        <v>152800</v>
      </c>
      <c r="AI3849" s="46">
        <v>7.3109999999999999</v>
      </c>
      <c r="AJ3849" s="46">
        <v>42</v>
      </c>
      <c r="AK3849" s="46">
        <v>18800</v>
      </c>
      <c r="AL3849" s="46">
        <v>92037.725000000035</v>
      </c>
      <c r="AM3849" s="46">
        <v>4.8959999999999999</v>
      </c>
      <c r="AN3849" s="46" t="s">
        <v>63</v>
      </c>
      <c r="AO3849" s="46">
        <v>2100</v>
      </c>
      <c r="AP3849" s="46">
        <v>60762.275000000001</v>
      </c>
      <c r="AQ3849" s="46">
        <v>28.934000000000001</v>
      </c>
      <c r="AR3849" s="46">
        <v>-45402</v>
      </c>
      <c r="AS3849" s="46">
        <v>42</v>
      </c>
      <c r="AT3849" s="46">
        <v>20900</v>
      </c>
      <c r="AU3849" s="46">
        <v>152800</v>
      </c>
      <c r="AV3849" s="46">
        <v>7.3109999999999999</v>
      </c>
      <c r="AW3849" s="46">
        <v>63</v>
      </c>
      <c r="AX3849" s="46">
        <v>27900</v>
      </c>
      <c r="AY3849" s="46">
        <v>155380.21900000001</v>
      </c>
      <c r="AZ3849" s="46">
        <v>5.569</v>
      </c>
      <c r="BA3849" s="46" t="s">
        <v>69</v>
      </c>
      <c r="BB3849" s="46">
        <v>7000</v>
      </c>
      <c r="BC3849" s="46">
        <v>2580.2190000000001</v>
      </c>
      <c r="BD3849" s="46">
        <v>0.36899999999999999</v>
      </c>
      <c r="BE3849" s="46">
        <v>-36407.800000000003</v>
      </c>
      <c r="BF3849" s="46">
        <v>0</v>
      </c>
      <c r="BH3849" s="46">
        <v>63342.493999999977</v>
      </c>
      <c r="BI3849">
        <v>7.37</v>
      </c>
      <c r="BJ3849">
        <v>-58182.056000000004</v>
      </c>
      <c r="BK3849">
        <v>-6.77</v>
      </c>
      <c r="BL3849">
        <v>-9458.75</v>
      </c>
    </row>
    <row r="3850" spans="1:64" x14ac:dyDescent="0.25">
      <c r="A3850" s="136">
        <v>43825</v>
      </c>
      <c r="B3850" t="s">
        <v>70</v>
      </c>
      <c r="C3850" t="s">
        <v>131</v>
      </c>
      <c r="D3850">
        <v>15380</v>
      </c>
      <c r="E3850">
        <v>15380</v>
      </c>
      <c r="F3850">
        <v>8.42</v>
      </c>
      <c r="G3850">
        <v>-21225.1</v>
      </c>
      <c r="H3850">
        <v>-16.39</v>
      </c>
      <c r="I3850">
        <v>108275.2</v>
      </c>
      <c r="J3850">
        <v>7.04</v>
      </c>
      <c r="K3850" s="133">
        <v>0.21128998920320391</v>
      </c>
      <c r="L3850" s="181">
        <v>-1807.1800000000003</v>
      </c>
      <c r="M3850" s="133">
        <v>0.25270899512364481</v>
      </c>
      <c r="N3850" s="73">
        <v>-21565.621000000043</v>
      </c>
      <c r="O3850" s="73">
        <v>-3070.4897705840522</v>
      </c>
      <c r="P3850" s="182">
        <v>0</v>
      </c>
      <c r="Q3850" s="182">
        <v>0</v>
      </c>
      <c r="R3850" s="46">
        <v>0</v>
      </c>
      <c r="S3850" s="46">
        <v>5</v>
      </c>
      <c r="T3850" s="46">
        <v>2000</v>
      </c>
      <c r="U3850" s="46">
        <v>7.7640000000000002</v>
      </c>
      <c r="V3850" s="46" t="s">
        <v>68</v>
      </c>
      <c r="W3850" s="46">
        <v>2000</v>
      </c>
      <c r="X3850" s="46">
        <v>7.7640000000000002</v>
      </c>
      <c r="AF3850" s="46">
        <v>205</v>
      </c>
      <c r="AG3850" s="46">
        <v>103680</v>
      </c>
      <c r="AH3850" s="46">
        <v>1166797</v>
      </c>
      <c r="AI3850" s="46">
        <v>11.254</v>
      </c>
      <c r="AJ3850" s="46">
        <v>214</v>
      </c>
      <c r="AK3850" s="46">
        <v>86300</v>
      </c>
      <c r="AL3850" s="46">
        <v>1019601.3069999996</v>
      </c>
      <c r="AM3850" s="46">
        <v>11.815</v>
      </c>
      <c r="AN3850" s="46" t="s">
        <v>63</v>
      </c>
      <c r="AO3850" s="46">
        <v>17380</v>
      </c>
      <c r="AP3850" s="46">
        <v>147195.693</v>
      </c>
      <c r="AQ3850" s="46">
        <v>8.4689999999999994</v>
      </c>
      <c r="AR3850" s="46">
        <v>48414.3</v>
      </c>
      <c r="AS3850" s="46">
        <v>205</v>
      </c>
      <c r="AT3850" s="46">
        <v>103680</v>
      </c>
      <c r="AU3850" s="46">
        <v>1166797</v>
      </c>
      <c r="AV3850" s="46">
        <v>11.254</v>
      </c>
      <c r="AW3850" s="46">
        <v>220</v>
      </c>
      <c r="AX3850" s="46">
        <v>88300</v>
      </c>
      <c r="AY3850" s="46">
        <v>1035493.7789999995</v>
      </c>
      <c r="AZ3850" s="46">
        <v>11.727</v>
      </c>
      <c r="BA3850" s="46" t="s">
        <v>63</v>
      </c>
      <c r="BB3850" s="46">
        <v>15380</v>
      </c>
      <c r="BC3850" s="46">
        <v>131303.22099999999</v>
      </c>
      <c r="BD3850" s="46">
        <v>8.5370000000000008</v>
      </c>
      <c r="BE3850" s="46">
        <v>41765.9</v>
      </c>
      <c r="BF3850" s="46">
        <v>0</v>
      </c>
      <c r="BH3850" s="46">
        <v>15892.471999999951</v>
      </c>
      <c r="BI3850">
        <v>7.95</v>
      </c>
      <c r="BJ3850">
        <v>-15892.472000000009</v>
      </c>
      <c r="BK3850">
        <v>-7.95</v>
      </c>
      <c r="BL3850">
        <v>6877.03</v>
      </c>
    </row>
    <row r="3851" spans="1:64" x14ac:dyDescent="0.25">
      <c r="A3851" s="136">
        <v>43825</v>
      </c>
      <c r="B3851" t="s">
        <v>628</v>
      </c>
      <c r="C3851" t="s">
        <v>629</v>
      </c>
      <c r="D3851">
        <v>100</v>
      </c>
      <c r="E3851">
        <v>100</v>
      </c>
      <c r="F3851">
        <v>-22.369</v>
      </c>
      <c r="G3851">
        <v>3754.9</v>
      </c>
      <c r="H3851">
        <v>0</v>
      </c>
      <c r="I3851">
        <v>1518</v>
      </c>
      <c r="J3851">
        <v>15.18</v>
      </c>
      <c r="K3851" s="133">
        <v>2.9622499299051266E-3</v>
      </c>
      <c r="L3851" s="181">
        <v>23</v>
      </c>
      <c r="M3851" s="133">
        <v>0</v>
      </c>
    </row>
    <row r="3852" spans="1:64" x14ac:dyDescent="0.25">
      <c r="A3852" s="136">
        <v>43825</v>
      </c>
      <c r="B3852" t="s">
        <v>630</v>
      </c>
      <c r="C3852" t="s">
        <v>631</v>
      </c>
      <c r="D3852">
        <v>100</v>
      </c>
      <c r="E3852">
        <v>100</v>
      </c>
      <c r="F3852">
        <v>-94.6</v>
      </c>
      <c r="G3852">
        <v>11489</v>
      </c>
      <c r="H3852">
        <v>0</v>
      </c>
      <c r="I3852">
        <v>2029</v>
      </c>
      <c r="J3852">
        <v>20.29</v>
      </c>
      <c r="K3852" s="133">
        <v>3.959423654662386E-3</v>
      </c>
      <c r="L3852" s="181">
        <v>-63</v>
      </c>
      <c r="M3852" s="133">
        <v>0</v>
      </c>
    </row>
    <row r="3853" spans="1:64" x14ac:dyDescent="0.25">
      <c r="A3853" s="136">
        <v>43825</v>
      </c>
      <c r="B3853" t="s">
        <v>768</v>
      </c>
      <c r="C3853" t="s">
        <v>769</v>
      </c>
      <c r="D3853">
        <v>500</v>
      </c>
      <c r="E3853">
        <v>500</v>
      </c>
      <c r="F3853">
        <v>2.4900000000000002</v>
      </c>
      <c r="G3853">
        <v>550</v>
      </c>
      <c r="H3853">
        <v>44.18</v>
      </c>
      <c r="I3853">
        <v>1795</v>
      </c>
      <c r="J3853">
        <v>3.59</v>
      </c>
      <c r="K3853" s="133">
        <v>3.5027922425426234E-3</v>
      </c>
      <c r="L3853" s="181">
        <v>-50</v>
      </c>
      <c r="M3853" s="133">
        <v>2.4295132824320703E-3</v>
      </c>
    </row>
    <row r="3854" spans="1:64" x14ac:dyDescent="0.25">
      <c r="A3854" s="136">
        <v>43825</v>
      </c>
      <c r="B3854" t="s">
        <v>137</v>
      </c>
      <c r="C3854" t="s">
        <v>149</v>
      </c>
      <c r="D3854">
        <v>150</v>
      </c>
      <c r="E3854">
        <v>150</v>
      </c>
      <c r="F3854">
        <v>-87.406999999999996</v>
      </c>
      <c r="G3854">
        <v>18308.55</v>
      </c>
      <c r="H3854">
        <v>0</v>
      </c>
      <c r="I3854">
        <v>5197.5</v>
      </c>
      <c r="J3854">
        <v>34.65</v>
      </c>
      <c r="K3854" s="133">
        <v>1.0142486173044727E-2</v>
      </c>
      <c r="L3854" s="181">
        <v>1093.5</v>
      </c>
      <c r="M3854" s="133">
        <v>0</v>
      </c>
    </row>
    <row r="3855" spans="1:64" x14ac:dyDescent="0.25">
      <c r="A3855" s="136">
        <v>43825</v>
      </c>
      <c r="B3855" t="s">
        <v>835</v>
      </c>
      <c r="C3855" t="s">
        <v>839</v>
      </c>
      <c r="I3855">
        <v>12619.33</v>
      </c>
      <c r="K3855" s="133">
        <v>2.4625566144894372E-2</v>
      </c>
      <c r="L3855" s="181">
        <v>0</v>
      </c>
      <c r="M3855" s="133">
        <v>0.10359624166589129</v>
      </c>
    </row>
    <row r="3856" spans="1:64" x14ac:dyDescent="0.25">
      <c r="A3856" s="136">
        <v>43830</v>
      </c>
      <c r="B3856" t="s">
        <v>132</v>
      </c>
      <c r="C3856" t="s">
        <v>123</v>
      </c>
      <c r="D3856">
        <v>4048202</v>
      </c>
      <c r="E3856">
        <v>4048202</v>
      </c>
      <c r="F3856">
        <v>8.9999999999999993E-3</v>
      </c>
      <c r="G3856">
        <v>4123.87</v>
      </c>
      <c r="H3856">
        <v>11.11</v>
      </c>
      <c r="I3856">
        <v>40482.019999999997</v>
      </c>
      <c r="J3856">
        <v>0.01</v>
      </c>
      <c r="K3856" s="133">
        <v>7.8837368863219709E-2</v>
      </c>
      <c r="L3856" s="181">
        <v>13.630000000000109</v>
      </c>
      <c r="M3856" s="133">
        <v>0</v>
      </c>
    </row>
    <row r="3857" spans="1:64" x14ac:dyDescent="0.25">
      <c r="A3857" s="136">
        <v>43830</v>
      </c>
      <c r="B3857" t="s">
        <v>61</v>
      </c>
      <c r="C3857" t="s">
        <v>136</v>
      </c>
      <c r="D3857">
        <v>3900</v>
      </c>
      <c r="E3857">
        <v>3900</v>
      </c>
      <c r="F3857">
        <v>4.5430000000000001</v>
      </c>
      <c r="G3857">
        <v>-1611.29</v>
      </c>
      <c r="H3857">
        <v>-9.09</v>
      </c>
      <c r="I3857">
        <v>16107</v>
      </c>
      <c r="J3857">
        <v>4.13</v>
      </c>
      <c r="K3857" s="133">
        <v>3.1367839358803731E-2</v>
      </c>
      <c r="L3857" s="181">
        <v>195</v>
      </c>
      <c r="M3857" s="133">
        <v>3.450577229978883E-2</v>
      </c>
      <c r="N3857" s="73">
        <v>-1578.4689999999991</v>
      </c>
      <c r="O3857" s="73">
        <v>-381.08206896135249</v>
      </c>
      <c r="P3857" s="182">
        <v>3</v>
      </c>
      <c r="Q3857" s="182">
        <v>1500</v>
      </c>
      <c r="R3857" s="46">
        <v>4.2329999999999997</v>
      </c>
      <c r="S3857" s="46">
        <v>0</v>
      </c>
      <c r="T3857" s="46">
        <v>0</v>
      </c>
      <c r="U3857" s="46">
        <v>0</v>
      </c>
      <c r="V3857" s="46" t="s">
        <v>62</v>
      </c>
      <c r="W3857" s="46">
        <v>1500</v>
      </c>
      <c r="X3857" s="46">
        <v>4.2329999999999997</v>
      </c>
      <c r="AF3857" s="46">
        <v>25</v>
      </c>
      <c r="AG3857" s="46">
        <v>12500</v>
      </c>
      <c r="AH3857" s="46">
        <v>60907.500000000007</v>
      </c>
      <c r="AI3857" s="46">
        <v>4.8730000000000002</v>
      </c>
      <c r="AJ3857" s="46">
        <v>25</v>
      </c>
      <c r="AK3857" s="46">
        <v>10100</v>
      </c>
      <c r="AL3857" s="46">
        <v>49548.93099999999</v>
      </c>
      <c r="AM3857" s="46">
        <v>4.9059999999999997</v>
      </c>
      <c r="AN3857" s="46" t="s">
        <v>63</v>
      </c>
      <c r="AO3857" s="46">
        <v>2400</v>
      </c>
      <c r="AP3857" s="46">
        <v>11358.569</v>
      </c>
      <c r="AQ3857" s="46">
        <v>4.7329999999999997</v>
      </c>
      <c r="AR3857" s="46">
        <v>333.3</v>
      </c>
      <c r="AS3857" s="46">
        <v>28</v>
      </c>
      <c r="AT3857" s="46">
        <v>14000</v>
      </c>
      <c r="AU3857" s="46">
        <v>67273.400000000009</v>
      </c>
      <c r="AV3857" s="46">
        <v>4.8049999999999997</v>
      </c>
      <c r="AW3857" s="46">
        <v>25</v>
      </c>
      <c r="AX3857" s="46">
        <v>10100</v>
      </c>
      <c r="AY3857" s="46">
        <v>49548.93099999999</v>
      </c>
      <c r="AZ3857" s="46">
        <v>4.9059999999999997</v>
      </c>
      <c r="BA3857" s="46" t="s">
        <v>63</v>
      </c>
      <c r="BB3857" s="46">
        <v>3900</v>
      </c>
      <c r="BC3857" s="46">
        <v>17724.469000000001</v>
      </c>
      <c r="BD3857" s="46">
        <v>4.5449999999999999</v>
      </c>
      <c r="BE3857" s="46">
        <v>1020.1</v>
      </c>
      <c r="BF3857" s="46">
        <v>6365.9000000000015</v>
      </c>
      <c r="BG3857" s="46">
        <v>4.24</v>
      </c>
      <c r="BH3857" s="46">
        <v>0</v>
      </c>
      <c r="BJ3857">
        <v>6365.9000000000015</v>
      </c>
      <c r="BK3857">
        <v>4.24</v>
      </c>
      <c r="BL3857">
        <v>80.7</v>
      </c>
    </row>
    <row r="3858" spans="1:64" x14ac:dyDescent="0.25">
      <c r="A3858" s="136">
        <v>43830</v>
      </c>
      <c r="B3858" t="s">
        <v>124</v>
      </c>
      <c r="C3858" t="s">
        <v>125</v>
      </c>
      <c r="D3858">
        <v>100</v>
      </c>
      <c r="E3858">
        <v>100</v>
      </c>
      <c r="F3858">
        <v>-54.070999999999998</v>
      </c>
      <c r="G3858">
        <v>5995.1</v>
      </c>
      <c r="H3858">
        <v>0</v>
      </c>
      <c r="I3858">
        <v>588</v>
      </c>
      <c r="J3858">
        <v>5.88</v>
      </c>
      <c r="K3858" s="133">
        <v>1.1451101721597192E-3</v>
      </c>
      <c r="L3858" s="181">
        <v>2</v>
      </c>
      <c r="M3858" s="133">
        <v>0</v>
      </c>
      <c r="N3858" s="73">
        <v>5573.0690000000113</v>
      </c>
      <c r="O3858" s="73">
        <v>1102.4501845505636</v>
      </c>
      <c r="P3858" s="182">
        <v>0</v>
      </c>
      <c r="Q3858" s="182">
        <v>0</v>
      </c>
      <c r="R3858" s="46">
        <v>0</v>
      </c>
      <c r="S3858" s="46">
        <v>5</v>
      </c>
      <c r="T3858" s="46">
        <v>2300</v>
      </c>
      <c r="U3858" s="46">
        <v>4.99</v>
      </c>
      <c r="V3858" s="46" t="s">
        <v>68</v>
      </c>
      <c r="W3858" s="46">
        <v>2300</v>
      </c>
      <c r="X3858" s="46">
        <v>4.99</v>
      </c>
      <c r="AF3858" s="46">
        <v>50</v>
      </c>
      <c r="AG3858" s="46">
        <v>36700</v>
      </c>
      <c r="AH3858" s="46">
        <v>180101.02000000002</v>
      </c>
      <c r="AI3858" s="46">
        <v>4.907</v>
      </c>
      <c r="AJ3858" s="46">
        <v>58</v>
      </c>
      <c r="AK3858" s="46">
        <v>35300</v>
      </c>
      <c r="AL3858" s="46">
        <v>178266.546</v>
      </c>
      <c r="AM3858" s="46">
        <v>5.05</v>
      </c>
      <c r="AN3858" s="46" t="s">
        <v>63</v>
      </c>
      <c r="AO3858" s="46">
        <v>1400</v>
      </c>
      <c r="AP3858" s="46">
        <v>1834.4739999999999</v>
      </c>
      <c r="AQ3858" s="46">
        <v>1.31</v>
      </c>
      <c r="AR3858" s="46">
        <v>5047.8999999999996</v>
      </c>
      <c r="AS3858" s="46">
        <v>51</v>
      </c>
      <c r="AT3858" s="46">
        <v>37700</v>
      </c>
      <c r="AU3858" s="46">
        <v>185106.62</v>
      </c>
      <c r="AV3858" s="46">
        <v>4.91</v>
      </c>
      <c r="AW3858" s="46">
        <v>63</v>
      </c>
      <c r="AX3858" s="46">
        <v>37600</v>
      </c>
      <c r="AY3858" s="46">
        <v>189713.68900000001</v>
      </c>
      <c r="AZ3858" s="46">
        <v>5.0460000000000003</v>
      </c>
      <c r="BA3858" s="46" t="s">
        <v>63</v>
      </c>
      <c r="BB3858" s="46">
        <v>100</v>
      </c>
      <c r="BC3858" s="46">
        <v>4607.0690000000004</v>
      </c>
      <c r="BD3858" s="46">
        <v>46.070999999999998</v>
      </c>
      <c r="BE3858" s="46">
        <v>5113.6000000000004</v>
      </c>
      <c r="BF3858" s="46">
        <v>5005.5999999999767</v>
      </c>
      <c r="BH3858" s="46">
        <v>11447.143000000011</v>
      </c>
      <c r="BI3858">
        <v>4.9800000000000004</v>
      </c>
      <c r="BJ3858">
        <v>2772.5950000000003</v>
      </c>
      <c r="BK3858">
        <v>1.21</v>
      </c>
      <c r="BL3858">
        <v>858.49</v>
      </c>
    </row>
    <row r="3859" spans="1:64" x14ac:dyDescent="0.25">
      <c r="A3859" s="136">
        <v>43830</v>
      </c>
      <c r="B3859" t="s">
        <v>71</v>
      </c>
      <c r="C3859" t="s">
        <v>126</v>
      </c>
      <c r="D3859">
        <v>100</v>
      </c>
      <c r="E3859">
        <v>100</v>
      </c>
      <c r="F3859">
        <v>-35.786000000000001</v>
      </c>
      <c r="G3859">
        <v>4195.6000000000004</v>
      </c>
      <c r="H3859">
        <v>0</v>
      </c>
      <c r="I3859">
        <v>617</v>
      </c>
      <c r="J3859">
        <v>6.17</v>
      </c>
      <c r="K3859" s="133">
        <v>1.2015866942560317E-3</v>
      </c>
      <c r="L3859" s="181">
        <v>5</v>
      </c>
      <c r="M3859" s="133">
        <v>0</v>
      </c>
      <c r="N3859" s="73">
        <v>3551.1660000000065</v>
      </c>
      <c r="O3859" s="73">
        <v>675.09367588996872</v>
      </c>
      <c r="P3859" s="182">
        <v>0</v>
      </c>
      <c r="Q3859" s="182">
        <v>0</v>
      </c>
      <c r="R3859" s="46">
        <v>0</v>
      </c>
      <c r="S3859" s="46">
        <v>12</v>
      </c>
      <c r="T3859" s="46">
        <v>4700</v>
      </c>
      <c r="U3859" s="46">
        <v>6.2670000000000003</v>
      </c>
      <c r="V3859" s="46" t="s">
        <v>68</v>
      </c>
      <c r="W3859" s="46">
        <v>4700</v>
      </c>
      <c r="X3859" s="46">
        <v>6.2670000000000003</v>
      </c>
      <c r="AF3859" s="46">
        <v>60</v>
      </c>
      <c r="AG3859" s="46">
        <v>30900</v>
      </c>
      <c r="AH3859" s="46">
        <v>194080.50999999989</v>
      </c>
      <c r="AI3859" s="46">
        <v>6.2809999999999997</v>
      </c>
      <c r="AJ3859" s="46">
        <v>60</v>
      </c>
      <c r="AK3859" s="46">
        <v>26100</v>
      </c>
      <c r="AL3859" s="46">
        <v>168113.75</v>
      </c>
      <c r="AM3859" s="46">
        <v>6.4409999999999998</v>
      </c>
      <c r="AN3859" s="46" t="s">
        <v>63</v>
      </c>
      <c r="AO3859" s="46">
        <v>4800</v>
      </c>
      <c r="AP3859" s="46">
        <v>25966.76</v>
      </c>
      <c r="AQ3859" s="46">
        <v>5.41</v>
      </c>
      <c r="AR3859" s="46">
        <v>4176</v>
      </c>
      <c r="AS3859" s="46">
        <v>60</v>
      </c>
      <c r="AT3859" s="46">
        <v>30900</v>
      </c>
      <c r="AU3859" s="46">
        <v>194080.50999999989</v>
      </c>
      <c r="AV3859" s="46">
        <v>6.2809999999999997</v>
      </c>
      <c r="AW3859" s="46">
        <v>72</v>
      </c>
      <c r="AX3859" s="46">
        <v>30800</v>
      </c>
      <c r="AY3859" s="46">
        <v>197475.47600000002</v>
      </c>
      <c r="AZ3859" s="46">
        <v>6.4119999999999999</v>
      </c>
      <c r="BA3859" s="46" t="s">
        <v>63</v>
      </c>
      <c r="BB3859" s="46">
        <v>100</v>
      </c>
      <c r="BC3859" s="46">
        <v>3394.9659999999999</v>
      </c>
      <c r="BD3859" s="46">
        <v>33.950000000000003</v>
      </c>
      <c r="BE3859" s="46">
        <v>4034.8</v>
      </c>
      <c r="BF3859" s="46">
        <v>0</v>
      </c>
      <c r="BH3859" s="46">
        <v>29361.726000000024</v>
      </c>
      <c r="BI3859">
        <v>6.25</v>
      </c>
      <c r="BJ3859">
        <v>-22571.793999999998</v>
      </c>
      <c r="BK3859">
        <v>-4.8</v>
      </c>
      <c r="BL3859">
        <v>676.82</v>
      </c>
    </row>
    <row r="3860" spans="1:64" x14ac:dyDescent="0.25">
      <c r="A3860" s="136">
        <v>43830</v>
      </c>
      <c r="B3860" t="s">
        <v>79</v>
      </c>
      <c r="C3860" t="s">
        <v>143</v>
      </c>
      <c r="D3860">
        <v>13820</v>
      </c>
      <c r="E3860">
        <v>13820</v>
      </c>
      <c r="F3860">
        <v>9.6790000000000003</v>
      </c>
      <c r="G3860">
        <v>-39379.980000000003</v>
      </c>
      <c r="H3860">
        <v>-29.44</v>
      </c>
      <c r="I3860">
        <v>94390.6</v>
      </c>
      <c r="J3860">
        <v>6.83</v>
      </c>
      <c r="K3860" s="133">
        <v>0.18382251057186938</v>
      </c>
      <c r="L3860" s="181">
        <v>-1611.4500000000044</v>
      </c>
      <c r="M3860" s="133">
        <v>0.26051369369677807</v>
      </c>
      <c r="N3860" s="73">
        <v>-39542.820000000254</v>
      </c>
      <c r="O3860" s="73">
        <v>-5795.1684149560497</v>
      </c>
      <c r="P3860" s="182">
        <v>15</v>
      </c>
      <c r="Q3860" s="182">
        <v>9420</v>
      </c>
      <c r="R3860" s="46">
        <v>5.4370000000000003</v>
      </c>
      <c r="S3860" s="46">
        <v>0</v>
      </c>
      <c r="T3860" s="46">
        <v>0</v>
      </c>
      <c r="U3860" s="46">
        <v>0</v>
      </c>
      <c r="V3860" s="46" t="s">
        <v>62</v>
      </c>
      <c r="W3860" s="46">
        <v>9420</v>
      </c>
      <c r="X3860" s="46">
        <v>5.4370000000000003</v>
      </c>
      <c r="AF3860" s="46">
        <v>46</v>
      </c>
      <c r="AG3860" s="46">
        <v>23400</v>
      </c>
      <c r="AH3860" s="46">
        <v>304903.03999999969</v>
      </c>
      <c r="AI3860" s="46">
        <v>13.03</v>
      </c>
      <c r="AJ3860" s="46">
        <v>47</v>
      </c>
      <c r="AK3860" s="46">
        <v>19000</v>
      </c>
      <c r="AL3860" s="46">
        <v>222401.47199999975</v>
      </c>
      <c r="AM3860" s="46">
        <v>11.705</v>
      </c>
      <c r="AN3860" s="46" t="s">
        <v>63</v>
      </c>
      <c r="AO3860" s="46">
        <v>4400</v>
      </c>
      <c r="AP3860" s="46">
        <v>82501.567999999999</v>
      </c>
      <c r="AQ3860" s="46">
        <v>18.75</v>
      </c>
      <c r="AR3860" s="46">
        <v>-25175</v>
      </c>
      <c r="AS3860" s="46">
        <v>61</v>
      </c>
      <c r="AT3860" s="46">
        <v>32820</v>
      </c>
      <c r="AU3860" s="46">
        <v>356196.69199999952</v>
      </c>
      <c r="AV3860" s="46">
        <v>10.853</v>
      </c>
      <c r="AW3860" s="46">
        <v>47</v>
      </c>
      <c r="AX3860" s="46">
        <v>19000</v>
      </c>
      <c r="AY3860" s="46">
        <v>222401.47199999975</v>
      </c>
      <c r="AZ3860" s="46">
        <v>11.705</v>
      </c>
      <c r="BA3860" s="46" t="s">
        <v>63</v>
      </c>
      <c r="BB3860" s="46">
        <v>13820</v>
      </c>
      <c r="BC3860" s="46">
        <v>133795.22</v>
      </c>
      <c r="BD3860" s="46">
        <v>9.6809999999999992</v>
      </c>
      <c r="BE3860" s="46">
        <v>16188</v>
      </c>
      <c r="BF3860" s="46">
        <v>51293.651999999827</v>
      </c>
      <c r="BG3860" s="46">
        <v>5.45</v>
      </c>
      <c r="BH3860" s="46">
        <v>0</v>
      </c>
      <c r="BJ3860">
        <v>51293.652000000002</v>
      </c>
      <c r="BK3860">
        <v>5.45</v>
      </c>
      <c r="BL3860">
        <v>-3685.94</v>
      </c>
    </row>
    <row r="3861" spans="1:64" x14ac:dyDescent="0.25">
      <c r="A3861" s="136">
        <v>43830</v>
      </c>
      <c r="B3861" t="s">
        <v>749</v>
      </c>
      <c r="C3861" t="s">
        <v>750</v>
      </c>
      <c r="D3861">
        <v>500</v>
      </c>
      <c r="E3861">
        <v>500</v>
      </c>
      <c r="F3861">
        <v>5.85</v>
      </c>
      <c r="G3861">
        <v>535</v>
      </c>
      <c r="H3861">
        <v>18.29</v>
      </c>
      <c r="I3861">
        <v>3460</v>
      </c>
      <c r="J3861">
        <v>6.92</v>
      </c>
      <c r="K3861" s="133">
        <v>6.738233325973857E-3</v>
      </c>
      <c r="L3861" s="181">
        <v>-25</v>
      </c>
      <c r="M3861" s="133">
        <v>5.6963388666108478E-3</v>
      </c>
    </row>
    <row r="3862" spans="1:64" x14ac:dyDescent="0.25">
      <c r="A3862" s="136">
        <v>43830</v>
      </c>
      <c r="B3862" t="s">
        <v>776</v>
      </c>
      <c r="C3862" t="s">
        <v>777</v>
      </c>
      <c r="D3862">
        <v>1</v>
      </c>
      <c r="E3862">
        <v>1</v>
      </c>
      <c r="F3862">
        <v>-13136.34</v>
      </c>
      <c r="G3862">
        <v>13195.1</v>
      </c>
      <c r="H3862">
        <v>0</v>
      </c>
      <c r="I3862">
        <v>58.76</v>
      </c>
      <c r="J3862">
        <v>58.76</v>
      </c>
      <c r="K3862" s="133">
        <v>1.1443311856480457E-4</v>
      </c>
      <c r="L3862" s="181">
        <v>-0.73999999999978172</v>
      </c>
      <c r="M3862" s="133">
        <v>0</v>
      </c>
    </row>
    <row r="3863" spans="1:64" x14ac:dyDescent="0.25">
      <c r="A3863" s="136">
        <v>43830</v>
      </c>
      <c r="B3863" t="s">
        <v>65</v>
      </c>
      <c r="C3863" t="s">
        <v>127</v>
      </c>
      <c r="D3863">
        <v>23900</v>
      </c>
      <c r="E3863">
        <v>23900</v>
      </c>
      <c r="F3863">
        <v>8.423</v>
      </c>
      <c r="G3863">
        <v>-7246.86</v>
      </c>
      <c r="H3863">
        <v>-3.6</v>
      </c>
      <c r="I3863">
        <v>194068</v>
      </c>
      <c r="J3863">
        <v>8.1199999999999992</v>
      </c>
      <c r="K3863" s="133">
        <v>0.37794088586852442</v>
      </c>
      <c r="L3863" s="181">
        <v>2425.7500000000009</v>
      </c>
      <c r="M3863" s="133">
        <v>0.39205390134848594</v>
      </c>
      <c r="N3863" s="73">
        <v>-11290.269000000146</v>
      </c>
      <c r="O3863" s="73">
        <v>-861.64958699265458</v>
      </c>
      <c r="P3863" s="182">
        <v>2</v>
      </c>
      <c r="Q3863" s="182">
        <v>2000</v>
      </c>
      <c r="R3863" s="46">
        <v>8.4450000000000003</v>
      </c>
      <c r="S3863" s="46">
        <v>9</v>
      </c>
      <c r="T3863" s="46">
        <v>3600</v>
      </c>
      <c r="U3863" s="46">
        <v>8.0519999999999996</v>
      </c>
      <c r="V3863" s="46" t="s">
        <v>68</v>
      </c>
      <c r="W3863" s="46">
        <v>1600</v>
      </c>
      <c r="X3863" s="46">
        <v>7.5609999999999999</v>
      </c>
      <c r="AF3863" s="46">
        <v>272</v>
      </c>
      <c r="AG3863" s="46">
        <v>144400</v>
      </c>
      <c r="AH3863" s="46">
        <v>1490550.6810000001</v>
      </c>
      <c r="AI3863" s="46">
        <v>10.321999999999999</v>
      </c>
      <c r="AJ3863" s="46">
        <v>302</v>
      </c>
      <c r="AK3863" s="46">
        <v>128100</v>
      </c>
      <c r="AL3863" s="46">
        <v>1262876.398</v>
      </c>
      <c r="AM3863" s="46">
        <v>9.859</v>
      </c>
      <c r="AN3863" s="46" t="s">
        <v>63</v>
      </c>
      <c r="AO3863" s="46">
        <v>16300</v>
      </c>
      <c r="AP3863" s="46">
        <v>227674.283</v>
      </c>
      <c r="AQ3863" s="46">
        <v>13.968</v>
      </c>
      <c r="AR3863" s="46">
        <v>-59310.3</v>
      </c>
      <c r="AS3863" s="46">
        <v>275</v>
      </c>
      <c r="AT3863" s="46">
        <v>146500</v>
      </c>
      <c r="AU3863" s="46">
        <v>1508738.6810000001</v>
      </c>
      <c r="AV3863" s="46">
        <v>10.298999999999999</v>
      </c>
      <c r="AW3863" s="46">
        <v>311</v>
      </c>
      <c r="AX3863" s="46">
        <v>131700</v>
      </c>
      <c r="AY3863" s="46">
        <v>1291790.4099999997</v>
      </c>
      <c r="AZ3863" s="46">
        <v>9.8089999999999993</v>
      </c>
      <c r="BA3863" s="46" t="s">
        <v>63</v>
      </c>
      <c r="BB3863" s="46">
        <v>14800</v>
      </c>
      <c r="BC3863" s="46">
        <v>216948.27100000001</v>
      </c>
      <c r="BD3863" s="46">
        <v>14.659000000000001</v>
      </c>
      <c r="BE3863" s="46">
        <v>-64533</v>
      </c>
      <c r="BF3863" s="46">
        <v>18188</v>
      </c>
      <c r="BG3863" s="46">
        <v>9.09</v>
      </c>
      <c r="BH3863" s="46">
        <v>28914.011999999639</v>
      </c>
      <c r="BI3863">
        <v>8.0299999999999994</v>
      </c>
      <c r="BJ3863">
        <v>-10726.011999999988</v>
      </c>
      <c r="BK3863">
        <v>-6.7</v>
      </c>
      <c r="BL3863">
        <v>-7304.22</v>
      </c>
    </row>
    <row r="3864" spans="1:64" x14ac:dyDescent="0.25">
      <c r="A3864" s="136">
        <v>43830</v>
      </c>
      <c r="B3864" t="s">
        <v>77</v>
      </c>
      <c r="C3864" t="s">
        <v>150</v>
      </c>
      <c r="D3864">
        <v>6800</v>
      </c>
      <c r="E3864">
        <v>6800</v>
      </c>
      <c r="F3864">
        <v>5.0979999999999999</v>
      </c>
      <c r="G3864">
        <v>-8827.31</v>
      </c>
      <c r="H3864">
        <v>-25.46</v>
      </c>
      <c r="I3864">
        <v>25840</v>
      </c>
      <c r="J3864">
        <v>3.8</v>
      </c>
      <c r="K3864" s="133">
        <v>5.0322528654093777E-2</v>
      </c>
      <c r="L3864" s="181">
        <v>476</v>
      </c>
      <c r="M3864" s="133">
        <v>6.7513417214990393E-2</v>
      </c>
      <c r="N3864" s="73">
        <v>-9196.2499999999854</v>
      </c>
      <c r="O3864" s="73">
        <v>-2275.3669829842897</v>
      </c>
      <c r="P3864" s="182">
        <v>7</v>
      </c>
      <c r="Q3864" s="182">
        <v>3500</v>
      </c>
      <c r="R3864" s="46">
        <v>4.2640000000000002</v>
      </c>
      <c r="S3864" s="46">
        <v>0</v>
      </c>
      <c r="T3864" s="46">
        <v>0</v>
      </c>
      <c r="U3864" s="46">
        <v>0</v>
      </c>
      <c r="V3864" s="46" t="s">
        <v>62</v>
      </c>
      <c r="W3864" s="46">
        <v>3500</v>
      </c>
      <c r="X3864" s="46">
        <v>4.2640000000000002</v>
      </c>
      <c r="AF3864" s="46">
        <v>59</v>
      </c>
      <c r="AG3864" s="46">
        <v>29500</v>
      </c>
      <c r="AH3864" s="46">
        <v>190784</v>
      </c>
      <c r="AI3864" s="46">
        <v>6.4669999999999996</v>
      </c>
      <c r="AJ3864" s="46">
        <v>59</v>
      </c>
      <c r="AK3864" s="46">
        <v>26200</v>
      </c>
      <c r="AL3864" s="46">
        <v>170783.75000000006</v>
      </c>
      <c r="AM3864" s="46">
        <v>6.5179999999999998</v>
      </c>
      <c r="AN3864" s="46" t="s">
        <v>63</v>
      </c>
      <c r="AO3864" s="46">
        <v>3300</v>
      </c>
      <c r="AP3864" s="46">
        <v>20000.25</v>
      </c>
      <c r="AQ3864" s="46">
        <v>6.0609999999999999</v>
      </c>
      <c r="AR3864" s="46">
        <v>1336.2</v>
      </c>
      <c r="AS3864" s="46">
        <v>66</v>
      </c>
      <c r="AT3864" s="46">
        <v>33000</v>
      </c>
      <c r="AU3864" s="46">
        <v>205456</v>
      </c>
      <c r="AV3864" s="46">
        <v>6.226</v>
      </c>
      <c r="AW3864" s="46">
        <v>59</v>
      </c>
      <c r="AX3864" s="46">
        <v>26200</v>
      </c>
      <c r="AY3864" s="46">
        <v>170783.75000000006</v>
      </c>
      <c r="AZ3864" s="46">
        <v>6.5179999999999998</v>
      </c>
      <c r="BA3864" s="46" t="s">
        <v>63</v>
      </c>
      <c r="BB3864" s="46">
        <v>6800</v>
      </c>
      <c r="BC3864" s="46">
        <v>34672.25</v>
      </c>
      <c r="BD3864" s="46">
        <v>5.0990000000000002</v>
      </c>
      <c r="BE3864" s="46">
        <v>7650.4</v>
      </c>
      <c r="BF3864" s="46">
        <v>14672</v>
      </c>
      <c r="BG3864" s="46">
        <v>4.1900000000000004</v>
      </c>
      <c r="BH3864" s="46">
        <v>0</v>
      </c>
      <c r="BJ3864">
        <v>14672</v>
      </c>
      <c r="BK3864">
        <v>4.1900000000000004</v>
      </c>
      <c r="BL3864">
        <v>351.63</v>
      </c>
    </row>
    <row r="3865" spans="1:64" x14ac:dyDescent="0.25">
      <c r="A3865" s="136">
        <v>43830</v>
      </c>
      <c r="B3865" t="s">
        <v>67</v>
      </c>
      <c r="C3865" t="s">
        <v>129</v>
      </c>
      <c r="D3865">
        <v>730</v>
      </c>
      <c r="E3865">
        <v>330</v>
      </c>
      <c r="F3865">
        <v>0.112</v>
      </c>
      <c r="G3865">
        <v>4984.62</v>
      </c>
      <c r="H3865">
        <v>6096.65</v>
      </c>
      <c r="I3865">
        <v>5066.2</v>
      </c>
      <c r="J3865">
        <v>6.94</v>
      </c>
      <c r="K3865" s="133">
        <v>9.866253663597906E-3</v>
      </c>
      <c r="L3865" s="181">
        <v>116.80000000000018</v>
      </c>
      <c r="M3865" s="133">
        <v>1.5887429905576497E-4</v>
      </c>
      <c r="N3865" s="73">
        <v>4892.2194999999774</v>
      </c>
      <c r="O3865" s="73">
        <v>716.97557041788662</v>
      </c>
      <c r="P3865" s="182">
        <v>1</v>
      </c>
      <c r="Q3865" s="182">
        <v>30</v>
      </c>
      <c r="R3865" s="46">
        <v>0</v>
      </c>
      <c r="S3865" s="46">
        <v>25</v>
      </c>
      <c r="T3865" s="46">
        <v>10000</v>
      </c>
      <c r="U3865" s="46">
        <v>8.2789999999999999</v>
      </c>
      <c r="V3865" s="46" t="s">
        <v>68</v>
      </c>
      <c r="W3865" s="46">
        <v>9970</v>
      </c>
      <c r="X3865" s="46">
        <v>8.3040000000000003</v>
      </c>
      <c r="AF3865" s="46">
        <v>206</v>
      </c>
      <c r="AG3865" s="46">
        <v>101600</v>
      </c>
      <c r="AH3865" s="46">
        <v>835928</v>
      </c>
      <c r="AI3865" s="46">
        <v>8.2279999999999998</v>
      </c>
      <c r="AJ3865" s="46">
        <v>210</v>
      </c>
      <c r="AK3865" s="46">
        <v>93500</v>
      </c>
      <c r="AL3865" s="46">
        <v>822392.02350000013</v>
      </c>
      <c r="AM3865" s="46">
        <v>8.7959999999999994</v>
      </c>
      <c r="AN3865" s="46" t="s">
        <v>63</v>
      </c>
      <c r="AO3865" s="46">
        <v>8100</v>
      </c>
      <c r="AP3865" s="46">
        <v>13535.976000000001</v>
      </c>
      <c r="AQ3865" s="46">
        <v>1.671</v>
      </c>
      <c r="AR3865" s="46">
        <v>53108</v>
      </c>
      <c r="AS3865" s="46">
        <v>207</v>
      </c>
      <c r="AT3865" s="46">
        <v>101630</v>
      </c>
      <c r="AU3865" s="46">
        <v>835933</v>
      </c>
      <c r="AV3865" s="46">
        <v>8.2249999999999996</v>
      </c>
      <c r="AW3865" s="46">
        <v>235</v>
      </c>
      <c r="AX3865" s="46">
        <v>103500</v>
      </c>
      <c r="AY3865" s="46">
        <v>904974.73550000007</v>
      </c>
      <c r="AZ3865" s="46">
        <v>8.7439999999999998</v>
      </c>
      <c r="BA3865" s="46" t="s">
        <v>69</v>
      </c>
      <c r="BB3865" s="46">
        <v>1870</v>
      </c>
      <c r="BC3865" s="46">
        <v>69041.736000000004</v>
      </c>
      <c r="BD3865" s="46">
        <v>36.920999999999999</v>
      </c>
      <c r="BE3865" s="46">
        <v>52745.97</v>
      </c>
      <c r="BF3865" s="46">
        <v>5</v>
      </c>
      <c r="BG3865" s="46">
        <v>0.17</v>
      </c>
      <c r="BH3865" s="46">
        <v>82582.711999999941</v>
      </c>
      <c r="BI3865">
        <v>8.26</v>
      </c>
      <c r="BJ3865">
        <v>55505.760000000002</v>
      </c>
      <c r="BK3865">
        <v>5.57</v>
      </c>
      <c r="BL3865">
        <v>7652.45</v>
      </c>
    </row>
    <row r="3866" spans="1:64" x14ac:dyDescent="0.25">
      <c r="A3866" s="136">
        <v>43830</v>
      </c>
      <c r="B3866" t="s">
        <v>78</v>
      </c>
      <c r="C3866" t="s">
        <v>142</v>
      </c>
      <c r="D3866">
        <v>100</v>
      </c>
      <c r="E3866">
        <v>100</v>
      </c>
      <c r="F3866">
        <v>-5.867</v>
      </c>
      <c r="G3866">
        <v>1553.7</v>
      </c>
      <c r="H3866">
        <v>0</v>
      </c>
      <c r="I3866">
        <v>967</v>
      </c>
      <c r="J3866">
        <v>9.67</v>
      </c>
      <c r="K3866" s="133">
        <v>1.8831998919701502E-3</v>
      </c>
      <c r="L3866" s="181">
        <v>24</v>
      </c>
      <c r="M3866" s="133">
        <v>0</v>
      </c>
      <c r="N3866" s="73">
        <v>1576.660999999996</v>
      </c>
      <c r="O3866" s="73">
        <v>159.17905752525212</v>
      </c>
      <c r="P3866" s="182">
        <v>0</v>
      </c>
      <c r="Q3866" s="182">
        <v>0</v>
      </c>
      <c r="R3866" s="46">
        <v>0</v>
      </c>
      <c r="S3866" s="46">
        <v>4</v>
      </c>
      <c r="T3866" s="46">
        <v>1300</v>
      </c>
      <c r="U3866" s="46">
        <v>9.9220000000000006</v>
      </c>
      <c r="V3866" s="46" t="s">
        <v>68</v>
      </c>
      <c r="W3866" s="46">
        <v>1300</v>
      </c>
      <c r="X3866" s="46">
        <v>9.9220000000000006</v>
      </c>
      <c r="AF3866" s="46">
        <v>14</v>
      </c>
      <c r="AG3866" s="46">
        <v>7000</v>
      </c>
      <c r="AH3866" s="46">
        <v>67625</v>
      </c>
      <c r="AI3866" s="46">
        <v>9.6609999999999996</v>
      </c>
      <c r="AJ3866" s="46">
        <v>15</v>
      </c>
      <c r="AK3866" s="46">
        <v>5600</v>
      </c>
      <c r="AL3866" s="46">
        <v>55310.559000000008</v>
      </c>
      <c r="AM3866" s="46">
        <v>9.8770000000000007</v>
      </c>
      <c r="AN3866" s="46" t="s">
        <v>63</v>
      </c>
      <c r="AO3866" s="46">
        <v>1400</v>
      </c>
      <c r="AP3866" s="46">
        <v>12314.441000000001</v>
      </c>
      <c r="AQ3866" s="46">
        <v>8.7959999999999994</v>
      </c>
      <c r="AR3866" s="46">
        <v>1209.5999999999999</v>
      </c>
      <c r="AS3866" s="46">
        <v>14</v>
      </c>
      <c r="AT3866" s="46">
        <v>7000</v>
      </c>
      <c r="AU3866" s="46">
        <v>67625</v>
      </c>
      <c r="AV3866" s="46">
        <v>9.6609999999999996</v>
      </c>
      <c r="AW3866" s="46">
        <v>19</v>
      </c>
      <c r="AX3866" s="46">
        <v>6900</v>
      </c>
      <c r="AY3866" s="46">
        <v>68211.661000000007</v>
      </c>
      <c r="AZ3866" s="46">
        <v>9.8859999999999992</v>
      </c>
      <c r="BA3866" s="46" t="s">
        <v>63</v>
      </c>
      <c r="BB3866" s="46">
        <v>100</v>
      </c>
      <c r="BC3866" s="46">
        <v>586.66099999999994</v>
      </c>
      <c r="BD3866" s="46">
        <v>5.867</v>
      </c>
      <c r="BE3866" s="46">
        <v>1552.5</v>
      </c>
      <c r="BF3866" s="46">
        <v>0</v>
      </c>
      <c r="BH3866" s="46">
        <v>12901.101999999999</v>
      </c>
      <c r="BI3866">
        <v>9.92</v>
      </c>
      <c r="BJ3866">
        <v>-11727.78</v>
      </c>
      <c r="BK3866">
        <v>-9.02</v>
      </c>
      <c r="BL3866">
        <v>125.09</v>
      </c>
    </row>
    <row r="3867" spans="1:64" x14ac:dyDescent="0.25">
      <c r="A3867" s="136">
        <v>43830</v>
      </c>
      <c r="B3867" t="s">
        <v>72</v>
      </c>
      <c r="C3867" t="s">
        <v>130</v>
      </c>
      <c r="D3867">
        <v>100</v>
      </c>
      <c r="E3867">
        <v>100</v>
      </c>
      <c r="F3867">
        <v>-18.477</v>
      </c>
      <c r="G3867">
        <v>2313.6999999999998</v>
      </c>
      <c r="H3867">
        <v>0</v>
      </c>
      <c r="I3867">
        <v>466</v>
      </c>
      <c r="J3867">
        <v>4.66</v>
      </c>
      <c r="K3867" s="133">
        <v>9.0751928609936921E-4</v>
      </c>
      <c r="L3867" s="181">
        <v>-14</v>
      </c>
      <c r="M3867" s="133">
        <v>0</v>
      </c>
      <c r="N3867" s="73">
        <v>-1498.9659999999872</v>
      </c>
      <c r="O3867" s="73">
        <v>376.42007904191922</v>
      </c>
      <c r="P3867" s="182">
        <v>0</v>
      </c>
      <c r="Q3867" s="182">
        <v>0</v>
      </c>
      <c r="R3867" s="46">
        <v>0</v>
      </c>
      <c r="S3867" s="46">
        <v>20</v>
      </c>
      <c r="T3867" s="46">
        <v>8600</v>
      </c>
      <c r="U3867" s="46">
        <v>7.3840000000000003</v>
      </c>
      <c r="V3867" s="46" t="s">
        <v>68</v>
      </c>
      <c r="W3867" s="46">
        <v>8600</v>
      </c>
      <c r="X3867" s="46">
        <v>7.3840000000000003</v>
      </c>
      <c r="AF3867" s="46">
        <v>42</v>
      </c>
      <c r="AG3867" s="46">
        <v>20900</v>
      </c>
      <c r="AH3867" s="46">
        <v>152800</v>
      </c>
      <c r="AI3867" s="46">
        <v>7.3109999999999999</v>
      </c>
      <c r="AJ3867" s="46">
        <v>42</v>
      </c>
      <c r="AK3867" s="46">
        <v>18800</v>
      </c>
      <c r="AL3867" s="46">
        <v>92037.725000000035</v>
      </c>
      <c r="AM3867" s="46">
        <v>4.8959999999999999</v>
      </c>
      <c r="AN3867" s="46" t="s">
        <v>63</v>
      </c>
      <c r="AO3867" s="46">
        <v>2100</v>
      </c>
      <c r="AP3867" s="46">
        <v>60762.275000000001</v>
      </c>
      <c r="AQ3867" s="46">
        <v>28.934000000000001</v>
      </c>
      <c r="AR3867" s="46">
        <v>-45402</v>
      </c>
      <c r="AS3867" s="46">
        <v>42</v>
      </c>
      <c r="AT3867" s="46">
        <v>20900</v>
      </c>
      <c r="AU3867" s="46">
        <v>152800</v>
      </c>
      <c r="AV3867" s="46">
        <v>7.3109999999999999</v>
      </c>
      <c r="AW3867" s="46">
        <v>63</v>
      </c>
      <c r="AX3867" s="46">
        <v>27900</v>
      </c>
      <c r="AY3867" s="46">
        <v>155380.21900000001</v>
      </c>
      <c r="AZ3867" s="46">
        <v>5.569</v>
      </c>
      <c r="BA3867" s="46" t="s">
        <v>69</v>
      </c>
      <c r="BB3867" s="46">
        <v>7000</v>
      </c>
      <c r="BC3867" s="46">
        <v>2580.2190000000001</v>
      </c>
      <c r="BD3867" s="46">
        <v>0.36899999999999999</v>
      </c>
      <c r="BE3867" s="46">
        <v>-36407.800000000003</v>
      </c>
      <c r="BF3867" s="46">
        <v>0</v>
      </c>
      <c r="BH3867" s="46">
        <v>63342.493999999977</v>
      </c>
      <c r="BI3867">
        <v>7.37</v>
      </c>
      <c r="BJ3867">
        <v>-58182.056000000004</v>
      </c>
      <c r="BK3867">
        <v>-6.77</v>
      </c>
      <c r="BL3867">
        <v>-9742.92</v>
      </c>
    </row>
    <row r="3868" spans="1:64" x14ac:dyDescent="0.25">
      <c r="A3868" s="136">
        <v>43830</v>
      </c>
      <c r="B3868" t="s">
        <v>70</v>
      </c>
      <c r="C3868" t="s">
        <v>131</v>
      </c>
      <c r="D3868">
        <v>15780</v>
      </c>
      <c r="E3868">
        <v>15780</v>
      </c>
      <c r="F3868">
        <v>8.3810000000000002</v>
      </c>
      <c r="G3868">
        <v>-21481.7</v>
      </c>
      <c r="H3868">
        <v>-16.239999999999998</v>
      </c>
      <c r="I3868">
        <v>110775.6</v>
      </c>
      <c r="J3868">
        <v>7.02</v>
      </c>
      <c r="K3868" s="133">
        <v>0.21573174555628602</v>
      </c>
      <c r="L3868" s="181">
        <v>-256.60000000000218</v>
      </c>
      <c r="M3868" s="133">
        <v>0.25756663192581569</v>
      </c>
      <c r="N3868" s="73">
        <v>-23668.641000000032</v>
      </c>
      <c r="O3868" s="73">
        <v>-3446.5056816133761</v>
      </c>
      <c r="P3868" s="182">
        <v>0</v>
      </c>
      <c r="Q3868" s="182">
        <v>0</v>
      </c>
      <c r="R3868" s="46">
        <v>0</v>
      </c>
      <c r="S3868" s="46">
        <v>4</v>
      </c>
      <c r="T3868" s="46">
        <v>1600</v>
      </c>
      <c r="U3868" s="46">
        <v>7.9749999999999996</v>
      </c>
      <c r="V3868" s="46" t="s">
        <v>68</v>
      </c>
      <c r="W3868" s="46">
        <v>1600</v>
      </c>
      <c r="X3868" s="46">
        <v>7.9749999999999996</v>
      </c>
      <c r="AF3868" s="46">
        <v>206</v>
      </c>
      <c r="AG3868" s="46">
        <v>104080</v>
      </c>
      <c r="AH3868" s="46">
        <v>1169554</v>
      </c>
      <c r="AI3868" s="46">
        <v>11.237</v>
      </c>
      <c r="AJ3868" s="46">
        <v>215</v>
      </c>
      <c r="AK3868" s="46">
        <v>86700</v>
      </c>
      <c r="AL3868" s="46">
        <v>1022361.5389999995</v>
      </c>
      <c r="AM3868" s="46">
        <v>11.792</v>
      </c>
      <c r="AN3868" s="46" t="s">
        <v>63</v>
      </c>
      <c r="AO3868" s="46">
        <v>17380</v>
      </c>
      <c r="AP3868" s="46">
        <v>147192.46100000001</v>
      </c>
      <c r="AQ3868" s="46">
        <v>8.4689999999999994</v>
      </c>
      <c r="AR3868" s="46">
        <v>48118.5</v>
      </c>
      <c r="AS3868" s="46">
        <v>206</v>
      </c>
      <c r="AT3868" s="46">
        <v>104080</v>
      </c>
      <c r="AU3868" s="46">
        <v>1169554</v>
      </c>
      <c r="AV3868" s="46">
        <v>11.237</v>
      </c>
      <c r="AW3868" s="46">
        <v>220</v>
      </c>
      <c r="AX3868" s="46">
        <v>88300</v>
      </c>
      <c r="AY3868" s="46">
        <v>1035493.7789999995</v>
      </c>
      <c r="AZ3868" s="46">
        <v>11.727</v>
      </c>
      <c r="BA3868" s="46" t="s">
        <v>63</v>
      </c>
      <c r="BB3868" s="46">
        <v>15780</v>
      </c>
      <c r="BC3868" s="46">
        <v>134060.22099999999</v>
      </c>
      <c r="BD3868" s="46">
        <v>8.4960000000000004</v>
      </c>
      <c r="BE3868" s="46">
        <v>43267</v>
      </c>
      <c r="BF3868" s="46">
        <v>0</v>
      </c>
      <c r="BH3868" s="46">
        <v>13132.239999999991</v>
      </c>
      <c r="BI3868">
        <v>8.2100000000000009</v>
      </c>
      <c r="BJ3868">
        <v>-13132.24000000002</v>
      </c>
      <c r="BK3868">
        <v>-8.2100000000000009</v>
      </c>
      <c r="BL3868">
        <v>6854.49</v>
      </c>
    </row>
    <row r="3869" spans="1:64" x14ac:dyDescent="0.25">
      <c r="A3869" s="136">
        <v>43830</v>
      </c>
      <c r="B3869" t="s">
        <v>628</v>
      </c>
      <c r="C3869" t="s">
        <v>629</v>
      </c>
      <c r="D3869">
        <v>100</v>
      </c>
      <c r="E3869">
        <v>100</v>
      </c>
      <c r="F3869">
        <v>-22.369</v>
      </c>
      <c r="G3869">
        <v>3730.9</v>
      </c>
      <c r="H3869">
        <v>0</v>
      </c>
      <c r="I3869">
        <v>1494</v>
      </c>
      <c r="J3869">
        <v>14.94</v>
      </c>
      <c r="K3869" s="133">
        <v>2.9095146210996944E-3</v>
      </c>
      <c r="L3869" s="181">
        <v>-24</v>
      </c>
      <c r="M3869" s="133">
        <v>0</v>
      </c>
    </row>
    <row r="3870" spans="1:64" x14ac:dyDescent="0.25">
      <c r="A3870" s="136">
        <v>43830</v>
      </c>
      <c r="B3870" t="s">
        <v>630</v>
      </c>
      <c r="C3870" t="s">
        <v>631</v>
      </c>
      <c r="D3870">
        <v>100</v>
      </c>
      <c r="E3870">
        <v>100</v>
      </c>
      <c r="F3870">
        <v>-94.6</v>
      </c>
      <c r="G3870">
        <v>11545</v>
      </c>
      <c r="H3870">
        <v>0</v>
      </c>
      <c r="I3870">
        <v>2085</v>
      </c>
      <c r="J3870">
        <v>20.85</v>
      </c>
      <c r="K3870" s="133">
        <v>4.0604671920969632E-3</v>
      </c>
      <c r="L3870" s="181">
        <v>56</v>
      </c>
      <c r="M3870" s="133">
        <v>0</v>
      </c>
    </row>
    <row r="3871" spans="1:64" x14ac:dyDescent="0.25">
      <c r="A3871" s="136">
        <v>43830</v>
      </c>
      <c r="B3871" t="s">
        <v>768</v>
      </c>
      <c r="C3871" t="s">
        <v>769</v>
      </c>
      <c r="D3871">
        <v>500</v>
      </c>
      <c r="E3871">
        <v>500</v>
      </c>
      <c r="F3871">
        <v>2.4900000000000002</v>
      </c>
      <c r="G3871">
        <v>555</v>
      </c>
      <c r="H3871">
        <v>44.58</v>
      </c>
      <c r="I3871">
        <v>1800</v>
      </c>
      <c r="J3871">
        <v>3.6</v>
      </c>
      <c r="K3871" s="133">
        <v>3.5054393025297525E-3</v>
      </c>
      <c r="L3871" s="181">
        <v>5</v>
      </c>
      <c r="M3871" s="133">
        <v>2.4245955175830787E-3</v>
      </c>
    </row>
    <row r="3872" spans="1:64" x14ac:dyDescent="0.25">
      <c r="A3872" s="136">
        <v>43830</v>
      </c>
      <c r="B3872" t="s">
        <v>137</v>
      </c>
      <c r="C3872" t="s">
        <v>149</v>
      </c>
      <c r="D3872">
        <v>150</v>
      </c>
      <c r="E3872">
        <v>150</v>
      </c>
      <c r="F3872">
        <v>-87.406999999999996</v>
      </c>
      <c r="G3872">
        <v>17960.55</v>
      </c>
      <c r="H3872">
        <v>0</v>
      </c>
      <c r="I3872">
        <v>4849.5</v>
      </c>
      <c r="J3872">
        <v>32.33</v>
      </c>
      <c r="K3872" s="133">
        <v>9.4442377208989077E-3</v>
      </c>
      <c r="L3872" s="181">
        <v>-348</v>
      </c>
      <c r="M3872" s="133">
        <v>0</v>
      </c>
    </row>
    <row r="3873" spans="1:64" x14ac:dyDescent="0.25">
      <c r="A3873" s="136">
        <v>43830</v>
      </c>
      <c r="B3873" t="s">
        <v>835</v>
      </c>
      <c r="C3873" t="s">
        <v>839</v>
      </c>
      <c r="I3873">
        <v>10373.030000000001</v>
      </c>
      <c r="K3873" s="133">
        <v>2.0201126137955668E-2</v>
      </c>
      <c r="L3873" s="181">
        <v>0</v>
      </c>
      <c r="M3873" s="133">
        <v>9.903849500117537E-2</v>
      </c>
    </row>
    <row r="3874" spans="1:64" x14ac:dyDescent="0.25">
      <c r="A3874" s="136">
        <v>43892</v>
      </c>
      <c r="B3874" t="s">
        <v>65</v>
      </c>
      <c r="C3874" t="s">
        <v>127</v>
      </c>
      <c r="D3874">
        <v>26900</v>
      </c>
      <c r="E3874">
        <v>26900</v>
      </c>
      <c r="F3874">
        <v>8.31</v>
      </c>
      <c r="G3874">
        <v>-31192.67</v>
      </c>
      <c r="H3874">
        <v>-13.95</v>
      </c>
      <c r="I3874">
        <v>192335</v>
      </c>
      <c r="J3874">
        <v>7.15</v>
      </c>
      <c r="K3874" s="133">
        <v>0.3864122167617135</v>
      </c>
      <c r="L3874" s="181">
        <v>-23945.809999999998</v>
      </c>
      <c r="M3874" s="133">
        <v>0.44908010748059773</v>
      </c>
      <c r="N3874" s="73">
        <v>-36820.077000000165</v>
      </c>
      <c r="O3874" s="73">
        <v>-4580.5991884859577</v>
      </c>
      <c r="P3874" s="182">
        <v>4</v>
      </c>
      <c r="Q3874" s="182">
        <v>3400</v>
      </c>
      <c r="R3874" s="46">
        <v>8.1519999999999992</v>
      </c>
      <c r="S3874" s="46">
        <v>6</v>
      </c>
      <c r="T3874" s="46">
        <v>2400</v>
      </c>
      <c r="U3874" s="46">
        <v>8.1649999999999991</v>
      </c>
      <c r="V3874" s="46" t="s">
        <v>62</v>
      </c>
      <c r="W3874" s="46">
        <v>1000</v>
      </c>
      <c r="X3874" s="46">
        <v>8.1210000000000004</v>
      </c>
      <c r="AF3874" s="46">
        <v>278</v>
      </c>
      <c r="AG3874" s="46">
        <v>147600</v>
      </c>
      <c r="AH3874" s="46">
        <v>1513701.6810000001</v>
      </c>
      <c r="AI3874" s="46">
        <v>10.255000000000001</v>
      </c>
      <c r="AJ3874" s="46">
        <v>309</v>
      </c>
      <c r="AK3874" s="46">
        <v>130900</v>
      </c>
      <c r="AL3874" s="46">
        <v>1284020.1979999996</v>
      </c>
      <c r="AM3874" s="46">
        <v>9.8089999999999993</v>
      </c>
      <c r="AN3874" s="46" t="s">
        <v>63</v>
      </c>
      <c r="AO3874" s="46">
        <v>16700</v>
      </c>
      <c r="AP3874" s="46">
        <v>229681.48300000001</v>
      </c>
      <c r="AQ3874" s="46">
        <v>13.753</v>
      </c>
      <c r="AR3874" s="46">
        <v>-58381.4</v>
      </c>
      <c r="AS3874" s="46">
        <v>283</v>
      </c>
      <c r="AT3874" s="46">
        <v>151100</v>
      </c>
      <c r="AU3874" s="46">
        <v>1542727.6810000001</v>
      </c>
      <c r="AV3874" s="46">
        <v>10.210000000000001</v>
      </c>
      <c r="AW3874" s="46">
        <v>315</v>
      </c>
      <c r="AX3874" s="46">
        <v>133300</v>
      </c>
      <c r="AY3874" s="46">
        <v>1303566.6019999997</v>
      </c>
      <c r="AZ3874" s="46">
        <v>9.7789999999999999</v>
      </c>
      <c r="BA3874" s="46" t="s">
        <v>63</v>
      </c>
      <c r="BB3874" s="46">
        <v>17800</v>
      </c>
      <c r="BC3874" s="46">
        <v>239161.079</v>
      </c>
      <c r="BD3874" s="46">
        <v>13.436</v>
      </c>
      <c r="BE3874" s="46">
        <v>-57452.3</v>
      </c>
      <c r="BF3874" s="46">
        <v>29026</v>
      </c>
      <c r="BG3874" s="46">
        <v>8.5399999999999991</v>
      </c>
      <c r="BH3874" s="46">
        <v>19546.404000000097</v>
      </c>
      <c r="BI3874">
        <v>8.14</v>
      </c>
      <c r="BJ3874">
        <v>9479.5959999999905</v>
      </c>
      <c r="BK3874">
        <v>9.48</v>
      </c>
      <c r="BL3874">
        <v>-8165.23</v>
      </c>
    </row>
    <row r="3875" spans="1:64" x14ac:dyDescent="0.25">
      <c r="A3875" s="136">
        <v>43892</v>
      </c>
      <c r="B3875" t="s">
        <v>132</v>
      </c>
      <c r="C3875" t="s">
        <v>123</v>
      </c>
      <c r="D3875">
        <v>14976</v>
      </c>
      <c r="E3875">
        <v>14976</v>
      </c>
      <c r="F3875">
        <v>-0.27100000000000002</v>
      </c>
      <c r="G3875">
        <v>4208.2560000000003</v>
      </c>
      <c r="H3875">
        <v>0</v>
      </c>
      <c r="I3875">
        <v>149.76</v>
      </c>
      <c r="J3875">
        <v>0.01</v>
      </c>
      <c r="K3875" s="133">
        <v>3.008765621557918E-4</v>
      </c>
      <c r="L3875" s="181">
        <v>84.386000000000422</v>
      </c>
      <c r="M3875" s="133">
        <v>0</v>
      </c>
    </row>
    <row r="3876" spans="1:64" x14ac:dyDescent="0.25">
      <c r="A3876" s="136">
        <v>43892</v>
      </c>
      <c r="B3876" t="s">
        <v>70</v>
      </c>
      <c r="C3876" t="s">
        <v>131</v>
      </c>
      <c r="D3876">
        <v>14880</v>
      </c>
      <c r="E3876">
        <v>14880</v>
      </c>
      <c r="F3876">
        <v>8.3119999999999994</v>
      </c>
      <c r="G3876">
        <v>-6427.62</v>
      </c>
      <c r="H3876">
        <v>-5.2</v>
      </c>
      <c r="I3876">
        <v>117254.39999999999</v>
      </c>
      <c r="J3876">
        <v>7.88</v>
      </c>
      <c r="K3876" s="133">
        <v>0.23557091860069493</v>
      </c>
      <c r="L3876" s="181">
        <v>15054.080000000002</v>
      </c>
      <c r="M3876" s="133">
        <v>0.24848438153100882</v>
      </c>
      <c r="N3876" s="73">
        <v>-6460.5409999999974</v>
      </c>
      <c r="O3876" s="73">
        <v>-819.45567633248709</v>
      </c>
      <c r="P3876" s="182">
        <v>0</v>
      </c>
      <c r="Q3876" s="182">
        <v>0</v>
      </c>
      <c r="R3876" s="46">
        <v>0</v>
      </c>
      <c r="S3876" s="46">
        <v>7</v>
      </c>
      <c r="T3876" s="46">
        <v>2800</v>
      </c>
      <c r="U3876" s="46">
        <v>7.476</v>
      </c>
      <c r="V3876" s="46" t="s">
        <v>68</v>
      </c>
      <c r="W3876" s="46">
        <v>2800</v>
      </c>
      <c r="X3876" s="46">
        <v>7.476</v>
      </c>
      <c r="AF3876" s="46">
        <v>211</v>
      </c>
      <c r="AG3876" s="46">
        <v>106380</v>
      </c>
      <c r="AH3876" s="46">
        <v>1184635</v>
      </c>
      <c r="AI3876" s="46">
        <v>11.135999999999999</v>
      </c>
      <c r="AJ3876" s="46">
        <v>220</v>
      </c>
      <c r="AK3876" s="46">
        <v>88700</v>
      </c>
      <c r="AL3876" s="46">
        <v>1037868.9909999996</v>
      </c>
      <c r="AM3876" s="46">
        <v>11.701000000000001</v>
      </c>
      <c r="AN3876" s="46" t="s">
        <v>63</v>
      </c>
      <c r="AO3876" s="46">
        <v>17680</v>
      </c>
      <c r="AP3876" s="46">
        <v>146766.00899999999</v>
      </c>
      <c r="AQ3876" s="46">
        <v>8.3010000000000002</v>
      </c>
      <c r="AR3876" s="46">
        <v>50115.5</v>
      </c>
      <c r="AS3876" s="46">
        <v>211</v>
      </c>
      <c r="AT3876" s="46">
        <v>106380</v>
      </c>
      <c r="AU3876" s="46">
        <v>1184635</v>
      </c>
      <c r="AV3876" s="46">
        <v>11.135999999999999</v>
      </c>
      <c r="AW3876" s="46">
        <v>228</v>
      </c>
      <c r="AX3876" s="46">
        <v>91500</v>
      </c>
      <c r="AY3876" s="46">
        <v>1059150.0589999997</v>
      </c>
      <c r="AZ3876" s="46">
        <v>11.574999999999999</v>
      </c>
      <c r="BA3876" s="46" t="s">
        <v>63</v>
      </c>
      <c r="BB3876" s="46">
        <v>14880</v>
      </c>
      <c r="BC3876" s="46">
        <v>125484.94100000001</v>
      </c>
      <c r="BD3876" s="46">
        <v>8.4329999999999998</v>
      </c>
      <c r="BE3876" s="46">
        <v>40168.5</v>
      </c>
      <c r="BF3876" s="46">
        <v>0</v>
      </c>
      <c r="BH3876" s="46">
        <v>21281.068000000087</v>
      </c>
      <c r="BI3876">
        <v>7.6</v>
      </c>
      <c r="BJ3876">
        <v>-21281.067999999985</v>
      </c>
      <c r="BK3876">
        <v>-7.6</v>
      </c>
      <c r="BL3876">
        <v>6359.84</v>
      </c>
    </row>
    <row r="3877" spans="1:64" x14ac:dyDescent="0.25">
      <c r="A3877" s="136">
        <v>43892</v>
      </c>
      <c r="B3877" t="s">
        <v>79</v>
      </c>
      <c r="C3877" t="s">
        <v>143</v>
      </c>
      <c r="D3877">
        <v>14020</v>
      </c>
      <c r="E3877">
        <v>14020</v>
      </c>
      <c r="F3877">
        <v>9.6029999999999998</v>
      </c>
      <c r="G3877">
        <v>-44065.760000000002</v>
      </c>
      <c r="H3877">
        <v>-32.729999999999997</v>
      </c>
      <c r="I3877">
        <v>90569.2</v>
      </c>
      <c r="J3877">
        <v>6.46</v>
      </c>
      <c r="K3877" s="133">
        <v>0.18195879763087833</v>
      </c>
      <c r="L3877" s="181">
        <v>-4685.7799999999988</v>
      </c>
      <c r="M3877" s="133">
        <v>0.27048947589999028</v>
      </c>
      <c r="N3877" s="73">
        <v>-47176.772000000215</v>
      </c>
      <c r="O3877" s="73">
        <v>-7556.5999381410602</v>
      </c>
      <c r="P3877" s="182">
        <v>16</v>
      </c>
      <c r="Q3877" s="182">
        <v>9820</v>
      </c>
      <c r="R3877" s="46">
        <v>5.4610000000000003</v>
      </c>
      <c r="S3877" s="46">
        <v>1</v>
      </c>
      <c r="T3877" s="46">
        <v>400</v>
      </c>
      <c r="U3877" s="46">
        <v>6.24</v>
      </c>
      <c r="V3877" s="46" t="s">
        <v>62</v>
      </c>
      <c r="W3877" s="46">
        <v>9420</v>
      </c>
      <c r="X3877" s="46">
        <v>5.4279999999999999</v>
      </c>
      <c r="AF3877" s="46">
        <v>50</v>
      </c>
      <c r="AG3877" s="46">
        <v>25200</v>
      </c>
      <c r="AH3877" s="46">
        <v>316141.11999999965</v>
      </c>
      <c r="AI3877" s="46">
        <v>12.545</v>
      </c>
      <c r="AJ3877" s="46">
        <v>51</v>
      </c>
      <c r="AK3877" s="46">
        <v>20600</v>
      </c>
      <c r="AL3877" s="46">
        <v>232706.17599999974</v>
      </c>
      <c r="AM3877" s="46">
        <v>11.295999999999999</v>
      </c>
      <c r="AN3877" s="46" t="s">
        <v>63</v>
      </c>
      <c r="AO3877" s="46">
        <v>4600</v>
      </c>
      <c r="AP3877" s="46">
        <v>83434.944000000003</v>
      </c>
      <c r="AQ3877" s="46">
        <v>18.138000000000002</v>
      </c>
      <c r="AR3877" s="46">
        <v>-25729.4</v>
      </c>
      <c r="AS3877" s="46">
        <v>66</v>
      </c>
      <c r="AT3877" s="46">
        <v>35020</v>
      </c>
      <c r="AU3877" s="46">
        <v>369856.01199999946</v>
      </c>
      <c r="AV3877" s="46">
        <v>10.561</v>
      </c>
      <c r="AW3877" s="46">
        <v>52</v>
      </c>
      <c r="AX3877" s="46">
        <v>21000</v>
      </c>
      <c r="AY3877" s="46">
        <v>235194.43999999974</v>
      </c>
      <c r="AZ3877" s="46">
        <v>11.2</v>
      </c>
      <c r="BA3877" s="46" t="s">
        <v>63</v>
      </c>
      <c r="BB3877" s="46">
        <v>14020</v>
      </c>
      <c r="BC3877" s="46">
        <v>134661.57199999999</v>
      </c>
      <c r="BD3877" s="46">
        <v>9.6050000000000004</v>
      </c>
      <c r="BE3877" s="46">
        <v>13419</v>
      </c>
      <c r="BF3877" s="46">
        <v>53714.891999999818</v>
      </c>
      <c r="BG3877" s="46">
        <v>5.47</v>
      </c>
      <c r="BH3877" s="46">
        <v>2488.2639999999956</v>
      </c>
      <c r="BI3877">
        <v>6.22</v>
      </c>
      <c r="BJ3877">
        <v>51226.627999999982</v>
      </c>
      <c r="BK3877">
        <v>5.44</v>
      </c>
      <c r="BL3877">
        <v>-3982.88</v>
      </c>
    </row>
    <row r="3878" spans="1:64" x14ac:dyDescent="0.25">
      <c r="A3878" s="136">
        <v>43892</v>
      </c>
      <c r="B3878" t="s">
        <v>77</v>
      </c>
      <c r="C3878" t="s">
        <v>150</v>
      </c>
      <c r="D3878">
        <v>7500</v>
      </c>
      <c r="E3878">
        <v>7500</v>
      </c>
      <c r="F3878">
        <v>4.9450000000000003</v>
      </c>
      <c r="G3878">
        <v>-11216.09</v>
      </c>
      <c r="H3878">
        <v>-30.24</v>
      </c>
      <c r="I3878">
        <v>25875</v>
      </c>
      <c r="J3878">
        <v>3.45</v>
      </c>
      <c r="K3878" s="133">
        <v>5.1984381983046959E-2</v>
      </c>
      <c r="L3878" s="181">
        <v>-2388.7800000000007</v>
      </c>
      <c r="M3878" s="133">
        <v>7.4518160028118771E-2</v>
      </c>
      <c r="N3878" s="73">
        <v>-10971.033999999985</v>
      </c>
      <c r="O3878" s="73">
        <v>-2948.1122487323905</v>
      </c>
      <c r="P3878" s="182">
        <v>9</v>
      </c>
      <c r="Q3878" s="182">
        <v>4500</v>
      </c>
      <c r="R3878" s="46">
        <v>4.0730000000000004</v>
      </c>
      <c r="S3878" s="46">
        <v>1</v>
      </c>
      <c r="T3878" s="46">
        <v>400</v>
      </c>
      <c r="U3878" s="46">
        <v>3.41</v>
      </c>
      <c r="V3878" s="46" t="s">
        <v>62</v>
      </c>
      <c r="W3878" s="46">
        <v>4100</v>
      </c>
      <c r="X3878" s="46">
        <v>4.1379999999999999</v>
      </c>
      <c r="AF3878" s="46">
        <v>60</v>
      </c>
      <c r="AG3878" s="46">
        <v>30000</v>
      </c>
      <c r="AH3878" s="46">
        <v>192564</v>
      </c>
      <c r="AI3878" s="46">
        <v>6.4189999999999996</v>
      </c>
      <c r="AJ3878" s="46">
        <v>60</v>
      </c>
      <c r="AK3878" s="46">
        <v>26600</v>
      </c>
      <c r="AL3878" s="46">
        <v>172197.33000000007</v>
      </c>
      <c r="AM3878" s="46">
        <v>6.4740000000000002</v>
      </c>
      <c r="AN3878" s="46" t="s">
        <v>63</v>
      </c>
      <c r="AO3878" s="46">
        <v>3400</v>
      </c>
      <c r="AP3878" s="46">
        <v>20366.669999999998</v>
      </c>
      <c r="AQ3878" s="46">
        <v>5.99</v>
      </c>
      <c r="AR3878" s="46">
        <v>1463</v>
      </c>
      <c r="AS3878" s="46">
        <v>69</v>
      </c>
      <c r="AT3878" s="46">
        <v>34500</v>
      </c>
      <c r="AU3878" s="46">
        <v>210651</v>
      </c>
      <c r="AV3878" s="46">
        <v>6.1059999999999999</v>
      </c>
      <c r="AW3878" s="46">
        <v>61</v>
      </c>
      <c r="AX3878" s="46">
        <v>27000</v>
      </c>
      <c r="AY3878" s="46">
        <v>173554.96600000007</v>
      </c>
      <c r="AZ3878" s="46">
        <v>6.4279999999999999</v>
      </c>
      <c r="BA3878" s="46" t="s">
        <v>63</v>
      </c>
      <c r="BB3878" s="46">
        <v>7500</v>
      </c>
      <c r="BC3878" s="46">
        <v>37096.034</v>
      </c>
      <c r="BD3878" s="46">
        <v>4.9459999999999997</v>
      </c>
      <c r="BE3878" s="46">
        <v>8694</v>
      </c>
      <c r="BF3878" s="46">
        <v>18087</v>
      </c>
      <c r="BG3878" s="46">
        <v>4.0199999999999996</v>
      </c>
      <c r="BH3878" s="46">
        <v>1357.6359999999986</v>
      </c>
      <c r="BI3878">
        <v>3.39</v>
      </c>
      <c r="BJ3878">
        <v>16729.364000000001</v>
      </c>
      <c r="BK3878">
        <v>4.08</v>
      </c>
      <c r="BL3878">
        <v>424.06</v>
      </c>
    </row>
    <row r="3879" spans="1:64" x14ac:dyDescent="0.25">
      <c r="A3879" s="136">
        <v>43892</v>
      </c>
      <c r="B3879" t="s">
        <v>61</v>
      </c>
      <c r="C3879" t="s">
        <v>136</v>
      </c>
      <c r="D3879">
        <v>4400</v>
      </c>
      <c r="E3879">
        <v>4400</v>
      </c>
      <c r="F3879">
        <v>4.4349999999999996</v>
      </c>
      <c r="G3879">
        <v>-3101.33</v>
      </c>
      <c r="H3879">
        <v>-15.89</v>
      </c>
      <c r="I3879">
        <v>16412</v>
      </c>
      <c r="J3879">
        <v>3.73</v>
      </c>
      <c r="K3879" s="133">
        <v>3.2972663849498228E-2</v>
      </c>
      <c r="L3879" s="181">
        <v>-1490.04</v>
      </c>
      <c r="M3879" s="133">
        <v>3.9203416443719802E-2</v>
      </c>
      <c r="N3879" s="73">
        <v>-3767.7689999999966</v>
      </c>
      <c r="O3879" s="73">
        <v>-1051.9232166201107</v>
      </c>
      <c r="P3879" s="182">
        <v>4</v>
      </c>
      <c r="Q3879" s="182">
        <v>2000</v>
      </c>
      <c r="R3879" s="46">
        <v>4.07</v>
      </c>
      <c r="S3879" s="46">
        <v>0</v>
      </c>
      <c r="T3879" s="46">
        <v>0</v>
      </c>
      <c r="U3879" s="46">
        <v>0</v>
      </c>
      <c r="V3879" s="46" t="s">
        <v>62</v>
      </c>
      <c r="W3879" s="46">
        <v>2000</v>
      </c>
      <c r="X3879" s="46">
        <v>4.07</v>
      </c>
      <c r="AF3879" s="46">
        <v>25</v>
      </c>
      <c r="AG3879" s="46">
        <v>12500</v>
      </c>
      <c r="AH3879" s="46">
        <v>60907.500000000007</v>
      </c>
      <c r="AI3879" s="46">
        <v>4.8730000000000002</v>
      </c>
      <c r="AJ3879" s="46">
        <v>25</v>
      </c>
      <c r="AK3879" s="46">
        <v>10100</v>
      </c>
      <c r="AL3879" s="46">
        <v>49548.93099999999</v>
      </c>
      <c r="AM3879" s="46">
        <v>4.9059999999999997</v>
      </c>
      <c r="AN3879" s="46" t="s">
        <v>63</v>
      </c>
      <c r="AO3879" s="46">
        <v>2400</v>
      </c>
      <c r="AP3879" s="46">
        <v>11358.569</v>
      </c>
      <c r="AQ3879" s="46">
        <v>4.7329999999999997</v>
      </c>
      <c r="AR3879" s="46">
        <v>333.3</v>
      </c>
      <c r="AS3879" s="46">
        <v>29</v>
      </c>
      <c r="AT3879" s="46">
        <v>14500</v>
      </c>
      <c r="AU3879" s="46">
        <v>69068.700000000012</v>
      </c>
      <c r="AV3879" s="46">
        <v>4.7629999999999999</v>
      </c>
      <c r="AW3879" s="46">
        <v>25</v>
      </c>
      <c r="AX3879" s="46">
        <v>10100</v>
      </c>
      <c r="AY3879" s="46">
        <v>49548.93099999999</v>
      </c>
      <c r="AZ3879" s="46">
        <v>4.9059999999999997</v>
      </c>
      <c r="BA3879" s="46" t="s">
        <v>63</v>
      </c>
      <c r="BB3879" s="46">
        <v>4400</v>
      </c>
      <c r="BC3879" s="46">
        <v>19519.769</v>
      </c>
      <c r="BD3879" s="46">
        <v>4.4359999999999999</v>
      </c>
      <c r="BE3879" s="46">
        <v>1444.3</v>
      </c>
      <c r="BF3879" s="46">
        <v>8161.2000000000044</v>
      </c>
      <c r="BG3879" s="46">
        <v>4.08</v>
      </c>
      <c r="BH3879" s="46">
        <v>0</v>
      </c>
      <c r="BJ3879">
        <v>8161.2000000000007</v>
      </c>
      <c r="BK3879">
        <v>4.08</v>
      </c>
      <c r="BL3879">
        <v>89.36</v>
      </c>
    </row>
    <row r="3880" spans="1:64" x14ac:dyDescent="0.25">
      <c r="A3880" s="136">
        <v>43892</v>
      </c>
      <c r="B3880" t="s">
        <v>71</v>
      </c>
      <c r="C3880" t="s">
        <v>126</v>
      </c>
      <c r="D3880">
        <v>1000</v>
      </c>
      <c r="E3880">
        <v>1000</v>
      </c>
      <c r="F3880">
        <v>1.635</v>
      </c>
      <c r="G3880">
        <v>3895.09</v>
      </c>
      <c r="H3880">
        <v>238.23</v>
      </c>
      <c r="I3880">
        <v>5530</v>
      </c>
      <c r="J3880">
        <v>5.53</v>
      </c>
      <c r="K3880" s="133">
        <v>1.1110092072125592E-2</v>
      </c>
      <c r="L3880" s="181">
        <v>-300.51000000000022</v>
      </c>
      <c r="M3880" s="133">
        <v>3.2846294086146203E-3</v>
      </c>
      <c r="N3880" s="73">
        <v>-1663.1099999999938</v>
      </c>
      <c r="O3880" s="73">
        <v>705.655860815604</v>
      </c>
      <c r="P3880" s="182">
        <v>0</v>
      </c>
      <c r="Q3880" s="182">
        <v>0</v>
      </c>
      <c r="R3880" s="46">
        <v>0</v>
      </c>
      <c r="S3880" s="46">
        <v>10</v>
      </c>
      <c r="T3880" s="46">
        <v>3900</v>
      </c>
      <c r="U3880" s="46">
        <v>6.242</v>
      </c>
      <c r="V3880" s="46" t="s">
        <v>68</v>
      </c>
      <c r="W3880" s="46">
        <v>3900</v>
      </c>
      <c r="X3880" s="46">
        <v>6.242</v>
      </c>
      <c r="AF3880" s="46">
        <v>63</v>
      </c>
      <c r="AG3880" s="46">
        <v>32200</v>
      </c>
      <c r="AH3880" s="46">
        <v>201543.28999999986</v>
      </c>
      <c r="AI3880" s="46">
        <v>6.2590000000000003</v>
      </c>
      <c r="AJ3880" s="46">
        <v>63</v>
      </c>
      <c r="AK3880" s="46">
        <v>27300</v>
      </c>
      <c r="AL3880" s="46">
        <v>175458.66200000001</v>
      </c>
      <c r="AM3880" s="46">
        <v>6.4269999999999996</v>
      </c>
      <c r="AN3880" s="46" t="s">
        <v>63</v>
      </c>
      <c r="AO3880" s="46">
        <v>4900</v>
      </c>
      <c r="AP3880" s="46">
        <v>26084.628000000001</v>
      </c>
      <c r="AQ3880" s="46">
        <v>5.3230000000000004</v>
      </c>
      <c r="AR3880" s="46">
        <v>4586.3999999999996</v>
      </c>
      <c r="AS3880" s="46">
        <v>63</v>
      </c>
      <c r="AT3880" s="46">
        <v>32200</v>
      </c>
      <c r="AU3880" s="46">
        <v>201543.28999999986</v>
      </c>
      <c r="AV3880" s="46">
        <v>6.2590000000000003</v>
      </c>
      <c r="AW3880" s="46">
        <v>73</v>
      </c>
      <c r="AX3880" s="46">
        <v>31200</v>
      </c>
      <c r="AY3880" s="46">
        <v>199723.98</v>
      </c>
      <c r="AZ3880" s="46">
        <v>6.4009999999999998</v>
      </c>
      <c r="BA3880" s="46" t="s">
        <v>63</v>
      </c>
      <c r="BB3880" s="46">
        <v>1000</v>
      </c>
      <c r="BC3880" s="46">
        <v>1819.31</v>
      </c>
      <c r="BD3880" s="46">
        <v>1.819</v>
      </c>
      <c r="BE3880" s="46">
        <v>4430.3999999999996</v>
      </c>
      <c r="BF3880" s="46">
        <v>0</v>
      </c>
      <c r="BH3880" s="46">
        <v>24265.317999999999</v>
      </c>
      <c r="BI3880">
        <v>6.22</v>
      </c>
      <c r="BJ3880">
        <v>-24265.317999999999</v>
      </c>
      <c r="BK3880">
        <v>-6.22</v>
      </c>
      <c r="BL3880">
        <v>829.37</v>
      </c>
    </row>
    <row r="3881" spans="1:64" x14ac:dyDescent="0.25">
      <c r="A3881" s="136">
        <v>43892</v>
      </c>
      <c r="B3881" t="s">
        <v>749</v>
      </c>
      <c r="C3881" t="s">
        <v>750</v>
      </c>
      <c r="D3881">
        <v>500</v>
      </c>
      <c r="E3881">
        <v>500</v>
      </c>
      <c r="F3881">
        <v>5.85</v>
      </c>
      <c r="G3881">
        <v>545</v>
      </c>
      <c r="H3881">
        <v>18.63</v>
      </c>
      <c r="I3881">
        <v>3470</v>
      </c>
      <c r="J3881">
        <v>6.94</v>
      </c>
      <c r="K3881" s="133">
        <v>6.971432095890742E-3</v>
      </c>
      <c r="L3881" s="181">
        <v>10</v>
      </c>
      <c r="M3881" s="133">
        <v>5.8764953546053085E-3</v>
      </c>
    </row>
    <row r="3882" spans="1:64" x14ac:dyDescent="0.25">
      <c r="A3882" s="136">
        <v>43892</v>
      </c>
      <c r="B3882" t="s">
        <v>768</v>
      </c>
      <c r="C3882" t="s">
        <v>769</v>
      </c>
      <c r="D3882">
        <v>500</v>
      </c>
      <c r="E3882">
        <v>500</v>
      </c>
      <c r="F3882">
        <v>2.4900000000000002</v>
      </c>
      <c r="G3882">
        <v>340</v>
      </c>
      <c r="H3882">
        <v>27.31</v>
      </c>
      <c r="I3882">
        <v>1585</v>
      </c>
      <c r="J3882">
        <v>3.17</v>
      </c>
      <c r="K3882" s="133">
        <v>3.1843573118117657E-3</v>
      </c>
      <c r="L3882" s="181">
        <v>-215</v>
      </c>
      <c r="M3882" s="133">
        <v>2.5012775099089264E-3</v>
      </c>
    </row>
    <row r="3883" spans="1:64" x14ac:dyDescent="0.25">
      <c r="A3883" s="136">
        <v>43892</v>
      </c>
      <c r="B3883" t="s">
        <v>137</v>
      </c>
      <c r="C3883" t="s">
        <v>149</v>
      </c>
      <c r="D3883">
        <v>150</v>
      </c>
      <c r="E3883">
        <v>150</v>
      </c>
      <c r="F3883">
        <v>-87.406999999999996</v>
      </c>
      <c r="G3883">
        <v>17674.05</v>
      </c>
      <c r="H3883">
        <v>0</v>
      </c>
      <c r="I3883">
        <v>4563</v>
      </c>
      <c r="J3883">
        <v>30.42</v>
      </c>
      <c r="K3883" s="133">
        <v>9.1673327531842808E-3</v>
      </c>
      <c r="L3883" s="181">
        <v>-286.5</v>
      </c>
      <c r="M3883" s="133">
        <v>0</v>
      </c>
    </row>
    <row r="3884" spans="1:64" x14ac:dyDescent="0.25">
      <c r="A3884" s="136">
        <v>43892</v>
      </c>
      <c r="B3884" t="s">
        <v>124</v>
      </c>
      <c r="C3884" t="s">
        <v>125</v>
      </c>
      <c r="D3884">
        <v>100</v>
      </c>
      <c r="E3884">
        <v>100</v>
      </c>
      <c r="F3884">
        <v>-54.070999999999998</v>
      </c>
      <c r="G3884">
        <v>5943.1</v>
      </c>
      <c r="H3884">
        <v>0</v>
      </c>
      <c r="I3884">
        <v>536</v>
      </c>
      <c r="J3884">
        <v>5.36</v>
      </c>
      <c r="K3884" s="133">
        <v>1.0768552171174172E-3</v>
      </c>
      <c r="L3884" s="181">
        <v>-52</v>
      </c>
      <c r="M3884" s="133">
        <v>0</v>
      </c>
      <c r="N3884" s="73">
        <v>5573.0690000000113</v>
      </c>
      <c r="O3884" s="73">
        <v>1102.4501845505636</v>
      </c>
      <c r="P3884" s="182">
        <v>0</v>
      </c>
      <c r="Q3884" s="182">
        <v>0</v>
      </c>
      <c r="R3884" s="46">
        <v>0</v>
      </c>
      <c r="S3884" s="46">
        <v>5</v>
      </c>
      <c r="T3884" s="46">
        <v>2300</v>
      </c>
      <c r="U3884" s="46">
        <v>4.99</v>
      </c>
      <c r="V3884" s="46" t="s">
        <v>68</v>
      </c>
      <c r="W3884" s="46">
        <v>2300</v>
      </c>
      <c r="X3884" s="46">
        <v>4.99</v>
      </c>
      <c r="AF3884" s="46">
        <v>50</v>
      </c>
      <c r="AG3884" s="46">
        <v>36700</v>
      </c>
      <c r="AH3884" s="46">
        <v>180101.02000000002</v>
      </c>
      <c r="AI3884" s="46">
        <v>4.907</v>
      </c>
      <c r="AJ3884" s="46">
        <v>58</v>
      </c>
      <c r="AK3884" s="46">
        <v>35300</v>
      </c>
      <c r="AL3884" s="46">
        <v>178266.546</v>
      </c>
      <c r="AM3884" s="46">
        <v>5.05</v>
      </c>
      <c r="AN3884" s="46" t="s">
        <v>63</v>
      </c>
      <c r="AO3884" s="46">
        <v>1400</v>
      </c>
      <c r="AP3884" s="46">
        <v>1834.4739999999999</v>
      </c>
      <c r="AQ3884" s="46">
        <v>1.31</v>
      </c>
      <c r="AR3884" s="46">
        <v>5047.8999999999996</v>
      </c>
      <c r="AS3884" s="46">
        <v>51</v>
      </c>
      <c r="AT3884" s="46">
        <v>37700</v>
      </c>
      <c r="AU3884" s="46">
        <v>185106.62</v>
      </c>
      <c r="AV3884" s="46">
        <v>4.91</v>
      </c>
      <c r="AW3884" s="46">
        <v>63</v>
      </c>
      <c r="AX3884" s="46">
        <v>37600</v>
      </c>
      <c r="AY3884" s="46">
        <v>189713.68900000001</v>
      </c>
      <c r="AZ3884" s="46">
        <v>5.0460000000000003</v>
      </c>
      <c r="BA3884" s="46" t="s">
        <v>63</v>
      </c>
      <c r="BB3884" s="46">
        <v>100</v>
      </c>
      <c r="BC3884" s="46">
        <v>4607.0690000000004</v>
      </c>
      <c r="BD3884" s="46">
        <v>46.070999999999998</v>
      </c>
      <c r="BE3884" s="46">
        <v>5113.6000000000004</v>
      </c>
      <c r="BF3884" s="46">
        <v>5005.5999999999767</v>
      </c>
      <c r="BH3884" s="46">
        <v>11447.143000000011</v>
      </c>
      <c r="BI3884">
        <v>4.9800000000000004</v>
      </c>
      <c r="BJ3884">
        <v>2772.5950000000003</v>
      </c>
      <c r="BK3884">
        <v>1.21</v>
      </c>
      <c r="BL3884">
        <v>941.77</v>
      </c>
    </row>
    <row r="3885" spans="1:64" x14ac:dyDescent="0.25">
      <c r="A3885" s="136">
        <v>43892</v>
      </c>
      <c r="B3885" t="s">
        <v>67</v>
      </c>
      <c r="C3885" t="s">
        <v>129</v>
      </c>
      <c r="D3885">
        <v>100</v>
      </c>
      <c r="E3885">
        <v>100</v>
      </c>
      <c r="F3885">
        <v>-43.515999999999998</v>
      </c>
      <c r="G3885">
        <v>5039.6000000000004</v>
      </c>
      <c r="H3885">
        <v>0</v>
      </c>
      <c r="I3885">
        <v>688</v>
      </c>
      <c r="J3885">
        <v>6.88</v>
      </c>
      <c r="K3885" s="133">
        <v>1.3822320697328043E-3</v>
      </c>
      <c r="L3885" s="181">
        <v>54.980000000000473</v>
      </c>
      <c r="M3885" s="133">
        <v>0</v>
      </c>
      <c r="N3885" s="73">
        <v>4990.8287999999811</v>
      </c>
      <c r="O3885" s="73">
        <v>774.58592944099155</v>
      </c>
      <c r="P3885" s="182">
        <v>1</v>
      </c>
      <c r="Q3885" s="182">
        <v>30</v>
      </c>
      <c r="R3885" s="46">
        <v>0</v>
      </c>
      <c r="S3885" s="46">
        <v>27</v>
      </c>
      <c r="T3885" s="46">
        <v>10800</v>
      </c>
      <c r="U3885" s="46">
        <v>8.0510000000000002</v>
      </c>
      <c r="V3885" s="46" t="s">
        <v>68</v>
      </c>
      <c r="W3885" s="46">
        <v>10770</v>
      </c>
      <c r="X3885" s="46">
        <v>8.0730000000000004</v>
      </c>
      <c r="AF3885" s="46">
        <v>208</v>
      </c>
      <c r="AG3885" s="46">
        <v>102400</v>
      </c>
      <c r="AH3885" s="46">
        <v>840956</v>
      </c>
      <c r="AI3885" s="46">
        <v>8.2119999999999997</v>
      </c>
      <c r="AJ3885" s="46">
        <v>212</v>
      </c>
      <c r="AK3885" s="46">
        <v>94130</v>
      </c>
      <c r="AL3885" s="46">
        <v>827699.40080000006</v>
      </c>
      <c r="AM3885" s="46">
        <v>8.7929999999999993</v>
      </c>
      <c r="AN3885" s="46" t="s">
        <v>63</v>
      </c>
      <c r="AO3885" s="46">
        <v>8270</v>
      </c>
      <c r="AP3885" s="46">
        <v>13256.599</v>
      </c>
      <c r="AQ3885" s="46">
        <v>1.603</v>
      </c>
      <c r="AR3885" s="46">
        <v>54689.53</v>
      </c>
      <c r="AS3885" s="46">
        <v>209</v>
      </c>
      <c r="AT3885" s="46">
        <v>102430</v>
      </c>
      <c r="AU3885" s="46">
        <v>840961</v>
      </c>
      <c r="AV3885" s="46">
        <v>8.2100000000000009</v>
      </c>
      <c r="AW3885" s="46">
        <v>239</v>
      </c>
      <c r="AX3885" s="46">
        <v>104930</v>
      </c>
      <c r="AY3885" s="46">
        <v>914435.94480000006</v>
      </c>
      <c r="AZ3885" s="46">
        <v>8.7149999999999999</v>
      </c>
      <c r="BA3885" s="46" t="s">
        <v>69</v>
      </c>
      <c r="BB3885" s="46">
        <v>2500</v>
      </c>
      <c r="BC3885" s="46">
        <v>73474.945000000007</v>
      </c>
      <c r="BD3885" s="46">
        <v>29.39</v>
      </c>
      <c r="BE3885" s="46">
        <v>51727.15</v>
      </c>
      <c r="BF3885" s="46">
        <v>5</v>
      </c>
      <c r="BG3885" s="46">
        <v>0.17</v>
      </c>
      <c r="BH3885" s="46">
        <v>86736.543999999994</v>
      </c>
      <c r="BI3885">
        <v>8.0299999999999994</v>
      </c>
      <c r="BJ3885">
        <v>60218.346000000005</v>
      </c>
      <c r="BK3885">
        <v>5.59</v>
      </c>
      <c r="BL3885">
        <v>7949.06</v>
      </c>
    </row>
    <row r="3886" spans="1:64" x14ac:dyDescent="0.25">
      <c r="A3886" s="136">
        <v>43892</v>
      </c>
      <c r="B3886" t="s">
        <v>78</v>
      </c>
      <c r="C3886" t="s">
        <v>142</v>
      </c>
      <c r="D3886">
        <v>100</v>
      </c>
      <c r="E3886">
        <v>100</v>
      </c>
      <c r="F3886">
        <v>-5.867</v>
      </c>
      <c r="G3886">
        <v>1470.7</v>
      </c>
      <c r="H3886">
        <v>0</v>
      </c>
      <c r="I3886">
        <v>884</v>
      </c>
      <c r="J3886">
        <v>8.84</v>
      </c>
      <c r="K3886" s="133">
        <v>1.7760074849473822E-3</v>
      </c>
      <c r="L3886" s="181">
        <v>-83</v>
      </c>
      <c r="M3886" s="133">
        <v>0</v>
      </c>
      <c r="N3886" s="73">
        <v>1576.660999999996</v>
      </c>
      <c r="O3886" s="73">
        <v>159.17905752525212</v>
      </c>
      <c r="P3886" s="182">
        <v>0</v>
      </c>
      <c r="Q3886" s="182">
        <v>0</v>
      </c>
      <c r="R3886" s="46">
        <v>0</v>
      </c>
      <c r="S3886" s="46">
        <v>4</v>
      </c>
      <c r="T3886" s="46">
        <v>1300</v>
      </c>
      <c r="U3886" s="46">
        <v>9.9220000000000006</v>
      </c>
      <c r="V3886" s="46" t="s">
        <v>68</v>
      </c>
      <c r="W3886" s="46">
        <v>1300</v>
      </c>
      <c r="X3886" s="46">
        <v>9.9220000000000006</v>
      </c>
      <c r="AF3886" s="46">
        <v>14</v>
      </c>
      <c r="AG3886" s="46">
        <v>7000</v>
      </c>
      <c r="AH3886" s="46">
        <v>67625</v>
      </c>
      <c r="AI3886" s="46">
        <v>9.6609999999999996</v>
      </c>
      <c r="AJ3886" s="46">
        <v>15</v>
      </c>
      <c r="AK3886" s="46">
        <v>5600</v>
      </c>
      <c r="AL3886" s="46">
        <v>55310.559000000008</v>
      </c>
      <c r="AM3886" s="46">
        <v>9.8770000000000007</v>
      </c>
      <c r="AN3886" s="46" t="s">
        <v>63</v>
      </c>
      <c r="AO3886" s="46">
        <v>1400</v>
      </c>
      <c r="AP3886" s="46">
        <v>12314.441000000001</v>
      </c>
      <c r="AQ3886" s="46">
        <v>8.7959999999999994</v>
      </c>
      <c r="AR3886" s="46">
        <v>1209.5999999999999</v>
      </c>
      <c r="AS3886" s="46">
        <v>14</v>
      </c>
      <c r="AT3886" s="46">
        <v>7000</v>
      </c>
      <c r="AU3886" s="46">
        <v>67625</v>
      </c>
      <c r="AV3886" s="46">
        <v>9.6609999999999996</v>
      </c>
      <c r="AW3886" s="46">
        <v>19</v>
      </c>
      <c r="AX3886" s="46">
        <v>6900</v>
      </c>
      <c r="AY3886" s="46">
        <v>68211.661000000007</v>
      </c>
      <c r="AZ3886" s="46">
        <v>9.8859999999999992</v>
      </c>
      <c r="BA3886" s="46" t="s">
        <v>63</v>
      </c>
      <c r="BB3886" s="46">
        <v>100</v>
      </c>
      <c r="BC3886" s="46">
        <v>586.66099999999994</v>
      </c>
      <c r="BD3886" s="46">
        <v>5.867</v>
      </c>
      <c r="BE3886" s="46">
        <v>1552.5</v>
      </c>
      <c r="BF3886" s="46">
        <v>0</v>
      </c>
      <c r="BH3886" s="46">
        <v>12901.101999999999</v>
      </c>
      <c r="BI3886">
        <v>9.92</v>
      </c>
      <c r="BJ3886">
        <v>-11727.78</v>
      </c>
      <c r="BK3886">
        <v>-9.02</v>
      </c>
      <c r="BL3886">
        <v>136.83000000000001</v>
      </c>
    </row>
    <row r="3887" spans="1:64" x14ac:dyDescent="0.25">
      <c r="A3887" s="136">
        <v>43892</v>
      </c>
      <c r="B3887" t="s">
        <v>72</v>
      </c>
      <c r="C3887" t="s">
        <v>130</v>
      </c>
      <c r="D3887">
        <v>100</v>
      </c>
      <c r="E3887">
        <v>100</v>
      </c>
      <c r="F3887">
        <v>-18.477</v>
      </c>
      <c r="G3887">
        <v>2371.6999999999998</v>
      </c>
      <c r="H3887">
        <v>0</v>
      </c>
      <c r="I3887">
        <v>524</v>
      </c>
      <c r="J3887">
        <v>5.24</v>
      </c>
      <c r="K3887" s="133">
        <v>1.0527465182267289E-3</v>
      </c>
      <c r="L3887" s="181">
        <v>58</v>
      </c>
      <c r="M3887" s="133">
        <v>0</v>
      </c>
      <c r="N3887" s="73">
        <v>-1498.9659999999872</v>
      </c>
      <c r="O3887" s="73">
        <v>376.42007904191922</v>
      </c>
      <c r="P3887" s="182">
        <v>0</v>
      </c>
      <c r="Q3887" s="182">
        <v>0</v>
      </c>
      <c r="R3887" s="46">
        <v>0</v>
      </c>
      <c r="S3887" s="46">
        <v>20</v>
      </c>
      <c r="T3887" s="46">
        <v>8600</v>
      </c>
      <c r="U3887" s="46">
        <v>7.3840000000000003</v>
      </c>
      <c r="V3887" s="46" t="s">
        <v>68</v>
      </c>
      <c r="W3887" s="46">
        <v>8600</v>
      </c>
      <c r="X3887" s="46">
        <v>7.3840000000000003</v>
      </c>
      <c r="AF3887" s="46">
        <v>42</v>
      </c>
      <c r="AG3887" s="46">
        <v>20900</v>
      </c>
      <c r="AH3887" s="46">
        <v>152800</v>
      </c>
      <c r="AI3887" s="46">
        <v>7.3109999999999999</v>
      </c>
      <c r="AJ3887" s="46">
        <v>42</v>
      </c>
      <c r="AK3887" s="46">
        <v>18800</v>
      </c>
      <c r="AL3887" s="46">
        <v>92037.725000000035</v>
      </c>
      <c r="AM3887" s="46">
        <v>4.8959999999999999</v>
      </c>
      <c r="AN3887" s="46" t="s">
        <v>63</v>
      </c>
      <c r="AO3887" s="46">
        <v>2100</v>
      </c>
      <c r="AP3887" s="46">
        <v>60762.275000000001</v>
      </c>
      <c r="AQ3887" s="46">
        <v>28.934000000000001</v>
      </c>
      <c r="AR3887" s="46">
        <v>-45402</v>
      </c>
      <c r="AS3887" s="46">
        <v>42</v>
      </c>
      <c r="AT3887" s="46">
        <v>20900</v>
      </c>
      <c r="AU3887" s="46">
        <v>152800</v>
      </c>
      <c r="AV3887" s="46">
        <v>7.3109999999999999</v>
      </c>
      <c r="AW3887" s="46">
        <v>63</v>
      </c>
      <c r="AX3887" s="46">
        <v>27900</v>
      </c>
      <c r="AY3887" s="46">
        <v>155380.21900000001</v>
      </c>
      <c r="AZ3887" s="46">
        <v>5.569</v>
      </c>
      <c r="BA3887" s="46" t="s">
        <v>69</v>
      </c>
      <c r="BB3887" s="46">
        <v>7000</v>
      </c>
      <c r="BC3887" s="46">
        <v>2580.2190000000001</v>
      </c>
      <c r="BD3887" s="46">
        <v>0.36899999999999999</v>
      </c>
      <c r="BE3887" s="46">
        <v>-36407.800000000003</v>
      </c>
      <c r="BF3887" s="46">
        <v>0</v>
      </c>
      <c r="BH3887" s="46">
        <v>63342.493999999977</v>
      </c>
      <c r="BI3887">
        <v>7.37</v>
      </c>
      <c r="BJ3887">
        <v>-58182.056000000004</v>
      </c>
      <c r="BK3887">
        <v>-6.77</v>
      </c>
      <c r="BL3887">
        <v>-8664.5</v>
      </c>
    </row>
    <row r="3888" spans="1:64" x14ac:dyDescent="0.25">
      <c r="A3888" s="136">
        <v>43892</v>
      </c>
      <c r="B3888" t="s">
        <v>628</v>
      </c>
      <c r="C3888" t="s">
        <v>629</v>
      </c>
      <c r="D3888">
        <v>100</v>
      </c>
      <c r="E3888">
        <v>100</v>
      </c>
      <c r="F3888">
        <v>-22.369</v>
      </c>
      <c r="G3888">
        <v>3634.9</v>
      </c>
      <c r="H3888">
        <v>0</v>
      </c>
      <c r="I3888">
        <v>1398</v>
      </c>
      <c r="J3888">
        <v>13.98</v>
      </c>
      <c r="K3888" s="133">
        <v>2.8086634207652038E-3</v>
      </c>
      <c r="L3888" s="181">
        <v>-96</v>
      </c>
      <c r="M3888" s="133">
        <v>0</v>
      </c>
    </row>
    <row r="3889" spans="1:64" x14ac:dyDescent="0.25">
      <c r="A3889" s="136">
        <v>43892</v>
      </c>
      <c r="B3889" t="s">
        <v>630</v>
      </c>
      <c r="C3889" t="s">
        <v>631</v>
      </c>
      <c r="D3889">
        <v>100</v>
      </c>
      <c r="E3889">
        <v>100</v>
      </c>
      <c r="F3889">
        <v>-94.6</v>
      </c>
      <c r="G3889">
        <v>14426</v>
      </c>
      <c r="H3889">
        <v>0</v>
      </c>
      <c r="I3889">
        <v>4966</v>
      </c>
      <c r="J3889">
        <v>49.66</v>
      </c>
      <c r="K3889" s="133">
        <v>9.9769832242632348E-3</v>
      </c>
      <c r="L3889" s="181">
        <v>2881</v>
      </c>
      <c r="M3889" s="133">
        <v>0</v>
      </c>
    </row>
    <row r="3890" spans="1:64" x14ac:dyDescent="0.25">
      <c r="A3890" s="136">
        <v>43892</v>
      </c>
      <c r="B3890" t="s">
        <v>776</v>
      </c>
      <c r="C3890" t="s">
        <v>777</v>
      </c>
      <c r="D3890">
        <v>1</v>
      </c>
      <c r="E3890">
        <v>1</v>
      </c>
      <c r="F3890">
        <v>-13136.34</v>
      </c>
      <c r="G3890">
        <v>13216.09</v>
      </c>
      <c r="H3890">
        <v>0</v>
      </c>
      <c r="I3890">
        <v>79.75</v>
      </c>
      <c r="J3890">
        <v>79.75</v>
      </c>
      <c r="K3890" s="133">
        <v>1.6022239471103362E-4</v>
      </c>
      <c r="L3890" s="181">
        <v>20.989999999999782</v>
      </c>
      <c r="M3890" s="133">
        <v>0</v>
      </c>
    </row>
    <row r="3891" spans="1:64" x14ac:dyDescent="0.25">
      <c r="A3891" s="136">
        <v>43892</v>
      </c>
      <c r="B3891" t="s">
        <v>835</v>
      </c>
      <c r="C3891" t="s">
        <v>839</v>
      </c>
      <c r="I3891">
        <v>30926.54</v>
      </c>
      <c r="K3891" s="133">
        <v>6.2133220049235986E-2</v>
      </c>
      <c r="L3891" s="181">
        <v>0</v>
      </c>
      <c r="M3891" s="133">
        <v>6.2434096611391779E-2</v>
      </c>
    </row>
    <row r="3892" spans="1:64" x14ac:dyDescent="0.25">
      <c r="A3892" s="136">
        <v>43894</v>
      </c>
      <c r="B3892" t="s">
        <v>79</v>
      </c>
      <c r="C3892" t="s">
        <v>143</v>
      </c>
      <c r="D3892">
        <v>12820</v>
      </c>
      <c r="E3892">
        <v>12820</v>
      </c>
      <c r="F3892">
        <v>9.8740000000000006</v>
      </c>
      <c r="G3892">
        <v>-37875.79</v>
      </c>
      <c r="H3892">
        <v>-29.92</v>
      </c>
      <c r="I3892">
        <v>88714.4</v>
      </c>
      <c r="J3892">
        <v>6.92</v>
      </c>
      <c r="K3892" s="133">
        <v>0.17166077148585682</v>
      </c>
      <c r="L3892" s="181">
        <v>6189.9700000000012</v>
      </c>
      <c r="M3892" s="133">
        <v>0.24494974522671856</v>
      </c>
      <c r="N3892" s="73">
        <v>-37257.964000000225</v>
      </c>
      <c r="O3892" s="73">
        <v>-5342.8027285509652</v>
      </c>
      <c r="P3892" s="182">
        <v>15</v>
      </c>
      <c r="Q3892" s="182">
        <v>9420</v>
      </c>
      <c r="R3892" s="46">
        <v>5.4009999999999998</v>
      </c>
      <c r="S3892" s="46">
        <v>3</v>
      </c>
      <c r="T3892" s="46">
        <v>1200</v>
      </c>
      <c r="U3892" s="46">
        <v>6.4829999999999997</v>
      </c>
      <c r="V3892" s="46" t="s">
        <v>62</v>
      </c>
      <c r="W3892" s="46">
        <v>8220</v>
      </c>
      <c r="X3892" s="46">
        <v>5.2430000000000003</v>
      </c>
      <c r="AF3892" s="46">
        <v>51</v>
      </c>
      <c r="AG3892" s="46">
        <v>25600</v>
      </c>
      <c r="AH3892" s="46">
        <v>318894.35999999964</v>
      </c>
      <c r="AI3892" s="46">
        <v>12.457000000000001</v>
      </c>
      <c r="AJ3892" s="46">
        <v>52</v>
      </c>
      <c r="AK3892" s="46">
        <v>21000</v>
      </c>
      <c r="AL3892" s="46">
        <v>235486.14799999975</v>
      </c>
      <c r="AM3892" s="46">
        <v>11.214</v>
      </c>
      <c r="AN3892" s="46" t="s">
        <v>63</v>
      </c>
      <c r="AO3892" s="46">
        <v>4600</v>
      </c>
      <c r="AP3892" s="46">
        <v>83408.212</v>
      </c>
      <c r="AQ3892" s="46">
        <v>18.132000000000001</v>
      </c>
      <c r="AR3892" s="46">
        <v>-26103</v>
      </c>
      <c r="AS3892" s="46">
        <v>66</v>
      </c>
      <c r="AT3892" s="46">
        <v>35020</v>
      </c>
      <c r="AU3892" s="46">
        <v>369856.01199999946</v>
      </c>
      <c r="AV3892" s="46">
        <v>10.561</v>
      </c>
      <c r="AW3892" s="46">
        <v>55</v>
      </c>
      <c r="AX3892" s="46">
        <v>22200</v>
      </c>
      <c r="AY3892" s="46">
        <v>243242.64799999975</v>
      </c>
      <c r="AZ3892" s="46">
        <v>10.957000000000001</v>
      </c>
      <c r="BA3892" s="46" t="s">
        <v>63</v>
      </c>
      <c r="BB3892" s="46">
        <v>12820</v>
      </c>
      <c r="BC3892" s="46">
        <v>126613.364</v>
      </c>
      <c r="BD3892" s="46">
        <v>9.8759999999999994</v>
      </c>
      <c r="BE3892" s="46">
        <v>8791.2000000000007</v>
      </c>
      <c r="BF3892" s="46">
        <v>50961.651999999827</v>
      </c>
      <c r="BG3892" s="46">
        <v>5.41</v>
      </c>
      <c r="BH3892" s="46">
        <v>7756.5</v>
      </c>
      <c r="BI3892">
        <v>6.46</v>
      </c>
      <c r="BJ3892">
        <v>43205.152000000002</v>
      </c>
      <c r="BK3892">
        <v>5.26</v>
      </c>
      <c r="BL3892">
        <v>-3772.11</v>
      </c>
    </row>
    <row r="3893" spans="1:64" x14ac:dyDescent="0.25">
      <c r="A3893" s="136">
        <v>43894</v>
      </c>
      <c r="B3893" t="s">
        <v>65</v>
      </c>
      <c r="C3893" t="s">
        <v>127</v>
      </c>
      <c r="D3893">
        <v>26500</v>
      </c>
      <c r="E3893">
        <v>26500</v>
      </c>
      <c r="F3893">
        <v>8.3249999999999993</v>
      </c>
      <c r="G3893">
        <v>-26366.59</v>
      </c>
      <c r="H3893">
        <v>-11.95</v>
      </c>
      <c r="I3893">
        <v>194245</v>
      </c>
      <c r="J3893">
        <v>7.33</v>
      </c>
      <c r="K3893" s="133">
        <v>0.37586058810373807</v>
      </c>
      <c r="L3893" s="181">
        <v>4826.0799999999981</v>
      </c>
      <c r="M3893" s="133">
        <v>0.42687946644650182</v>
      </c>
      <c r="N3893" s="73">
        <v>-31179.001000000164</v>
      </c>
      <c r="O3893" s="73">
        <v>-3677.7016109781534</v>
      </c>
      <c r="P3893" s="182">
        <v>4</v>
      </c>
      <c r="Q3893" s="182">
        <v>3400</v>
      </c>
      <c r="R3893" s="46">
        <v>8.1519999999999992</v>
      </c>
      <c r="S3893" s="46">
        <v>7</v>
      </c>
      <c r="T3893" s="46">
        <v>2800</v>
      </c>
      <c r="U3893" s="46">
        <v>8.0429999999999993</v>
      </c>
      <c r="V3893" s="46" t="s">
        <v>62</v>
      </c>
      <c r="W3893" s="46">
        <v>600</v>
      </c>
      <c r="X3893" s="46">
        <v>8.6609999999999996</v>
      </c>
      <c r="AF3893" s="46">
        <v>278</v>
      </c>
      <c r="AG3893" s="46">
        <v>147600</v>
      </c>
      <c r="AH3893" s="46">
        <v>1513701.6810000001</v>
      </c>
      <c r="AI3893" s="46">
        <v>10.255000000000001</v>
      </c>
      <c r="AJ3893" s="46">
        <v>309</v>
      </c>
      <c r="AK3893" s="46">
        <v>130900</v>
      </c>
      <c r="AL3893" s="46">
        <v>1284020.1979999996</v>
      </c>
      <c r="AM3893" s="46">
        <v>9.8089999999999993</v>
      </c>
      <c r="AN3893" s="46" t="s">
        <v>63</v>
      </c>
      <c r="AO3893" s="46">
        <v>16700</v>
      </c>
      <c r="AP3893" s="46">
        <v>229681.48300000001</v>
      </c>
      <c r="AQ3893" s="46">
        <v>13.753</v>
      </c>
      <c r="AR3893" s="46">
        <v>-58381.4</v>
      </c>
      <c r="AS3893" s="46">
        <v>283</v>
      </c>
      <c r="AT3893" s="46">
        <v>151100</v>
      </c>
      <c r="AU3893" s="46">
        <v>1542727.6810000001</v>
      </c>
      <c r="AV3893" s="46">
        <v>10.210000000000001</v>
      </c>
      <c r="AW3893" s="46">
        <v>316</v>
      </c>
      <c r="AX3893" s="46">
        <v>133700</v>
      </c>
      <c r="AY3893" s="46">
        <v>1306482.6779999998</v>
      </c>
      <c r="AZ3893" s="46">
        <v>9.7720000000000002</v>
      </c>
      <c r="BA3893" s="46" t="s">
        <v>63</v>
      </c>
      <c r="BB3893" s="46">
        <v>17400</v>
      </c>
      <c r="BC3893" s="46">
        <v>236245.003</v>
      </c>
      <c r="BD3893" s="46">
        <v>13.577</v>
      </c>
      <c r="BE3893" s="46">
        <v>-58560.6</v>
      </c>
      <c r="BF3893" s="46">
        <v>29026</v>
      </c>
      <c r="BG3893" s="46">
        <v>8.5399999999999991</v>
      </c>
      <c r="BH3893" s="46">
        <v>22462.480000000214</v>
      </c>
      <c r="BI3893">
        <v>8.02</v>
      </c>
      <c r="BJ3893">
        <v>6563.5199999999895</v>
      </c>
      <c r="BK3893">
        <v>10.94</v>
      </c>
      <c r="BL3893">
        <v>-7964.72</v>
      </c>
    </row>
    <row r="3894" spans="1:64" x14ac:dyDescent="0.25">
      <c r="A3894" s="136">
        <v>43894</v>
      </c>
      <c r="B3894" t="s">
        <v>77</v>
      </c>
      <c r="C3894" t="s">
        <v>150</v>
      </c>
      <c r="D3894">
        <v>7500</v>
      </c>
      <c r="E3894">
        <v>7500</v>
      </c>
      <c r="F3894">
        <v>4.9450000000000003</v>
      </c>
      <c r="G3894">
        <v>-11066.09</v>
      </c>
      <c r="H3894">
        <v>-29.84</v>
      </c>
      <c r="I3894">
        <v>26025</v>
      </c>
      <c r="J3894">
        <v>3.47</v>
      </c>
      <c r="K3894" s="133">
        <v>5.0357907824653318E-2</v>
      </c>
      <c r="L3894" s="181">
        <v>150</v>
      </c>
      <c r="M3894" s="133">
        <v>7.1770593327028634E-2</v>
      </c>
      <c r="N3894" s="73">
        <v>-10971.033999999985</v>
      </c>
      <c r="O3894" s="73">
        <v>-2948.1122487323905</v>
      </c>
      <c r="P3894" s="182">
        <v>9</v>
      </c>
      <c r="Q3894" s="182">
        <v>4500</v>
      </c>
      <c r="R3894" s="46">
        <v>4.0730000000000004</v>
      </c>
      <c r="S3894" s="46">
        <v>1</v>
      </c>
      <c r="T3894" s="46">
        <v>400</v>
      </c>
      <c r="U3894" s="46">
        <v>3.41</v>
      </c>
      <c r="V3894" s="46" t="s">
        <v>62</v>
      </c>
      <c r="W3894" s="46">
        <v>4100</v>
      </c>
      <c r="X3894" s="46">
        <v>4.1379999999999999</v>
      </c>
      <c r="AF3894" s="46">
        <v>60</v>
      </c>
      <c r="AG3894" s="46">
        <v>30000</v>
      </c>
      <c r="AH3894" s="46">
        <v>192564</v>
      </c>
      <c r="AI3894" s="46">
        <v>6.4189999999999996</v>
      </c>
      <c r="AJ3894" s="46">
        <v>60</v>
      </c>
      <c r="AK3894" s="46">
        <v>26600</v>
      </c>
      <c r="AL3894" s="46">
        <v>172197.33000000007</v>
      </c>
      <c r="AM3894" s="46">
        <v>6.4740000000000002</v>
      </c>
      <c r="AN3894" s="46" t="s">
        <v>63</v>
      </c>
      <c r="AO3894" s="46">
        <v>3400</v>
      </c>
      <c r="AP3894" s="46">
        <v>20366.669999999998</v>
      </c>
      <c r="AQ3894" s="46">
        <v>5.99</v>
      </c>
      <c r="AR3894" s="46">
        <v>1463</v>
      </c>
      <c r="AS3894" s="46">
        <v>69</v>
      </c>
      <c r="AT3894" s="46">
        <v>34500</v>
      </c>
      <c r="AU3894" s="46">
        <v>210651</v>
      </c>
      <c r="AV3894" s="46">
        <v>6.1059999999999999</v>
      </c>
      <c r="AW3894" s="46">
        <v>61</v>
      </c>
      <c r="AX3894" s="46">
        <v>27000</v>
      </c>
      <c r="AY3894" s="46">
        <v>173554.96600000007</v>
      </c>
      <c r="AZ3894" s="46">
        <v>6.4279999999999999</v>
      </c>
      <c r="BA3894" s="46" t="s">
        <v>63</v>
      </c>
      <c r="BB3894" s="46">
        <v>7500</v>
      </c>
      <c r="BC3894" s="46">
        <v>37096.034</v>
      </c>
      <c r="BD3894" s="46">
        <v>4.9459999999999997</v>
      </c>
      <c r="BE3894" s="46">
        <v>8694</v>
      </c>
      <c r="BF3894" s="46">
        <v>18087</v>
      </c>
      <c r="BG3894" s="46">
        <v>4.0199999999999996</v>
      </c>
      <c r="BH3894" s="46">
        <v>1357.6359999999986</v>
      </c>
      <c r="BI3894">
        <v>3.39</v>
      </c>
      <c r="BJ3894">
        <v>16729.364000000001</v>
      </c>
      <c r="BK3894">
        <v>4.08</v>
      </c>
      <c r="BL3894">
        <v>421.61</v>
      </c>
    </row>
    <row r="3895" spans="1:64" x14ac:dyDescent="0.25">
      <c r="A3895" s="136">
        <v>43894</v>
      </c>
      <c r="B3895" t="s">
        <v>61</v>
      </c>
      <c r="C3895" t="s">
        <v>136</v>
      </c>
      <c r="D3895">
        <v>4400</v>
      </c>
      <c r="E3895">
        <v>4400</v>
      </c>
      <c r="F3895">
        <v>4.4349999999999996</v>
      </c>
      <c r="G3895">
        <v>-2881.33</v>
      </c>
      <c r="H3895">
        <v>-14.77</v>
      </c>
      <c r="I3895">
        <v>16632</v>
      </c>
      <c r="J3895">
        <v>3.78</v>
      </c>
      <c r="K3895" s="133">
        <v>3.2182621438602649E-2</v>
      </c>
      <c r="L3895" s="181">
        <v>220</v>
      </c>
      <c r="M3895" s="133">
        <v>3.7757943265784528E-2</v>
      </c>
      <c r="N3895" s="73">
        <v>-3767.7689999999966</v>
      </c>
      <c r="O3895" s="73">
        <v>-1051.9232166201107</v>
      </c>
      <c r="P3895" s="182">
        <v>4</v>
      </c>
      <c r="Q3895" s="182">
        <v>2000</v>
      </c>
      <c r="R3895" s="46">
        <v>4.07</v>
      </c>
      <c r="S3895" s="46">
        <v>0</v>
      </c>
      <c r="T3895" s="46">
        <v>0</v>
      </c>
      <c r="U3895" s="46">
        <v>0</v>
      </c>
      <c r="V3895" s="46" t="s">
        <v>62</v>
      </c>
      <c r="W3895" s="46">
        <v>2000</v>
      </c>
      <c r="X3895" s="46">
        <v>4.07</v>
      </c>
      <c r="AF3895" s="46">
        <v>25</v>
      </c>
      <c r="AG3895" s="46">
        <v>12500</v>
      </c>
      <c r="AH3895" s="46">
        <v>60907.500000000007</v>
      </c>
      <c r="AI3895" s="46">
        <v>4.8730000000000002</v>
      </c>
      <c r="AJ3895" s="46">
        <v>25</v>
      </c>
      <c r="AK3895" s="46">
        <v>10100</v>
      </c>
      <c r="AL3895" s="46">
        <v>49548.93099999999</v>
      </c>
      <c r="AM3895" s="46">
        <v>4.9059999999999997</v>
      </c>
      <c r="AN3895" s="46" t="s">
        <v>63</v>
      </c>
      <c r="AO3895" s="46">
        <v>2400</v>
      </c>
      <c r="AP3895" s="46">
        <v>11358.569</v>
      </c>
      <c r="AQ3895" s="46">
        <v>4.7329999999999997</v>
      </c>
      <c r="AR3895" s="46">
        <v>333.3</v>
      </c>
      <c r="AS3895" s="46">
        <v>29</v>
      </c>
      <c r="AT3895" s="46">
        <v>14500</v>
      </c>
      <c r="AU3895" s="46">
        <v>69068.700000000012</v>
      </c>
      <c r="AV3895" s="46">
        <v>4.7629999999999999</v>
      </c>
      <c r="AW3895" s="46">
        <v>25</v>
      </c>
      <c r="AX3895" s="46">
        <v>10100</v>
      </c>
      <c r="AY3895" s="46">
        <v>49548.93099999999</v>
      </c>
      <c r="AZ3895" s="46">
        <v>4.9059999999999997</v>
      </c>
      <c r="BA3895" s="46" t="s">
        <v>63</v>
      </c>
      <c r="BB3895" s="46">
        <v>4400</v>
      </c>
      <c r="BC3895" s="46">
        <v>19519.769</v>
      </c>
      <c r="BD3895" s="46">
        <v>4.4359999999999999</v>
      </c>
      <c r="BE3895" s="46">
        <v>1444.3</v>
      </c>
      <c r="BF3895" s="46">
        <v>8161.2000000000044</v>
      </c>
      <c r="BG3895" s="46">
        <v>4.08</v>
      </c>
      <c r="BH3895" s="46">
        <v>0</v>
      </c>
      <c r="BJ3895">
        <v>8161.2000000000007</v>
      </c>
      <c r="BK3895">
        <v>4.08</v>
      </c>
      <c r="BL3895">
        <v>88.17</v>
      </c>
    </row>
    <row r="3896" spans="1:64" x14ac:dyDescent="0.25">
      <c r="A3896" s="136">
        <v>43894</v>
      </c>
      <c r="B3896" t="s">
        <v>768</v>
      </c>
      <c r="C3896" t="s">
        <v>769</v>
      </c>
      <c r="D3896">
        <v>500</v>
      </c>
      <c r="E3896">
        <v>500</v>
      </c>
      <c r="F3896">
        <v>2.4900000000000002</v>
      </c>
      <c r="G3896">
        <v>350</v>
      </c>
      <c r="H3896">
        <v>28.11</v>
      </c>
      <c r="I3896">
        <v>1595</v>
      </c>
      <c r="J3896">
        <v>3.19</v>
      </c>
      <c r="K3896" s="133">
        <v>3.086296368119963E-3</v>
      </c>
      <c r="L3896" s="181">
        <v>10</v>
      </c>
      <c r="M3896" s="133">
        <v>2.4090526509776516E-3</v>
      </c>
    </row>
    <row r="3897" spans="1:64" x14ac:dyDescent="0.25">
      <c r="A3897" s="136">
        <v>43894</v>
      </c>
      <c r="B3897" t="s">
        <v>749</v>
      </c>
      <c r="C3897" t="s">
        <v>750</v>
      </c>
      <c r="D3897">
        <v>500</v>
      </c>
      <c r="E3897">
        <v>500</v>
      </c>
      <c r="F3897">
        <v>5.85</v>
      </c>
      <c r="G3897">
        <v>560</v>
      </c>
      <c r="H3897">
        <v>19.149999999999999</v>
      </c>
      <c r="I3897">
        <v>3485</v>
      </c>
      <c r="J3897">
        <v>6.97</v>
      </c>
      <c r="K3897" s="133">
        <v>6.7434124406884456E-3</v>
      </c>
      <c r="L3897" s="181">
        <v>15</v>
      </c>
      <c r="M3897" s="133">
        <v>5.6598224932607475E-3</v>
      </c>
    </row>
    <row r="3898" spans="1:64" x14ac:dyDescent="0.25">
      <c r="A3898" s="136">
        <v>43894</v>
      </c>
      <c r="B3898" t="s">
        <v>70</v>
      </c>
      <c r="C3898" t="s">
        <v>131</v>
      </c>
      <c r="D3898">
        <v>14080</v>
      </c>
      <c r="E3898">
        <v>14080</v>
      </c>
      <c r="F3898">
        <v>8.3109999999999999</v>
      </c>
      <c r="G3898">
        <v>967.7</v>
      </c>
      <c r="H3898">
        <v>0.83</v>
      </c>
      <c r="I3898">
        <v>117990.39999999999</v>
      </c>
      <c r="J3898">
        <v>8.3800000000000008</v>
      </c>
      <c r="K3898" s="133">
        <v>0.22830930595173773</v>
      </c>
      <c r="L3898" s="181">
        <v>7395.32</v>
      </c>
      <c r="M3898" s="133">
        <v>0.2264368238229417</v>
      </c>
      <c r="N3898" s="73">
        <v>1920.3829999999871</v>
      </c>
      <c r="O3898" s="73">
        <v>227.15062822485058</v>
      </c>
      <c r="P3898" s="182">
        <v>0</v>
      </c>
      <c r="Q3898" s="182">
        <v>0</v>
      </c>
      <c r="R3898" s="46">
        <v>0</v>
      </c>
      <c r="S3898" s="46">
        <v>9</v>
      </c>
      <c r="T3898" s="46">
        <v>3600</v>
      </c>
      <c r="U3898" s="46">
        <v>7.6689999999999996</v>
      </c>
      <c r="V3898" s="46" t="s">
        <v>68</v>
      </c>
      <c r="W3898" s="46">
        <v>3600</v>
      </c>
      <c r="X3898" s="46">
        <v>7.6689999999999996</v>
      </c>
      <c r="AF3898" s="46">
        <v>211</v>
      </c>
      <c r="AG3898" s="46">
        <v>106380</v>
      </c>
      <c r="AH3898" s="46">
        <v>1184635</v>
      </c>
      <c r="AI3898" s="46">
        <v>11.135999999999999</v>
      </c>
      <c r="AJ3898" s="46">
        <v>220</v>
      </c>
      <c r="AK3898" s="46">
        <v>88700</v>
      </c>
      <c r="AL3898" s="46">
        <v>1037868.9909999996</v>
      </c>
      <c r="AM3898" s="46">
        <v>11.701000000000001</v>
      </c>
      <c r="AN3898" s="46" t="s">
        <v>63</v>
      </c>
      <c r="AO3898" s="46">
        <v>17680</v>
      </c>
      <c r="AP3898" s="46">
        <v>146766.00899999999</v>
      </c>
      <c r="AQ3898" s="46">
        <v>8.3010000000000002</v>
      </c>
      <c r="AR3898" s="46">
        <v>50115.5</v>
      </c>
      <c r="AS3898" s="46">
        <v>211</v>
      </c>
      <c r="AT3898" s="46">
        <v>106380</v>
      </c>
      <c r="AU3898" s="46">
        <v>1184635</v>
      </c>
      <c r="AV3898" s="46">
        <v>11.135999999999999</v>
      </c>
      <c r="AW3898" s="46">
        <v>230</v>
      </c>
      <c r="AX3898" s="46">
        <v>92300</v>
      </c>
      <c r="AY3898" s="46">
        <v>1065809.3829999994</v>
      </c>
      <c r="AZ3898" s="46">
        <v>11.547000000000001</v>
      </c>
      <c r="BA3898" s="46" t="s">
        <v>63</v>
      </c>
      <c r="BB3898" s="46">
        <v>14080</v>
      </c>
      <c r="BC3898" s="46">
        <v>118825.617</v>
      </c>
      <c r="BD3898" s="46">
        <v>8.4390000000000001</v>
      </c>
      <c r="BE3898" s="46">
        <v>37935.300000000003</v>
      </c>
      <c r="BF3898" s="46">
        <v>0</v>
      </c>
      <c r="BH3898" s="46">
        <v>27940.391999999876</v>
      </c>
      <c r="BI3898">
        <v>7.76</v>
      </c>
      <c r="BJ3898">
        <v>-27940.391999999993</v>
      </c>
      <c r="BK3898">
        <v>-7.76</v>
      </c>
      <c r="BL3898">
        <v>5980.37</v>
      </c>
    </row>
    <row r="3899" spans="1:64" x14ac:dyDescent="0.25">
      <c r="A3899" s="136">
        <v>43894</v>
      </c>
      <c r="B3899" t="s">
        <v>78</v>
      </c>
      <c r="C3899" t="s">
        <v>142</v>
      </c>
      <c r="D3899">
        <v>100</v>
      </c>
      <c r="E3899">
        <v>100</v>
      </c>
      <c r="F3899">
        <v>-5.867</v>
      </c>
      <c r="G3899">
        <v>1486.7</v>
      </c>
      <c r="H3899">
        <v>0</v>
      </c>
      <c r="I3899">
        <v>900</v>
      </c>
      <c r="J3899">
        <v>9</v>
      </c>
      <c r="K3899" s="133">
        <v>1.74148384408023E-3</v>
      </c>
      <c r="L3899" s="181">
        <v>16</v>
      </c>
      <c r="M3899" s="133">
        <v>0</v>
      </c>
      <c r="N3899" s="73">
        <v>1576.660999999996</v>
      </c>
      <c r="O3899" s="73">
        <v>159.17905752525212</v>
      </c>
      <c r="P3899" s="182">
        <v>0</v>
      </c>
      <c r="Q3899" s="182">
        <v>0</v>
      </c>
      <c r="R3899" s="46">
        <v>0</v>
      </c>
      <c r="S3899" s="46">
        <v>4</v>
      </c>
      <c r="T3899" s="46">
        <v>1300</v>
      </c>
      <c r="U3899" s="46">
        <v>9.9220000000000006</v>
      </c>
      <c r="V3899" s="46" t="s">
        <v>68</v>
      </c>
      <c r="W3899" s="46">
        <v>1300</v>
      </c>
      <c r="X3899" s="46">
        <v>9.9220000000000006</v>
      </c>
      <c r="AF3899" s="46">
        <v>14</v>
      </c>
      <c r="AG3899" s="46">
        <v>7000</v>
      </c>
      <c r="AH3899" s="46">
        <v>67625</v>
      </c>
      <c r="AI3899" s="46">
        <v>9.6609999999999996</v>
      </c>
      <c r="AJ3899" s="46">
        <v>15</v>
      </c>
      <c r="AK3899" s="46">
        <v>5600</v>
      </c>
      <c r="AL3899" s="46">
        <v>55310.559000000008</v>
      </c>
      <c r="AM3899" s="46">
        <v>9.8770000000000007</v>
      </c>
      <c r="AN3899" s="46" t="s">
        <v>63</v>
      </c>
      <c r="AO3899" s="46">
        <v>1400</v>
      </c>
      <c r="AP3899" s="46">
        <v>12314.441000000001</v>
      </c>
      <c r="AQ3899" s="46">
        <v>8.7959999999999994</v>
      </c>
      <c r="AR3899" s="46">
        <v>1209.5999999999999</v>
      </c>
      <c r="AS3899" s="46">
        <v>14</v>
      </c>
      <c r="AT3899" s="46">
        <v>7000</v>
      </c>
      <c r="AU3899" s="46">
        <v>67625</v>
      </c>
      <c r="AV3899" s="46">
        <v>9.6609999999999996</v>
      </c>
      <c r="AW3899" s="46">
        <v>19</v>
      </c>
      <c r="AX3899" s="46">
        <v>6900</v>
      </c>
      <c r="AY3899" s="46">
        <v>68211.661000000007</v>
      </c>
      <c r="AZ3899" s="46">
        <v>9.8859999999999992</v>
      </c>
      <c r="BA3899" s="46" t="s">
        <v>63</v>
      </c>
      <c r="BB3899" s="46">
        <v>100</v>
      </c>
      <c r="BC3899" s="46">
        <v>586.66099999999994</v>
      </c>
      <c r="BD3899" s="46">
        <v>5.867</v>
      </c>
      <c r="BE3899" s="46">
        <v>1552.5</v>
      </c>
      <c r="BF3899" s="46">
        <v>0</v>
      </c>
      <c r="BH3899" s="46">
        <v>12901.101999999999</v>
      </c>
      <c r="BI3899">
        <v>9.92</v>
      </c>
      <c r="BJ3899">
        <v>-11727.78</v>
      </c>
      <c r="BK3899">
        <v>-9.02</v>
      </c>
      <c r="BL3899">
        <v>134.4</v>
      </c>
    </row>
    <row r="3900" spans="1:64" x14ac:dyDescent="0.25">
      <c r="A3900" s="136">
        <v>43894</v>
      </c>
      <c r="B3900" t="s">
        <v>72</v>
      </c>
      <c r="C3900" t="s">
        <v>130</v>
      </c>
      <c r="D3900">
        <v>100</v>
      </c>
      <c r="E3900">
        <v>100</v>
      </c>
      <c r="F3900">
        <v>-18.477</v>
      </c>
      <c r="G3900">
        <v>2354.6999999999998</v>
      </c>
      <c r="H3900">
        <v>0</v>
      </c>
      <c r="I3900">
        <v>507</v>
      </c>
      <c r="J3900">
        <v>5.07</v>
      </c>
      <c r="K3900" s="133">
        <v>9.8103589883186278E-4</v>
      </c>
      <c r="L3900" s="181">
        <v>-17</v>
      </c>
      <c r="M3900" s="133">
        <v>0</v>
      </c>
      <c r="N3900" s="73">
        <v>-1498.9659999999872</v>
      </c>
      <c r="O3900" s="73">
        <v>376.42007904191922</v>
      </c>
      <c r="P3900" s="182">
        <v>0</v>
      </c>
      <c r="Q3900" s="182">
        <v>0</v>
      </c>
      <c r="R3900" s="46">
        <v>0</v>
      </c>
      <c r="S3900" s="46">
        <v>20</v>
      </c>
      <c r="T3900" s="46">
        <v>8600</v>
      </c>
      <c r="U3900" s="46">
        <v>7.3840000000000003</v>
      </c>
      <c r="V3900" s="46" t="s">
        <v>68</v>
      </c>
      <c r="W3900" s="46">
        <v>8600</v>
      </c>
      <c r="X3900" s="46">
        <v>7.3840000000000003</v>
      </c>
      <c r="AF3900" s="46">
        <v>42</v>
      </c>
      <c r="AG3900" s="46">
        <v>20900</v>
      </c>
      <c r="AH3900" s="46">
        <v>152800</v>
      </c>
      <c r="AI3900" s="46">
        <v>7.3109999999999999</v>
      </c>
      <c r="AJ3900" s="46">
        <v>42</v>
      </c>
      <c r="AK3900" s="46">
        <v>18800</v>
      </c>
      <c r="AL3900" s="46">
        <v>92037.725000000035</v>
      </c>
      <c r="AM3900" s="46">
        <v>4.8959999999999999</v>
      </c>
      <c r="AN3900" s="46" t="s">
        <v>63</v>
      </c>
      <c r="AO3900" s="46">
        <v>2100</v>
      </c>
      <c r="AP3900" s="46">
        <v>60762.275000000001</v>
      </c>
      <c r="AQ3900" s="46">
        <v>28.934000000000001</v>
      </c>
      <c r="AR3900" s="46">
        <v>-45402</v>
      </c>
      <c r="AS3900" s="46">
        <v>42</v>
      </c>
      <c r="AT3900" s="46">
        <v>20900</v>
      </c>
      <c r="AU3900" s="46">
        <v>152800</v>
      </c>
      <c r="AV3900" s="46">
        <v>7.3109999999999999</v>
      </c>
      <c r="AW3900" s="46">
        <v>63</v>
      </c>
      <c r="AX3900" s="46">
        <v>27900</v>
      </c>
      <c r="AY3900" s="46">
        <v>155380.21900000001</v>
      </c>
      <c r="AZ3900" s="46">
        <v>5.569</v>
      </c>
      <c r="BA3900" s="46" t="s">
        <v>69</v>
      </c>
      <c r="BB3900" s="46">
        <v>7000</v>
      </c>
      <c r="BC3900" s="46">
        <v>2580.2190000000001</v>
      </c>
      <c r="BD3900" s="46">
        <v>0.36899999999999999</v>
      </c>
      <c r="BE3900" s="46">
        <v>-36407.800000000003</v>
      </c>
      <c r="BF3900" s="46">
        <v>0</v>
      </c>
      <c r="BH3900" s="46">
        <v>63342.493999999977</v>
      </c>
      <c r="BI3900">
        <v>7.37</v>
      </c>
      <c r="BJ3900">
        <v>-58182.056000000004</v>
      </c>
      <c r="BK3900">
        <v>-6.77</v>
      </c>
      <c r="BL3900">
        <v>-8955.0300000000007</v>
      </c>
    </row>
    <row r="3901" spans="1:64" x14ac:dyDescent="0.25">
      <c r="A3901" s="136">
        <v>43894</v>
      </c>
      <c r="B3901" t="s">
        <v>628</v>
      </c>
      <c r="C3901" t="s">
        <v>629</v>
      </c>
      <c r="D3901">
        <v>100</v>
      </c>
      <c r="E3901">
        <v>100</v>
      </c>
      <c r="F3901">
        <v>-22.369</v>
      </c>
      <c r="G3901">
        <v>3703.9</v>
      </c>
      <c r="H3901">
        <v>0</v>
      </c>
      <c r="I3901">
        <v>1467</v>
      </c>
      <c r="J3901">
        <v>14.67</v>
      </c>
      <c r="K3901" s="133">
        <v>2.8386186658507749E-3</v>
      </c>
      <c r="L3901" s="181">
        <v>69</v>
      </c>
      <c r="M3901" s="133">
        <v>0</v>
      </c>
    </row>
    <row r="3902" spans="1:64" x14ac:dyDescent="0.25">
      <c r="A3902" s="136">
        <v>43894</v>
      </c>
      <c r="B3902" t="s">
        <v>71</v>
      </c>
      <c r="C3902" t="s">
        <v>126</v>
      </c>
      <c r="D3902">
        <v>1000</v>
      </c>
      <c r="E3902">
        <v>1000</v>
      </c>
      <c r="F3902">
        <v>1.635</v>
      </c>
      <c r="G3902">
        <v>3915.09</v>
      </c>
      <c r="H3902">
        <v>239.46</v>
      </c>
      <c r="I3902">
        <v>5550</v>
      </c>
      <c r="J3902">
        <v>5.55</v>
      </c>
      <c r="K3902" s="133">
        <v>1.0739150371828085E-2</v>
      </c>
      <c r="L3902" s="181">
        <v>20</v>
      </c>
      <c r="M3902" s="133">
        <v>3.1635215016946761E-3</v>
      </c>
      <c r="N3902" s="73">
        <v>-1663.1099999999938</v>
      </c>
      <c r="O3902" s="73">
        <v>705.655860815604</v>
      </c>
      <c r="P3902" s="182">
        <v>0</v>
      </c>
      <c r="Q3902" s="182">
        <v>0</v>
      </c>
      <c r="R3902" s="46">
        <v>0</v>
      </c>
      <c r="S3902" s="46">
        <v>10</v>
      </c>
      <c r="T3902" s="46">
        <v>3900</v>
      </c>
      <c r="U3902" s="46">
        <v>6.242</v>
      </c>
      <c r="V3902" s="46" t="s">
        <v>68</v>
      </c>
      <c r="W3902" s="46">
        <v>3900</v>
      </c>
      <c r="X3902" s="46">
        <v>6.242</v>
      </c>
      <c r="AF3902" s="46">
        <v>63</v>
      </c>
      <c r="AG3902" s="46">
        <v>32200</v>
      </c>
      <c r="AH3902" s="46">
        <v>201543.28999999986</v>
      </c>
      <c r="AI3902" s="46">
        <v>6.2590000000000003</v>
      </c>
      <c r="AJ3902" s="46">
        <v>63</v>
      </c>
      <c r="AK3902" s="46">
        <v>27300</v>
      </c>
      <c r="AL3902" s="46">
        <v>175458.66200000001</v>
      </c>
      <c r="AM3902" s="46">
        <v>6.4269999999999996</v>
      </c>
      <c r="AN3902" s="46" t="s">
        <v>63</v>
      </c>
      <c r="AO3902" s="46">
        <v>4900</v>
      </c>
      <c r="AP3902" s="46">
        <v>26084.628000000001</v>
      </c>
      <c r="AQ3902" s="46">
        <v>5.3230000000000004</v>
      </c>
      <c r="AR3902" s="46">
        <v>4586.3999999999996</v>
      </c>
      <c r="AS3902" s="46">
        <v>63</v>
      </c>
      <c r="AT3902" s="46">
        <v>32200</v>
      </c>
      <c r="AU3902" s="46">
        <v>201543.28999999986</v>
      </c>
      <c r="AV3902" s="46">
        <v>6.2590000000000003</v>
      </c>
      <c r="AW3902" s="46">
        <v>73</v>
      </c>
      <c r="AX3902" s="46">
        <v>31200</v>
      </c>
      <c r="AY3902" s="46">
        <v>199723.98</v>
      </c>
      <c r="AZ3902" s="46">
        <v>6.4009999999999998</v>
      </c>
      <c r="BA3902" s="46" t="s">
        <v>63</v>
      </c>
      <c r="BB3902" s="46">
        <v>1000</v>
      </c>
      <c r="BC3902" s="46">
        <v>1819.31</v>
      </c>
      <c r="BD3902" s="46">
        <v>1.819</v>
      </c>
      <c r="BE3902" s="46">
        <v>4430.3999999999996</v>
      </c>
      <c r="BF3902" s="46">
        <v>0</v>
      </c>
      <c r="BH3902" s="46">
        <v>24265.317999999999</v>
      </c>
      <c r="BI3902">
        <v>6.22</v>
      </c>
      <c r="BJ3902">
        <v>-24265.317999999999</v>
      </c>
      <c r="BK3902">
        <v>-6.22</v>
      </c>
      <c r="BL3902">
        <v>826.38</v>
      </c>
    </row>
    <row r="3903" spans="1:64" x14ac:dyDescent="0.25">
      <c r="A3903" s="136">
        <v>43894</v>
      </c>
      <c r="B3903" t="s">
        <v>132</v>
      </c>
      <c r="C3903" t="s">
        <v>123</v>
      </c>
      <c r="D3903">
        <v>3214979</v>
      </c>
      <c r="E3903">
        <v>3214979</v>
      </c>
      <c r="F3903">
        <v>8.9999999999999993E-3</v>
      </c>
      <c r="G3903">
        <v>4212.1400000000003</v>
      </c>
      <c r="H3903">
        <v>11.11</v>
      </c>
      <c r="I3903">
        <v>32149.79</v>
      </c>
      <c r="J3903">
        <v>0.01</v>
      </c>
      <c r="K3903" s="133">
        <v>6.2209266528413486E-2</v>
      </c>
      <c r="L3903" s="181">
        <v>3.8840000000000146</v>
      </c>
      <c r="M3903" s="133">
        <v>0</v>
      </c>
    </row>
    <row r="3904" spans="1:64" x14ac:dyDescent="0.25">
      <c r="A3904" s="136">
        <v>43894</v>
      </c>
      <c r="B3904" t="s">
        <v>67</v>
      </c>
      <c r="C3904" t="s">
        <v>129</v>
      </c>
      <c r="D3904">
        <v>100</v>
      </c>
      <c r="E3904">
        <v>100</v>
      </c>
      <c r="F3904">
        <v>-43.515999999999998</v>
      </c>
      <c r="G3904">
        <v>5075.6000000000004</v>
      </c>
      <c r="H3904">
        <v>0</v>
      </c>
      <c r="I3904">
        <v>724</v>
      </c>
      <c r="J3904">
        <v>7.24</v>
      </c>
      <c r="K3904" s="133">
        <v>1.4009270034600961E-3</v>
      </c>
      <c r="L3904" s="181">
        <v>36</v>
      </c>
      <c r="M3904" s="133">
        <v>0</v>
      </c>
      <c r="N3904" s="73">
        <v>4990.8287999999811</v>
      </c>
      <c r="O3904" s="73">
        <v>774.58592944099155</v>
      </c>
      <c r="P3904" s="182">
        <v>1</v>
      </c>
      <c r="Q3904" s="182">
        <v>30</v>
      </c>
      <c r="R3904" s="46">
        <v>0</v>
      </c>
      <c r="S3904" s="46">
        <v>27</v>
      </c>
      <c r="T3904" s="46">
        <v>10800</v>
      </c>
      <c r="U3904" s="46">
        <v>8.0510000000000002</v>
      </c>
      <c r="V3904" s="46" t="s">
        <v>68</v>
      </c>
      <c r="W3904" s="46">
        <v>10770</v>
      </c>
      <c r="X3904" s="46">
        <v>8.0730000000000004</v>
      </c>
      <c r="AF3904" s="46">
        <v>208</v>
      </c>
      <c r="AG3904" s="46">
        <v>102400</v>
      </c>
      <c r="AH3904" s="46">
        <v>840956</v>
      </c>
      <c r="AI3904" s="46">
        <v>8.2119999999999997</v>
      </c>
      <c r="AJ3904" s="46">
        <v>212</v>
      </c>
      <c r="AK3904" s="46">
        <v>94130</v>
      </c>
      <c r="AL3904" s="46">
        <v>827699.40080000006</v>
      </c>
      <c r="AM3904" s="46">
        <v>8.7929999999999993</v>
      </c>
      <c r="AN3904" s="46" t="s">
        <v>63</v>
      </c>
      <c r="AO3904" s="46">
        <v>8270</v>
      </c>
      <c r="AP3904" s="46">
        <v>13256.599</v>
      </c>
      <c r="AQ3904" s="46">
        <v>1.603</v>
      </c>
      <c r="AR3904" s="46">
        <v>54689.53</v>
      </c>
      <c r="AS3904" s="46">
        <v>209</v>
      </c>
      <c r="AT3904" s="46">
        <v>102430</v>
      </c>
      <c r="AU3904" s="46">
        <v>840961</v>
      </c>
      <c r="AV3904" s="46">
        <v>8.2100000000000009</v>
      </c>
      <c r="AW3904" s="46">
        <v>239</v>
      </c>
      <c r="AX3904" s="46">
        <v>104930</v>
      </c>
      <c r="AY3904" s="46">
        <v>914435.94480000006</v>
      </c>
      <c r="AZ3904" s="46">
        <v>8.7149999999999999</v>
      </c>
      <c r="BA3904" s="46" t="s">
        <v>69</v>
      </c>
      <c r="BB3904" s="46">
        <v>2500</v>
      </c>
      <c r="BC3904" s="46">
        <v>73474.945000000007</v>
      </c>
      <c r="BD3904" s="46">
        <v>29.39</v>
      </c>
      <c r="BE3904" s="46">
        <v>51727.15</v>
      </c>
      <c r="BF3904" s="46">
        <v>5</v>
      </c>
      <c r="BG3904" s="46">
        <v>0.17</v>
      </c>
      <c r="BH3904" s="46">
        <v>86736.543999999994</v>
      </c>
      <c r="BI3904">
        <v>8.0299999999999994</v>
      </c>
      <c r="BJ3904">
        <v>60218.346000000005</v>
      </c>
      <c r="BK3904">
        <v>5.59</v>
      </c>
      <c r="BL3904">
        <v>7553.8</v>
      </c>
    </row>
    <row r="3905" spans="1:64" x14ac:dyDescent="0.25">
      <c r="A3905" s="136">
        <v>43894</v>
      </c>
      <c r="B3905" t="s">
        <v>124</v>
      </c>
      <c r="C3905" t="s">
        <v>125</v>
      </c>
      <c r="D3905">
        <v>100</v>
      </c>
      <c r="E3905">
        <v>100</v>
      </c>
      <c r="F3905">
        <v>-54.070999999999998</v>
      </c>
      <c r="G3905">
        <v>5946.1</v>
      </c>
      <c r="H3905">
        <v>0</v>
      </c>
      <c r="I3905">
        <v>539</v>
      </c>
      <c r="J3905">
        <v>5.39</v>
      </c>
      <c r="K3905" s="133">
        <v>1.04295532439916E-3</v>
      </c>
      <c r="L3905" s="181">
        <v>3</v>
      </c>
      <c r="M3905" s="133">
        <v>0</v>
      </c>
      <c r="N3905" s="73">
        <v>5573.0690000000113</v>
      </c>
      <c r="O3905" s="73">
        <v>1102.4501845505636</v>
      </c>
      <c r="P3905" s="182">
        <v>0</v>
      </c>
      <c r="Q3905" s="182">
        <v>0</v>
      </c>
      <c r="R3905" s="46">
        <v>0</v>
      </c>
      <c r="S3905" s="46">
        <v>5</v>
      </c>
      <c r="T3905" s="46">
        <v>2300</v>
      </c>
      <c r="U3905" s="46">
        <v>4.99</v>
      </c>
      <c r="V3905" s="46" t="s">
        <v>68</v>
      </c>
      <c r="W3905" s="46">
        <v>2300</v>
      </c>
      <c r="X3905" s="46">
        <v>4.99</v>
      </c>
      <c r="AF3905" s="46">
        <v>50</v>
      </c>
      <c r="AG3905" s="46">
        <v>36700</v>
      </c>
      <c r="AH3905" s="46">
        <v>180101.02000000002</v>
      </c>
      <c r="AI3905" s="46">
        <v>4.907</v>
      </c>
      <c r="AJ3905" s="46">
        <v>58</v>
      </c>
      <c r="AK3905" s="46">
        <v>35300</v>
      </c>
      <c r="AL3905" s="46">
        <v>178266.546</v>
      </c>
      <c r="AM3905" s="46">
        <v>5.05</v>
      </c>
      <c r="AN3905" s="46" t="s">
        <v>63</v>
      </c>
      <c r="AO3905" s="46">
        <v>1400</v>
      </c>
      <c r="AP3905" s="46">
        <v>1834.4739999999999</v>
      </c>
      <c r="AQ3905" s="46">
        <v>1.31</v>
      </c>
      <c r="AR3905" s="46">
        <v>5047.8999999999996</v>
      </c>
      <c r="AS3905" s="46">
        <v>51</v>
      </c>
      <c r="AT3905" s="46">
        <v>37700</v>
      </c>
      <c r="AU3905" s="46">
        <v>185106.62</v>
      </c>
      <c r="AV3905" s="46">
        <v>4.91</v>
      </c>
      <c r="AW3905" s="46">
        <v>63</v>
      </c>
      <c r="AX3905" s="46">
        <v>37600</v>
      </c>
      <c r="AY3905" s="46">
        <v>189713.68900000001</v>
      </c>
      <c r="AZ3905" s="46">
        <v>5.0460000000000003</v>
      </c>
      <c r="BA3905" s="46" t="s">
        <v>63</v>
      </c>
      <c r="BB3905" s="46">
        <v>100</v>
      </c>
      <c r="BC3905" s="46">
        <v>4607.0690000000004</v>
      </c>
      <c r="BD3905" s="46">
        <v>46.070999999999998</v>
      </c>
      <c r="BE3905" s="46">
        <v>5113.6000000000004</v>
      </c>
      <c r="BF3905" s="46">
        <v>5005.5999999999767</v>
      </c>
      <c r="BH3905" s="46">
        <v>11447.143000000011</v>
      </c>
      <c r="BI3905">
        <v>4.9800000000000004</v>
      </c>
      <c r="BJ3905">
        <v>2772.5950000000003</v>
      </c>
      <c r="BK3905">
        <v>1.21</v>
      </c>
      <c r="BL3905">
        <v>936.53</v>
      </c>
    </row>
    <row r="3906" spans="1:64" x14ac:dyDescent="0.25">
      <c r="A3906" s="136">
        <v>43894</v>
      </c>
      <c r="B3906" t="s">
        <v>776</v>
      </c>
      <c r="C3906" t="s">
        <v>777</v>
      </c>
      <c r="D3906">
        <v>1</v>
      </c>
      <c r="E3906">
        <v>1</v>
      </c>
      <c r="F3906">
        <v>-13136.34</v>
      </c>
      <c r="G3906">
        <v>13217.7</v>
      </c>
      <c r="H3906">
        <v>0</v>
      </c>
      <c r="I3906">
        <v>81.36</v>
      </c>
      <c r="J3906">
        <v>81.36</v>
      </c>
      <c r="K3906" s="133">
        <v>1.5743013950485278E-4</v>
      </c>
      <c r="L3906" s="181">
        <v>1.6100000000005821</v>
      </c>
      <c r="M3906" s="133">
        <v>0</v>
      </c>
    </row>
    <row r="3907" spans="1:64" x14ac:dyDescent="0.25">
      <c r="A3907" s="136">
        <v>43894</v>
      </c>
      <c r="B3907" t="s">
        <v>630</v>
      </c>
      <c r="C3907" t="s">
        <v>631</v>
      </c>
      <c r="D3907">
        <v>100</v>
      </c>
      <c r="E3907">
        <v>100</v>
      </c>
      <c r="F3907">
        <v>-94.6</v>
      </c>
      <c r="G3907">
        <v>13985</v>
      </c>
      <c r="H3907">
        <v>0</v>
      </c>
      <c r="I3907">
        <v>4525</v>
      </c>
      <c r="J3907">
        <v>45.25</v>
      </c>
      <c r="K3907" s="133">
        <v>8.7557937716256015E-3</v>
      </c>
      <c r="L3907" s="181">
        <v>-441</v>
      </c>
      <c r="M3907" s="133">
        <v>0</v>
      </c>
    </row>
    <row r="3908" spans="1:64" x14ac:dyDescent="0.25">
      <c r="A3908" s="136">
        <v>43894</v>
      </c>
      <c r="B3908" t="s">
        <v>137</v>
      </c>
      <c r="C3908" t="s">
        <v>149</v>
      </c>
      <c r="D3908">
        <v>150</v>
      </c>
      <c r="E3908">
        <v>150</v>
      </c>
      <c r="F3908">
        <v>-87.406999999999996</v>
      </c>
      <c r="G3908">
        <v>18235.05</v>
      </c>
      <c r="H3908">
        <v>0</v>
      </c>
      <c r="I3908">
        <v>5124</v>
      </c>
      <c r="J3908">
        <v>34.159999999999997</v>
      </c>
      <c r="K3908" s="133">
        <v>9.9148480189634423E-3</v>
      </c>
      <c r="L3908" s="181">
        <v>561</v>
      </c>
      <c r="M3908" s="133">
        <v>0</v>
      </c>
    </row>
    <row r="3909" spans="1:64" x14ac:dyDescent="0.25">
      <c r="A3909" s="136">
        <v>43894</v>
      </c>
      <c r="B3909" t="s">
        <v>835</v>
      </c>
      <c r="C3909" t="s">
        <v>839</v>
      </c>
      <c r="I3909">
        <v>16546.71</v>
      </c>
      <c r="K3909" s="133">
        <v>3.2017586819645311E-2</v>
      </c>
      <c r="L3909" s="181">
        <v>0</v>
      </c>
      <c r="M3909" s="133">
        <v>9.4226853348058803E-2</v>
      </c>
    </row>
    <row r="3910" spans="1:64" x14ac:dyDescent="0.25">
      <c r="A3910" s="136">
        <v>43958</v>
      </c>
      <c r="B3910" t="s">
        <v>77</v>
      </c>
      <c r="C3910" t="s">
        <v>150</v>
      </c>
      <c r="D3910">
        <v>8900</v>
      </c>
      <c r="E3910">
        <v>8900</v>
      </c>
      <c r="F3910">
        <v>4.6390000000000002</v>
      </c>
      <c r="G3910">
        <v>-16013.09</v>
      </c>
      <c r="H3910">
        <v>-38.78</v>
      </c>
      <c r="I3910">
        <v>25276</v>
      </c>
      <c r="J3910">
        <v>2.84</v>
      </c>
      <c r="K3910" s="133">
        <v>5.4544346143824134E-2</v>
      </c>
      <c r="L3910" s="181">
        <v>-4947</v>
      </c>
      <c r="M3910" s="133">
        <v>8.9099794940793939E-2</v>
      </c>
      <c r="N3910" s="73">
        <v>-15806.033999999985</v>
      </c>
      <c r="O3910" s="73">
        <v>-5239.171569520543</v>
      </c>
      <c r="P3910" s="182">
        <v>11</v>
      </c>
      <c r="Q3910" s="182">
        <v>5500</v>
      </c>
      <c r="R3910" s="46">
        <v>3.859</v>
      </c>
      <c r="S3910" s="46">
        <v>0</v>
      </c>
      <c r="T3910" s="46">
        <v>0</v>
      </c>
      <c r="U3910" s="46">
        <v>0</v>
      </c>
      <c r="V3910" s="46" t="s">
        <v>62</v>
      </c>
      <c r="W3910" s="46">
        <v>5500</v>
      </c>
      <c r="X3910" s="46">
        <v>3.859</v>
      </c>
      <c r="AF3910" s="46">
        <v>61</v>
      </c>
      <c r="AG3910" s="46">
        <v>30400</v>
      </c>
      <c r="AH3910" s="46">
        <v>193857</v>
      </c>
      <c r="AI3910" s="46">
        <v>6.3769999999999998</v>
      </c>
      <c r="AJ3910" s="46">
        <v>61</v>
      </c>
      <c r="AK3910" s="46">
        <v>27000</v>
      </c>
      <c r="AL3910" s="46">
        <v>173554.96600000007</v>
      </c>
      <c r="AM3910" s="46">
        <v>6.4279999999999999</v>
      </c>
      <c r="AN3910" s="46" t="s">
        <v>63</v>
      </c>
      <c r="AO3910" s="46">
        <v>3400</v>
      </c>
      <c r="AP3910" s="46">
        <v>20302.034</v>
      </c>
      <c r="AQ3910" s="46">
        <v>5.9710000000000001</v>
      </c>
      <c r="AR3910" s="46">
        <v>1377</v>
      </c>
      <c r="AS3910" s="46">
        <v>72</v>
      </c>
      <c r="AT3910" s="46">
        <v>35900</v>
      </c>
      <c r="AU3910" s="46">
        <v>214849</v>
      </c>
      <c r="AV3910" s="46">
        <v>5.9850000000000003</v>
      </c>
      <c r="AW3910" s="46">
        <v>61</v>
      </c>
      <c r="AX3910" s="46">
        <v>27000</v>
      </c>
      <c r="AY3910" s="46">
        <v>173554.96600000007</v>
      </c>
      <c r="AZ3910" s="46">
        <v>6.4279999999999999</v>
      </c>
      <c r="BA3910" s="46" t="s">
        <v>63</v>
      </c>
      <c r="BB3910" s="46">
        <v>8900</v>
      </c>
      <c r="BC3910" s="46">
        <v>41294.034</v>
      </c>
      <c r="BD3910" s="46">
        <v>4.6399999999999997</v>
      </c>
      <c r="BE3910" s="46">
        <v>11961</v>
      </c>
      <c r="BF3910" s="46">
        <v>20992</v>
      </c>
      <c r="BG3910" s="46">
        <v>3.82</v>
      </c>
      <c r="BH3910" s="46">
        <v>0</v>
      </c>
      <c r="BJ3910">
        <v>20992</v>
      </c>
      <c r="BK3910">
        <v>3.82</v>
      </c>
      <c r="BL3910">
        <v>484.86</v>
      </c>
    </row>
    <row r="3911" spans="1:64" x14ac:dyDescent="0.25">
      <c r="A3911" s="136">
        <v>43958</v>
      </c>
      <c r="B3911" t="s">
        <v>79</v>
      </c>
      <c r="C3911" t="s">
        <v>143</v>
      </c>
      <c r="D3911">
        <v>11800</v>
      </c>
      <c r="E3911">
        <v>11800</v>
      </c>
      <c r="F3911">
        <v>9.9429999999999996</v>
      </c>
      <c r="G3911">
        <v>-37677.879999999997</v>
      </c>
      <c r="H3911">
        <v>-32.11</v>
      </c>
      <c r="I3911">
        <v>79650</v>
      </c>
      <c r="J3911">
        <v>6.75</v>
      </c>
      <c r="K3911" s="133">
        <v>0.1718807236253993</v>
      </c>
      <c r="L3911" s="181">
        <v>197.91000000000349</v>
      </c>
      <c r="M3911" s="133">
        <v>0.25318770766897697</v>
      </c>
      <c r="N3911" s="73">
        <v>-39710.843400000304</v>
      </c>
      <c r="O3911" s="73">
        <v>-6032.0650422948793</v>
      </c>
      <c r="P3911" s="182">
        <v>11</v>
      </c>
      <c r="Q3911" s="182">
        <v>7520</v>
      </c>
      <c r="R3911" s="46">
        <v>4.8639999999999999</v>
      </c>
      <c r="S3911" s="46">
        <v>2</v>
      </c>
      <c r="T3911" s="46">
        <v>1820</v>
      </c>
      <c r="U3911" s="46">
        <v>6.94</v>
      </c>
      <c r="V3911" s="46" t="s">
        <v>62</v>
      </c>
      <c r="W3911" s="46">
        <v>5700</v>
      </c>
      <c r="X3911" s="46">
        <v>4.2009999999999996</v>
      </c>
      <c r="AF3911" s="46">
        <v>64</v>
      </c>
      <c r="AG3911" s="46">
        <v>31100</v>
      </c>
      <c r="AH3911" s="46">
        <v>357827.65999999951</v>
      </c>
      <c r="AI3911" s="46">
        <v>11.506</v>
      </c>
      <c r="AJ3911" s="46">
        <v>62</v>
      </c>
      <c r="AK3911" s="46">
        <v>25000</v>
      </c>
      <c r="AL3911" s="46">
        <v>264500.65199999965</v>
      </c>
      <c r="AM3911" s="46">
        <v>10.58</v>
      </c>
      <c r="AN3911" s="46" t="s">
        <v>63</v>
      </c>
      <c r="AO3911" s="46">
        <v>6100</v>
      </c>
      <c r="AP3911" s="46">
        <v>93327.008000000002</v>
      </c>
      <c r="AQ3911" s="46">
        <v>15.3</v>
      </c>
      <c r="AR3911" s="46">
        <v>-23150</v>
      </c>
      <c r="AS3911" s="46">
        <v>75</v>
      </c>
      <c r="AT3911" s="46">
        <v>38620</v>
      </c>
      <c r="AU3911" s="46">
        <v>394463.17199999938</v>
      </c>
      <c r="AV3911" s="46">
        <v>10.214</v>
      </c>
      <c r="AW3911" s="46">
        <v>64</v>
      </c>
      <c r="AX3911" s="46">
        <v>26820</v>
      </c>
      <c r="AY3911" s="46">
        <v>277108.32859999966</v>
      </c>
      <c r="AZ3911" s="46">
        <v>10.332000000000001</v>
      </c>
      <c r="BA3911" s="46" t="s">
        <v>63</v>
      </c>
      <c r="BB3911" s="46">
        <v>11800</v>
      </c>
      <c r="BC3911" s="46">
        <v>117354.84299999999</v>
      </c>
      <c r="BD3911" s="46">
        <v>9.9450000000000003</v>
      </c>
      <c r="BE3911" s="46">
        <v>3164.76</v>
      </c>
      <c r="BF3911" s="46">
        <v>36635.511999999871</v>
      </c>
      <c r="BG3911" s="46">
        <v>4.87</v>
      </c>
      <c r="BH3911" s="46">
        <v>12607.676600000006</v>
      </c>
      <c r="BI3911">
        <v>6.93</v>
      </c>
      <c r="BJ3911">
        <v>24027.834999999992</v>
      </c>
      <c r="BK3911">
        <v>4.22</v>
      </c>
      <c r="BL3911">
        <v>-3429.63</v>
      </c>
    </row>
    <row r="3912" spans="1:64" x14ac:dyDescent="0.25">
      <c r="A3912" s="136">
        <v>43958</v>
      </c>
      <c r="B3912" t="s">
        <v>65</v>
      </c>
      <c r="C3912" t="s">
        <v>82</v>
      </c>
      <c r="D3912">
        <v>27400</v>
      </c>
      <c r="E3912">
        <v>27400</v>
      </c>
      <c r="F3912">
        <v>8.266</v>
      </c>
      <c r="G3912">
        <v>-45915.46</v>
      </c>
      <c r="H3912">
        <v>-20.27</v>
      </c>
      <c r="I3912">
        <v>180566</v>
      </c>
      <c r="J3912">
        <v>6.59</v>
      </c>
      <c r="K3912" s="133">
        <v>0.38965241358623787</v>
      </c>
      <c r="L3912" s="181">
        <v>-19548.87</v>
      </c>
      <c r="M3912" s="133">
        <v>0.48873568402431794</v>
      </c>
      <c r="N3912" s="73">
        <v>-48279.869000000181</v>
      </c>
      <c r="O3912" s="73">
        <v>-6603.0505018393869</v>
      </c>
      <c r="P3912" s="182">
        <v>5</v>
      </c>
      <c r="Q3912" s="182">
        <v>3900</v>
      </c>
      <c r="R3912" s="46">
        <v>7.8310000000000004</v>
      </c>
      <c r="S3912" s="46">
        <v>5</v>
      </c>
      <c r="T3912" s="46">
        <v>2000</v>
      </c>
      <c r="U3912" s="46">
        <v>8.1720000000000006</v>
      </c>
      <c r="V3912" s="46" t="s">
        <v>62</v>
      </c>
      <c r="W3912" s="46">
        <v>1900</v>
      </c>
      <c r="X3912" s="46">
        <v>7.4720000000000004</v>
      </c>
      <c r="AF3912" s="46">
        <v>283</v>
      </c>
      <c r="AG3912" s="46">
        <v>149600</v>
      </c>
      <c r="AH3912" s="46">
        <v>1527582.6810000001</v>
      </c>
      <c r="AI3912" s="46">
        <v>10.211</v>
      </c>
      <c r="AJ3912" s="46">
        <v>315</v>
      </c>
      <c r="AK3912" s="46">
        <v>133300</v>
      </c>
      <c r="AL3912" s="46">
        <v>1301017.1539999999</v>
      </c>
      <c r="AM3912" s="46">
        <v>9.76</v>
      </c>
      <c r="AN3912" s="46" t="s">
        <v>63</v>
      </c>
      <c r="AO3912" s="46">
        <v>16300</v>
      </c>
      <c r="AP3912" s="46">
        <v>226565.527</v>
      </c>
      <c r="AQ3912" s="46">
        <v>13.9</v>
      </c>
      <c r="AR3912" s="46">
        <v>-60118.3</v>
      </c>
      <c r="AS3912" s="46">
        <v>289</v>
      </c>
      <c r="AT3912" s="46">
        <v>153600</v>
      </c>
      <c r="AU3912" s="46">
        <v>1559434.6810000001</v>
      </c>
      <c r="AV3912" s="46">
        <v>10.153</v>
      </c>
      <c r="AW3912" s="46">
        <v>320</v>
      </c>
      <c r="AX3912" s="46">
        <v>135300</v>
      </c>
      <c r="AY3912" s="46">
        <v>1317319.8099999998</v>
      </c>
      <c r="AZ3912" s="46">
        <v>9.7360000000000007</v>
      </c>
      <c r="BA3912" s="46" t="s">
        <v>63</v>
      </c>
      <c r="BB3912" s="46">
        <v>18300</v>
      </c>
      <c r="BC3912" s="46">
        <v>242114.87100000001</v>
      </c>
      <c r="BD3912" s="46">
        <v>13.23</v>
      </c>
      <c r="BE3912" s="46">
        <v>-56420.1</v>
      </c>
      <c r="BF3912" s="46">
        <v>31852</v>
      </c>
      <c r="BG3912" s="46">
        <v>8.17</v>
      </c>
      <c r="BH3912" s="46">
        <v>16302.655999999959</v>
      </c>
      <c r="BI3912">
        <v>8.15</v>
      </c>
      <c r="BJ3912">
        <v>15549.344000000012</v>
      </c>
      <c r="BK3912">
        <v>8.18</v>
      </c>
      <c r="BL3912">
        <v>-9122.66</v>
      </c>
    </row>
    <row r="3913" spans="1:64" x14ac:dyDescent="0.25">
      <c r="A3913" s="136">
        <v>43958</v>
      </c>
      <c r="B3913" t="s">
        <v>61</v>
      </c>
      <c r="C3913" t="s">
        <v>136</v>
      </c>
      <c r="D3913">
        <v>4100</v>
      </c>
      <c r="E3913">
        <v>4100</v>
      </c>
      <c r="F3913">
        <v>4.4660000000000002</v>
      </c>
      <c r="G3913">
        <v>-3549.4</v>
      </c>
      <c r="H3913">
        <v>-19.38</v>
      </c>
      <c r="I3913">
        <v>14760</v>
      </c>
      <c r="J3913">
        <v>3.6</v>
      </c>
      <c r="K3913" s="133">
        <v>3.1851343135102239E-2</v>
      </c>
      <c r="L3913" s="181">
        <v>-668.07000000000016</v>
      </c>
      <c r="M3913" s="133">
        <v>3.9510771138065108E-2</v>
      </c>
      <c r="N3913" s="73">
        <v>-3433.5210000000006</v>
      </c>
      <c r="O3913" s="73">
        <v>-945.40061694214899</v>
      </c>
      <c r="P3913" s="182">
        <v>3</v>
      </c>
      <c r="Q3913" s="182">
        <v>1500</v>
      </c>
      <c r="R3913" s="46">
        <v>4.2329999999999997</v>
      </c>
      <c r="S3913" s="46">
        <v>0</v>
      </c>
      <c r="T3913" s="46">
        <v>0</v>
      </c>
      <c r="U3913" s="46">
        <v>0</v>
      </c>
      <c r="V3913" s="46" t="s">
        <v>62</v>
      </c>
      <c r="W3913" s="46">
        <v>1500</v>
      </c>
      <c r="X3913" s="46">
        <v>4.2329999999999997</v>
      </c>
      <c r="AF3913" s="46">
        <v>27</v>
      </c>
      <c r="AG3913" s="46">
        <v>13500</v>
      </c>
      <c r="AH3913" s="46">
        <v>64458.100000000006</v>
      </c>
      <c r="AI3913" s="46">
        <v>4.7750000000000004</v>
      </c>
      <c r="AJ3913" s="46">
        <v>27</v>
      </c>
      <c r="AK3913" s="46">
        <v>10900</v>
      </c>
      <c r="AL3913" s="46">
        <v>52507.478999999985</v>
      </c>
      <c r="AM3913" s="46">
        <v>4.8170000000000002</v>
      </c>
      <c r="AN3913" s="46" t="s">
        <v>63</v>
      </c>
      <c r="AO3913" s="46">
        <v>2600</v>
      </c>
      <c r="AP3913" s="46">
        <v>11950.620999999999</v>
      </c>
      <c r="AQ3913" s="46">
        <v>4.5960000000000001</v>
      </c>
      <c r="AR3913" s="46">
        <v>457.8</v>
      </c>
      <c r="AS3913" s="46">
        <v>30</v>
      </c>
      <c r="AT3913" s="46">
        <v>15000</v>
      </c>
      <c r="AU3913" s="46">
        <v>70824.000000000015</v>
      </c>
      <c r="AV3913" s="46">
        <v>4.7220000000000004</v>
      </c>
      <c r="AW3913" s="46">
        <v>27</v>
      </c>
      <c r="AX3913" s="46">
        <v>10900</v>
      </c>
      <c r="AY3913" s="46">
        <v>52507.478999999985</v>
      </c>
      <c r="AZ3913" s="46">
        <v>4.8170000000000002</v>
      </c>
      <c r="BA3913" s="46" t="s">
        <v>63</v>
      </c>
      <c r="BB3913" s="46">
        <v>4100</v>
      </c>
      <c r="BC3913" s="46">
        <v>18316.521000000001</v>
      </c>
      <c r="BD3913" s="46">
        <v>4.4669999999999996</v>
      </c>
      <c r="BE3913" s="46">
        <v>1035.5</v>
      </c>
      <c r="BF3913" s="46">
        <v>6365.9000000000087</v>
      </c>
      <c r="BG3913" s="46">
        <v>4.24</v>
      </c>
      <c r="BH3913" s="46">
        <v>0</v>
      </c>
      <c r="BJ3913">
        <v>6365.9000000000015</v>
      </c>
      <c r="BK3913">
        <v>4.24</v>
      </c>
      <c r="BL3913">
        <v>127.17</v>
      </c>
    </row>
    <row r="3914" spans="1:64" x14ac:dyDescent="0.25">
      <c r="A3914" s="136">
        <v>43958</v>
      </c>
      <c r="B3914" t="s">
        <v>70</v>
      </c>
      <c r="C3914" t="s">
        <v>131</v>
      </c>
      <c r="D3914">
        <v>15680</v>
      </c>
      <c r="E3914">
        <v>15680</v>
      </c>
      <c r="F3914">
        <v>8.2200000000000006</v>
      </c>
      <c r="G3914">
        <v>-20226.86</v>
      </c>
      <c r="H3914">
        <v>-15.69</v>
      </c>
      <c r="I3914">
        <v>108662.39999999999</v>
      </c>
      <c r="J3914">
        <v>6.93</v>
      </c>
      <c r="K3914" s="133">
        <v>0.23448803443656732</v>
      </c>
      <c r="L3914" s="181">
        <v>-21194.560000000001</v>
      </c>
      <c r="M3914" s="133">
        <v>0.27813658852909268</v>
      </c>
      <c r="N3914" s="73">
        <v>-19137.176999999981</v>
      </c>
      <c r="O3914" s="73">
        <v>-2732.5154873571405</v>
      </c>
      <c r="P3914" s="182">
        <v>0</v>
      </c>
      <c r="Q3914" s="182">
        <v>0</v>
      </c>
      <c r="R3914" s="46">
        <v>0</v>
      </c>
      <c r="S3914" s="46">
        <v>5</v>
      </c>
      <c r="T3914" s="46">
        <v>2000</v>
      </c>
      <c r="U3914" s="46">
        <v>7.71</v>
      </c>
      <c r="V3914" s="46" t="s">
        <v>68</v>
      </c>
      <c r="W3914" s="46">
        <v>2000</v>
      </c>
      <c r="X3914" s="46">
        <v>7.71</v>
      </c>
      <c r="AF3914" s="46">
        <v>218</v>
      </c>
      <c r="AG3914" s="46">
        <v>109180</v>
      </c>
      <c r="AH3914" s="46">
        <v>1205038</v>
      </c>
      <c r="AI3914" s="46">
        <v>11.037000000000001</v>
      </c>
      <c r="AJ3914" s="46">
        <v>227</v>
      </c>
      <c r="AK3914" s="46">
        <v>91500</v>
      </c>
      <c r="AL3914" s="46">
        <v>1058561.2429999993</v>
      </c>
      <c r="AM3914" s="46">
        <v>11.569000000000001</v>
      </c>
      <c r="AN3914" s="46" t="s">
        <v>63</v>
      </c>
      <c r="AO3914" s="46">
        <v>17680</v>
      </c>
      <c r="AP3914" s="46">
        <v>146476.75700000001</v>
      </c>
      <c r="AQ3914" s="46">
        <v>8.2850000000000001</v>
      </c>
      <c r="AR3914" s="46">
        <v>48678</v>
      </c>
      <c r="AS3914" s="46">
        <v>218</v>
      </c>
      <c r="AT3914" s="46">
        <v>109180</v>
      </c>
      <c r="AU3914" s="46">
        <v>1205038</v>
      </c>
      <c r="AV3914" s="46">
        <v>11.037000000000001</v>
      </c>
      <c r="AW3914" s="46">
        <v>233</v>
      </c>
      <c r="AX3914" s="46">
        <v>93500</v>
      </c>
      <c r="AY3914" s="46">
        <v>1074370.8229999994</v>
      </c>
      <c r="AZ3914" s="46">
        <v>11.491</v>
      </c>
      <c r="BA3914" s="46" t="s">
        <v>63</v>
      </c>
      <c r="BB3914" s="46">
        <v>15680</v>
      </c>
      <c r="BC3914" s="46">
        <v>130667.177</v>
      </c>
      <c r="BD3914" s="46">
        <v>8.3330000000000002</v>
      </c>
      <c r="BE3914" s="46">
        <v>42449</v>
      </c>
      <c r="BF3914" s="46">
        <v>0</v>
      </c>
      <c r="BH3914" s="46">
        <v>15809.580000000075</v>
      </c>
      <c r="BI3914">
        <v>7.9</v>
      </c>
      <c r="BJ3914">
        <v>-15809.580000000016</v>
      </c>
      <c r="BK3914">
        <v>-7.9</v>
      </c>
      <c r="BL3914">
        <v>7024.24</v>
      </c>
    </row>
    <row r="3915" spans="1:64" x14ac:dyDescent="0.25">
      <c r="A3915" s="136">
        <v>43958</v>
      </c>
      <c r="B3915" t="s">
        <v>124</v>
      </c>
      <c r="C3915" t="s">
        <v>125</v>
      </c>
      <c r="D3915">
        <v>100</v>
      </c>
      <c r="E3915">
        <v>100</v>
      </c>
      <c r="F3915">
        <v>-54.070999999999998</v>
      </c>
      <c r="G3915">
        <v>5917.07</v>
      </c>
      <c r="H3915">
        <v>0</v>
      </c>
      <c r="I3915">
        <v>510</v>
      </c>
      <c r="J3915">
        <v>5.0999999999999996</v>
      </c>
      <c r="K3915" s="133">
        <v>1.1005545392210124E-3</v>
      </c>
      <c r="L3915" s="181">
        <v>-29.030000000000655</v>
      </c>
      <c r="M3915" s="133">
        <v>0</v>
      </c>
      <c r="N3915" s="73">
        <v>5623.0690000000113</v>
      </c>
      <c r="O3915" s="73">
        <v>1111.8087987827732</v>
      </c>
      <c r="P3915" s="182">
        <v>0</v>
      </c>
      <c r="Q3915" s="182">
        <v>0</v>
      </c>
      <c r="R3915" s="46">
        <v>0</v>
      </c>
      <c r="S3915" s="46">
        <v>5</v>
      </c>
      <c r="T3915" s="46">
        <v>2300</v>
      </c>
      <c r="U3915" s="46">
        <v>4.99</v>
      </c>
      <c r="V3915" s="46" t="s">
        <v>68</v>
      </c>
      <c r="W3915" s="46">
        <v>2300</v>
      </c>
      <c r="X3915" s="46">
        <v>4.99</v>
      </c>
      <c r="AF3915" s="46">
        <v>50</v>
      </c>
      <c r="AG3915" s="46">
        <v>36700</v>
      </c>
      <c r="AH3915" s="46">
        <v>180101.02000000002</v>
      </c>
      <c r="AI3915" s="46">
        <v>4.907</v>
      </c>
      <c r="AJ3915" s="46">
        <v>58</v>
      </c>
      <c r="AK3915" s="46">
        <v>35300</v>
      </c>
      <c r="AL3915" s="46">
        <v>178266.546</v>
      </c>
      <c r="AM3915" s="46">
        <v>5.05</v>
      </c>
      <c r="AN3915" s="46" t="s">
        <v>63</v>
      </c>
      <c r="AO3915" s="46">
        <v>1400</v>
      </c>
      <c r="AP3915" s="46">
        <v>1834.4739999999999</v>
      </c>
      <c r="AQ3915" s="46">
        <v>1.31</v>
      </c>
      <c r="AR3915" s="46">
        <v>5047.8999999999996</v>
      </c>
      <c r="AS3915" s="46">
        <v>51</v>
      </c>
      <c r="AT3915" s="46">
        <v>37700</v>
      </c>
      <c r="AU3915" s="46">
        <v>185106.62</v>
      </c>
      <c r="AV3915" s="46">
        <v>4.91</v>
      </c>
      <c r="AW3915" s="46">
        <v>63</v>
      </c>
      <c r="AX3915" s="46">
        <v>37600</v>
      </c>
      <c r="AY3915" s="46">
        <v>189763.68900000001</v>
      </c>
      <c r="AZ3915" s="46">
        <v>5.0469999999999997</v>
      </c>
      <c r="BA3915" s="46" t="s">
        <v>63</v>
      </c>
      <c r="BB3915" s="46">
        <v>100</v>
      </c>
      <c r="BC3915" s="46">
        <v>4657.0690000000004</v>
      </c>
      <c r="BD3915" s="46">
        <v>46.570999999999998</v>
      </c>
      <c r="BE3915" s="46">
        <v>5151.2</v>
      </c>
      <c r="BF3915" s="46">
        <v>5005.5999999999767</v>
      </c>
      <c r="BH3915" s="46">
        <v>11497.143000000011</v>
      </c>
      <c r="BI3915">
        <v>5</v>
      </c>
      <c r="BJ3915">
        <v>2822.5950000000003</v>
      </c>
      <c r="BK3915">
        <v>1.23</v>
      </c>
      <c r="BL3915">
        <v>989.78</v>
      </c>
    </row>
    <row r="3916" spans="1:64" x14ac:dyDescent="0.25">
      <c r="A3916" s="136">
        <v>43958</v>
      </c>
      <c r="B3916" t="s">
        <v>776</v>
      </c>
      <c r="C3916" t="s">
        <v>777</v>
      </c>
      <c r="D3916">
        <v>1</v>
      </c>
      <c r="E3916">
        <v>1</v>
      </c>
      <c r="F3916">
        <v>-13136.34</v>
      </c>
      <c r="G3916">
        <v>13203.69</v>
      </c>
      <c r="H3916">
        <v>0</v>
      </c>
      <c r="I3916">
        <v>67.349999999999994</v>
      </c>
      <c r="J3916">
        <v>67.349999999999994</v>
      </c>
      <c r="K3916" s="133">
        <v>1.4533793767948074E-4</v>
      </c>
      <c r="L3916" s="181">
        <v>-14.010000000000218</v>
      </c>
      <c r="M3916" s="133">
        <v>0</v>
      </c>
    </row>
    <row r="3917" spans="1:64" x14ac:dyDescent="0.25">
      <c r="A3917" s="136">
        <v>43958</v>
      </c>
      <c r="B3917" t="s">
        <v>67</v>
      </c>
      <c r="C3917" t="s">
        <v>83</v>
      </c>
      <c r="D3917">
        <v>100</v>
      </c>
      <c r="E3917">
        <v>100</v>
      </c>
      <c r="F3917">
        <v>-43.515999999999998</v>
      </c>
      <c r="G3917">
        <v>5044.62</v>
      </c>
      <c r="H3917">
        <v>0</v>
      </c>
      <c r="I3917">
        <v>693</v>
      </c>
      <c r="J3917">
        <v>6.93</v>
      </c>
      <c r="K3917" s="133">
        <v>1.4954594032944345E-3</v>
      </c>
      <c r="L3917" s="181">
        <v>-30.980000000000473</v>
      </c>
      <c r="M3917" s="133">
        <v>0</v>
      </c>
      <c r="N3917" s="73">
        <v>4990.8287999999811</v>
      </c>
      <c r="O3917" s="73">
        <v>774.58592944099155</v>
      </c>
      <c r="P3917" s="182">
        <v>1</v>
      </c>
      <c r="Q3917" s="182">
        <v>30</v>
      </c>
      <c r="R3917" s="46">
        <v>0</v>
      </c>
      <c r="S3917" s="46">
        <v>27</v>
      </c>
      <c r="T3917" s="46">
        <v>10800</v>
      </c>
      <c r="U3917" s="46">
        <v>8.0510000000000002</v>
      </c>
      <c r="V3917" s="46" t="s">
        <v>68</v>
      </c>
      <c r="W3917" s="46">
        <v>10770</v>
      </c>
      <c r="X3917" s="46">
        <v>8.0730000000000004</v>
      </c>
      <c r="AF3917" s="46">
        <v>208</v>
      </c>
      <c r="AG3917" s="46">
        <v>102400</v>
      </c>
      <c r="AH3917" s="46">
        <v>840956</v>
      </c>
      <c r="AI3917" s="46">
        <v>8.2119999999999997</v>
      </c>
      <c r="AJ3917" s="46">
        <v>212</v>
      </c>
      <c r="AK3917" s="46">
        <v>94130</v>
      </c>
      <c r="AL3917" s="46">
        <v>827699.40080000006</v>
      </c>
      <c r="AM3917" s="46">
        <v>8.7929999999999993</v>
      </c>
      <c r="AN3917" s="46" t="s">
        <v>63</v>
      </c>
      <c r="AO3917" s="46">
        <v>8270</v>
      </c>
      <c r="AP3917" s="46">
        <v>13256.599</v>
      </c>
      <c r="AQ3917" s="46">
        <v>1.603</v>
      </c>
      <c r="AR3917" s="46">
        <v>54689.53</v>
      </c>
      <c r="AS3917" s="46">
        <v>209</v>
      </c>
      <c r="AT3917" s="46">
        <v>102430</v>
      </c>
      <c r="AU3917" s="46">
        <v>840961</v>
      </c>
      <c r="AV3917" s="46">
        <v>8.2100000000000009</v>
      </c>
      <c r="AW3917" s="46">
        <v>239</v>
      </c>
      <c r="AX3917" s="46">
        <v>104930</v>
      </c>
      <c r="AY3917" s="46">
        <v>914435.94480000006</v>
      </c>
      <c r="AZ3917" s="46">
        <v>8.7149999999999999</v>
      </c>
      <c r="BA3917" s="46" t="s">
        <v>69</v>
      </c>
      <c r="BB3917" s="46">
        <v>2500</v>
      </c>
      <c r="BC3917" s="46">
        <v>73474.945000000007</v>
      </c>
      <c r="BD3917" s="46">
        <v>29.39</v>
      </c>
      <c r="BE3917" s="46">
        <v>51727.15</v>
      </c>
      <c r="BF3917" s="46">
        <v>5</v>
      </c>
      <c r="BG3917" s="46">
        <v>0.17</v>
      </c>
      <c r="BH3917" s="46">
        <v>86736.543999999994</v>
      </c>
      <c r="BI3917">
        <v>8.0299999999999994</v>
      </c>
      <c r="BJ3917">
        <v>60218.346000000005</v>
      </c>
      <c r="BK3917">
        <v>5.59</v>
      </c>
      <c r="BL3917">
        <v>7891.71</v>
      </c>
    </row>
    <row r="3918" spans="1:64" x14ac:dyDescent="0.25">
      <c r="A3918" s="136">
        <v>43958</v>
      </c>
      <c r="B3918" t="s">
        <v>78</v>
      </c>
      <c r="C3918" t="s">
        <v>142</v>
      </c>
      <c r="D3918">
        <v>100</v>
      </c>
      <c r="E3918">
        <v>100</v>
      </c>
      <c r="F3918">
        <v>-5.867</v>
      </c>
      <c r="G3918">
        <v>1709.66</v>
      </c>
      <c r="H3918">
        <v>0</v>
      </c>
      <c r="I3918">
        <v>1123</v>
      </c>
      <c r="J3918">
        <v>11.23</v>
      </c>
      <c r="K3918" s="133">
        <v>2.4233779363631311E-3</v>
      </c>
      <c r="L3918" s="181">
        <v>222.96000000000004</v>
      </c>
      <c r="M3918" s="133">
        <v>0</v>
      </c>
      <c r="N3918" s="73">
        <v>1576.660999999996</v>
      </c>
      <c r="O3918" s="73">
        <v>159.17905752525212</v>
      </c>
      <c r="P3918" s="182">
        <v>0</v>
      </c>
      <c r="Q3918" s="182">
        <v>0</v>
      </c>
      <c r="R3918" s="46">
        <v>0</v>
      </c>
      <c r="S3918" s="46">
        <v>4</v>
      </c>
      <c r="T3918" s="46">
        <v>1300</v>
      </c>
      <c r="U3918" s="46">
        <v>9.9220000000000006</v>
      </c>
      <c r="V3918" s="46" t="s">
        <v>68</v>
      </c>
      <c r="W3918" s="46">
        <v>1300</v>
      </c>
      <c r="X3918" s="46">
        <v>9.9220000000000006</v>
      </c>
      <c r="AF3918" s="46">
        <v>14</v>
      </c>
      <c r="AG3918" s="46">
        <v>7000</v>
      </c>
      <c r="AH3918" s="46">
        <v>67625</v>
      </c>
      <c r="AI3918" s="46">
        <v>9.6609999999999996</v>
      </c>
      <c r="AJ3918" s="46">
        <v>15</v>
      </c>
      <c r="AK3918" s="46">
        <v>5600</v>
      </c>
      <c r="AL3918" s="46">
        <v>55310.559000000008</v>
      </c>
      <c r="AM3918" s="46">
        <v>9.8770000000000007</v>
      </c>
      <c r="AN3918" s="46" t="s">
        <v>63</v>
      </c>
      <c r="AO3918" s="46">
        <v>1400</v>
      </c>
      <c r="AP3918" s="46">
        <v>12314.441000000001</v>
      </c>
      <c r="AQ3918" s="46">
        <v>8.7959999999999994</v>
      </c>
      <c r="AR3918" s="46">
        <v>1209.5999999999999</v>
      </c>
      <c r="AS3918" s="46">
        <v>14</v>
      </c>
      <c r="AT3918" s="46">
        <v>7000</v>
      </c>
      <c r="AU3918" s="46">
        <v>67625</v>
      </c>
      <c r="AV3918" s="46">
        <v>9.6609999999999996</v>
      </c>
      <c r="AW3918" s="46">
        <v>19</v>
      </c>
      <c r="AX3918" s="46">
        <v>6900</v>
      </c>
      <c r="AY3918" s="46">
        <v>68211.661000000007</v>
      </c>
      <c r="AZ3918" s="46">
        <v>9.8859999999999992</v>
      </c>
      <c r="BA3918" s="46" t="s">
        <v>63</v>
      </c>
      <c r="BB3918" s="46">
        <v>100</v>
      </c>
      <c r="BC3918" s="46">
        <v>586.66099999999994</v>
      </c>
      <c r="BD3918" s="46">
        <v>5.867</v>
      </c>
      <c r="BE3918" s="46">
        <v>1552.5</v>
      </c>
      <c r="BF3918" s="46">
        <v>0</v>
      </c>
      <c r="BH3918" s="46">
        <v>12901.101999999999</v>
      </c>
      <c r="BI3918">
        <v>9.92</v>
      </c>
      <c r="BJ3918">
        <v>-11727.78</v>
      </c>
      <c r="BK3918">
        <v>-9.02</v>
      </c>
      <c r="BL3918">
        <v>107.71</v>
      </c>
    </row>
    <row r="3919" spans="1:64" x14ac:dyDescent="0.25">
      <c r="A3919" s="136">
        <v>43958</v>
      </c>
      <c r="B3919" t="s">
        <v>72</v>
      </c>
      <c r="C3919" t="s">
        <v>130</v>
      </c>
      <c r="D3919">
        <v>100</v>
      </c>
      <c r="E3919">
        <v>100</v>
      </c>
      <c r="F3919">
        <v>-18.477</v>
      </c>
      <c r="G3919">
        <v>2280.7399999999998</v>
      </c>
      <c r="H3919">
        <v>0</v>
      </c>
      <c r="I3919">
        <v>433</v>
      </c>
      <c r="J3919">
        <v>4.33</v>
      </c>
      <c r="K3919" s="133">
        <v>9.3439238329940852E-4</v>
      </c>
      <c r="L3919" s="181">
        <v>-73.960000000000036</v>
      </c>
      <c r="M3919" s="133">
        <v>0</v>
      </c>
      <c r="N3919" s="73">
        <v>-1498.9659999999872</v>
      </c>
      <c r="O3919" s="73">
        <v>376.42007904191922</v>
      </c>
      <c r="P3919" s="182">
        <v>0</v>
      </c>
      <c r="Q3919" s="182">
        <v>0</v>
      </c>
      <c r="R3919" s="46">
        <v>0</v>
      </c>
      <c r="S3919" s="46">
        <v>20</v>
      </c>
      <c r="T3919" s="46">
        <v>8600</v>
      </c>
      <c r="U3919" s="46">
        <v>7.3840000000000003</v>
      </c>
      <c r="V3919" s="46" t="s">
        <v>68</v>
      </c>
      <c r="W3919" s="46">
        <v>8600</v>
      </c>
      <c r="X3919" s="46">
        <v>7.3840000000000003</v>
      </c>
      <c r="AF3919" s="46">
        <v>42</v>
      </c>
      <c r="AG3919" s="46">
        <v>20900</v>
      </c>
      <c r="AH3919" s="46">
        <v>152800</v>
      </c>
      <c r="AI3919" s="46">
        <v>7.3109999999999999</v>
      </c>
      <c r="AJ3919" s="46">
        <v>42</v>
      </c>
      <c r="AK3919" s="46">
        <v>18800</v>
      </c>
      <c r="AL3919" s="46">
        <v>92037.725000000035</v>
      </c>
      <c r="AM3919" s="46">
        <v>4.8959999999999999</v>
      </c>
      <c r="AN3919" s="46" t="s">
        <v>63</v>
      </c>
      <c r="AO3919" s="46">
        <v>2100</v>
      </c>
      <c r="AP3919" s="46">
        <v>60762.275000000001</v>
      </c>
      <c r="AQ3919" s="46">
        <v>28.934000000000001</v>
      </c>
      <c r="AR3919" s="46">
        <v>-45402</v>
      </c>
      <c r="AS3919" s="46">
        <v>42</v>
      </c>
      <c r="AT3919" s="46">
        <v>20900</v>
      </c>
      <c r="AU3919" s="46">
        <v>152800</v>
      </c>
      <c r="AV3919" s="46">
        <v>7.3109999999999999</v>
      </c>
      <c r="AW3919" s="46">
        <v>63</v>
      </c>
      <c r="AX3919" s="46">
        <v>27900</v>
      </c>
      <c r="AY3919" s="46">
        <v>155380.21900000001</v>
      </c>
      <c r="AZ3919" s="46">
        <v>5.569</v>
      </c>
      <c r="BA3919" s="46" t="s">
        <v>69</v>
      </c>
      <c r="BB3919" s="46">
        <v>7000</v>
      </c>
      <c r="BC3919" s="46">
        <v>2580.2190000000001</v>
      </c>
      <c r="BD3919" s="46">
        <v>0.36899999999999999</v>
      </c>
      <c r="BE3919" s="46">
        <v>-36407.800000000003</v>
      </c>
      <c r="BF3919" s="46">
        <v>0</v>
      </c>
      <c r="BH3919" s="46">
        <v>63342.493999999977</v>
      </c>
      <c r="BI3919">
        <v>7.37</v>
      </c>
      <c r="BJ3919">
        <v>-58182.056000000004</v>
      </c>
      <c r="BK3919">
        <v>-6.77</v>
      </c>
      <c r="BL3919">
        <v>-10485.450000000001</v>
      </c>
    </row>
    <row r="3920" spans="1:64" x14ac:dyDescent="0.25">
      <c r="A3920" s="136">
        <v>43958</v>
      </c>
      <c r="B3920" t="s">
        <v>628</v>
      </c>
      <c r="C3920" t="s">
        <v>629</v>
      </c>
      <c r="D3920">
        <v>100</v>
      </c>
      <c r="E3920">
        <v>100</v>
      </c>
      <c r="F3920">
        <v>-22.369</v>
      </c>
      <c r="G3920">
        <v>3651.85</v>
      </c>
      <c r="H3920">
        <v>0</v>
      </c>
      <c r="I3920">
        <v>1415</v>
      </c>
      <c r="J3920">
        <v>14.15</v>
      </c>
      <c r="K3920" s="133">
        <v>3.0534993588190833E-3</v>
      </c>
      <c r="L3920" s="181">
        <v>-52.050000000000182</v>
      </c>
      <c r="M3920" s="133">
        <v>0</v>
      </c>
    </row>
    <row r="3921" spans="1:64" x14ac:dyDescent="0.25">
      <c r="A3921" s="136">
        <v>43958</v>
      </c>
      <c r="B3921" t="s">
        <v>630</v>
      </c>
      <c r="C3921" t="s">
        <v>631</v>
      </c>
      <c r="D3921">
        <v>100</v>
      </c>
      <c r="E3921">
        <v>100</v>
      </c>
      <c r="F3921">
        <v>-94.6</v>
      </c>
      <c r="G3921">
        <v>12790.02</v>
      </c>
      <c r="H3921">
        <v>0</v>
      </c>
      <c r="I3921">
        <v>3330</v>
      </c>
      <c r="J3921">
        <v>33.299999999999997</v>
      </c>
      <c r="K3921" s="133">
        <v>7.1859737560901402E-3</v>
      </c>
      <c r="L3921" s="181">
        <v>-1194.9799999999996</v>
      </c>
      <c r="M3921" s="133">
        <v>0</v>
      </c>
    </row>
    <row r="3922" spans="1:64" x14ac:dyDescent="0.25">
      <c r="A3922" s="136">
        <v>43958</v>
      </c>
      <c r="B3922" t="s">
        <v>137</v>
      </c>
      <c r="C3922" t="s">
        <v>149</v>
      </c>
      <c r="D3922">
        <v>150</v>
      </c>
      <c r="E3922">
        <v>150</v>
      </c>
      <c r="F3922">
        <v>-87.406999999999996</v>
      </c>
      <c r="G3922">
        <v>17917.03</v>
      </c>
      <c r="H3922">
        <v>0</v>
      </c>
      <c r="I3922">
        <v>4806</v>
      </c>
      <c r="J3922">
        <v>32.04</v>
      </c>
      <c r="K3922" s="133">
        <v>1.0371108069600364E-2</v>
      </c>
      <c r="L3922" s="181">
        <v>-318.02000000000044</v>
      </c>
      <c r="M3922" s="133">
        <v>0</v>
      </c>
    </row>
    <row r="3923" spans="1:64" x14ac:dyDescent="0.25">
      <c r="A3923" s="136">
        <v>43958</v>
      </c>
      <c r="B3923" t="s">
        <v>749</v>
      </c>
      <c r="C3923" t="s">
        <v>750</v>
      </c>
      <c r="D3923">
        <v>500</v>
      </c>
      <c r="E3923">
        <v>500</v>
      </c>
      <c r="F3923">
        <v>5.85</v>
      </c>
      <c r="G3923">
        <v>220</v>
      </c>
      <c r="H3923">
        <v>7.52</v>
      </c>
      <c r="I3923">
        <v>3145</v>
      </c>
      <c r="J3923">
        <v>6.29</v>
      </c>
      <c r="K3923" s="133">
        <v>6.7867529918629096E-3</v>
      </c>
      <c r="L3923" s="181">
        <v>-340</v>
      </c>
      <c r="M3923" s="133">
        <v>6.3120039749440414E-3</v>
      </c>
    </row>
    <row r="3924" spans="1:64" x14ac:dyDescent="0.25">
      <c r="A3924" s="136">
        <v>43958</v>
      </c>
      <c r="B3924" t="s">
        <v>768</v>
      </c>
      <c r="C3924" t="s">
        <v>769</v>
      </c>
      <c r="D3924">
        <v>500</v>
      </c>
      <c r="E3924">
        <v>500</v>
      </c>
      <c r="F3924">
        <v>2.4900000000000002</v>
      </c>
      <c r="G3924">
        <v>180</v>
      </c>
      <c r="H3924">
        <v>14.46</v>
      </c>
      <c r="I3924">
        <v>1425</v>
      </c>
      <c r="J3924">
        <v>2.85</v>
      </c>
      <c r="K3924" s="133">
        <v>3.0750788595881227E-3</v>
      </c>
      <c r="L3924" s="181">
        <v>-170</v>
      </c>
      <c r="M3924" s="133">
        <v>2.6866478457454124E-3</v>
      </c>
    </row>
    <row r="3925" spans="1:64" x14ac:dyDescent="0.25">
      <c r="A3925" s="136">
        <v>43958</v>
      </c>
      <c r="B3925" t="s">
        <v>71</v>
      </c>
      <c r="C3925" t="s">
        <v>126</v>
      </c>
      <c r="D3925">
        <v>4100</v>
      </c>
      <c r="E3925">
        <v>4100</v>
      </c>
      <c r="F3925">
        <v>4.3689999999999998</v>
      </c>
      <c r="G3925">
        <v>3037.61</v>
      </c>
      <c r="H3925">
        <v>16.96</v>
      </c>
      <c r="I3925">
        <v>20951</v>
      </c>
      <c r="J3925">
        <v>5.1100000000000003</v>
      </c>
      <c r="K3925" s="133">
        <v>4.5211212061214569E-2</v>
      </c>
      <c r="L3925" s="181">
        <v>-877.48</v>
      </c>
      <c r="M3925" s="133">
        <v>3.8656201328110373E-2</v>
      </c>
      <c r="N3925" s="73">
        <v>4603.7760000000071</v>
      </c>
      <c r="O3925" s="73">
        <v>656.52685067178652</v>
      </c>
      <c r="P3925" s="182">
        <v>1</v>
      </c>
      <c r="Q3925" s="182">
        <v>1000</v>
      </c>
      <c r="R3925" s="46">
        <v>5.1100000000000003</v>
      </c>
      <c r="S3925" s="46">
        <v>5</v>
      </c>
      <c r="T3925" s="46">
        <v>2000</v>
      </c>
      <c r="U3925" s="46">
        <v>6.1879999999999997</v>
      </c>
      <c r="V3925" s="46" t="s">
        <v>68</v>
      </c>
      <c r="W3925" s="46">
        <v>1000</v>
      </c>
      <c r="X3925" s="46">
        <v>7.266</v>
      </c>
      <c r="AF3925" s="46">
        <v>65</v>
      </c>
      <c r="AG3925" s="46">
        <v>34700</v>
      </c>
      <c r="AH3925" s="46">
        <v>214785.03999999986</v>
      </c>
      <c r="AI3925" s="46">
        <v>6.19</v>
      </c>
      <c r="AJ3925" s="46">
        <v>69</v>
      </c>
      <c r="AK3925" s="46">
        <v>29600</v>
      </c>
      <c r="AL3925" s="46">
        <v>189463.23199999999</v>
      </c>
      <c r="AM3925" s="46">
        <v>6.4009999999999998</v>
      </c>
      <c r="AN3925" s="46" t="s">
        <v>63</v>
      </c>
      <c r="AO3925" s="46">
        <v>5100</v>
      </c>
      <c r="AP3925" s="46">
        <v>25321.808000000001</v>
      </c>
      <c r="AQ3925" s="46">
        <v>4.9649999999999999</v>
      </c>
      <c r="AR3925" s="46">
        <v>6245.6</v>
      </c>
      <c r="AS3925" s="46">
        <v>66</v>
      </c>
      <c r="AT3925" s="46">
        <v>35700</v>
      </c>
      <c r="AU3925" s="46">
        <v>219900.63999999987</v>
      </c>
      <c r="AV3925" s="46">
        <v>6.16</v>
      </c>
      <c r="AW3925" s="46">
        <v>74</v>
      </c>
      <c r="AX3925" s="46">
        <v>31600</v>
      </c>
      <c r="AY3925" s="46">
        <v>201800.65600000002</v>
      </c>
      <c r="AZ3925" s="46">
        <v>6.3860000000000001</v>
      </c>
      <c r="BA3925" s="46" t="s">
        <v>63</v>
      </c>
      <c r="BB3925" s="46">
        <v>4100</v>
      </c>
      <c r="BC3925" s="46">
        <v>18099.984</v>
      </c>
      <c r="BD3925" s="46">
        <v>4.415</v>
      </c>
      <c r="BE3925" s="46">
        <v>7141.6</v>
      </c>
      <c r="BF3925" s="46">
        <v>5115.6000000000058</v>
      </c>
      <c r="BG3925" s="46">
        <v>5.12</v>
      </c>
      <c r="BH3925" s="46">
        <v>12337.424000000028</v>
      </c>
      <c r="BI3925">
        <v>6.17</v>
      </c>
      <c r="BJ3925">
        <v>-7221.8240000000005</v>
      </c>
      <c r="BK3925">
        <v>-7.22</v>
      </c>
      <c r="BL3925">
        <v>1222.23</v>
      </c>
    </row>
    <row r="3926" spans="1:64" x14ac:dyDescent="0.25">
      <c r="A3926" s="136">
        <v>43958</v>
      </c>
      <c r="B3926" t="s">
        <v>816</v>
      </c>
      <c r="C3926" t="s">
        <v>817</v>
      </c>
      <c r="D3926">
        <v>500</v>
      </c>
      <c r="E3926">
        <v>500</v>
      </c>
      <c r="F3926">
        <v>23.04</v>
      </c>
      <c r="G3926">
        <v>5070</v>
      </c>
      <c r="H3926">
        <v>44.01</v>
      </c>
      <c r="I3926">
        <v>16590</v>
      </c>
      <c r="J3926">
        <v>33.18</v>
      </c>
      <c r="K3926" s="133">
        <v>3.5800391775836465E-2</v>
      </c>
      <c r="M3926" s="133">
        <v>2.4859584885933456E-2</v>
      </c>
    </row>
    <row r="3927" spans="1:64" x14ac:dyDescent="0.25">
      <c r="A3927" s="136">
        <v>43958</v>
      </c>
      <c r="B3927" t="s">
        <v>835</v>
      </c>
      <c r="C3927" t="s">
        <v>839</v>
      </c>
      <c r="I3927">
        <v>0</v>
      </c>
      <c r="K3927" s="133">
        <v>0</v>
      </c>
      <c r="L3927" s="181">
        <v>0</v>
      </c>
      <c r="M3927" s="133">
        <v>0</v>
      </c>
    </row>
    <row r="3928" spans="1:64" x14ac:dyDescent="0.25">
      <c r="A3928" s="136">
        <v>43962</v>
      </c>
      <c r="B3928" t="s">
        <v>61</v>
      </c>
      <c r="C3928" t="s">
        <v>136</v>
      </c>
      <c r="D3928">
        <v>4100</v>
      </c>
      <c r="E3928">
        <v>4100</v>
      </c>
      <c r="F3928">
        <v>4.4660000000000002</v>
      </c>
      <c r="G3928">
        <v>-3631.4</v>
      </c>
      <c r="H3928">
        <v>-19.829999999999998</v>
      </c>
      <c r="I3928">
        <v>14678</v>
      </c>
      <c r="J3928">
        <v>3.58</v>
      </c>
      <c r="K3928" s="133">
        <v>3.0551128368606382E-2</v>
      </c>
      <c r="L3928" s="181">
        <v>-82</v>
      </c>
      <c r="M3928" s="133">
        <v>3.810960824037074E-2</v>
      </c>
      <c r="N3928" s="73">
        <v>-3433.5210000000006</v>
      </c>
      <c r="O3928" s="73">
        <v>-945.40061694214899</v>
      </c>
      <c r="P3928" s="182">
        <v>3</v>
      </c>
      <c r="Q3928" s="182">
        <v>1500</v>
      </c>
      <c r="R3928" s="46">
        <v>4.2329999999999997</v>
      </c>
      <c r="S3928" s="46">
        <v>0</v>
      </c>
      <c r="T3928" s="46">
        <v>0</v>
      </c>
      <c r="U3928" s="46">
        <v>0</v>
      </c>
      <c r="V3928" s="46" t="s">
        <v>62</v>
      </c>
      <c r="W3928" s="46">
        <v>1500</v>
      </c>
      <c r="X3928" s="46">
        <v>4.2329999999999997</v>
      </c>
      <c r="AF3928" s="46">
        <v>27</v>
      </c>
      <c r="AG3928" s="46">
        <v>13500</v>
      </c>
      <c r="AH3928" s="46">
        <v>64458.100000000006</v>
      </c>
      <c r="AI3928" s="46">
        <v>4.7750000000000004</v>
      </c>
      <c r="AJ3928" s="46">
        <v>27</v>
      </c>
      <c r="AK3928" s="46">
        <v>10900</v>
      </c>
      <c r="AL3928" s="46">
        <v>52507.478999999985</v>
      </c>
      <c r="AM3928" s="46">
        <v>4.8170000000000002</v>
      </c>
      <c r="AN3928" s="46" t="s">
        <v>63</v>
      </c>
      <c r="AO3928" s="46">
        <v>2600</v>
      </c>
      <c r="AP3928" s="46">
        <v>11950.620999999999</v>
      </c>
      <c r="AQ3928" s="46">
        <v>4.5960000000000001</v>
      </c>
      <c r="AR3928" s="46">
        <v>457.8</v>
      </c>
      <c r="AS3928" s="46">
        <v>30</v>
      </c>
      <c r="AT3928" s="46">
        <v>15000</v>
      </c>
      <c r="AU3928" s="46">
        <v>70824.000000000015</v>
      </c>
      <c r="AV3928" s="46">
        <v>4.7220000000000004</v>
      </c>
      <c r="AW3928" s="46">
        <v>27</v>
      </c>
      <c r="AX3928" s="46">
        <v>10900</v>
      </c>
      <c r="AY3928" s="46">
        <v>52507.478999999985</v>
      </c>
      <c r="AZ3928" s="46">
        <v>4.8170000000000002</v>
      </c>
      <c r="BA3928" s="46" t="s">
        <v>63</v>
      </c>
      <c r="BB3928" s="46">
        <v>4100</v>
      </c>
      <c r="BC3928" s="46">
        <v>18316.521000000001</v>
      </c>
      <c r="BD3928" s="46">
        <v>4.4669999999999996</v>
      </c>
      <c r="BE3928" s="46">
        <v>1035.5</v>
      </c>
      <c r="BF3928" s="46">
        <v>6365.9000000000087</v>
      </c>
      <c r="BG3928" s="46">
        <v>4.24</v>
      </c>
      <c r="BH3928" s="46">
        <v>0</v>
      </c>
      <c r="BJ3928">
        <v>6365.9000000000015</v>
      </c>
      <c r="BK3928">
        <v>4.24</v>
      </c>
      <c r="BL3928">
        <v>127.88</v>
      </c>
    </row>
    <row r="3929" spans="1:64" x14ac:dyDescent="0.25">
      <c r="A3929" s="136">
        <v>43962</v>
      </c>
      <c r="B3929" t="s">
        <v>124</v>
      </c>
      <c r="C3929" t="s">
        <v>125</v>
      </c>
      <c r="D3929">
        <v>100</v>
      </c>
      <c r="E3929">
        <v>100</v>
      </c>
      <c r="F3929">
        <v>-54.070999999999998</v>
      </c>
      <c r="G3929">
        <v>5921.07</v>
      </c>
      <c r="H3929">
        <v>0</v>
      </c>
      <c r="I3929">
        <v>514</v>
      </c>
      <c r="J3929">
        <v>5.14</v>
      </c>
      <c r="K3929" s="133">
        <v>1.069851477140188E-3</v>
      </c>
      <c r="L3929" s="181">
        <v>4</v>
      </c>
      <c r="M3929" s="133">
        <v>0</v>
      </c>
      <c r="N3929" s="73">
        <v>5623.0690000000113</v>
      </c>
      <c r="O3929" s="73">
        <v>1111.8087987827732</v>
      </c>
      <c r="P3929" s="182">
        <v>0</v>
      </c>
      <c r="Q3929" s="182">
        <v>0</v>
      </c>
      <c r="R3929" s="46">
        <v>0</v>
      </c>
      <c r="S3929" s="46">
        <v>5</v>
      </c>
      <c r="T3929" s="46">
        <v>2300</v>
      </c>
      <c r="U3929" s="46">
        <v>4.99</v>
      </c>
      <c r="V3929" s="46" t="s">
        <v>68</v>
      </c>
      <c r="W3929" s="46">
        <v>2300</v>
      </c>
      <c r="X3929" s="46">
        <v>4.99</v>
      </c>
      <c r="AF3929" s="46">
        <v>50</v>
      </c>
      <c r="AG3929" s="46">
        <v>36700</v>
      </c>
      <c r="AH3929" s="46">
        <v>180101.02000000002</v>
      </c>
      <c r="AI3929" s="46">
        <v>4.907</v>
      </c>
      <c r="AJ3929" s="46">
        <v>58</v>
      </c>
      <c r="AK3929" s="46">
        <v>35300</v>
      </c>
      <c r="AL3929" s="46">
        <v>178266.546</v>
      </c>
      <c r="AM3929" s="46">
        <v>5.05</v>
      </c>
      <c r="AN3929" s="46" t="s">
        <v>63</v>
      </c>
      <c r="AO3929" s="46">
        <v>1400</v>
      </c>
      <c r="AP3929" s="46">
        <v>1834.4739999999999</v>
      </c>
      <c r="AQ3929" s="46">
        <v>1.31</v>
      </c>
      <c r="AR3929" s="46">
        <v>5047.8999999999996</v>
      </c>
      <c r="AS3929" s="46">
        <v>51</v>
      </c>
      <c r="AT3929" s="46">
        <v>37700</v>
      </c>
      <c r="AU3929" s="46">
        <v>185106.62</v>
      </c>
      <c r="AV3929" s="46">
        <v>4.91</v>
      </c>
      <c r="AW3929" s="46">
        <v>63</v>
      </c>
      <c r="AX3929" s="46">
        <v>37600</v>
      </c>
      <c r="AY3929" s="46">
        <v>189763.68900000001</v>
      </c>
      <c r="AZ3929" s="46">
        <v>5.0469999999999997</v>
      </c>
      <c r="BA3929" s="46" t="s">
        <v>63</v>
      </c>
      <c r="BB3929" s="46">
        <v>100</v>
      </c>
      <c r="BC3929" s="46">
        <v>4657.0690000000004</v>
      </c>
      <c r="BD3929" s="46">
        <v>46.570999999999998</v>
      </c>
      <c r="BE3929" s="46">
        <v>5151.2</v>
      </c>
      <c r="BF3929" s="46">
        <v>5005.5999999999767</v>
      </c>
      <c r="BH3929" s="46">
        <v>11497.143000000011</v>
      </c>
      <c r="BI3929">
        <v>5</v>
      </c>
      <c r="BJ3929">
        <v>2822.5950000000003</v>
      </c>
      <c r="BK3929">
        <v>1.23</v>
      </c>
      <c r="BL3929">
        <v>982.08</v>
      </c>
    </row>
    <row r="3930" spans="1:64" x14ac:dyDescent="0.25">
      <c r="A3930" s="136">
        <v>43962</v>
      </c>
      <c r="B3930" t="s">
        <v>71</v>
      </c>
      <c r="C3930" t="s">
        <v>126</v>
      </c>
      <c r="D3930">
        <v>4100</v>
      </c>
      <c r="E3930">
        <v>4100</v>
      </c>
      <c r="F3930">
        <v>4.3689999999999998</v>
      </c>
      <c r="G3930">
        <v>3119.61</v>
      </c>
      <c r="H3930">
        <v>17.420000000000002</v>
      </c>
      <c r="I3930">
        <v>21033</v>
      </c>
      <c r="J3930">
        <v>5.13</v>
      </c>
      <c r="K3930" s="133">
        <v>4.3778572215349365E-2</v>
      </c>
      <c r="L3930" s="181">
        <v>82</v>
      </c>
      <c r="M3930" s="133">
        <v>3.7285343875658114E-2</v>
      </c>
      <c r="N3930" s="73">
        <v>4603.7760000000071</v>
      </c>
      <c r="O3930" s="73">
        <v>656.52685067178652</v>
      </c>
      <c r="P3930" s="182">
        <v>1</v>
      </c>
      <c r="Q3930" s="182">
        <v>1000</v>
      </c>
      <c r="R3930" s="46">
        <v>5.1100000000000003</v>
      </c>
      <c r="S3930" s="46">
        <v>5</v>
      </c>
      <c r="T3930" s="46">
        <v>2000</v>
      </c>
      <c r="U3930" s="46">
        <v>6.1879999999999997</v>
      </c>
      <c r="V3930" s="46" t="s">
        <v>68</v>
      </c>
      <c r="W3930" s="46">
        <v>1000</v>
      </c>
      <c r="X3930" s="46">
        <v>7.266</v>
      </c>
      <c r="AF3930" s="46">
        <v>65</v>
      </c>
      <c r="AG3930" s="46">
        <v>34700</v>
      </c>
      <c r="AH3930" s="46">
        <v>214785.03999999986</v>
      </c>
      <c r="AI3930" s="46">
        <v>6.19</v>
      </c>
      <c r="AJ3930" s="46">
        <v>69</v>
      </c>
      <c r="AK3930" s="46">
        <v>29600</v>
      </c>
      <c r="AL3930" s="46">
        <v>189463.23199999999</v>
      </c>
      <c r="AM3930" s="46">
        <v>6.4009999999999998</v>
      </c>
      <c r="AN3930" s="46" t="s">
        <v>63</v>
      </c>
      <c r="AO3930" s="46">
        <v>5100</v>
      </c>
      <c r="AP3930" s="46">
        <v>25321.808000000001</v>
      </c>
      <c r="AQ3930" s="46">
        <v>4.9649999999999999</v>
      </c>
      <c r="AR3930" s="46">
        <v>6245.6</v>
      </c>
      <c r="AS3930" s="46">
        <v>66</v>
      </c>
      <c r="AT3930" s="46">
        <v>35700</v>
      </c>
      <c r="AU3930" s="46">
        <v>219900.63999999987</v>
      </c>
      <c r="AV3930" s="46">
        <v>6.16</v>
      </c>
      <c r="AW3930" s="46">
        <v>74</v>
      </c>
      <c r="AX3930" s="46">
        <v>31600</v>
      </c>
      <c r="AY3930" s="46">
        <v>201800.65600000002</v>
      </c>
      <c r="AZ3930" s="46">
        <v>6.3860000000000001</v>
      </c>
      <c r="BA3930" s="46" t="s">
        <v>63</v>
      </c>
      <c r="BB3930" s="46">
        <v>4100</v>
      </c>
      <c r="BC3930" s="46">
        <v>18099.984</v>
      </c>
      <c r="BD3930" s="46">
        <v>4.415</v>
      </c>
      <c r="BE3930" s="46">
        <v>7141.6</v>
      </c>
      <c r="BF3930" s="46">
        <v>5115.6000000000058</v>
      </c>
      <c r="BG3930" s="46">
        <v>5.12</v>
      </c>
      <c r="BH3930" s="46">
        <v>12337.424000000028</v>
      </c>
      <c r="BI3930">
        <v>6.17</v>
      </c>
      <c r="BJ3930">
        <v>-7221.8240000000005</v>
      </c>
      <c r="BK3930">
        <v>-7.22</v>
      </c>
      <c r="BL3930">
        <v>1217.47</v>
      </c>
    </row>
    <row r="3931" spans="1:64" x14ac:dyDescent="0.25">
      <c r="A3931" s="136">
        <v>43962</v>
      </c>
      <c r="B3931" t="s">
        <v>79</v>
      </c>
      <c r="C3931" t="s">
        <v>143</v>
      </c>
      <c r="D3931">
        <v>12000</v>
      </c>
      <c r="E3931">
        <v>11400</v>
      </c>
      <c r="F3931">
        <v>9.8840000000000003</v>
      </c>
      <c r="G3931">
        <v>-38208.74</v>
      </c>
      <c r="H3931">
        <v>-32.21</v>
      </c>
      <c r="I3931">
        <v>80400</v>
      </c>
      <c r="J3931">
        <v>6.7</v>
      </c>
      <c r="K3931" s="133">
        <v>0.16734641782504109</v>
      </c>
      <c r="L3931" s="181">
        <v>-530.86000000000058</v>
      </c>
      <c r="M3931" s="133">
        <v>0.24687497216096593</v>
      </c>
      <c r="N3931" s="73">
        <v>-3771.0674000003492</v>
      </c>
      <c r="O3931" s="73">
        <v>-5810.3323294745214</v>
      </c>
      <c r="P3931" s="182">
        <v>10</v>
      </c>
      <c r="Q3931" s="182">
        <v>7120</v>
      </c>
      <c r="R3931" s="46">
        <v>4.7670000000000003</v>
      </c>
      <c r="S3931" s="46">
        <v>0</v>
      </c>
      <c r="T3931" s="46">
        <v>0</v>
      </c>
      <c r="U3931" s="46">
        <v>0</v>
      </c>
      <c r="V3931" s="46" t="s">
        <v>62</v>
      </c>
      <c r="W3931" s="46">
        <v>7120</v>
      </c>
      <c r="X3931" s="46">
        <v>4.7670000000000003</v>
      </c>
      <c r="AF3931" s="46">
        <v>66</v>
      </c>
      <c r="AG3931" s="46">
        <v>32100</v>
      </c>
      <c r="AH3931" s="46">
        <v>364466.25999999949</v>
      </c>
      <c r="AI3931" s="46">
        <v>11.353999999999999</v>
      </c>
      <c r="AJ3931" s="46">
        <v>65</v>
      </c>
      <c r="AK3931" s="46">
        <v>27220</v>
      </c>
      <c r="AL3931" s="46">
        <v>279828.36059999967</v>
      </c>
      <c r="AM3931" s="46">
        <v>10.28</v>
      </c>
      <c r="AN3931" s="46" t="s">
        <v>63</v>
      </c>
      <c r="AO3931" s="46">
        <v>4880</v>
      </c>
      <c r="AP3931" s="46">
        <v>84637.899000000005</v>
      </c>
      <c r="AQ3931" s="46">
        <v>17.344000000000001</v>
      </c>
      <c r="AR3931" s="46">
        <v>-29234.28</v>
      </c>
      <c r="AS3931" s="46">
        <v>76</v>
      </c>
      <c r="AT3931" s="46">
        <v>39220</v>
      </c>
      <c r="AU3931" s="46">
        <v>398464.53199999937</v>
      </c>
      <c r="AV3931" s="46">
        <v>10.16</v>
      </c>
      <c r="AW3931" s="46">
        <v>65</v>
      </c>
      <c r="AX3931" s="46">
        <v>27220</v>
      </c>
      <c r="AY3931" s="46">
        <v>279828.36059999967</v>
      </c>
      <c r="AZ3931" s="46">
        <v>10.28</v>
      </c>
      <c r="BA3931" s="46" t="s">
        <v>63</v>
      </c>
      <c r="BB3931" s="46">
        <v>12000</v>
      </c>
      <c r="BC3931" s="46">
        <v>118636.171</v>
      </c>
      <c r="BD3931" s="46">
        <v>9.8859999999999992</v>
      </c>
      <c r="BE3931" s="46">
        <v>3266.4</v>
      </c>
      <c r="BF3931" s="46">
        <v>33998.271999999881</v>
      </c>
      <c r="BG3931" s="46">
        <v>4.78</v>
      </c>
      <c r="BH3931" s="46">
        <v>0</v>
      </c>
      <c r="BJ3931">
        <v>33998.271999999997</v>
      </c>
      <c r="BK3931">
        <v>4.78</v>
      </c>
      <c r="BL3931">
        <v>-4363.33</v>
      </c>
    </row>
    <row r="3932" spans="1:64" x14ac:dyDescent="0.25">
      <c r="A3932" s="136">
        <v>43962</v>
      </c>
      <c r="B3932" t="s">
        <v>749</v>
      </c>
      <c r="C3932" t="s">
        <v>750</v>
      </c>
      <c r="D3932">
        <v>500</v>
      </c>
      <c r="E3932">
        <v>500</v>
      </c>
      <c r="F3932">
        <v>5.85</v>
      </c>
      <c r="G3932">
        <v>220</v>
      </c>
      <c r="H3932">
        <v>7.52</v>
      </c>
      <c r="I3932">
        <v>3145</v>
      </c>
      <c r="J3932">
        <v>6.29</v>
      </c>
      <c r="K3932" s="133">
        <v>6.5460756723850029E-3</v>
      </c>
      <c r="L3932" s="181">
        <v>0</v>
      </c>
      <c r="M3932" s="133">
        <v>6.0881625887841441E-3</v>
      </c>
    </row>
    <row r="3933" spans="1:64" x14ac:dyDescent="0.25">
      <c r="A3933" s="136">
        <v>43962</v>
      </c>
      <c r="B3933" t="s">
        <v>776</v>
      </c>
      <c r="C3933" t="s">
        <v>777</v>
      </c>
      <c r="D3933">
        <v>1</v>
      </c>
      <c r="E3933">
        <v>1</v>
      </c>
      <c r="F3933">
        <v>-13136.34</v>
      </c>
      <c r="G3933">
        <v>13203.44</v>
      </c>
      <c r="H3933">
        <v>0</v>
      </c>
      <c r="I3933">
        <v>67.099999999999994</v>
      </c>
      <c r="J3933">
        <v>67.099999999999994</v>
      </c>
      <c r="K3933" s="133">
        <v>1.3966349049826187E-4</v>
      </c>
      <c r="L3933" s="181">
        <v>-0.25</v>
      </c>
      <c r="M3933" s="133">
        <v>0</v>
      </c>
    </row>
    <row r="3934" spans="1:64" x14ac:dyDescent="0.25">
      <c r="A3934" s="136">
        <v>43962</v>
      </c>
      <c r="B3934" t="s">
        <v>65</v>
      </c>
      <c r="C3934" t="s">
        <v>127</v>
      </c>
      <c r="D3934">
        <v>27400</v>
      </c>
      <c r="E3934">
        <v>27400</v>
      </c>
      <c r="F3934">
        <v>8.266</v>
      </c>
      <c r="G3934">
        <v>-45093.46</v>
      </c>
      <c r="H3934">
        <v>-19.91</v>
      </c>
      <c r="I3934">
        <v>181388</v>
      </c>
      <c r="J3934">
        <v>6.62</v>
      </c>
      <c r="K3934" s="133">
        <v>0.37754517458269343</v>
      </c>
      <c r="L3934" s="181">
        <v>822</v>
      </c>
      <c r="M3934" s="133">
        <v>0.47140374421374787</v>
      </c>
      <c r="N3934" s="73">
        <v>-48279.869000000181</v>
      </c>
      <c r="O3934" s="73">
        <v>-6603.0505018393869</v>
      </c>
      <c r="P3934" s="182">
        <v>5</v>
      </c>
      <c r="Q3934" s="182">
        <v>3900</v>
      </c>
      <c r="R3934" s="46">
        <v>7.8310000000000004</v>
      </c>
      <c r="S3934" s="46">
        <v>5</v>
      </c>
      <c r="T3934" s="46">
        <v>2000</v>
      </c>
      <c r="U3934" s="46">
        <v>8.1720000000000006</v>
      </c>
      <c r="V3934" s="46" t="s">
        <v>62</v>
      </c>
      <c r="W3934" s="46">
        <v>1900</v>
      </c>
      <c r="X3934" s="46">
        <v>7.4720000000000004</v>
      </c>
      <c r="AF3934" s="46">
        <v>283</v>
      </c>
      <c r="AG3934" s="46">
        <v>149600</v>
      </c>
      <c r="AH3934" s="46">
        <v>1527582.6810000001</v>
      </c>
      <c r="AI3934" s="46">
        <v>10.211</v>
      </c>
      <c r="AJ3934" s="46">
        <v>315</v>
      </c>
      <c r="AK3934" s="46">
        <v>133300</v>
      </c>
      <c r="AL3934" s="46">
        <v>1301017.1539999999</v>
      </c>
      <c r="AM3934" s="46">
        <v>9.76</v>
      </c>
      <c r="AN3934" s="46" t="s">
        <v>63</v>
      </c>
      <c r="AO3934" s="46">
        <v>16300</v>
      </c>
      <c r="AP3934" s="46">
        <v>226565.527</v>
      </c>
      <c r="AQ3934" s="46">
        <v>13.9</v>
      </c>
      <c r="AR3934" s="46">
        <v>-60118.3</v>
      </c>
      <c r="AS3934" s="46">
        <v>289</v>
      </c>
      <c r="AT3934" s="46">
        <v>153600</v>
      </c>
      <c r="AU3934" s="46">
        <v>1559434.6810000001</v>
      </c>
      <c r="AV3934" s="46">
        <v>10.153</v>
      </c>
      <c r="AW3934" s="46">
        <v>320</v>
      </c>
      <c r="AX3934" s="46">
        <v>135300</v>
      </c>
      <c r="AY3934" s="46">
        <v>1317319.8099999998</v>
      </c>
      <c r="AZ3934" s="46">
        <v>9.7360000000000007</v>
      </c>
      <c r="BA3934" s="46" t="s">
        <v>63</v>
      </c>
      <c r="BB3934" s="46">
        <v>18300</v>
      </c>
      <c r="BC3934" s="46">
        <v>242114.87100000001</v>
      </c>
      <c r="BD3934" s="46">
        <v>13.23</v>
      </c>
      <c r="BE3934" s="46">
        <v>-56420.1</v>
      </c>
      <c r="BF3934" s="46">
        <v>31852</v>
      </c>
      <c r="BG3934" s="46">
        <v>8.17</v>
      </c>
      <c r="BH3934" s="46">
        <v>16302.655999999959</v>
      </c>
      <c r="BI3934">
        <v>8.15</v>
      </c>
      <c r="BJ3934">
        <v>15549.344000000012</v>
      </c>
      <c r="BK3934">
        <v>8.18</v>
      </c>
      <c r="BL3934">
        <v>-9081.31</v>
      </c>
    </row>
    <row r="3935" spans="1:64" x14ac:dyDescent="0.25">
      <c r="A3935" s="136">
        <v>43962</v>
      </c>
      <c r="B3935" t="s">
        <v>77</v>
      </c>
      <c r="C3935" t="s">
        <v>150</v>
      </c>
      <c r="D3935">
        <v>8900</v>
      </c>
      <c r="E3935">
        <v>8900</v>
      </c>
      <c r="F3935">
        <v>4.6390000000000002</v>
      </c>
      <c r="G3935">
        <v>-16013.09</v>
      </c>
      <c r="H3935">
        <v>-38.78</v>
      </c>
      <c r="I3935">
        <v>25276</v>
      </c>
      <c r="J3935">
        <v>2.84</v>
      </c>
      <c r="K3935" s="133">
        <v>5.2610050459524112E-2</v>
      </c>
      <c r="L3935" s="181">
        <v>0</v>
      </c>
      <c r="M3935" s="133">
        <v>8.5940066004424442E-2</v>
      </c>
      <c r="N3935" s="73">
        <v>-15806.033999999985</v>
      </c>
      <c r="O3935" s="73">
        <v>-5239.171569520543</v>
      </c>
      <c r="P3935" s="182">
        <v>11</v>
      </c>
      <c r="Q3935" s="182">
        <v>5500</v>
      </c>
      <c r="R3935" s="46">
        <v>3.859</v>
      </c>
      <c r="S3935" s="46">
        <v>0</v>
      </c>
      <c r="T3935" s="46">
        <v>0</v>
      </c>
      <c r="U3935" s="46">
        <v>0</v>
      </c>
      <c r="V3935" s="46" t="s">
        <v>62</v>
      </c>
      <c r="W3935" s="46">
        <v>5500</v>
      </c>
      <c r="X3935" s="46">
        <v>3.859</v>
      </c>
      <c r="AF3935" s="46">
        <v>61</v>
      </c>
      <c r="AG3935" s="46">
        <v>30400</v>
      </c>
      <c r="AH3935" s="46">
        <v>193857</v>
      </c>
      <c r="AI3935" s="46">
        <v>6.3769999999999998</v>
      </c>
      <c r="AJ3935" s="46">
        <v>61</v>
      </c>
      <c r="AK3935" s="46">
        <v>27000</v>
      </c>
      <c r="AL3935" s="46">
        <v>173554.96600000007</v>
      </c>
      <c r="AM3935" s="46">
        <v>6.4279999999999999</v>
      </c>
      <c r="AN3935" s="46" t="s">
        <v>63</v>
      </c>
      <c r="AO3935" s="46">
        <v>3400</v>
      </c>
      <c r="AP3935" s="46">
        <v>20302.034</v>
      </c>
      <c r="AQ3935" s="46">
        <v>5.9710000000000001</v>
      </c>
      <c r="AR3935" s="46">
        <v>1377</v>
      </c>
      <c r="AS3935" s="46">
        <v>72</v>
      </c>
      <c r="AT3935" s="46">
        <v>35900</v>
      </c>
      <c r="AU3935" s="46">
        <v>214849</v>
      </c>
      <c r="AV3935" s="46">
        <v>5.9850000000000003</v>
      </c>
      <c r="AW3935" s="46">
        <v>61</v>
      </c>
      <c r="AX3935" s="46">
        <v>27000</v>
      </c>
      <c r="AY3935" s="46">
        <v>173554.96600000007</v>
      </c>
      <c r="AZ3935" s="46">
        <v>6.4279999999999999</v>
      </c>
      <c r="BA3935" s="46" t="s">
        <v>63</v>
      </c>
      <c r="BB3935" s="46">
        <v>8900</v>
      </c>
      <c r="BC3935" s="46">
        <v>41294.034</v>
      </c>
      <c r="BD3935" s="46">
        <v>4.6399999999999997</v>
      </c>
      <c r="BE3935" s="46">
        <v>11961</v>
      </c>
      <c r="BF3935" s="46">
        <v>20992</v>
      </c>
      <c r="BG3935" s="46">
        <v>3.82</v>
      </c>
      <c r="BH3935" s="46">
        <v>0</v>
      </c>
      <c r="BJ3935">
        <v>20992</v>
      </c>
      <c r="BK3935">
        <v>3.82</v>
      </c>
      <c r="BL3935">
        <v>484.86</v>
      </c>
    </row>
    <row r="3936" spans="1:64" x14ac:dyDescent="0.25">
      <c r="A3936" s="136">
        <v>43962</v>
      </c>
      <c r="B3936" t="s">
        <v>67</v>
      </c>
      <c r="C3936" t="s">
        <v>129</v>
      </c>
      <c r="D3936">
        <v>100</v>
      </c>
      <c r="E3936">
        <v>100</v>
      </c>
      <c r="F3936">
        <v>-43.515999999999998</v>
      </c>
      <c r="G3936">
        <v>5066.62</v>
      </c>
      <c r="H3936">
        <v>0</v>
      </c>
      <c r="I3936">
        <v>715</v>
      </c>
      <c r="J3936">
        <v>7.15</v>
      </c>
      <c r="K3936" s="133">
        <v>1.4882175217027908E-3</v>
      </c>
      <c r="L3936" s="181">
        <v>22</v>
      </c>
      <c r="M3936" s="133">
        <v>0</v>
      </c>
      <c r="N3936" s="73">
        <v>4990.8287999999811</v>
      </c>
      <c r="O3936" s="73">
        <v>774.58592944099155</v>
      </c>
      <c r="P3936" s="182">
        <v>1</v>
      </c>
      <c r="Q3936" s="182">
        <v>30</v>
      </c>
      <c r="R3936" s="46">
        <v>0</v>
      </c>
      <c r="S3936" s="46">
        <v>27</v>
      </c>
      <c r="T3936" s="46">
        <v>10800</v>
      </c>
      <c r="U3936" s="46">
        <v>8.0510000000000002</v>
      </c>
      <c r="V3936" s="46" t="s">
        <v>68</v>
      </c>
      <c r="W3936" s="46">
        <v>10770</v>
      </c>
      <c r="X3936" s="46">
        <v>8.0730000000000004</v>
      </c>
      <c r="AF3936" s="46">
        <v>208</v>
      </c>
      <c r="AG3936" s="46">
        <v>102400</v>
      </c>
      <c r="AH3936" s="46">
        <v>840956</v>
      </c>
      <c r="AI3936" s="46">
        <v>8.2119999999999997</v>
      </c>
      <c r="AJ3936" s="46">
        <v>212</v>
      </c>
      <c r="AK3936" s="46">
        <v>94130</v>
      </c>
      <c r="AL3936" s="46">
        <v>827699.40080000006</v>
      </c>
      <c r="AM3936" s="46">
        <v>8.7929999999999993</v>
      </c>
      <c r="AN3936" s="46" t="s">
        <v>63</v>
      </c>
      <c r="AO3936" s="46">
        <v>8270</v>
      </c>
      <c r="AP3936" s="46">
        <v>13256.599</v>
      </c>
      <c r="AQ3936" s="46">
        <v>1.603</v>
      </c>
      <c r="AR3936" s="46">
        <v>54689.53</v>
      </c>
      <c r="AS3936" s="46">
        <v>209</v>
      </c>
      <c r="AT3936" s="46">
        <v>102430</v>
      </c>
      <c r="AU3936" s="46">
        <v>840961</v>
      </c>
      <c r="AV3936" s="46">
        <v>8.2100000000000009</v>
      </c>
      <c r="AW3936" s="46">
        <v>239</v>
      </c>
      <c r="AX3936" s="46">
        <v>104930</v>
      </c>
      <c r="AY3936" s="46">
        <v>914435.94480000006</v>
      </c>
      <c r="AZ3936" s="46">
        <v>8.7149999999999999</v>
      </c>
      <c r="BA3936" s="46" t="s">
        <v>69</v>
      </c>
      <c r="BB3936" s="46">
        <v>2500</v>
      </c>
      <c r="BC3936" s="46">
        <v>73474.945000000007</v>
      </c>
      <c r="BD3936" s="46">
        <v>29.39</v>
      </c>
      <c r="BE3936" s="46">
        <v>51727.15</v>
      </c>
      <c r="BF3936" s="46">
        <v>5</v>
      </c>
      <c r="BG3936" s="46">
        <v>0.17</v>
      </c>
      <c r="BH3936" s="46">
        <v>86736.543999999994</v>
      </c>
      <c r="BI3936">
        <v>8.0299999999999994</v>
      </c>
      <c r="BJ3936">
        <v>60218.346000000005</v>
      </c>
      <c r="BK3936">
        <v>5.59</v>
      </c>
      <c r="BL3936">
        <v>7648.89</v>
      </c>
    </row>
    <row r="3937" spans="1:64" x14ac:dyDescent="0.25">
      <c r="A3937" s="136">
        <v>43962</v>
      </c>
      <c r="B3937" t="s">
        <v>78</v>
      </c>
      <c r="C3937" t="s">
        <v>142</v>
      </c>
      <c r="D3937">
        <v>100</v>
      </c>
      <c r="E3937">
        <v>100</v>
      </c>
      <c r="F3937">
        <v>-5.867</v>
      </c>
      <c r="G3937">
        <v>1671.66</v>
      </c>
      <c r="H3937">
        <v>0</v>
      </c>
      <c r="I3937">
        <v>1085</v>
      </c>
      <c r="J3937">
        <v>10.85</v>
      </c>
      <c r="K3937" s="133">
        <v>2.2583440713951439E-3</v>
      </c>
      <c r="L3937" s="181">
        <v>-38</v>
      </c>
      <c r="M3937" s="133">
        <v>0</v>
      </c>
      <c r="N3937" s="73">
        <v>1576.660999999996</v>
      </c>
      <c r="O3937" s="73">
        <v>159.17905752525212</v>
      </c>
      <c r="P3937" s="182">
        <v>0</v>
      </c>
      <c r="Q3937" s="182">
        <v>0</v>
      </c>
      <c r="R3937" s="46">
        <v>0</v>
      </c>
      <c r="S3937" s="46">
        <v>4</v>
      </c>
      <c r="T3937" s="46">
        <v>1300</v>
      </c>
      <c r="U3937" s="46">
        <v>9.9220000000000006</v>
      </c>
      <c r="V3937" s="46" t="s">
        <v>68</v>
      </c>
      <c r="W3937" s="46">
        <v>1300</v>
      </c>
      <c r="X3937" s="46">
        <v>9.9220000000000006</v>
      </c>
      <c r="AF3937" s="46">
        <v>14</v>
      </c>
      <c r="AG3937" s="46">
        <v>7000</v>
      </c>
      <c r="AH3937" s="46">
        <v>67625</v>
      </c>
      <c r="AI3937" s="46">
        <v>9.6609999999999996</v>
      </c>
      <c r="AJ3937" s="46">
        <v>15</v>
      </c>
      <c r="AK3937" s="46">
        <v>5600</v>
      </c>
      <c r="AL3937" s="46">
        <v>55310.559000000008</v>
      </c>
      <c r="AM3937" s="46">
        <v>9.8770000000000007</v>
      </c>
      <c r="AN3937" s="46" t="s">
        <v>63</v>
      </c>
      <c r="AO3937" s="46">
        <v>1400</v>
      </c>
      <c r="AP3937" s="46">
        <v>12314.441000000001</v>
      </c>
      <c r="AQ3937" s="46">
        <v>8.7959999999999994</v>
      </c>
      <c r="AR3937" s="46">
        <v>1209.5999999999999</v>
      </c>
      <c r="AS3937" s="46">
        <v>14</v>
      </c>
      <c r="AT3937" s="46">
        <v>7000</v>
      </c>
      <c r="AU3937" s="46">
        <v>67625</v>
      </c>
      <c r="AV3937" s="46">
        <v>9.6609999999999996</v>
      </c>
      <c r="AW3937" s="46">
        <v>19</v>
      </c>
      <c r="AX3937" s="46">
        <v>6900</v>
      </c>
      <c r="AY3937" s="46">
        <v>68211.661000000007</v>
      </c>
      <c r="AZ3937" s="46">
        <v>9.8859999999999992</v>
      </c>
      <c r="BA3937" s="46" t="s">
        <v>63</v>
      </c>
      <c r="BB3937" s="46">
        <v>100</v>
      </c>
      <c r="BC3937" s="46">
        <v>586.66099999999994</v>
      </c>
      <c r="BD3937" s="46">
        <v>5.867</v>
      </c>
      <c r="BE3937" s="46">
        <v>1552.5</v>
      </c>
      <c r="BF3937" s="46">
        <v>0</v>
      </c>
      <c r="BH3937" s="46">
        <v>12901.101999999999</v>
      </c>
      <c r="BI3937">
        <v>9.92</v>
      </c>
      <c r="BJ3937">
        <v>-11727.78</v>
      </c>
      <c r="BK3937">
        <v>-9.02</v>
      </c>
      <c r="BL3937">
        <v>111.48</v>
      </c>
    </row>
    <row r="3938" spans="1:64" x14ac:dyDescent="0.25">
      <c r="A3938" s="136">
        <v>43962</v>
      </c>
      <c r="B3938" t="s">
        <v>72</v>
      </c>
      <c r="C3938" t="s">
        <v>130</v>
      </c>
      <c r="D3938">
        <v>100</v>
      </c>
      <c r="E3938">
        <v>100</v>
      </c>
      <c r="F3938">
        <v>-18.477</v>
      </c>
      <c r="G3938">
        <v>2290.7399999999998</v>
      </c>
      <c r="H3938">
        <v>0</v>
      </c>
      <c r="I3938">
        <v>443</v>
      </c>
      <c r="J3938">
        <v>4.43</v>
      </c>
      <c r="K3938" s="133">
        <v>9.2207043652354722E-4</v>
      </c>
      <c r="L3938" s="181">
        <v>10</v>
      </c>
      <c r="M3938" s="133">
        <v>0</v>
      </c>
      <c r="N3938" s="73">
        <v>-1498.9659999999872</v>
      </c>
      <c r="O3938" s="73">
        <v>376.42007904191922</v>
      </c>
      <c r="P3938" s="182">
        <v>0</v>
      </c>
      <c r="Q3938" s="182">
        <v>0</v>
      </c>
      <c r="R3938" s="46">
        <v>0</v>
      </c>
      <c r="S3938" s="46">
        <v>20</v>
      </c>
      <c r="T3938" s="46">
        <v>8600</v>
      </c>
      <c r="U3938" s="46">
        <v>7.3840000000000003</v>
      </c>
      <c r="V3938" s="46" t="s">
        <v>68</v>
      </c>
      <c r="W3938" s="46">
        <v>8600</v>
      </c>
      <c r="X3938" s="46">
        <v>7.3840000000000003</v>
      </c>
      <c r="AF3938" s="46">
        <v>42</v>
      </c>
      <c r="AG3938" s="46">
        <v>20900</v>
      </c>
      <c r="AH3938" s="46">
        <v>152800</v>
      </c>
      <c r="AI3938" s="46">
        <v>7.3109999999999999</v>
      </c>
      <c r="AJ3938" s="46">
        <v>42</v>
      </c>
      <c r="AK3938" s="46">
        <v>18800</v>
      </c>
      <c r="AL3938" s="46">
        <v>92037.725000000035</v>
      </c>
      <c r="AM3938" s="46">
        <v>4.8959999999999999</v>
      </c>
      <c r="AN3938" s="46" t="s">
        <v>63</v>
      </c>
      <c r="AO3938" s="46">
        <v>2100</v>
      </c>
      <c r="AP3938" s="46">
        <v>60762.275000000001</v>
      </c>
      <c r="AQ3938" s="46">
        <v>28.934000000000001</v>
      </c>
      <c r="AR3938" s="46">
        <v>-45402</v>
      </c>
      <c r="AS3938" s="46">
        <v>42</v>
      </c>
      <c r="AT3938" s="46">
        <v>20900</v>
      </c>
      <c r="AU3938" s="46">
        <v>152800</v>
      </c>
      <c r="AV3938" s="46">
        <v>7.3109999999999999</v>
      </c>
      <c r="AW3938" s="46">
        <v>63</v>
      </c>
      <c r="AX3938" s="46">
        <v>27900</v>
      </c>
      <c r="AY3938" s="46">
        <v>155380.21900000001</v>
      </c>
      <c r="AZ3938" s="46">
        <v>5.569</v>
      </c>
      <c r="BA3938" s="46" t="s">
        <v>69</v>
      </c>
      <c r="BB3938" s="46">
        <v>7000</v>
      </c>
      <c r="BC3938" s="46">
        <v>2580.2190000000001</v>
      </c>
      <c r="BD3938" s="46">
        <v>0.36899999999999999</v>
      </c>
      <c r="BE3938" s="46">
        <v>-36407.800000000003</v>
      </c>
      <c r="BF3938" s="46">
        <v>0</v>
      </c>
      <c r="BH3938" s="46">
        <v>63342.493999999977</v>
      </c>
      <c r="BI3938">
        <v>7.37</v>
      </c>
      <c r="BJ3938">
        <v>-58182.056000000004</v>
      </c>
      <c r="BK3938">
        <v>-6.77</v>
      </c>
      <c r="BL3938">
        <v>-10248.76</v>
      </c>
    </row>
    <row r="3939" spans="1:64" x14ac:dyDescent="0.25">
      <c r="A3939" s="136">
        <v>43962</v>
      </c>
      <c r="B3939" t="s">
        <v>70</v>
      </c>
      <c r="C3939" t="s">
        <v>131</v>
      </c>
      <c r="D3939">
        <v>15680</v>
      </c>
      <c r="E3939">
        <v>15680</v>
      </c>
      <c r="F3939">
        <v>8.2200000000000006</v>
      </c>
      <c r="G3939">
        <v>-16777.259999999998</v>
      </c>
      <c r="H3939">
        <v>-13.02</v>
      </c>
      <c r="I3939">
        <v>112112</v>
      </c>
      <c r="J3939">
        <v>7.15</v>
      </c>
      <c r="K3939" s="133">
        <v>0.23335250740299759</v>
      </c>
      <c r="L3939" s="181">
        <v>3449.6000000000022</v>
      </c>
      <c r="M3939" s="133">
        <v>0.26827308404378547</v>
      </c>
      <c r="N3939" s="73">
        <v>-19137.176999999981</v>
      </c>
      <c r="O3939" s="73">
        <v>-2732.5154873571405</v>
      </c>
      <c r="P3939" s="182">
        <v>0</v>
      </c>
      <c r="Q3939" s="182">
        <v>0</v>
      </c>
      <c r="R3939" s="46">
        <v>0</v>
      </c>
      <c r="S3939" s="46">
        <v>5</v>
      </c>
      <c r="T3939" s="46">
        <v>2000</v>
      </c>
      <c r="U3939" s="46">
        <v>7.71</v>
      </c>
      <c r="V3939" s="46" t="s">
        <v>68</v>
      </c>
      <c r="W3939" s="46">
        <v>2000</v>
      </c>
      <c r="X3939" s="46">
        <v>7.71</v>
      </c>
      <c r="AF3939" s="46">
        <v>218</v>
      </c>
      <c r="AG3939" s="46">
        <v>109180</v>
      </c>
      <c r="AH3939" s="46">
        <v>1205038</v>
      </c>
      <c r="AI3939" s="46">
        <v>11.037000000000001</v>
      </c>
      <c r="AJ3939" s="46">
        <v>227</v>
      </c>
      <c r="AK3939" s="46">
        <v>91500</v>
      </c>
      <c r="AL3939" s="46">
        <v>1058561.2429999993</v>
      </c>
      <c r="AM3939" s="46">
        <v>11.569000000000001</v>
      </c>
      <c r="AN3939" s="46" t="s">
        <v>63</v>
      </c>
      <c r="AO3939" s="46">
        <v>17680</v>
      </c>
      <c r="AP3939" s="46">
        <v>146476.75700000001</v>
      </c>
      <c r="AQ3939" s="46">
        <v>8.2850000000000001</v>
      </c>
      <c r="AR3939" s="46">
        <v>48678</v>
      </c>
      <c r="AS3939" s="46">
        <v>218</v>
      </c>
      <c r="AT3939" s="46">
        <v>109180</v>
      </c>
      <c r="AU3939" s="46">
        <v>1205038</v>
      </c>
      <c r="AV3939" s="46">
        <v>11.037000000000001</v>
      </c>
      <c r="AW3939" s="46">
        <v>233</v>
      </c>
      <c r="AX3939" s="46">
        <v>93500</v>
      </c>
      <c r="AY3939" s="46">
        <v>1074370.8229999994</v>
      </c>
      <c r="AZ3939" s="46">
        <v>11.491</v>
      </c>
      <c r="BA3939" s="46" t="s">
        <v>63</v>
      </c>
      <c r="BB3939" s="46">
        <v>15680</v>
      </c>
      <c r="BC3939" s="46">
        <v>130667.177</v>
      </c>
      <c r="BD3939" s="46">
        <v>8.3330000000000002</v>
      </c>
      <c r="BE3939" s="46">
        <v>42449</v>
      </c>
      <c r="BF3939" s="46">
        <v>0</v>
      </c>
      <c r="BH3939" s="46">
        <v>15809.580000000075</v>
      </c>
      <c r="BI3939">
        <v>7.9</v>
      </c>
      <c r="BJ3939">
        <v>-15809.580000000016</v>
      </c>
      <c r="BK3939">
        <v>-7.9</v>
      </c>
      <c r="BL3939">
        <v>6808.11</v>
      </c>
    </row>
    <row r="3940" spans="1:64" x14ac:dyDescent="0.25">
      <c r="A3940" s="136">
        <v>43962</v>
      </c>
      <c r="B3940" t="s">
        <v>628</v>
      </c>
      <c r="C3940" t="s">
        <v>629</v>
      </c>
      <c r="D3940">
        <v>100</v>
      </c>
      <c r="E3940">
        <v>100</v>
      </c>
      <c r="F3940">
        <v>-22.369</v>
      </c>
      <c r="G3940">
        <v>3683.85</v>
      </c>
      <c r="H3940">
        <v>0</v>
      </c>
      <c r="I3940">
        <v>1447</v>
      </c>
      <c r="J3940">
        <v>14.47</v>
      </c>
      <c r="K3940" s="133">
        <v>3.0118192362292842E-3</v>
      </c>
      <c r="L3940" s="181">
        <v>32</v>
      </c>
      <c r="M3940" s="133">
        <v>0</v>
      </c>
    </row>
    <row r="3941" spans="1:64" x14ac:dyDescent="0.25">
      <c r="A3941" s="136">
        <v>43962</v>
      </c>
      <c r="B3941" t="s">
        <v>630</v>
      </c>
      <c r="C3941" t="s">
        <v>631</v>
      </c>
      <c r="D3941">
        <v>100</v>
      </c>
      <c r="E3941">
        <v>100</v>
      </c>
      <c r="F3941">
        <v>-94.6</v>
      </c>
      <c r="G3941">
        <v>12817.02</v>
      </c>
      <c r="H3941">
        <v>0</v>
      </c>
      <c r="I3941">
        <v>3357</v>
      </c>
      <c r="J3941">
        <v>33.57</v>
      </c>
      <c r="K3941" s="133">
        <v>6.9873373711276483E-3</v>
      </c>
      <c r="L3941" s="181">
        <v>27</v>
      </c>
      <c r="M3941" s="133">
        <v>0</v>
      </c>
    </row>
    <row r="3942" spans="1:64" x14ac:dyDescent="0.25">
      <c r="A3942" s="136">
        <v>43962</v>
      </c>
      <c r="B3942" t="s">
        <v>816</v>
      </c>
      <c r="C3942" t="s">
        <v>817</v>
      </c>
      <c r="D3942">
        <v>500</v>
      </c>
      <c r="E3942">
        <v>500</v>
      </c>
      <c r="F3942">
        <v>23.04</v>
      </c>
      <c r="G3942">
        <v>8555</v>
      </c>
      <c r="H3942">
        <v>74.260000000000005</v>
      </c>
      <c r="I3942">
        <v>20075</v>
      </c>
      <c r="J3942">
        <v>40.15</v>
      </c>
      <c r="K3942" s="133">
        <v>4.1784568878578357E-2</v>
      </c>
      <c r="L3942" s="181">
        <v>3485</v>
      </c>
      <c r="M3942" s="133">
        <v>2.3977994195826781E-2</v>
      </c>
    </row>
    <row r="3943" spans="1:64" x14ac:dyDescent="0.25">
      <c r="A3943" s="136">
        <v>43962</v>
      </c>
      <c r="B3943" t="s">
        <v>768</v>
      </c>
      <c r="C3943" t="s">
        <v>769</v>
      </c>
      <c r="D3943">
        <v>500</v>
      </c>
      <c r="E3943">
        <v>500</v>
      </c>
      <c r="F3943">
        <v>2.4900000000000002</v>
      </c>
      <c r="G3943">
        <v>210</v>
      </c>
      <c r="H3943">
        <v>16.87</v>
      </c>
      <c r="I3943">
        <v>1455</v>
      </c>
      <c r="J3943">
        <v>2.91</v>
      </c>
      <c r="K3943" s="133">
        <v>3.0284706210874971E-3</v>
      </c>
      <c r="L3943" s="181">
        <v>30</v>
      </c>
      <c r="M3943" s="133">
        <v>2.5913717685594048E-3</v>
      </c>
    </row>
    <row r="3944" spans="1:64" x14ac:dyDescent="0.25">
      <c r="A3944" s="136">
        <v>43962</v>
      </c>
      <c r="B3944" t="s">
        <v>137</v>
      </c>
      <c r="C3944" t="s">
        <v>149</v>
      </c>
      <c r="D3944">
        <v>150</v>
      </c>
      <c r="E3944">
        <v>150</v>
      </c>
      <c r="F3944">
        <v>-87.406999999999996</v>
      </c>
      <c r="G3944">
        <v>17879.53</v>
      </c>
      <c r="H3944">
        <v>0</v>
      </c>
      <c r="I3944">
        <v>4768.5</v>
      </c>
      <c r="J3944">
        <v>31.79</v>
      </c>
      <c r="K3944" s="133">
        <v>9.9252660870486117E-3</v>
      </c>
      <c r="L3944" s="181">
        <v>-37.5</v>
      </c>
      <c r="M3944" s="133">
        <v>0</v>
      </c>
    </row>
    <row r="3945" spans="1:64" x14ac:dyDescent="0.25">
      <c r="A3945" s="136">
        <v>43962</v>
      </c>
      <c r="B3945" t="s">
        <v>835</v>
      </c>
      <c r="C3945" t="s">
        <v>839</v>
      </c>
      <c r="I3945">
        <v>8481.92</v>
      </c>
      <c r="K3945" s="133">
        <v>1.7654464282071798E-2</v>
      </c>
      <c r="L3945" s="181">
        <v>0</v>
      </c>
      <c r="M3945" s="133">
        <v>1.7654464282071798E-2</v>
      </c>
    </row>
    <row r="3946" spans="1:64" x14ac:dyDescent="0.25">
      <c r="A3946" s="136">
        <v>44006</v>
      </c>
      <c r="B3946" t="s">
        <v>61</v>
      </c>
      <c r="C3946" t="s">
        <v>136</v>
      </c>
      <c r="D3946">
        <v>5600</v>
      </c>
      <c r="E3946">
        <v>5600</v>
      </c>
      <c r="F3946">
        <v>4.2110000000000003</v>
      </c>
      <c r="G3946">
        <v>-3979.52</v>
      </c>
      <c r="H3946">
        <v>-16.88</v>
      </c>
      <c r="I3946">
        <v>19600</v>
      </c>
      <c r="J3946">
        <v>3.5</v>
      </c>
      <c r="K3946" s="133">
        <v>3.3712324069828825E-2</v>
      </c>
      <c r="L3946" s="181">
        <v>-348.11999999999989</v>
      </c>
      <c r="M3946" s="133">
        <v>4.0557164267908681E-2</v>
      </c>
      <c r="N3946" s="73">
        <v>-3987.4209999999985</v>
      </c>
      <c r="O3946" s="73">
        <v>-1138.6935112857138</v>
      </c>
      <c r="P3946" s="182">
        <v>6</v>
      </c>
      <c r="Q3946" s="182">
        <v>3000</v>
      </c>
      <c r="R3946" s="46">
        <v>3.8679999999999999</v>
      </c>
      <c r="S3946" s="46">
        <v>0</v>
      </c>
      <c r="T3946" s="46">
        <v>0</v>
      </c>
      <c r="U3946" s="46">
        <v>0</v>
      </c>
      <c r="V3946" s="46" t="s">
        <v>62</v>
      </c>
      <c r="W3946" s="46">
        <v>3000</v>
      </c>
      <c r="X3946" s="46">
        <v>3.8679999999999999</v>
      </c>
      <c r="AF3946" s="46">
        <v>27</v>
      </c>
      <c r="AG3946" s="46">
        <v>13500</v>
      </c>
      <c r="AH3946" s="46">
        <v>64458.100000000006</v>
      </c>
      <c r="AI3946" s="46">
        <v>4.7750000000000004</v>
      </c>
      <c r="AJ3946" s="46">
        <v>27</v>
      </c>
      <c r="AK3946" s="46">
        <v>10900</v>
      </c>
      <c r="AL3946" s="46">
        <v>52507.478999999985</v>
      </c>
      <c r="AM3946" s="46">
        <v>4.8170000000000002</v>
      </c>
      <c r="AN3946" s="46" t="s">
        <v>63</v>
      </c>
      <c r="AO3946" s="46">
        <v>2600</v>
      </c>
      <c r="AP3946" s="46">
        <v>11950.620999999999</v>
      </c>
      <c r="AQ3946" s="46">
        <v>4.5960000000000001</v>
      </c>
      <c r="AR3946" s="46">
        <v>457.8</v>
      </c>
      <c r="AS3946" s="46">
        <v>33</v>
      </c>
      <c r="AT3946" s="46">
        <v>16500</v>
      </c>
      <c r="AU3946" s="46">
        <v>76094.900000000023</v>
      </c>
      <c r="AV3946" s="46">
        <v>4.6120000000000001</v>
      </c>
      <c r="AW3946" s="46">
        <v>27</v>
      </c>
      <c r="AX3946" s="46">
        <v>10900</v>
      </c>
      <c r="AY3946" s="46">
        <v>52507.478999999985</v>
      </c>
      <c r="AZ3946" s="46">
        <v>4.8170000000000002</v>
      </c>
      <c r="BA3946" s="46" t="s">
        <v>63</v>
      </c>
      <c r="BB3946" s="46">
        <v>5600</v>
      </c>
      <c r="BC3946" s="46">
        <v>23587.420999999998</v>
      </c>
      <c r="BD3946" s="46">
        <v>4.2119999999999997</v>
      </c>
      <c r="BE3946" s="46">
        <v>2234.5</v>
      </c>
      <c r="BF3946" s="46">
        <v>11636.800000000017</v>
      </c>
      <c r="BG3946" s="46">
        <v>3.88</v>
      </c>
      <c r="BH3946" s="46">
        <v>0</v>
      </c>
      <c r="BJ3946">
        <v>11636.8</v>
      </c>
      <c r="BK3946">
        <v>3.88</v>
      </c>
      <c r="BL3946">
        <v>130.80000000000001</v>
      </c>
    </row>
    <row r="3947" spans="1:64" x14ac:dyDescent="0.25">
      <c r="A3947" s="136">
        <v>44006</v>
      </c>
      <c r="B3947" t="s">
        <v>124</v>
      </c>
      <c r="C3947" t="s">
        <v>125</v>
      </c>
      <c r="D3947">
        <v>100</v>
      </c>
      <c r="E3947">
        <v>100</v>
      </c>
      <c r="F3947">
        <v>-54.070999999999998</v>
      </c>
      <c r="G3947">
        <v>5929.07</v>
      </c>
      <c r="H3947">
        <v>0</v>
      </c>
      <c r="I3947">
        <v>522</v>
      </c>
      <c r="J3947">
        <v>5.22</v>
      </c>
      <c r="K3947" s="133">
        <v>8.9784863083931874E-4</v>
      </c>
      <c r="L3947" s="181">
        <v>8</v>
      </c>
      <c r="M3947" s="133">
        <v>0</v>
      </c>
      <c r="N3947" s="73">
        <v>5623.0690000000113</v>
      </c>
      <c r="O3947" s="73">
        <v>1111.8087987827732</v>
      </c>
      <c r="P3947" s="182">
        <v>0</v>
      </c>
      <c r="Q3947" s="182">
        <v>0</v>
      </c>
      <c r="R3947" s="46">
        <v>0</v>
      </c>
      <c r="S3947" s="46">
        <v>5</v>
      </c>
      <c r="T3947" s="46">
        <v>2300</v>
      </c>
      <c r="U3947" s="46">
        <v>4.99</v>
      </c>
      <c r="V3947" s="46" t="s">
        <v>68</v>
      </c>
      <c r="W3947" s="46">
        <v>2300</v>
      </c>
      <c r="X3947" s="46">
        <v>4.99</v>
      </c>
      <c r="AF3947" s="46">
        <v>50</v>
      </c>
      <c r="AG3947" s="46">
        <v>36700</v>
      </c>
      <c r="AH3947" s="46">
        <v>180101.02000000002</v>
      </c>
      <c r="AI3947" s="46">
        <v>4.907</v>
      </c>
      <c r="AJ3947" s="46">
        <v>58</v>
      </c>
      <c r="AK3947" s="46">
        <v>35300</v>
      </c>
      <c r="AL3947" s="46">
        <v>178266.546</v>
      </c>
      <c r="AM3947" s="46">
        <v>5.05</v>
      </c>
      <c r="AN3947" s="46" t="s">
        <v>63</v>
      </c>
      <c r="AO3947" s="46">
        <v>1400</v>
      </c>
      <c r="AP3947" s="46">
        <v>1834.4739999999999</v>
      </c>
      <c r="AQ3947" s="46">
        <v>1.31</v>
      </c>
      <c r="AR3947" s="46">
        <v>5047.8999999999996</v>
      </c>
      <c r="AS3947" s="46">
        <v>51</v>
      </c>
      <c r="AT3947" s="46">
        <v>37700</v>
      </c>
      <c r="AU3947" s="46">
        <v>185106.62</v>
      </c>
      <c r="AV3947" s="46">
        <v>4.91</v>
      </c>
      <c r="AW3947" s="46">
        <v>63</v>
      </c>
      <c r="AX3947" s="46">
        <v>37600</v>
      </c>
      <c r="AY3947" s="46">
        <v>189763.68900000001</v>
      </c>
      <c r="AZ3947" s="46">
        <v>5.0469999999999997</v>
      </c>
      <c r="BA3947" s="46" t="s">
        <v>63</v>
      </c>
      <c r="BB3947" s="46">
        <v>100</v>
      </c>
      <c r="BC3947" s="46">
        <v>4657.0690000000004</v>
      </c>
      <c r="BD3947" s="46">
        <v>46.570999999999998</v>
      </c>
      <c r="BE3947" s="46">
        <v>5151.2</v>
      </c>
      <c r="BF3947" s="46">
        <v>5005.5999999999767</v>
      </c>
      <c r="BH3947" s="46">
        <v>11497.143000000011</v>
      </c>
      <c r="BI3947">
        <v>5</v>
      </c>
      <c r="BJ3947">
        <v>2822.5950000000003</v>
      </c>
      <c r="BK3947">
        <v>1.23</v>
      </c>
      <c r="BL3947">
        <v>967.03</v>
      </c>
    </row>
    <row r="3948" spans="1:64" x14ac:dyDescent="0.25">
      <c r="A3948" s="136">
        <v>44006</v>
      </c>
      <c r="B3948" t="s">
        <v>71</v>
      </c>
      <c r="C3948" t="s">
        <v>126</v>
      </c>
      <c r="D3948">
        <v>6100</v>
      </c>
      <c r="E3948">
        <v>6100</v>
      </c>
      <c r="F3948">
        <v>4.5960000000000001</v>
      </c>
      <c r="G3948">
        <v>2891.41</v>
      </c>
      <c r="H3948">
        <v>10.31</v>
      </c>
      <c r="I3948">
        <v>30927</v>
      </c>
      <c r="J3948">
        <v>5.07</v>
      </c>
      <c r="K3948" s="133">
        <v>5.3194951352428368E-2</v>
      </c>
      <c r="L3948" s="181">
        <v>-228.20000000000027</v>
      </c>
      <c r="M3948" s="133">
        <v>4.8221678345349607E-2</v>
      </c>
      <c r="N3948" s="73">
        <v>3162.7280000000064</v>
      </c>
      <c r="O3948" s="73">
        <v>531.87995873016018</v>
      </c>
      <c r="P3948" s="182">
        <v>2</v>
      </c>
      <c r="Q3948" s="182">
        <v>1000</v>
      </c>
      <c r="R3948" s="46">
        <v>5.03</v>
      </c>
      <c r="S3948" s="46">
        <v>0</v>
      </c>
      <c r="T3948" s="46">
        <v>0</v>
      </c>
      <c r="U3948" s="46">
        <v>0</v>
      </c>
      <c r="V3948" s="46" t="s">
        <v>62</v>
      </c>
      <c r="W3948" s="46">
        <v>1000</v>
      </c>
      <c r="X3948" s="46">
        <v>5.03</v>
      </c>
      <c r="AF3948" s="46">
        <v>68</v>
      </c>
      <c r="AG3948" s="46">
        <v>36700</v>
      </c>
      <c r="AH3948" s="46">
        <v>224983.23999999987</v>
      </c>
      <c r="AI3948" s="46">
        <v>6.13</v>
      </c>
      <c r="AJ3948" s="46">
        <v>74</v>
      </c>
      <c r="AK3948" s="46">
        <v>31600</v>
      </c>
      <c r="AL3948" s="46">
        <v>201800.65600000002</v>
      </c>
      <c r="AM3948" s="46">
        <v>6.3860000000000001</v>
      </c>
      <c r="AN3948" s="46" t="s">
        <v>63</v>
      </c>
      <c r="AO3948" s="46">
        <v>5100</v>
      </c>
      <c r="AP3948" s="46">
        <v>23182.583999999999</v>
      </c>
      <c r="AQ3948" s="46">
        <v>4.5460000000000003</v>
      </c>
      <c r="AR3948" s="46">
        <v>8089.6</v>
      </c>
      <c r="AS3948" s="46">
        <v>70</v>
      </c>
      <c r="AT3948" s="46">
        <v>37700</v>
      </c>
      <c r="AU3948" s="46">
        <v>230023.83999999985</v>
      </c>
      <c r="AV3948" s="46">
        <v>6.101</v>
      </c>
      <c r="AW3948" s="46">
        <v>74</v>
      </c>
      <c r="AX3948" s="46">
        <v>31600</v>
      </c>
      <c r="AY3948" s="46">
        <v>201800.65600000002</v>
      </c>
      <c r="AZ3948" s="46">
        <v>6.3860000000000001</v>
      </c>
      <c r="BA3948" s="46" t="s">
        <v>63</v>
      </c>
      <c r="BB3948" s="46">
        <v>6100</v>
      </c>
      <c r="BC3948" s="46">
        <v>28223.184000000001</v>
      </c>
      <c r="BD3948" s="46">
        <v>4.6269999999999998</v>
      </c>
      <c r="BE3948" s="46">
        <v>9006</v>
      </c>
      <c r="BF3948" s="46">
        <v>5040.5999999999767</v>
      </c>
      <c r="BG3948" s="46">
        <v>5.04</v>
      </c>
      <c r="BH3948" s="46">
        <v>0</v>
      </c>
      <c r="BJ3948">
        <v>5040.6000000000022</v>
      </c>
      <c r="BK3948">
        <v>5.04</v>
      </c>
      <c r="BL3948">
        <v>1595.58</v>
      </c>
    </row>
    <row r="3949" spans="1:64" x14ac:dyDescent="0.25">
      <c r="A3949" s="136">
        <v>44006</v>
      </c>
      <c r="B3949" t="s">
        <v>79</v>
      </c>
      <c r="C3949" t="s">
        <v>143</v>
      </c>
      <c r="D3949">
        <v>8400</v>
      </c>
      <c r="E3949">
        <v>8400</v>
      </c>
      <c r="F3949">
        <v>10.500999999999999</v>
      </c>
      <c r="G3949">
        <v>-16468.79</v>
      </c>
      <c r="H3949">
        <v>-18.670000000000002</v>
      </c>
      <c r="I3949">
        <v>71736</v>
      </c>
      <c r="J3949">
        <v>8.5399999999999991</v>
      </c>
      <c r="K3949" s="133">
        <v>0.1233871060955735</v>
      </c>
      <c r="L3949" s="181">
        <v>21739.949999999997</v>
      </c>
      <c r="M3949" s="133">
        <v>0.15171369719342842</v>
      </c>
      <c r="N3949" s="73">
        <v>-16536.359400000423</v>
      </c>
      <c r="O3949" s="73">
        <v>-1888.9247108914772</v>
      </c>
      <c r="P3949" s="182">
        <v>9</v>
      </c>
      <c r="Q3949" s="182">
        <v>6420</v>
      </c>
      <c r="R3949" s="46">
        <v>4.1529999999999996</v>
      </c>
      <c r="S3949" s="46">
        <v>7</v>
      </c>
      <c r="T3949" s="46">
        <v>2800</v>
      </c>
      <c r="U3949" s="46">
        <v>7.4989999999999997</v>
      </c>
      <c r="V3949" s="46" t="s">
        <v>62</v>
      </c>
      <c r="W3949" s="46">
        <v>3620</v>
      </c>
      <c r="X3949" s="46">
        <v>1.5649999999999999</v>
      </c>
      <c r="AF3949" s="46">
        <v>74</v>
      </c>
      <c r="AG3949" s="46">
        <v>35600</v>
      </c>
      <c r="AH3949" s="46">
        <v>391695.3599999994</v>
      </c>
      <c r="AI3949" s="46">
        <v>11.003</v>
      </c>
      <c r="AJ3949" s="46">
        <v>73</v>
      </c>
      <c r="AK3949" s="46">
        <v>30820</v>
      </c>
      <c r="AL3949" s="46">
        <v>307430.52859999961</v>
      </c>
      <c r="AM3949" s="46">
        <v>9.9749999999999996</v>
      </c>
      <c r="AN3949" s="46" t="s">
        <v>63</v>
      </c>
      <c r="AO3949" s="46">
        <v>4780</v>
      </c>
      <c r="AP3949" s="46">
        <v>84264.831000000006</v>
      </c>
      <c r="AQ3949" s="46">
        <v>17.629000000000001</v>
      </c>
      <c r="AR3949" s="46">
        <v>-31682.959999999999</v>
      </c>
      <c r="AS3949" s="46">
        <v>83</v>
      </c>
      <c r="AT3949" s="46">
        <v>42020</v>
      </c>
      <c r="AU3949" s="46">
        <v>418405.2119999993</v>
      </c>
      <c r="AV3949" s="46">
        <v>9.9570000000000007</v>
      </c>
      <c r="AW3949" s="46">
        <v>80</v>
      </c>
      <c r="AX3949" s="46">
        <v>33620</v>
      </c>
      <c r="AY3949" s="46">
        <v>328368.85259999952</v>
      </c>
      <c r="AZ3949" s="46">
        <v>9.7669999999999995</v>
      </c>
      <c r="BA3949" s="46" t="s">
        <v>63</v>
      </c>
      <c r="BB3949" s="46">
        <v>8400</v>
      </c>
      <c r="BC3949" s="46">
        <v>90036.358999999997</v>
      </c>
      <c r="BD3949" s="46">
        <v>10.718999999999999</v>
      </c>
      <c r="BE3949" s="46">
        <v>-6387.8</v>
      </c>
      <c r="BF3949" s="46">
        <v>26709.851999999897</v>
      </c>
      <c r="BG3949" s="46">
        <v>4.16</v>
      </c>
      <c r="BH3949" s="46">
        <v>20938.323999999906</v>
      </c>
      <c r="BI3949">
        <v>7.48</v>
      </c>
      <c r="BJ3949">
        <v>5771.5279999999912</v>
      </c>
      <c r="BK3949">
        <v>1.59</v>
      </c>
      <c r="BL3949">
        <v>-3709.95</v>
      </c>
    </row>
    <row r="3950" spans="1:64" x14ac:dyDescent="0.25">
      <c r="A3950" s="136">
        <v>44006</v>
      </c>
      <c r="B3950" t="s">
        <v>749</v>
      </c>
      <c r="C3950" t="s">
        <v>750</v>
      </c>
      <c r="D3950">
        <v>500</v>
      </c>
      <c r="E3950">
        <v>500</v>
      </c>
      <c r="F3950">
        <v>5.85</v>
      </c>
      <c r="G3950">
        <v>285</v>
      </c>
      <c r="H3950">
        <v>9.7439999999999998</v>
      </c>
      <c r="I3950">
        <v>3210</v>
      </c>
      <c r="J3950">
        <v>6.42</v>
      </c>
      <c r="K3950" s="133">
        <v>5.5212530747015577E-3</v>
      </c>
      <c r="L3950" s="181">
        <v>65</v>
      </c>
      <c r="M3950" s="133">
        <v>5.0310483624616993E-3</v>
      </c>
    </row>
    <row r="3951" spans="1:64" x14ac:dyDescent="0.25">
      <c r="A3951" s="136">
        <v>44006</v>
      </c>
      <c r="B3951" t="s">
        <v>776</v>
      </c>
      <c r="C3951" t="s">
        <v>777</v>
      </c>
      <c r="D3951">
        <v>1</v>
      </c>
      <c r="E3951">
        <v>1</v>
      </c>
      <c r="F3951">
        <v>-13136.74</v>
      </c>
      <c r="G3951">
        <v>13214.13</v>
      </c>
      <c r="H3951">
        <v>0</v>
      </c>
      <c r="I3951">
        <v>77.39</v>
      </c>
      <c r="J3951">
        <v>77.39</v>
      </c>
      <c r="K3951" s="133">
        <v>1.331120795797986E-4</v>
      </c>
      <c r="L3951" s="181">
        <v>10.68999999999869</v>
      </c>
      <c r="M3951" s="133">
        <v>0</v>
      </c>
    </row>
    <row r="3952" spans="1:64" x14ac:dyDescent="0.25">
      <c r="A3952" s="136">
        <v>44006</v>
      </c>
      <c r="B3952" t="s">
        <v>65</v>
      </c>
      <c r="C3952" t="s">
        <v>82</v>
      </c>
      <c r="D3952">
        <v>28100</v>
      </c>
      <c r="E3952">
        <v>28100</v>
      </c>
      <c r="F3952">
        <v>8.2200000000000006</v>
      </c>
      <c r="G3952">
        <v>-44121.43</v>
      </c>
      <c r="H3952">
        <v>-19.100000000000001</v>
      </c>
      <c r="I3952">
        <v>186865</v>
      </c>
      <c r="J3952">
        <v>6.65</v>
      </c>
      <c r="K3952" s="133">
        <v>0.32141088965860015</v>
      </c>
      <c r="L3952" s="181">
        <v>972.02999999999884</v>
      </c>
      <c r="M3952" s="133">
        <v>0.39730047877004238</v>
      </c>
      <c r="N3952" s="73">
        <v>-47560.833000000159</v>
      </c>
      <c r="O3952" s="73">
        <v>-6475.6945898578288</v>
      </c>
      <c r="P3952" s="182">
        <v>3</v>
      </c>
      <c r="Q3952" s="182">
        <v>2000</v>
      </c>
      <c r="R3952" s="46">
        <v>7.1379999999999999</v>
      </c>
      <c r="S3952" s="46">
        <v>0</v>
      </c>
      <c r="T3952" s="46">
        <v>0</v>
      </c>
      <c r="U3952" s="46">
        <v>0</v>
      </c>
      <c r="V3952" s="46" t="s">
        <v>62</v>
      </c>
      <c r="W3952" s="46">
        <v>2000</v>
      </c>
      <c r="X3952" s="46">
        <v>7.1379999999999999</v>
      </c>
      <c r="AF3952" s="46">
        <v>288</v>
      </c>
      <c r="AG3952" s="46">
        <v>152900</v>
      </c>
      <c r="AH3952" s="46">
        <v>1553010.6810000001</v>
      </c>
      <c r="AI3952" s="46">
        <v>10.157</v>
      </c>
      <c r="AJ3952" s="46">
        <v>321</v>
      </c>
      <c r="AK3952" s="46">
        <v>136100</v>
      </c>
      <c r="AL3952" s="46">
        <v>1320183.9380000003</v>
      </c>
      <c r="AM3952" s="46">
        <v>9.6999999999999993</v>
      </c>
      <c r="AN3952" s="46" t="s">
        <v>63</v>
      </c>
      <c r="AO3952" s="46">
        <v>16800</v>
      </c>
      <c r="AP3952" s="46">
        <v>232826.74299999999</v>
      </c>
      <c r="AQ3952" s="46">
        <v>13.859</v>
      </c>
      <c r="AR3952" s="46">
        <v>-62197.7</v>
      </c>
      <c r="AS3952" s="46">
        <v>295</v>
      </c>
      <c r="AT3952" s="46">
        <v>156700</v>
      </c>
      <c r="AU3952" s="46">
        <v>1579862.6810000001</v>
      </c>
      <c r="AV3952" s="46">
        <v>10.082000000000001</v>
      </c>
      <c r="AW3952" s="46">
        <v>325</v>
      </c>
      <c r="AX3952" s="46">
        <v>137700</v>
      </c>
      <c r="AY3952" s="46">
        <v>1333242.8460000001</v>
      </c>
      <c r="AZ3952" s="46">
        <v>9.6820000000000004</v>
      </c>
      <c r="BA3952" s="46" t="s">
        <v>63</v>
      </c>
      <c r="BB3952" s="46">
        <v>19000</v>
      </c>
      <c r="BC3952" s="46">
        <v>246619.83499999999</v>
      </c>
      <c r="BD3952" s="46">
        <v>12.98</v>
      </c>
      <c r="BE3952" s="46">
        <v>-55080</v>
      </c>
      <c r="BF3952" s="46">
        <v>26852</v>
      </c>
      <c r="BG3952" s="46">
        <v>13.43</v>
      </c>
      <c r="BH3952" s="46">
        <v>13058.907999999821</v>
      </c>
      <c r="BJ3952">
        <v>13793.092000000004</v>
      </c>
      <c r="BK3952">
        <v>6.9</v>
      </c>
      <c r="BL3952">
        <v>-9353.0400000000009</v>
      </c>
    </row>
    <row r="3953" spans="1:64" x14ac:dyDescent="0.25">
      <c r="A3953" s="136">
        <v>44006</v>
      </c>
      <c r="B3953" t="s">
        <v>77</v>
      </c>
      <c r="C3953" t="s">
        <v>150</v>
      </c>
      <c r="D3953">
        <v>8500</v>
      </c>
      <c r="E3953">
        <v>8500</v>
      </c>
      <c r="F3953">
        <v>4.7039999999999997</v>
      </c>
      <c r="G3953">
        <v>-14655.83</v>
      </c>
      <c r="H3953">
        <v>-36.65</v>
      </c>
      <c r="I3953">
        <v>25330</v>
      </c>
      <c r="J3953">
        <v>2.98</v>
      </c>
      <c r="K3953" s="133">
        <v>4.3568018810651234E-2</v>
      </c>
      <c r="L3953" s="181">
        <v>1357.2600000000002</v>
      </c>
      <c r="M3953" s="133">
        <v>6.8776288732708343E-2</v>
      </c>
      <c r="N3953" s="73">
        <v>-1829.4176799999805</v>
      </c>
      <c r="O3953" s="73">
        <v>-4652.5337536184161</v>
      </c>
      <c r="P3953" s="182">
        <v>10</v>
      </c>
      <c r="Q3953" s="182">
        <v>4800</v>
      </c>
      <c r="R3953" s="46">
        <v>3.7890000000000001</v>
      </c>
      <c r="S3953" s="46">
        <v>0</v>
      </c>
      <c r="T3953" s="46">
        <v>0</v>
      </c>
      <c r="U3953" s="46">
        <v>0</v>
      </c>
      <c r="V3953" s="46" t="s">
        <v>62</v>
      </c>
      <c r="W3953" s="46">
        <v>4800</v>
      </c>
      <c r="X3953" s="46">
        <v>3.7890000000000001</v>
      </c>
      <c r="AF3953" s="46">
        <v>64</v>
      </c>
      <c r="AG3953" s="46">
        <v>31900</v>
      </c>
      <c r="AH3953" s="46">
        <v>199322</v>
      </c>
      <c r="AI3953" s="46">
        <v>6.2480000000000002</v>
      </c>
      <c r="AJ3953" s="46">
        <v>64</v>
      </c>
      <c r="AK3953" s="46">
        <v>28200</v>
      </c>
      <c r="AL3953" s="46">
        <v>177280.2220000001</v>
      </c>
      <c r="AM3953" s="46">
        <v>6.2869999999999999</v>
      </c>
      <c r="AN3953" s="46" t="s">
        <v>63</v>
      </c>
      <c r="AO3953" s="46">
        <v>3700</v>
      </c>
      <c r="AP3953" s="46">
        <v>22041.777999999998</v>
      </c>
      <c r="AQ3953" s="46">
        <v>5.9569999999999999</v>
      </c>
      <c r="AR3953" s="46">
        <v>1099.8</v>
      </c>
      <c r="AS3953" s="46">
        <v>74</v>
      </c>
      <c r="AT3953" s="46">
        <v>36700</v>
      </c>
      <c r="AU3953" s="46">
        <v>217271</v>
      </c>
      <c r="AV3953" s="46">
        <v>5.92</v>
      </c>
      <c r="AW3953" s="46">
        <v>64</v>
      </c>
      <c r="AX3953" s="46">
        <v>28200</v>
      </c>
      <c r="AY3953" s="46">
        <v>177280.2220000001</v>
      </c>
      <c r="AZ3953" s="46">
        <v>6.2869999999999999</v>
      </c>
      <c r="BA3953" s="46" t="s">
        <v>63</v>
      </c>
      <c r="BB3953" s="46">
        <v>8500</v>
      </c>
      <c r="BC3953" s="46">
        <v>39990.777999999998</v>
      </c>
      <c r="BD3953" s="46">
        <v>4.7050000000000001</v>
      </c>
      <c r="BE3953" s="46">
        <v>10349.4</v>
      </c>
      <c r="BF3953" s="46">
        <v>17949</v>
      </c>
      <c r="BG3953" s="46">
        <v>3.74</v>
      </c>
      <c r="BH3953" s="46">
        <v>0</v>
      </c>
      <c r="BJ3953">
        <v>17949</v>
      </c>
      <c r="BK3953">
        <v>3.74</v>
      </c>
      <c r="BL3953">
        <v>369.06</v>
      </c>
    </row>
    <row r="3954" spans="1:64" x14ac:dyDescent="0.25">
      <c r="A3954" s="136">
        <v>44006</v>
      </c>
      <c r="B3954" t="s">
        <v>67</v>
      </c>
      <c r="C3954" t="s">
        <v>83</v>
      </c>
      <c r="D3954">
        <v>100</v>
      </c>
      <c r="E3954">
        <v>100</v>
      </c>
      <c r="F3954">
        <v>-44.02</v>
      </c>
      <c r="G3954">
        <v>5038.01</v>
      </c>
      <c r="H3954">
        <v>0</v>
      </c>
      <c r="I3954">
        <v>636</v>
      </c>
      <c r="J3954">
        <v>6.36</v>
      </c>
      <c r="K3954" s="133">
        <v>1.0939305157352619E-3</v>
      </c>
      <c r="L3954" s="181">
        <v>-28.609999999999673</v>
      </c>
      <c r="M3954" s="133">
        <v>0</v>
      </c>
      <c r="N3954" s="73">
        <v>5034.220799999981</v>
      </c>
      <c r="O3954" s="73">
        <v>771.73369472392426</v>
      </c>
      <c r="P3954" s="182">
        <v>1</v>
      </c>
      <c r="Q3954" s="182">
        <v>30</v>
      </c>
      <c r="R3954" s="46">
        <v>0</v>
      </c>
      <c r="S3954" s="46">
        <v>27</v>
      </c>
      <c r="T3954" s="46">
        <v>10800</v>
      </c>
      <c r="U3954" s="46">
        <v>8.0540000000000003</v>
      </c>
      <c r="V3954" s="46" t="s">
        <v>68</v>
      </c>
      <c r="W3954" s="46">
        <v>10770</v>
      </c>
      <c r="X3954" s="46">
        <v>8.0760000000000005</v>
      </c>
      <c r="AF3954" s="46">
        <v>209</v>
      </c>
      <c r="AG3954" s="46">
        <v>102800</v>
      </c>
      <c r="AH3954" s="46">
        <v>843521</v>
      </c>
      <c r="AI3954" s="46">
        <v>8.2050000000000001</v>
      </c>
      <c r="AJ3954" s="46">
        <v>213</v>
      </c>
      <c r="AK3954" s="46">
        <v>94530</v>
      </c>
      <c r="AL3954" s="46">
        <v>830267.82480000006</v>
      </c>
      <c r="AM3954" s="46">
        <v>8.7829999999999995</v>
      </c>
      <c r="AN3954" s="46" t="s">
        <v>63</v>
      </c>
      <c r="AO3954" s="46">
        <v>8270</v>
      </c>
      <c r="AP3954" s="46">
        <v>13253.174999999999</v>
      </c>
      <c r="AQ3954" s="46">
        <v>1.603</v>
      </c>
      <c r="AR3954" s="46">
        <v>54638.34</v>
      </c>
      <c r="AS3954" s="46">
        <v>210</v>
      </c>
      <c r="AT3954" s="46">
        <v>102830</v>
      </c>
      <c r="AU3954" s="46">
        <v>843526</v>
      </c>
      <c r="AV3954" s="46">
        <v>8.2029999999999994</v>
      </c>
      <c r="AW3954" s="46">
        <v>240</v>
      </c>
      <c r="AX3954" s="46">
        <v>105330</v>
      </c>
      <c r="AY3954" s="46">
        <v>917036.33680000005</v>
      </c>
      <c r="AZ3954" s="46">
        <v>8.7059999999999995</v>
      </c>
      <c r="BA3954" s="46" t="s">
        <v>69</v>
      </c>
      <c r="BB3954" s="46">
        <v>2500</v>
      </c>
      <c r="BC3954" s="46">
        <v>73510.337</v>
      </c>
      <c r="BD3954" s="46">
        <v>29.404</v>
      </c>
      <c r="BE3954" s="46">
        <v>51723.49</v>
      </c>
      <c r="BF3954" s="46">
        <v>5</v>
      </c>
      <c r="BG3954" s="46">
        <v>0.17</v>
      </c>
      <c r="BH3954" s="46">
        <v>86768.511999999988</v>
      </c>
      <c r="BI3954">
        <v>8.0299999999999994</v>
      </c>
      <c r="BJ3954">
        <v>60257.161999999997</v>
      </c>
      <c r="BK3954">
        <v>5.59</v>
      </c>
      <c r="BL3954">
        <v>8590.93</v>
      </c>
    </row>
    <row r="3955" spans="1:64" x14ac:dyDescent="0.25">
      <c r="A3955" s="136">
        <v>44006</v>
      </c>
      <c r="B3955" t="s">
        <v>78</v>
      </c>
      <c r="C3955" t="s">
        <v>142</v>
      </c>
      <c r="D3955">
        <v>100</v>
      </c>
      <c r="E3955">
        <v>100</v>
      </c>
      <c r="F3955">
        <v>-6.0369999999999999</v>
      </c>
      <c r="G3955">
        <v>1792.66</v>
      </c>
      <c r="H3955">
        <v>0</v>
      </c>
      <c r="I3955">
        <v>1189</v>
      </c>
      <c r="J3955">
        <v>11.89</v>
      </c>
      <c r="K3955" s="133">
        <v>2.0450996591340038E-3</v>
      </c>
      <c r="L3955" s="181">
        <v>121</v>
      </c>
      <c r="M3955" s="133">
        <v>0</v>
      </c>
      <c r="N3955" s="73">
        <v>1576.660999999996</v>
      </c>
      <c r="O3955" s="73">
        <v>159.17905752525212</v>
      </c>
      <c r="P3955" s="182">
        <v>0</v>
      </c>
      <c r="Q3955" s="182">
        <v>0</v>
      </c>
      <c r="R3955" s="46">
        <v>0</v>
      </c>
      <c r="S3955" s="46">
        <v>4</v>
      </c>
      <c r="T3955" s="46">
        <v>1300</v>
      </c>
      <c r="U3955" s="46">
        <v>9.9220000000000006</v>
      </c>
      <c r="V3955" s="46" t="s">
        <v>68</v>
      </c>
      <c r="W3955" s="46">
        <v>1300</v>
      </c>
      <c r="X3955" s="46">
        <v>9.9220000000000006</v>
      </c>
      <c r="AF3955" s="46">
        <v>14</v>
      </c>
      <c r="AG3955" s="46">
        <v>7000</v>
      </c>
      <c r="AH3955" s="46">
        <v>67625</v>
      </c>
      <c r="AI3955" s="46">
        <v>9.6609999999999996</v>
      </c>
      <c r="AJ3955" s="46">
        <v>15</v>
      </c>
      <c r="AK3955" s="46">
        <v>5600</v>
      </c>
      <c r="AL3955" s="46">
        <v>55310.559000000008</v>
      </c>
      <c r="AM3955" s="46">
        <v>9.8770000000000007</v>
      </c>
      <c r="AN3955" s="46" t="s">
        <v>63</v>
      </c>
      <c r="AO3955" s="46">
        <v>1400</v>
      </c>
      <c r="AP3955" s="46">
        <v>12314.441000000001</v>
      </c>
      <c r="AQ3955" s="46">
        <v>8.7959999999999994</v>
      </c>
      <c r="AR3955" s="46">
        <v>1209.5999999999999</v>
      </c>
      <c r="AS3955" s="46">
        <v>14</v>
      </c>
      <c r="AT3955" s="46">
        <v>7000</v>
      </c>
      <c r="AU3955" s="46">
        <v>67625</v>
      </c>
      <c r="AV3955" s="46">
        <v>9.6609999999999996</v>
      </c>
      <c r="AW3955" s="46">
        <v>19</v>
      </c>
      <c r="AX3955" s="46">
        <v>6900</v>
      </c>
      <c r="AY3955" s="46">
        <v>68211.661000000007</v>
      </c>
      <c r="AZ3955" s="46">
        <v>9.8859999999999992</v>
      </c>
      <c r="BA3955" s="46" t="s">
        <v>63</v>
      </c>
      <c r="BB3955" s="46">
        <v>100</v>
      </c>
      <c r="BC3955" s="46">
        <v>586.66099999999994</v>
      </c>
      <c r="BD3955" s="46">
        <v>5.867</v>
      </c>
      <c r="BE3955" s="46">
        <v>1552.5</v>
      </c>
      <c r="BF3955" s="46">
        <v>0</v>
      </c>
      <c r="BH3955" s="46">
        <v>12901.101999999999</v>
      </c>
      <c r="BI3955">
        <v>9.92</v>
      </c>
      <c r="BJ3955">
        <v>-11727.78</v>
      </c>
      <c r="BK3955">
        <v>-9.02</v>
      </c>
      <c r="BL3955">
        <v>101.73</v>
      </c>
    </row>
    <row r="3956" spans="1:64" x14ac:dyDescent="0.25">
      <c r="A3956" s="136">
        <v>44006</v>
      </c>
      <c r="B3956" t="s">
        <v>72</v>
      </c>
      <c r="C3956" t="s">
        <v>130</v>
      </c>
      <c r="D3956">
        <v>100</v>
      </c>
      <c r="E3956">
        <v>100</v>
      </c>
      <c r="F3956">
        <v>-18.477</v>
      </c>
      <c r="G3956">
        <v>2318.7399999999998</v>
      </c>
      <c r="H3956">
        <v>0</v>
      </c>
      <c r="I3956">
        <v>471</v>
      </c>
      <c r="J3956">
        <v>4.71</v>
      </c>
      <c r="K3956" s="133">
        <v>8.1012778759639674E-4</v>
      </c>
      <c r="L3956" s="181">
        <v>28</v>
      </c>
      <c r="M3956" s="133">
        <v>0</v>
      </c>
      <c r="N3956" s="73">
        <v>-1498.9659999999872</v>
      </c>
      <c r="O3956" s="73">
        <v>376.42007904191922</v>
      </c>
      <c r="P3956" s="182">
        <v>0</v>
      </c>
      <c r="Q3956" s="182">
        <v>0</v>
      </c>
      <c r="R3956" s="46">
        <v>0</v>
      </c>
      <c r="S3956" s="46">
        <v>20</v>
      </c>
      <c r="T3956" s="46">
        <v>8600</v>
      </c>
      <c r="U3956" s="46">
        <v>7.3840000000000003</v>
      </c>
      <c r="V3956" s="46" t="s">
        <v>68</v>
      </c>
      <c r="W3956" s="46">
        <v>8600</v>
      </c>
      <c r="X3956" s="46">
        <v>7.3840000000000003</v>
      </c>
      <c r="AF3956" s="46">
        <v>42</v>
      </c>
      <c r="AG3956" s="46">
        <v>20900</v>
      </c>
      <c r="AH3956" s="46">
        <v>152800</v>
      </c>
      <c r="AI3956" s="46">
        <v>7.3109999999999999</v>
      </c>
      <c r="AJ3956" s="46">
        <v>42</v>
      </c>
      <c r="AK3956" s="46">
        <v>18800</v>
      </c>
      <c r="AL3956" s="46">
        <v>92037.725000000035</v>
      </c>
      <c r="AM3956" s="46">
        <v>4.8959999999999999</v>
      </c>
      <c r="AN3956" s="46" t="s">
        <v>63</v>
      </c>
      <c r="AO3956" s="46">
        <v>2100</v>
      </c>
      <c r="AP3956" s="46">
        <v>60762.275000000001</v>
      </c>
      <c r="AQ3956" s="46">
        <v>28.934000000000001</v>
      </c>
      <c r="AR3956" s="46">
        <v>-45402</v>
      </c>
      <c r="AS3956" s="46">
        <v>42</v>
      </c>
      <c r="AT3956" s="46">
        <v>20900</v>
      </c>
      <c r="AU3956" s="46">
        <v>152800</v>
      </c>
      <c r="AV3956" s="46">
        <v>7.3109999999999999</v>
      </c>
      <c r="AW3956" s="46">
        <v>63</v>
      </c>
      <c r="AX3956" s="46">
        <v>27900</v>
      </c>
      <c r="AY3956" s="46">
        <v>155380.21900000001</v>
      </c>
      <c r="AZ3956" s="46">
        <v>5.569</v>
      </c>
      <c r="BA3956" s="46" t="s">
        <v>69</v>
      </c>
      <c r="BB3956" s="46">
        <v>7000</v>
      </c>
      <c r="BC3956" s="46">
        <v>2580.2190000000001</v>
      </c>
      <c r="BD3956" s="46">
        <v>0.36899999999999999</v>
      </c>
      <c r="BE3956" s="46">
        <v>-36407.800000000003</v>
      </c>
      <c r="BF3956" s="46">
        <v>0</v>
      </c>
      <c r="BH3956" s="46">
        <v>63342.493999999977</v>
      </c>
      <c r="BI3956">
        <v>7.37</v>
      </c>
      <c r="BJ3956">
        <v>-58182.056000000004</v>
      </c>
      <c r="BK3956">
        <v>-6.77</v>
      </c>
      <c r="BL3956">
        <v>-9639.49</v>
      </c>
    </row>
    <row r="3957" spans="1:64" x14ac:dyDescent="0.25">
      <c r="A3957" s="136">
        <v>44006</v>
      </c>
      <c r="B3957" t="s">
        <v>70</v>
      </c>
      <c r="C3957" t="s">
        <v>131</v>
      </c>
      <c r="D3957">
        <v>16080</v>
      </c>
      <c r="E3957">
        <v>16080</v>
      </c>
      <c r="F3957">
        <v>8.0760000000000005</v>
      </c>
      <c r="G3957">
        <v>-24379.77</v>
      </c>
      <c r="H3957">
        <v>-18.77</v>
      </c>
      <c r="I3957">
        <v>105484.8</v>
      </c>
      <c r="J3957">
        <v>6.56</v>
      </c>
      <c r="K3957" s="133">
        <v>0.18143560010413673</v>
      </c>
      <c r="L3957" s="181">
        <v>-7602.510000000002</v>
      </c>
      <c r="M3957" s="133">
        <v>0.22336920760351892</v>
      </c>
      <c r="N3957" s="73">
        <v>-23101.277000000002</v>
      </c>
      <c r="O3957" s="73">
        <v>-3477.3684279367476</v>
      </c>
      <c r="P3957" s="182">
        <v>0</v>
      </c>
      <c r="Q3957" s="182">
        <v>0</v>
      </c>
      <c r="R3957" s="46">
        <v>0</v>
      </c>
      <c r="S3957" s="46">
        <v>6</v>
      </c>
      <c r="T3957" s="46">
        <v>2400</v>
      </c>
      <c r="U3957" s="46">
        <v>7.53</v>
      </c>
      <c r="V3957" s="46" t="s">
        <v>68</v>
      </c>
      <c r="W3957" s="46">
        <v>2400</v>
      </c>
      <c r="X3957" s="46">
        <v>7.53</v>
      </c>
      <c r="AF3957" s="46">
        <v>222</v>
      </c>
      <c r="AG3957" s="46">
        <v>110780</v>
      </c>
      <c r="AH3957" s="46">
        <v>1215858</v>
      </c>
      <c r="AI3957" s="46">
        <v>10.975</v>
      </c>
      <c r="AJ3957" s="46">
        <v>229</v>
      </c>
      <c r="AK3957" s="46">
        <v>92300</v>
      </c>
      <c r="AL3957" s="46">
        <v>1065761.5949999995</v>
      </c>
      <c r="AM3957" s="46">
        <v>11.547000000000001</v>
      </c>
      <c r="AN3957" s="46" t="s">
        <v>63</v>
      </c>
      <c r="AO3957" s="46">
        <v>18480</v>
      </c>
      <c r="AP3957" s="46">
        <v>150096.405</v>
      </c>
      <c r="AQ3957" s="46">
        <v>8.1219999999999999</v>
      </c>
      <c r="AR3957" s="46">
        <v>52795.6</v>
      </c>
      <c r="AS3957" s="46">
        <v>222</v>
      </c>
      <c r="AT3957" s="46">
        <v>110780</v>
      </c>
      <c r="AU3957" s="46">
        <v>1215858</v>
      </c>
      <c r="AV3957" s="46">
        <v>10.975</v>
      </c>
      <c r="AW3957" s="46">
        <v>236</v>
      </c>
      <c r="AX3957" s="46">
        <v>94700</v>
      </c>
      <c r="AY3957" s="46">
        <v>1084215.5229999996</v>
      </c>
      <c r="AZ3957" s="46">
        <v>11.449</v>
      </c>
      <c r="BA3957" s="46" t="s">
        <v>63</v>
      </c>
      <c r="BB3957" s="46">
        <v>16080</v>
      </c>
      <c r="BC3957" s="46">
        <v>131642.47700000001</v>
      </c>
      <c r="BD3957" s="46">
        <v>8.1869999999999994</v>
      </c>
      <c r="BE3957" s="46">
        <v>44887.8</v>
      </c>
      <c r="BF3957" s="46">
        <v>0</v>
      </c>
      <c r="BH3957" s="46">
        <v>18453.928000000073</v>
      </c>
      <c r="BI3957">
        <v>7.69</v>
      </c>
      <c r="BJ3957">
        <v>-18453.927999999985</v>
      </c>
      <c r="BK3957">
        <v>-7.69</v>
      </c>
      <c r="BL3957">
        <v>8048.11</v>
      </c>
    </row>
    <row r="3958" spans="1:64" x14ac:dyDescent="0.25">
      <c r="A3958" s="136">
        <v>44006</v>
      </c>
      <c r="B3958" t="s">
        <v>628</v>
      </c>
      <c r="C3958" t="s">
        <v>629</v>
      </c>
      <c r="D3958">
        <v>100</v>
      </c>
      <c r="E3958">
        <v>100</v>
      </c>
      <c r="F3958">
        <v>-22.369</v>
      </c>
      <c r="G3958">
        <v>3635.85</v>
      </c>
      <c r="H3958">
        <v>0</v>
      </c>
      <c r="I3958">
        <v>1399</v>
      </c>
      <c r="J3958">
        <v>13.99</v>
      </c>
      <c r="K3958" s="133">
        <v>2.4063031313107412E-3</v>
      </c>
      <c r="L3958" s="181">
        <v>-48</v>
      </c>
      <c r="M3958" s="133">
        <v>0</v>
      </c>
    </row>
    <row r="3959" spans="1:64" x14ac:dyDescent="0.25">
      <c r="A3959" s="136">
        <v>44006</v>
      </c>
      <c r="B3959" t="s">
        <v>768</v>
      </c>
      <c r="C3959" t="s">
        <v>769</v>
      </c>
      <c r="D3959">
        <v>500</v>
      </c>
      <c r="E3959">
        <v>500</v>
      </c>
      <c r="F3959">
        <v>2.4900000000000002</v>
      </c>
      <c r="G3959">
        <v>240</v>
      </c>
      <c r="H3959">
        <v>19.28</v>
      </c>
      <c r="I3959">
        <v>1485</v>
      </c>
      <c r="J3959">
        <v>2.97</v>
      </c>
      <c r="K3959" s="133">
        <v>2.5542245532497862E-3</v>
      </c>
      <c r="L3959" s="181">
        <v>30</v>
      </c>
      <c r="M3959" s="133">
        <v>2.1414205850478004E-3</v>
      </c>
    </row>
    <row r="3960" spans="1:64" x14ac:dyDescent="0.25">
      <c r="A3960" s="136">
        <v>44006</v>
      </c>
      <c r="B3960" t="s">
        <v>137</v>
      </c>
      <c r="C3960" t="s">
        <v>149</v>
      </c>
      <c r="D3960">
        <v>150</v>
      </c>
      <c r="E3960">
        <v>150</v>
      </c>
      <c r="F3960">
        <v>-87.614999999999995</v>
      </c>
      <c r="G3960">
        <v>18108.77</v>
      </c>
      <c r="H3960">
        <v>0</v>
      </c>
      <c r="I3960">
        <v>4966.5</v>
      </c>
      <c r="J3960">
        <v>33.11</v>
      </c>
      <c r="K3960" s="133">
        <v>8.5424621169798397E-3</v>
      </c>
      <c r="L3960" s="181">
        <v>229.2400000000016</v>
      </c>
      <c r="M3960" s="133">
        <v>0</v>
      </c>
    </row>
    <row r="3961" spans="1:64" x14ac:dyDescent="0.25">
      <c r="A3961" s="136">
        <v>44006</v>
      </c>
      <c r="B3961" t="s">
        <v>829</v>
      </c>
      <c r="C3961" t="s">
        <v>830</v>
      </c>
      <c r="D3961">
        <v>500</v>
      </c>
      <c r="E3961">
        <v>500</v>
      </c>
      <c r="F3961">
        <v>5.91</v>
      </c>
      <c r="G3961">
        <v>2710</v>
      </c>
      <c r="H3961">
        <v>91.71</v>
      </c>
      <c r="I3961">
        <v>5665</v>
      </c>
      <c r="J3961">
        <v>11.33</v>
      </c>
      <c r="K3961" s="133">
        <v>9.7438936661010354E-3</v>
      </c>
      <c r="M3961" s="133">
        <v>5.0826488584869477E-3</v>
      </c>
    </row>
    <row r="3962" spans="1:64" x14ac:dyDescent="0.25">
      <c r="A3962" s="136">
        <v>44006</v>
      </c>
      <c r="B3962" t="s">
        <v>831</v>
      </c>
      <c r="C3962" t="s">
        <v>832</v>
      </c>
      <c r="D3962">
        <v>500</v>
      </c>
      <c r="E3962">
        <v>500</v>
      </c>
      <c r="F3962">
        <v>70.37</v>
      </c>
      <c r="G3962">
        <v>54575</v>
      </c>
      <c r="H3962">
        <v>155.11000000000001</v>
      </c>
      <c r="I3962">
        <v>89760</v>
      </c>
      <c r="J3962">
        <v>179.52</v>
      </c>
      <c r="K3962" s="133">
        <v>0.15438868410754261</v>
      </c>
      <c r="M3962" s="133">
        <v>6.0518781754945267E-2</v>
      </c>
    </row>
    <row r="3963" spans="1:64" x14ac:dyDescent="0.25">
      <c r="A3963" s="136">
        <v>44006</v>
      </c>
      <c r="B3963" t="s">
        <v>835</v>
      </c>
      <c r="C3963" t="s">
        <v>839</v>
      </c>
      <c r="I3963">
        <v>32066.07</v>
      </c>
      <c r="K3963" s="133">
        <v>5.515417058601102E-2</v>
      </c>
      <c r="L3963" s="181">
        <v>0</v>
      </c>
      <c r="M3963" s="133">
        <v>5.515417058601102E-2</v>
      </c>
    </row>
    <row r="3964" spans="1:64" x14ac:dyDescent="0.25">
      <c r="A3964" s="136">
        <v>44022</v>
      </c>
      <c r="B3964" t="s">
        <v>132</v>
      </c>
      <c r="C3964" t="s">
        <v>123</v>
      </c>
      <c r="D3964">
        <v>12330977</v>
      </c>
      <c r="E3964">
        <v>12330977</v>
      </c>
      <c r="F3964">
        <v>0.01</v>
      </c>
      <c r="G3964">
        <v>12.77</v>
      </c>
      <c r="H3964">
        <v>0</v>
      </c>
      <c r="I3964">
        <v>123309.77</v>
      </c>
      <c r="J3964">
        <v>0.01</v>
      </c>
      <c r="K3964" s="133">
        <v>0.1699191994185007</v>
      </c>
      <c r="L3964" s="181">
        <v>-4199.37</v>
      </c>
      <c r="M3964" s="133">
        <v>0</v>
      </c>
    </row>
    <row r="3965" spans="1:64" x14ac:dyDescent="0.25">
      <c r="A3965" s="136">
        <v>44022</v>
      </c>
      <c r="B3965" t="s">
        <v>61</v>
      </c>
      <c r="C3965" t="s">
        <v>136</v>
      </c>
      <c r="D3965">
        <v>3000</v>
      </c>
      <c r="E3965">
        <v>3000</v>
      </c>
      <c r="F3965">
        <v>4.577</v>
      </c>
      <c r="G3965">
        <v>-2241.6</v>
      </c>
      <c r="H3965">
        <v>-16.321000000000002</v>
      </c>
      <c r="I3965">
        <v>11490</v>
      </c>
      <c r="J3965">
        <v>3.83</v>
      </c>
      <c r="K3965" s="133">
        <v>1.5833064981944034E-2</v>
      </c>
      <c r="L3965" s="181">
        <v>1737.92</v>
      </c>
      <c r="M3965" s="133">
        <v>1.8921959539256978E-2</v>
      </c>
      <c r="N3965" s="73">
        <v>-2180.859000000004</v>
      </c>
      <c r="O3965" s="73">
        <v>-566.17365467532568</v>
      </c>
      <c r="P3965" s="182">
        <v>3</v>
      </c>
      <c r="Q3965" s="182">
        <v>1500</v>
      </c>
      <c r="R3965" s="46">
        <v>4.2329999999999997</v>
      </c>
      <c r="S3965" s="46">
        <v>1</v>
      </c>
      <c r="T3965" s="46">
        <v>1400</v>
      </c>
      <c r="U3965" s="46">
        <v>3.85</v>
      </c>
      <c r="V3965" s="46" t="s">
        <v>62</v>
      </c>
      <c r="W3965" s="46">
        <v>100</v>
      </c>
      <c r="X3965" s="46">
        <v>9.5950000000000006</v>
      </c>
      <c r="AF3965" s="46">
        <v>30</v>
      </c>
      <c r="AG3965" s="46">
        <v>15000</v>
      </c>
      <c r="AH3965" s="46">
        <v>69729.000000000015</v>
      </c>
      <c r="AI3965" s="46">
        <v>4.649</v>
      </c>
      <c r="AJ3965" s="46">
        <v>30</v>
      </c>
      <c r="AK3965" s="46">
        <v>12100</v>
      </c>
      <c r="AL3965" s="46">
        <v>56975.270999999979</v>
      </c>
      <c r="AM3965" s="46">
        <v>4.7089999999999996</v>
      </c>
      <c r="AN3965" s="46" t="s">
        <v>63</v>
      </c>
      <c r="AO3965" s="46">
        <v>2900</v>
      </c>
      <c r="AP3965" s="46">
        <v>12753.728999999999</v>
      </c>
      <c r="AQ3965" s="46">
        <v>4.3979999999999997</v>
      </c>
      <c r="AR3965" s="46">
        <v>726</v>
      </c>
      <c r="AS3965" s="46">
        <v>33</v>
      </c>
      <c r="AT3965" s="46">
        <v>16500</v>
      </c>
      <c r="AU3965" s="46">
        <v>76094.900000000023</v>
      </c>
      <c r="AV3965" s="46">
        <v>4.6120000000000001</v>
      </c>
      <c r="AW3965" s="46">
        <v>31</v>
      </c>
      <c r="AX3965" s="46">
        <v>13500</v>
      </c>
      <c r="AY3965" s="46">
        <v>62364.040999999983</v>
      </c>
      <c r="AZ3965" s="46">
        <v>4.62</v>
      </c>
      <c r="BA3965" s="46" t="s">
        <v>63</v>
      </c>
      <c r="BB3965" s="46">
        <v>3000</v>
      </c>
      <c r="BC3965" s="46">
        <v>13730.859</v>
      </c>
      <c r="BD3965" s="46">
        <v>4.577</v>
      </c>
      <c r="BE3965" s="46">
        <v>108</v>
      </c>
      <c r="BF3965" s="46">
        <v>6365.9000000000087</v>
      </c>
      <c r="BG3965" s="46">
        <v>4.24</v>
      </c>
      <c r="BH3965" s="46">
        <v>5388.7700000000041</v>
      </c>
      <c r="BI3965">
        <v>3.85</v>
      </c>
      <c r="BJ3965">
        <v>977.13000000000102</v>
      </c>
      <c r="BK3965">
        <v>9.77</v>
      </c>
      <c r="BL3965">
        <v>189.56</v>
      </c>
    </row>
    <row r="3966" spans="1:64" x14ac:dyDescent="0.25">
      <c r="A3966" s="136">
        <v>44022</v>
      </c>
      <c r="B3966" t="s">
        <v>124</v>
      </c>
      <c r="C3966" t="s">
        <v>125</v>
      </c>
      <c r="D3966">
        <v>100</v>
      </c>
      <c r="E3966">
        <v>100</v>
      </c>
      <c r="F3966">
        <v>0.73699999999999999</v>
      </c>
      <c r="G3966">
        <v>448.28</v>
      </c>
      <c r="H3966">
        <v>608.27700000000004</v>
      </c>
      <c r="I3966">
        <v>522</v>
      </c>
      <c r="J3966">
        <v>5.22</v>
      </c>
      <c r="K3966" s="133">
        <v>7.1930895740424594E-4</v>
      </c>
      <c r="L3966" s="181">
        <v>-5480.79</v>
      </c>
      <c r="M3966" s="133">
        <v>1.015851654019943E-4</v>
      </c>
      <c r="N3966" s="73">
        <v>5623.0690000000113</v>
      </c>
      <c r="O3966" s="73">
        <v>1111.8087987827732</v>
      </c>
      <c r="P3966" s="182">
        <v>0</v>
      </c>
      <c r="Q3966" s="182">
        <v>0</v>
      </c>
      <c r="R3966" s="46">
        <v>0</v>
      </c>
      <c r="S3966" s="46">
        <v>5</v>
      </c>
      <c r="T3966" s="46">
        <v>2300</v>
      </c>
      <c r="U3966" s="46">
        <v>4.99</v>
      </c>
      <c r="V3966" s="46" t="s">
        <v>68</v>
      </c>
      <c r="W3966" s="46">
        <v>2300</v>
      </c>
      <c r="X3966" s="46">
        <v>4.99</v>
      </c>
      <c r="AF3966" s="46">
        <v>50</v>
      </c>
      <c r="AG3966" s="46">
        <v>36700</v>
      </c>
      <c r="AH3966" s="46">
        <v>180101.02000000002</v>
      </c>
      <c r="AI3966" s="46">
        <v>4.907</v>
      </c>
      <c r="AJ3966" s="46">
        <v>58</v>
      </c>
      <c r="AK3966" s="46">
        <v>35300</v>
      </c>
      <c r="AL3966" s="46">
        <v>178266.546</v>
      </c>
      <c r="AM3966" s="46">
        <v>5.05</v>
      </c>
      <c r="AN3966" s="46" t="s">
        <v>63</v>
      </c>
      <c r="AO3966" s="46">
        <v>1400</v>
      </c>
      <c r="AP3966" s="46">
        <v>1834.4739999999999</v>
      </c>
      <c r="AQ3966" s="46">
        <v>1.31</v>
      </c>
      <c r="AR3966" s="46">
        <v>5047.8999999999996</v>
      </c>
      <c r="AS3966" s="46">
        <v>51</v>
      </c>
      <c r="AT3966" s="46">
        <v>37700</v>
      </c>
      <c r="AU3966" s="46">
        <v>185106.62</v>
      </c>
      <c r="AV3966" s="46">
        <v>4.91</v>
      </c>
      <c r="AW3966" s="46">
        <v>63</v>
      </c>
      <c r="AX3966" s="46">
        <v>37600</v>
      </c>
      <c r="AY3966" s="46">
        <v>189763.68900000001</v>
      </c>
      <c r="AZ3966" s="46">
        <v>5.0469999999999997</v>
      </c>
      <c r="BA3966" s="46" t="s">
        <v>63</v>
      </c>
      <c r="BB3966" s="46">
        <v>100</v>
      </c>
      <c r="BC3966" s="46">
        <v>4657.0690000000004</v>
      </c>
      <c r="BD3966" s="46">
        <v>46.570999999999998</v>
      </c>
      <c r="BE3966" s="46">
        <v>5151.2</v>
      </c>
      <c r="BF3966" s="46">
        <v>5005.5999999999767</v>
      </c>
      <c r="BH3966" s="46">
        <v>11497.143000000011</v>
      </c>
      <c r="BI3966">
        <v>5</v>
      </c>
      <c r="BJ3966">
        <v>2822.5950000000003</v>
      </c>
      <c r="BK3966">
        <v>1.23</v>
      </c>
      <c r="BL3966">
        <v>967.03</v>
      </c>
    </row>
    <row r="3967" spans="1:64" x14ac:dyDescent="0.25">
      <c r="A3967" s="136">
        <v>44022</v>
      </c>
      <c r="B3967" t="s">
        <v>71</v>
      </c>
      <c r="C3967" t="s">
        <v>126</v>
      </c>
      <c r="D3967">
        <v>3500</v>
      </c>
      <c r="E3967">
        <v>3500</v>
      </c>
      <c r="F3967">
        <v>3.9</v>
      </c>
      <c r="G3967">
        <v>6368.69</v>
      </c>
      <c r="H3967">
        <v>46.667000000000002</v>
      </c>
      <c r="I3967">
        <v>20020</v>
      </c>
      <c r="J3967">
        <v>5.72</v>
      </c>
      <c r="K3967" s="133">
        <v>2.7587289898913799E-2</v>
      </c>
      <c r="L3967" s="181">
        <v>3477.2799999999997</v>
      </c>
      <c r="M3967" s="133">
        <v>1.8811321002494552E-2</v>
      </c>
      <c r="N3967" s="73">
        <v>8748.2280000000064</v>
      </c>
      <c r="O3967" s="73">
        <v>1260.5857584288062</v>
      </c>
      <c r="P3967" s="182">
        <v>0</v>
      </c>
      <c r="Q3967" s="182">
        <v>0</v>
      </c>
      <c r="R3967" s="46">
        <v>0</v>
      </c>
      <c r="S3967" s="46">
        <v>4</v>
      </c>
      <c r="T3967" s="46">
        <v>1600</v>
      </c>
      <c r="U3967" s="46">
        <v>5.7149999999999999</v>
      </c>
      <c r="V3967" s="46" t="s">
        <v>68</v>
      </c>
      <c r="W3967" s="46">
        <v>1600</v>
      </c>
      <c r="X3967" s="46">
        <v>5.7149999999999999</v>
      </c>
      <c r="AF3967" s="46">
        <v>70</v>
      </c>
      <c r="AG3967" s="46">
        <v>37700</v>
      </c>
      <c r="AH3967" s="46">
        <v>230023.83999999985</v>
      </c>
      <c r="AI3967" s="46">
        <v>6.101</v>
      </c>
      <c r="AJ3967" s="46">
        <v>75</v>
      </c>
      <c r="AK3967" s="46">
        <v>32600</v>
      </c>
      <c r="AL3967" s="46">
        <v>207069.77600000001</v>
      </c>
      <c r="AM3967" s="46">
        <v>6.3520000000000003</v>
      </c>
      <c r="AN3967" s="46" t="s">
        <v>63</v>
      </c>
      <c r="AO3967" s="46">
        <v>5100</v>
      </c>
      <c r="AP3967" s="46">
        <v>22954.063999999998</v>
      </c>
      <c r="AQ3967" s="46">
        <v>4.5010000000000003</v>
      </c>
      <c r="AR3967" s="46">
        <v>8182.6</v>
      </c>
      <c r="AS3967" s="46">
        <v>70</v>
      </c>
      <c r="AT3967" s="46">
        <v>37700</v>
      </c>
      <c r="AU3967" s="46">
        <v>230023.83999999985</v>
      </c>
      <c r="AV3967" s="46">
        <v>6.101</v>
      </c>
      <c r="AW3967" s="46">
        <v>79</v>
      </c>
      <c r="AX3967" s="46">
        <v>34200</v>
      </c>
      <c r="AY3967" s="46">
        <v>216183.67200000002</v>
      </c>
      <c r="AZ3967" s="46">
        <v>6.3209999999999997</v>
      </c>
      <c r="BA3967" s="46" t="s">
        <v>63</v>
      </c>
      <c r="BB3967" s="46">
        <v>3500</v>
      </c>
      <c r="BC3967" s="46">
        <v>13840.168</v>
      </c>
      <c r="BD3967" s="46">
        <v>3.9540000000000002</v>
      </c>
      <c r="BE3967" s="46">
        <v>7524</v>
      </c>
      <c r="BF3967" s="46">
        <v>0</v>
      </c>
      <c r="BH3967" s="46">
        <v>9113.8960000000079</v>
      </c>
      <c r="BI3967">
        <v>5.7</v>
      </c>
      <c r="BJ3967">
        <v>-9113.8959999999988</v>
      </c>
      <c r="BK3967">
        <v>-5.7</v>
      </c>
      <c r="BL3967">
        <v>1430.52</v>
      </c>
    </row>
    <row r="3968" spans="1:64" x14ac:dyDescent="0.25">
      <c r="A3968" s="136">
        <v>44022</v>
      </c>
      <c r="B3968" t="s">
        <v>79</v>
      </c>
      <c r="C3968" t="s">
        <v>143</v>
      </c>
      <c r="D3968">
        <v>7000</v>
      </c>
      <c r="E3968">
        <v>7000</v>
      </c>
      <c r="F3968">
        <v>10.817</v>
      </c>
      <c r="G3968">
        <v>-16849.560000000001</v>
      </c>
      <c r="H3968">
        <v>-22.251999999999999</v>
      </c>
      <c r="I3968">
        <v>58870</v>
      </c>
      <c r="J3968">
        <v>8.41</v>
      </c>
      <c r="K3968" s="133">
        <v>8.112206575170107E-2</v>
      </c>
      <c r="L3968" s="181">
        <v>-380.77000000000044</v>
      </c>
      <c r="M3968" s="133">
        <v>0.10434053210480505</v>
      </c>
      <c r="N3968" s="73">
        <v>-17513.203400000435</v>
      </c>
      <c r="O3968" s="73">
        <v>-2103.8998555649559</v>
      </c>
      <c r="P3968" s="182">
        <v>7</v>
      </c>
      <c r="Q3968" s="182">
        <v>5420</v>
      </c>
      <c r="R3968" s="46">
        <v>3.3759999999999999</v>
      </c>
      <c r="S3968" s="46">
        <v>6</v>
      </c>
      <c r="T3968" s="46">
        <v>3500</v>
      </c>
      <c r="U3968" s="46">
        <v>7.7530000000000001</v>
      </c>
      <c r="V3968" s="46" t="s">
        <v>62</v>
      </c>
      <c r="W3968" s="46">
        <v>1920</v>
      </c>
      <c r="X3968" s="46">
        <v>-4.6029999999999998</v>
      </c>
      <c r="AF3968" s="46">
        <v>80</v>
      </c>
      <c r="AG3968" s="46">
        <v>38300</v>
      </c>
      <c r="AH3968" s="46">
        <v>411698.97999999934</v>
      </c>
      <c r="AI3968" s="46">
        <v>10.749000000000001</v>
      </c>
      <c r="AJ3968" s="46">
        <v>79</v>
      </c>
      <c r="AK3968" s="46">
        <v>33220</v>
      </c>
      <c r="AL3968" s="46">
        <v>327203.26459999965</v>
      </c>
      <c r="AM3968" s="46">
        <v>9.85</v>
      </c>
      <c r="AN3968" s="46" t="s">
        <v>63</v>
      </c>
      <c r="AO3968" s="46">
        <v>5080</v>
      </c>
      <c r="AP3968" s="46">
        <v>84495.714999999997</v>
      </c>
      <c r="AQ3968" s="46">
        <v>16.632999999999999</v>
      </c>
      <c r="AR3968" s="46">
        <v>-29864.78</v>
      </c>
      <c r="AS3968" s="46">
        <v>87</v>
      </c>
      <c r="AT3968" s="46">
        <v>43720</v>
      </c>
      <c r="AU3968" s="46">
        <v>430033.23199999926</v>
      </c>
      <c r="AV3968" s="46">
        <v>9.8360000000000003</v>
      </c>
      <c r="AW3968" s="46">
        <v>85</v>
      </c>
      <c r="AX3968" s="46">
        <v>36720</v>
      </c>
      <c r="AY3968" s="46">
        <v>354280.0285999995</v>
      </c>
      <c r="AZ3968" s="46">
        <v>9.6479999999999997</v>
      </c>
      <c r="BA3968" s="46" t="s">
        <v>63</v>
      </c>
      <c r="BB3968" s="46">
        <v>7000</v>
      </c>
      <c r="BC3968" s="46">
        <v>75753.202999999994</v>
      </c>
      <c r="BD3968" s="46">
        <v>10.821999999999999</v>
      </c>
      <c r="BE3968" s="46">
        <v>-6903.36</v>
      </c>
      <c r="BF3968" s="46">
        <v>18334.25199999992</v>
      </c>
      <c r="BG3968" s="46">
        <v>3.38</v>
      </c>
      <c r="BH3968" s="46">
        <v>27076.76399999985</v>
      </c>
      <c r="BI3968">
        <v>7.74</v>
      </c>
      <c r="BJ3968">
        <v>-8742.5120000000024</v>
      </c>
      <c r="BK3968">
        <v>-4.55</v>
      </c>
      <c r="BL3968">
        <v>-3551.1</v>
      </c>
    </row>
    <row r="3969" spans="1:64" x14ac:dyDescent="0.25">
      <c r="A3969" s="136">
        <v>44022</v>
      </c>
      <c r="B3969" t="s">
        <v>749</v>
      </c>
      <c r="C3969" t="s">
        <v>750</v>
      </c>
      <c r="D3969">
        <v>500</v>
      </c>
      <c r="E3969">
        <v>500</v>
      </c>
      <c r="F3969">
        <v>5.65</v>
      </c>
      <c r="G3969">
        <v>780</v>
      </c>
      <c r="H3969">
        <v>27.611000000000001</v>
      </c>
      <c r="I3969">
        <v>3605</v>
      </c>
      <c r="J3969">
        <v>7.21</v>
      </c>
      <c r="K3969" s="133">
        <v>4.967641362916296E-3</v>
      </c>
      <c r="L3969" s="181">
        <v>495</v>
      </c>
      <c r="M3969" s="133">
        <v>3.8928118863352386E-3</v>
      </c>
    </row>
    <row r="3970" spans="1:64" x14ac:dyDescent="0.25">
      <c r="A3970" s="136">
        <v>44022</v>
      </c>
      <c r="B3970" t="s">
        <v>776</v>
      </c>
      <c r="C3970" t="s">
        <v>777</v>
      </c>
      <c r="D3970">
        <v>1</v>
      </c>
      <c r="E3970">
        <v>1</v>
      </c>
      <c r="F3970">
        <v>-137.5</v>
      </c>
      <c r="G3970">
        <v>220.92</v>
      </c>
      <c r="H3970">
        <v>0</v>
      </c>
      <c r="I3970">
        <v>83.42</v>
      </c>
      <c r="J3970">
        <v>83.42</v>
      </c>
      <c r="K3970" s="133">
        <v>1.1495163453383562E-4</v>
      </c>
      <c r="L3970" s="181">
        <v>-12993.21</v>
      </c>
      <c r="M3970" s="133">
        <v>0</v>
      </c>
    </row>
    <row r="3971" spans="1:64" x14ac:dyDescent="0.25">
      <c r="A3971" s="136">
        <v>44022</v>
      </c>
      <c r="B3971" t="s">
        <v>65</v>
      </c>
      <c r="C3971" t="s">
        <v>82</v>
      </c>
      <c r="D3971">
        <v>24500</v>
      </c>
      <c r="E3971">
        <v>24500</v>
      </c>
      <c r="F3971">
        <v>8.375</v>
      </c>
      <c r="G3971">
        <v>-23885.15</v>
      </c>
      <c r="H3971">
        <v>-11.641999999999999</v>
      </c>
      <c r="I3971">
        <v>181300</v>
      </c>
      <c r="J3971">
        <v>7.4</v>
      </c>
      <c r="K3971" s="133">
        <v>0.24982895397967392</v>
      </c>
      <c r="L3971" s="181">
        <v>20236.28</v>
      </c>
      <c r="M3971" s="133">
        <v>0.28274236843167394</v>
      </c>
      <c r="N3971" s="73">
        <v>-26685.083000000159</v>
      </c>
      <c r="O3971" s="73">
        <v>-3001.6525114276533</v>
      </c>
      <c r="P3971" s="182">
        <v>4</v>
      </c>
      <c r="Q3971" s="182">
        <v>2400</v>
      </c>
      <c r="R3971" s="46">
        <v>7.1909999999999998</v>
      </c>
      <c r="S3971" s="46">
        <v>10</v>
      </c>
      <c r="T3971" s="46">
        <v>4000</v>
      </c>
      <c r="U3971" s="46">
        <v>7.41</v>
      </c>
      <c r="V3971" s="46" t="s">
        <v>68</v>
      </c>
      <c r="W3971" s="46">
        <v>1600</v>
      </c>
      <c r="X3971" s="46">
        <v>7.7389999999999999</v>
      </c>
      <c r="AF3971" s="46">
        <v>288</v>
      </c>
      <c r="AG3971" s="46">
        <v>152900</v>
      </c>
      <c r="AH3971" s="46">
        <v>1553010.6810000001</v>
      </c>
      <c r="AI3971" s="46">
        <v>10.157</v>
      </c>
      <c r="AJ3971" s="46">
        <v>321</v>
      </c>
      <c r="AK3971" s="46">
        <v>136100</v>
      </c>
      <c r="AL3971" s="46">
        <v>1320173.5640000002</v>
      </c>
      <c r="AM3971" s="46">
        <v>9.6999999999999993</v>
      </c>
      <c r="AN3971" s="46" t="s">
        <v>63</v>
      </c>
      <c r="AO3971" s="46">
        <v>16800</v>
      </c>
      <c r="AP3971" s="46">
        <v>232837.117</v>
      </c>
      <c r="AQ3971" s="46">
        <v>13.859</v>
      </c>
      <c r="AR3971" s="46">
        <v>-62197.7</v>
      </c>
      <c r="AS3971" s="46">
        <v>296</v>
      </c>
      <c r="AT3971" s="46">
        <v>157100</v>
      </c>
      <c r="AU3971" s="46">
        <v>1584103.6810000001</v>
      </c>
      <c r="AV3971" s="46">
        <v>10.083</v>
      </c>
      <c r="AW3971" s="46">
        <v>335</v>
      </c>
      <c r="AX3971" s="46">
        <v>141700</v>
      </c>
      <c r="AY3971" s="46">
        <v>1362792.8319999999</v>
      </c>
      <c r="AZ3971" s="46">
        <v>9.6170000000000009</v>
      </c>
      <c r="BA3971" s="46" t="s">
        <v>63</v>
      </c>
      <c r="BB3971" s="46">
        <v>15400</v>
      </c>
      <c r="BC3971" s="46">
        <v>221310.84899999999</v>
      </c>
      <c r="BD3971" s="46">
        <v>14.371</v>
      </c>
      <c r="BE3971" s="46">
        <v>-66032.2</v>
      </c>
      <c r="BF3971" s="46">
        <v>31093</v>
      </c>
      <c r="BG3971" s="46">
        <v>12.96</v>
      </c>
      <c r="BH3971" s="46">
        <v>42619.267999999691</v>
      </c>
      <c r="BI3971">
        <v>10.65</v>
      </c>
      <c r="BJ3971">
        <v>-11526.268000000011</v>
      </c>
      <c r="BK3971">
        <v>-7.2</v>
      </c>
      <c r="BL3971">
        <v>-8405.09</v>
      </c>
    </row>
    <row r="3972" spans="1:64" x14ac:dyDescent="0.25">
      <c r="A3972" s="136">
        <v>44022</v>
      </c>
      <c r="B3972" t="s">
        <v>77</v>
      </c>
      <c r="C3972" t="s">
        <v>150</v>
      </c>
      <c r="D3972">
        <v>6300</v>
      </c>
      <c r="E3972">
        <v>6300</v>
      </c>
      <c r="F3972">
        <v>5.1619999999999999</v>
      </c>
      <c r="G3972">
        <v>-10914.31</v>
      </c>
      <c r="H3972">
        <v>-33.552999999999997</v>
      </c>
      <c r="I3972">
        <v>21609</v>
      </c>
      <c r="J3972">
        <v>3.43</v>
      </c>
      <c r="K3972" s="133">
        <v>2.9776910460820594E-2</v>
      </c>
      <c r="L3972" s="181">
        <v>3741.5200000000004</v>
      </c>
      <c r="M3972" s="133">
        <v>4.4816682389722383E-2</v>
      </c>
      <c r="N3972" s="73">
        <v>-11167.267999999982</v>
      </c>
      <c r="O3972" s="73">
        <v>-3072.6035636887555</v>
      </c>
      <c r="P3972" s="182">
        <v>9</v>
      </c>
      <c r="Q3972" s="182">
        <v>4400</v>
      </c>
      <c r="R3972" s="46">
        <v>3.8570000000000002</v>
      </c>
      <c r="S3972" s="46">
        <v>3</v>
      </c>
      <c r="T3972" s="46">
        <v>1800</v>
      </c>
      <c r="U3972" s="46">
        <v>3.41</v>
      </c>
      <c r="V3972" s="46" t="s">
        <v>62</v>
      </c>
      <c r="W3972" s="46">
        <v>2600</v>
      </c>
      <c r="X3972" s="46">
        <v>4.1660000000000004</v>
      </c>
      <c r="AF3972" s="46">
        <v>65</v>
      </c>
      <c r="AG3972" s="46">
        <v>32300</v>
      </c>
      <c r="AH3972" s="46">
        <v>200543</v>
      </c>
      <c r="AI3972" s="46">
        <v>6.2089999999999996</v>
      </c>
      <c r="AJ3972" s="46">
        <v>65</v>
      </c>
      <c r="AK3972" s="46">
        <v>28600</v>
      </c>
      <c r="AL3972" s="46">
        <v>178625.87000000011</v>
      </c>
      <c r="AM3972" s="46">
        <v>6.2460000000000004</v>
      </c>
      <c r="AN3972" s="46" t="s">
        <v>63</v>
      </c>
      <c r="AO3972" s="46">
        <v>3700</v>
      </c>
      <c r="AP3972" s="46">
        <v>21917.13</v>
      </c>
      <c r="AQ3972" s="46">
        <v>5.9240000000000004</v>
      </c>
      <c r="AR3972" s="46">
        <v>1058.2</v>
      </c>
      <c r="AS3972" s="46">
        <v>74</v>
      </c>
      <c r="AT3972" s="46">
        <v>36700</v>
      </c>
      <c r="AU3972" s="46">
        <v>217271</v>
      </c>
      <c r="AV3972" s="46">
        <v>5.92</v>
      </c>
      <c r="AW3972" s="46">
        <v>68</v>
      </c>
      <c r="AX3972" s="46">
        <v>30400</v>
      </c>
      <c r="AY3972" s="46">
        <v>184742.73200000008</v>
      </c>
      <c r="AZ3972" s="46">
        <v>6.077</v>
      </c>
      <c r="BA3972" s="46" t="s">
        <v>63</v>
      </c>
      <c r="BB3972" s="46">
        <v>6300</v>
      </c>
      <c r="BC3972" s="46">
        <v>32528.268</v>
      </c>
      <c r="BD3972" s="46">
        <v>5.1630000000000003</v>
      </c>
      <c r="BE3972" s="46">
        <v>4772.8</v>
      </c>
      <c r="BF3972" s="46">
        <v>16728</v>
      </c>
      <c r="BG3972" s="46">
        <v>3.8</v>
      </c>
      <c r="BH3972" s="46">
        <v>6116.8619999999646</v>
      </c>
      <c r="BI3972">
        <v>3.4</v>
      </c>
      <c r="BJ3972">
        <v>10611.137999999999</v>
      </c>
      <c r="BK3972">
        <v>4.08</v>
      </c>
      <c r="BL3972">
        <v>308.51</v>
      </c>
    </row>
    <row r="3973" spans="1:64" x14ac:dyDescent="0.25">
      <c r="A3973" s="136">
        <v>44022</v>
      </c>
      <c r="B3973" t="s">
        <v>67</v>
      </c>
      <c r="C3973" t="s">
        <v>83</v>
      </c>
      <c r="D3973">
        <v>100</v>
      </c>
      <c r="E3973">
        <v>100</v>
      </c>
      <c r="F3973">
        <v>-44.533999999999999</v>
      </c>
      <c r="G3973">
        <v>5147.43</v>
      </c>
      <c r="H3973">
        <v>0</v>
      </c>
      <c r="I3973">
        <v>694</v>
      </c>
      <c r="J3973">
        <v>6.94</v>
      </c>
      <c r="K3973" s="133">
        <v>9.5632263685545337E-4</v>
      </c>
      <c r="L3973" s="181">
        <v>109.42000000000007</v>
      </c>
      <c r="M3973" s="133">
        <v>0</v>
      </c>
      <c r="N3973" s="73">
        <v>5092.64479999998</v>
      </c>
      <c r="O3973" s="73">
        <v>790.38796236024621</v>
      </c>
      <c r="P3973" s="182">
        <v>1</v>
      </c>
      <c r="Q3973" s="182">
        <v>30</v>
      </c>
      <c r="R3973" s="46">
        <v>0</v>
      </c>
      <c r="S3973" s="46">
        <v>27</v>
      </c>
      <c r="T3973" s="46">
        <v>10800</v>
      </c>
      <c r="U3973" s="46">
        <v>8.0619999999999994</v>
      </c>
      <c r="V3973" s="46" t="s">
        <v>68</v>
      </c>
      <c r="W3973" s="46">
        <v>10770</v>
      </c>
      <c r="X3973" s="46">
        <v>8.0839999999999996</v>
      </c>
      <c r="AF3973" s="46">
        <v>210</v>
      </c>
      <c r="AG3973" s="46">
        <v>103200</v>
      </c>
      <c r="AH3973" s="46">
        <v>846038</v>
      </c>
      <c r="AI3973" s="46">
        <v>8.1980000000000004</v>
      </c>
      <c r="AJ3973" s="46">
        <v>214</v>
      </c>
      <c r="AK3973" s="46">
        <v>94930</v>
      </c>
      <c r="AL3973" s="46">
        <v>832752.33280000009</v>
      </c>
      <c r="AM3973" s="46">
        <v>8.7720000000000002</v>
      </c>
      <c r="AN3973" s="46" t="s">
        <v>63</v>
      </c>
      <c r="AO3973" s="46">
        <v>8270</v>
      </c>
      <c r="AP3973" s="46">
        <v>13285.666999999999</v>
      </c>
      <c r="AQ3973" s="46">
        <v>1.6060000000000001</v>
      </c>
      <c r="AR3973" s="46">
        <v>54489.82</v>
      </c>
      <c r="AS3973" s="46">
        <v>211</v>
      </c>
      <c r="AT3973" s="46">
        <v>103230</v>
      </c>
      <c r="AU3973" s="46">
        <v>846043</v>
      </c>
      <c r="AV3973" s="46">
        <v>8.1959999999999997</v>
      </c>
      <c r="AW3973" s="46">
        <v>241</v>
      </c>
      <c r="AX3973" s="46">
        <v>105730</v>
      </c>
      <c r="AY3973" s="46">
        <v>919619.76080000005</v>
      </c>
      <c r="AZ3973" s="46">
        <v>8.6980000000000004</v>
      </c>
      <c r="BA3973" s="46" t="s">
        <v>69</v>
      </c>
      <c r="BB3973" s="46">
        <v>2500</v>
      </c>
      <c r="BC3973" s="46">
        <v>73576.760999999999</v>
      </c>
      <c r="BD3973" s="46">
        <v>29.431000000000001</v>
      </c>
      <c r="BE3973" s="46">
        <v>51821.46</v>
      </c>
      <c r="BF3973" s="46">
        <v>5</v>
      </c>
      <c r="BG3973" s="46">
        <v>0.17</v>
      </c>
      <c r="BH3973" s="46">
        <v>86867.427999999956</v>
      </c>
      <c r="BI3973">
        <v>8.0399999999999991</v>
      </c>
      <c r="BJ3973">
        <v>60291.093999999997</v>
      </c>
      <c r="BK3973">
        <v>5.6</v>
      </c>
      <c r="BL3973">
        <v>7851.56</v>
      </c>
    </row>
    <row r="3974" spans="1:64" x14ac:dyDescent="0.25">
      <c r="A3974" s="136">
        <v>44022</v>
      </c>
      <c r="B3974" t="s">
        <v>78</v>
      </c>
      <c r="C3974" t="s">
        <v>142</v>
      </c>
      <c r="D3974">
        <v>100</v>
      </c>
      <c r="E3974">
        <v>100</v>
      </c>
      <c r="F3974">
        <v>1</v>
      </c>
      <c r="G3974">
        <v>2042</v>
      </c>
      <c r="H3974">
        <v>2042</v>
      </c>
      <c r="I3974">
        <v>2142</v>
      </c>
      <c r="J3974">
        <v>21.42</v>
      </c>
      <c r="K3974" s="133">
        <v>2.9516471010725951E-3</v>
      </c>
      <c r="L3974" s="181">
        <v>249.33999999999992</v>
      </c>
      <c r="M3974" s="133">
        <v>1.3779865084372528E-4</v>
      </c>
      <c r="N3974" s="73">
        <v>1576.660999999996</v>
      </c>
      <c r="O3974" s="73">
        <v>159.17905752525212</v>
      </c>
      <c r="P3974" s="182">
        <v>0</v>
      </c>
      <c r="Q3974" s="182">
        <v>0</v>
      </c>
      <c r="R3974" s="46">
        <v>0</v>
      </c>
      <c r="S3974" s="46">
        <v>4</v>
      </c>
      <c r="T3974" s="46">
        <v>1300</v>
      </c>
      <c r="U3974" s="46">
        <v>9.9220000000000006</v>
      </c>
      <c r="V3974" s="46" t="s">
        <v>68</v>
      </c>
      <c r="W3974" s="46">
        <v>1300</v>
      </c>
      <c r="X3974" s="46">
        <v>9.9220000000000006</v>
      </c>
      <c r="AF3974" s="46">
        <v>14</v>
      </c>
      <c r="AG3974" s="46">
        <v>7000</v>
      </c>
      <c r="AH3974" s="46">
        <v>67625</v>
      </c>
      <c r="AI3974" s="46">
        <v>9.6609999999999996</v>
      </c>
      <c r="AJ3974" s="46">
        <v>15</v>
      </c>
      <c r="AK3974" s="46">
        <v>5600</v>
      </c>
      <c r="AL3974" s="46">
        <v>55310.559000000008</v>
      </c>
      <c r="AM3974" s="46">
        <v>9.8770000000000007</v>
      </c>
      <c r="AN3974" s="46" t="s">
        <v>63</v>
      </c>
      <c r="AO3974" s="46">
        <v>1400</v>
      </c>
      <c r="AP3974" s="46">
        <v>12314.441000000001</v>
      </c>
      <c r="AQ3974" s="46">
        <v>8.7959999999999994</v>
      </c>
      <c r="AR3974" s="46">
        <v>1209.5999999999999</v>
      </c>
      <c r="AS3974" s="46">
        <v>14</v>
      </c>
      <c r="AT3974" s="46">
        <v>7000</v>
      </c>
      <c r="AU3974" s="46">
        <v>67625</v>
      </c>
      <c r="AV3974" s="46">
        <v>9.6609999999999996</v>
      </c>
      <c r="AW3974" s="46">
        <v>19</v>
      </c>
      <c r="AX3974" s="46">
        <v>6900</v>
      </c>
      <c r="AY3974" s="46">
        <v>68211.661000000007</v>
      </c>
      <c r="AZ3974" s="46">
        <v>9.8859999999999992</v>
      </c>
      <c r="BA3974" s="46" t="s">
        <v>63</v>
      </c>
      <c r="BB3974" s="46">
        <v>100</v>
      </c>
      <c r="BC3974" s="46">
        <v>586.66099999999994</v>
      </c>
      <c r="BD3974" s="46">
        <v>5.867</v>
      </c>
      <c r="BE3974" s="46">
        <v>1552.5</v>
      </c>
      <c r="BF3974" s="46">
        <v>0</v>
      </c>
      <c r="BH3974" s="46">
        <v>12901.101999999999</v>
      </c>
      <c r="BI3974">
        <v>9.92</v>
      </c>
      <c r="BJ3974">
        <v>-11727.78</v>
      </c>
      <c r="BK3974">
        <v>-9.02</v>
      </c>
      <c r="BL3974">
        <v>56.47</v>
      </c>
    </row>
    <row r="3975" spans="1:64" x14ac:dyDescent="0.25">
      <c r="A3975" s="136">
        <v>44022</v>
      </c>
      <c r="B3975" t="s">
        <v>72</v>
      </c>
      <c r="C3975" t="s">
        <v>130</v>
      </c>
      <c r="D3975">
        <v>100</v>
      </c>
      <c r="E3975">
        <v>100</v>
      </c>
      <c r="F3975">
        <v>1.53</v>
      </c>
      <c r="G3975">
        <v>358</v>
      </c>
      <c r="H3975">
        <v>233.98699999999999</v>
      </c>
      <c r="I3975">
        <v>511</v>
      </c>
      <c r="J3975">
        <v>5.1100000000000003</v>
      </c>
      <c r="K3975" s="133">
        <v>7.0415110581143608E-4</v>
      </c>
      <c r="L3975" s="181">
        <v>-1960.7399999999998</v>
      </c>
      <c r="M3975" s="133">
        <v>2.1083193579089966E-4</v>
      </c>
      <c r="N3975" s="73">
        <v>-1498.9659999999872</v>
      </c>
      <c r="O3975" s="73">
        <v>376.42007904191922</v>
      </c>
      <c r="P3975" s="182">
        <v>0</v>
      </c>
      <c r="Q3975" s="182">
        <v>0</v>
      </c>
      <c r="R3975" s="46">
        <v>0</v>
      </c>
      <c r="S3975" s="46">
        <v>20</v>
      </c>
      <c r="T3975" s="46">
        <v>8600</v>
      </c>
      <c r="U3975" s="46">
        <v>7.3840000000000003</v>
      </c>
      <c r="V3975" s="46" t="s">
        <v>68</v>
      </c>
      <c r="W3975" s="46">
        <v>8600</v>
      </c>
      <c r="X3975" s="46">
        <v>7.3840000000000003</v>
      </c>
      <c r="AF3975" s="46">
        <v>42</v>
      </c>
      <c r="AG3975" s="46">
        <v>20900</v>
      </c>
      <c r="AH3975" s="46">
        <v>152800</v>
      </c>
      <c r="AI3975" s="46">
        <v>7.3109999999999999</v>
      </c>
      <c r="AJ3975" s="46">
        <v>42</v>
      </c>
      <c r="AK3975" s="46">
        <v>18800</v>
      </c>
      <c r="AL3975" s="46">
        <v>92037.725000000035</v>
      </c>
      <c r="AM3975" s="46">
        <v>4.8959999999999999</v>
      </c>
      <c r="AN3975" s="46" t="s">
        <v>63</v>
      </c>
      <c r="AO3975" s="46">
        <v>2100</v>
      </c>
      <c r="AP3975" s="46">
        <v>60762.275000000001</v>
      </c>
      <c r="AQ3975" s="46">
        <v>28.934000000000001</v>
      </c>
      <c r="AR3975" s="46">
        <v>-45402</v>
      </c>
      <c r="AS3975" s="46">
        <v>42</v>
      </c>
      <c r="AT3975" s="46">
        <v>20900</v>
      </c>
      <c r="AU3975" s="46">
        <v>152800</v>
      </c>
      <c r="AV3975" s="46">
        <v>7.3109999999999999</v>
      </c>
      <c r="AW3975" s="46">
        <v>63</v>
      </c>
      <c r="AX3975" s="46">
        <v>27900</v>
      </c>
      <c r="AY3975" s="46">
        <v>155380.21900000001</v>
      </c>
      <c r="AZ3975" s="46">
        <v>5.569</v>
      </c>
      <c r="BA3975" s="46" t="s">
        <v>69</v>
      </c>
      <c r="BB3975" s="46">
        <v>7000</v>
      </c>
      <c r="BC3975" s="46">
        <v>2580.2190000000001</v>
      </c>
      <c r="BD3975" s="46">
        <v>0.36899999999999999</v>
      </c>
      <c r="BE3975" s="46">
        <v>-36407.800000000003</v>
      </c>
      <c r="BF3975" s="46">
        <v>0</v>
      </c>
      <c r="BH3975" s="46">
        <v>63342.493999999977</v>
      </c>
      <c r="BI3975">
        <v>7.37</v>
      </c>
      <c r="BJ3975">
        <v>-58182.056000000004</v>
      </c>
      <c r="BK3975">
        <v>-6.77</v>
      </c>
      <c r="BL3975">
        <v>-8884.93</v>
      </c>
    </row>
    <row r="3976" spans="1:64" x14ac:dyDescent="0.25">
      <c r="A3976" s="136">
        <v>44022</v>
      </c>
      <c r="B3976" t="s">
        <v>70</v>
      </c>
      <c r="C3976" t="s">
        <v>131</v>
      </c>
      <c r="D3976">
        <v>12480</v>
      </c>
      <c r="E3976">
        <v>12480</v>
      </c>
      <c r="F3976">
        <v>8.3249999999999993</v>
      </c>
      <c r="G3976">
        <v>-14169.01</v>
      </c>
      <c r="H3976">
        <v>-13.634</v>
      </c>
      <c r="I3976">
        <v>89731.199999999997</v>
      </c>
      <c r="J3976">
        <v>7.19</v>
      </c>
      <c r="K3976" s="133">
        <v>0.12364838298588481</v>
      </c>
      <c r="L3976" s="181">
        <v>10210.76</v>
      </c>
      <c r="M3976" s="133">
        <v>0.14317308760379732</v>
      </c>
      <c r="N3976" s="73">
        <v>-13552.920999999988</v>
      </c>
      <c r="O3976" s="73">
        <v>-1871.0144391574568</v>
      </c>
      <c r="P3976" s="182">
        <v>0</v>
      </c>
      <c r="Q3976" s="182">
        <v>0</v>
      </c>
      <c r="R3976" s="46">
        <v>0</v>
      </c>
      <c r="S3976" s="46">
        <v>11</v>
      </c>
      <c r="T3976" s="46">
        <v>6000</v>
      </c>
      <c r="U3976" s="46">
        <v>7.343</v>
      </c>
      <c r="V3976" s="46" t="s">
        <v>68</v>
      </c>
      <c r="W3976" s="46">
        <v>6000</v>
      </c>
      <c r="X3976" s="46">
        <v>7.343</v>
      </c>
      <c r="AF3976" s="46">
        <v>223</v>
      </c>
      <c r="AG3976" s="46">
        <v>111180</v>
      </c>
      <c r="AH3976" s="46">
        <v>1218479</v>
      </c>
      <c r="AI3976" s="46">
        <v>10.96</v>
      </c>
      <c r="AJ3976" s="46">
        <v>230</v>
      </c>
      <c r="AK3976" s="46">
        <v>92700</v>
      </c>
      <c r="AL3976" s="46">
        <v>1068409.9389999995</v>
      </c>
      <c r="AM3976" s="46">
        <v>11.525</v>
      </c>
      <c r="AN3976" s="46" t="s">
        <v>63</v>
      </c>
      <c r="AO3976" s="46">
        <v>18480</v>
      </c>
      <c r="AP3976" s="46">
        <v>150069.06099999999</v>
      </c>
      <c r="AQ3976" s="46">
        <v>8.1210000000000004</v>
      </c>
      <c r="AR3976" s="46">
        <v>52375.5</v>
      </c>
      <c r="AS3976" s="46">
        <v>223</v>
      </c>
      <c r="AT3976" s="46">
        <v>111180</v>
      </c>
      <c r="AU3976" s="46">
        <v>1218479</v>
      </c>
      <c r="AV3976" s="46">
        <v>10.96</v>
      </c>
      <c r="AW3976" s="46">
        <v>242</v>
      </c>
      <c r="AX3976" s="46">
        <v>98700</v>
      </c>
      <c r="AY3976" s="46">
        <v>1112800.8789999995</v>
      </c>
      <c r="AZ3976" s="46">
        <v>11.275</v>
      </c>
      <c r="BA3976" s="46" t="s">
        <v>63</v>
      </c>
      <c r="BB3976" s="46">
        <v>12480</v>
      </c>
      <c r="BC3976" s="46">
        <v>105678.121</v>
      </c>
      <c r="BD3976" s="46">
        <v>8.468</v>
      </c>
      <c r="BE3976" s="46">
        <v>31090.5</v>
      </c>
      <c r="BF3976" s="46">
        <v>0</v>
      </c>
      <c r="BH3976" s="46">
        <v>44390.939999999944</v>
      </c>
      <c r="BI3976">
        <v>7.4</v>
      </c>
      <c r="BJ3976">
        <v>-44390.939999999988</v>
      </c>
      <c r="BK3976">
        <v>-7.4</v>
      </c>
      <c r="BL3976">
        <v>7284.49</v>
      </c>
    </row>
    <row r="3977" spans="1:64" x14ac:dyDescent="0.25">
      <c r="A3977" s="136">
        <v>44022</v>
      </c>
      <c r="B3977" t="s">
        <v>628</v>
      </c>
      <c r="C3977" t="s">
        <v>629</v>
      </c>
      <c r="D3977">
        <v>100</v>
      </c>
      <c r="E3977">
        <v>100</v>
      </c>
      <c r="F3977">
        <v>0.95</v>
      </c>
      <c r="G3977">
        <v>1625</v>
      </c>
      <c r="H3977">
        <v>1710.5260000000001</v>
      </c>
      <c r="I3977">
        <v>1720</v>
      </c>
      <c r="J3977">
        <v>17.2</v>
      </c>
      <c r="K3977" s="133">
        <v>2.3701367945120747E-3</v>
      </c>
      <c r="L3977" s="181">
        <v>-2010.85</v>
      </c>
      <c r="M3977" s="133">
        <v>1.3090871830153902E-4</v>
      </c>
    </row>
    <row r="3978" spans="1:64" x14ac:dyDescent="0.25">
      <c r="A3978" s="136">
        <v>44022</v>
      </c>
      <c r="B3978" t="s">
        <v>768</v>
      </c>
      <c r="C3978" t="s">
        <v>769</v>
      </c>
      <c r="D3978">
        <v>500</v>
      </c>
      <c r="E3978">
        <v>500</v>
      </c>
      <c r="F3978">
        <v>2.4140000000000001</v>
      </c>
      <c r="G3978">
        <v>368</v>
      </c>
      <c r="H3978">
        <v>30.489000000000001</v>
      </c>
      <c r="I3978">
        <v>1575</v>
      </c>
      <c r="J3978">
        <v>3.15</v>
      </c>
      <c r="K3978" s="133">
        <v>2.170328750788673E-3</v>
      </c>
      <c r="L3978" s="181">
        <v>128</v>
      </c>
      <c r="M3978" s="133">
        <v>1.663229715683764E-3</v>
      </c>
    </row>
    <row r="3979" spans="1:64" x14ac:dyDescent="0.25">
      <c r="A3979" s="136">
        <v>44022</v>
      </c>
      <c r="B3979" t="s">
        <v>837</v>
      </c>
      <c r="C3979" t="s">
        <v>838</v>
      </c>
      <c r="D3979">
        <v>20</v>
      </c>
      <c r="E3979">
        <v>20</v>
      </c>
      <c r="F3979">
        <v>100</v>
      </c>
      <c r="G3979">
        <v>0</v>
      </c>
      <c r="H3979">
        <v>0</v>
      </c>
      <c r="I3979">
        <v>2000</v>
      </c>
      <c r="J3979">
        <v>100</v>
      </c>
      <c r="K3979" s="133">
        <v>2.7559730168745054E-3</v>
      </c>
      <c r="M3979" s="133">
        <v>2.7559730168745054E-3</v>
      </c>
    </row>
    <row r="3980" spans="1:64" x14ac:dyDescent="0.25">
      <c r="A3980" s="136">
        <v>44022</v>
      </c>
      <c r="B3980" t="s">
        <v>137</v>
      </c>
      <c r="C3980" t="s">
        <v>149</v>
      </c>
      <c r="D3980">
        <v>150</v>
      </c>
      <c r="E3980">
        <v>150</v>
      </c>
      <c r="F3980">
        <v>1</v>
      </c>
      <c r="G3980">
        <v>5893.5</v>
      </c>
      <c r="H3980">
        <v>3929</v>
      </c>
      <c r="I3980">
        <v>6043.5</v>
      </c>
      <c r="J3980">
        <v>40.29</v>
      </c>
      <c r="K3980" s="133">
        <v>8.3278614637405362E-3</v>
      </c>
      <c r="L3980" s="181">
        <v>-12215.27</v>
      </c>
      <c r="M3980" s="133">
        <v>2.0669797626558789E-4</v>
      </c>
    </row>
    <row r="3981" spans="1:64" x14ac:dyDescent="0.25">
      <c r="A3981" s="136">
        <v>44022</v>
      </c>
      <c r="B3981" t="s">
        <v>829</v>
      </c>
      <c r="C3981" t="s">
        <v>830</v>
      </c>
      <c r="D3981">
        <v>500</v>
      </c>
      <c r="E3981">
        <v>500</v>
      </c>
      <c r="F3981">
        <v>5.91</v>
      </c>
      <c r="G3981">
        <v>11745</v>
      </c>
      <c r="H3981">
        <v>397.46199999999999</v>
      </c>
      <c r="I3981">
        <v>14700</v>
      </c>
      <c r="J3981">
        <v>29.4</v>
      </c>
      <c r="K3981" s="133">
        <v>2.0256401674027615E-2</v>
      </c>
      <c r="L3981" s="181">
        <v>9035</v>
      </c>
      <c r="M3981" s="133">
        <v>4.0719501324320813E-3</v>
      </c>
    </row>
    <row r="3982" spans="1:64" x14ac:dyDescent="0.25">
      <c r="A3982" s="136">
        <v>44022</v>
      </c>
      <c r="B3982" t="s">
        <v>831</v>
      </c>
      <c r="C3982" t="s">
        <v>832</v>
      </c>
      <c r="D3982">
        <v>300</v>
      </c>
      <c r="E3982">
        <v>300</v>
      </c>
      <c r="F3982">
        <v>-116.697</v>
      </c>
      <c r="G3982">
        <v>174692.15</v>
      </c>
      <c r="H3982">
        <v>0</v>
      </c>
      <c r="I3982">
        <v>139683</v>
      </c>
      <c r="J3982">
        <v>465.61</v>
      </c>
      <c r="K3982" s="133">
        <v>0.19248128945804077</v>
      </c>
      <c r="L3982" s="181">
        <v>120117.15</v>
      </c>
      <c r="M3982" s="133">
        <v>0</v>
      </c>
    </row>
    <row r="3983" spans="1:64" x14ac:dyDescent="0.25">
      <c r="A3983" s="136">
        <v>44022</v>
      </c>
      <c r="B3983" t="s">
        <v>835</v>
      </c>
      <c r="C3983" t="s">
        <v>839</v>
      </c>
      <c r="I3983">
        <v>46087.62</v>
      </c>
      <c r="K3983" s="133">
        <v>6.3508118565982902E-2</v>
      </c>
      <c r="M3983" s="133">
        <v>0.1699191994185007</v>
      </c>
    </row>
    <row r="3984" spans="1:64" x14ac:dyDescent="0.25">
      <c r="A3984" s="136">
        <v>44025</v>
      </c>
      <c r="B3984" t="s">
        <v>132</v>
      </c>
      <c r="C3984" t="s">
        <v>123</v>
      </c>
      <c r="D3984">
        <v>21913177</v>
      </c>
      <c r="E3984">
        <v>12330977</v>
      </c>
      <c r="F3984">
        <v>0.01</v>
      </c>
      <c r="G3984">
        <v>12.77</v>
      </c>
      <c r="H3984">
        <v>0</v>
      </c>
      <c r="I3984">
        <v>219131.77</v>
      </c>
      <c r="J3984">
        <v>0.01</v>
      </c>
      <c r="K3984" s="133">
        <v>0.29694146125456772</v>
      </c>
      <c r="L3984" s="181">
        <v>0</v>
      </c>
      <c r="M3984" s="133">
        <v>0</v>
      </c>
    </row>
    <row r="3985" spans="1:64" x14ac:dyDescent="0.25">
      <c r="A3985" s="136">
        <v>44025</v>
      </c>
      <c r="B3985" t="s">
        <v>65</v>
      </c>
      <c r="C3985" t="s">
        <v>127</v>
      </c>
      <c r="D3985">
        <v>20000</v>
      </c>
      <c r="E3985">
        <v>20000</v>
      </c>
      <c r="F3985">
        <v>8.5779999999999994</v>
      </c>
      <c r="G3985">
        <v>-21767.23</v>
      </c>
      <c r="H3985">
        <v>-12.69</v>
      </c>
      <c r="I3985">
        <v>149800</v>
      </c>
      <c r="J3985">
        <v>7.49</v>
      </c>
      <c r="K3985" s="133">
        <v>0.20299124538598054</v>
      </c>
      <c r="L3985" s="181">
        <v>2117.9200000000019</v>
      </c>
      <c r="M3985" s="133">
        <v>0.23248762139601445</v>
      </c>
      <c r="N3985" s="73">
        <v>-26237.15800000017</v>
      </c>
      <c r="O3985" s="73">
        <v>-2933.773622693891</v>
      </c>
      <c r="P3985" s="182">
        <v>1</v>
      </c>
      <c r="Q3985" s="182">
        <v>1000</v>
      </c>
      <c r="R3985" s="46">
        <v>7.7</v>
      </c>
      <c r="S3985" s="46">
        <v>8</v>
      </c>
      <c r="T3985" s="46">
        <v>7300</v>
      </c>
      <c r="U3985" s="46">
        <v>7.5</v>
      </c>
      <c r="V3985" s="46" t="s">
        <v>68</v>
      </c>
      <c r="W3985" s="46">
        <v>6300</v>
      </c>
      <c r="X3985" s="46">
        <v>7.468</v>
      </c>
      <c r="AF3985" s="46">
        <v>291</v>
      </c>
      <c r="AG3985" s="46">
        <v>154300</v>
      </c>
      <c r="AH3985" s="46">
        <v>1563836.6810000001</v>
      </c>
      <c r="AI3985" s="46">
        <v>10.135</v>
      </c>
      <c r="AJ3985" s="46">
        <v>324</v>
      </c>
      <c r="AK3985" s="46">
        <v>137300</v>
      </c>
      <c r="AL3985" s="46">
        <v>1328698.0160000001</v>
      </c>
      <c r="AM3985" s="46">
        <v>9.6769999999999996</v>
      </c>
      <c r="AN3985" s="46" t="s">
        <v>63</v>
      </c>
      <c r="AO3985" s="46">
        <v>17000</v>
      </c>
      <c r="AP3985" s="46">
        <v>235138.66500000001</v>
      </c>
      <c r="AQ3985" s="46">
        <v>13.832000000000001</v>
      </c>
      <c r="AR3985" s="46">
        <v>-62883.4</v>
      </c>
      <c r="AS3985" s="46">
        <v>296</v>
      </c>
      <c r="AT3985" s="46">
        <v>157100</v>
      </c>
      <c r="AU3985" s="46">
        <v>1584103.6810000001</v>
      </c>
      <c r="AV3985" s="46">
        <v>10.083</v>
      </c>
      <c r="AW3985" s="46">
        <v>336</v>
      </c>
      <c r="AX3985" s="46">
        <v>146200</v>
      </c>
      <c r="AY3985" s="46">
        <v>1396410.757</v>
      </c>
      <c r="AZ3985" s="46">
        <v>9.5510000000000002</v>
      </c>
      <c r="BA3985" s="46" t="s">
        <v>63</v>
      </c>
      <c r="BB3985" s="46">
        <v>10900</v>
      </c>
      <c r="BC3985" s="46">
        <v>187692.924</v>
      </c>
      <c r="BD3985" s="46">
        <v>17.22</v>
      </c>
      <c r="BE3985" s="46">
        <v>-77778.399999999994</v>
      </c>
      <c r="BF3985" s="46">
        <v>20267</v>
      </c>
      <c r="BG3985" s="46">
        <v>20.27</v>
      </c>
      <c r="BH3985" s="46">
        <v>67712.740999999922</v>
      </c>
      <c r="BI3985">
        <v>9.2799999999999994</v>
      </c>
      <c r="BJ3985">
        <v>-47445.741000000009</v>
      </c>
      <c r="BK3985">
        <v>-7.53</v>
      </c>
      <c r="BL3985">
        <v>-8395.65</v>
      </c>
    </row>
    <row r="3986" spans="1:64" x14ac:dyDescent="0.25">
      <c r="A3986" s="136">
        <v>44025</v>
      </c>
      <c r="B3986" t="s">
        <v>70</v>
      </c>
      <c r="C3986" t="s">
        <v>131</v>
      </c>
      <c r="D3986">
        <v>12080</v>
      </c>
      <c r="E3986">
        <v>12080</v>
      </c>
      <c r="F3986">
        <v>8.3559999999999999</v>
      </c>
      <c r="G3986">
        <v>-10948.17</v>
      </c>
      <c r="H3986">
        <v>-10.85</v>
      </c>
      <c r="I3986">
        <v>89996</v>
      </c>
      <c r="J3986">
        <v>7.45</v>
      </c>
      <c r="K3986" s="133">
        <v>0.12195193671399669</v>
      </c>
      <c r="L3986" s="181">
        <v>3220.84</v>
      </c>
      <c r="M3986" s="133">
        <v>0.13678760202105564</v>
      </c>
      <c r="N3986" s="73">
        <v>-11439.284999999989</v>
      </c>
      <c r="O3986" s="73">
        <v>-1542.9912763157879</v>
      </c>
      <c r="P3986" s="182">
        <v>0</v>
      </c>
      <c r="Q3986" s="182">
        <v>0</v>
      </c>
      <c r="R3986" s="46">
        <v>0</v>
      </c>
      <c r="S3986" s="46">
        <v>12</v>
      </c>
      <c r="T3986" s="46">
        <v>6400</v>
      </c>
      <c r="U3986" s="46">
        <v>7.3479999999999999</v>
      </c>
      <c r="V3986" s="46" t="s">
        <v>68</v>
      </c>
      <c r="W3986" s="46">
        <v>6400</v>
      </c>
      <c r="X3986" s="46">
        <v>7.3479999999999999</v>
      </c>
      <c r="AF3986" s="46">
        <v>223</v>
      </c>
      <c r="AG3986" s="46">
        <v>111180</v>
      </c>
      <c r="AH3986" s="46">
        <v>1218479</v>
      </c>
      <c r="AI3986" s="46">
        <v>10.96</v>
      </c>
      <c r="AJ3986" s="46">
        <v>230</v>
      </c>
      <c r="AK3986" s="46">
        <v>92700</v>
      </c>
      <c r="AL3986" s="46">
        <v>1068409.9389999995</v>
      </c>
      <c r="AM3986" s="46">
        <v>11.525</v>
      </c>
      <c r="AN3986" s="46" t="s">
        <v>63</v>
      </c>
      <c r="AO3986" s="46">
        <v>18480</v>
      </c>
      <c r="AP3986" s="46">
        <v>150069.06099999999</v>
      </c>
      <c r="AQ3986" s="46">
        <v>8.1210000000000004</v>
      </c>
      <c r="AR3986" s="46">
        <v>52375.5</v>
      </c>
      <c r="AS3986" s="46">
        <v>223</v>
      </c>
      <c r="AT3986" s="46">
        <v>111180</v>
      </c>
      <c r="AU3986" s="46">
        <v>1218479</v>
      </c>
      <c r="AV3986" s="46">
        <v>10.96</v>
      </c>
      <c r="AW3986" s="46">
        <v>243</v>
      </c>
      <c r="AX3986" s="46">
        <v>99100</v>
      </c>
      <c r="AY3986" s="46">
        <v>1115756.9149999996</v>
      </c>
      <c r="AZ3986" s="46">
        <v>11.259</v>
      </c>
      <c r="BA3986" s="46" t="s">
        <v>63</v>
      </c>
      <c r="BB3986" s="46">
        <v>12080</v>
      </c>
      <c r="BC3986" s="46">
        <v>102722.08500000001</v>
      </c>
      <c r="BD3986" s="46">
        <v>8.5030000000000001</v>
      </c>
      <c r="BE3986" s="46">
        <v>29630.9</v>
      </c>
      <c r="BF3986" s="46">
        <v>0</v>
      </c>
      <c r="BH3986" s="46">
        <v>47346.976000000024</v>
      </c>
      <c r="BI3986">
        <v>7.4</v>
      </c>
      <c r="BJ3986">
        <v>-47346.975999999981</v>
      </c>
      <c r="BK3986">
        <v>-7.4</v>
      </c>
      <c r="BL3986">
        <v>7030.27</v>
      </c>
    </row>
    <row r="3987" spans="1:64" x14ac:dyDescent="0.25">
      <c r="A3987" s="136">
        <v>44025</v>
      </c>
      <c r="B3987" t="s">
        <v>77</v>
      </c>
      <c r="C3987" t="s">
        <v>150</v>
      </c>
      <c r="D3987">
        <v>5900</v>
      </c>
      <c r="E3987">
        <v>5900</v>
      </c>
      <c r="F3987">
        <v>5.274</v>
      </c>
      <c r="G3987">
        <v>-10286.73</v>
      </c>
      <c r="H3987">
        <v>-33.06</v>
      </c>
      <c r="I3987">
        <v>20827</v>
      </c>
      <c r="J3987">
        <v>3.53</v>
      </c>
      <c r="K3987" s="133">
        <v>2.8222287501026812E-2</v>
      </c>
      <c r="L3987" s="181">
        <v>627.57999999999993</v>
      </c>
      <c r="M3987" s="133">
        <v>4.2161647538739279E-2</v>
      </c>
      <c r="N3987" s="73">
        <v>-10732.683999999983</v>
      </c>
      <c r="O3987" s="73">
        <v>-2889.1434062146845</v>
      </c>
      <c r="P3987" s="182">
        <v>9</v>
      </c>
      <c r="Q3987" s="182">
        <v>4400</v>
      </c>
      <c r="R3987" s="46">
        <v>3.8570000000000002</v>
      </c>
      <c r="S3987" s="46">
        <v>4</v>
      </c>
      <c r="T3987" s="46">
        <v>2200</v>
      </c>
      <c r="U3987" s="46">
        <v>3.4340000000000002</v>
      </c>
      <c r="V3987" s="46" t="s">
        <v>62</v>
      </c>
      <c r="W3987" s="46">
        <v>2200</v>
      </c>
      <c r="X3987" s="46">
        <v>4.28</v>
      </c>
      <c r="AF3987" s="46">
        <v>65</v>
      </c>
      <c r="AG3987" s="46">
        <v>32300</v>
      </c>
      <c r="AH3987" s="46">
        <v>200543</v>
      </c>
      <c r="AI3987" s="46">
        <v>6.2089999999999996</v>
      </c>
      <c r="AJ3987" s="46">
        <v>65</v>
      </c>
      <c r="AK3987" s="46">
        <v>28600</v>
      </c>
      <c r="AL3987" s="46">
        <v>178625.87000000011</v>
      </c>
      <c r="AM3987" s="46">
        <v>6.2460000000000004</v>
      </c>
      <c r="AN3987" s="46" t="s">
        <v>63</v>
      </c>
      <c r="AO3987" s="46">
        <v>3700</v>
      </c>
      <c r="AP3987" s="46">
        <v>21917.13</v>
      </c>
      <c r="AQ3987" s="46">
        <v>5.9240000000000004</v>
      </c>
      <c r="AR3987" s="46">
        <v>1058.2</v>
      </c>
      <c r="AS3987" s="46">
        <v>74</v>
      </c>
      <c r="AT3987" s="46">
        <v>36700</v>
      </c>
      <c r="AU3987" s="46">
        <v>217271</v>
      </c>
      <c r="AV3987" s="46">
        <v>5.92</v>
      </c>
      <c r="AW3987" s="46">
        <v>69</v>
      </c>
      <c r="AX3987" s="46">
        <v>30800</v>
      </c>
      <c r="AY3987" s="46">
        <v>186152.31600000008</v>
      </c>
      <c r="AZ3987" s="46">
        <v>6.0439999999999996</v>
      </c>
      <c r="BA3987" s="46" t="s">
        <v>63</v>
      </c>
      <c r="BB3987" s="46">
        <v>5900</v>
      </c>
      <c r="BC3987" s="46">
        <v>31118.684000000001</v>
      </c>
      <c r="BD3987" s="46">
        <v>5.274</v>
      </c>
      <c r="BE3987" s="46">
        <v>3819.2</v>
      </c>
      <c r="BF3987" s="46">
        <v>16728</v>
      </c>
      <c r="BG3987" s="46">
        <v>3.8</v>
      </c>
      <c r="BH3987" s="46">
        <v>7526.4459999999672</v>
      </c>
      <c r="BI3987">
        <v>3.42</v>
      </c>
      <c r="BJ3987">
        <v>9201.5540000000001</v>
      </c>
      <c r="BK3987">
        <v>4.18</v>
      </c>
      <c r="BL3987">
        <v>299.77</v>
      </c>
    </row>
    <row r="3988" spans="1:64" x14ac:dyDescent="0.25">
      <c r="A3988" s="136">
        <v>44025</v>
      </c>
      <c r="B3988" t="s">
        <v>79</v>
      </c>
      <c r="C3988" t="s">
        <v>143</v>
      </c>
      <c r="D3988">
        <v>5200</v>
      </c>
      <c r="E3988">
        <v>5200</v>
      </c>
      <c r="F3988">
        <v>11.548999999999999</v>
      </c>
      <c r="G3988">
        <v>-14139.57</v>
      </c>
      <c r="H3988">
        <v>-23.54</v>
      </c>
      <c r="I3988">
        <v>45916</v>
      </c>
      <c r="J3988">
        <v>8.83</v>
      </c>
      <c r="K3988" s="133">
        <v>6.2219933398816304E-2</v>
      </c>
      <c r="L3988" s="181">
        <v>2709.9900000000016</v>
      </c>
      <c r="M3988" s="133">
        <v>8.1380206586548279E-2</v>
      </c>
      <c r="N3988" s="73">
        <v>-14173.983400000441</v>
      </c>
      <c r="O3988" s="73">
        <v>-1604.4050292525983</v>
      </c>
      <c r="P3988" s="182">
        <v>7</v>
      </c>
      <c r="Q3988" s="182">
        <v>5420</v>
      </c>
      <c r="R3988" s="46">
        <v>3.3759999999999999</v>
      </c>
      <c r="S3988" s="46">
        <v>10</v>
      </c>
      <c r="T3988" s="46">
        <v>5300</v>
      </c>
      <c r="U3988" s="46">
        <v>8.0820000000000007</v>
      </c>
      <c r="V3988" s="46" t="s">
        <v>62</v>
      </c>
      <c r="W3988" s="46">
        <v>120</v>
      </c>
      <c r="X3988" s="46">
        <v>-204.47200000000001</v>
      </c>
      <c r="AF3988" s="46">
        <v>80</v>
      </c>
      <c r="AG3988" s="46">
        <v>38300</v>
      </c>
      <c r="AH3988" s="46">
        <v>411698.97999999934</v>
      </c>
      <c r="AI3988" s="46">
        <v>10.749000000000001</v>
      </c>
      <c r="AJ3988" s="46">
        <v>79</v>
      </c>
      <c r="AK3988" s="46">
        <v>33220</v>
      </c>
      <c r="AL3988" s="46">
        <v>327203.26459999965</v>
      </c>
      <c r="AM3988" s="46">
        <v>9.85</v>
      </c>
      <c r="AN3988" s="46" t="s">
        <v>63</v>
      </c>
      <c r="AO3988" s="46">
        <v>5080</v>
      </c>
      <c r="AP3988" s="46">
        <v>84495.714999999997</v>
      </c>
      <c r="AQ3988" s="46">
        <v>16.632999999999999</v>
      </c>
      <c r="AR3988" s="46">
        <v>-29864.78</v>
      </c>
      <c r="AS3988" s="46">
        <v>87</v>
      </c>
      <c r="AT3988" s="46">
        <v>43720</v>
      </c>
      <c r="AU3988" s="46">
        <v>430033.23199999926</v>
      </c>
      <c r="AV3988" s="46">
        <v>9.8360000000000003</v>
      </c>
      <c r="AW3988" s="46">
        <v>89</v>
      </c>
      <c r="AX3988" s="46">
        <v>38520</v>
      </c>
      <c r="AY3988" s="46">
        <v>369943.24859999947</v>
      </c>
      <c r="AZ3988" s="46">
        <v>9.6039999999999992</v>
      </c>
      <c r="BA3988" s="46" t="s">
        <v>63</v>
      </c>
      <c r="BB3988" s="46">
        <v>5200</v>
      </c>
      <c r="BC3988" s="46">
        <v>60089.983</v>
      </c>
      <c r="BD3988" s="46">
        <v>11.555999999999999</v>
      </c>
      <c r="BE3988" s="46">
        <v>-8936.64</v>
      </c>
      <c r="BF3988" s="46">
        <v>18334.25199999992</v>
      </c>
      <c r="BG3988" s="46">
        <v>3.38</v>
      </c>
      <c r="BH3988" s="46">
        <v>42739.983999999822</v>
      </c>
      <c r="BI3988">
        <v>8.06</v>
      </c>
      <c r="BJ3988">
        <v>-24405.731999999996</v>
      </c>
      <c r="BK3988">
        <v>-203.38</v>
      </c>
      <c r="BL3988">
        <v>-3382.19</v>
      </c>
    </row>
    <row r="3989" spans="1:64" x14ac:dyDescent="0.25">
      <c r="A3989" s="136">
        <v>44025</v>
      </c>
      <c r="B3989" t="s">
        <v>71</v>
      </c>
      <c r="C3989" t="s">
        <v>126</v>
      </c>
      <c r="D3989">
        <v>3500</v>
      </c>
      <c r="E3989">
        <v>3500</v>
      </c>
      <c r="F3989">
        <v>3.9</v>
      </c>
      <c r="G3989">
        <v>6508.69</v>
      </c>
      <c r="H3989">
        <v>47.68</v>
      </c>
      <c r="I3989">
        <v>20160</v>
      </c>
      <c r="J3989">
        <v>5.76</v>
      </c>
      <c r="K3989" s="133">
        <v>2.7318447977178688E-2</v>
      </c>
      <c r="L3989" s="181">
        <v>140</v>
      </c>
      <c r="M3989" s="133">
        <v>1.8498640974967225E-2</v>
      </c>
      <c r="N3989" s="73">
        <v>6335.7920000000067</v>
      </c>
      <c r="O3989" s="73">
        <v>1260.5857584288062</v>
      </c>
      <c r="P3989" s="182">
        <v>0</v>
      </c>
      <c r="Q3989" s="182">
        <v>0</v>
      </c>
      <c r="R3989" s="46">
        <v>0</v>
      </c>
      <c r="S3989" s="46">
        <v>4</v>
      </c>
      <c r="T3989" s="46">
        <v>1600</v>
      </c>
      <c r="U3989" s="46">
        <v>5.7149999999999999</v>
      </c>
      <c r="V3989" s="46" t="s">
        <v>68</v>
      </c>
      <c r="W3989" s="46">
        <v>1600</v>
      </c>
      <c r="X3989" s="46">
        <v>5.7149999999999999</v>
      </c>
      <c r="AF3989" s="46">
        <v>70</v>
      </c>
      <c r="AG3989" s="46">
        <v>37700</v>
      </c>
      <c r="AH3989" s="46">
        <v>230023.83999999985</v>
      </c>
      <c r="AI3989" s="46">
        <v>6.101</v>
      </c>
      <c r="AJ3989" s="46">
        <v>75</v>
      </c>
      <c r="AK3989" s="46">
        <v>32600</v>
      </c>
      <c r="AL3989" s="46">
        <v>207069.77600000001</v>
      </c>
      <c r="AM3989" s="46">
        <v>6.3520000000000003</v>
      </c>
      <c r="AN3989" s="46" t="s">
        <v>63</v>
      </c>
      <c r="AO3989" s="46">
        <v>5100</v>
      </c>
      <c r="AP3989" s="46">
        <v>22954.063999999998</v>
      </c>
      <c r="AQ3989" s="46">
        <v>4.5010000000000003</v>
      </c>
      <c r="AR3989" s="46">
        <v>8182.6</v>
      </c>
      <c r="AS3989" s="46">
        <v>70</v>
      </c>
      <c r="AT3989" s="46">
        <v>37700</v>
      </c>
      <c r="AU3989" s="46">
        <v>230023.83999999985</v>
      </c>
      <c r="AV3989" s="46">
        <v>6.101</v>
      </c>
      <c r="AW3989" s="46">
        <v>79</v>
      </c>
      <c r="AX3989" s="46">
        <v>34200</v>
      </c>
      <c r="AY3989" s="46">
        <v>216183.67200000002</v>
      </c>
      <c r="AZ3989" s="46">
        <v>6.3209999999999997</v>
      </c>
      <c r="BA3989" s="46" t="s">
        <v>63</v>
      </c>
      <c r="BB3989" s="46">
        <v>3500</v>
      </c>
      <c r="BC3989" s="46">
        <v>13840.168</v>
      </c>
      <c r="BD3989" s="46">
        <v>3.9540000000000002</v>
      </c>
      <c r="BE3989" s="46">
        <v>7524</v>
      </c>
      <c r="BF3989" s="46">
        <v>0</v>
      </c>
      <c r="BH3989" s="46">
        <v>9113.8960000000079</v>
      </c>
      <c r="BI3989">
        <v>5.7</v>
      </c>
      <c r="BJ3989">
        <v>-9113.8959999999988</v>
      </c>
      <c r="BK3989">
        <v>-5.7</v>
      </c>
      <c r="BL3989">
        <v>1420.59</v>
      </c>
    </row>
    <row r="3990" spans="1:64" x14ac:dyDescent="0.25">
      <c r="A3990" s="136">
        <v>44025</v>
      </c>
      <c r="B3990" t="s">
        <v>61</v>
      </c>
      <c r="C3990" t="s">
        <v>136</v>
      </c>
      <c r="D3990">
        <v>3000</v>
      </c>
      <c r="E3990">
        <v>3000</v>
      </c>
      <c r="F3990">
        <v>4.577</v>
      </c>
      <c r="G3990">
        <v>-2091.6</v>
      </c>
      <c r="H3990">
        <v>-15.23</v>
      </c>
      <c r="I3990">
        <v>11640</v>
      </c>
      <c r="J3990">
        <v>3.88</v>
      </c>
      <c r="K3990" s="133">
        <v>1.5773151510632934E-2</v>
      </c>
      <c r="L3990" s="181">
        <v>150</v>
      </c>
      <c r="M3990" s="133">
        <v>1.8607440488265223E-2</v>
      </c>
      <c r="N3990" s="73">
        <v>-2180.859000000004</v>
      </c>
      <c r="O3990" s="73">
        <v>-566.17365467532568</v>
      </c>
      <c r="P3990" s="182">
        <v>3</v>
      </c>
      <c r="Q3990" s="182">
        <v>1500</v>
      </c>
      <c r="R3990" s="46">
        <v>4.2329999999999997</v>
      </c>
      <c r="S3990" s="46">
        <v>1</v>
      </c>
      <c r="T3990" s="46">
        <v>1400</v>
      </c>
      <c r="U3990" s="46">
        <v>3.85</v>
      </c>
      <c r="V3990" s="46" t="s">
        <v>62</v>
      </c>
      <c r="W3990" s="46">
        <v>100</v>
      </c>
      <c r="X3990" s="46">
        <v>9.5950000000000006</v>
      </c>
      <c r="AF3990" s="46">
        <v>30</v>
      </c>
      <c r="AG3990" s="46">
        <v>15000</v>
      </c>
      <c r="AH3990" s="46">
        <v>69729.000000000015</v>
      </c>
      <c r="AI3990" s="46">
        <v>4.649</v>
      </c>
      <c r="AJ3990" s="46">
        <v>30</v>
      </c>
      <c r="AK3990" s="46">
        <v>12100</v>
      </c>
      <c r="AL3990" s="46">
        <v>56975.270999999979</v>
      </c>
      <c r="AM3990" s="46">
        <v>4.7089999999999996</v>
      </c>
      <c r="AN3990" s="46" t="s">
        <v>63</v>
      </c>
      <c r="AO3990" s="46">
        <v>2900</v>
      </c>
      <c r="AP3990" s="46">
        <v>12753.728999999999</v>
      </c>
      <c r="AQ3990" s="46">
        <v>4.3979999999999997</v>
      </c>
      <c r="AR3990" s="46">
        <v>726</v>
      </c>
      <c r="AS3990" s="46">
        <v>33</v>
      </c>
      <c r="AT3990" s="46">
        <v>16500</v>
      </c>
      <c r="AU3990" s="46">
        <v>76094.900000000023</v>
      </c>
      <c r="AV3990" s="46">
        <v>4.6120000000000001</v>
      </c>
      <c r="AW3990" s="46">
        <v>31</v>
      </c>
      <c r="AX3990" s="46">
        <v>13500</v>
      </c>
      <c r="AY3990" s="46">
        <v>62364.040999999983</v>
      </c>
      <c r="AZ3990" s="46">
        <v>4.62</v>
      </c>
      <c r="BA3990" s="46" t="s">
        <v>63</v>
      </c>
      <c r="BB3990" s="46">
        <v>3000</v>
      </c>
      <c r="BC3990" s="46">
        <v>13730.859</v>
      </c>
      <c r="BD3990" s="46">
        <v>4.577</v>
      </c>
      <c r="BE3990" s="46">
        <v>108</v>
      </c>
      <c r="BF3990" s="46">
        <v>6365.9000000000087</v>
      </c>
      <c r="BG3990" s="46">
        <v>4.24</v>
      </c>
      <c r="BH3990" s="46">
        <v>5388.7700000000041</v>
      </c>
      <c r="BI3990">
        <v>3.85</v>
      </c>
      <c r="BJ3990">
        <v>977.13000000000102</v>
      </c>
      <c r="BK3990">
        <v>9.77</v>
      </c>
      <c r="BL3990">
        <v>187.11</v>
      </c>
    </row>
    <row r="3991" spans="1:64" x14ac:dyDescent="0.25">
      <c r="A3991" s="136">
        <v>44025</v>
      </c>
      <c r="B3991" t="s">
        <v>749</v>
      </c>
      <c r="C3991" t="s">
        <v>750</v>
      </c>
      <c r="D3991">
        <v>500</v>
      </c>
      <c r="E3991">
        <v>500</v>
      </c>
      <c r="F3991">
        <v>5.65</v>
      </c>
      <c r="G3991">
        <v>885</v>
      </c>
      <c r="H3991">
        <v>31.327000000000002</v>
      </c>
      <c r="I3991">
        <v>3710</v>
      </c>
      <c r="J3991">
        <v>7.42</v>
      </c>
      <c r="K3991" s="133">
        <v>5.0273532735780231E-3</v>
      </c>
      <c r="L3991" s="181">
        <v>105</v>
      </c>
      <c r="M3991" s="133">
        <v>3.8281059293417559E-3</v>
      </c>
    </row>
    <row r="3992" spans="1:64" x14ac:dyDescent="0.25">
      <c r="A3992" s="136">
        <v>44025</v>
      </c>
      <c r="B3992" t="s">
        <v>768</v>
      </c>
      <c r="C3992" t="s">
        <v>769</v>
      </c>
      <c r="D3992">
        <v>500</v>
      </c>
      <c r="E3992">
        <v>500</v>
      </c>
      <c r="F3992">
        <v>2.4140000000000001</v>
      </c>
      <c r="G3992">
        <v>388</v>
      </c>
      <c r="H3992">
        <v>32.15</v>
      </c>
      <c r="I3992">
        <v>1595</v>
      </c>
      <c r="J3992">
        <v>3.19</v>
      </c>
      <c r="K3992" s="133">
        <v>2.1613553831150798E-3</v>
      </c>
      <c r="L3992" s="181">
        <v>20</v>
      </c>
      <c r="M3992" s="133">
        <v>1.635583666093982E-3</v>
      </c>
    </row>
    <row r="3993" spans="1:64" x14ac:dyDescent="0.25">
      <c r="A3993" s="136">
        <v>44025</v>
      </c>
      <c r="B3993" t="s">
        <v>831</v>
      </c>
      <c r="C3993" t="s">
        <v>832</v>
      </c>
      <c r="D3993">
        <v>300</v>
      </c>
      <c r="E3993">
        <v>300</v>
      </c>
      <c r="F3993">
        <v>-116.697</v>
      </c>
      <c r="G3993">
        <v>188660.15</v>
      </c>
      <c r="H3993">
        <v>0</v>
      </c>
      <c r="I3993">
        <v>153651</v>
      </c>
      <c r="J3993">
        <v>512.16999999999996</v>
      </c>
      <c r="K3993" s="133">
        <v>0.20820966518558942</v>
      </c>
      <c r="L3993" s="181">
        <v>13968</v>
      </c>
      <c r="M3993" s="133">
        <v>0</v>
      </c>
    </row>
    <row r="3994" spans="1:64" x14ac:dyDescent="0.25">
      <c r="A3994" s="136">
        <v>44025</v>
      </c>
      <c r="B3994" t="s">
        <v>137</v>
      </c>
      <c r="C3994" t="s">
        <v>149</v>
      </c>
      <c r="D3994">
        <v>150</v>
      </c>
      <c r="E3994">
        <v>150</v>
      </c>
      <c r="F3994">
        <v>1</v>
      </c>
      <c r="G3994">
        <v>6498</v>
      </c>
      <c r="H3994">
        <v>4332</v>
      </c>
      <c r="I3994">
        <v>6648</v>
      </c>
      <c r="J3994">
        <v>44.32</v>
      </c>
      <c r="K3994" s="133">
        <v>9.0085834400934484E-3</v>
      </c>
      <c r="L3994" s="181">
        <v>604.5</v>
      </c>
      <c r="M3994" s="133">
        <v>2.0326226173496048E-4</v>
      </c>
    </row>
    <row r="3995" spans="1:64" x14ac:dyDescent="0.25">
      <c r="A3995" s="136">
        <v>44025</v>
      </c>
      <c r="B3995" t="s">
        <v>124</v>
      </c>
      <c r="C3995" t="s">
        <v>125</v>
      </c>
      <c r="D3995">
        <v>100</v>
      </c>
      <c r="E3995">
        <v>100</v>
      </c>
      <c r="F3995">
        <v>0.73699999999999999</v>
      </c>
      <c r="G3995">
        <v>447.28</v>
      </c>
      <c r="H3995">
        <v>606.89</v>
      </c>
      <c r="I3995">
        <v>521</v>
      </c>
      <c r="J3995">
        <v>5.21</v>
      </c>
      <c r="K3995" s="133">
        <v>7.0599758909276273E-4</v>
      </c>
      <c r="L3995" s="181">
        <v>-1</v>
      </c>
      <c r="M3995" s="133">
        <v>9.9896626234008613E-5</v>
      </c>
      <c r="N3995" s="73">
        <v>5623.0690000000113</v>
      </c>
      <c r="O3995" s="73">
        <v>1111.8087987827732</v>
      </c>
      <c r="P3995" s="182">
        <v>0</v>
      </c>
      <c r="Q3995" s="182">
        <v>0</v>
      </c>
      <c r="R3995" s="46">
        <v>0</v>
      </c>
      <c r="S3995" s="46">
        <v>5</v>
      </c>
      <c r="T3995" s="46">
        <v>2300</v>
      </c>
      <c r="U3995" s="46">
        <v>4.99</v>
      </c>
      <c r="V3995" s="46" t="s">
        <v>68</v>
      </c>
      <c r="W3995" s="46">
        <v>2300</v>
      </c>
      <c r="X3995" s="46">
        <v>4.99</v>
      </c>
      <c r="AF3995" s="46">
        <v>50</v>
      </c>
      <c r="AG3995" s="46">
        <v>36700</v>
      </c>
      <c r="AH3995" s="46">
        <v>180101.02000000002</v>
      </c>
      <c r="AI3995" s="46">
        <v>4.907</v>
      </c>
      <c r="AJ3995" s="46">
        <v>58</v>
      </c>
      <c r="AK3995" s="46">
        <v>35300</v>
      </c>
      <c r="AL3995" s="46">
        <v>178266.546</v>
      </c>
      <c r="AM3995" s="46">
        <v>5.05</v>
      </c>
      <c r="AN3995" s="46" t="s">
        <v>63</v>
      </c>
      <c r="AO3995" s="46">
        <v>1400</v>
      </c>
      <c r="AP3995" s="46">
        <v>1834.4739999999999</v>
      </c>
      <c r="AQ3995" s="46">
        <v>1.31</v>
      </c>
      <c r="AR3995" s="46">
        <v>5047.8999999999996</v>
      </c>
      <c r="AS3995" s="46">
        <v>51</v>
      </c>
      <c r="AT3995" s="46">
        <v>37700</v>
      </c>
      <c r="AU3995" s="46">
        <v>185106.62</v>
      </c>
      <c r="AV3995" s="46">
        <v>4.91</v>
      </c>
      <c r="AW3995" s="46">
        <v>63</v>
      </c>
      <c r="AX3995" s="46">
        <v>37600</v>
      </c>
      <c r="AY3995" s="46">
        <v>189763.68900000001</v>
      </c>
      <c r="AZ3995" s="46">
        <v>5.0469999999999997</v>
      </c>
      <c r="BA3995" s="46" t="s">
        <v>63</v>
      </c>
      <c r="BB3995" s="46">
        <v>100</v>
      </c>
      <c r="BC3995" s="46">
        <v>4657.0690000000004</v>
      </c>
      <c r="BD3995" s="46">
        <v>46.570999999999998</v>
      </c>
      <c r="BE3995" s="46">
        <v>5151.2</v>
      </c>
      <c r="BF3995" s="46">
        <v>5005.5999999999767</v>
      </c>
      <c r="BH3995" s="46">
        <v>11497.143000000011</v>
      </c>
      <c r="BI3995">
        <v>5</v>
      </c>
      <c r="BJ3995">
        <v>2822.5950000000003</v>
      </c>
      <c r="BK3995">
        <v>1.23</v>
      </c>
      <c r="BL3995">
        <v>968.89</v>
      </c>
    </row>
    <row r="3996" spans="1:64" x14ac:dyDescent="0.25">
      <c r="A3996" s="136">
        <v>44025</v>
      </c>
      <c r="B3996" t="s">
        <v>67</v>
      </c>
      <c r="C3996" t="s">
        <v>129</v>
      </c>
      <c r="D3996">
        <v>100</v>
      </c>
      <c r="E3996">
        <v>100</v>
      </c>
      <c r="F3996">
        <v>-44.533999999999999</v>
      </c>
      <c r="G3996">
        <v>5195.43</v>
      </c>
      <c r="H3996">
        <v>0</v>
      </c>
      <c r="I3996">
        <v>742</v>
      </c>
      <c r="J3996">
        <v>7.42</v>
      </c>
      <c r="K3996" s="133">
        <v>1.0054706547156045E-3</v>
      </c>
      <c r="L3996" s="181">
        <v>48</v>
      </c>
      <c r="M3996" s="133">
        <v>0</v>
      </c>
      <c r="N3996" s="73">
        <v>5092.64479999998</v>
      </c>
      <c r="O3996" s="73">
        <v>790.38796236024621</v>
      </c>
      <c r="P3996" s="182">
        <v>1</v>
      </c>
      <c r="Q3996" s="182">
        <v>30</v>
      </c>
      <c r="R3996" s="46">
        <v>0</v>
      </c>
      <c r="S3996" s="46">
        <v>27</v>
      </c>
      <c r="T3996" s="46">
        <v>10800</v>
      </c>
      <c r="U3996" s="46">
        <v>8.0619999999999994</v>
      </c>
      <c r="V3996" s="46" t="s">
        <v>68</v>
      </c>
      <c r="W3996" s="46">
        <v>10770</v>
      </c>
      <c r="X3996" s="46">
        <v>8.0839999999999996</v>
      </c>
      <c r="AF3996" s="46">
        <v>210</v>
      </c>
      <c r="AG3996" s="46">
        <v>103200</v>
      </c>
      <c r="AH3996" s="46">
        <v>846038</v>
      </c>
      <c r="AI3996" s="46">
        <v>8.1980000000000004</v>
      </c>
      <c r="AJ3996" s="46">
        <v>214</v>
      </c>
      <c r="AK3996" s="46">
        <v>94930</v>
      </c>
      <c r="AL3996" s="46">
        <v>832752.33280000009</v>
      </c>
      <c r="AM3996" s="46">
        <v>8.7720000000000002</v>
      </c>
      <c r="AN3996" s="46" t="s">
        <v>63</v>
      </c>
      <c r="AO3996" s="46">
        <v>8270</v>
      </c>
      <c r="AP3996" s="46">
        <v>13285.666999999999</v>
      </c>
      <c r="AQ3996" s="46">
        <v>1.6060000000000001</v>
      </c>
      <c r="AR3996" s="46">
        <v>54489.82</v>
      </c>
      <c r="AS3996" s="46">
        <v>211</v>
      </c>
      <c r="AT3996" s="46">
        <v>103230</v>
      </c>
      <c r="AU3996" s="46">
        <v>846043</v>
      </c>
      <c r="AV3996" s="46">
        <v>8.1959999999999997</v>
      </c>
      <c r="AW3996" s="46">
        <v>241</v>
      </c>
      <c r="AX3996" s="46">
        <v>105730</v>
      </c>
      <c r="AY3996" s="46">
        <v>919619.76080000005</v>
      </c>
      <c r="AZ3996" s="46">
        <v>8.6980000000000004</v>
      </c>
      <c r="BA3996" s="46" t="s">
        <v>69</v>
      </c>
      <c r="BB3996" s="46">
        <v>2500</v>
      </c>
      <c r="BC3996" s="46">
        <v>73576.760999999999</v>
      </c>
      <c r="BD3996" s="46">
        <v>29.431000000000001</v>
      </c>
      <c r="BE3996" s="46">
        <v>51821.46</v>
      </c>
      <c r="BF3996" s="46">
        <v>5</v>
      </c>
      <c r="BG3996" s="46">
        <v>0.17</v>
      </c>
      <c r="BH3996" s="46">
        <v>86867.427999999956</v>
      </c>
      <c r="BI3996">
        <v>8.0399999999999991</v>
      </c>
      <c r="BJ3996">
        <v>60291.093999999997</v>
      </c>
      <c r="BK3996">
        <v>5.6</v>
      </c>
      <c r="BL3996">
        <v>7343.64</v>
      </c>
    </row>
    <row r="3997" spans="1:64" x14ac:dyDescent="0.25">
      <c r="A3997" s="136">
        <v>44025</v>
      </c>
      <c r="B3997" t="s">
        <v>78</v>
      </c>
      <c r="C3997" t="s">
        <v>142</v>
      </c>
      <c r="D3997">
        <v>100</v>
      </c>
      <c r="E3997">
        <v>100</v>
      </c>
      <c r="F3997">
        <v>1</v>
      </c>
      <c r="G3997">
        <v>2120</v>
      </c>
      <c r="H3997">
        <v>2120</v>
      </c>
      <c r="I3997">
        <v>2220</v>
      </c>
      <c r="J3997">
        <v>22.2</v>
      </c>
      <c r="K3997" s="133">
        <v>3.0082814736774152E-3</v>
      </c>
      <c r="L3997" s="181">
        <v>78</v>
      </c>
      <c r="M3997" s="133">
        <v>1.3550817448997366E-4</v>
      </c>
      <c r="N3997" s="73">
        <v>1576.660999999996</v>
      </c>
      <c r="O3997" s="73">
        <v>159.17905752525212</v>
      </c>
      <c r="P3997" s="182">
        <v>0</v>
      </c>
      <c r="Q3997" s="182">
        <v>0</v>
      </c>
      <c r="R3997" s="46">
        <v>0</v>
      </c>
      <c r="S3997" s="46">
        <v>4</v>
      </c>
      <c r="T3997" s="46">
        <v>1300</v>
      </c>
      <c r="U3997" s="46">
        <v>9.9220000000000006</v>
      </c>
      <c r="V3997" s="46" t="s">
        <v>68</v>
      </c>
      <c r="W3997" s="46">
        <v>1300</v>
      </c>
      <c r="X3997" s="46">
        <v>9.9220000000000006</v>
      </c>
      <c r="AF3997" s="46">
        <v>14</v>
      </c>
      <c r="AG3997" s="46">
        <v>7000</v>
      </c>
      <c r="AH3997" s="46">
        <v>67625</v>
      </c>
      <c r="AI3997" s="46">
        <v>9.6609999999999996</v>
      </c>
      <c r="AJ3997" s="46">
        <v>15</v>
      </c>
      <c r="AK3997" s="46">
        <v>5600</v>
      </c>
      <c r="AL3997" s="46">
        <v>55310.559000000008</v>
      </c>
      <c r="AM3997" s="46">
        <v>9.8770000000000007</v>
      </c>
      <c r="AN3997" s="46" t="s">
        <v>63</v>
      </c>
      <c r="AO3997" s="46">
        <v>1400</v>
      </c>
      <c r="AP3997" s="46">
        <v>12314.441000000001</v>
      </c>
      <c r="AQ3997" s="46">
        <v>8.7959999999999994</v>
      </c>
      <c r="AR3997" s="46">
        <v>1209.5999999999999</v>
      </c>
      <c r="AS3997" s="46">
        <v>14</v>
      </c>
      <c r="AT3997" s="46">
        <v>7000</v>
      </c>
      <c r="AU3997" s="46">
        <v>67625</v>
      </c>
      <c r="AV3997" s="46">
        <v>9.6609999999999996</v>
      </c>
      <c r="AW3997" s="46">
        <v>19</v>
      </c>
      <c r="AX3997" s="46">
        <v>6900</v>
      </c>
      <c r="AY3997" s="46">
        <v>68211.661000000007</v>
      </c>
      <c r="AZ3997" s="46">
        <v>9.8859999999999992</v>
      </c>
      <c r="BA3997" s="46" t="s">
        <v>63</v>
      </c>
      <c r="BB3997" s="46">
        <v>100</v>
      </c>
      <c r="BC3997" s="46">
        <v>586.66099999999994</v>
      </c>
      <c r="BD3997" s="46">
        <v>5.867</v>
      </c>
      <c r="BE3997" s="46">
        <v>1552.5</v>
      </c>
      <c r="BF3997" s="46">
        <v>0</v>
      </c>
      <c r="BH3997" s="46">
        <v>12901.101999999999</v>
      </c>
      <c r="BI3997">
        <v>9.92</v>
      </c>
      <c r="BJ3997">
        <v>-11727.78</v>
      </c>
      <c r="BK3997">
        <v>-9.02</v>
      </c>
      <c r="BL3997">
        <v>54.49</v>
      </c>
    </row>
    <row r="3998" spans="1:64" x14ac:dyDescent="0.25">
      <c r="A3998" s="136">
        <v>44025</v>
      </c>
      <c r="B3998" t="s">
        <v>72</v>
      </c>
      <c r="C3998" t="s">
        <v>130</v>
      </c>
      <c r="D3998">
        <v>100</v>
      </c>
      <c r="E3998">
        <v>100</v>
      </c>
      <c r="F3998">
        <v>1.53</v>
      </c>
      <c r="G3998">
        <v>380</v>
      </c>
      <c r="H3998">
        <v>248.37</v>
      </c>
      <c r="I3998">
        <v>533</v>
      </c>
      <c r="J3998">
        <v>5.33</v>
      </c>
      <c r="K3998" s="133">
        <v>7.2225857003155964E-4</v>
      </c>
      <c r="L3998" s="181">
        <v>22</v>
      </c>
      <c r="M3998" s="133">
        <v>2.0732750696965971E-4</v>
      </c>
      <c r="N3998" s="73">
        <v>-1498.9659999999872</v>
      </c>
      <c r="O3998" s="73">
        <v>376.42007904191922</v>
      </c>
      <c r="P3998" s="182">
        <v>0</v>
      </c>
      <c r="Q3998" s="182">
        <v>0</v>
      </c>
      <c r="R3998" s="46">
        <v>0</v>
      </c>
      <c r="S3998" s="46">
        <v>20</v>
      </c>
      <c r="T3998" s="46">
        <v>8600</v>
      </c>
      <c r="U3998" s="46">
        <v>7.3840000000000003</v>
      </c>
      <c r="V3998" s="46" t="s">
        <v>68</v>
      </c>
      <c r="W3998" s="46">
        <v>8600</v>
      </c>
      <c r="X3998" s="46">
        <v>7.3840000000000003</v>
      </c>
      <c r="AF3998" s="46">
        <v>42</v>
      </c>
      <c r="AG3998" s="46">
        <v>20900</v>
      </c>
      <c r="AH3998" s="46">
        <v>152800</v>
      </c>
      <c r="AI3998" s="46">
        <v>7.3109999999999999</v>
      </c>
      <c r="AJ3998" s="46">
        <v>42</v>
      </c>
      <c r="AK3998" s="46">
        <v>18800</v>
      </c>
      <c r="AL3998" s="46">
        <v>92037.725000000035</v>
      </c>
      <c r="AM3998" s="46">
        <v>4.8959999999999999</v>
      </c>
      <c r="AN3998" s="46" t="s">
        <v>63</v>
      </c>
      <c r="AO3998" s="46">
        <v>2100</v>
      </c>
      <c r="AP3998" s="46">
        <v>60762.275000000001</v>
      </c>
      <c r="AQ3998" s="46">
        <v>28.934000000000001</v>
      </c>
      <c r="AR3998" s="46">
        <v>-45402</v>
      </c>
      <c r="AS3998" s="46">
        <v>42</v>
      </c>
      <c r="AT3998" s="46">
        <v>20900</v>
      </c>
      <c r="AU3998" s="46">
        <v>152800</v>
      </c>
      <c r="AV3998" s="46">
        <v>7.3109999999999999</v>
      </c>
      <c r="AW3998" s="46">
        <v>63</v>
      </c>
      <c r="AX3998" s="46">
        <v>27900</v>
      </c>
      <c r="AY3998" s="46">
        <v>155380.21900000001</v>
      </c>
      <c r="AZ3998" s="46">
        <v>5.569</v>
      </c>
      <c r="BA3998" s="46" t="s">
        <v>69</v>
      </c>
      <c r="BB3998" s="46">
        <v>7000</v>
      </c>
      <c r="BC3998" s="46">
        <v>2580.2190000000001</v>
      </c>
      <c r="BD3998" s="46">
        <v>0.36899999999999999</v>
      </c>
      <c r="BE3998" s="46">
        <v>-36407.800000000003</v>
      </c>
      <c r="BF3998" s="46">
        <v>0</v>
      </c>
      <c r="BH3998" s="46">
        <v>63342.493999999977</v>
      </c>
      <c r="BI3998">
        <v>7.37</v>
      </c>
      <c r="BJ3998">
        <v>-58182.056000000004</v>
      </c>
      <c r="BK3998">
        <v>-6.77</v>
      </c>
      <c r="BL3998">
        <v>-8518.2000000000007</v>
      </c>
    </row>
    <row r="3999" spans="1:64" x14ac:dyDescent="0.25">
      <c r="A3999" s="136">
        <v>44025</v>
      </c>
      <c r="B3999" t="s">
        <v>628</v>
      </c>
      <c r="C3999" t="s">
        <v>629</v>
      </c>
      <c r="D3999">
        <v>100</v>
      </c>
      <c r="E3999">
        <v>100</v>
      </c>
      <c r="F3999">
        <v>0.95</v>
      </c>
      <c r="G3999">
        <v>1678</v>
      </c>
      <c r="H3999">
        <v>1766.32</v>
      </c>
      <c r="I3999">
        <v>1773</v>
      </c>
      <c r="J3999">
        <v>17.73</v>
      </c>
      <c r="K3999" s="133">
        <v>2.4025599337072329E-3</v>
      </c>
      <c r="L3999" s="181">
        <v>53</v>
      </c>
      <c r="M3999" s="133">
        <v>1.2873276576547498E-4</v>
      </c>
    </row>
    <row r="4000" spans="1:64" x14ac:dyDescent="0.25">
      <c r="A4000" s="136">
        <v>44025</v>
      </c>
      <c r="B4000" t="s">
        <v>837</v>
      </c>
      <c r="C4000" t="s">
        <v>838</v>
      </c>
      <c r="D4000">
        <v>20</v>
      </c>
      <c r="E4000">
        <v>20</v>
      </c>
      <c r="F4000">
        <v>100</v>
      </c>
      <c r="G4000">
        <v>0</v>
      </c>
      <c r="H4000">
        <v>0</v>
      </c>
      <c r="I4000">
        <v>2000</v>
      </c>
      <c r="J4000">
        <v>100</v>
      </c>
      <c r="K4000" s="133">
        <v>2.7101634897994734E-3</v>
      </c>
      <c r="L4000" s="181">
        <v>0</v>
      </c>
      <c r="M4000" s="133">
        <v>2.7101634897994734E-3</v>
      </c>
    </row>
    <row r="4001" spans="1:64" x14ac:dyDescent="0.25">
      <c r="A4001" s="136">
        <v>44025</v>
      </c>
      <c r="B4001" t="s">
        <v>776</v>
      </c>
      <c r="C4001" t="s">
        <v>777</v>
      </c>
      <c r="D4001">
        <v>1</v>
      </c>
      <c r="E4001">
        <v>1</v>
      </c>
      <c r="F4001">
        <v>-137.5</v>
      </c>
      <c r="G4001">
        <v>221.61</v>
      </c>
      <c r="H4001">
        <v>0</v>
      </c>
      <c r="I4001">
        <v>84.11</v>
      </c>
      <c r="J4001">
        <v>84.11</v>
      </c>
      <c r="K4001" s="133">
        <v>1.1397592556351684E-4</v>
      </c>
      <c r="L4001" s="181">
        <v>0.69000000000002615</v>
      </c>
      <c r="M4001" s="133">
        <v>0</v>
      </c>
    </row>
    <row r="4002" spans="1:64" x14ac:dyDescent="0.25">
      <c r="A4002" s="136">
        <v>44025</v>
      </c>
      <c r="B4002" t="s">
        <v>829</v>
      </c>
      <c r="C4002" t="s">
        <v>830</v>
      </c>
      <c r="D4002">
        <v>0</v>
      </c>
      <c r="E4002">
        <v>0</v>
      </c>
      <c r="F4002">
        <v>0</v>
      </c>
      <c r="G4002">
        <v>13193.83</v>
      </c>
      <c r="H4002">
        <v>0</v>
      </c>
      <c r="I4002">
        <v>0</v>
      </c>
      <c r="J4002">
        <v>32.340000000000003</v>
      </c>
      <c r="K4002" s="133">
        <v>0</v>
      </c>
      <c r="L4002" s="181">
        <v>1448.83</v>
      </c>
      <c r="M4002" s="133">
        <v>0</v>
      </c>
    </row>
    <row r="4003" spans="1:64" x14ac:dyDescent="0.25">
      <c r="A4003" s="136">
        <v>44025</v>
      </c>
      <c r="B4003" t="s">
        <v>835</v>
      </c>
      <c r="C4003" t="s">
        <v>839</v>
      </c>
      <c r="I4003">
        <v>7014.98</v>
      </c>
      <c r="K4003" s="133">
        <v>9.5058713388367529E-3</v>
      </c>
      <c r="L4003" s="181">
        <v>0</v>
      </c>
      <c r="M4003" s="133">
        <v>0.29694146125456772</v>
      </c>
    </row>
    <row r="4004" spans="1:64" x14ac:dyDescent="0.25">
      <c r="A4004" s="136">
        <v>44026</v>
      </c>
      <c r="B4004" t="s">
        <v>831</v>
      </c>
      <c r="C4004" t="s">
        <v>832</v>
      </c>
      <c r="D4004">
        <v>300</v>
      </c>
      <c r="E4004">
        <v>300</v>
      </c>
      <c r="F4004">
        <v>-116.697</v>
      </c>
      <c r="G4004">
        <v>204026.15</v>
      </c>
      <c r="H4004">
        <v>0</v>
      </c>
      <c r="I4004">
        <v>169017</v>
      </c>
      <c r="J4004">
        <v>563.39</v>
      </c>
      <c r="K4004" s="133">
        <v>0.22525516677714386</v>
      </c>
      <c r="L4004" s="181">
        <v>15366</v>
      </c>
      <c r="M4004" s="133">
        <v>0</v>
      </c>
    </row>
    <row r="4005" spans="1:64" x14ac:dyDescent="0.25">
      <c r="A4005" s="136">
        <v>44026</v>
      </c>
      <c r="B4005" t="s">
        <v>71</v>
      </c>
      <c r="C4005" t="s">
        <v>126</v>
      </c>
      <c r="D4005">
        <v>3500</v>
      </c>
      <c r="E4005">
        <v>3500</v>
      </c>
      <c r="F4005">
        <v>3.9</v>
      </c>
      <c r="G4005">
        <v>6263.69</v>
      </c>
      <c r="H4005">
        <v>45.89</v>
      </c>
      <c r="I4005">
        <v>19075</v>
      </c>
      <c r="J4005">
        <v>5.69</v>
      </c>
      <c r="K4005" s="133">
        <v>2.6541452317617873E-2</v>
      </c>
      <c r="L4005" s="181">
        <v>-245</v>
      </c>
      <c r="M4005" s="133">
        <v>1.8193602482451422E-2</v>
      </c>
      <c r="N4005" s="73">
        <v>6300.7920000000067</v>
      </c>
      <c r="O4005" s="73">
        <v>1260.5857584288062</v>
      </c>
      <c r="P4005" s="182">
        <v>0</v>
      </c>
      <c r="Q4005" s="182">
        <v>0</v>
      </c>
      <c r="R4005" s="46">
        <v>0</v>
      </c>
      <c r="S4005" s="46">
        <v>4</v>
      </c>
      <c r="T4005" s="46">
        <v>1600</v>
      </c>
      <c r="U4005" s="46">
        <v>5.7149999999999999</v>
      </c>
      <c r="V4005" s="46" t="s">
        <v>68</v>
      </c>
      <c r="W4005" s="46">
        <v>1600</v>
      </c>
      <c r="X4005" s="46">
        <v>5.7149999999999999</v>
      </c>
      <c r="AF4005" s="46">
        <v>70</v>
      </c>
      <c r="AG4005" s="46">
        <v>37700</v>
      </c>
      <c r="AH4005" s="46">
        <v>230023.83999999985</v>
      </c>
      <c r="AI4005" s="46">
        <v>6.101</v>
      </c>
      <c r="AJ4005" s="46">
        <v>75</v>
      </c>
      <c r="AK4005" s="46">
        <v>32600</v>
      </c>
      <c r="AL4005" s="46">
        <v>207069.77600000001</v>
      </c>
      <c r="AM4005" s="46">
        <v>6.3520000000000003</v>
      </c>
      <c r="AN4005" s="46" t="s">
        <v>63</v>
      </c>
      <c r="AO4005" s="46">
        <v>5100</v>
      </c>
      <c r="AP4005" s="46">
        <v>22954.063999999998</v>
      </c>
      <c r="AQ4005" s="46">
        <v>4.5010000000000003</v>
      </c>
      <c r="AR4005" s="46">
        <v>8182.6</v>
      </c>
      <c r="AS4005" s="46">
        <v>70</v>
      </c>
      <c r="AT4005" s="46">
        <v>37700</v>
      </c>
      <c r="AU4005" s="46">
        <v>230023.83999999985</v>
      </c>
      <c r="AV4005" s="46">
        <v>6.101</v>
      </c>
      <c r="AW4005" s="46">
        <v>79</v>
      </c>
      <c r="AX4005" s="46">
        <v>34200</v>
      </c>
      <c r="AY4005" s="46">
        <v>216183.67200000002</v>
      </c>
      <c r="AZ4005" s="46">
        <v>6.3209999999999997</v>
      </c>
      <c r="BA4005" s="46" t="s">
        <v>63</v>
      </c>
      <c r="BB4005" s="46">
        <v>3500</v>
      </c>
      <c r="BC4005" s="46">
        <v>13840.168</v>
      </c>
      <c r="BD4005" s="46">
        <v>3.9540000000000002</v>
      </c>
      <c r="BE4005" s="46">
        <v>7524</v>
      </c>
      <c r="BF4005" s="46">
        <v>0</v>
      </c>
      <c r="BH4005" s="46">
        <v>9113.8960000000079</v>
      </c>
      <c r="BI4005">
        <v>5.7</v>
      </c>
      <c r="BJ4005">
        <v>-9113.8959999999988</v>
      </c>
      <c r="BK4005">
        <v>-5.7</v>
      </c>
      <c r="BL4005">
        <v>1438.07</v>
      </c>
    </row>
    <row r="4006" spans="1:64" x14ac:dyDescent="0.25">
      <c r="A4006" s="136">
        <v>44026</v>
      </c>
      <c r="B4006" t="s">
        <v>137</v>
      </c>
      <c r="C4006" t="s">
        <v>149</v>
      </c>
      <c r="D4006">
        <v>150</v>
      </c>
      <c r="E4006">
        <v>150</v>
      </c>
      <c r="F4006">
        <v>1</v>
      </c>
      <c r="G4006">
        <v>6042</v>
      </c>
      <c r="H4006">
        <v>4028</v>
      </c>
      <c r="I4006">
        <v>6192</v>
      </c>
      <c r="J4006">
        <v>41.28</v>
      </c>
      <c r="K4006" s="133">
        <v>8.2523059377700159E-3</v>
      </c>
      <c r="L4006" s="181">
        <v>-456</v>
      </c>
      <c r="M4006" s="133">
        <v>1.9991051205838216E-4</v>
      </c>
    </row>
    <row r="4007" spans="1:64" x14ac:dyDescent="0.25">
      <c r="A4007" s="136">
        <v>44026</v>
      </c>
      <c r="B4007" t="s">
        <v>67</v>
      </c>
      <c r="C4007" t="s">
        <v>129</v>
      </c>
      <c r="D4007">
        <v>100</v>
      </c>
      <c r="E4007">
        <v>100</v>
      </c>
      <c r="F4007">
        <v>-44.533999999999999</v>
      </c>
      <c r="G4007">
        <v>5190.43</v>
      </c>
      <c r="H4007">
        <v>0</v>
      </c>
      <c r="I4007">
        <v>737</v>
      </c>
      <c r="J4007">
        <v>7.37</v>
      </c>
      <c r="K4007" s="133">
        <v>9.8222698258018442E-4</v>
      </c>
      <c r="L4007" s="181">
        <v>-5</v>
      </c>
      <c r="M4007" s="133">
        <v>0</v>
      </c>
      <c r="N4007" s="73">
        <v>5092.64479999998</v>
      </c>
      <c r="O4007" s="73">
        <v>790.38796236024621</v>
      </c>
      <c r="P4007" s="182">
        <v>1</v>
      </c>
      <c r="Q4007" s="182">
        <v>30</v>
      </c>
      <c r="R4007" s="46">
        <v>0</v>
      </c>
      <c r="S4007" s="46">
        <v>27</v>
      </c>
      <c r="T4007" s="46">
        <v>10800</v>
      </c>
      <c r="U4007" s="46">
        <v>8.0619999999999994</v>
      </c>
      <c r="V4007" s="46" t="s">
        <v>68</v>
      </c>
      <c r="W4007" s="46">
        <v>10770</v>
      </c>
      <c r="X4007" s="46">
        <v>8.0839999999999996</v>
      </c>
      <c r="AF4007" s="46">
        <v>210</v>
      </c>
      <c r="AG4007" s="46">
        <v>103200</v>
      </c>
      <c r="AH4007" s="46">
        <v>846038</v>
      </c>
      <c r="AI4007" s="46">
        <v>8.1980000000000004</v>
      </c>
      <c r="AJ4007" s="46">
        <v>214</v>
      </c>
      <c r="AK4007" s="46">
        <v>94930</v>
      </c>
      <c r="AL4007" s="46">
        <v>832752.33280000009</v>
      </c>
      <c r="AM4007" s="46">
        <v>8.7720000000000002</v>
      </c>
      <c r="AN4007" s="46" t="s">
        <v>63</v>
      </c>
      <c r="AO4007" s="46">
        <v>8270</v>
      </c>
      <c r="AP4007" s="46">
        <v>13285.666999999999</v>
      </c>
      <c r="AQ4007" s="46">
        <v>1.6060000000000001</v>
      </c>
      <c r="AR4007" s="46">
        <v>54489.82</v>
      </c>
      <c r="AS4007" s="46">
        <v>211</v>
      </c>
      <c r="AT4007" s="46">
        <v>103230</v>
      </c>
      <c r="AU4007" s="46">
        <v>846043</v>
      </c>
      <c r="AV4007" s="46">
        <v>8.1959999999999997</v>
      </c>
      <c r="AW4007" s="46">
        <v>241</v>
      </c>
      <c r="AX4007" s="46">
        <v>105730</v>
      </c>
      <c r="AY4007" s="46">
        <v>919619.76080000005</v>
      </c>
      <c r="AZ4007" s="46">
        <v>8.6980000000000004</v>
      </c>
      <c r="BA4007" s="46" t="s">
        <v>69</v>
      </c>
      <c r="BB4007" s="46">
        <v>2500</v>
      </c>
      <c r="BC4007" s="46">
        <v>73576.760999999999</v>
      </c>
      <c r="BD4007" s="46">
        <v>29.431000000000001</v>
      </c>
      <c r="BE4007" s="46">
        <v>51821.46</v>
      </c>
      <c r="BF4007" s="46">
        <v>5</v>
      </c>
      <c r="BG4007" s="46">
        <v>0.17</v>
      </c>
      <c r="BH4007" s="46">
        <v>86867.427999999956</v>
      </c>
      <c r="BI4007">
        <v>8.0399999999999991</v>
      </c>
      <c r="BJ4007">
        <v>60291.093999999997</v>
      </c>
      <c r="BK4007">
        <v>5.6</v>
      </c>
      <c r="BL4007">
        <v>7393.46</v>
      </c>
    </row>
    <row r="4008" spans="1:64" x14ac:dyDescent="0.25">
      <c r="A4008" s="136">
        <v>44026</v>
      </c>
      <c r="B4008" t="s">
        <v>78</v>
      </c>
      <c r="C4008" t="s">
        <v>142</v>
      </c>
      <c r="D4008">
        <v>100</v>
      </c>
      <c r="E4008">
        <v>100</v>
      </c>
      <c r="F4008">
        <v>1</v>
      </c>
      <c r="G4008">
        <v>2342</v>
      </c>
      <c r="H4008">
        <v>2342</v>
      </c>
      <c r="I4008">
        <v>2442</v>
      </c>
      <c r="J4008">
        <v>24.42</v>
      </c>
      <c r="K4008" s="133">
        <v>3.2545431363104615E-3</v>
      </c>
      <c r="L4008" s="181">
        <v>222</v>
      </c>
      <c r="M4008" s="133">
        <v>1.3327367470558811E-4</v>
      </c>
      <c r="N4008" s="73">
        <v>1576.660999999996</v>
      </c>
      <c r="O4008" s="73">
        <v>159.17905752525212</v>
      </c>
      <c r="P4008" s="182">
        <v>0</v>
      </c>
      <c r="Q4008" s="182">
        <v>0</v>
      </c>
      <c r="R4008" s="46">
        <v>0</v>
      </c>
      <c r="S4008" s="46">
        <v>4</v>
      </c>
      <c r="T4008" s="46">
        <v>1300</v>
      </c>
      <c r="U4008" s="46">
        <v>9.9220000000000006</v>
      </c>
      <c r="V4008" s="46" t="s">
        <v>68</v>
      </c>
      <c r="W4008" s="46">
        <v>1300</v>
      </c>
      <c r="X4008" s="46">
        <v>9.9220000000000006</v>
      </c>
      <c r="AF4008" s="46">
        <v>14</v>
      </c>
      <c r="AG4008" s="46">
        <v>7000</v>
      </c>
      <c r="AH4008" s="46">
        <v>67625</v>
      </c>
      <c r="AI4008" s="46">
        <v>9.6609999999999996</v>
      </c>
      <c r="AJ4008" s="46">
        <v>15</v>
      </c>
      <c r="AK4008" s="46">
        <v>5600</v>
      </c>
      <c r="AL4008" s="46">
        <v>55310.559000000008</v>
      </c>
      <c r="AM4008" s="46">
        <v>9.8770000000000007</v>
      </c>
      <c r="AN4008" s="46" t="s">
        <v>63</v>
      </c>
      <c r="AO4008" s="46">
        <v>1400</v>
      </c>
      <c r="AP4008" s="46">
        <v>12314.441000000001</v>
      </c>
      <c r="AQ4008" s="46">
        <v>8.7959999999999994</v>
      </c>
      <c r="AR4008" s="46">
        <v>1209.5999999999999</v>
      </c>
      <c r="AS4008" s="46">
        <v>14</v>
      </c>
      <c r="AT4008" s="46">
        <v>7000</v>
      </c>
      <c r="AU4008" s="46">
        <v>67625</v>
      </c>
      <c r="AV4008" s="46">
        <v>9.6609999999999996</v>
      </c>
      <c r="AW4008" s="46">
        <v>19</v>
      </c>
      <c r="AX4008" s="46">
        <v>6900</v>
      </c>
      <c r="AY4008" s="46">
        <v>68211.661000000007</v>
      </c>
      <c r="AZ4008" s="46">
        <v>9.8859999999999992</v>
      </c>
      <c r="BA4008" s="46" t="s">
        <v>63</v>
      </c>
      <c r="BB4008" s="46">
        <v>100</v>
      </c>
      <c r="BC4008" s="46">
        <v>586.66099999999994</v>
      </c>
      <c r="BD4008" s="46">
        <v>5.867</v>
      </c>
      <c r="BE4008" s="46">
        <v>1552.5</v>
      </c>
      <c r="BF4008" s="46">
        <v>0</v>
      </c>
      <c r="BH4008" s="46">
        <v>12901.101999999999</v>
      </c>
      <c r="BI4008">
        <v>9.92</v>
      </c>
      <c r="BJ4008">
        <v>-11727.78</v>
      </c>
      <c r="BK4008">
        <v>-9.02</v>
      </c>
      <c r="BL4008">
        <v>49.53</v>
      </c>
    </row>
    <row r="4009" spans="1:64" x14ac:dyDescent="0.25">
      <c r="A4009" s="136">
        <v>44026</v>
      </c>
      <c r="B4009" t="s">
        <v>628</v>
      </c>
      <c r="C4009" t="s">
        <v>629</v>
      </c>
      <c r="D4009">
        <v>100</v>
      </c>
      <c r="E4009">
        <v>100</v>
      </c>
      <c r="F4009">
        <v>0.95</v>
      </c>
      <c r="G4009">
        <v>1729</v>
      </c>
      <c r="H4009">
        <v>1820</v>
      </c>
      <c r="I4009">
        <v>1824</v>
      </c>
      <c r="J4009">
        <v>18.239999999999998</v>
      </c>
      <c r="K4009" s="133">
        <v>2.4309118266299273E-3</v>
      </c>
      <c r="L4009" s="181">
        <v>51</v>
      </c>
      <c r="M4009" s="133">
        <v>1.2660999097030871E-4</v>
      </c>
    </row>
    <row r="4010" spans="1:64" x14ac:dyDescent="0.25">
      <c r="A4010" s="136">
        <v>44026</v>
      </c>
      <c r="B4010" t="s">
        <v>749</v>
      </c>
      <c r="C4010" t="s">
        <v>750</v>
      </c>
      <c r="D4010">
        <v>500</v>
      </c>
      <c r="E4010">
        <v>500</v>
      </c>
      <c r="F4010">
        <v>5.65</v>
      </c>
      <c r="G4010">
        <v>925</v>
      </c>
      <c r="H4010">
        <v>32.743000000000002</v>
      </c>
      <c r="I4010">
        <v>3750</v>
      </c>
      <c r="J4010">
        <v>7.5</v>
      </c>
      <c r="K4010" s="133">
        <v>4.9977628014595543E-3</v>
      </c>
      <c r="L4010" s="181">
        <v>40</v>
      </c>
      <c r="M4010" s="133">
        <v>3.764981310432864E-3</v>
      </c>
    </row>
    <row r="4011" spans="1:64" x14ac:dyDescent="0.25">
      <c r="A4011" s="136">
        <v>44026</v>
      </c>
      <c r="B4011" t="s">
        <v>124</v>
      </c>
      <c r="C4011" t="s">
        <v>125</v>
      </c>
      <c r="D4011">
        <v>100</v>
      </c>
      <c r="E4011">
        <v>100</v>
      </c>
      <c r="F4011">
        <v>0.73699999999999999</v>
      </c>
      <c r="G4011">
        <v>440.28</v>
      </c>
      <c r="H4011">
        <v>597.39</v>
      </c>
      <c r="I4011">
        <v>514</v>
      </c>
      <c r="J4011">
        <v>5.14</v>
      </c>
      <c r="K4011" s="133">
        <v>6.8502668798672286E-4</v>
      </c>
      <c r="L4011" s="181">
        <v>-7</v>
      </c>
      <c r="M4011" s="133">
        <v>9.8249352992959584E-5</v>
      </c>
      <c r="N4011" s="73">
        <v>5623.0690000000113</v>
      </c>
      <c r="O4011" s="73">
        <v>1111.8087987827732</v>
      </c>
      <c r="P4011" s="182">
        <v>0</v>
      </c>
      <c r="Q4011" s="182">
        <v>0</v>
      </c>
      <c r="R4011" s="46">
        <v>0</v>
      </c>
      <c r="S4011" s="46">
        <v>5</v>
      </c>
      <c r="T4011" s="46">
        <v>2300</v>
      </c>
      <c r="U4011" s="46">
        <v>4.99</v>
      </c>
      <c r="V4011" s="46" t="s">
        <v>68</v>
      </c>
      <c r="W4011" s="46">
        <v>2300</v>
      </c>
      <c r="X4011" s="46">
        <v>4.99</v>
      </c>
      <c r="AF4011" s="46">
        <v>50</v>
      </c>
      <c r="AG4011" s="46">
        <v>36700</v>
      </c>
      <c r="AH4011" s="46">
        <v>180101.02000000002</v>
      </c>
      <c r="AI4011" s="46">
        <v>4.907</v>
      </c>
      <c r="AJ4011" s="46">
        <v>58</v>
      </c>
      <c r="AK4011" s="46">
        <v>35300</v>
      </c>
      <c r="AL4011" s="46">
        <v>178266.546</v>
      </c>
      <c r="AM4011" s="46">
        <v>5.05</v>
      </c>
      <c r="AN4011" s="46" t="s">
        <v>63</v>
      </c>
      <c r="AO4011" s="46">
        <v>1400</v>
      </c>
      <c r="AP4011" s="46">
        <v>1834.4739999999999</v>
      </c>
      <c r="AQ4011" s="46">
        <v>1.31</v>
      </c>
      <c r="AR4011" s="46">
        <v>5047.8999999999996</v>
      </c>
      <c r="AS4011" s="46">
        <v>51</v>
      </c>
      <c r="AT4011" s="46">
        <v>37700</v>
      </c>
      <c r="AU4011" s="46">
        <v>185106.62</v>
      </c>
      <c r="AV4011" s="46">
        <v>4.91</v>
      </c>
      <c r="AW4011" s="46">
        <v>63</v>
      </c>
      <c r="AX4011" s="46">
        <v>37600</v>
      </c>
      <c r="AY4011" s="46">
        <v>189763.68900000001</v>
      </c>
      <c r="AZ4011" s="46">
        <v>5.0469999999999997</v>
      </c>
      <c r="BA4011" s="46" t="s">
        <v>63</v>
      </c>
      <c r="BB4011" s="46">
        <v>100</v>
      </c>
      <c r="BC4011" s="46">
        <v>4657.0690000000004</v>
      </c>
      <c r="BD4011" s="46">
        <v>46.570999999999998</v>
      </c>
      <c r="BE4011" s="46">
        <v>5151.2</v>
      </c>
      <c r="BF4011" s="46">
        <v>5005.5999999999767</v>
      </c>
      <c r="BH4011" s="46">
        <v>11497.143000000011</v>
      </c>
      <c r="BI4011">
        <v>5</v>
      </c>
      <c r="BJ4011">
        <v>2822.5950000000003</v>
      </c>
      <c r="BK4011">
        <v>1.23</v>
      </c>
      <c r="BL4011">
        <v>982.08</v>
      </c>
    </row>
    <row r="4012" spans="1:64" x14ac:dyDescent="0.25">
      <c r="A4012" s="136">
        <v>44026</v>
      </c>
      <c r="B4012" t="s">
        <v>768</v>
      </c>
      <c r="C4012" t="s">
        <v>769</v>
      </c>
      <c r="D4012">
        <v>500</v>
      </c>
      <c r="E4012">
        <v>500</v>
      </c>
      <c r="F4012">
        <v>2.4140000000000001</v>
      </c>
      <c r="G4012">
        <v>413</v>
      </c>
      <c r="H4012">
        <v>34.22</v>
      </c>
      <c r="I4012">
        <v>1620</v>
      </c>
      <c r="J4012">
        <v>3.24</v>
      </c>
      <c r="K4012" s="133">
        <v>2.1590335302305273E-3</v>
      </c>
      <c r="L4012" s="181">
        <v>25</v>
      </c>
      <c r="M4012" s="133">
        <v>1.6086132536964485E-3</v>
      </c>
    </row>
    <row r="4013" spans="1:64" x14ac:dyDescent="0.25">
      <c r="A4013" s="136">
        <v>44026</v>
      </c>
      <c r="B4013" t="s">
        <v>72</v>
      </c>
      <c r="C4013" t="s">
        <v>130</v>
      </c>
      <c r="D4013">
        <v>100</v>
      </c>
      <c r="E4013">
        <v>100</v>
      </c>
      <c r="F4013">
        <v>1.53</v>
      </c>
      <c r="G4013">
        <v>401</v>
      </c>
      <c r="H4013">
        <v>262.08999999999997</v>
      </c>
      <c r="I4013">
        <v>554</v>
      </c>
      <c r="J4013">
        <v>5.54</v>
      </c>
      <c r="K4013" s="133">
        <v>7.3833615786895806E-4</v>
      </c>
      <c r="L4013" s="181">
        <v>21</v>
      </c>
      <c r="M4013" s="133">
        <v>2.039087222995498E-4</v>
      </c>
      <c r="N4013" s="73">
        <v>-1498.9659999999872</v>
      </c>
      <c r="O4013" s="73">
        <v>376.42007904191922</v>
      </c>
      <c r="P4013" s="182">
        <v>0</v>
      </c>
      <c r="Q4013" s="182">
        <v>0</v>
      </c>
      <c r="R4013" s="46">
        <v>0</v>
      </c>
      <c r="S4013" s="46">
        <v>20</v>
      </c>
      <c r="T4013" s="46">
        <v>8600</v>
      </c>
      <c r="U4013" s="46">
        <v>7.3840000000000003</v>
      </c>
      <c r="V4013" s="46" t="s">
        <v>68</v>
      </c>
      <c r="W4013" s="46">
        <v>8600</v>
      </c>
      <c r="X4013" s="46">
        <v>7.3840000000000003</v>
      </c>
      <c r="AF4013" s="46">
        <v>42</v>
      </c>
      <c r="AG4013" s="46">
        <v>20900</v>
      </c>
      <c r="AH4013" s="46">
        <v>152800</v>
      </c>
      <c r="AI4013" s="46">
        <v>7.3109999999999999</v>
      </c>
      <c r="AJ4013" s="46">
        <v>42</v>
      </c>
      <c r="AK4013" s="46">
        <v>18800</v>
      </c>
      <c r="AL4013" s="46">
        <v>92037.725000000035</v>
      </c>
      <c r="AM4013" s="46">
        <v>4.8959999999999999</v>
      </c>
      <c r="AN4013" s="46" t="s">
        <v>63</v>
      </c>
      <c r="AO4013" s="46">
        <v>2100</v>
      </c>
      <c r="AP4013" s="46">
        <v>60762.275000000001</v>
      </c>
      <c r="AQ4013" s="46">
        <v>28.934000000000001</v>
      </c>
      <c r="AR4013" s="46">
        <v>-45402</v>
      </c>
      <c r="AS4013" s="46">
        <v>42</v>
      </c>
      <c r="AT4013" s="46">
        <v>20900</v>
      </c>
      <c r="AU4013" s="46">
        <v>152800</v>
      </c>
      <c r="AV4013" s="46">
        <v>7.3109999999999999</v>
      </c>
      <c r="AW4013" s="46">
        <v>63</v>
      </c>
      <c r="AX4013" s="46">
        <v>27900</v>
      </c>
      <c r="AY4013" s="46">
        <v>155380.21900000001</v>
      </c>
      <c r="AZ4013" s="46">
        <v>5.569</v>
      </c>
      <c r="BA4013" s="46" t="s">
        <v>69</v>
      </c>
      <c r="BB4013" s="46">
        <v>7000</v>
      </c>
      <c r="BC4013" s="46">
        <v>2580.2190000000001</v>
      </c>
      <c r="BD4013" s="46">
        <v>0.36899999999999999</v>
      </c>
      <c r="BE4013" s="46">
        <v>-36407.800000000003</v>
      </c>
      <c r="BF4013" s="46">
        <v>0</v>
      </c>
      <c r="BH4013" s="46">
        <v>63342.493999999977</v>
      </c>
      <c r="BI4013">
        <v>7.37</v>
      </c>
      <c r="BJ4013">
        <v>-58182.056000000004</v>
      </c>
      <c r="BK4013">
        <v>-6.77</v>
      </c>
      <c r="BL4013">
        <v>-8195.31</v>
      </c>
    </row>
    <row r="4014" spans="1:64" x14ac:dyDescent="0.25">
      <c r="A4014" s="136">
        <v>44026</v>
      </c>
      <c r="B4014" t="s">
        <v>776</v>
      </c>
      <c r="C4014" t="s">
        <v>777</v>
      </c>
      <c r="D4014">
        <v>1</v>
      </c>
      <c r="E4014">
        <v>1</v>
      </c>
      <c r="F4014">
        <v>-137.5</v>
      </c>
      <c r="G4014">
        <v>226.62</v>
      </c>
      <c r="H4014">
        <v>0</v>
      </c>
      <c r="I4014">
        <v>89.12</v>
      </c>
      <c r="J4014">
        <v>89.12</v>
      </c>
      <c r="K4014" s="133">
        <v>1.1877349889762012E-4</v>
      </c>
      <c r="L4014" s="181">
        <v>5.0099999999999909</v>
      </c>
      <c r="M4014" s="133">
        <v>0</v>
      </c>
    </row>
    <row r="4015" spans="1:64" x14ac:dyDescent="0.25">
      <c r="A4015" s="136">
        <v>44026</v>
      </c>
      <c r="B4015" t="s">
        <v>132</v>
      </c>
      <c r="C4015" t="s">
        <v>123</v>
      </c>
      <c r="D4015">
        <v>21914329</v>
      </c>
      <c r="E4015">
        <v>21914329</v>
      </c>
      <c r="F4015">
        <v>0.01</v>
      </c>
      <c r="G4015">
        <v>24.29</v>
      </c>
      <c r="H4015">
        <v>0</v>
      </c>
      <c r="I4015">
        <v>219143.29</v>
      </c>
      <c r="J4015">
        <v>0.01</v>
      </c>
      <c r="K4015" s="133">
        <v>0.29206031545372363</v>
      </c>
      <c r="L4015" s="181">
        <v>11.52</v>
      </c>
      <c r="M4015" s="133">
        <v>0</v>
      </c>
    </row>
    <row r="4016" spans="1:64" x14ac:dyDescent="0.25">
      <c r="A4016" s="136">
        <v>44026</v>
      </c>
      <c r="B4016" t="s">
        <v>837</v>
      </c>
      <c r="C4016" t="s">
        <v>838</v>
      </c>
      <c r="D4016">
        <v>20</v>
      </c>
      <c r="E4016">
        <v>20</v>
      </c>
      <c r="F4016">
        <v>100</v>
      </c>
      <c r="G4016">
        <v>0</v>
      </c>
      <c r="H4016">
        <v>0</v>
      </c>
      <c r="I4016">
        <v>2000</v>
      </c>
      <c r="J4016">
        <v>100</v>
      </c>
      <c r="K4016" s="133">
        <v>2.6654734941117622E-3</v>
      </c>
      <c r="L4016" s="181">
        <v>0</v>
      </c>
      <c r="M4016" s="133">
        <v>2.6654734941117622E-3</v>
      </c>
    </row>
    <row r="4017" spans="1:64" x14ac:dyDescent="0.25">
      <c r="A4017" s="136">
        <v>44026</v>
      </c>
      <c r="B4017" t="s">
        <v>61</v>
      </c>
      <c r="C4017" t="s">
        <v>136</v>
      </c>
      <c r="D4017">
        <v>3000</v>
      </c>
      <c r="E4017">
        <v>3000</v>
      </c>
      <c r="F4017">
        <v>4.577</v>
      </c>
      <c r="G4017">
        <v>-2181.6</v>
      </c>
      <c r="H4017">
        <v>-15.89</v>
      </c>
      <c r="I4017">
        <v>11550</v>
      </c>
      <c r="J4017">
        <v>3.85</v>
      </c>
      <c r="K4017" s="133">
        <v>1.5393109428495427E-2</v>
      </c>
      <c r="L4017" s="181">
        <v>-90</v>
      </c>
      <c r="M4017" s="133">
        <v>1.8300607915872538E-2</v>
      </c>
      <c r="N4017" s="73">
        <v>-2180.859000000004</v>
      </c>
      <c r="O4017" s="73">
        <v>-566.17365467532568</v>
      </c>
      <c r="P4017" s="182">
        <v>3</v>
      </c>
      <c r="Q4017" s="182">
        <v>1500</v>
      </c>
      <c r="R4017" s="46">
        <v>4.2329999999999997</v>
      </c>
      <c r="S4017" s="46">
        <v>1</v>
      </c>
      <c r="T4017" s="46">
        <v>1400</v>
      </c>
      <c r="U4017" s="46">
        <v>3.85</v>
      </c>
      <c r="V4017" s="46" t="s">
        <v>62</v>
      </c>
      <c r="W4017" s="46">
        <v>100</v>
      </c>
      <c r="X4017" s="46">
        <v>9.5950000000000006</v>
      </c>
      <c r="AF4017" s="46">
        <v>30</v>
      </c>
      <c r="AG4017" s="46">
        <v>15000</v>
      </c>
      <c r="AH4017" s="46">
        <v>69729.000000000015</v>
      </c>
      <c r="AI4017" s="46">
        <v>4.649</v>
      </c>
      <c r="AJ4017" s="46">
        <v>30</v>
      </c>
      <c r="AK4017" s="46">
        <v>12100</v>
      </c>
      <c r="AL4017" s="46">
        <v>56975.270999999979</v>
      </c>
      <c r="AM4017" s="46">
        <v>4.7089999999999996</v>
      </c>
      <c r="AN4017" s="46" t="s">
        <v>63</v>
      </c>
      <c r="AO4017" s="46">
        <v>2900</v>
      </c>
      <c r="AP4017" s="46">
        <v>12753.728999999999</v>
      </c>
      <c r="AQ4017" s="46">
        <v>4.3979999999999997</v>
      </c>
      <c r="AR4017" s="46">
        <v>726</v>
      </c>
      <c r="AS4017" s="46">
        <v>33</v>
      </c>
      <c r="AT4017" s="46">
        <v>16500</v>
      </c>
      <c r="AU4017" s="46">
        <v>76094.900000000023</v>
      </c>
      <c r="AV4017" s="46">
        <v>4.6120000000000001</v>
      </c>
      <c r="AW4017" s="46">
        <v>31</v>
      </c>
      <c r="AX4017" s="46">
        <v>13500</v>
      </c>
      <c r="AY4017" s="46">
        <v>62364.040999999983</v>
      </c>
      <c r="AZ4017" s="46">
        <v>4.62</v>
      </c>
      <c r="BA4017" s="46" t="s">
        <v>63</v>
      </c>
      <c r="BB4017" s="46">
        <v>3000</v>
      </c>
      <c r="BC4017" s="46">
        <v>13730.859</v>
      </c>
      <c r="BD4017" s="46">
        <v>4.577</v>
      </c>
      <c r="BE4017" s="46">
        <v>108</v>
      </c>
      <c r="BF4017" s="46">
        <v>6365.9000000000087</v>
      </c>
      <c r="BG4017" s="46">
        <v>4.24</v>
      </c>
      <c r="BH4017" s="46">
        <v>5388.7700000000041</v>
      </c>
      <c r="BI4017">
        <v>3.85</v>
      </c>
      <c r="BJ4017">
        <v>977.13000000000102</v>
      </c>
      <c r="BK4017">
        <v>9.77</v>
      </c>
      <c r="BL4017">
        <v>188.57</v>
      </c>
    </row>
    <row r="4018" spans="1:64" x14ac:dyDescent="0.25">
      <c r="A4018" s="136">
        <v>44026</v>
      </c>
      <c r="B4018" t="s">
        <v>77</v>
      </c>
      <c r="C4018" t="s">
        <v>150</v>
      </c>
      <c r="D4018">
        <v>5900</v>
      </c>
      <c r="E4018">
        <v>5900</v>
      </c>
      <c r="F4018">
        <v>5.274</v>
      </c>
      <c r="G4018">
        <v>-10463.73</v>
      </c>
      <c r="H4018">
        <v>-33.630000000000003</v>
      </c>
      <c r="I4018">
        <v>20650</v>
      </c>
      <c r="J4018">
        <v>3.5</v>
      </c>
      <c r="K4018" s="133">
        <v>2.7521013826703945E-2</v>
      </c>
      <c r="L4018" s="181">
        <v>-177</v>
      </c>
      <c r="M4018" s="133">
        <v>4.1466411308974979E-2</v>
      </c>
      <c r="N4018" s="73">
        <v>-10732.683999999983</v>
      </c>
      <c r="O4018" s="73">
        <v>-2889.1434062146845</v>
      </c>
      <c r="P4018" s="182">
        <v>8</v>
      </c>
      <c r="Q4018" s="182">
        <v>3900</v>
      </c>
      <c r="R4018" s="46">
        <v>3.8959999999999999</v>
      </c>
      <c r="S4018" s="46">
        <v>3</v>
      </c>
      <c r="T4018" s="46">
        <v>1800</v>
      </c>
      <c r="U4018" s="46">
        <v>3.41</v>
      </c>
      <c r="V4018" s="46" t="s">
        <v>62</v>
      </c>
      <c r="W4018" s="46">
        <v>2100</v>
      </c>
      <c r="X4018" s="46">
        <v>4.3129999999999997</v>
      </c>
      <c r="AF4018" s="46">
        <v>66</v>
      </c>
      <c r="AG4018" s="46">
        <v>32800</v>
      </c>
      <c r="AH4018" s="46">
        <v>202323</v>
      </c>
      <c r="AI4018" s="46">
        <v>6.1680000000000001</v>
      </c>
      <c r="AJ4018" s="46">
        <v>66</v>
      </c>
      <c r="AK4018" s="46">
        <v>29000</v>
      </c>
      <c r="AL4018" s="46">
        <v>180035.45400000011</v>
      </c>
      <c r="AM4018" s="46">
        <v>6.2080000000000002</v>
      </c>
      <c r="AN4018" s="46" t="s">
        <v>63</v>
      </c>
      <c r="AO4018" s="46">
        <v>3800</v>
      </c>
      <c r="AP4018" s="46">
        <v>22287.545999999998</v>
      </c>
      <c r="AQ4018" s="46">
        <v>5.8650000000000002</v>
      </c>
      <c r="AR4018" s="46">
        <v>1160</v>
      </c>
      <c r="AS4018" s="46">
        <v>74</v>
      </c>
      <c r="AT4018" s="46">
        <v>36700</v>
      </c>
      <c r="AU4018" s="46">
        <v>217271</v>
      </c>
      <c r="AV4018" s="46">
        <v>5.92</v>
      </c>
      <c r="AW4018" s="46">
        <v>69</v>
      </c>
      <c r="AX4018" s="46">
        <v>30800</v>
      </c>
      <c r="AY4018" s="46">
        <v>186152.31600000008</v>
      </c>
      <c r="AZ4018" s="46">
        <v>6.0439999999999996</v>
      </c>
      <c r="BA4018" s="46" t="s">
        <v>63</v>
      </c>
      <c r="BB4018" s="46">
        <v>5900</v>
      </c>
      <c r="BC4018" s="46">
        <v>31118.684000000001</v>
      </c>
      <c r="BD4018" s="46">
        <v>5.274</v>
      </c>
      <c r="BE4018" s="46">
        <v>3819.2</v>
      </c>
      <c r="BF4018" s="46">
        <v>14948</v>
      </c>
      <c r="BG4018" s="46">
        <v>3.83</v>
      </c>
      <c r="BH4018" s="46">
        <v>6116.8619999999646</v>
      </c>
      <c r="BI4018">
        <v>3.4</v>
      </c>
      <c r="BJ4018">
        <v>8831.1380000000026</v>
      </c>
      <c r="BK4018">
        <v>4.21</v>
      </c>
      <c r="BL4018">
        <v>331.43</v>
      </c>
    </row>
    <row r="4019" spans="1:64" x14ac:dyDescent="0.25">
      <c r="A4019" s="136">
        <v>44026</v>
      </c>
      <c r="B4019" t="s">
        <v>70</v>
      </c>
      <c r="C4019" t="s">
        <v>131</v>
      </c>
      <c r="D4019">
        <v>12080</v>
      </c>
      <c r="E4019">
        <v>12080</v>
      </c>
      <c r="F4019">
        <v>8.3559999999999999</v>
      </c>
      <c r="G4019">
        <v>-11189.77</v>
      </c>
      <c r="H4019">
        <v>-11.09</v>
      </c>
      <c r="I4019">
        <v>89754.4</v>
      </c>
      <c r="J4019">
        <v>7.43</v>
      </c>
      <c r="K4019" s="133">
        <v>0.11961898708995236</v>
      </c>
      <c r="L4019" s="181">
        <v>-241.60000000000036</v>
      </c>
      <c r="M4019" s="133">
        <v>0.13453200476005586</v>
      </c>
      <c r="N4019" s="73">
        <v>-11439.284999999989</v>
      </c>
      <c r="O4019" s="73">
        <v>-1542.9912763157879</v>
      </c>
      <c r="P4019" s="182">
        <v>0</v>
      </c>
      <c r="Q4019" s="182">
        <v>0</v>
      </c>
      <c r="R4019" s="46">
        <v>0</v>
      </c>
      <c r="S4019" s="46">
        <v>12</v>
      </c>
      <c r="T4019" s="46">
        <v>6400</v>
      </c>
      <c r="U4019" s="46">
        <v>7.3479999999999999</v>
      </c>
      <c r="V4019" s="46" t="s">
        <v>68</v>
      </c>
      <c r="W4019" s="46">
        <v>6400</v>
      </c>
      <c r="X4019" s="46">
        <v>7.3479999999999999</v>
      </c>
      <c r="AF4019" s="46">
        <v>223</v>
      </c>
      <c r="AG4019" s="46">
        <v>111180</v>
      </c>
      <c r="AH4019" s="46">
        <v>1218479</v>
      </c>
      <c r="AI4019" s="46">
        <v>10.96</v>
      </c>
      <c r="AJ4019" s="46">
        <v>230</v>
      </c>
      <c r="AK4019" s="46">
        <v>92700</v>
      </c>
      <c r="AL4019" s="46">
        <v>1068409.9389999995</v>
      </c>
      <c r="AM4019" s="46">
        <v>11.525</v>
      </c>
      <c r="AN4019" s="46" t="s">
        <v>63</v>
      </c>
      <c r="AO4019" s="46">
        <v>18480</v>
      </c>
      <c r="AP4019" s="46">
        <v>150069.06099999999</v>
      </c>
      <c r="AQ4019" s="46">
        <v>8.1210000000000004</v>
      </c>
      <c r="AR4019" s="46">
        <v>52375.5</v>
      </c>
      <c r="AS4019" s="46">
        <v>223</v>
      </c>
      <c r="AT4019" s="46">
        <v>111180</v>
      </c>
      <c r="AU4019" s="46">
        <v>1218479</v>
      </c>
      <c r="AV4019" s="46">
        <v>10.96</v>
      </c>
      <c r="AW4019" s="46">
        <v>243</v>
      </c>
      <c r="AX4019" s="46">
        <v>99100</v>
      </c>
      <c r="AY4019" s="46">
        <v>1115756.9149999996</v>
      </c>
      <c r="AZ4019" s="46">
        <v>11.259</v>
      </c>
      <c r="BA4019" s="46" t="s">
        <v>63</v>
      </c>
      <c r="BB4019" s="46">
        <v>12080</v>
      </c>
      <c r="BC4019" s="46">
        <v>102722.08500000001</v>
      </c>
      <c r="BD4019" s="46">
        <v>8.5030000000000001</v>
      </c>
      <c r="BE4019" s="46">
        <v>29630.9</v>
      </c>
      <c r="BF4019" s="46">
        <v>0</v>
      </c>
      <c r="BH4019" s="46">
        <v>47346.976000000024</v>
      </c>
      <c r="BI4019">
        <v>7.4</v>
      </c>
      <c r="BJ4019">
        <v>-47346.975999999981</v>
      </c>
      <c r="BK4019">
        <v>-7.4</v>
      </c>
      <c r="BL4019">
        <v>7049.19</v>
      </c>
    </row>
    <row r="4020" spans="1:64" x14ac:dyDescent="0.25">
      <c r="A4020" s="136">
        <v>44026</v>
      </c>
      <c r="B4020" t="s">
        <v>79</v>
      </c>
      <c r="C4020" t="s">
        <v>143</v>
      </c>
      <c r="D4020">
        <v>5200</v>
      </c>
      <c r="E4020">
        <v>4800</v>
      </c>
      <c r="F4020">
        <v>11.541</v>
      </c>
      <c r="G4020">
        <v>-14253.23</v>
      </c>
      <c r="H4020">
        <v>-23.75</v>
      </c>
      <c r="I4020">
        <v>45760</v>
      </c>
      <c r="J4020">
        <v>8.8000000000000007</v>
      </c>
      <c r="K4020" s="133">
        <v>6.0986033545277117E-2</v>
      </c>
      <c r="L4020" s="181">
        <v>-113.65999999999985</v>
      </c>
      <c r="M4020" s="133">
        <v>7.9981836930516415E-2</v>
      </c>
      <c r="N4020" s="73">
        <v>-14287.983400000427</v>
      </c>
      <c r="O4020" s="73">
        <v>-1622.8226600341395</v>
      </c>
      <c r="P4020" s="182">
        <v>2</v>
      </c>
      <c r="Q4020" s="182">
        <v>3420</v>
      </c>
      <c r="R4020" s="46">
        <v>1.31</v>
      </c>
      <c r="S4020" s="46">
        <v>5</v>
      </c>
      <c r="T4020" s="46">
        <v>3100</v>
      </c>
      <c r="U4020" s="46">
        <v>8.4079999999999995</v>
      </c>
      <c r="V4020" s="46" t="s">
        <v>62</v>
      </c>
      <c r="W4020" s="46">
        <v>320</v>
      </c>
      <c r="X4020" s="46">
        <v>-67.451999999999998</v>
      </c>
      <c r="AF4020" s="46">
        <v>86</v>
      </c>
      <c r="AG4020" s="46">
        <v>40700</v>
      </c>
      <c r="AH4020" s="46">
        <v>429010.41999999929</v>
      </c>
      <c r="AI4020" s="46">
        <v>10.541</v>
      </c>
      <c r="AJ4020" s="46">
        <v>85</v>
      </c>
      <c r="AK4020" s="46">
        <v>35820</v>
      </c>
      <c r="AL4020" s="46">
        <v>347443.41259999952</v>
      </c>
      <c r="AM4020" s="46">
        <v>9.6999999999999993</v>
      </c>
      <c r="AN4020" s="46" t="s">
        <v>63</v>
      </c>
      <c r="AO4020" s="46">
        <v>4880</v>
      </c>
      <c r="AP4020" s="46">
        <v>81567.006999999998</v>
      </c>
      <c r="AQ4020" s="46">
        <v>16.715</v>
      </c>
      <c r="AR4020" s="46">
        <v>-30124.62</v>
      </c>
      <c r="AS4020" s="46">
        <v>88</v>
      </c>
      <c r="AT4020" s="46">
        <v>44120</v>
      </c>
      <c r="AU4020" s="46">
        <v>433502.47199999925</v>
      </c>
      <c r="AV4020" s="46">
        <v>9.8260000000000005</v>
      </c>
      <c r="AW4020" s="46">
        <v>90</v>
      </c>
      <c r="AX4020" s="46">
        <v>38920</v>
      </c>
      <c r="AY4020" s="46">
        <v>373454.48859999946</v>
      </c>
      <c r="AZ4020" s="46">
        <v>9.5950000000000006</v>
      </c>
      <c r="BA4020" s="46" t="s">
        <v>63</v>
      </c>
      <c r="BB4020" s="46">
        <v>5200</v>
      </c>
      <c r="BC4020" s="46">
        <v>60047.983</v>
      </c>
      <c r="BD4020" s="46">
        <v>11.548</v>
      </c>
      <c r="BE4020" s="46">
        <v>-8990.52</v>
      </c>
      <c r="BF4020" s="46">
        <v>4492.0519999999669</v>
      </c>
      <c r="BG4020" s="46">
        <v>1.31</v>
      </c>
      <c r="BH4020" s="46">
        <v>26011.075999999943</v>
      </c>
      <c r="BI4020">
        <v>8.39</v>
      </c>
      <c r="BJ4020">
        <v>-21519.023999999998</v>
      </c>
      <c r="BK4020">
        <v>-67.25</v>
      </c>
      <c r="BL4020">
        <v>-3423.25</v>
      </c>
    </row>
    <row r="4021" spans="1:64" x14ac:dyDescent="0.25">
      <c r="A4021" s="136">
        <v>44026</v>
      </c>
      <c r="B4021" t="s">
        <v>65</v>
      </c>
      <c r="C4021" t="s">
        <v>127</v>
      </c>
      <c r="D4021">
        <v>20400</v>
      </c>
      <c r="E4021">
        <v>20000</v>
      </c>
      <c r="F4021">
        <v>8.5549999999999997</v>
      </c>
      <c r="G4021">
        <v>-23764.23</v>
      </c>
      <c r="H4021">
        <v>-13.62</v>
      </c>
      <c r="I4021">
        <v>150756</v>
      </c>
      <c r="J4021">
        <v>7.39</v>
      </c>
      <c r="K4021" s="133">
        <v>0.20091806103915641</v>
      </c>
      <c r="L4021" s="181">
        <v>-1997</v>
      </c>
      <c r="M4021" s="133">
        <v>0.2325895236256442</v>
      </c>
      <c r="N4021" s="73">
        <v>-28442.15800000017</v>
      </c>
      <c r="O4021" s="73">
        <v>-3276.5975844980062</v>
      </c>
      <c r="P4021" s="182">
        <v>1</v>
      </c>
      <c r="Q4021" s="182">
        <v>1000</v>
      </c>
      <c r="R4021" s="46">
        <v>7.7</v>
      </c>
      <c r="S4021" s="46">
        <v>7</v>
      </c>
      <c r="T4021" s="46">
        <v>6900</v>
      </c>
      <c r="U4021" s="46">
        <v>7.4969999999999999</v>
      </c>
      <c r="V4021" s="46" t="s">
        <v>68</v>
      </c>
      <c r="W4021" s="46">
        <v>5900</v>
      </c>
      <c r="X4021" s="46">
        <v>7.4630000000000001</v>
      </c>
      <c r="AF4021" s="46">
        <v>292</v>
      </c>
      <c r="AG4021" s="46">
        <v>154700</v>
      </c>
      <c r="AH4021" s="46">
        <v>1566789.6810000001</v>
      </c>
      <c r="AI4021" s="46">
        <v>10.128</v>
      </c>
      <c r="AJ4021" s="46">
        <v>325</v>
      </c>
      <c r="AK4021" s="46">
        <v>137700</v>
      </c>
      <c r="AL4021" s="46">
        <v>1331709.996</v>
      </c>
      <c r="AM4021" s="46">
        <v>9.6709999999999994</v>
      </c>
      <c r="AN4021" s="46" t="s">
        <v>63</v>
      </c>
      <c r="AO4021" s="46">
        <v>17000</v>
      </c>
      <c r="AP4021" s="46">
        <v>235079.685</v>
      </c>
      <c r="AQ4021" s="46">
        <v>13.827999999999999</v>
      </c>
      <c r="AR4021" s="46">
        <v>-62928.9</v>
      </c>
      <c r="AS4021" s="46">
        <v>297</v>
      </c>
      <c r="AT4021" s="46">
        <v>157500</v>
      </c>
      <c r="AU4021" s="46">
        <v>1587056.6810000001</v>
      </c>
      <c r="AV4021" s="46">
        <v>10.077</v>
      </c>
      <c r="AW4021" s="46">
        <v>336</v>
      </c>
      <c r="AX4021" s="46">
        <v>146200</v>
      </c>
      <c r="AY4021" s="46">
        <v>1396410.757</v>
      </c>
      <c r="AZ4021" s="46">
        <v>9.5510000000000002</v>
      </c>
      <c r="BA4021" s="46" t="s">
        <v>63</v>
      </c>
      <c r="BB4021" s="46">
        <v>11300</v>
      </c>
      <c r="BC4021" s="46">
        <v>190645.924</v>
      </c>
      <c r="BD4021" s="46">
        <v>16.870999999999999</v>
      </c>
      <c r="BE4021" s="46">
        <v>-76901.2</v>
      </c>
      <c r="BF4021" s="46">
        <v>20267</v>
      </c>
      <c r="BG4021" s="46">
        <v>20.27</v>
      </c>
      <c r="BH4021" s="46">
        <v>64700.76099999994</v>
      </c>
      <c r="BI4021">
        <v>9.3800000000000008</v>
      </c>
      <c r="BJ4021">
        <v>-44433.760999999999</v>
      </c>
      <c r="BK4021">
        <v>-7.53</v>
      </c>
      <c r="BL4021">
        <v>-8515.41</v>
      </c>
    </row>
    <row r="4022" spans="1:64" x14ac:dyDescent="0.25">
      <c r="A4022" s="136">
        <v>44026</v>
      </c>
      <c r="B4022" t="s">
        <v>835</v>
      </c>
      <c r="C4022" t="s">
        <v>839</v>
      </c>
      <c r="I4022">
        <v>4904.42</v>
      </c>
      <c r="K4022" s="133">
        <v>5.4214664680835595E-3</v>
      </c>
      <c r="L4022" s="181">
        <v>0</v>
      </c>
      <c r="M4022" s="133">
        <v>0.29206031545372363</v>
      </c>
    </row>
    <row r="4023" spans="1:64" x14ac:dyDescent="0.25">
      <c r="A4023" s="136">
        <v>44030</v>
      </c>
      <c r="B4023" t="s">
        <v>132</v>
      </c>
      <c r="C4023" t="s">
        <v>123</v>
      </c>
      <c r="D4023">
        <v>17602086</v>
      </c>
      <c r="E4023">
        <v>17602086</v>
      </c>
      <c r="F4023">
        <v>0.01</v>
      </c>
      <c r="G4023">
        <v>51.86</v>
      </c>
      <c r="H4023">
        <v>0</v>
      </c>
      <c r="I4023">
        <v>176020.86</v>
      </c>
      <c r="J4023">
        <v>0.01</v>
      </c>
      <c r="K4023" s="133">
        <v>0.2379802704206273</v>
      </c>
      <c r="L4023" s="181">
        <v>27.57</v>
      </c>
      <c r="M4023" s="133">
        <v>0</v>
      </c>
    </row>
    <row r="4024" spans="1:64" x14ac:dyDescent="0.25">
      <c r="A4024" s="136">
        <v>44030</v>
      </c>
      <c r="B4024" t="s">
        <v>61</v>
      </c>
      <c r="C4024" t="s">
        <v>136</v>
      </c>
      <c r="D4024">
        <v>3500</v>
      </c>
      <c r="E4024">
        <v>3500</v>
      </c>
      <c r="F4024">
        <v>4.3079999999999998</v>
      </c>
      <c r="G4024">
        <v>-2581.64</v>
      </c>
      <c r="H4024">
        <v>-17.12</v>
      </c>
      <c r="I4024">
        <v>12495</v>
      </c>
      <c r="J4024">
        <v>3.57</v>
      </c>
      <c r="K4024" s="133">
        <v>1.6893244805790283E-2</v>
      </c>
      <c r="L4024" s="181">
        <v>-400.03999999999996</v>
      </c>
      <c r="M4024" s="133">
        <v>2.0383623078733093E-2</v>
      </c>
      <c r="N4024" s="73">
        <v>-2546.1590000000033</v>
      </c>
      <c r="O4024" s="73">
        <v>-710.86198896648148</v>
      </c>
      <c r="P4024" s="182">
        <v>4</v>
      </c>
      <c r="Q4024" s="182">
        <v>2000</v>
      </c>
      <c r="R4024" s="46">
        <v>4.07</v>
      </c>
      <c r="S4024" s="46">
        <v>1</v>
      </c>
      <c r="T4024" s="46">
        <v>1400</v>
      </c>
      <c r="U4024" s="46">
        <v>3.85</v>
      </c>
      <c r="V4024" s="46" t="s">
        <v>62</v>
      </c>
      <c r="W4024" s="46">
        <v>600</v>
      </c>
      <c r="X4024" s="46">
        <v>4.5830000000000002</v>
      </c>
      <c r="AF4024" s="46">
        <v>30</v>
      </c>
      <c r="AG4024" s="46">
        <v>15000</v>
      </c>
      <c r="AH4024" s="46">
        <v>69729.000000000015</v>
      </c>
      <c r="AI4024" s="46">
        <v>4.649</v>
      </c>
      <c r="AJ4024" s="46">
        <v>30</v>
      </c>
      <c r="AK4024" s="46">
        <v>12100</v>
      </c>
      <c r="AL4024" s="46">
        <v>56975.270999999979</v>
      </c>
      <c r="AM4024" s="46">
        <v>4.7089999999999996</v>
      </c>
      <c r="AN4024" s="46" t="s">
        <v>63</v>
      </c>
      <c r="AO4024" s="46">
        <v>2900</v>
      </c>
      <c r="AP4024" s="46">
        <v>12753.728999999999</v>
      </c>
      <c r="AQ4024" s="46">
        <v>4.3979999999999997</v>
      </c>
      <c r="AR4024" s="46">
        <v>726</v>
      </c>
      <c r="AS4024" s="46">
        <v>34</v>
      </c>
      <c r="AT4024" s="46">
        <v>17000</v>
      </c>
      <c r="AU4024" s="46">
        <v>77890.200000000026</v>
      </c>
      <c r="AV4024" s="46">
        <v>4.5819999999999999</v>
      </c>
      <c r="AW4024" s="46">
        <v>31</v>
      </c>
      <c r="AX4024" s="46">
        <v>13500</v>
      </c>
      <c r="AY4024" s="46">
        <v>62814.040999999983</v>
      </c>
      <c r="AZ4024" s="46">
        <v>4.6529999999999996</v>
      </c>
      <c r="BA4024" s="46" t="s">
        <v>63</v>
      </c>
      <c r="BB4024" s="46">
        <v>3500</v>
      </c>
      <c r="BC4024" s="46">
        <v>15076.159</v>
      </c>
      <c r="BD4024" s="46">
        <v>4.3070000000000004</v>
      </c>
      <c r="BE4024" s="46">
        <v>958.5</v>
      </c>
      <c r="BF4024" s="46">
        <v>8161.2000000000116</v>
      </c>
      <c r="BG4024" s="46">
        <v>4.08</v>
      </c>
      <c r="BH4024" s="46">
        <v>5838.7700000000041</v>
      </c>
      <c r="BI4024">
        <v>4.17</v>
      </c>
      <c r="BJ4024">
        <v>2322.4300000000003</v>
      </c>
      <c r="BK4024">
        <v>3.87</v>
      </c>
      <c r="BL4024">
        <v>203.36</v>
      </c>
    </row>
    <row r="4025" spans="1:64" x14ac:dyDescent="0.25">
      <c r="A4025" s="136">
        <v>44030</v>
      </c>
      <c r="B4025" t="s">
        <v>124</v>
      </c>
      <c r="C4025" t="s">
        <v>125</v>
      </c>
      <c r="D4025">
        <v>100</v>
      </c>
      <c r="E4025">
        <v>100</v>
      </c>
      <c r="F4025">
        <v>0.73699999999999999</v>
      </c>
      <c r="G4025">
        <v>432.28</v>
      </c>
      <c r="H4025">
        <v>586.54</v>
      </c>
      <c r="I4025">
        <v>506</v>
      </c>
      <c r="J4025">
        <v>5.0599999999999996</v>
      </c>
      <c r="K4025" s="133">
        <v>6.8411219461623715E-4</v>
      </c>
      <c r="L4025" s="181">
        <v>-8</v>
      </c>
      <c r="M4025" s="133">
        <v>9.9669468353970391E-5</v>
      </c>
      <c r="N4025" s="73">
        <v>5623.0690000000113</v>
      </c>
      <c r="O4025" s="73">
        <v>1111.8087987827732</v>
      </c>
      <c r="P4025" s="182">
        <v>0</v>
      </c>
      <c r="Q4025" s="182">
        <v>0</v>
      </c>
      <c r="R4025" s="46">
        <v>0</v>
      </c>
      <c r="S4025" s="46">
        <v>5</v>
      </c>
      <c r="T4025" s="46">
        <v>2300</v>
      </c>
      <c r="U4025" s="46">
        <v>4.99</v>
      </c>
      <c r="V4025" s="46" t="s">
        <v>68</v>
      </c>
      <c r="W4025" s="46">
        <v>2300</v>
      </c>
      <c r="X4025" s="46">
        <v>4.99</v>
      </c>
      <c r="AF4025" s="46">
        <v>50</v>
      </c>
      <c r="AG4025" s="46">
        <v>36700</v>
      </c>
      <c r="AH4025" s="46">
        <v>180101.02000000002</v>
      </c>
      <c r="AI4025" s="46">
        <v>4.907</v>
      </c>
      <c r="AJ4025" s="46">
        <v>58</v>
      </c>
      <c r="AK4025" s="46">
        <v>35300</v>
      </c>
      <c r="AL4025" s="46">
        <v>178266.546</v>
      </c>
      <c r="AM4025" s="46">
        <v>5.05</v>
      </c>
      <c r="AN4025" s="46" t="s">
        <v>63</v>
      </c>
      <c r="AO4025" s="46">
        <v>1400</v>
      </c>
      <c r="AP4025" s="46">
        <v>1834.4739999999999</v>
      </c>
      <c r="AQ4025" s="46">
        <v>1.31</v>
      </c>
      <c r="AR4025" s="46">
        <v>5047.8999999999996</v>
      </c>
      <c r="AS4025" s="46">
        <v>51</v>
      </c>
      <c r="AT4025" s="46">
        <v>37700</v>
      </c>
      <c r="AU4025" s="46">
        <v>185106.62</v>
      </c>
      <c r="AV4025" s="46">
        <v>4.91</v>
      </c>
      <c r="AW4025" s="46">
        <v>63</v>
      </c>
      <c r="AX4025" s="46">
        <v>37600</v>
      </c>
      <c r="AY4025" s="46">
        <v>189763.68900000001</v>
      </c>
      <c r="AZ4025" s="46">
        <v>5.0469999999999997</v>
      </c>
      <c r="BA4025" s="46" t="s">
        <v>63</v>
      </c>
      <c r="BB4025" s="46">
        <v>100</v>
      </c>
      <c r="BC4025" s="46">
        <v>4657.0690000000004</v>
      </c>
      <c r="BD4025" s="46">
        <v>46.570999999999998</v>
      </c>
      <c r="BE4025" s="46">
        <v>5151.2</v>
      </c>
      <c r="BF4025" s="46">
        <v>5005.5999999999767</v>
      </c>
      <c r="BH4025" s="46">
        <v>11497.143000000011</v>
      </c>
      <c r="BI4025">
        <v>5</v>
      </c>
      <c r="BJ4025">
        <v>2822.5950000000003</v>
      </c>
      <c r="BK4025">
        <v>1.23</v>
      </c>
      <c r="BL4025">
        <v>997.61</v>
      </c>
    </row>
    <row r="4026" spans="1:64" x14ac:dyDescent="0.25">
      <c r="A4026" s="136">
        <v>44030</v>
      </c>
      <c r="B4026" t="s">
        <v>71</v>
      </c>
      <c r="C4026" t="s">
        <v>126</v>
      </c>
      <c r="D4026">
        <v>4300</v>
      </c>
      <c r="E4026">
        <v>4300</v>
      </c>
      <c r="F4026">
        <v>3.9769999999999999</v>
      </c>
      <c r="G4026">
        <v>5345.11</v>
      </c>
      <c r="H4026">
        <v>31.26</v>
      </c>
      <c r="I4026">
        <v>22446</v>
      </c>
      <c r="J4026">
        <v>5.22</v>
      </c>
      <c r="K4026" s="133">
        <v>3.034700063311474E-2</v>
      </c>
      <c r="L4026" s="181">
        <v>-918.57999999999993</v>
      </c>
      <c r="M4026" s="133">
        <v>2.3120409857294195E-2</v>
      </c>
      <c r="N4026" s="73">
        <v>4279.812000000009</v>
      </c>
      <c r="O4026" s="73">
        <v>1049.2003745730558</v>
      </c>
      <c r="P4026" s="182">
        <v>0</v>
      </c>
      <c r="Q4026" s="182">
        <v>0</v>
      </c>
      <c r="R4026" s="46">
        <v>0</v>
      </c>
      <c r="S4026" s="46">
        <v>2</v>
      </c>
      <c r="T4026" s="46">
        <v>800</v>
      </c>
      <c r="U4026" s="46">
        <v>5.915</v>
      </c>
      <c r="V4026" s="46" t="s">
        <v>68</v>
      </c>
      <c r="W4026" s="46">
        <v>800</v>
      </c>
      <c r="X4026" s="46">
        <v>5.915</v>
      </c>
      <c r="AF4026" s="46">
        <v>72</v>
      </c>
      <c r="AG4026" s="46">
        <v>38500</v>
      </c>
      <c r="AH4026" s="46">
        <v>233473.81999999983</v>
      </c>
      <c r="AI4026" s="46">
        <v>6.0640000000000001</v>
      </c>
      <c r="AJ4026" s="46">
        <v>77</v>
      </c>
      <c r="AK4026" s="46">
        <v>33400</v>
      </c>
      <c r="AL4026" s="46">
        <v>211466.88400000002</v>
      </c>
      <c r="AM4026" s="46">
        <v>6.3310000000000004</v>
      </c>
      <c r="AN4026" s="46" t="s">
        <v>63</v>
      </c>
      <c r="AO4026" s="46">
        <v>5100</v>
      </c>
      <c r="AP4026" s="46">
        <v>22006.936000000002</v>
      </c>
      <c r="AQ4026" s="46">
        <v>4.3150000000000004</v>
      </c>
      <c r="AR4026" s="46">
        <v>8917.7999999999993</v>
      </c>
      <c r="AS4026" s="46">
        <v>72</v>
      </c>
      <c r="AT4026" s="46">
        <v>38500</v>
      </c>
      <c r="AU4026" s="46">
        <v>233473.81999999983</v>
      </c>
      <c r="AV4026" s="46">
        <v>6.0640000000000001</v>
      </c>
      <c r="AW4026" s="46">
        <v>79</v>
      </c>
      <c r="AX4026" s="46">
        <v>34200</v>
      </c>
      <c r="AY4026" s="46">
        <v>216183.67200000002</v>
      </c>
      <c r="AZ4026" s="46">
        <v>6.3209999999999997</v>
      </c>
      <c r="BA4026" s="46" t="s">
        <v>63</v>
      </c>
      <c r="BB4026" s="46">
        <v>4300</v>
      </c>
      <c r="BC4026" s="46">
        <v>17290.148000000001</v>
      </c>
      <c r="BD4026" s="46">
        <v>4.0209999999999999</v>
      </c>
      <c r="BE4026" s="46">
        <v>8789.4</v>
      </c>
      <c r="BF4026" s="46">
        <v>0</v>
      </c>
      <c r="BH4026" s="46">
        <v>4716.7880000000005</v>
      </c>
      <c r="BI4026">
        <v>5.9</v>
      </c>
      <c r="BJ4026">
        <v>-4716.7880000000005</v>
      </c>
      <c r="BK4026">
        <v>-5.9</v>
      </c>
      <c r="BL4026">
        <v>1708.39</v>
      </c>
    </row>
    <row r="4027" spans="1:64" x14ac:dyDescent="0.25">
      <c r="A4027" s="136">
        <v>44030</v>
      </c>
      <c r="B4027" t="s">
        <v>79</v>
      </c>
      <c r="C4027" t="s">
        <v>143</v>
      </c>
      <c r="D4027">
        <v>4800</v>
      </c>
      <c r="E4027">
        <v>4800</v>
      </c>
      <c r="F4027">
        <v>11.683999999999999</v>
      </c>
      <c r="G4027">
        <v>-14177.67</v>
      </c>
      <c r="H4027">
        <v>-25.28</v>
      </c>
      <c r="I4027">
        <v>41904</v>
      </c>
      <c r="J4027">
        <v>8.73</v>
      </c>
      <c r="K4027" s="133">
        <v>5.6654224116993675E-2</v>
      </c>
      <c r="L4027" s="181">
        <v>75.559999999999491</v>
      </c>
      <c r="M4027" s="133">
        <v>7.5822439409967565E-2</v>
      </c>
      <c r="N4027" s="73">
        <v>-66151.695400000433</v>
      </c>
      <c r="O4027" s="73">
        <v>-1612.5939168343341</v>
      </c>
      <c r="P4027" s="182">
        <v>1</v>
      </c>
      <c r="Q4027" s="182">
        <v>2920</v>
      </c>
      <c r="R4027" s="46">
        <v>0</v>
      </c>
      <c r="S4027" s="46">
        <v>5</v>
      </c>
      <c r="T4027" s="46">
        <v>3100</v>
      </c>
      <c r="U4027" s="46">
        <v>8.51</v>
      </c>
      <c r="V4027" s="46" t="s">
        <v>68</v>
      </c>
      <c r="W4027" s="46">
        <v>180</v>
      </c>
      <c r="X4027" s="46">
        <v>146.56100000000001</v>
      </c>
      <c r="AF4027" s="46">
        <v>89</v>
      </c>
      <c r="AG4027" s="46">
        <v>42000</v>
      </c>
      <c r="AH4027" s="46">
        <v>440610.19999999925</v>
      </c>
      <c r="AI4027" s="46">
        <v>10.491</v>
      </c>
      <c r="AJ4027" s="46">
        <v>88</v>
      </c>
      <c r="AK4027" s="46">
        <v>37020</v>
      </c>
      <c r="AL4027" s="46">
        <v>358172.93659999949</v>
      </c>
      <c r="AM4027" s="46">
        <v>9.6750000000000007</v>
      </c>
      <c r="AN4027" s="46" t="s">
        <v>63</v>
      </c>
      <c r="AO4027" s="46">
        <v>4980</v>
      </c>
      <c r="AP4027" s="46">
        <v>82437.263000000006</v>
      </c>
      <c r="AQ4027" s="46">
        <v>16.553999999999998</v>
      </c>
      <c r="AR4027" s="46">
        <v>-30208.32</v>
      </c>
      <c r="AS4027" s="46">
        <v>90</v>
      </c>
      <c r="AT4027" s="46">
        <v>44920</v>
      </c>
      <c r="AU4027" s="46">
        <v>440616.95199999923</v>
      </c>
      <c r="AV4027" s="46">
        <v>9.8089999999999993</v>
      </c>
      <c r="AW4027" s="46">
        <v>93</v>
      </c>
      <c r="AX4027" s="46">
        <v>40120</v>
      </c>
      <c r="AY4027" s="46">
        <v>384499.69659999944</v>
      </c>
      <c r="AZ4027" s="46">
        <v>9.5839999999999996</v>
      </c>
      <c r="BA4027" s="46" t="s">
        <v>63</v>
      </c>
      <c r="BB4027" s="46">
        <v>4800</v>
      </c>
      <c r="BC4027" s="46">
        <v>56117.254999999997</v>
      </c>
      <c r="BD4027" s="46">
        <v>11.691000000000001</v>
      </c>
      <c r="BE4027" s="46">
        <v>-9027</v>
      </c>
      <c r="BF4027" s="46">
        <v>6.7519999999785796</v>
      </c>
      <c r="BG4027" s="46">
        <v>0</v>
      </c>
      <c r="BH4027" s="46">
        <v>26326.759999999951</v>
      </c>
      <c r="BI4027">
        <v>8.49</v>
      </c>
      <c r="BJ4027">
        <v>-26320.008000000009</v>
      </c>
      <c r="BK4027">
        <v>-146.22</v>
      </c>
      <c r="BL4027">
        <v>-3460.29</v>
      </c>
    </row>
    <row r="4028" spans="1:64" x14ac:dyDescent="0.25">
      <c r="A4028" s="136">
        <v>44030</v>
      </c>
      <c r="B4028" t="s">
        <v>749</v>
      </c>
      <c r="C4028" t="s">
        <v>750</v>
      </c>
      <c r="D4028">
        <v>500</v>
      </c>
      <c r="E4028">
        <v>500</v>
      </c>
      <c r="F4028">
        <v>5.65</v>
      </c>
      <c r="G4028">
        <v>490</v>
      </c>
      <c r="H4028">
        <v>17.344999999999999</v>
      </c>
      <c r="I4028">
        <v>3315</v>
      </c>
      <c r="J4028">
        <v>6.63</v>
      </c>
      <c r="K4028" s="133">
        <v>4.4818812750055852E-3</v>
      </c>
      <c r="L4028" s="181">
        <v>-435</v>
      </c>
      <c r="M4028" s="133">
        <v>3.819401086543221E-3</v>
      </c>
    </row>
    <row r="4029" spans="1:64" x14ac:dyDescent="0.25">
      <c r="A4029" s="136">
        <v>44030</v>
      </c>
      <c r="B4029" t="s">
        <v>776</v>
      </c>
      <c r="C4029" t="s">
        <v>777</v>
      </c>
      <c r="D4029">
        <v>1</v>
      </c>
      <c r="E4029">
        <v>1</v>
      </c>
      <c r="F4029">
        <v>-137.5</v>
      </c>
      <c r="G4029">
        <v>214.64</v>
      </c>
      <c r="H4029">
        <v>0</v>
      </c>
      <c r="I4029">
        <v>77.14</v>
      </c>
      <c r="J4029">
        <v>77.14</v>
      </c>
      <c r="K4029" s="133">
        <v>1.0429330966936074E-4</v>
      </c>
      <c r="L4029" s="181">
        <v>-11.980000000000018</v>
      </c>
      <c r="M4029" s="133">
        <v>0</v>
      </c>
    </row>
    <row r="4030" spans="1:64" x14ac:dyDescent="0.25">
      <c r="A4030" s="136">
        <v>44030</v>
      </c>
      <c r="B4030" t="s">
        <v>135</v>
      </c>
      <c r="C4030" t="s">
        <v>139</v>
      </c>
      <c r="D4030">
        <v>200000</v>
      </c>
      <c r="E4030">
        <v>200000</v>
      </c>
      <c r="F4030">
        <v>1</v>
      </c>
      <c r="G4030">
        <v>-8</v>
      </c>
      <c r="H4030">
        <v>0</v>
      </c>
      <c r="I4030">
        <v>200000</v>
      </c>
      <c r="J4030">
        <v>1</v>
      </c>
      <c r="K4030" s="133">
        <v>0.27040007692341389</v>
      </c>
      <c r="L4030" s="181">
        <v>-270.25</v>
      </c>
      <c r="M4030" s="133">
        <v>0</v>
      </c>
    </row>
    <row r="4031" spans="1:64" x14ac:dyDescent="0.25">
      <c r="A4031" s="136">
        <v>44030</v>
      </c>
      <c r="B4031" t="s">
        <v>65</v>
      </c>
      <c r="C4031" t="s">
        <v>82</v>
      </c>
      <c r="D4031">
        <v>22000</v>
      </c>
      <c r="E4031">
        <v>22000</v>
      </c>
      <c r="F4031">
        <v>8.4499999999999993</v>
      </c>
      <c r="G4031">
        <v>-33660.230000000003</v>
      </c>
      <c r="H4031">
        <v>-18.11</v>
      </c>
      <c r="I4031">
        <v>152240</v>
      </c>
      <c r="J4031">
        <v>6.92</v>
      </c>
      <c r="K4031" s="133">
        <v>0.20582853855410266</v>
      </c>
      <c r="L4031" s="181">
        <v>-9896.0000000000036</v>
      </c>
      <c r="M4031" s="133">
        <v>0.25133718246040165</v>
      </c>
      <c r="N4031" s="73">
        <v>-37050.15800000017</v>
      </c>
      <c r="O4031" s="73">
        <v>-4705.7787640445849</v>
      </c>
      <c r="P4031" s="182">
        <v>0</v>
      </c>
      <c r="Q4031" s="182">
        <v>0</v>
      </c>
      <c r="R4031" s="46">
        <v>0</v>
      </c>
      <c r="S4031" s="46">
        <v>1</v>
      </c>
      <c r="T4031" s="46">
        <v>4500</v>
      </c>
      <c r="U4031" s="46">
        <v>7.48</v>
      </c>
      <c r="V4031" s="46" t="s">
        <v>68</v>
      </c>
      <c r="W4031" s="46">
        <v>4500</v>
      </c>
      <c r="X4031" s="46">
        <v>7.48</v>
      </c>
      <c r="AF4031" s="46">
        <v>297</v>
      </c>
      <c r="AG4031" s="46">
        <v>157300</v>
      </c>
      <c r="AH4031" s="46">
        <v>1585874.6810000001</v>
      </c>
      <c r="AI4031" s="46">
        <v>10.082000000000001</v>
      </c>
      <c r="AJ4031" s="46">
        <v>331</v>
      </c>
      <c r="AK4031" s="46">
        <v>140100</v>
      </c>
      <c r="AL4031" s="46">
        <v>1349733.9240000001</v>
      </c>
      <c r="AM4031" s="46">
        <v>9.6340000000000003</v>
      </c>
      <c r="AN4031" s="46" t="s">
        <v>63</v>
      </c>
      <c r="AO4031" s="46">
        <v>17200</v>
      </c>
      <c r="AP4031" s="46">
        <v>236140.75700000001</v>
      </c>
      <c r="AQ4031" s="46">
        <v>13.728999999999999</v>
      </c>
      <c r="AR4031" s="46">
        <v>-62764.800000000003</v>
      </c>
      <c r="AS4031" s="46">
        <v>301</v>
      </c>
      <c r="AT4031" s="46">
        <v>159100</v>
      </c>
      <c r="AU4031" s="46">
        <v>1598436.6810000001</v>
      </c>
      <c r="AV4031" s="46">
        <v>10.047000000000001</v>
      </c>
      <c r="AW4031" s="46">
        <v>336</v>
      </c>
      <c r="AX4031" s="46">
        <v>146200</v>
      </c>
      <c r="AY4031" s="46">
        <v>1396410.757</v>
      </c>
      <c r="AZ4031" s="46">
        <v>9.5510000000000002</v>
      </c>
      <c r="BA4031" s="46" t="s">
        <v>63</v>
      </c>
      <c r="BB4031" s="46">
        <v>12900</v>
      </c>
      <c r="BC4031" s="46">
        <v>202025.924</v>
      </c>
      <c r="BD4031" s="46">
        <v>15.661</v>
      </c>
      <c r="BE4031" s="46">
        <v>-72515.199999999997</v>
      </c>
      <c r="BF4031" s="46">
        <v>12562</v>
      </c>
      <c r="BH4031" s="46">
        <v>46676.832999999868</v>
      </c>
      <c r="BI4031">
        <v>10.37</v>
      </c>
      <c r="BJ4031">
        <v>-34114.833000000013</v>
      </c>
      <c r="BK4031">
        <v>-7.58</v>
      </c>
      <c r="BL4031">
        <v>-9070.06</v>
      </c>
    </row>
    <row r="4032" spans="1:64" x14ac:dyDescent="0.25">
      <c r="A4032" s="136">
        <v>44030</v>
      </c>
      <c r="B4032" t="s">
        <v>77</v>
      </c>
      <c r="C4032" t="s">
        <v>150</v>
      </c>
      <c r="D4032">
        <v>7100</v>
      </c>
      <c r="E4032">
        <v>7100</v>
      </c>
      <c r="F4032">
        <v>4.9000000000000004</v>
      </c>
      <c r="G4032">
        <v>-14344.73</v>
      </c>
      <c r="H4032">
        <v>-41.23</v>
      </c>
      <c r="I4032">
        <v>20448</v>
      </c>
      <c r="J4032">
        <v>2.88</v>
      </c>
      <c r="K4032" s="133">
        <v>2.7645703864649835E-2</v>
      </c>
      <c r="L4032" s="181">
        <v>-3881</v>
      </c>
      <c r="M4032" s="133">
        <v>4.7039784341877847E-2</v>
      </c>
      <c r="N4032" s="73">
        <v>-14565.683999999979</v>
      </c>
      <c r="O4032" s="73">
        <v>-4814.6065609588977</v>
      </c>
      <c r="P4032" s="182">
        <v>9</v>
      </c>
      <c r="Q4032" s="182">
        <v>4300</v>
      </c>
      <c r="R4032" s="46">
        <v>3.806</v>
      </c>
      <c r="S4032" s="46">
        <v>1</v>
      </c>
      <c r="T4032" s="46">
        <v>1000</v>
      </c>
      <c r="U4032" s="46">
        <v>3.47</v>
      </c>
      <c r="V4032" s="46" t="s">
        <v>62</v>
      </c>
      <c r="W4032" s="46">
        <v>3300</v>
      </c>
      <c r="X4032" s="46">
        <v>3.9079999999999999</v>
      </c>
      <c r="AF4032" s="46">
        <v>68</v>
      </c>
      <c r="AG4032" s="46">
        <v>33600</v>
      </c>
      <c r="AH4032" s="46">
        <v>204829</v>
      </c>
      <c r="AI4032" s="46">
        <v>6.0960000000000001</v>
      </c>
      <c r="AJ4032" s="46">
        <v>68</v>
      </c>
      <c r="AK4032" s="46">
        <v>29800</v>
      </c>
      <c r="AL4032" s="46">
        <v>182690.78600000008</v>
      </c>
      <c r="AM4032" s="46">
        <v>6.1310000000000002</v>
      </c>
      <c r="AN4032" s="46" t="s">
        <v>63</v>
      </c>
      <c r="AO4032" s="46">
        <v>3800</v>
      </c>
      <c r="AP4032" s="46">
        <v>22138.214</v>
      </c>
      <c r="AQ4032" s="46">
        <v>5.8259999999999996</v>
      </c>
      <c r="AR4032" s="46">
        <v>1043</v>
      </c>
      <c r="AS4032" s="46">
        <v>77</v>
      </c>
      <c r="AT4032" s="46">
        <v>37900</v>
      </c>
      <c r="AU4032" s="46">
        <v>220950</v>
      </c>
      <c r="AV4032" s="46">
        <v>5.83</v>
      </c>
      <c r="AW4032" s="46">
        <v>69</v>
      </c>
      <c r="AX4032" s="46">
        <v>30800</v>
      </c>
      <c r="AY4032" s="46">
        <v>186152.31600000008</v>
      </c>
      <c r="AZ4032" s="46">
        <v>6.0439999999999996</v>
      </c>
      <c r="BA4032" s="46" t="s">
        <v>63</v>
      </c>
      <c r="BB4032" s="46">
        <v>7100</v>
      </c>
      <c r="BC4032" s="46">
        <v>34797.684000000001</v>
      </c>
      <c r="BD4032" s="46">
        <v>4.9009999999999998</v>
      </c>
      <c r="BE4032" s="46">
        <v>6591.2</v>
      </c>
      <c r="BF4032" s="46">
        <v>16121</v>
      </c>
      <c r="BG4032" s="46">
        <v>3.75</v>
      </c>
      <c r="BH4032" s="46">
        <v>3461.5299999999988</v>
      </c>
      <c r="BI4032">
        <v>3.46</v>
      </c>
      <c r="BJ4032">
        <v>12659.470000000001</v>
      </c>
      <c r="BK4032">
        <v>3.84</v>
      </c>
      <c r="BL4032">
        <v>362.15</v>
      </c>
    </row>
    <row r="4033" spans="1:64" x14ac:dyDescent="0.25">
      <c r="A4033" s="136">
        <v>44030</v>
      </c>
      <c r="B4033" t="s">
        <v>67</v>
      </c>
      <c r="C4033" t="s">
        <v>83</v>
      </c>
      <c r="D4033">
        <v>100</v>
      </c>
      <c r="E4033">
        <v>100</v>
      </c>
      <c r="F4033">
        <v>-44.533999999999999</v>
      </c>
      <c r="G4033">
        <v>5187.43</v>
      </c>
      <c r="H4033">
        <v>0</v>
      </c>
      <c r="I4033">
        <v>734</v>
      </c>
      <c r="J4033">
        <v>7.34</v>
      </c>
      <c r="K4033" s="133">
        <v>9.9236828230892904E-4</v>
      </c>
      <c r="L4033" s="181">
        <v>-3</v>
      </c>
      <c r="M4033" s="133">
        <v>0</v>
      </c>
      <c r="N4033" s="73">
        <v>5092.64479999998</v>
      </c>
      <c r="O4033" s="73">
        <v>790.38796236024621</v>
      </c>
      <c r="P4033" s="182">
        <v>1</v>
      </c>
      <c r="Q4033" s="182">
        <v>30</v>
      </c>
      <c r="R4033" s="46">
        <v>0</v>
      </c>
      <c r="S4033" s="46">
        <v>27</v>
      </c>
      <c r="T4033" s="46">
        <v>10800</v>
      </c>
      <c r="U4033" s="46">
        <v>8.0619999999999994</v>
      </c>
      <c r="V4033" s="46" t="s">
        <v>68</v>
      </c>
      <c r="W4033" s="46">
        <v>10770</v>
      </c>
      <c r="X4033" s="46">
        <v>8.0839999999999996</v>
      </c>
      <c r="AF4033" s="46">
        <v>210</v>
      </c>
      <c r="AG4033" s="46">
        <v>103200</v>
      </c>
      <c r="AH4033" s="46">
        <v>846038</v>
      </c>
      <c r="AI4033" s="46">
        <v>8.1980000000000004</v>
      </c>
      <c r="AJ4033" s="46">
        <v>214</v>
      </c>
      <c r="AK4033" s="46">
        <v>94930</v>
      </c>
      <c r="AL4033" s="46">
        <v>832752.33280000009</v>
      </c>
      <c r="AM4033" s="46">
        <v>8.7720000000000002</v>
      </c>
      <c r="AN4033" s="46" t="s">
        <v>63</v>
      </c>
      <c r="AO4033" s="46">
        <v>8270</v>
      </c>
      <c r="AP4033" s="46">
        <v>13285.666999999999</v>
      </c>
      <c r="AQ4033" s="46">
        <v>1.6060000000000001</v>
      </c>
      <c r="AR4033" s="46">
        <v>54489.82</v>
      </c>
      <c r="AS4033" s="46">
        <v>211</v>
      </c>
      <c r="AT4033" s="46">
        <v>103230</v>
      </c>
      <c r="AU4033" s="46">
        <v>846043</v>
      </c>
      <c r="AV4033" s="46">
        <v>8.1959999999999997</v>
      </c>
      <c r="AW4033" s="46">
        <v>241</v>
      </c>
      <c r="AX4033" s="46">
        <v>105730</v>
      </c>
      <c r="AY4033" s="46">
        <v>919619.76080000005</v>
      </c>
      <c r="AZ4033" s="46">
        <v>8.6980000000000004</v>
      </c>
      <c r="BA4033" s="46" t="s">
        <v>69</v>
      </c>
      <c r="BB4033" s="46">
        <v>2500</v>
      </c>
      <c r="BC4033" s="46">
        <v>73576.760999999999</v>
      </c>
      <c r="BD4033" s="46">
        <v>29.431000000000001</v>
      </c>
      <c r="BE4033" s="46">
        <v>51821.46</v>
      </c>
      <c r="BF4033" s="46">
        <v>5</v>
      </c>
      <c r="BG4033" s="46">
        <v>0.17</v>
      </c>
      <c r="BH4033" s="46">
        <v>86867.427999999956</v>
      </c>
      <c r="BI4033">
        <v>8.0399999999999991</v>
      </c>
      <c r="BJ4033">
        <v>60291.093999999997</v>
      </c>
      <c r="BK4033">
        <v>5.6</v>
      </c>
      <c r="BL4033">
        <v>7423.68</v>
      </c>
    </row>
    <row r="4034" spans="1:64" x14ac:dyDescent="0.25">
      <c r="A4034" s="136">
        <v>44030</v>
      </c>
      <c r="B4034" t="s">
        <v>78</v>
      </c>
      <c r="C4034" t="s">
        <v>142</v>
      </c>
      <c r="D4034">
        <v>100</v>
      </c>
      <c r="E4034">
        <v>100</v>
      </c>
      <c r="F4034">
        <v>1</v>
      </c>
      <c r="G4034">
        <v>1989</v>
      </c>
      <c r="H4034">
        <v>1989</v>
      </c>
      <c r="I4034">
        <v>2089</v>
      </c>
      <c r="J4034">
        <v>20.89</v>
      </c>
      <c r="K4034" s="133">
        <v>2.824328803465058E-3</v>
      </c>
      <c r="L4034" s="181">
        <v>-353</v>
      </c>
      <c r="M4034" s="133">
        <v>1.3520003846170694E-4</v>
      </c>
      <c r="N4034" s="73">
        <v>1576.660999999996</v>
      </c>
      <c r="O4034" s="73">
        <v>159.17905752525212</v>
      </c>
      <c r="P4034" s="182">
        <v>0</v>
      </c>
      <c r="Q4034" s="182">
        <v>0</v>
      </c>
      <c r="R4034" s="46">
        <v>0</v>
      </c>
      <c r="S4034" s="46">
        <v>4</v>
      </c>
      <c r="T4034" s="46">
        <v>1300</v>
      </c>
      <c r="U4034" s="46">
        <v>9.9220000000000006</v>
      </c>
      <c r="V4034" s="46" t="s">
        <v>68</v>
      </c>
      <c r="W4034" s="46">
        <v>1300</v>
      </c>
      <c r="X4034" s="46">
        <v>9.9220000000000006</v>
      </c>
      <c r="AF4034" s="46">
        <v>14</v>
      </c>
      <c r="AG4034" s="46">
        <v>7000</v>
      </c>
      <c r="AH4034" s="46">
        <v>67625</v>
      </c>
      <c r="AI4034" s="46">
        <v>9.6609999999999996</v>
      </c>
      <c r="AJ4034" s="46">
        <v>15</v>
      </c>
      <c r="AK4034" s="46">
        <v>5600</v>
      </c>
      <c r="AL4034" s="46">
        <v>55310.559000000008</v>
      </c>
      <c r="AM4034" s="46">
        <v>9.8770000000000007</v>
      </c>
      <c r="AN4034" s="46" t="s">
        <v>63</v>
      </c>
      <c r="AO4034" s="46">
        <v>1400</v>
      </c>
      <c r="AP4034" s="46">
        <v>12314.441000000001</v>
      </c>
      <c r="AQ4034" s="46">
        <v>8.7959999999999994</v>
      </c>
      <c r="AR4034" s="46">
        <v>1209.5999999999999</v>
      </c>
      <c r="AS4034" s="46">
        <v>14</v>
      </c>
      <c r="AT4034" s="46">
        <v>7000</v>
      </c>
      <c r="AU4034" s="46">
        <v>67625</v>
      </c>
      <c r="AV4034" s="46">
        <v>9.6609999999999996</v>
      </c>
      <c r="AW4034" s="46">
        <v>19</v>
      </c>
      <c r="AX4034" s="46">
        <v>6900</v>
      </c>
      <c r="AY4034" s="46">
        <v>68211.661000000007</v>
      </c>
      <c r="AZ4034" s="46">
        <v>9.8859999999999992</v>
      </c>
      <c r="BA4034" s="46" t="s">
        <v>63</v>
      </c>
      <c r="BB4034" s="46">
        <v>100</v>
      </c>
      <c r="BC4034" s="46">
        <v>586.66099999999994</v>
      </c>
      <c r="BD4034" s="46">
        <v>5.867</v>
      </c>
      <c r="BE4034" s="46">
        <v>1552.5</v>
      </c>
      <c r="BF4034" s="46">
        <v>0</v>
      </c>
      <c r="BH4034" s="46">
        <v>12901.101999999999</v>
      </c>
      <c r="BI4034">
        <v>9.92</v>
      </c>
      <c r="BJ4034">
        <v>-11727.78</v>
      </c>
      <c r="BK4034">
        <v>-9.02</v>
      </c>
      <c r="BL4034">
        <v>57.9</v>
      </c>
    </row>
    <row r="4035" spans="1:64" x14ac:dyDescent="0.25">
      <c r="A4035" s="136">
        <v>44030</v>
      </c>
      <c r="B4035" t="s">
        <v>72</v>
      </c>
      <c r="C4035" t="s">
        <v>130</v>
      </c>
      <c r="D4035">
        <v>100</v>
      </c>
      <c r="E4035">
        <v>100</v>
      </c>
      <c r="F4035">
        <v>1.53</v>
      </c>
      <c r="G4035">
        <v>352</v>
      </c>
      <c r="H4035">
        <v>230.07</v>
      </c>
      <c r="I4035">
        <v>505</v>
      </c>
      <c r="J4035">
        <v>5.05</v>
      </c>
      <c r="K4035" s="133">
        <v>6.8276019423162007E-4</v>
      </c>
      <c r="L4035" s="181">
        <v>-49</v>
      </c>
      <c r="M4035" s="133">
        <v>2.0685605884641163E-4</v>
      </c>
      <c r="N4035" s="73">
        <v>-1498.9659999999872</v>
      </c>
      <c r="O4035" s="73">
        <v>376.42007904191922</v>
      </c>
      <c r="P4035" s="182">
        <v>0</v>
      </c>
      <c r="Q4035" s="182">
        <v>0</v>
      </c>
      <c r="R4035" s="46">
        <v>0</v>
      </c>
      <c r="S4035" s="46">
        <v>20</v>
      </c>
      <c r="T4035" s="46">
        <v>8600</v>
      </c>
      <c r="U4035" s="46">
        <v>7.3840000000000003</v>
      </c>
      <c r="V4035" s="46" t="s">
        <v>68</v>
      </c>
      <c r="W4035" s="46">
        <v>8600</v>
      </c>
      <c r="X4035" s="46">
        <v>7.3840000000000003</v>
      </c>
      <c r="AF4035" s="46">
        <v>42</v>
      </c>
      <c r="AG4035" s="46">
        <v>20900</v>
      </c>
      <c r="AH4035" s="46">
        <v>152800</v>
      </c>
      <c r="AI4035" s="46">
        <v>7.3109999999999999</v>
      </c>
      <c r="AJ4035" s="46">
        <v>42</v>
      </c>
      <c r="AK4035" s="46">
        <v>18800</v>
      </c>
      <c r="AL4035" s="46">
        <v>92037.725000000035</v>
      </c>
      <c r="AM4035" s="46">
        <v>4.8959999999999999</v>
      </c>
      <c r="AN4035" s="46" t="s">
        <v>63</v>
      </c>
      <c r="AO4035" s="46">
        <v>2100</v>
      </c>
      <c r="AP4035" s="46">
        <v>60762.275000000001</v>
      </c>
      <c r="AQ4035" s="46">
        <v>28.934000000000001</v>
      </c>
      <c r="AR4035" s="46">
        <v>-45402</v>
      </c>
      <c r="AS4035" s="46">
        <v>42</v>
      </c>
      <c r="AT4035" s="46">
        <v>20900</v>
      </c>
      <c r="AU4035" s="46">
        <v>152800</v>
      </c>
      <c r="AV4035" s="46">
        <v>7.3109999999999999</v>
      </c>
      <c r="AW4035" s="46">
        <v>63</v>
      </c>
      <c r="AX4035" s="46">
        <v>27900</v>
      </c>
      <c r="AY4035" s="46">
        <v>155380.21900000001</v>
      </c>
      <c r="AZ4035" s="46">
        <v>5.569</v>
      </c>
      <c r="BA4035" s="46" t="s">
        <v>69</v>
      </c>
      <c r="BB4035" s="46">
        <v>7000</v>
      </c>
      <c r="BC4035" s="46">
        <v>2580.2190000000001</v>
      </c>
      <c r="BD4035" s="46">
        <v>0.36899999999999999</v>
      </c>
      <c r="BE4035" s="46">
        <v>-36407.800000000003</v>
      </c>
      <c r="BF4035" s="46">
        <v>0</v>
      </c>
      <c r="BH4035" s="46">
        <v>63342.493999999977</v>
      </c>
      <c r="BI4035">
        <v>7.37</v>
      </c>
      <c r="BJ4035">
        <v>-58182.056000000004</v>
      </c>
      <c r="BK4035">
        <v>-6.77</v>
      </c>
      <c r="BL4035">
        <v>-8990.5</v>
      </c>
    </row>
    <row r="4036" spans="1:64" x14ac:dyDescent="0.25">
      <c r="A4036" s="136">
        <v>44030</v>
      </c>
      <c r="B4036" t="s">
        <v>70</v>
      </c>
      <c r="C4036" t="s">
        <v>131</v>
      </c>
      <c r="D4036">
        <v>12480</v>
      </c>
      <c r="E4036">
        <v>12480</v>
      </c>
      <c r="F4036">
        <v>8.3149999999999995</v>
      </c>
      <c r="G4036">
        <v>-15793.17</v>
      </c>
      <c r="H4036">
        <v>-15.22</v>
      </c>
      <c r="I4036">
        <v>87984</v>
      </c>
      <c r="J4036">
        <v>7.05</v>
      </c>
      <c r="K4036" s="133">
        <v>0.11895440184014823</v>
      </c>
      <c r="L4036" s="181">
        <v>-4603.3999999999996</v>
      </c>
      <c r="M4036" s="133">
        <v>0.14030677375447098</v>
      </c>
      <c r="N4036" s="73">
        <v>28759.043000000034</v>
      </c>
      <c r="O4036" s="73">
        <v>-2198.5444494342273</v>
      </c>
      <c r="P4036" s="182">
        <v>0</v>
      </c>
      <c r="Q4036" s="182">
        <v>0</v>
      </c>
      <c r="R4036" s="46">
        <v>0</v>
      </c>
      <c r="S4036" s="46">
        <v>11</v>
      </c>
      <c r="T4036" s="46">
        <v>6000</v>
      </c>
      <c r="U4036" s="46">
        <v>7.3250000000000002</v>
      </c>
      <c r="V4036" s="46" t="s">
        <v>68</v>
      </c>
      <c r="W4036" s="46">
        <v>6000</v>
      </c>
      <c r="X4036" s="46">
        <v>7.3250000000000002</v>
      </c>
      <c r="AF4036" s="46">
        <v>224</v>
      </c>
      <c r="AG4036" s="46">
        <v>111580</v>
      </c>
      <c r="AH4036" s="46">
        <v>1221312</v>
      </c>
      <c r="AI4036" s="46">
        <v>10.946</v>
      </c>
      <c r="AJ4036" s="46">
        <v>231</v>
      </c>
      <c r="AK4036" s="46">
        <v>93100</v>
      </c>
      <c r="AL4036" s="46">
        <v>1071473.8669999996</v>
      </c>
      <c r="AM4036" s="46">
        <v>11.509</v>
      </c>
      <c r="AN4036" s="46" t="s">
        <v>63</v>
      </c>
      <c r="AO4036" s="46">
        <v>18480</v>
      </c>
      <c r="AP4036" s="46">
        <v>149838.133</v>
      </c>
      <c r="AQ4036" s="46">
        <v>8.1080000000000005</v>
      </c>
      <c r="AR4036" s="46">
        <v>52415.3</v>
      </c>
      <c r="AS4036" s="46">
        <v>224</v>
      </c>
      <c r="AT4036" s="46">
        <v>111580</v>
      </c>
      <c r="AU4036" s="46">
        <v>1221312</v>
      </c>
      <c r="AV4036" s="46">
        <v>10.946</v>
      </c>
      <c r="AW4036" s="46">
        <v>243</v>
      </c>
      <c r="AX4036" s="46">
        <v>99100</v>
      </c>
      <c r="AY4036" s="46">
        <v>1115756.9149999996</v>
      </c>
      <c r="AZ4036" s="46">
        <v>11.259</v>
      </c>
      <c r="BA4036" s="46" t="s">
        <v>63</v>
      </c>
      <c r="BB4036" s="46">
        <v>12480</v>
      </c>
      <c r="BC4036" s="46">
        <v>105555.08500000001</v>
      </c>
      <c r="BD4036" s="46">
        <v>8.4580000000000002</v>
      </c>
      <c r="BE4036" s="46">
        <v>31018.3</v>
      </c>
      <c r="BF4036" s="46">
        <v>0</v>
      </c>
      <c r="BH4036" s="46">
        <v>44283.047999999952</v>
      </c>
      <c r="BI4036">
        <v>7.38</v>
      </c>
      <c r="BJ4036">
        <v>-44283.047999999995</v>
      </c>
      <c r="BK4036">
        <v>-7.38</v>
      </c>
      <c r="BL4036">
        <v>7434.79</v>
      </c>
    </row>
    <row r="4037" spans="1:64" x14ac:dyDescent="0.25">
      <c r="A4037" s="136">
        <v>44030</v>
      </c>
      <c r="B4037" t="s">
        <v>628</v>
      </c>
      <c r="C4037" t="s">
        <v>629</v>
      </c>
      <c r="D4037">
        <v>100</v>
      </c>
      <c r="E4037">
        <v>100</v>
      </c>
      <c r="F4037">
        <v>0.95</v>
      </c>
      <c r="G4037">
        <v>1486</v>
      </c>
      <c r="H4037">
        <v>1564.21</v>
      </c>
      <c r="I4037">
        <v>1581</v>
      </c>
      <c r="J4037">
        <v>15.81</v>
      </c>
      <c r="K4037" s="133">
        <v>2.1375126080795865E-3</v>
      </c>
      <c r="L4037" s="181">
        <v>-243</v>
      </c>
      <c r="M4037" s="133">
        <v>1.2844003653862159E-4</v>
      </c>
    </row>
    <row r="4038" spans="1:64" x14ac:dyDescent="0.25">
      <c r="A4038" s="136">
        <v>44030</v>
      </c>
      <c r="B4038" t="s">
        <v>768</v>
      </c>
      <c r="C4038" t="s">
        <v>769</v>
      </c>
      <c r="D4038">
        <v>500</v>
      </c>
      <c r="E4038">
        <v>500</v>
      </c>
      <c r="F4038">
        <v>2.4140000000000001</v>
      </c>
      <c r="G4038">
        <v>318</v>
      </c>
      <c r="H4038">
        <v>26.35</v>
      </c>
      <c r="I4038">
        <v>1525</v>
      </c>
      <c r="J4038">
        <v>3.05</v>
      </c>
      <c r="K4038" s="133">
        <v>2.0618005865410309E-3</v>
      </c>
      <c r="L4038" s="181">
        <v>-95</v>
      </c>
      <c r="M4038" s="133">
        <v>1.6318644642328028E-3</v>
      </c>
    </row>
    <row r="4039" spans="1:64" x14ac:dyDescent="0.25">
      <c r="A4039" s="136">
        <v>44030</v>
      </c>
      <c r="B4039" t="s">
        <v>837</v>
      </c>
      <c r="C4039" t="s">
        <v>838</v>
      </c>
      <c r="D4039">
        <v>20</v>
      </c>
      <c r="E4039">
        <v>20</v>
      </c>
      <c r="F4039">
        <v>100</v>
      </c>
      <c r="G4039">
        <v>0</v>
      </c>
      <c r="H4039">
        <v>0</v>
      </c>
      <c r="I4039">
        <v>2000</v>
      </c>
      <c r="J4039">
        <v>100</v>
      </c>
      <c r="K4039" s="133">
        <v>2.7040007692341389E-3</v>
      </c>
      <c r="L4039" s="181">
        <v>0</v>
      </c>
      <c r="M4039" s="133">
        <v>2.7040007692341389E-3</v>
      </c>
    </row>
    <row r="4040" spans="1:64" x14ac:dyDescent="0.25">
      <c r="A4040" s="136">
        <v>44030</v>
      </c>
      <c r="B4040" t="s">
        <v>137</v>
      </c>
      <c r="C4040" t="s">
        <v>149</v>
      </c>
      <c r="D4040">
        <v>150</v>
      </c>
      <c r="E4040">
        <v>150</v>
      </c>
      <c r="F4040">
        <v>1</v>
      </c>
      <c r="G4040">
        <v>5416.5</v>
      </c>
      <c r="H4040">
        <v>3611</v>
      </c>
      <c r="I4040">
        <v>5566.5</v>
      </c>
      <c r="J4040">
        <v>37.11</v>
      </c>
      <c r="K4040" s="133">
        <v>7.5259101409709166E-3</v>
      </c>
      <c r="L4040" s="181">
        <v>-625.5</v>
      </c>
      <c r="M4040" s="133">
        <v>2.0280005769256041E-4</v>
      </c>
    </row>
    <row r="4041" spans="1:64" x14ac:dyDescent="0.25">
      <c r="A4041" s="136">
        <v>44030</v>
      </c>
      <c r="B4041" t="s">
        <v>863</v>
      </c>
      <c r="C4041" t="s">
        <v>864</v>
      </c>
      <c r="D4041">
        <v>500</v>
      </c>
      <c r="E4041">
        <v>0</v>
      </c>
      <c r="F4041">
        <v>10.51</v>
      </c>
      <c r="G4041">
        <v>0</v>
      </c>
      <c r="H4041">
        <v>0</v>
      </c>
      <c r="I4041">
        <v>5255</v>
      </c>
      <c r="J4041">
        <v>10.51</v>
      </c>
      <c r="K4041" s="133">
        <v>7.1047620211626998E-3</v>
      </c>
      <c r="M4041" s="133">
        <v>7.1047620211626998E-3</v>
      </c>
    </row>
    <row r="4042" spans="1:64" x14ac:dyDescent="0.25">
      <c r="A4042" s="136">
        <v>44030</v>
      </c>
      <c r="B4042" t="s">
        <v>865</v>
      </c>
      <c r="C4042" t="s">
        <v>866</v>
      </c>
      <c r="D4042">
        <v>10</v>
      </c>
      <c r="E4042">
        <v>0</v>
      </c>
      <c r="F4042">
        <v>100</v>
      </c>
      <c r="G4042">
        <v>0</v>
      </c>
      <c r="H4042">
        <v>0</v>
      </c>
      <c r="I4042">
        <v>1000</v>
      </c>
      <c r="J4042">
        <v>100</v>
      </c>
      <c r="K4042" s="133">
        <v>1.3520003846170694E-3</v>
      </c>
      <c r="M4042" s="133">
        <v>1.3520003846170694E-3</v>
      </c>
    </row>
    <row r="4043" spans="1:64" x14ac:dyDescent="0.25">
      <c r="A4043" s="136">
        <v>44030</v>
      </c>
      <c r="B4043" t="s">
        <v>835</v>
      </c>
      <c r="C4043" t="s">
        <v>839</v>
      </c>
      <c r="I4043">
        <v>1953.26</v>
      </c>
      <c r="K4043" s="133">
        <v>2.6408082712571371E-3</v>
      </c>
      <c r="L4043" s="181">
        <v>0</v>
      </c>
      <c r="M4043" s="133">
        <v>0.50838034734404114</v>
      </c>
    </row>
    <row r="4044" spans="1:64" x14ac:dyDescent="0.25">
      <c r="A4044" s="136">
        <v>44032</v>
      </c>
      <c r="B4044" t="s">
        <v>132</v>
      </c>
      <c r="C4044" t="s">
        <v>123</v>
      </c>
      <c r="D4044">
        <v>15603791</v>
      </c>
      <c r="E4044">
        <v>15603791</v>
      </c>
      <c r="F4044">
        <v>0.01</v>
      </c>
      <c r="G4044">
        <v>68.91</v>
      </c>
      <c r="H4044">
        <v>0</v>
      </c>
      <c r="I4044">
        <v>156037.91</v>
      </c>
      <c r="J4044">
        <v>0.01</v>
      </c>
      <c r="K4044" s="133">
        <v>0.20834530527075154</v>
      </c>
      <c r="L4044" s="181">
        <v>17.049999999999997</v>
      </c>
      <c r="M4044" s="133">
        <v>0</v>
      </c>
    </row>
    <row r="4045" spans="1:64" x14ac:dyDescent="0.25">
      <c r="A4045" s="136">
        <v>44032</v>
      </c>
      <c r="B4045" t="s">
        <v>61</v>
      </c>
      <c r="C4045" t="s">
        <v>136</v>
      </c>
      <c r="D4045">
        <v>3500</v>
      </c>
      <c r="E4045">
        <v>3500</v>
      </c>
      <c r="F4045">
        <v>4.3079999999999998</v>
      </c>
      <c r="G4045">
        <v>-2301.64</v>
      </c>
      <c r="H4045">
        <v>-15.26</v>
      </c>
      <c r="I4045">
        <v>12775</v>
      </c>
      <c r="J4045">
        <v>3.65</v>
      </c>
      <c r="K4045" s="133">
        <v>1.7057465553299522E-2</v>
      </c>
      <c r="L4045" s="181">
        <v>280</v>
      </c>
      <c r="M4045" s="133">
        <v>2.0130666728727802E-2</v>
      </c>
      <c r="N4045" s="73">
        <v>-2546.1590000000033</v>
      </c>
      <c r="O4045" s="73">
        <v>-710.86198896648148</v>
      </c>
      <c r="P4045" s="182">
        <v>4</v>
      </c>
      <c r="Q4045" s="182">
        <v>2000</v>
      </c>
      <c r="R4045" s="46">
        <v>4.07</v>
      </c>
      <c r="S4045" s="46">
        <v>1</v>
      </c>
      <c r="T4045" s="46">
        <v>1400</v>
      </c>
      <c r="U4045" s="46">
        <v>3.85</v>
      </c>
      <c r="V4045" s="46" t="s">
        <v>62</v>
      </c>
      <c r="W4045" s="46">
        <v>600</v>
      </c>
      <c r="X4045" s="46">
        <v>4.5830000000000002</v>
      </c>
      <c r="AF4045" s="46">
        <v>30</v>
      </c>
      <c r="AG4045" s="46">
        <v>15000</v>
      </c>
      <c r="AH4045" s="46">
        <v>69729.000000000015</v>
      </c>
      <c r="AI4045" s="46">
        <v>4.649</v>
      </c>
      <c r="AJ4045" s="46">
        <v>30</v>
      </c>
      <c r="AK4045" s="46">
        <v>12100</v>
      </c>
      <c r="AL4045" s="46">
        <v>56975.270999999979</v>
      </c>
      <c r="AM4045" s="46">
        <v>4.7089999999999996</v>
      </c>
      <c r="AN4045" s="46" t="s">
        <v>63</v>
      </c>
      <c r="AO4045" s="46">
        <v>2900</v>
      </c>
      <c r="AP4045" s="46">
        <v>12753.728999999999</v>
      </c>
      <c r="AQ4045" s="46">
        <v>4.3979999999999997</v>
      </c>
      <c r="AR4045" s="46">
        <v>726</v>
      </c>
      <c r="AS4045" s="46">
        <v>34</v>
      </c>
      <c r="AT4045" s="46">
        <v>17000</v>
      </c>
      <c r="AU4045" s="46">
        <v>77890.200000000026</v>
      </c>
      <c r="AV4045" s="46">
        <v>4.5819999999999999</v>
      </c>
      <c r="AW4045" s="46">
        <v>31</v>
      </c>
      <c r="AX4045" s="46">
        <v>13500</v>
      </c>
      <c r="AY4045" s="46">
        <v>62814.040999999983</v>
      </c>
      <c r="AZ4045" s="46">
        <v>4.6529999999999996</v>
      </c>
      <c r="BA4045" s="46" t="s">
        <v>63</v>
      </c>
      <c r="BB4045" s="46">
        <v>3500</v>
      </c>
      <c r="BC4045" s="46">
        <v>15076.159</v>
      </c>
      <c r="BD4045" s="46">
        <v>4.3070000000000004</v>
      </c>
      <c r="BE4045" s="46">
        <v>958.5</v>
      </c>
      <c r="BF4045" s="46">
        <v>8161.2000000000116</v>
      </c>
      <c r="BG4045" s="46">
        <v>4.08</v>
      </c>
      <c r="BH4045" s="46">
        <v>5838.7700000000041</v>
      </c>
      <c r="BI4045">
        <v>4.17</v>
      </c>
      <c r="BJ4045">
        <v>2322.4300000000003</v>
      </c>
      <c r="BK4045">
        <v>3.87</v>
      </c>
      <c r="BL4045">
        <v>198.9</v>
      </c>
    </row>
    <row r="4046" spans="1:64" x14ac:dyDescent="0.25">
      <c r="A4046" s="136">
        <v>44032</v>
      </c>
      <c r="B4046" t="s">
        <v>124</v>
      </c>
      <c r="C4046" t="s">
        <v>125</v>
      </c>
      <c r="D4046">
        <v>100</v>
      </c>
      <c r="E4046">
        <v>100</v>
      </c>
      <c r="F4046">
        <v>0.73699999999999999</v>
      </c>
      <c r="G4046">
        <v>439.28</v>
      </c>
      <c r="H4046">
        <v>596.04</v>
      </c>
      <c r="I4046">
        <v>513</v>
      </c>
      <c r="J4046">
        <v>5.13</v>
      </c>
      <c r="K4046" s="133">
        <v>6.849690668369984E-4</v>
      </c>
      <c r="L4046" s="181">
        <v>7</v>
      </c>
      <c r="M4046" s="133">
        <v>9.8432591826946468E-5</v>
      </c>
      <c r="N4046" s="73">
        <v>5623.0690000000113</v>
      </c>
      <c r="O4046" s="73">
        <v>1111.8087987827732</v>
      </c>
      <c r="P4046" s="182">
        <v>0</v>
      </c>
      <c r="Q4046" s="182">
        <v>0</v>
      </c>
      <c r="R4046" s="46">
        <v>0</v>
      </c>
      <c r="S4046" s="46">
        <v>5</v>
      </c>
      <c r="T4046" s="46">
        <v>2300</v>
      </c>
      <c r="U4046" s="46">
        <v>4.99</v>
      </c>
      <c r="V4046" s="46" t="s">
        <v>68</v>
      </c>
      <c r="W4046" s="46">
        <v>2300</v>
      </c>
      <c r="X4046" s="46">
        <v>4.99</v>
      </c>
      <c r="AF4046" s="46">
        <v>50</v>
      </c>
      <c r="AG4046" s="46">
        <v>36700</v>
      </c>
      <c r="AH4046" s="46">
        <v>180101.02000000002</v>
      </c>
      <c r="AI4046" s="46">
        <v>4.907</v>
      </c>
      <c r="AJ4046" s="46">
        <v>58</v>
      </c>
      <c r="AK4046" s="46">
        <v>35300</v>
      </c>
      <c r="AL4046" s="46">
        <v>178266.546</v>
      </c>
      <c r="AM4046" s="46">
        <v>5.05</v>
      </c>
      <c r="AN4046" s="46" t="s">
        <v>63</v>
      </c>
      <c r="AO4046" s="46">
        <v>1400</v>
      </c>
      <c r="AP4046" s="46">
        <v>1834.4739999999999</v>
      </c>
      <c r="AQ4046" s="46">
        <v>1.31</v>
      </c>
      <c r="AR4046" s="46">
        <v>5047.8999999999996</v>
      </c>
      <c r="AS4046" s="46">
        <v>51</v>
      </c>
      <c r="AT4046" s="46">
        <v>37700</v>
      </c>
      <c r="AU4046" s="46">
        <v>185106.62</v>
      </c>
      <c r="AV4046" s="46">
        <v>4.91</v>
      </c>
      <c r="AW4046" s="46">
        <v>63</v>
      </c>
      <c r="AX4046" s="46">
        <v>37600</v>
      </c>
      <c r="AY4046" s="46">
        <v>189763.68900000001</v>
      </c>
      <c r="AZ4046" s="46">
        <v>5.0469999999999997</v>
      </c>
      <c r="BA4046" s="46" t="s">
        <v>63</v>
      </c>
      <c r="BB4046" s="46">
        <v>100</v>
      </c>
      <c r="BC4046" s="46">
        <v>4657.0690000000004</v>
      </c>
      <c r="BD4046" s="46">
        <v>46.570999999999998</v>
      </c>
      <c r="BE4046" s="46">
        <v>5151.2</v>
      </c>
      <c r="BF4046" s="46">
        <v>5005.5999999999767</v>
      </c>
      <c r="BH4046" s="46">
        <v>11497.143000000011</v>
      </c>
      <c r="BI4046">
        <v>5</v>
      </c>
      <c r="BJ4046">
        <v>2822.5950000000003</v>
      </c>
      <c r="BK4046">
        <v>1.23</v>
      </c>
      <c r="BL4046">
        <v>984</v>
      </c>
    </row>
    <row r="4047" spans="1:64" x14ac:dyDescent="0.25">
      <c r="A4047" s="136">
        <v>44032</v>
      </c>
      <c r="B4047" t="s">
        <v>71</v>
      </c>
      <c r="C4047" t="s">
        <v>126</v>
      </c>
      <c r="D4047">
        <v>3900</v>
      </c>
      <c r="E4047">
        <v>3900</v>
      </c>
      <c r="F4047">
        <v>3.8359999999999999</v>
      </c>
      <c r="G4047">
        <v>6021.92</v>
      </c>
      <c r="H4047">
        <v>40.25</v>
      </c>
      <c r="I4047">
        <v>20982</v>
      </c>
      <c r="J4047">
        <v>5.38</v>
      </c>
      <c r="K4047" s="133">
        <v>2.8015635400338985E-2</v>
      </c>
      <c r="L4047" s="181">
        <v>676.8100000000004</v>
      </c>
      <c r="M4047" s="133">
        <v>1.9975033211319382E-2</v>
      </c>
      <c r="N4047" s="73">
        <v>-14993.335999999992</v>
      </c>
      <c r="O4047" s="73">
        <v>1108.3215396648061</v>
      </c>
      <c r="P4047" s="182">
        <v>0</v>
      </c>
      <c r="Q4047" s="182">
        <v>0</v>
      </c>
      <c r="R4047" s="46">
        <v>0</v>
      </c>
      <c r="S4047" s="46">
        <v>3</v>
      </c>
      <c r="T4047" s="46">
        <v>1200</v>
      </c>
      <c r="U4047" s="46">
        <v>5.7329999999999997</v>
      </c>
      <c r="V4047" s="46" t="s">
        <v>68</v>
      </c>
      <c r="W4047" s="46">
        <v>1200</v>
      </c>
      <c r="X4047" s="46">
        <v>5.7329999999999997</v>
      </c>
      <c r="AF4047" s="46">
        <v>72</v>
      </c>
      <c r="AG4047" s="46">
        <v>38500</v>
      </c>
      <c r="AH4047" s="46">
        <v>233473.81999999983</v>
      </c>
      <c r="AI4047" s="46">
        <v>6.0640000000000001</v>
      </c>
      <c r="AJ4047" s="46">
        <v>77</v>
      </c>
      <c r="AK4047" s="46">
        <v>33400</v>
      </c>
      <c r="AL4047" s="46">
        <v>211466.88400000002</v>
      </c>
      <c r="AM4047" s="46">
        <v>6.3310000000000004</v>
      </c>
      <c r="AN4047" s="46" t="s">
        <v>63</v>
      </c>
      <c r="AO4047" s="46">
        <v>5100</v>
      </c>
      <c r="AP4047" s="46">
        <v>22006.936000000002</v>
      </c>
      <c r="AQ4047" s="46">
        <v>4.3150000000000004</v>
      </c>
      <c r="AR4047" s="46">
        <v>8917.7999999999993</v>
      </c>
      <c r="AS4047" s="46">
        <v>72</v>
      </c>
      <c r="AT4047" s="46">
        <v>38500</v>
      </c>
      <c r="AU4047" s="46">
        <v>233473.81999999983</v>
      </c>
      <c r="AV4047" s="46">
        <v>6.0640000000000001</v>
      </c>
      <c r="AW4047" s="46">
        <v>80</v>
      </c>
      <c r="AX4047" s="46">
        <v>34600</v>
      </c>
      <c r="AY4047" s="46">
        <v>218324.28400000001</v>
      </c>
      <c r="AZ4047" s="46">
        <v>6.31</v>
      </c>
      <c r="BA4047" s="46" t="s">
        <v>63</v>
      </c>
      <c r="BB4047" s="46">
        <v>3900</v>
      </c>
      <c r="BC4047" s="46">
        <v>15149.536</v>
      </c>
      <c r="BD4047" s="46">
        <v>3.8839999999999999</v>
      </c>
      <c r="BE4047" s="46">
        <v>8511.6</v>
      </c>
      <c r="BF4047" s="46">
        <v>0</v>
      </c>
      <c r="BH4047" s="46">
        <v>6857.3999999999942</v>
      </c>
      <c r="BI4047">
        <v>5.71</v>
      </c>
      <c r="BJ4047">
        <v>-6857.4000000000015</v>
      </c>
      <c r="BK4047">
        <v>-5.71</v>
      </c>
      <c r="BL4047">
        <v>1657.58</v>
      </c>
    </row>
    <row r="4048" spans="1:64" x14ac:dyDescent="0.25">
      <c r="A4048" s="136">
        <v>44032</v>
      </c>
      <c r="B4048" t="s">
        <v>79</v>
      </c>
      <c r="C4048" t="s">
        <v>143</v>
      </c>
      <c r="D4048">
        <v>5200</v>
      </c>
      <c r="E4048">
        <v>5200</v>
      </c>
      <c r="F4048">
        <v>11.425000000000001</v>
      </c>
      <c r="G4048">
        <v>-15728.22</v>
      </c>
      <c r="H4048">
        <v>-26.47</v>
      </c>
      <c r="I4048">
        <v>43680</v>
      </c>
      <c r="J4048">
        <v>8.4</v>
      </c>
      <c r="K4048" s="133">
        <v>5.8322512357583019E-2</v>
      </c>
      <c r="L4048" s="181">
        <v>-1550.5499999999993</v>
      </c>
      <c r="M4048" s="133">
        <v>7.9323183266758482E-2</v>
      </c>
      <c r="N4048" s="73">
        <v>-59475.039400000409</v>
      </c>
      <c r="O4048" s="73">
        <v>-1909.6092392703847</v>
      </c>
      <c r="P4048" s="182">
        <v>1</v>
      </c>
      <c r="Q4048" s="182">
        <v>2920</v>
      </c>
      <c r="R4048" s="46">
        <v>0</v>
      </c>
      <c r="S4048" s="46">
        <v>5</v>
      </c>
      <c r="T4048" s="46">
        <v>3100</v>
      </c>
      <c r="U4048" s="46">
        <v>8.4760000000000009</v>
      </c>
      <c r="V4048" s="46" t="s">
        <v>68</v>
      </c>
      <c r="W4048" s="46">
        <v>180</v>
      </c>
      <c r="X4048" s="46">
        <v>145.976</v>
      </c>
      <c r="AF4048" s="46">
        <v>91</v>
      </c>
      <c r="AG4048" s="46">
        <v>42800</v>
      </c>
      <c r="AH4048" s="46">
        <v>447272.67999999924</v>
      </c>
      <c r="AI4048" s="46">
        <v>10.45</v>
      </c>
      <c r="AJ4048" s="46">
        <v>89</v>
      </c>
      <c r="AK4048" s="46">
        <v>37420</v>
      </c>
      <c r="AL4048" s="46">
        <v>361612.24859999947</v>
      </c>
      <c r="AM4048" s="46">
        <v>9.6639999999999997</v>
      </c>
      <c r="AN4048" s="46" t="s">
        <v>63</v>
      </c>
      <c r="AO4048" s="46">
        <v>5380</v>
      </c>
      <c r="AP4048" s="46">
        <v>85660.430999999997</v>
      </c>
      <c r="AQ4048" s="46">
        <v>15.922000000000001</v>
      </c>
      <c r="AR4048" s="46">
        <v>-29412.12</v>
      </c>
      <c r="AS4048" s="46">
        <v>92</v>
      </c>
      <c r="AT4048" s="46">
        <v>45720</v>
      </c>
      <c r="AU4048" s="46">
        <v>447279.43199999921</v>
      </c>
      <c r="AV4048" s="46">
        <v>9.7829999999999995</v>
      </c>
      <c r="AW4048" s="46">
        <v>94</v>
      </c>
      <c r="AX4048" s="46">
        <v>40520</v>
      </c>
      <c r="AY4048" s="46">
        <v>387835.11259999947</v>
      </c>
      <c r="AZ4048" s="46">
        <v>9.5709999999999997</v>
      </c>
      <c r="BA4048" s="46" t="s">
        <v>63</v>
      </c>
      <c r="BB4048" s="46">
        <v>5200</v>
      </c>
      <c r="BC4048" s="46">
        <v>59444.319000000003</v>
      </c>
      <c r="BD4048" s="46">
        <v>11.432</v>
      </c>
      <c r="BE4048" s="46">
        <v>-8590.24</v>
      </c>
      <c r="BF4048" s="46">
        <v>6.7519999999785796</v>
      </c>
      <c r="BG4048" s="46">
        <v>0</v>
      </c>
      <c r="BH4048" s="46">
        <v>26222.864000000001</v>
      </c>
      <c r="BI4048">
        <v>8.4600000000000009</v>
      </c>
      <c r="BJ4048">
        <v>-26216.111999999994</v>
      </c>
      <c r="BK4048">
        <v>-145.65</v>
      </c>
      <c r="BL4048">
        <v>-3501.44</v>
      </c>
    </row>
    <row r="4049" spans="1:64" x14ac:dyDescent="0.25">
      <c r="A4049" s="136">
        <v>44032</v>
      </c>
      <c r="B4049" t="s">
        <v>749</v>
      </c>
      <c r="C4049" t="s">
        <v>750</v>
      </c>
      <c r="D4049">
        <v>500</v>
      </c>
      <c r="E4049">
        <v>500</v>
      </c>
      <c r="F4049">
        <v>5.65</v>
      </c>
      <c r="G4049">
        <v>580</v>
      </c>
      <c r="H4049">
        <v>20.530999999999999</v>
      </c>
      <c r="I4049">
        <v>3405</v>
      </c>
      <c r="J4049">
        <v>6.81</v>
      </c>
      <c r="K4049" s="133">
        <v>4.5464321102923573E-3</v>
      </c>
      <c r="L4049" s="181">
        <v>90</v>
      </c>
      <c r="M4049" s="133">
        <v>3.7720031458372718E-3</v>
      </c>
    </row>
    <row r="4050" spans="1:64" x14ac:dyDescent="0.25">
      <c r="A4050" s="136">
        <v>44032</v>
      </c>
      <c r="B4050" t="s">
        <v>776</v>
      </c>
      <c r="C4050" t="s">
        <v>777</v>
      </c>
      <c r="D4050">
        <v>1</v>
      </c>
      <c r="E4050">
        <v>1</v>
      </c>
      <c r="F4050">
        <v>-137.5</v>
      </c>
      <c r="G4050">
        <v>216.69</v>
      </c>
      <c r="H4050">
        <v>0</v>
      </c>
      <c r="I4050">
        <v>79.19</v>
      </c>
      <c r="J4050">
        <v>79.19</v>
      </c>
      <c r="K4050" s="133">
        <v>1.057362580951694E-4</v>
      </c>
      <c r="L4050" s="181">
        <v>2.0500000000000114</v>
      </c>
      <c r="M4050" s="133">
        <v>0</v>
      </c>
    </row>
    <row r="4051" spans="1:64" x14ac:dyDescent="0.25">
      <c r="A4051" s="136">
        <v>44032</v>
      </c>
      <c r="B4051" t="s">
        <v>65</v>
      </c>
      <c r="C4051" t="s">
        <v>82</v>
      </c>
      <c r="D4051">
        <v>21200</v>
      </c>
      <c r="E4051">
        <v>21200</v>
      </c>
      <c r="F4051">
        <v>8.5</v>
      </c>
      <c r="G4051">
        <v>-28627.94</v>
      </c>
      <c r="H4051">
        <v>-15.89</v>
      </c>
      <c r="I4051">
        <v>151580</v>
      </c>
      <c r="J4051">
        <v>7.15</v>
      </c>
      <c r="K4051" s="133">
        <v>0.20239300419327916</v>
      </c>
      <c r="L4051" s="181">
        <v>5032.2900000000045</v>
      </c>
      <c r="M4051" s="133">
        <v>0.24061766958755906</v>
      </c>
      <c r="N4051" s="73">
        <v>-32473.866000000155</v>
      </c>
      <c r="O4051" s="73">
        <v>-3930.0162264644759</v>
      </c>
      <c r="P4051" s="182">
        <v>0</v>
      </c>
      <c r="Q4051" s="182">
        <v>0</v>
      </c>
      <c r="R4051" s="46">
        <v>0</v>
      </c>
      <c r="S4051" s="46">
        <v>3</v>
      </c>
      <c r="T4051" s="46">
        <v>5300</v>
      </c>
      <c r="U4051" s="46">
        <v>7.4279999999999999</v>
      </c>
      <c r="V4051" s="46" t="s">
        <v>68</v>
      </c>
      <c r="W4051" s="46">
        <v>5300</v>
      </c>
      <c r="X4051" s="46">
        <v>7.4279999999999999</v>
      </c>
      <c r="AF4051" s="46">
        <v>297</v>
      </c>
      <c r="AG4051" s="46">
        <v>157300</v>
      </c>
      <c r="AH4051" s="46">
        <v>1585874.6810000001</v>
      </c>
      <c r="AI4051" s="46">
        <v>10.082000000000001</v>
      </c>
      <c r="AJ4051" s="46">
        <v>331</v>
      </c>
      <c r="AK4051" s="46">
        <v>140100</v>
      </c>
      <c r="AL4051" s="46">
        <v>1349733.9240000001</v>
      </c>
      <c r="AM4051" s="46">
        <v>9.6340000000000003</v>
      </c>
      <c r="AN4051" s="46" t="s">
        <v>63</v>
      </c>
      <c r="AO4051" s="46">
        <v>17200</v>
      </c>
      <c r="AP4051" s="46">
        <v>236140.75700000001</v>
      </c>
      <c r="AQ4051" s="46">
        <v>13.728999999999999</v>
      </c>
      <c r="AR4051" s="46">
        <v>-62764.800000000003</v>
      </c>
      <c r="AS4051" s="46">
        <v>301</v>
      </c>
      <c r="AT4051" s="46">
        <v>159100</v>
      </c>
      <c r="AU4051" s="46">
        <v>1598436.6810000001</v>
      </c>
      <c r="AV4051" s="46">
        <v>10.047000000000001</v>
      </c>
      <c r="AW4051" s="46">
        <v>338</v>
      </c>
      <c r="AX4051" s="46">
        <v>147000</v>
      </c>
      <c r="AY4051" s="46">
        <v>1402103.0489999999</v>
      </c>
      <c r="AZ4051" s="46">
        <v>9.5380000000000003</v>
      </c>
      <c r="BA4051" s="46" t="s">
        <v>63</v>
      </c>
      <c r="BB4051" s="46">
        <v>12100</v>
      </c>
      <c r="BC4051" s="46">
        <v>196333.63200000001</v>
      </c>
      <c r="BD4051" s="46">
        <v>16.225999999999999</v>
      </c>
      <c r="BE4051" s="46">
        <v>-74823</v>
      </c>
      <c r="BF4051" s="46">
        <v>12562</v>
      </c>
      <c r="BH4051" s="46">
        <v>52369.124999999767</v>
      </c>
      <c r="BI4051">
        <v>9.8800000000000008</v>
      </c>
      <c r="BJ4051">
        <v>-39807.125</v>
      </c>
      <c r="BK4051">
        <v>-7.51</v>
      </c>
      <c r="BL4051">
        <v>-8778.2900000000009</v>
      </c>
    </row>
    <row r="4052" spans="1:64" x14ac:dyDescent="0.25">
      <c r="A4052" s="136">
        <v>44032</v>
      </c>
      <c r="B4052" t="s">
        <v>77</v>
      </c>
      <c r="C4052" t="s">
        <v>150</v>
      </c>
      <c r="D4052">
        <v>7100</v>
      </c>
      <c r="E4052">
        <v>7100</v>
      </c>
      <c r="F4052">
        <v>4.9000000000000004</v>
      </c>
      <c r="G4052">
        <v>-13918.73</v>
      </c>
      <c r="H4052">
        <v>-40.01</v>
      </c>
      <c r="I4052">
        <v>20874</v>
      </c>
      <c r="J4052">
        <v>2.94</v>
      </c>
      <c r="K4052" s="133">
        <v>2.787143138626804E-2</v>
      </c>
      <c r="L4052" s="181">
        <v>426</v>
      </c>
      <c r="M4052" s="133">
        <v>4.6456030800802406E-2</v>
      </c>
      <c r="N4052" s="73">
        <v>-14565.683999999979</v>
      </c>
      <c r="O4052" s="73">
        <v>-4814.6065609588977</v>
      </c>
      <c r="P4052" s="182">
        <v>9</v>
      </c>
      <c r="Q4052" s="182">
        <v>4300</v>
      </c>
      <c r="R4052" s="46">
        <v>3.806</v>
      </c>
      <c r="S4052" s="46">
        <v>1</v>
      </c>
      <c r="T4052" s="46">
        <v>1000</v>
      </c>
      <c r="U4052" s="46">
        <v>3.47</v>
      </c>
      <c r="V4052" s="46" t="s">
        <v>62</v>
      </c>
      <c r="W4052" s="46">
        <v>3300</v>
      </c>
      <c r="X4052" s="46">
        <v>3.9079999999999999</v>
      </c>
      <c r="AF4052" s="46">
        <v>68</v>
      </c>
      <c r="AG4052" s="46">
        <v>33600</v>
      </c>
      <c r="AH4052" s="46">
        <v>204829</v>
      </c>
      <c r="AI4052" s="46">
        <v>6.0960000000000001</v>
      </c>
      <c r="AJ4052" s="46">
        <v>68</v>
      </c>
      <c r="AK4052" s="46">
        <v>29800</v>
      </c>
      <c r="AL4052" s="46">
        <v>182690.78600000008</v>
      </c>
      <c r="AM4052" s="46">
        <v>6.1310000000000002</v>
      </c>
      <c r="AN4052" s="46" t="s">
        <v>63</v>
      </c>
      <c r="AO4052" s="46">
        <v>3800</v>
      </c>
      <c r="AP4052" s="46">
        <v>22138.214</v>
      </c>
      <c r="AQ4052" s="46">
        <v>5.8259999999999996</v>
      </c>
      <c r="AR4052" s="46">
        <v>1043</v>
      </c>
      <c r="AS4052" s="46">
        <v>77</v>
      </c>
      <c r="AT4052" s="46">
        <v>37900</v>
      </c>
      <c r="AU4052" s="46">
        <v>220950</v>
      </c>
      <c r="AV4052" s="46">
        <v>5.83</v>
      </c>
      <c r="AW4052" s="46">
        <v>69</v>
      </c>
      <c r="AX4052" s="46">
        <v>30800</v>
      </c>
      <c r="AY4052" s="46">
        <v>186152.31600000008</v>
      </c>
      <c r="AZ4052" s="46">
        <v>6.0439999999999996</v>
      </c>
      <c r="BA4052" s="46" t="s">
        <v>63</v>
      </c>
      <c r="BB4052" s="46">
        <v>7100</v>
      </c>
      <c r="BC4052" s="46">
        <v>34797.684000000001</v>
      </c>
      <c r="BD4052" s="46">
        <v>4.9009999999999998</v>
      </c>
      <c r="BE4052" s="46">
        <v>6591.2</v>
      </c>
      <c r="BF4052" s="46">
        <v>16121</v>
      </c>
      <c r="BG4052" s="46">
        <v>3.75</v>
      </c>
      <c r="BH4052" s="46">
        <v>3461.5299999999988</v>
      </c>
      <c r="BI4052">
        <v>3.46</v>
      </c>
      <c r="BJ4052">
        <v>12659.470000000001</v>
      </c>
      <c r="BK4052">
        <v>3.84</v>
      </c>
      <c r="BL4052">
        <v>354.76</v>
      </c>
    </row>
    <row r="4053" spans="1:64" x14ac:dyDescent="0.25">
      <c r="A4053" s="136">
        <v>44032</v>
      </c>
      <c r="B4053" t="s">
        <v>72</v>
      </c>
      <c r="C4053" t="s">
        <v>130</v>
      </c>
      <c r="D4053">
        <v>100</v>
      </c>
      <c r="E4053">
        <v>100</v>
      </c>
      <c r="F4053">
        <v>1.53</v>
      </c>
      <c r="G4053">
        <v>382</v>
      </c>
      <c r="H4053">
        <v>249.67</v>
      </c>
      <c r="I4053">
        <v>535</v>
      </c>
      <c r="J4053">
        <v>5.35</v>
      </c>
      <c r="K4053" s="133">
        <v>7.1434395859219129E-4</v>
      </c>
      <c r="L4053" s="181">
        <v>30</v>
      </c>
      <c r="M4053" s="133">
        <v>2.0428901993384163E-4</v>
      </c>
      <c r="N4053" s="73">
        <v>-1498.9659999999872</v>
      </c>
      <c r="O4053" s="73">
        <v>376.42007904191922</v>
      </c>
      <c r="P4053" s="182">
        <v>0</v>
      </c>
      <c r="Q4053" s="182">
        <v>0</v>
      </c>
      <c r="R4053" s="46">
        <v>0</v>
      </c>
      <c r="S4053" s="46">
        <v>20</v>
      </c>
      <c r="T4053" s="46">
        <v>8600</v>
      </c>
      <c r="U4053" s="46">
        <v>7.3840000000000003</v>
      </c>
      <c r="V4053" s="46" t="s">
        <v>68</v>
      </c>
      <c r="W4053" s="46">
        <v>8600</v>
      </c>
      <c r="X4053" s="46">
        <v>7.3840000000000003</v>
      </c>
      <c r="AF4053" s="46">
        <v>42</v>
      </c>
      <c r="AG4053" s="46">
        <v>20900</v>
      </c>
      <c r="AH4053" s="46">
        <v>152800</v>
      </c>
      <c r="AI4053" s="46">
        <v>7.3109999999999999</v>
      </c>
      <c r="AJ4053" s="46">
        <v>42</v>
      </c>
      <c r="AK4053" s="46">
        <v>18800</v>
      </c>
      <c r="AL4053" s="46">
        <v>92037.725000000035</v>
      </c>
      <c r="AM4053" s="46">
        <v>4.8959999999999999</v>
      </c>
      <c r="AN4053" s="46" t="s">
        <v>63</v>
      </c>
      <c r="AO4053" s="46">
        <v>2100</v>
      </c>
      <c r="AP4053" s="46">
        <v>60762.275000000001</v>
      </c>
      <c r="AQ4053" s="46">
        <v>28.934000000000001</v>
      </c>
      <c r="AR4053" s="46">
        <v>-45402</v>
      </c>
      <c r="AS4053" s="46">
        <v>42</v>
      </c>
      <c r="AT4053" s="46">
        <v>20900</v>
      </c>
      <c r="AU4053" s="46">
        <v>152800</v>
      </c>
      <c r="AV4053" s="46">
        <v>7.3109999999999999</v>
      </c>
      <c r="AW4053" s="46">
        <v>63</v>
      </c>
      <c r="AX4053" s="46">
        <v>27900</v>
      </c>
      <c r="AY4053" s="46">
        <v>155380.21900000001</v>
      </c>
      <c r="AZ4053" s="46">
        <v>5.569</v>
      </c>
      <c r="BA4053" s="46" t="s">
        <v>69</v>
      </c>
      <c r="BB4053" s="46">
        <v>7000</v>
      </c>
      <c r="BC4053" s="46">
        <v>2580.2190000000001</v>
      </c>
      <c r="BD4053" s="46">
        <v>0.36899999999999999</v>
      </c>
      <c r="BE4053" s="46">
        <v>-36407.800000000003</v>
      </c>
      <c r="BF4053" s="46">
        <v>0</v>
      </c>
      <c r="BH4053" s="46">
        <v>63342.493999999977</v>
      </c>
      <c r="BI4053">
        <v>7.37</v>
      </c>
      <c r="BJ4053">
        <v>-58182.056000000004</v>
      </c>
      <c r="BK4053">
        <v>-6.77</v>
      </c>
      <c r="BL4053">
        <v>-8486.36</v>
      </c>
    </row>
    <row r="4054" spans="1:64" x14ac:dyDescent="0.25">
      <c r="A4054" s="136">
        <v>44032</v>
      </c>
      <c r="B4054" t="s">
        <v>70</v>
      </c>
      <c r="C4054" t="s">
        <v>131</v>
      </c>
      <c r="D4054">
        <v>11680</v>
      </c>
      <c r="E4054">
        <v>11680</v>
      </c>
      <c r="F4054">
        <v>8.3849999999999998</v>
      </c>
      <c r="G4054">
        <v>-11855.43</v>
      </c>
      <c r="H4054">
        <v>-12.11</v>
      </c>
      <c r="I4054">
        <v>86081.600000000006</v>
      </c>
      <c r="J4054">
        <v>7.37</v>
      </c>
      <c r="K4054" s="133">
        <v>0.11493807645971883</v>
      </c>
      <c r="L4054" s="181">
        <v>3937.74</v>
      </c>
      <c r="M4054" s="133">
        <v>0.13076771159432185</v>
      </c>
      <c r="N4054" s="73">
        <v>-12213.740999999995</v>
      </c>
      <c r="O4054" s="73">
        <v>-1663.1654127384188</v>
      </c>
      <c r="P4054" s="182">
        <v>0</v>
      </c>
      <c r="Q4054" s="182">
        <v>0</v>
      </c>
      <c r="R4054" s="46">
        <v>0</v>
      </c>
      <c r="S4054" s="46">
        <v>13</v>
      </c>
      <c r="T4054" s="46">
        <v>6800</v>
      </c>
      <c r="U4054" s="46">
        <v>7.3250000000000002</v>
      </c>
      <c r="V4054" s="46" t="s">
        <v>68</v>
      </c>
      <c r="W4054" s="46">
        <v>6800</v>
      </c>
      <c r="X4054" s="46">
        <v>7.3250000000000002</v>
      </c>
      <c r="AF4054" s="46">
        <v>224</v>
      </c>
      <c r="AG4054" s="46">
        <v>111580</v>
      </c>
      <c r="AH4054" s="46">
        <v>1221312</v>
      </c>
      <c r="AI4054" s="46">
        <v>10.946</v>
      </c>
      <c r="AJ4054" s="46">
        <v>231</v>
      </c>
      <c r="AK4054" s="46">
        <v>93100</v>
      </c>
      <c r="AL4054" s="46">
        <v>1071473.8669999996</v>
      </c>
      <c r="AM4054" s="46">
        <v>11.509</v>
      </c>
      <c r="AN4054" s="46" t="s">
        <v>63</v>
      </c>
      <c r="AO4054" s="46">
        <v>18480</v>
      </c>
      <c r="AP4054" s="46">
        <v>149838.133</v>
      </c>
      <c r="AQ4054" s="46">
        <v>8.1080000000000005</v>
      </c>
      <c r="AR4054" s="46">
        <v>52415.3</v>
      </c>
      <c r="AS4054" s="46">
        <v>224</v>
      </c>
      <c r="AT4054" s="46">
        <v>111580</v>
      </c>
      <c r="AU4054" s="46">
        <v>1221312</v>
      </c>
      <c r="AV4054" s="46">
        <v>10.946</v>
      </c>
      <c r="AW4054" s="46">
        <v>245</v>
      </c>
      <c r="AX4054" s="46">
        <v>99900</v>
      </c>
      <c r="AY4054" s="46">
        <v>1121597.0589999997</v>
      </c>
      <c r="AZ4054" s="46">
        <v>11.227</v>
      </c>
      <c r="BA4054" s="46" t="s">
        <v>63</v>
      </c>
      <c r="BB4054" s="46">
        <v>11680</v>
      </c>
      <c r="BC4054" s="46">
        <v>99714.941000000006</v>
      </c>
      <c r="BD4054" s="46">
        <v>8.5370000000000008</v>
      </c>
      <c r="BE4054" s="46">
        <v>28071.9</v>
      </c>
      <c r="BF4054" s="46">
        <v>0</v>
      </c>
      <c r="BH4054" s="46">
        <v>50123.192000000039</v>
      </c>
      <c r="BI4054">
        <v>7.37</v>
      </c>
      <c r="BJ4054">
        <v>-50123.191999999995</v>
      </c>
      <c r="BK4054">
        <v>-7.37</v>
      </c>
      <c r="BL4054">
        <v>7111.98</v>
      </c>
    </row>
    <row r="4055" spans="1:64" x14ac:dyDescent="0.25">
      <c r="A4055" s="136">
        <v>44032</v>
      </c>
      <c r="B4055" t="s">
        <v>628</v>
      </c>
      <c r="C4055" t="s">
        <v>629</v>
      </c>
      <c r="D4055">
        <v>100</v>
      </c>
      <c r="E4055">
        <v>100</v>
      </c>
      <c r="F4055">
        <v>0.95</v>
      </c>
      <c r="G4055">
        <v>1544</v>
      </c>
      <c r="H4055">
        <v>1625.26</v>
      </c>
      <c r="I4055">
        <v>1639</v>
      </c>
      <c r="J4055">
        <v>16.39</v>
      </c>
      <c r="K4055" s="133">
        <v>2.1884294357618719E-3</v>
      </c>
      <c r="L4055" s="181">
        <v>58</v>
      </c>
      <c r="M4055" s="133">
        <v>1.2684612348833304E-4</v>
      </c>
    </row>
    <row r="4056" spans="1:64" x14ac:dyDescent="0.25">
      <c r="A4056" s="136">
        <v>44032</v>
      </c>
      <c r="B4056" t="s">
        <v>768</v>
      </c>
      <c r="C4056" t="s">
        <v>769</v>
      </c>
      <c r="D4056">
        <v>500</v>
      </c>
      <c r="E4056">
        <v>500</v>
      </c>
      <c r="F4056">
        <v>2.4140000000000001</v>
      </c>
      <c r="G4056">
        <v>358</v>
      </c>
      <c r="H4056">
        <v>29.66</v>
      </c>
      <c r="I4056">
        <v>1565</v>
      </c>
      <c r="J4056">
        <v>3.13</v>
      </c>
      <c r="K4056" s="133">
        <v>2.0896229816762231E-3</v>
      </c>
      <c r="L4056" s="181">
        <v>40</v>
      </c>
      <c r="M4056" s="133">
        <v>1.611613379478084E-3</v>
      </c>
    </row>
    <row r="4057" spans="1:64" x14ac:dyDescent="0.25">
      <c r="A4057" s="136">
        <v>44032</v>
      </c>
      <c r="B4057" t="s">
        <v>837</v>
      </c>
      <c r="C4057" t="s">
        <v>838</v>
      </c>
      <c r="D4057">
        <v>20</v>
      </c>
      <c r="E4057">
        <v>20</v>
      </c>
      <c r="F4057">
        <v>100</v>
      </c>
      <c r="G4057">
        <v>0</v>
      </c>
      <c r="H4057">
        <v>0</v>
      </c>
      <c r="I4057">
        <v>2000</v>
      </c>
      <c r="J4057">
        <v>100</v>
      </c>
      <c r="K4057" s="133">
        <v>2.6704447050175375E-3</v>
      </c>
      <c r="L4057" s="181">
        <v>0</v>
      </c>
      <c r="M4057" s="133">
        <v>2.6704447050175375E-3</v>
      </c>
    </row>
    <row r="4058" spans="1:64" x14ac:dyDescent="0.25">
      <c r="A4058" s="136">
        <v>44032</v>
      </c>
      <c r="B4058" t="s">
        <v>137</v>
      </c>
      <c r="C4058" t="s">
        <v>149</v>
      </c>
      <c r="D4058">
        <v>150</v>
      </c>
      <c r="E4058">
        <v>150</v>
      </c>
      <c r="F4058">
        <v>1</v>
      </c>
      <c r="G4058">
        <v>5559</v>
      </c>
      <c r="H4058">
        <v>3706</v>
      </c>
      <c r="I4058">
        <v>5709</v>
      </c>
      <c r="J4058">
        <v>38.06</v>
      </c>
      <c r="K4058" s="133">
        <v>7.622784410472561E-3</v>
      </c>
      <c r="L4058" s="181">
        <v>142.5</v>
      </c>
      <c r="M4058" s="133">
        <v>2.0028335287631532E-4</v>
      </c>
    </row>
    <row r="4059" spans="1:64" x14ac:dyDescent="0.25">
      <c r="A4059" s="136">
        <v>44032</v>
      </c>
      <c r="B4059" t="s">
        <v>863</v>
      </c>
      <c r="C4059" t="s">
        <v>864</v>
      </c>
      <c r="D4059">
        <v>500</v>
      </c>
      <c r="E4059">
        <v>500</v>
      </c>
      <c r="F4059">
        <v>10.51</v>
      </c>
      <c r="G4059">
        <v>0</v>
      </c>
      <c r="H4059">
        <v>0</v>
      </c>
      <c r="I4059">
        <v>5255</v>
      </c>
      <c r="J4059">
        <v>10.51</v>
      </c>
      <c r="K4059" s="133">
        <v>7.0165934624335799E-3</v>
      </c>
      <c r="L4059" s="181">
        <v>0</v>
      </c>
      <c r="M4059" s="133">
        <v>7.0165934624335799E-3</v>
      </c>
    </row>
    <row r="4060" spans="1:64" x14ac:dyDescent="0.25">
      <c r="A4060" s="136">
        <v>44032</v>
      </c>
      <c r="B4060" t="s">
        <v>865</v>
      </c>
      <c r="C4060" t="s">
        <v>866</v>
      </c>
      <c r="D4060">
        <v>10</v>
      </c>
      <c r="E4060">
        <v>0</v>
      </c>
      <c r="F4060">
        <v>100</v>
      </c>
      <c r="G4060">
        <v>0</v>
      </c>
      <c r="H4060">
        <v>0</v>
      </c>
      <c r="I4060">
        <v>1000</v>
      </c>
      <c r="J4060">
        <v>100</v>
      </c>
      <c r="K4060" s="133">
        <v>1.3352223525087688E-3</v>
      </c>
      <c r="L4060" s="181">
        <v>0</v>
      </c>
      <c r="M4060" s="133">
        <v>1.3352223525087688E-3</v>
      </c>
    </row>
    <row r="4061" spans="1:64" x14ac:dyDescent="0.25">
      <c r="A4061" s="136">
        <v>44032</v>
      </c>
      <c r="B4061" t="s">
        <v>835</v>
      </c>
      <c r="C4061" t="s">
        <v>839</v>
      </c>
      <c r="I4061">
        <v>235228.23</v>
      </c>
      <c r="K4061" s="133">
        <v>0.31408199063707376</v>
      </c>
      <c r="L4061" s="181">
        <v>0</v>
      </c>
      <c r="M4061" s="133">
        <v>0.20834530527075154</v>
      </c>
    </row>
    <row r="4062" spans="1:64" x14ac:dyDescent="0.25">
      <c r="A4062" s="136">
        <v>44033</v>
      </c>
      <c r="B4062" t="s">
        <v>132</v>
      </c>
      <c r="C4062" t="s">
        <v>123</v>
      </c>
      <c r="D4062">
        <v>15604254</v>
      </c>
      <c r="E4062">
        <v>15604254</v>
      </c>
      <c r="F4062">
        <v>0.01</v>
      </c>
      <c r="G4062">
        <v>73.540000000000006</v>
      </c>
      <c r="H4062">
        <v>0</v>
      </c>
      <c r="I4062">
        <v>156042.54</v>
      </c>
      <c r="J4062">
        <v>0.01</v>
      </c>
      <c r="K4062" s="133">
        <v>0.28543288171686726</v>
      </c>
      <c r="L4062" s="181">
        <v>4.6300000000000097</v>
      </c>
      <c r="M4062" s="133">
        <v>0</v>
      </c>
    </row>
    <row r="4063" spans="1:64" x14ac:dyDescent="0.25">
      <c r="A4063" s="136">
        <v>44033</v>
      </c>
      <c r="B4063" t="s">
        <v>61</v>
      </c>
      <c r="C4063" t="s">
        <v>136</v>
      </c>
      <c r="D4063">
        <v>3500</v>
      </c>
      <c r="E4063">
        <v>3500</v>
      </c>
      <c r="F4063">
        <v>4.3079999999999998</v>
      </c>
      <c r="G4063">
        <v>-2301.64</v>
      </c>
      <c r="H4063">
        <v>-15.26</v>
      </c>
      <c r="I4063">
        <v>12775</v>
      </c>
      <c r="J4063">
        <v>3.65</v>
      </c>
      <c r="K4063" s="133">
        <v>2.336801915639786E-2</v>
      </c>
      <c r="L4063" s="181">
        <v>0</v>
      </c>
      <c r="M4063" s="133">
        <v>2.757817709073301E-2</v>
      </c>
      <c r="N4063" s="73">
        <v>-2546.1590000000033</v>
      </c>
      <c r="O4063" s="73">
        <v>-710.86198896648148</v>
      </c>
      <c r="P4063" s="182">
        <v>4</v>
      </c>
      <c r="Q4063" s="182">
        <v>2000</v>
      </c>
      <c r="R4063" s="46">
        <v>4.07</v>
      </c>
      <c r="S4063" s="46">
        <v>1</v>
      </c>
      <c r="T4063" s="46">
        <v>1400</v>
      </c>
      <c r="U4063" s="46">
        <v>3.85</v>
      </c>
      <c r="V4063" s="46" t="s">
        <v>62</v>
      </c>
      <c r="W4063" s="46">
        <v>600</v>
      </c>
      <c r="X4063" s="46">
        <v>4.5830000000000002</v>
      </c>
      <c r="AF4063" s="46">
        <v>30</v>
      </c>
      <c r="AG4063" s="46">
        <v>15000</v>
      </c>
      <c r="AH4063" s="46">
        <v>69729.000000000015</v>
      </c>
      <c r="AI4063" s="46">
        <v>4.649</v>
      </c>
      <c r="AJ4063" s="46">
        <v>30</v>
      </c>
      <c r="AK4063" s="46">
        <v>12100</v>
      </c>
      <c r="AL4063" s="46">
        <v>56975.270999999979</v>
      </c>
      <c r="AM4063" s="46">
        <v>4.7089999999999996</v>
      </c>
      <c r="AN4063" s="46" t="s">
        <v>63</v>
      </c>
      <c r="AO4063" s="46">
        <v>2900</v>
      </c>
      <c r="AP4063" s="46">
        <v>12753.728999999999</v>
      </c>
      <c r="AQ4063" s="46">
        <v>4.3979999999999997</v>
      </c>
      <c r="AR4063" s="46">
        <v>726</v>
      </c>
      <c r="AS4063" s="46">
        <v>34</v>
      </c>
      <c r="AT4063" s="46">
        <v>17000</v>
      </c>
      <c r="AU4063" s="46">
        <v>77890.200000000026</v>
      </c>
      <c r="AV4063" s="46">
        <v>4.5819999999999999</v>
      </c>
      <c r="AW4063" s="46">
        <v>31</v>
      </c>
      <c r="AX4063" s="46">
        <v>13500</v>
      </c>
      <c r="AY4063" s="46">
        <v>62814.040999999983</v>
      </c>
      <c r="AZ4063" s="46">
        <v>4.6529999999999996</v>
      </c>
      <c r="BA4063" s="46" t="s">
        <v>63</v>
      </c>
      <c r="BB4063" s="46">
        <v>3500</v>
      </c>
      <c r="BC4063" s="46">
        <v>15076.159</v>
      </c>
      <c r="BD4063" s="46">
        <v>4.3070000000000004</v>
      </c>
      <c r="BE4063" s="46">
        <v>958.5</v>
      </c>
      <c r="BF4063" s="46">
        <v>8161.2000000000116</v>
      </c>
      <c r="BG4063" s="46">
        <v>4.08</v>
      </c>
      <c r="BH4063" s="46">
        <v>5838.7700000000041</v>
      </c>
      <c r="BI4063">
        <v>4.17</v>
      </c>
      <c r="BJ4063">
        <v>2322.4300000000003</v>
      </c>
      <c r="BK4063">
        <v>3.87</v>
      </c>
      <c r="BL4063">
        <v>198.9</v>
      </c>
    </row>
    <row r="4064" spans="1:64" x14ac:dyDescent="0.25">
      <c r="A4064" s="136">
        <v>44033</v>
      </c>
      <c r="B4064" t="s">
        <v>124</v>
      </c>
      <c r="C4064" t="s">
        <v>125</v>
      </c>
      <c r="D4064">
        <v>100</v>
      </c>
      <c r="E4064">
        <v>100</v>
      </c>
      <c r="F4064">
        <v>0.73699999999999999</v>
      </c>
      <c r="G4064">
        <v>436.28</v>
      </c>
      <c r="H4064">
        <v>591.97</v>
      </c>
      <c r="I4064">
        <v>510</v>
      </c>
      <c r="J4064">
        <v>5.0999999999999996</v>
      </c>
      <c r="K4064" s="133">
        <v>9.3289156710472867E-4</v>
      </c>
      <c r="L4064" s="181">
        <v>-3</v>
      </c>
      <c r="M4064" s="133">
        <v>1.3484856142541299E-4</v>
      </c>
      <c r="N4064" s="73">
        <v>5623.0690000000113</v>
      </c>
      <c r="O4064" s="73">
        <v>1111.8087987827732</v>
      </c>
      <c r="P4064" s="182">
        <v>0</v>
      </c>
      <c r="Q4064" s="182">
        <v>0</v>
      </c>
      <c r="R4064" s="46">
        <v>0</v>
      </c>
      <c r="S4064" s="46">
        <v>5</v>
      </c>
      <c r="T4064" s="46">
        <v>2300</v>
      </c>
      <c r="U4064" s="46">
        <v>4.99</v>
      </c>
      <c r="V4064" s="46" t="s">
        <v>68</v>
      </c>
      <c r="W4064" s="46">
        <v>2300</v>
      </c>
      <c r="X4064" s="46">
        <v>4.99</v>
      </c>
      <c r="AF4064" s="46">
        <v>50</v>
      </c>
      <c r="AG4064" s="46">
        <v>36700</v>
      </c>
      <c r="AH4064" s="46">
        <v>180101.02000000002</v>
      </c>
      <c r="AI4064" s="46">
        <v>4.907</v>
      </c>
      <c r="AJ4064" s="46">
        <v>58</v>
      </c>
      <c r="AK4064" s="46">
        <v>35300</v>
      </c>
      <c r="AL4064" s="46">
        <v>178266.546</v>
      </c>
      <c r="AM4064" s="46">
        <v>5.05</v>
      </c>
      <c r="AN4064" s="46" t="s">
        <v>63</v>
      </c>
      <c r="AO4064" s="46">
        <v>1400</v>
      </c>
      <c r="AP4064" s="46">
        <v>1834.4739999999999</v>
      </c>
      <c r="AQ4064" s="46">
        <v>1.31</v>
      </c>
      <c r="AR4064" s="46">
        <v>5047.8999999999996</v>
      </c>
      <c r="AS4064" s="46">
        <v>51</v>
      </c>
      <c r="AT4064" s="46">
        <v>37700</v>
      </c>
      <c r="AU4064" s="46">
        <v>185106.62</v>
      </c>
      <c r="AV4064" s="46">
        <v>4.91</v>
      </c>
      <c r="AW4064" s="46">
        <v>63</v>
      </c>
      <c r="AX4064" s="46">
        <v>37600</v>
      </c>
      <c r="AY4064" s="46">
        <v>189763.68900000001</v>
      </c>
      <c r="AZ4064" s="46">
        <v>5.0469999999999997</v>
      </c>
      <c r="BA4064" s="46" t="s">
        <v>63</v>
      </c>
      <c r="BB4064" s="46">
        <v>100</v>
      </c>
      <c r="BC4064" s="46">
        <v>4657.0690000000004</v>
      </c>
      <c r="BD4064" s="46">
        <v>46.570999999999998</v>
      </c>
      <c r="BE4064" s="46">
        <v>5151.2</v>
      </c>
      <c r="BF4064" s="46">
        <v>5005.5999999999767</v>
      </c>
      <c r="BH4064" s="46">
        <v>11497.143000000011</v>
      </c>
      <c r="BI4064">
        <v>5</v>
      </c>
      <c r="BJ4064">
        <v>2822.5950000000003</v>
      </c>
      <c r="BK4064">
        <v>1.23</v>
      </c>
      <c r="BL4064">
        <v>989.78</v>
      </c>
    </row>
    <row r="4065" spans="1:64" x14ac:dyDescent="0.25">
      <c r="A4065" s="136">
        <v>44033</v>
      </c>
      <c r="B4065" t="s">
        <v>71</v>
      </c>
      <c r="C4065" t="s">
        <v>126</v>
      </c>
      <c r="D4065">
        <v>3900</v>
      </c>
      <c r="E4065">
        <v>3900</v>
      </c>
      <c r="F4065">
        <v>3.8359999999999999</v>
      </c>
      <c r="G4065">
        <v>5865.92</v>
      </c>
      <c r="H4065">
        <v>39.21</v>
      </c>
      <c r="I4065">
        <v>20826</v>
      </c>
      <c r="J4065">
        <v>5.34</v>
      </c>
      <c r="K4065" s="133">
        <v>3.8094901522594274E-2</v>
      </c>
      <c r="L4065" s="181">
        <v>-156</v>
      </c>
      <c r="M4065" s="133">
        <v>2.7364965637670803E-2</v>
      </c>
      <c r="N4065" s="73">
        <v>-14993.335999999992</v>
      </c>
      <c r="O4065" s="73">
        <v>1108.3215396648061</v>
      </c>
      <c r="P4065" s="182">
        <v>0</v>
      </c>
      <c r="Q4065" s="182">
        <v>0</v>
      </c>
      <c r="R4065" s="46">
        <v>0</v>
      </c>
      <c r="S4065" s="46">
        <v>3</v>
      </c>
      <c r="T4065" s="46">
        <v>1200</v>
      </c>
      <c r="U4065" s="46">
        <v>5.7329999999999997</v>
      </c>
      <c r="V4065" s="46" t="s">
        <v>68</v>
      </c>
      <c r="W4065" s="46">
        <v>1200</v>
      </c>
      <c r="X4065" s="46">
        <v>5.7329999999999997</v>
      </c>
      <c r="AF4065" s="46">
        <v>72</v>
      </c>
      <c r="AG4065" s="46">
        <v>38500</v>
      </c>
      <c r="AH4065" s="46">
        <v>233473.81999999983</v>
      </c>
      <c r="AI4065" s="46">
        <v>6.0640000000000001</v>
      </c>
      <c r="AJ4065" s="46">
        <v>77</v>
      </c>
      <c r="AK4065" s="46">
        <v>33400</v>
      </c>
      <c r="AL4065" s="46">
        <v>211466.88400000002</v>
      </c>
      <c r="AM4065" s="46">
        <v>6.3310000000000004</v>
      </c>
      <c r="AN4065" s="46" t="s">
        <v>63</v>
      </c>
      <c r="AO4065" s="46">
        <v>5100</v>
      </c>
      <c r="AP4065" s="46">
        <v>22006.936000000002</v>
      </c>
      <c r="AQ4065" s="46">
        <v>4.3150000000000004</v>
      </c>
      <c r="AR4065" s="46">
        <v>8917.7999999999993</v>
      </c>
      <c r="AS4065" s="46">
        <v>72</v>
      </c>
      <c r="AT4065" s="46">
        <v>38500</v>
      </c>
      <c r="AU4065" s="46">
        <v>233473.81999999983</v>
      </c>
      <c r="AV4065" s="46">
        <v>6.0640000000000001</v>
      </c>
      <c r="AW4065" s="46">
        <v>80</v>
      </c>
      <c r="AX4065" s="46">
        <v>34600</v>
      </c>
      <c r="AY4065" s="46">
        <v>218324.28400000001</v>
      </c>
      <c r="AZ4065" s="46">
        <v>6.31</v>
      </c>
      <c r="BA4065" s="46" t="s">
        <v>63</v>
      </c>
      <c r="BB4065" s="46">
        <v>3900</v>
      </c>
      <c r="BC4065" s="46">
        <v>15149.536</v>
      </c>
      <c r="BD4065" s="46">
        <v>3.8839999999999999</v>
      </c>
      <c r="BE4065" s="46">
        <v>8511.6</v>
      </c>
      <c r="BF4065" s="46">
        <v>0</v>
      </c>
      <c r="BH4065" s="46">
        <v>6857.3999999999942</v>
      </c>
      <c r="BI4065">
        <v>5.71</v>
      </c>
      <c r="BJ4065">
        <v>-6857.4000000000015</v>
      </c>
      <c r="BK4065">
        <v>-5.71</v>
      </c>
      <c r="BL4065">
        <v>1670</v>
      </c>
    </row>
    <row r="4066" spans="1:64" x14ac:dyDescent="0.25">
      <c r="A4066" s="136">
        <v>44033</v>
      </c>
      <c r="B4066" t="s">
        <v>79</v>
      </c>
      <c r="C4066" t="s">
        <v>143</v>
      </c>
      <c r="D4066">
        <v>5200</v>
      </c>
      <c r="E4066">
        <v>5200</v>
      </c>
      <c r="F4066">
        <v>11.414999999999999</v>
      </c>
      <c r="G4066">
        <v>-15209.74</v>
      </c>
      <c r="H4066">
        <v>-25.62</v>
      </c>
      <c r="I4066">
        <v>44148</v>
      </c>
      <c r="J4066">
        <v>8.49</v>
      </c>
      <c r="K4066" s="133">
        <v>8.0755484126548163E-2</v>
      </c>
      <c r="L4066" s="181">
        <v>518.47999999999956</v>
      </c>
      <c r="M4066" s="133">
        <v>0.10857712762430399</v>
      </c>
      <c r="N4066" s="73">
        <v>-15506.175400000408</v>
      </c>
      <c r="O4066" s="73">
        <v>-1836.3059611730343</v>
      </c>
      <c r="P4066" s="182">
        <v>1</v>
      </c>
      <c r="Q4066" s="182">
        <v>2920</v>
      </c>
      <c r="R4066" s="46">
        <v>0</v>
      </c>
      <c r="S4066" s="46">
        <v>6</v>
      </c>
      <c r="T4066" s="46">
        <v>3500</v>
      </c>
      <c r="U4066" s="46">
        <v>8.4719999999999995</v>
      </c>
      <c r="V4066" s="46" t="s">
        <v>68</v>
      </c>
      <c r="W4066" s="46">
        <v>580</v>
      </c>
      <c r="X4066" s="46">
        <v>51.124000000000002</v>
      </c>
      <c r="AF4066" s="46">
        <v>92</v>
      </c>
      <c r="AG4066" s="46">
        <v>43200</v>
      </c>
      <c r="AH4066" s="46">
        <v>450589.91999999923</v>
      </c>
      <c r="AI4066" s="46">
        <v>10.43</v>
      </c>
      <c r="AJ4066" s="46">
        <v>89</v>
      </c>
      <c r="AK4066" s="46">
        <v>37420</v>
      </c>
      <c r="AL4066" s="46">
        <v>361612.24859999947</v>
      </c>
      <c r="AM4066" s="46">
        <v>9.6639999999999997</v>
      </c>
      <c r="AN4066" s="46" t="s">
        <v>63</v>
      </c>
      <c r="AO4066" s="46">
        <v>5780</v>
      </c>
      <c r="AP4066" s="46">
        <v>88977.671000000002</v>
      </c>
      <c r="AQ4066" s="46">
        <v>15.394</v>
      </c>
      <c r="AR4066" s="46">
        <v>-28663.72</v>
      </c>
      <c r="AS4066" s="46">
        <v>93</v>
      </c>
      <c r="AT4066" s="46">
        <v>46120</v>
      </c>
      <c r="AU4066" s="46">
        <v>450596.67199999921</v>
      </c>
      <c r="AV4066" s="46">
        <v>9.77</v>
      </c>
      <c r="AW4066" s="46">
        <v>95</v>
      </c>
      <c r="AX4066" s="46">
        <v>40920</v>
      </c>
      <c r="AY4066" s="46">
        <v>391202.49659999949</v>
      </c>
      <c r="AZ4066" s="46">
        <v>9.56</v>
      </c>
      <c r="BA4066" s="46" t="s">
        <v>63</v>
      </c>
      <c r="BB4066" s="46">
        <v>5200</v>
      </c>
      <c r="BC4066" s="46">
        <v>59394.175000000003</v>
      </c>
      <c r="BD4066" s="46">
        <v>11.422000000000001</v>
      </c>
      <c r="BE4066" s="46">
        <v>-8593.2000000000007</v>
      </c>
      <c r="BF4066" s="46">
        <v>6.7519999999785796</v>
      </c>
      <c r="BG4066" s="46">
        <v>0</v>
      </c>
      <c r="BH4066" s="46">
        <v>29590.248000000021</v>
      </c>
      <c r="BI4066">
        <v>8.4499999999999993</v>
      </c>
      <c r="BJ4066">
        <v>-29583.495999999999</v>
      </c>
      <c r="BK4066">
        <v>-51.01</v>
      </c>
      <c r="BL4066">
        <v>-3376.17</v>
      </c>
    </row>
    <row r="4067" spans="1:64" x14ac:dyDescent="0.25">
      <c r="A4067" s="136">
        <v>44033</v>
      </c>
      <c r="B4067" t="s">
        <v>749</v>
      </c>
      <c r="C4067" t="s">
        <v>750</v>
      </c>
      <c r="D4067">
        <v>500</v>
      </c>
      <c r="E4067">
        <v>500</v>
      </c>
      <c r="F4067">
        <v>5.65</v>
      </c>
      <c r="G4067">
        <v>575</v>
      </c>
      <c r="H4067">
        <v>20.353999999999999</v>
      </c>
      <c r="I4067">
        <v>3400</v>
      </c>
      <c r="J4067">
        <v>6.8</v>
      </c>
      <c r="K4067" s="133">
        <v>6.2192771140315243E-3</v>
      </c>
      <c r="L4067" s="181">
        <v>-5</v>
      </c>
      <c r="M4067" s="133">
        <v>5.1674876020997226E-3</v>
      </c>
    </row>
    <row r="4068" spans="1:64" x14ac:dyDescent="0.25">
      <c r="A4068" s="136">
        <v>44033</v>
      </c>
      <c r="B4068" t="s">
        <v>776</v>
      </c>
      <c r="C4068" t="s">
        <v>777</v>
      </c>
      <c r="D4068">
        <v>1</v>
      </c>
      <c r="E4068">
        <v>1</v>
      </c>
      <c r="F4068">
        <v>-137.5</v>
      </c>
      <c r="G4068">
        <v>215.74</v>
      </c>
      <c r="H4068">
        <v>0</v>
      </c>
      <c r="I4068">
        <v>78.239999999999995</v>
      </c>
      <c r="J4068">
        <v>78.239999999999995</v>
      </c>
      <c r="K4068" s="133">
        <v>1.4311654158877249E-4</v>
      </c>
      <c r="L4068" s="181">
        <v>-0.94999999999998863</v>
      </c>
      <c r="M4068" s="133">
        <v>0</v>
      </c>
    </row>
    <row r="4069" spans="1:64" x14ac:dyDescent="0.25">
      <c r="A4069" s="136">
        <v>44033</v>
      </c>
      <c r="B4069" t="s">
        <v>65</v>
      </c>
      <c r="C4069" t="s">
        <v>82</v>
      </c>
      <c r="D4069">
        <v>21200</v>
      </c>
      <c r="E4069">
        <v>21200</v>
      </c>
      <c r="F4069">
        <v>8.5</v>
      </c>
      <c r="G4069">
        <v>-30111.94</v>
      </c>
      <c r="H4069">
        <v>-16.71</v>
      </c>
      <c r="I4069">
        <v>150096</v>
      </c>
      <c r="J4069">
        <v>7.08</v>
      </c>
      <c r="K4069" s="133">
        <v>0.27455547579637518</v>
      </c>
      <c r="L4069" s="181">
        <v>-1484</v>
      </c>
      <c r="M4069" s="133">
        <v>0.32963621088493122</v>
      </c>
      <c r="N4069" s="73">
        <v>-32473.866000000155</v>
      </c>
      <c r="O4069" s="73">
        <v>-3930.0162264644759</v>
      </c>
      <c r="P4069" s="182">
        <v>0</v>
      </c>
      <c r="Q4069" s="182">
        <v>0</v>
      </c>
      <c r="R4069" s="46">
        <v>0</v>
      </c>
      <c r="S4069" s="46">
        <v>3</v>
      </c>
      <c r="T4069" s="46">
        <v>5300</v>
      </c>
      <c r="U4069" s="46">
        <v>7.4279999999999999</v>
      </c>
      <c r="V4069" s="46" t="s">
        <v>68</v>
      </c>
      <c r="W4069" s="46">
        <v>5300</v>
      </c>
      <c r="X4069" s="46">
        <v>7.4279999999999999</v>
      </c>
      <c r="AF4069" s="46">
        <v>297</v>
      </c>
      <c r="AG4069" s="46">
        <v>157300</v>
      </c>
      <c r="AH4069" s="46">
        <v>1585874.6810000001</v>
      </c>
      <c r="AI4069" s="46">
        <v>10.082000000000001</v>
      </c>
      <c r="AJ4069" s="46">
        <v>331</v>
      </c>
      <c r="AK4069" s="46">
        <v>140100</v>
      </c>
      <c r="AL4069" s="46">
        <v>1349733.9240000001</v>
      </c>
      <c r="AM4069" s="46">
        <v>9.6340000000000003</v>
      </c>
      <c r="AN4069" s="46" t="s">
        <v>63</v>
      </c>
      <c r="AO4069" s="46">
        <v>17200</v>
      </c>
      <c r="AP4069" s="46">
        <v>236140.75700000001</v>
      </c>
      <c r="AQ4069" s="46">
        <v>13.728999999999999</v>
      </c>
      <c r="AR4069" s="46">
        <v>-62764.800000000003</v>
      </c>
      <c r="AS4069" s="46">
        <v>301</v>
      </c>
      <c r="AT4069" s="46">
        <v>159100</v>
      </c>
      <c r="AU4069" s="46">
        <v>1598436.6810000001</v>
      </c>
      <c r="AV4069" s="46">
        <v>10.047000000000001</v>
      </c>
      <c r="AW4069" s="46">
        <v>338</v>
      </c>
      <c r="AX4069" s="46">
        <v>147000</v>
      </c>
      <c r="AY4069" s="46">
        <v>1402103.0489999999</v>
      </c>
      <c r="AZ4069" s="46">
        <v>9.5380000000000003</v>
      </c>
      <c r="BA4069" s="46" t="s">
        <v>63</v>
      </c>
      <c r="BB4069" s="46">
        <v>12100</v>
      </c>
      <c r="BC4069" s="46">
        <v>196333.63200000001</v>
      </c>
      <c r="BD4069" s="46">
        <v>16.225999999999999</v>
      </c>
      <c r="BE4069" s="46">
        <v>-74823</v>
      </c>
      <c r="BF4069" s="46">
        <v>12562</v>
      </c>
      <c r="BH4069" s="46">
        <v>52369.124999999767</v>
      </c>
      <c r="BI4069">
        <v>9.8800000000000008</v>
      </c>
      <c r="BJ4069">
        <v>-39807.125</v>
      </c>
      <c r="BK4069">
        <v>-7.51</v>
      </c>
      <c r="BL4069">
        <v>-8865.08</v>
      </c>
    </row>
    <row r="4070" spans="1:64" x14ac:dyDescent="0.25">
      <c r="A4070" s="136">
        <v>44033</v>
      </c>
      <c r="B4070" t="s">
        <v>77</v>
      </c>
      <c r="C4070" t="s">
        <v>150</v>
      </c>
      <c r="D4070">
        <v>7100</v>
      </c>
      <c r="E4070">
        <v>7100</v>
      </c>
      <c r="F4070">
        <v>4.9000000000000004</v>
      </c>
      <c r="G4070">
        <v>-14060.73</v>
      </c>
      <c r="H4070">
        <v>-40.42</v>
      </c>
      <c r="I4070">
        <v>20732</v>
      </c>
      <c r="J4070">
        <v>2.92</v>
      </c>
      <c r="K4070" s="133">
        <v>3.7922956802382814E-2</v>
      </c>
      <c r="L4070" s="181">
        <v>-142</v>
      </c>
      <c r="M4070" s="133">
        <v>6.3642832183434708E-2</v>
      </c>
      <c r="N4070" s="73">
        <v>-14565.683999999979</v>
      </c>
      <c r="O4070" s="73">
        <v>-4814.6065609588977</v>
      </c>
      <c r="P4070" s="182">
        <v>9</v>
      </c>
      <c r="Q4070" s="182">
        <v>4300</v>
      </c>
      <c r="R4070" s="46">
        <v>3.806</v>
      </c>
      <c r="S4070" s="46">
        <v>1</v>
      </c>
      <c r="T4070" s="46">
        <v>1000</v>
      </c>
      <c r="U4070" s="46">
        <v>3.47</v>
      </c>
      <c r="V4070" s="46" t="s">
        <v>62</v>
      </c>
      <c r="W4070" s="46">
        <v>3300</v>
      </c>
      <c r="X4070" s="46">
        <v>3.9079999999999999</v>
      </c>
      <c r="AF4070" s="46">
        <v>68</v>
      </c>
      <c r="AG4070" s="46">
        <v>33600</v>
      </c>
      <c r="AH4070" s="46">
        <v>204829</v>
      </c>
      <c r="AI4070" s="46">
        <v>6.0960000000000001</v>
      </c>
      <c r="AJ4070" s="46">
        <v>68</v>
      </c>
      <c r="AK4070" s="46">
        <v>29800</v>
      </c>
      <c r="AL4070" s="46">
        <v>182690.78600000008</v>
      </c>
      <c r="AM4070" s="46">
        <v>6.1310000000000002</v>
      </c>
      <c r="AN4070" s="46" t="s">
        <v>63</v>
      </c>
      <c r="AO4070" s="46">
        <v>3800</v>
      </c>
      <c r="AP4070" s="46">
        <v>22138.214</v>
      </c>
      <c r="AQ4070" s="46">
        <v>5.8259999999999996</v>
      </c>
      <c r="AR4070" s="46">
        <v>1043</v>
      </c>
      <c r="AS4070" s="46">
        <v>77</v>
      </c>
      <c r="AT4070" s="46">
        <v>37900</v>
      </c>
      <c r="AU4070" s="46">
        <v>220950</v>
      </c>
      <c r="AV4070" s="46">
        <v>5.83</v>
      </c>
      <c r="AW4070" s="46">
        <v>69</v>
      </c>
      <c r="AX4070" s="46">
        <v>30800</v>
      </c>
      <c r="AY4070" s="46">
        <v>186152.31600000008</v>
      </c>
      <c r="AZ4070" s="46">
        <v>6.0439999999999996</v>
      </c>
      <c r="BA4070" s="46" t="s">
        <v>63</v>
      </c>
      <c r="BB4070" s="46">
        <v>7100</v>
      </c>
      <c r="BC4070" s="46">
        <v>34797.684000000001</v>
      </c>
      <c r="BD4070" s="46">
        <v>4.9009999999999998</v>
      </c>
      <c r="BE4070" s="46">
        <v>6591.2</v>
      </c>
      <c r="BF4070" s="46">
        <v>16121</v>
      </c>
      <c r="BG4070" s="46">
        <v>3.75</v>
      </c>
      <c r="BH4070" s="46">
        <v>3461.5299999999988</v>
      </c>
      <c r="BI4070">
        <v>3.46</v>
      </c>
      <c r="BJ4070">
        <v>12659.470000000001</v>
      </c>
      <c r="BK4070">
        <v>3.84</v>
      </c>
      <c r="BL4070">
        <v>357.19</v>
      </c>
    </row>
    <row r="4071" spans="1:64" x14ac:dyDescent="0.25">
      <c r="A4071" s="136">
        <v>44033</v>
      </c>
      <c r="B4071" t="s">
        <v>72</v>
      </c>
      <c r="C4071" t="s">
        <v>130</v>
      </c>
      <c r="D4071">
        <v>100</v>
      </c>
      <c r="E4071">
        <v>100</v>
      </c>
      <c r="F4071">
        <v>1.53</v>
      </c>
      <c r="G4071">
        <v>383</v>
      </c>
      <c r="H4071">
        <v>250.33</v>
      </c>
      <c r="I4071">
        <v>536</v>
      </c>
      <c r="J4071">
        <v>5.36</v>
      </c>
      <c r="K4071" s="133">
        <v>9.8045074503555789E-4</v>
      </c>
      <c r="L4071" s="181">
        <v>1</v>
      </c>
      <c r="M4071" s="133">
        <v>2.798674701314186E-4</v>
      </c>
      <c r="N4071" s="73">
        <v>-1498.9659999999872</v>
      </c>
      <c r="O4071" s="73">
        <v>376.42007904191922</v>
      </c>
      <c r="P4071" s="182">
        <v>0</v>
      </c>
      <c r="Q4071" s="182">
        <v>0</v>
      </c>
      <c r="R4071" s="46">
        <v>0</v>
      </c>
      <c r="S4071" s="46">
        <v>20</v>
      </c>
      <c r="T4071" s="46">
        <v>8600</v>
      </c>
      <c r="U4071" s="46">
        <v>7.3840000000000003</v>
      </c>
      <c r="V4071" s="46" t="s">
        <v>68</v>
      </c>
      <c r="W4071" s="46">
        <v>8600</v>
      </c>
      <c r="X4071" s="46">
        <v>7.3840000000000003</v>
      </c>
      <c r="AF4071" s="46">
        <v>42</v>
      </c>
      <c r="AG4071" s="46">
        <v>20900</v>
      </c>
      <c r="AH4071" s="46">
        <v>152800</v>
      </c>
      <c r="AI4071" s="46">
        <v>7.3109999999999999</v>
      </c>
      <c r="AJ4071" s="46">
        <v>42</v>
      </c>
      <c r="AK4071" s="46">
        <v>18800</v>
      </c>
      <c r="AL4071" s="46">
        <v>92037.725000000035</v>
      </c>
      <c r="AM4071" s="46">
        <v>4.8959999999999999</v>
      </c>
      <c r="AN4071" s="46" t="s">
        <v>63</v>
      </c>
      <c r="AO4071" s="46">
        <v>2100</v>
      </c>
      <c r="AP4071" s="46">
        <v>60762.275000000001</v>
      </c>
      <c r="AQ4071" s="46">
        <v>28.934000000000001</v>
      </c>
      <c r="AR4071" s="46">
        <v>-45402</v>
      </c>
      <c r="AS4071" s="46">
        <v>42</v>
      </c>
      <c r="AT4071" s="46">
        <v>20900</v>
      </c>
      <c r="AU4071" s="46">
        <v>152800</v>
      </c>
      <c r="AV4071" s="46">
        <v>7.3109999999999999</v>
      </c>
      <c r="AW4071" s="46">
        <v>63</v>
      </c>
      <c r="AX4071" s="46">
        <v>27900</v>
      </c>
      <c r="AY4071" s="46">
        <v>155380.21900000001</v>
      </c>
      <c r="AZ4071" s="46">
        <v>5.569</v>
      </c>
      <c r="BA4071" s="46" t="s">
        <v>69</v>
      </c>
      <c r="BB4071" s="46">
        <v>7000</v>
      </c>
      <c r="BC4071" s="46">
        <v>2580.2190000000001</v>
      </c>
      <c r="BD4071" s="46">
        <v>0.36899999999999999</v>
      </c>
      <c r="BE4071" s="46">
        <v>-36407.800000000003</v>
      </c>
      <c r="BF4071" s="46">
        <v>0</v>
      </c>
      <c r="BH4071" s="46">
        <v>63342.493999999977</v>
      </c>
      <c r="BI4071">
        <v>7.37</v>
      </c>
      <c r="BJ4071">
        <v>-58182.056000000004</v>
      </c>
      <c r="BK4071">
        <v>-6.77</v>
      </c>
      <c r="BL4071">
        <v>-8470.52</v>
      </c>
    </row>
    <row r="4072" spans="1:64" x14ac:dyDescent="0.25">
      <c r="A4072" s="136">
        <v>44033</v>
      </c>
      <c r="B4072" t="s">
        <v>70</v>
      </c>
      <c r="C4072" t="s">
        <v>131</v>
      </c>
      <c r="D4072">
        <v>12080</v>
      </c>
      <c r="E4072">
        <v>12080</v>
      </c>
      <c r="F4072">
        <v>8.3469999999999995</v>
      </c>
      <c r="G4072">
        <v>-12891.63</v>
      </c>
      <c r="H4072">
        <v>-12.79</v>
      </c>
      <c r="I4072">
        <v>87942.399999999994</v>
      </c>
      <c r="J4072">
        <v>7.28</v>
      </c>
      <c r="K4072" s="133">
        <v>0.16086416343323703</v>
      </c>
      <c r="L4072" s="181">
        <v>-1036.1999999999989</v>
      </c>
      <c r="M4072" s="133">
        <v>0.1844455220866377</v>
      </c>
      <c r="N4072" s="73">
        <v>-13503.540999999983</v>
      </c>
      <c r="O4072" s="73">
        <v>-1866.7758270401082</v>
      </c>
      <c r="P4072" s="182">
        <v>0</v>
      </c>
      <c r="Q4072" s="182">
        <v>0</v>
      </c>
      <c r="R4072" s="46">
        <v>0</v>
      </c>
      <c r="S4072" s="46">
        <v>12</v>
      </c>
      <c r="T4072" s="46">
        <v>6400</v>
      </c>
      <c r="U4072" s="46">
        <v>7.3310000000000004</v>
      </c>
      <c r="V4072" s="46" t="s">
        <v>68</v>
      </c>
      <c r="W4072" s="46">
        <v>6400</v>
      </c>
      <c r="X4072" s="46">
        <v>7.3310000000000004</v>
      </c>
      <c r="AF4072" s="46">
        <v>225</v>
      </c>
      <c r="AG4072" s="46">
        <v>111980</v>
      </c>
      <c r="AH4072" s="46">
        <v>1224209</v>
      </c>
      <c r="AI4072" s="46">
        <v>10.932</v>
      </c>
      <c r="AJ4072" s="46">
        <v>232</v>
      </c>
      <c r="AK4072" s="46">
        <v>93500</v>
      </c>
      <c r="AL4072" s="46">
        <v>1074353.9789999996</v>
      </c>
      <c r="AM4072" s="46">
        <v>11.49</v>
      </c>
      <c r="AN4072" s="46" t="s">
        <v>63</v>
      </c>
      <c r="AO4072" s="46">
        <v>18480</v>
      </c>
      <c r="AP4072" s="46">
        <v>149855.02100000001</v>
      </c>
      <c r="AQ4072" s="46">
        <v>8.109</v>
      </c>
      <c r="AR4072" s="46">
        <v>52173</v>
      </c>
      <c r="AS4072" s="46">
        <v>225</v>
      </c>
      <c r="AT4072" s="46">
        <v>111980</v>
      </c>
      <c r="AU4072" s="46">
        <v>1224209</v>
      </c>
      <c r="AV4072" s="46">
        <v>10.932</v>
      </c>
      <c r="AW4072" s="46">
        <v>245</v>
      </c>
      <c r="AX4072" s="46">
        <v>99900</v>
      </c>
      <c r="AY4072" s="46">
        <v>1121597.0589999997</v>
      </c>
      <c r="AZ4072" s="46">
        <v>11.227</v>
      </c>
      <c r="BA4072" s="46" t="s">
        <v>63</v>
      </c>
      <c r="BB4072" s="46">
        <v>12080</v>
      </c>
      <c r="BC4072" s="46">
        <v>102611.94100000001</v>
      </c>
      <c r="BD4072" s="46">
        <v>8.4939999999999998</v>
      </c>
      <c r="BE4072" s="46">
        <v>29470.5</v>
      </c>
      <c r="BF4072" s="46">
        <v>0</v>
      </c>
      <c r="BH4072" s="46">
        <v>47243.080000000075</v>
      </c>
      <c r="BI4072">
        <v>7.38</v>
      </c>
      <c r="BJ4072">
        <v>-47243.08</v>
      </c>
      <c r="BK4072">
        <v>-7.38</v>
      </c>
      <c r="BL4072">
        <v>7166.62</v>
      </c>
    </row>
    <row r="4073" spans="1:64" x14ac:dyDescent="0.25">
      <c r="A4073" s="136">
        <v>44033</v>
      </c>
      <c r="B4073" t="s">
        <v>628</v>
      </c>
      <c r="C4073" t="s">
        <v>629</v>
      </c>
      <c r="D4073">
        <v>100</v>
      </c>
      <c r="E4073">
        <v>100</v>
      </c>
      <c r="F4073">
        <v>0.95</v>
      </c>
      <c r="G4073">
        <v>1512</v>
      </c>
      <c r="H4073">
        <v>1591.58</v>
      </c>
      <c r="I4073">
        <v>1607</v>
      </c>
      <c r="J4073">
        <v>16.07</v>
      </c>
      <c r="K4073" s="133">
        <v>2.939523035955488E-3</v>
      </c>
      <c r="L4073" s="181">
        <v>-32</v>
      </c>
      <c r="M4073" s="133">
        <v>1.7377391936264553E-4</v>
      </c>
    </row>
    <row r="4074" spans="1:64" x14ac:dyDescent="0.25">
      <c r="A4074" s="136">
        <v>44033</v>
      </c>
      <c r="B4074" t="s">
        <v>768</v>
      </c>
      <c r="C4074" t="s">
        <v>769</v>
      </c>
      <c r="D4074">
        <v>500</v>
      </c>
      <c r="E4074">
        <v>500</v>
      </c>
      <c r="F4074">
        <v>2.4140000000000001</v>
      </c>
      <c r="G4074">
        <v>348</v>
      </c>
      <c r="H4074">
        <v>28.83</v>
      </c>
      <c r="I4074">
        <v>1555</v>
      </c>
      <c r="J4074">
        <v>3.11</v>
      </c>
      <c r="K4074" s="133">
        <v>2.8444046800938294E-3</v>
      </c>
      <c r="L4074" s="181">
        <v>-10</v>
      </c>
      <c r="M4074" s="133">
        <v>2.207843375481191E-3</v>
      </c>
    </row>
    <row r="4075" spans="1:64" x14ac:dyDescent="0.25">
      <c r="A4075" s="136">
        <v>44033</v>
      </c>
      <c r="B4075" t="s">
        <v>837</v>
      </c>
      <c r="C4075" t="s">
        <v>838</v>
      </c>
      <c r="D4075">
        <v>20</v>
      </c>
      <c r="E4075">
        <v>20</v>
      </c>
      <c r="F4075">
        <v>100</v>
      </c>
      <c r="G4075">
        <v>0</v>
      </c>
      <c r="H4075">
        <v>0</v>
      </c>
      <c r="I4075">
        <v>2000</v>
      </c>
      <c r="J4075">
        <v>100</v>
      </c>
      <c r="K4075" s="133">
        <v>3.6583983023714848E-3</v>
      </c>
      <c r="L4075" s="181">
        <v>0</v>
      </c>
      <c r="M4075" s="133">
        <v>3.6583983023714848E-3</v>
      </c>
    </row>
    <row r="4076" spans="1:64" x14ac:dyDescent="0.25">
      <c r="A4076" s="136">
        <v>44033</v>
      </c>
      <c r="B4076" t="s">
        <v>137</v>
      </c>
      <c r="C4076" t="s">
        <v>149</v>
      </c>
      <c r="D4076">
        <v>150</v>
      </c>
      <c r="E4076">
        <v>150</v>
      </c>
      <c r="F4076">
        <v>1</v>
      </c>
      <c r="G4076">
        <v>5670</v>
      </c>
      <c r="H4076">
        <v>3780</v>
      </c>
      <c r="I4076">
        <v>5820</v>
      </c>
      <c r="J4076">
        <v>38.799999999999997</v>
      </c>
      <c r="K4076" s="133">
        <v>1.0645939059901022E-2</v>
      </c>
      <c r="L4076" s="181">
        <v>111</v>
      </c>
      <c r="M4076" s="133">
        <v>2.7437987267786134E-4</v>
      </c>
    </row>
    <row r="4077" spans="1:64" x14ac:dyDescent="0.25">
      <c r="A4077" s="136">
        <v>44033</v>
      </c>
      <c r="B4077" t="s">
        <v>863</v>
      </c>
      <c r="C4077" t="s">
        <v>864</v>
      </c>
      <c r="D4077">
        <v>500</v>
      </c>
      <c r="E4077">
        <v>500</v>
      </c>
      <c r="F4077">
        <v>10.51</v>
      </c>
      <c r="G4077">
        <v>0</v>
      </c>
      <c r="H4077">
        <v>0</v>
      </c>
      <c r="I4077">
        <v>5255</v>
      </c>
      <c r="J4077">
        <v>10.51</v>
      </c>
      <c r="K4077" s="133">
        <v>9.6124415394810772E-3</v>
      </c>
      <c r="L4077" s="181">
        <v>0</v>
      </c>
      <c r="M4077" s="133">
        <v>9.6124415394810772E-3</v>
      </c>
    </row>
    <row r="4078" spans="1:64" x14ac:dyDescent="0.25">
      <c r="A4078" s="136">
        <v>44033</v>
      </c>
      <c r="B4078" t="s">
        <v>865</v>
      </c>
      <c r="C4078" t="s">
        <v>866</v>
      </c>
      <c r="D4078">
        <v>10</v>
      </c>
      <c r="E4078">
        <v>0</v>
      </c>
      <c r="F4078">
        <v>100</v>
      </c>
      <c r="G4078">
        <v>0</v>
      </c>
      <c r="H4078">
        <v>0</v>
      </c>
      <c r="I4078">
        <v>1000</v>
      </c>
      <c r="J4078">
        <v>100</v>
      </c>
      <c r="K4078" s="133">
        <v>1.8291991511857424E-3</v>
      </c>
      <c r="L4078" s="181">
        <v>0</v>
      </c>
      <c r="M4078" s="133">
        <v>1.8291991511857424E-3</v>
      </c>
    </row>
    <row r="4079" spans="1:64" x14ac:dyDescent="0.25">
      <c r="A4079" s="136">
        <v>44033</v>
      </c>
      <c r="B4079" t="s">
        <v>835</v>
      </c>
      <c r="C4079" t="s">
        <v>839</v>
      </c>
      <c r="I4079">
        <v>232364.15</v>
      </c>
      <c r="K4079" s="133">
        <v>5.9200475708848045E-2</v>
      </c>
      <c r="L4079" s="181">
        <v>0</v>
      </c>
      <c r="M4079" s="133">
        <v>0.28543288171686726</v>
      </c>
    </row>
    <row r="4080" spans="1:64" x14ac:dyDescent="0.25">
      <c r="A4080" s="136">
        <v>44038</v>
      </c>
      <c r="B4080" t="s">
        <v>132</v>
      </c>
      <c r="C4080" t="s">
        <v>123</v>
      </c>
      <c r="D4080">
        <v>13605882</v>
      </c>
      <c r="E4080">
        <v>13605882</v>
      </c>
      <c r="F4080">
        <v>0.01</v>
      </c>
      <c r="G4080">
        <v>89.82</v>
      </c>
      <c r="H4080">
        <v>0</v>
      </c>
      <c r="I4080">
        <v>136058.82</v>
      </c>
      <c r="J4080">
        <v>0.01</v>
      </c>
      <c r="K4080" s="133">
        <v>0.25572566574204164</v>
      </c>
      <c r="L4080" s="181">
        <v>16.279999999999987</v>
      </c>
      <c r="M4080" s="133">
        <v>0</v>
      </c>
    </row>
    <row r="4081" spans="1:64" x14ac:dyDescent="0.25">
      <c r="A4081" s="136">
        <v>44038</v>
      </c>
      <c r="B4081" t="s">
        <v>61</v>
      </c>
      <c r="C4081" t="s">
        <v>136</v>
      </c>
      <c r="D4081">
        <v>3500</v>
      </c>
      <c r="E4081">
        <v>3500</v>
      </c>
      <c r="F4081">
        <v>4.3079999999999998</v>
      </c>
      <c r="G4081">
        <v>-2651.64</v>
      </c>
      <c r="H4081">
        <v>-17.59</v>
      </c>
      <c r="I4081">
        <v>12425</v>
      </c>
      <c r="J4081">
        <v>3.55</v>
      </c>
      <c r="K4081" s="133">
        <v>2.3353071832056659E-2</v>
      </c>
      <c r="L4081" s="181">
        <v>-350</v>
      </c>
      <c r="M4081" s="133">
        <v>2.833688989183571E-2</v>
      </c>
      <c r="N4081" s="73">
        <v>-2546.1590000000033</v>
      </c>
      <c r="O4081" s="73">
        <v>-710.86198896648148</v>
      </c>
      <c r="P4081" s="182">
        <v>4</v>
      </c>
      <c r="Q4081" s="182">
        <v>2000</v>
      </c>
      <c r="R4081" s="46">
        <v>4.07</v>
      </c>
      <c r="S4081" s="46">
        <v>1</v>
      </c>
      <c r="T4081" s="46">
        <v>1400</v>
      </c>
      <c r="U4081" s="46">
        <v>3.85</v>
      </c>
      <c r="V4081" s="46" t="s">
        <v>62</v>
      </c>
      <c r="W4081" s="46">
        <v>600</v>
      </c>
      <c r="X4081" s="46">
        <v>4.5830000000000002</v>
      </c>
      <c r="AF4081" s="46">
        <v>30</v>
      </c>
      <c r="AG4081" s="46">
        <v>15000</v>
      </c>
      <c r="AH4081" s="46">
        <v>69729.000000000015</v>
      </c>
      <c r="AI4081" s="46">
        <v>4.649</v>
      </c>
      <c r="AJ4081" s="46">
        <v>30</v>
      </c>
      <c r="AK4081" s="46">
        <v>12100</v>
      </c>
      <c r="AL4081" s="46">
        <v>56975.270999999979</v>
      </c>
      <c r="AM4081" s="46">
        <v>4.7089999999999996</v>
      </c>
      <c r="AN4081" s="46" t="s">
        <v>63</v>
      </c>
      <c r="AO4081" s="46">
        <v>2900</v>
      </c>
      <c r="AP4081" s="46">
        <v>12753.728999999999</v>
      </c>
      <c r="AQ4081" s="46">
        <v>4.3979999999999997</v>
      </c>
      <c r="AR4081" s="46">
        <v>726</v>
      </c>
      <c r="AS4081" s="46">
        <v>34</v>
      </c>
      <c r="AT4081" s="46">
        <v>17000</v>
      </c>
      <c r="AU4081" s="46">
        <v>77890.200000000026</v>
      </c>
      <c r="AV4081" s="46">
        <v>4.5819999999999999</v>
      </c>
      <c r="AW4081" s="46">
        <v>31</v>
      </c>
      <c r="AX4081" s="46">
        <v>13500</v>
      </c>
      <c r="AY4081" s="46">
        <v>62814.040999999983</v>
      </c>
      <c r="AZ4081" s="46">
        <v>4.6529999999999996</v>
      </c>
      <c r="BA4081" s="46" t="s">
        <v>63</v>
      </c>
      <c r="BB4081" s="46">
        <v>3500</v>
      </c>
      <c r="BC4081" s="46">
        <v>15076.159</v>
      </c>
      <c r="BD4081" s="46">
        <v>4.3070000000000004</v>
      </c>
      <c r="BE4081" s="46">
        <v>958.5</v>
      </c>
      <c r="BF4081" s="46">
        <v>8161.2000000000116</v>
      </c>
      <c r="BG4081" s="46">
        <v>4.08</v>
      </c>
      <c r="BH4081" s="46">
        <v>5838.7700000000041</v>
      </c>
      <c r="BI4081">
        <v>4.17</v>
      </c>
      <c r="BJ4081">
        <v>2322.4300000000003</v>
      </c>
      <c r="BK4081">
        <v>3.87</v>
      </c>
      <c r="BL4081">
        <v>204.51</v>
      </c>
    </row>
    <row r="4082" spans="1:64" x14ac:dyDescent="0.25">
      <c r="A4082" s="136">
        <v>44038</v>
      </c>
      <c r="B4082" t="s">
        <v>124</v>
      </c>
      <c r="C4082" t="s">
        <v>125</v>
      </c>
      <c r="D4082">
        <v>100</v>
      </c>
      <c r="E4082">
        <v>100</v>
      </c>
      <c r="F4082">
        <v>0.73699999999999999</v>
      </c>
      <c r="G4082">
        <v>424.28</v>
      </c>
      <c r="H4082">
        <v>575.69000000000005</v>
      </c>
      <c r="I4082">
        <v>498</v>
      </c>
      <c r="J4082">
        <v>4.9800000000000004</v>
      </c>
      <c r="K4082" s="133">
        <v>9.3600239616613409E-4</v>
      </c>
      <c r="L4082" s="181">
        <v>-12</v>
      </c>
      <c r="M4082" s="133">
        <v>1.3855842699872977E-4</v>
      </c>
      <c r="N4082" s="73">
        <v>5623.0690000000113</v>
      </c>
      <c r="O4082" s="73">
        <v>1111.8087987827732</v>
      </c>
      <c r="P4082" s="182">
        <v>0</v>
      </c>
      <c r="Q4082" s="182">
        <v>0</v>
      </c>
      <c r="R4082" s="46">
        <v>0</v>
      </c>
      <c r="S4082" s="46">
        <v>5</v>
      </c>
      <c r="T4082" s="46">
        <v>2300</v>
      </c>
      <c r="U4082" s="46">
        <v>4.99</v>
      </c>
      <c r="V4082" s="46" t="s">
        <v>68</v>
      </c>
      <c r="W4082" s="46">
        <v>2300</v>
      </c>
      <c r="X4082" s="46">
        <v>4.99</v>
      </c>
      <c r="AF4082" s="46">
        <v>50</v>
      </c>
      <c r="AG4082" s="46">
        <v>36700</v>
      </c>
      <c r="AH4082" s="46">
        <v>180101.02000000002</v>
      </c>
      <c r="AI4082" s="46">
        <v>4.907</v>
      </c>
      <c r="AJ4082" s="46">
        <v>58</v>
      </c>
      <c r="AK4082" s="46">
        <v>35300</v>
      </c>
      <c r="AL4082" s="46">
        <v>178266.546</v>
      </c>
      <c r="AM4082" s="46">
        <v>5.05</v>
      </c>
      <c r="AN4082" s="46" t="s">
        <v>63</v>
      </c>
      <c r="AO4082" s="46">
        <v>1400</v>
      </c>
      <c r="AP4082" s="46">
        <v>1834.4739999999999</v>
      </c>
      <c r="AQ4082" s="46">
        <v>1.31</v>
      </c>
      <c r="AR4082" s="46">
        <v>5047.8999999999996</v>
      </c>
      <c r="AS4082" s="46">
        <v>51</v>
      </c>
      <c r="AT4082" s="46">
        <v>37700</v>
      </c>
      <c r="AU4082" s="46">
        <v>185106.62</v>
      </c>
      <c r="AV4082" s="46">
        <v>4.91</v>
      </c>
      <c r="AW4082" s="46">
        <v>63</v>
      </c>
      <c r="AX4082" s="46">
        <v>37600</v>
      </c>
      <c r="AY4082" s="46">
        <v>189763.68900000001</v>
      </c>
      <c r="AZ4082" s="46">
        <v>5.0469999999999997</v>
      </c>
      <c r="BA4082" s="46" t="s">
        <v>63</v>
      </c>
      <c r="BB4082" s="46">
        <v>100</v>
      </c>
      <c r="BC4082" s="46">
        <v>4657.0690000000004</v>
      </c>
      <c r="BD4082" s="46">
        <v>46.570999999999998</v>
      </c>
      <c r="BE4082" s="46">
        <v>5151.2</v>
      </c>
      <c r="BF4082" s="46">
        <v>5005.5999999999767</v>
      </c>
      <c r="BH4082" s="46">
        <v>11497.143000000011</v>
      </c>
      <c r="BI4082">
        <v>5</v>
      </c>
      <c r="BJ4082">
        <v>2822.5950000000003</v>
      </c>
      <c r="BK4082">
        <v>1.23</v>
      </c>
      <c r="BL4082">
        <v>1013.63</v>
      </c>
    </row>
    <row r="4083" spans="1:64" x14ac:dyDescent="0.25">
      <c r="A4083" s="136">
        <v>44038</v>
      </c>
      <c r="B4083" t="s">
        <v>71</v>
      </c>
      <c r="C4083" t="s">
        <v>126</v>
      </c>
      <c r="D4083">
        <v>4700</v>
      </c>
      <c r="E4083">
        <v>4700</v>
      </c>
      <c r="F4083">
        <v>4.0659999999999998</v>
      </c>
      <c r="G4083">
        <v>4953.84</v>
      </c>
      <c r="H4083">
        <v>25.92</v>
      </c>
      <c r="I4083">
        <v>24064</v>
      </c>
      <c r="J4083">
        <v>5.12</v>
      </c>
      <c r="K4083" s="133">
        <v>4.5228838677393274E-2</v>
      </c>
      <c r="L4083" s="181">
        <v>-912.07999999999993</v>
      </c>
      <c r="M4083" s="133">
        <v>3.5917983034373914E-2</v>
      </c>
      <c r="N4083" s="73">
        <v>5019.1840000000047</v>
      </c>
      <c r="O4083" s="73">
        <v>976.0066941634251</v>
      </c>
      <c r="P4083" s="182">
        <v>0</v>
      </c>
      <c r="Q4083" s="182">
        <v>0</v>
      </c>
      <c r="R4083" s="46">
        <v>0</v>
      </c>
      <c r="S4083" s="46">
        <v>2</v>
      </c>
      <c r="T4083" s="46">
        <v>800</v>
      </c>
      <c r="U4083" s="46">
        <v>5.915</v>
      </c>
      <c r="V4083" s="46" t="s">
        <v>68</v>
      </c>
      <c r="W4083" s="46">
        <v>800</v>
      </c>
      <c r="X4083" s="46">
        <v>5.915</v>
      </c>
      <c r="AF4083" s="46">
        <v>73</v>
      </c>
      <c r="AG4083" s="46">
        <v>38900</v>
      </c>
      <c r="AH4083" s="46">
        <v>235563.05999999982</v>
      </c>
      <c r="AI4083" s="46">
        <v>6.056</v>
      </c>
      <c r="AJ4083" s="46">
        <v>78</v>
      </c>
      <c r="AK4083" s="46">
        <v>33800</v>
      </c>
      <c r="AL4083" s="46">
        <v>213607.49600000001</v>
      </c>
      <c r="AM4083" s="46">
        <v>6.32</v>
      </c>
      <c r="AN4083" s="46" t="s">
        <v>63</v>
      </c>
      <c r="AO4083" s="46">
        <v>5100</v>
      </c>
      <c r="AP4083" s="46">
        <v>21955.563999999998</v>
      </c>
      <c r="AQ4083" s="46">
        <v>4.3049999999999997</v>
      </c>
      <c r="AR4083" s="46">
        <v>8923.2000000000007</v>
      </c>
      <c r="AS4083" s="46">
        <v>74</v>
      </c>
      <c r="AT4083" s="46">
        <v>39300</v>
      </c>
      <c r="AU4083" s="46">
        <v>237624.29999999981</v>
      </c>
      <c r="AV4083" s="46">
        <v>6.0460000000000003</v>
      </c>
      <c r="AW4083" s="46">
        <v>80</v>
      </c>
      <c r="AX4083" s="46">
        <v>34600</v>
      </c>
      <c r="AY4083" s="46">
        <v>218324.28400000001</v>
      </c>
      <c r="AZ4083" s="46">
        <v>6.31</v>
      </c>
      <c r="BA4083" s="46" t="s">
        <v>63</v>
      </c>
      <c r="BB4083" s="46">
        <v>4700</v>
      </c>
      <c r="BC4083" s="46">
        <v>19300.016</v>
      </c>
      <c r="BD4083" s="46">
        <v>4.1059999999999999</v>
      </c>
      <c r="BE4083" s="46">
        <v>9134.4</v>
      </c>
      <c r="BF4083" s="46">
        <v>2061.2399999999907</v>
      </c>
      <c r="BH4083" s="46">
        <v>4716.7880000000005</v>
      </c>
      <c r="BI4083">
        <v>5.9</v>
      </c>
      <c r="BJ4083">
        <v>-2655.5479999999989</v>
      </c>
      <c r="BK4083">
        <v>-3.32</v>
      </c>
      <c r="BL4083">
        <v>1742.81</v>
      </c>
    </row>
    <row r="4084" spans="1:64" x14ac:dyDescent="0.25">
      <c r="A4084" s="136">
        <v>44038</v>
      </c>
      <c r="B4084" t="s">
        <v>79</v>
      </c>
      <c r="C4084" t="s">
        <v>143</v>
      </c>
      <c r="D4084">
        <v>6400</v>
      </c>
      <c r="E4084">
        <v>6400</v>
      </c>
      <c r="F4084">
        <v>10.78</v>
      </c>
      <c r="G4084">
        <v>-19008.939999999999</v>
      </c>
      <c r="H4084">
        <v>-27.55</v>
      </c>
      <c r="I4084">
        <v>49984</v>
      </c>
      <c r="J4084">
        <v>7.81</v>
      </c>
      <c r="K4084" s="133">
        <v>9.394607182724507E-2</v>
      </c>
      <c r="L4084" s="181">
        <v>-3799.1999999999989</v>
      </c>
      <c r="M4084" s="133">
        <v>0.12967380955531391</v>
      </c>
      <c r="N4084" s="73">
        <v>-18853.895400000416</v>
      </c>
      <c r="O4084" s="73">
        <v>-2403.6311801403594</v>
      </c>
      <c r="P4084" s="182">
        <v>2</v>
      </c>
      <c r="Q4084" s="182">
        <v>3320</v>
      </c>
      <c r="R4084" s="46">
        <v>0.94499999999999995</v>
      </c>
      <c r="S4084" s="46">
        <v>5</v>
      </c>
      <c r="T4084" s="46">
        <v>2000</v>
      </c>
      <c r="U4084" s="46">
        <v>8.5860000000000003</v>
      </c>
      <c r="V4084" s="46" t="s">
        <v>62</v>
      </c>
      <c r="W4084" s="46">
        <v>1320</v>
      </c>
      <c r="X4084" s="46">
        <v>-10.632</v>
      </c>
      <c r="AF4084" s="46">
        <v>94</v>
      </c>
      <c r="AG4084" s="46">
        <v>44000</v>
      </c>
      <c r="AH4084" s="46">
        <v>457084.39999999921</v>
      </c>
      <c r="AI4084" s="46">
        <v>10.388</v>
      </c>
      <c r="AJ4084" s="46">
        <v>90</v>
      </c>
      <c r="AK4084" s="46">
        <v>38920</v>
      </c>
      <c r="AL4084" s="46">
        <v>374073.86859999946</v>
      </c>
      <c r="AM4084" s="46">
        <v>9.6110000000000007</v>
      </c>
      <c r="AN4084" s="46" t="s">
        <v>63</v>
      </c>
      <c r="AO4084" s="46">
        <v>5080</v>
      </c>
      <c r="AP4084" s="46">
        <v>83010.531000000003</v>
      </c>
      <c r="AQ4084" s="46">
        <v>16.341000000000001</v>
      </c>
      <c r="AR4084" s="46">
        <v>-30240.84</v>
      </c>
      <c r="AS4084" s="46">
        <v>96</v>
      </c>
      <c r="AT4084" s="46">
        <v>47320</v>
      </c>
      <c r="AU4084" s="46">
        <v>460232.39199999918</v>
      </c>
      <c r="AV4084" s="46">
        <v>9.7260000000000009</v>
      </c>
      <c r="AW4084" s="46">
        <v>95</v>
      </c>
      <c r="AX4084" s="46">
        <v>40920</v>
      </c>
      <c r="AY4084" s="46">
        <v>391202.49659999949</v>
      </c>
      <c r="AZ4084" s="46">
        <v>9.56</v>
      </c>
      <c r="BA4084" s="46" t="s">
        <v>63</v>
      </c>
      <c r="BB4084" s="46">
        <v>6400</v>
      </c>
      <c r="BC4084" s="46">
        <v>69029.895000000004</v>
      </c>
      <c r="BD4084" s="46">
        <v>10.786</v>
      </c>
      <c r="BE4084" s="46">
        <v>-6792.72</v>
      </c>
      <c r="BF4084" s="46">
        <v>3147.9919999999693</v>
      </c>
      <c r="BG4084" s="46">
        <v>0.95</v>
      </c>
      <c r="BH4084" s="46">
        <v>17128.628000000026</v>
      </c>
      <c r="BI4084">
        <v>8.56</v>
      </c>
      <c r="BJ4084">
        <v>-13980.635999999999</v>
      </c>
      <c r="BK4084">
        <v>-10.59</v>
      </c>
      <c r="BL4084">
        <v>-3872.07</v>
      </c>
    </row>
    <row r="4085" spans="1:64" x14ac:dyDescent="0.25">
      <c r="A4085" s="136">
        <v>44038</v>
      </c>
      <c r="B4085" t="s">
        <v>749</v>
      </c>
      <c r="C4085" t="s">
        <v>750</v>
      </c>
      <c r="D4085">
        <v>500</v>
      </c>
      <c r="E4085">
        <v>500</v>
      </c>
      <c r="F4085">
        <v>5.65</v>
      </c>
      <c r="G4085">
        <v>225</v>
      </c>
      <c r="H4085">
        <v>7.9649999999999999</v>
      </c>
      <c r="I4085">
        <v>3050</v>
      </c>
      <c r="J4085">
        <v>6.1</v>
      </c>
      <c r="K4085" s="133">
        <v>5.7325447957966048E-3</v>
      </c>
      <c r="L4085" s="181">
        <v>-350</v>
      </c>
      <c r="M4085" s="133">
        <v>5.3096521469263632E-3</v>
      </c>
    </row>
    <row r="4086" spans="1:64" x14ac:dyDescent="0.25">
      <c r="A4086" s="136">
        <v>44038</v>
      </c>
      <c r="B4086" t="s">
        <v>878</v>
      </c>
      <c r="C4086" s="343" t="s">
        <v>879</v>
      </c>
      <c r="I4086"/>
    </row>
    <row r="4087" spans="1:64" x14ac:dyDescent="0.25">
      <c r="A4087" s="136">
        <v>44038</v>
      </c>
      <c r="B4087" t="s">
        <v>776</v>
      </c>
      <c r="C4087" t="s">
        <v>777</v>
      </c>
      <c r="D4087">
        <v>1</v>
      </c>
      <c r="E4087">
        <v>1</v>
      </c>
      <c r="F4087">
        <v>-137.5</v>
      </c>
      <c r="G4087">
        <v>205.69</v>
      </c>
      <c r="H4087">
        <v>0</v>
      </c>
      <c r="I4087">
        <v>68.19</v>
      </c>
      <c r="J4087">
        <v>68.19</v>
      </c>
      <c r="K4087" s="133">
        <v>1.2816466545094112E-4</v>
      </c>
      <c r="L4087" s="181">
        <v>-10.050000000000011</v>
      </c>
      <c r="M4087" s="133">
        <v>0</v>
      </c>
    </row>
    <row r="4088" spans="1:64" x14ac:dyDescent="0.25">
      <c r="A4088" s="136">
        <v>44038</v>
      </c>
      <c r="B4088" t="s">
        <v>65</v>
      </c>
      <c r="C4088" t="s">
        <v>82</v>
      </c>
      <c r="D4088">
        <v>24900</v>
      </c>
      <c r="E4088">
        <v>24900</v>
      </c>
      <c r="F4088">
        <v>8.2690000000000001</v>
      </c>
      <c r="G4088">
        <v>-36817.94</v>
      </c>
      <c r="H4088">
        <v>-17.88</v>
      </c>
      <c r="I4088">
        <v>169071</v>
      </c>
      <c r="J4088">
        <v>6.79</v>
      </c>
      <c r="K4088" s="133">
        <v>0.31777281349840253</v>
      </c>
      <c r="L4088" s="181">
        <v>-6706.0000000000036</v>
      </c>
      <c r="M4088" s="133">
        <v>0.38697297426527194</v>
      </c>
      <c r="N4088" s="73">
        <v>-41336.866000000155</v>
      </c>
      <c r="O4088" s="73">
        <v>-5462.6526318215765</v>
      </c>
      <c r="P4088" s="182">
        <v>1</v>
      </c>
      <c r="Q4088" s="182">
        <v>400</v>
      </c>
      <c r="R4088" s="46">
        <v>6.78</v>
      </c>
      <c r="S4088" s="46">
        <v>1</v>
      </c>
      <c r="T4088" s="46">
        <v>4500</v>
      </c>
      <c r="U4088" s="46">
        <v>7.48</v>
      </c>
      <c r="V4088" s="46" t="s">
        <v>68</v>
      </c>
      <c r="W4088" s="46">
        <v>4100</v>
      </c>
      <c r="X4088" s="46">
        <v>7.548</v>
      </c>
      <c r="AF4088" s="46">
        <v>301</v>
      </c>
      <c r="AG4088" s="46">
        <v>160600</v>
      </c>
      <c r="AH4088" s="46">
        <v>1608838.6810000001</v>
      </c>
      <c r="AI4088" s="46">
        <v>10.018000000000001</v>
      </c>
      <c r="AJ4088" s="46">
        <v>333</v>
      </c>
      <c r="AK4088" s="46">
        <v>140900</v>
      </c>
      <c r="AL4088" s="46">
        <v>1355426.216</v>
      </c>
      <c r="AM4088" s="46">
        <v>9.6199999999999992</v>
      </c>
      <c r="AN4088" s="46" t="s">
        <v>63</v>
      </c>
      <c r="AO4088" s="46">
        <v>19700</v>
      </c>
      <c r="AP4088" s="46">
        <v>253412.465</v>
      </c>
      <c r="AQ4088" s="46">
        <v>12.864000000000001</v>
      </c>
      <c r="AR4088" s="46">
        <v>-56078.2</v>
      </c>
      <c r="AS4088" s="46">
        <v>306</v>
      </c>
      <c r="AT4088" s="46">
        <v>162800</v>
      </c>
      <c r="AU4088" s="46">
        <v>1624117.6810000001</v>
      </c>
      <c r="AV4088" s="46">
        <v>9.9760000000000009</v>
      </c>
      <c r="AW4088" s="46">
        <v>338</v>
      </c>
      <c r="AX4088" s="46">
        <v>147000</v>
      </c>
      <c r="AY4088" s="46">
        <v>1402103.0489999999</v>
      </c>
      <c r="AZ4088" s="46">
        <v>9.5380000000000003</v>
      </c>
      <c r="BA4088" s="46" t="s">
        <v>63</v>
      </c>
      <c r="BB4088" s="46">
        <v>15800</v>
      </c>
      <c r="BC4088" s="46">
        <v>222014.63200000001</v>
      </c>
      <c r="BD4088" s="46">
        <v>14.052</v>
      </c>
      <c r="BE4088" s="46">
        <v>-64386</v>
      </c>
      <c r="BF4088" s="46">
        <v>15279</v>
      </c>
      <c r="BG4088" s="46">
        <v>38.200000000000003</v>
      </c>
      <c r="BH4088" s="46">
        <v>46676.832999999868</v>
      </c>
      <c r="BI4088">
        <v>10.37</v>
      </c>
      <c r="BJ4088">
        <v>-31397.832999999984</v>
      </c>
      <c r="BK4088">
        <v>-7.66</v>
      </c>
      <c r="BL4088">
        <v>-8258.94</v>
      </c>
    </row>
    <row r="4089" spans="1:64" x14ac:dyDescent="0.25">
      <c r="A4089" s="136">
        <v>44038</v>
      </c>
      <c r="B4089" t="s">
        <v>77</v>
      </c>
      <c r="C4089" t="s">
        <v>150</v>
      </c>
      <c r="D4089">
        <v>6700</v>
      </c>
      <c r="E4089">
        <v>6700</v>
      </c>
      <c r="F4089">
        <v>5.0060000000000002</v>
      </c>
      <c r="G4089">
        <v>-13237.99</v>
      </c>
      <c r="H4089">
        <v>-39.47</v>
      </c>
      <c r="I4089">
        <v>20301</v>
      </c>
      <c r="J4089">
        <v>3.03</v>
      </c>
      <c r="K4089" s="133">
        <v>3.8156194065398975E-2</v>
      </c>
      <c r="L4089" s="181">
        <v>822.73999999999978</v>
      </c>
      <c r="M4089" s="133">
        <v>6.3037299206811268E-2</v>
      </c>
      <c r="N4089" s="73">
        <v>-12938.943999999981</v>
      </c>
      <c r="O4089" s="73">
        <v>-3946.8966755555498</v>
      </c>
      <c r="P4089" s="182">
        <v>8</v>
      </c>
      <c r="Q4089" s="182">
        <v>3900</v>
      </c>
      <c r="R4089" s="46">
        <v>3.8889999999999998</v>
      </c>
      <c r="S4089" s="46">
        <v>1</v>
      </c>
      <c r="T4089" s="46">
        <v>1000</v>
      </c>
      <c r="U4089" s="46">
        <v>3.47</v>
      </c>
      <c r="V4089" s="46" t="s">
        <v>62</v>
      </c>
      <c r="W4089" s="46">
        <v>2900</v>
      </c>
      <c r="X4089" s="46">
        <v>4.0330000000000004</v>
      </c>
      <c r="AF4089" s="46">
        <v>69</v>
      </c>
      <c r="AG4089" s="46">
        <v>34000</v>
      </c>
      <c r="AH4089" s="46">
        <v>206030</v>
      </c>
      <c r="AI4089" s="46">
        <v>6.06</v>
      </c>
      <c r="AJ4089" s="46">
        <v>69</v>
      </c>
      <c r="AK4089" s="46">
        <v>30200</v>
      </c>
      <c r="AL4089" s="46">
        <v>183944.52600000007</v>
      </c>
      <c r="AM4089" s="46">
        <v>6.0910000000000002</v>
      </c>
      <c r="AN4089" s="46" t="s">
        <v>63</v>
      </c>
      <c r="AO4089" s="46">
        <v>3800</v>
      </c>
      <c r="AP4089" s="46">
        <v>22085.473999999998</v>
      </c>
      <c r="AQ4089" s="46">
        <v>5.8120000000000003</v>
      </c>
      <c r="AR4089" s="46">
        <v>936.2</v>
      </c>
      <c r="AS4089" s="46">
        <v>77</v>
      </c>
      <c r="AT4089" s="46">
        <v>37900</v>
      </c>
      <c r="AU4089" s="46">
        <v>220950</v>
      </c>
      <c r="AV4089" s="46">
        <v>5.83</v>
      </c>
      <c r="AW4089" s="46">
        <v>70</v>
      </c>
      <c r="AX4089" s="46">
        <v>31200</v>
      </c>
      <c r="AY4089" s="46">
        <v>187406.05600000007</v>
      </c>
      <c r="AZ4089" s="46">
        <v>6.0069999999999997</v>
      </c>
      <c r="BA4089" s="46" t="s">
        <v>63</v>
      </c>
      <c r="BB4089" s="46">
        <v>6700</v>
      </c>
      <c r="BC4089" s="46">
        <v>33543.944000000003</v>
      </c>
      <c r="BD4089" s="46">
        <v>5.0069999999999997</v>
      </c>
      <c r="BE4089" s="46">
        <v>5522.4</v>
      </c>
      <c r="BF4089" s="46">
        <v>14920</v>
      </c>
      <c r="BG4089" s="46">
        <v>3.83</v>
      </c>
      <c r="BH4089" s="46">
        <v>3461.5299999999988</v>
      </c>
      <c r="BI4089">
        <v>3.46</v>
      </c>
      <c r="BJ4089">
        <v>11458.470000000005</v>
      </c>
      <c r="BK4089">
        <v>3.95</v>
      </c>
      <c r="BL4089">
        <v>308.98</v>
      </c>
    </row>
    <row r="4090" spans="1:64" x14ac:dyDescent="0.25">
      <c r="A4090" s="136">
        <v>44038</v>
      </c>
      <c r="B4090" t="s">
        <v>72</v>
      </c>
      <c r="C4090" t="s">
        <v>130</v>
      </c>
      <c r="D4090">
        <v>100</v>
      </c>
      <c r="E4090">
        <v>100</v>
      </c>
      <c r="F4090">
        <v>1.53</v>
      </c>
      <c r="G4090">
        <v>356</v>
      </c>
      <c r="H4090">
        <v>232.68</v>
      </c>
      <c r="I4090">
        <v>509</v>
      </c>
      <c r="J4090">
        <v>5.09</v>
      </c>
      <c r="K4090" s="133">
        <v>9.5667714788867924E-4</v>
      </c>
      <c r="L4090" s="181">
        <v>-27</v>
      </c>
      <c r="M4090" s="133">
        <v>2.8756700123176411E-4</v>
      </c>
      <c r="N4090" s="73">
        <v>-1498.9659999999872</v>
      </c>
      <c r="O4090" s="73">
        <v>376.42007904191922</v>
      </c>
      <c r="P4090" s="182">
        <v>0</v>
      </c>
      <c r="Q4090" s="182">
        <v>0</v>
      </c>
      <c r="R4090" s="46">
        <v>0</v>
      </c>
      <c r="S4090" s="46">
        <v>20</v>
      </c>
      <c r="T4090" s="46">
        <v>8600</v>
      </c>
      <c r="U4090" s="46">
        <v>7.3840000000000003</v>
      </c>
      <c r="V4090" s="46" t="s">
        <v>68</v>
      </c>
      <c r="W4090" s="46">
        <v>8600</v>
      </c>
      <c r="X4090" s="46">
        <v>7.3840000000000003</v>
      </c>
      <c r="AF4090" s="46">
        <v>42</v>
      </c>
      <c r="AG4090" s="46">
        <v>20900</v>
      </c>
      <c r="AH4090" s="46">
        <v>152800</v>
      </c>
      <c r="AI4090" s="46">
        <v>7.3109999999999999</v>
      </c>
      <c r="AJ4090" s="46">
        <v>42</v>
      </c>
      <c r="AK4090" s="46">
        <v>18800</v>
      </c>
      <c r="AL4090" s="46">
        <v>92037.725000000035</v>
      </c>
      <c r="AM4090" s="46">
        <v>4.8959999999999999</v>
      </c>
      <c r="AN4090" s="46" t="s">
        <v>63</v>
      </c>
      <c r="AO4090" s="46">
        <v>2100</v>
      </c>
      <c r="AP4090" s="46">
        <v>60762.275000000001</v>
      </c>
      <c r="AQ4090" s="46">
        <v>28.934000000000001</v>
      </c>
      <c r="AR4090" s="46">
        <v>-45402</v>
      </c>
      <c r="AS4090" s="46">
        <v>42</v>
      </c>
      <c r="AT4090" s="46">
        <v>20900</v>
      </c>
      <c r="AU4090" s="46">
        <v>152800</v>
      </c>
      <c r="AV4090" s="46">
        <v>7.3109999999999999</v>
      </c>
      <c r="AW4090" s="46">
        <v>63</v>
      </c>
      <c r="AX4090" s="46">
        <v>27900</v>
      </c>
      <c r="AY4090" s="46">
        <v>155380.21900000001</v>
      </c>
      <c r="AZ4090" s="46">
        <v>5.569</v>
      </c>
      <c r="BA4090" s="46" t="s">
        <v>69</v>
      </c>
      <c r="BB4090" s="46">
        <v>7000</v>
      </c>
      <c r="BC4090" s="46">
        <v>2580.2190000000001</v>
      </c>
      <c r="BD4090" s="46">
        <v>0.36899999999999999</v>
      </c>
      <c r="BE4090" s="46">
        <v>-36407.800000000003</v>
      </c>
      <c r="BF4090" s="46">
        <v>0</v>
      </c>
      <c r="BH4090" s="46">
        <v>63342.493999999977</v>
      </c>
      <c r="BI4090">
        <v>7.37</v>
      </c>
      <c r="BJ4090">
        <v>-58182.056000000004</v>
      </c>
      <c r="BK4090">
        <v>-6.77</v>
      </c>
      <c r="BL4090">
        <v>-8919.84</v>
      </c>
    </row>
    <row r="4091" spans="1:64" x14ac:dyDescent="0.25">
      <c r="A4091" s="136">
        <v>44038</v>
      </c>
      <c r="B4091" t="s">
        <v>70</v>
      </c>
      <c r="C4091" t="s">
        <v>131</v>
      </c>
      <c r="D4091">
        <v>13280</v>
      </c>
      <c r="E4091">
        <v>13280</v>
      </c>
      <c r="F4091">
        <v>8.2219999999999995</v>
      </c>
      <c r="G4091">
        <v>-18748.23</v>
      </c>
      <c r="H4091">
        <v>-17.170000000000002</v>
      </c>
      <c r="I4091">
        <v>90436.800000000003</v>
      </c>
      <c r="J4091">
        <v>6.81</v>
      </c>
      <c r="K4091" s="133">
        <v>0.16997803514376997</v>
      </c>
      <c r="L4091" s="181">
        <v>-5856.6</v>
      </c>
      <c r="M4091" s="133">
        <v>0.20521576246078563</v>
      </c>
      <c r="N4091" s="73">
        <v>-18092.140999999989</v>
      </c>
      <c r="O4091" s="73">
        <v>-2636.019669023322</v>
      </c>
      <c r="P4091" s="182">
        <v>0</v>
      </c>
      <c r="Q4091" s="182">
        <v>0</v>
      </c>
      <c r="R4091" s="46">
        <v>0</v>
      </c>
      <c r="S4091" s="46">
        <v>9</v>
      </c>
      <c r="T4091" s="46">
        <v>5200</v>
      </c>
      <c r="U4091" s="46">
        <v>7.383</v>
      </c>
      <c r="V4091" s="46" t="s">
        <v>68</v>
      </c>
      <c r="W4091" s="46">
        <v>5200</v>
      </c>
      <c r="X4091" s="46">
        <v>7.383</v>
      </c>
      <c r="AF4091" s="46">
        <v>228</v>
      </c>
      <c r="AG4091" s="46">
        <v>113180</v>
      </c>
      <c r="AH4091" s="46">
        <v>1232560</v>
      </c>
      <c r="AI4091" s="46">
        <v>10.89</v>
      </c>
      <c r="AJ4091" s="46">
        <v>235</v>
      </c>
      <c r="AK4091" s="46">
        <v>94700</v>
      </c>
      <c r="AL4091" s="46">
        <v>1082858.4509999997</v>
      </c>
      <c r="AM4091" s="46">
        <v>11.435</v>
      </c>
      <c r="AN4091" s="46" t="s">
        <v>63</v>
      </c>
      <c r="AO4091" s="46">
        <v>18480</v>
      </c>
      <c r="AP4091" s="46">
        <v>149701.549</v>
      </c>
      <c r="AQ4091" s="46">
        <v>8.1010000000000009</v>
      </c>
      <c r="AR4091" s="46">
        <v>51611.5</v>
      </c>
      <c r="AS4091" s="46">
        <v>228</v>
      </c>
      <c r="AT4091" s="46">
        <v>113180</v>
      </c>
      <c r="AU4091" s="46">
        <v>1232560</v>
      </c>
      <c r="AV4091" s="46">
        <v>10.89</v>
      </c>
      <c r="AW4091" s="46">
        <v>245</v>
      </c>
      <c r="AX4091" s="46">
        <v>99900</v>
      </c>
      <c r="AY4091" s="46">
        <v>1121597.0589999997</v>
      </c>
      <c r="AZ4091" s="46">
        <v>11.227</v>
      </c>
      <c r="BA4091" s="46" t="s">
        <v>63</v>
      </c>
      <c r="BB4091" s="46">
        <v>13280</v>
      </c>
      <c r="BC4091" s="46">
        <v>110962.94100000001</v>
      </c>
      <c r="BD4091" s="46">
        <v>8.3559999999999999</v>
      </c>
      <c r="BE4091" s="46">
        <v>33666.300000000003</v>
      </c>
      <c r="BF4091" s="46">
        <v>0</v>
      </c>
      <c r="BH4091" s="46">
        <v>38738.608000000007</v>
      </c>
      <c r="BI4091">
        <v>7.45</v>
      </c>
      <c r="BJ4091">
        <v>-38738.607999999993</v>
      </c>
      <c r="BK4091">
        <v>-7.45</v>
      </c>
      <c r="BL4091">
        <v>7578.78</v>
      </c>
    </row>
    <row r="4092" spans="1:64" x14ac:dyDescent="0.25">
      <c r="A4092" s="136">
        <v>44038</v>
      </c>
      <c r="B4092" t="s">
        <v>628</v>
      </c>
      <c r="C4092" t="s">
        <v>629</v>
      </c>
      <c r="D4092">
        <v>100</v>
      </c>
      <c r="E4092">
        <v>100</v>
      </c>
      <c r="F4092">
        <v>0.95</v>
      </c>
      <c r="G4092">
        <v>1419</v>
      </c>
      <c r="H4092">
        <v>1493.68</v>
      </c>
      <c r="I4092">
        <v>1514</v>
      </c>
      <c r="J4092">
        <v>15.14</v>
      </c>
      <c r="K4092" s="133">
        <v>2.8455976461757571E-3</v>
      </c>
      <c r="L4092" s="181">
        <v>-93</v>
      </c>
      <c r="M4092" s="133">
        <v>1.7855467396743523E-4</v>
      </c>
    </row>
    <row r="4093" spans="1:64" x14ac:dyDescent="0.25">
      <c r="A4093" s="136">
        <v>44038</v>
      </c>
      <c r="B4093" t="s">
        <v>768</v>
      </c>
      <c r="C4093" t="s">
        <v>769</v>
      </c>
      <c r="D4093">
        <v>500</v>
      </c>
      <c r="E4093">
        <v>500</v>
      </c>
      <c r="F4093">
        <v>2.4140000000000001</v>
      </c>
      <c r="G4093">
        <v>308</v>
      </c>
      <c r="H4093">
        <v>25.52</v>
      </c>
      <c r="I4093">
        <v>1515</v>
      </c>
      <c r="J4093">
        <v>3.03</v>
      </c>
      <c r="K4093" s="133">
        <v>2.847477169059625E-3</v>
      </c>
      <c r="L4093" s="181">
        <v>-40</v>
      </c>
      <c r="M4093" s="133">
        <v>2.2685841208283613E-3</v>
      </c>
    </row>
    <row r="4094" spans="1:64" x14ac:dyDescent="0.25">
      <c r="A4094" s="136">
        <v>44038</v>
      </c>
      <c r="B4094" t="s">
        <v>874</v>
      </c>
      <c r="C4094" t="s">
        <v>875</v>
      </c>
      <c r="D4094">
        <v>10</v>
      </c>
      <c r="E4094">
        <v>0</v>
      </c>
      <c r="F4094">
        <v>100</v>
      </c>
      <c r="G4094">
        <v>0</v>
      </c>
      <c r="H4094">
        <v>0</v>
      </c>
      <c r="I4094">
        <v>1000</v>
      </c>
      <c r="J4094">
        <v>100</v>
      </c>
      <c r="K4094" s="133">
        <v>1.8795228838677392E-3</v>
      </c>
      <c r="M4094" s="133">
        <v>1.8795228838677392E-3</v>
      </c>
    </row>
    <row r="4095" spans="1:64" x14ac:dyDescent="0.25">
      <c r="A4095" s="136">
        <v>44038</v>
      </c>
      <c r="B4095" t="s">
        <v>876</v>
      </c>
      <c r="C4095" t="s">
        <v>877</v>
      </c>
      <c r="D4095">
        <v>10</v>
      </c>
      <c r="E4095">
        <v>10</v>
      </c>
      <c r="F4095">
        <v>100</v>
      </c>
      <c r="G4095">
        <v>0</v>
      </c>
      <c r="H4095">
        <v>0</v>
      </c>
      <c r="I4095">
        <v>1000</v>
      </c>
      <c r="J4095">
        <v>100</v>
      </c>
      <c r="K4095" s="133">
        <v>1.8795228838677392E-3</v>
      </c>
      <c r="M4095" s="133">
        <v>1.8795228838677392E-3</v>
      </c>
    </row>
    <row r="4096" spans="1:64" x14ac:dyDescent="0.25">
      <c r="A4096" s="136">
        <v>44038</v>
      </c>
      <c r="B4096" t="s">
        <v>837</v>
      </c>
      <c r="C4096" t="s">
        <v>838</v>
      </c>
      <c r="D4096">
        <v>20</v>
      </c>
      <c r="E4096">
        <v>20</v>
      </c>
      <c r="F4096">
        <v>100</v>
      </c>
      <c r="G4096">
        <v>0</v>
      </c>
      <c r="H4096">
        <v>0</v>
      </c>
      <c r="I4096">
        <v>2000</v>
      </c>
      <c r="J4096">
        <v>100</v>
      </c>
      <c r="K4096" s="133">
        <v>3.7590457677354784E-3</v>
      </c>
      <c r="L4096" s="181">
        <v>0</v>
      </c>
      <c r="M4096" s="133">
        <v>3.7590457677354784E-3</v>
      </c>
    </row>
    <row r="4097" spans="1:64" x14ac:dyDescent="0.25">
      <c r="A4097" s="136">
        <v>44038</v>
      </c>
      <c r="B4097" t="s">
        <v>137</v>
      </c>
      <c r="C4097" t="s">
        <v>149</v>
      </c>
      <c r="D4097">
        <v>150</v>
      </c>
      <c r="E4097">
        <v>150</v>
      </c>
      <c r="F4097">
        <v>1</v>
      </c>
      <c r="G4097">
        <v>5284.5</v>
      </c>
      <c r="H4097">
        <v>3523</v>
      </c>
      <c r="I4097">
        <v>5434.5</v>
      </c>
      <c r="J4097">
        <v>36.229999999999997</v>
      </c>
      <c r="K4097" s="133">
        <v>1.0214267112379228E-2</v>
      </c>
      <c r="L4097" s="181">
        <v>-385.5</v>
      </c>
      <c r="M4097" s="133">
        <v>2.819284325801609E-4</v>
      </c>
    </row>
    <row r="4098" spans="1:64" x14ac:dyDescent="0.25">
      <c r="A4098" s="136">
        <v>44038</v>
      </c>
      <c r="B4098" t="s">
        <v>863</v>
      </c>
      <c r="C4098" t="s">
        <v>864</v>
      </c>
      <c r="D4098">
        <v>500</v>
      </c>
      <c r="E4098">
        <v>500</v>
      </c>
      <c r="F4098">
        <v>10.51</v>
      </c>
      <c r="G4098">
        <v>3065</v>
      </c>
      <c r="H4098">
        <v>58.33</v>
      </c>
      <c r="I4098">
        <v>8320</v>
      </c>
      <c r="J4098">
        <v>16.64</v>
      </c>
      <c r="K4098" s="133">
        <v>1.5637630393779588E-2</v>
      </c>
      <c r="L4098" s="181">
        <v>3065</v>
      </c>
      <c r="M4098" s="133">
        <v>9.87689275472497E-3</v>
      </c>
    </row>
    <row r="4099" spans="1:64" x14ac:dyDescent="0.25">
      <c r="A4099" s="136">
        <v>44038</v>
      </c>
      <c r="B4099" t="s">
        <v>835</v>
      </c>
      <c r="C4099" t="s">
        <v>839</v>
      </c>
      <c r="I4099">
        <v>4800.6099999999997</v>
      </c>
      <c r="K4099" s="133">
        <v>9.0228563515243072E-3</v>
      </c>
      <c r="L4099" s="181">
        <v>0</v>
      </c>
      <c r="M4099" s="133">
        <v>0.25572566574204164</v>
      </c>
    </row>
    <row r="4100" spans="1:64" x14ac:dyDescent="0.25">
      <c r="A4100" s="136">
        <v>44040</v>
      </c>
      <c r="B4100" t="s">
        <v>137</v>
      </c>
      <c r="C4100" t="s">
        <v>149</v>
      </c>
      <c r="D4100">
        <v>150</v>
      </c>
      <c r="E4100">
        <v>150</v>
      </c>
      <c r="F4100">
        <v>1</v>
      </c>
      <c r="G4100">
        <v>5430</v>
      </c>
      <c r="H4100">
        <v>3620</v>
      </c>
      <c r="I4100">
        <v>5580</v>
      </c>
      <c r="J4100">
        <v>37.200000000000003</v>
      </c>
      <c r="K4100" s="133">
        <v>1.0479205622127619E-2</v>
      </c>
      <c r="L4100" s="181">
        <v>145.5</v>
      </c>
      <c r="M4100" s="133">
        <v>2.8169907586364566E-4</v>
      </c>
    </row>
    <row r="4101" spans="1:64" x14ac:dyDescent="0.25">
      <c r="A4101" s="136">
        <v>44040</v>
      </c>
      <c r="B4101" t="s">
        <v>71</v>
      </c>
      <c r="C4101" t="s">
        <v>126</v>
      </c>
      <c r="D4101">
        <v>4700</v>
      </c>
      <c r="E4101">
        <v>4700</v>
      </c>
      <c r="F4101">
        <v>4.0659999999999998</v>
      </c>
      <c r="G4101">
        <v>5000.84</v>
      </c>
      <c r="H4101">
        <v>26.167999999999999</v>
      </c>
      <c r="I4101">
        <v>24111</v>
      </c>
      <c r="J4101">
        <v>5.13</v>
      </c>
      <c r="K4101" s="133">
        <v>4.5280309454322404E-2</v>
      </c>
      <c r="L4101" s="181">
        <v>47</v>
      </c>
      <c r="M4101" s="133">
        <v>3.5888762744042707E-2</v>
      </c>
      <c r="N4101" s="73">
        <v>5019.1840000000047</v>
      </c>
      <c r="O4101" s="73">
        <v>976.0066941634251</v>
      </c>
      <c r="P4101" s="182">
        <v>0</v>
      </c>
      <c r="Q4101" s="182">
        <v>0</v>
      </c>
      <c r="R4101" s="46">
        <v>0</v>
      </c>
      <c r="S4101" s="46">
        <v>2</v>
      </c>
      <c r="T4101" s="46">
        <v>800</v>
      </c>
      <c r="U4101" s="46">
        <v>5.915</v>
      </c>
      <c r="V4101" s="46" t="s">
        <v>68</v>
      </c>
      <c r="W4101" s="46">
        <v>800</v>
      </c>
      <c r="X4101" s="46">
        <v>5.915</v>
      </c>
      <c r="AF4101" s="46">
        <v>73</v>
      </c>
      <c r="AG4101" s="46">
        <v>38900</v>
      </c>
      <c r="AH4101" s="46">
        <v>235563.05999999982</v>
      </c>
      <c r="AI4101" s="46">
        <v>6.056</v>
      </c>
      <c r="AJ4101" s="46">
        <v>78</v>
      </c>
      <c r="AK4101" s="46">
        <v>33800</v>
      </c>
      <c r="AL4101" s="46">
        <v>213607.49600000001</v>
      </c>
      <c r="AM4101" s="46">
        <v>6.32</v>
      </c>
      <c r="AN4101" s="46" t="s">
        <v>63</v>
      </c>
      <c r="AO4101" s="46">
        <v>5100</v>
      </c>
      <c r="AP4101" s="46">
        <v>21955.563999999998</v>
      </c>
      <c r="AQ4101" s="46">
        <v>4.3049999999999997</v>
      </c>
      <c r="AR4101" s="46">
        <v>8923.2000000000007</v>
      </c>
      <c r="AS4101" s="46">
        <v>74</v>
      </c>
      <c r="AT4101" s="46">
        <v>39300</v>
      </c>
      <c r="AU4101" s="46">
        <v>237624.29999999981</v>
      </c>
      <c r="AV4101" s="46">
        <v>6.0460000000000003</v>
      </c>
      <c r="AW4101" s="46">
        <v>80</v>
      </c>
      <c r="AX4101" s="46">
        <v>34600</v>
      </c>
      <c r="AY4101" s="46">
        <v>218324.28400000001</v>
      </c>
      <c r="AZ4101" s="46">
        <v>6.31</v>
      </c>
      <c r="BA4101" s="46" t="s">
        <v>63</v>
      </c>
      <c r="BB4101" s="46">
        <v>4700</v>
      </c>
      <c r="BC4101" s="46">
        <v>19300.016</v>
      </c>
      <c r="BD4101" s="46">
        <v>4.1059999999999999</v>
      </c>
      <c r="BE4101" s="46">
        <v>9134.4</v>
      </c>
      <c r="BF4101" s="46">
        <v>2061.2399999999907</v>
      </c>
      <c r="BH4101" s="46">
        <v>4716.7880000000005</v>
      </c>
      <c r="BI4101">
        <v>5.9</v>
      </c>
      <c r="BJ4101">
        <v>-2655.5479999999989</v>
      </c>
      <c r="BK4101">
        <v>-3.32</v>
      </c>
      <c r="BL4101">
        <v>1739.42</v>
      </c>
    </row>
    <row r="4102" spans="1:64" x14ac:dyDescent="0.25">
      <c r="A4102" s="136">
        <v>44040</v>
      </c>
      <c r="B4102" t="s">
        <v>863</v>
      </c>
      <c r="C4102" t="s">
        <v>864</v>
      </c>
      <c r="D4102">
        <v>500</v>
      </c>
      <c r="E4102">
        <v>500</v>
      </c>
      <c r="F4102">
        <v>10.51</v>
      </c>
      <c r="G4102">
        <v>4810</v>
      </c>
      <c r="H4102">
        <v>91.531999999999996</v>
      </c>
      <c r="I4102">
        <v>10065</v>
      </c>
      <c r="J4102">
        <v>20.13</v>
      </c>
      <c r="K4102" s="133">
        <v>1.8902007990450623E-2</v>
      </c>
      <c r="L4102" s="181">
        <v>1745</v>
      </c>
      <c r="M4102" s="133">
        <v>9.8688576244230532E-3</v>
      </c>
    </row>
    <row r="4103" spans="1:64" x14ac:dyDescent="0.25">
      <c r="A4103" s="136">
        <v>44040</v>
      </c>
      <c r="B4103" t="s">
        <v>628</v>
      </c>
      <c r="C4103" t="s">
        <v>629</v>
      </c>
      <c r="D4103">
        <v>100</v>
      </c>
      <c r="E4103">
        <v>100</v>
      </c>
      <c r="F4103">
        <v>0.95</v>
      </c>
      <c r="G4103">
        <v>1449</v>
      </c>
      <c r="H4103">
        <v>1525.2629999999999</v>
      </c>
      <c r="I4103">
        <v>1544</v>
      </c>
      <c r="J4103">
        <v>15.44</v>
      </c>
      <c r="K4103" s="133">
        <v>2.8996224875564593E-3</v>
      </c>
      <c r="L4103" s="181">
        <v>30</v>
      </c>
      <c r="M4103" s="133">
        <v>1.7840941471364226E-4</v>
      </c>
    </row>
    <row r="4104" spans="1:64" x14ac:dyDescent="0.25">
      <c r="A4104" s="136">
        <v>44040</v>
      </c>
      <c r="B4104" t="s">
        <v>124</v>
      </c>
      <c r="C4104" t="s">
        <v>125</v>
      </c>
      <c r="D4104">
        <v>100</v>
      </c>
      <c r="E4104">
        <v>100</v>
      </c>
      <c r="F4104">
        <v>0.73699999999999999</v>
      </c>
      <c r="G4104">
        <v>424.28</v>
      </c>
      <c r="H4104">
        <v>575.71199999999999</v>
      </c>
      <c r="I4104">
        <v>498</v>
      </c>
      <c r="J4104">
        <v>4.9800000000000004</v>
      </c>
      <c r="K4104" s="133">
        <v>9.3524093186730353E-4</v>
      </c>
      <c r="L4104" s="181">
        <v>0</v>
      </c>
      <c r="M4104" s="133">
        <v>1.3844570581778644E-4</v>
      </c>
      <c r="N4104" s="73">
        <v>5623.0690000000113</v>
      </c>
      <c r="O4104" s="73">
        <v>1111.8087987827732</v>
      </c>
      <c r="P4104" s="182">
        <v>0</v>
      </c>
      <c r="Q4104" s="182">
        <v>0</v>
      </c>
      <c r="R4104" s="46">
        <v>0</v>
      </c>
      <c r="S4104" s="46">
        <v>5</v>
      </c>
      <c r="T4104" s="46">
        <v>2300</v>
      </c>
      <c r="U4104" s="46">
        <v>4.99</v>
      </c>
      <c r="V4104" s="46" t="s">
        <v>68</v>
      </c>
      <c r="W4104" s="46">
        <v>2300</v>
      </c>
      <c r="X4104" s="46">
        <v>4.99</v>
      </c>
      <c r="AF4104" s="46">
        <v>50</v>
      </c>
      <c r="AG4104" s="46">
        <v>36700</v>
      </c>
      <c r="AH4104" s="46">
        <v>180101.02000000002</v>
      </c>
      <c r="AI4104" s="46">
        <v>4.907</v>
      </c>
      <c r="AJ4104" s="46">
        <v>58</v>
      </c>
      <c r="AK4104" s="46">
        <v>35300</v>
      </c>
      <c r="AL4104" s="46">
        <v>178266.546</v>
      </c>
      <c r="AM4104" s="46">
        <v>5.05</v>
      </c>
      <c r="AN4104" s="46" t="s">
        <v>63</v>
      </c>
      <c r="AO4104" s="46">
        <v>1400</v>
      </c>
      <c r="AP4104" s="46">
        <v>1834.4739999999999</v>
      </c>
      <c r="AQ4104" s="46">
        <v>1.31</v>
      </c>
      <c r="AR4104" s="46">
        <v>5047.8999999999996</v>
      </c>
      <c r="AS4104" s="46">
        <v>51</v>
      </c>
      <c r="AT4104" s="46">
        <v>37700</v>
      </c>
      <c r="AU4104" s="46">
        <v>185106.62</v>
      </c>
      <c r="AV4104" s="46">
        <v>4.91</v>
      </c>
      <c r="AW4104" s="46">
        <v>63</v>
      </c>
      <c r="AX4104" s="46">
        <v>37600</v>
      </c>
      <c r="AY4104" s="46">
        <v>189763.68900000001</v>
      </c>
      <c r="AZ4104" s="46">
        <v>5.0469999999999997</v>
      </c>
      <c r="BA4104" s="46" t="s">
        <v>63</v>
      </c>
      <c r="BB4104" s="46">
        <v>100</v>
      </c>
      <c r="BC4104" s="46">
        <v>4657.0690000000004</v>
      </c>
      <c r="BD4104" s="46">
        <v>46.570999999999998</v>
      </c>
      <c r="BE4104" s="46">
        <v>5151.2</v>
      </c>
      <c r="BF4104" s="46">
        <v>5005.5999999999767</v>
      </c>
      <c r="BH4104" s="46">
        <v>11497.143000000011</v>
      </c>
      <c r="BI4104">
        <v>5</v>
      </c>
      <c r="BJ4104">
        <v>2822.5950000000003</v>
      </c>
      <c r="BK4104">
        <v>1.23</v>
      </c>
      <c r="BL4104">
        <v>1013.63</v>
      </c>
    </row>
    <row r="4105" spans="1:64" x14ac:dyDescent="0.25">
      <c r="A4105" s="136">
        <v>44040</v>
      </c>
      <c r="B4105" t="s">
        <v>72</v>
      </c>
      <c r="C4105" t="s">
        <v>130</v>
      </c>
      <c r="D4105">
        <v>100</v>
      </c>
      <c r="E4105">
        <v>100</v>
      </c>
      <c r="F4105">
        <v>1.53</v>
      </c>
      <c r="G4105">
        <v>356</v>
      </c>
      <c r="H4105">
        <v>232.68</v>
      </c>
      <c r="I4105">
        <v>509</v>
      </c>
      <c r="J4105">
        <v>5.09</v>
      </c>
      <c r="K4105" s="133">
        <v>9.5589886409730418E-4</v>
      </c>
      <c r="L4105" s="181">
        <v>0</v>
      </c>
      <c r="M4105" s="133">
        <v>2.8733305738091856E-4</v>
      </c>
      <c r="N4105" s="73">
        <v>-1498.9659999999872</v>
      </c>
      <c r="O4105" s="73">
        <v>376.42007904191922</v>
      </c>
      <c r="P4105" s="182">
        <v>0</v>
      </c>
      <c r="Q4105" s="182">
        <v>0</v>
      </c>
      <c r="R4105" s="46">
        <v>0</v>
      </c>
      <c r="S4105" s="46">
        <v>20</v>
      </c>
      <c r="T4105" s="46">
        <v>8600</v>
      </c>
      <c r="U4105" s="46">
        <v>7.3840000000000003</v>
      </c>
      <c r="V4105" s="46" t="s">
        <v>68</v>
      </c>
      <c r="W4105" s="46">
        <v>8600</v>
      </c>
      <c r="X4105" s="46">
        <v>7.3840000000000003</v>
      </c>
      <c r="AF4105" s="46">
        <v>42</v>
      </c>
      <c r="AG4105" s="46">
        <v>20900</v>
      </c>
      <c r="AH4105" s="46">
        <v>152800</v>
      </c>
      <c r="AI4105" s="46">
        <v>7.3109999999999999</v>
      </c>
      <c r="AJ4105" s="46">
        <v>42</v>
      </c>
      <c r="AK4105" s="46">
        <v>18800</v>
      </c>
      <c r="AL4105" s="46">
        <v>92037.725000000035</v>
      </c>
      <c r="AM4105" s="46">
        <v>4.8959999999999999</v>
      </c>
      <c r="AN4105" s="46" t="s">
        <v>63</v>
      </c>
      <c r="AO4105" s="46">
        <v>2100</v>
      </c>
      <c r="AP4105" s="46">
        <v>60762.275000000001</v>
      </c>
      <c r="AQ4105" s="46">
        <v>28.934000000000001</v>
      </c>
      <c r="AR4105" s="46">
        <v>-45402</v>
      </c>
      <c r="AS4105" s="46">
        <v>42</v>
      </c>
      <c r="AT4105" s="46">
        <v>20900</v>
      </c>
      <c r="AU4105" s="46">
        <v>152800</v>
      </c>
      <c r="AV4105" s="46">
        <v>7.3109999999999999</v>
      </c>
      <c r="AW4105" s="46">
        <v>63</v>
      </c>
      <c r="AX4105" s="46">
        <v>27900</v>
      </c>
      <c r="AY4105" s="46">
        <v>155380.21900000001</v>
      </c>
      <c r="AZ4105" s="46">
        <v>5.569</v>
      </c>
      <c r="BA4105" s="46" t="s">
        <v>69</v>
      </c>
      <c r="BB4105" s="46">
        <v>7000</v>
      </c>
      <c r="BC4105" s="46">
        <v>2580.2190000000001</v>
      </c>
      <c r="BD4105" s="46">
        <v>0.36899999999999999</v>
      </c>
      <c r="BE4105" s="46">
        <v>-36407.800000000003</v>
      </c>
      <c r="BF4105" s="46">
        <v>0</v>
      </c>
      <c r="BH4105" s="46">
        <v>63342.493999999977</v>
      </c>
      <c r="BI4105">
        <v>7.37</v>
      </c>
      <c r="BJ4105">
        <v>-58182.056000000004</v>
      </c>
      <c r="BK4105">
        <v>-6.77</v>
      </c>
      <c r="BL4105">
        <v>-8919.84</v>
      </c>
    </row>
    <row r="4106" spans="1:64" x14ac:dyDescent="0.25">
      <c r="A4106" s="136">
        <v>44040</v>
      </c>
      <c r="B4106" t="s">
        <v>768</v>
      </c>
      <c r="C4106" t="s">
        <v>769</v>
      </c>
      <c r="D4106">
        <v>500</v>
      </c>
      <c r="E4106">
        <v>500</v>
      </c>
      <c r="F4106">
        <v>2.4140000000000001</v>
      </c>
      <c r="G4106">
        <v>303</v>
      </c>
      <c r="H4106">
        <v>25.103999999999999</v>
      </c>
      <c r="I4106">
        <v>1510</v>
      </c>
      <c r="J4106">
        <v>3.02</v>
      </c>
      <c r="K4106" s="133">
        <v>2.835770697027366E-3</v>
      </c>
      <c r="L4106" s="181">
        <v>-5</v>
      </c>
      <c r="M4106" s="133">
        <v>2.266738563782802E-3</v>
      </c>
    </row>
    <row r="4107" spans="1:64" x14ac:dyDescent="0.25">
      <c r="A4107" s="136">
        <v>44040</v>
      </c>
      <c r="B4107" t="s">
        <v>749</v>
      </c>
      <c r="C4107" t="s">
        <v>750</v>
      </c>
      <c r="D4107">
        <v>500</v>
      </c>
      <c r="E4107">
        <v>500</v>
      </c>
      <c r="F4107">
        <v>5.65</v>
      </c>
      <c r="G4107">
        <v>280</v>
      </c>
      <c r="H4107">
        <v>9.9120000000000008</v>
      </c>
      <c r="I4107">
        <v>3105</v>
      </c>
      <c r="J4107">
        <v>6.21</v>
      </c>
      <c r="K4107" s="133">
        <v>5.8311708703774646E-3</v>
      </c>
      <c r="L4107" s="181">
        <v>55</v>
      </c>
      <c r="M4107" s="133">
        <v>5.3053325954319931E-3</v>
      </c>
    </row>
    <row r="4108" spans="1:64" x14ac:dyDescent="0.25">
      <c r="A4108" s="136">
        <v>44040</v>
      </c>
      <c r="B4108" t="s">
        <v>776</v>
      </c>
      <c r="C4108" t="s">
        <v>777</v>
      </c>
      <c r="D4108">
        <v>1</v>
      </c>
      <c r="E4108">
        <v>1</v>
      </c>
      <c r="F4108">
        <v>-137.5</v>
      </c>
      <c r="G4108">
        <v>207.72</v>
      </c>
      <c r="H4108">
        <v>0</v>
      </c>
      <c r="I4108">
        <v>70.22</v>
      </c>
      <c r="J4108">
        <v>70.22</v>
      </c>
      <c r="K4108" s="133">
        <v>1.3187272738096799E-4</v>
      </c>
      <c r="L4108" s="181">
        <v>2.0300000000000011</v>
      </c>
      <c r="M4108" s="133">
        <v>0</v>
      </c>
    </row>
    <row r="4109" spans="1:64" x14ac:dyDescent="0.25">
      <c r="A4109" s="136">
        <v>44040</v>
      </c>
      <c r="B4109" t="s">
        <v>132</v>
      </c>
      <c r="C4109" t="s">
        <v>123</v>
      </c>
      <c r="D4109">
        <v>13007754</v>
      </c>
      <c r="E4109">
        <v>13007754</v>
      </c>
      <c r="F4109">
        <v>0.01</v>
      </c>
      <c r="G4109">
        <v>108.54</v>
      </c>
      <c r="H4109">
        <v>0</v>
      </c>
      <c r="I4109">
        <v>130077.54</v>
      </c>
      <c r="J4109">
        <v>0.01</v>
      </c>
      <c r="K4109" s="133">
        <v>0.24428481872410934</v>
      </c>
      <c r="L4109" s="181">
        <v>18.720000000000013</v>
      </c>
      <c r="M4109" s="133">
        <v>0</v>
      </c>
    </row>
    <row r="4110" spans="1:64" x14ac:dyDescent="0.25">
      <c r="A4110" s="136">
        <v>44040</v>
      </c>
      <c r="B4110" t="s">
        <v>878</v>
      </c>
      <c r="C4110" t="s">
        <v>880</v>
      </c>
      <c r="D4110">
        <v>9500</v>
      </c>
      <c r="E4110">
        <v>9500</v>
      </c>
      <c r="F4110">
        <v>0</v>
      </c>
      <c r="G4110">
        <v>0</v>
      </c>
      <c r="H4110">
        <v>0</v>
      </c>
      <c r="I4110">
        <v>0</v>
      </c>
      <c r="J4110">
        <v>0</v>
      </c>
      <c r="K4110" s="133">
        <v>0</v>
      </c>
      <c r="L4110" s="181">
        <v>0</v>
      </c>
      <c r="M4110" s="133">
        <v>0</v>
      </c>
    </row>
    <row r="4111" spans="1:64" x14ac:dyDescent="0.25">
      <c r="A4111" s="136">
        <v>44040</v>
      </c>
      <c r="B4111" t="s">
        <v>876</v>
      </c>
      <c r="C4111" t="s">
        <v>877</v>
      </c>
      <c r="D4111">
        <v>10</v>
      </c>
      <c r="E4111">
        <v>10</v>
      </c>
      <c r="F4111">
        <v>100</v>
      </c>
      <c r="G4111">
        <v>0</v>
      </c>
      <c r="H4111">
        <v>0</v>
      </c>
      <c r="I4111">
        <v>1000</v>
      </c>
      <c r="J4111">
        <v>100</v>
      </c>
      <c r="K4111" s="133">
        <v>1.8779938390909711E-3</v>
      </c>
      <c r="L4111" s="181">
        <v>0</v>
      </c>
      <c r="M4111" s="133">
        <v>1.8779938390909711E-3</v>
      </c>
    </row>
    <row r="4112" spans="1:64" x14ac:dyDescent="0.25">
      <c r="A4112" s="136">
        <v>44040</v>
      </c>
      <c r="B4112" t="s">
        <v>837</v>
      </c>
      <c r="C4112" t="s">
        <v>838</v>
      </c>
      <c r="D4112">
        <v>20</v>
      </c>
      <c r="E4112">
        <v>20</v>
      </c>
      <c r="F4112">
        <v>100</v>
      </c>
      <c r="G4112">
        <v>0</v>
      </c>
      <c r="H4112">
        <v>0</v>
      </c>
      <c r="I4112">
        <v>2000</v>
      </c>
      <c r="J4112">
        <v>100</v>
      </c>
      <c r="K4112" s="133">
        <v>3.7559876781819422E-3</v>
      </c>
      <c r="L4112" s="181">
        <v>0</v>
      </c>
      <c r="M4112" s="133">
        <v>3.7559876781819422E-3</v>
      </c>
    </row>
    <row r="4113" spans="1:64" x14ac:dyDescent="0.25">
      <c r="A4113" s="136">
        <v>44040</v>
      </c>
      <c r="B4113" t="s">
        <v>881</v>
      </c>
      <c r="C4113" t="s">
        <v>882</v>
      </c>
      <c r="D4113">
        <v>10</v>
      </c>
      <c r="E4113">
        <v>10</v>
      </c>
      <c r="F4113">
        <v>100</v>
      </c>
      <c r="G4113">
        <v>0</v>
      </c>
      <c r="H4113">
        <v>0</v>
      </c>
      <c r="I4113">
        <v>1000</v>
      </c>
      <c r="J4113">
        <v>100</v>
      </c>
      <c r="K4113" s="133">
        <v>1.8779938390909711E-3</v>
      </c>
      <c r="M4113" s="133">
        <v>1.8779938390909711E-3</v>
      </c>
    </row>
    <row r="4114" spans="1:64" x14ac:dyDescent="0.25">
      <c r="A4114" s="136">
        <v>44040</v>
      </c>
      <c r="B4114" t="s">
        <v>61</v>
      </c>
      <c r="C4114" t="s">
        <v>136</v>
      </c>
      <c r="D4114">
        <v>3500</v>
      </c>
      <c r="E4114">
        <v>3500</v>
      </c>
      <c r="F4114">
        <v>4.3079999999999998</v>
      </c>
      <c r="G4114">
        <v>-2721.64</v>
      </c>
      <c r="H4114">
        <v>-18.059000000000001</v>
      </c>
      <c r="I4114">
        <v>12355</v>
      </c>
      <c r="J4114">
        <v>3.53</v>
      </c>
      <c r="K4114" s="133">
        <v>2.3202613881968946E-2</v>
      </c>
      <c r="L4114" s="181">
        <v>-70</v>
      </c>
      <c r="M4114" s="133">
        <v>2.8313837034192497E-2</v>
      </c>
      <c r="N4114" s="73">
        <v>-2546.1590000000033</v>
      </c>
      <c r="O4114" s="73">
        <v>-710.86198896648148</v>
      </c>
      <c r="P4114" s="182">
        <v>4</v>
      </c>
      <c r="Q4114" s="182">
        <v>2000</v>
      </c>
      <c r="R4114" s="46">
        <v>4.07</v>
      </c>
      <c r="S4114" s="46">
        <v>1</v>
      </c>
      <c r="T4114" s="46">
        <v>1400</v>
      </c>
      <c r="U4114" s="46">
        <v>3.85</v>
      </c>
      <c r="V4114" s="46" t="s">
        <v>62</v>
      </c>
      <c r="W4114" s="46">
        <v>600</v>
      </c>
      <c r="X4114" s="46">
        <v>4.5830000000000002</v>
      </c>
      <c r="AF4114" s="46">
        <v>30</v>
      </c>
      <c r="AG4114" s="46">
        <v>15000</v>
      </c>
      <c r="AH4114" s="46">
        <v>69729.000000000015</v>
      </c>
      <c r="AI4114" s="46">
        <v>4.649</v>
      </c>
      <c r="AJ4114" s="46">
        <v>30</v>
      </c>
      <c r="AK4114" s="46">
        <v>12100</v>
      </c>
      <c r="AL4114" s="46">
        <v>56975.270999999979</v>
      </c>
      <c r="AM4114" s="46">
        <v>4.7089999999999996</v>
      </c>
      <c r="AN4114" s="46" t="s">
        <v>63</v>
      </c>
      <c r="AO4114" s="46">
        <v>2900</v>
      </c>
      <c r="AP4114" s="46">
        <v>12753.728999999999</v>
      </c>
      <c r="AQ4114" s="46">
        <v>4.3979999999999997</v>
      </c>
      <c r="AR4114" s="46">
        <v>726</v>
      </c>
      <c r="AS4114" s="46">
        <v>34</v>
      </c>
      <c r="AT4114" s="46">
        <v>17000</v>
      </c>
      <c r="AU4114" s="46">
        <v>77890.200000000026</v>
      </c>
      <c r="AV4114" s="46">
        <v>4.5819999999999999</v>
      </c>
      <c r="AW4114" s="46">
        <v>31</v>
      </c>
      <c r="AX4114" s="46">
        <v>13500</v>
      </c>
      <c r="AY4114" s="46">
        <v>62814.040999999983</v>
      </c>
      <c r="AZ4114" s="46">
        <v>4.6529999999999996</v>
      </c>
      <c r="BA4114" s="46" t="s">
        <v>63</v>
      </c>
      <c r="BB4114" s="46">
        <v>3500</v>
      </c>
      <c r="BC4114" s="46">
        <v>15076.159</v>
      </c>
      <c r="BD4114" s="46">
        <v>4.3070000000000004</v>
      </c>
      <c r="BE4114" s="46">
        <v>958.5</v>
      </c>
      <c r="BF4114" s="46">
        <v>8161.2000000000116</v>
      </c>
      <c r="BG4114" s="46">
        <v>4.08</v>
      </c>
      <c r="BH4114" s="46">
        <v>5838.7700000000041</v>
      </c>
      <c r="BI4114">
        <v>4.17</v>
      </c>
      <c r="BJ4114">
        <v>2322.4300000000003</v>
      </c>
      <c r="BK4114">
        <v>3.87</v>
      </c>
      <c r="BL4114">
        <v>205.67</v>
      </c>
    </row>
    <row r="4115" spans="1:64" x14ac:dyDescent="0.25">
      <c r="A4115" s="136">
        <v>44040</v>
      </c>
      <c r="B4115" t="s">
        <v>77</v>
      </c>
      <c r="C4115" t="s">
        <v>150</v>
      </c>
      <c r="D4115">
        <v>6700</v>
      </c>
      <c r="E4115">
        <v>6700</v>
      </c>
      <c r="F4115">
        <v>5.0060000000000002</v>
      </c>
      <c r="G4115">
        <v>-13371.99</v>
      </c>
      <c r="H4115">
        <v>-39.872</v>
      </c>
      <c r="I4115">
        <v>20167</v>
      </c>
      <c r="J4115">
        <v>3.01</v>
      </c>
      <c r="K4115" s="133">
        <v>3.7873501752947611E-2</v>
      </c>
      <c r="L4115" s="181">
        <v>-134</v>
      </c>
      <c r="M4115" s="133">
        <v>6.2986016589333685E-2</v>
      </c>
      <c r="N4115" s="73">
        <v>-12938.943999999981</v>
      </c>
      <c r="O4115" s="73">
        <v>-3946.8966755555498</v>
      </c>
      <c r="P4115" s="182">
        <v>8</v>
      </c>
      <c r="Q4115" s="182">
        <v>3900</v>
      </c>
      <c r="R4115" s="46">
        <v>3.8889999999999998</v>
      </c>
      <c r="S4115" s="46">
        <v>1</v>
      </c>
      <c r="T4115" s="46">
        <v>1000</v>
      </c>
      <c r="U4115" s="46">
        <v>3.47</v>
      </c>
      <c r="V4115" s="46" t="s">
        <v>62</v>
      </c>
      <c r="W4115" s="46">
        <v>2900</v>
      </c>
      <c r="X4115" s="46">
        <v>4.0330000000000004</v>
      </c>
      <c r="AF4115" s="46">
        <v>69</v>
      </c>
      <c r="AG4115" s="46">
        <v>34000</v>
      </c>
      <c r="AH4115" s="46">
        <v>206030</v>
      </c>
      <c r="AI4115" s="46">
        <v>6.06</v>
      </c>
      <c r="AJ4115" s="46">
        <v>69</v>
      </c>
      <c r="AK4115" s="46">
        <v>30200</v>
      </c>
      <c r="AL4115" s="46">
        <v>183944.52600000007</v>
      </c>
      <c r="AM4115" s="46">
        <v>6.0910000000000002</v>
      </c>
      <c r="AN4115" s="46" t="s">
        <v>63</v>
      </c>
      <c r="AO4115" s="46">
        <v>3800</v>
      </c>
      <c r="AP4115" s="46">
        <v>22085.473999999998</v>
      </c>
      <c r="AQ4115" s="46">
        <v>5.8120000000000003</v>
      </c>
      <c r="AR4115" s="46">
        <v>936.2</v>
      </c>
      <c r="AS4115" s="46">
        <v>77</v>
      </c>
      <c r="AT4115" s="46">
        <v>37900</v>
      </c>
      <c r="AU4115" s="46">
        <v>220950</v>
      </c>
      <c r="AV4115" s="46">
        <v>5.83</v>
      </c>
      <c r="AW4115" s="46">
        <v>70</v>
      </c>
      <c r="AX4115" s="46">
        <v>31200</v>
      </c>
      <c r="AY4115" s="46">
        <v>187406.05600000007</v>
      </c>
      <c r="AZ4115" s="46">
        <v>6.0069999999999997</v>
      </c>
      <c r="BA4115" s="46" t="s">
        <v>63</v>
      </c>
      <c r="BB4115" s="46">
        <v>6700</v>
      </c>
      <c r="BC4115" s="46">
        <v>33543.944000000003</v>
      </c>
      <c r="BD4115" s="46">
        <v>5.0069999999999997</v>
      </c>
      <c r="BE4115" s="46">
        <v>5522.4</v>
      </c>
      <c r="BF4115" s="46">
        <v>14920</v>
      </c>
      <c r="BG4115" s="46">
        <v>3.83</v>
      </c>
      <c r="BH4115" s="46">
        <v>3461.5299999999988</v>
      </c>
      <c r="BI4115">
        <v>3.46</v>
      </c>
      <c r="BJ4115">
        <v>11458.470000000005</v>
      </c>
      <c r="BK4115">
        <v>3.95</v>
      </c>
      <c r="BL4115">
        <v>311.02999999999997</v>
      </c>
    </row>
    <row r="4116" spans="1:64" x14ac:dyDescent="0.25">
      <c r="A4116" s="136">
        <v>44040</v>
      </c>
      <c r="B4116" t="s">
        <v>79</v>
      </c>
      <c r="C4116" t="s">
        <v>143</v>
      </c>
      <c r="D4116">
        <v>6800</v>
      </c>
      <c r="E4116">
        <v>6800</v>
      </c>
      <c r="F4116">
        <v>10.597</v>
      </c>
      <c r="G4116">
        <v>-18678</v>
      </c>
      <c r="H4116">
        <v>-25.922000000000001</v>
      </c>
      <c r="I4116">
        <v>53380</v>
      </c>
      <c r="J4116">
        <v>7.85</v>
      </c>
      <c r="K4116" s="133">
        <v>0.10024731113067603</v>
      </c>
      <c r="L4116" s="181">
        <v>330.93999999999869</v>
      </c>
      <c r="M4116" s="133">
        <v>0.1353244800572172</v>
      </c>
      <c r="N4116" s="73">
        <v>-20075.135400000421</v>
      </c>
      <c r="O4116" s="73">
        <v>-2622.888605529467</v>
      </c>
      <c r="P4116" s="182">
        <v>2</v>
      </c>
      <c r="Q4116" s="182">
        <v>3320</v>
      </c>
      <c r="R4116" s="46">
        <v>0.94499999999999995</v>
      </c>
      <c r="S4116" s="46">
        <v>4</v>
      </c>
      <c r="T4116" s="46">
        <v>1600</v>
      </c>
      <c r="U4116" s="46">
        <v>8.7850000000000001</v>
      </c>
      <c r="V4116" s="46" t="s">
        <v>62</v>
      </c>
      <c r="W4116" s="46">
        <v>1720</v>
      </c>
      <c r="X4116" s="46">
        <v>-6.3479999999999999</v>
      </c>
      <c r="AF4116" s="46">
        <v>95</v>
      </c>
      <c r="AG4116" s="46">
        <v>44400</v>
      </c>
      <c r="AH4116" s="46">
        <v>460149.6399999992</v>
      </c>
      <c r="AI4116" s="46">
        <v>10.364000000000001</v>
      </c>
      <c r="AJ4116" s="46">
        <v>91</v>
      </c>
      <c r="AK4116" s="46">
        <v>39320</v>
      </c>
      <c r="AL4116" s="46">
        <v>377181.51259999943</v>
      </c>
      <c r="AM4116" s="46">
        <v>9.593</v>
      </c>
      <c r="AN4116" s="46" t="s">
        <v>63</v>
      </c>
      <c r="AO4116" s="46">
        <v>5080</v>
      </c>
      <c r="AP4116" s="46">
        <v>82968.126999999993</v>
      </c>
      <c r="AQ4116" s="46">
        <v>16.332000000000001</v>
      </c>
      <c r="AR4116" s="46">
        <v>-30315.72</v>
      </c>
      <c r="AS4116" s="46">
        <v>97</v>
      </c>
      <c r="AT4116" s="46">
        <v>47720</v>
      </c>
      <c r="AU4116" s="46">
        <v>463297.63199999917</v>
      </c>
      <c r="AV4116" s="46">
        <v>9.7089999999999996</v>
      </c>
      <c r="AW4116" s="46">
        <v>95</v>
      </c>
      <c r="AX4116" s="46">
        <v>40920</v>
      </c>
      <c r="AY4116" s="46">
        <v>391202.49659999949</v>
      </c>
      <c r="AZ4116" s="46">
        <v>9.56</v>
      </c>
      <c r="BA4116" s="46" t="s">
        <v>63</v>
      </c>
      <c r="BB4116" s="46">
        <v>6800</v>
      </c>
      <c r="BC4116" s="46">
        <v>72095.134999999995</v>
      </c>
      <c r="BD4116" s="46">
        <v>10.602</v>
      </c>
      <c r="BE4116" s="46">
        <v>-6097.08</v>
      </c>
      <c r="BF4116" s="46">
        <v>3147.9919999999693</v>
      </c>
      <c r="BG4116" s="46">
        <v>0.95</v>
      </c>
      <c r="BH4116" s="46">
        <v>14020.984000000055</v>
      </c>
      <c r="BI4116">
        <v>8.76</v>
      </c>
      <c r="BJ4116">
        <v>-10872.991999999998</v>
      </c>
      <c r="BK4116">
        <v>-6.32</v>
      </c>
      <c r="BL4116">
        <v>-3861.88</v>
      </c>
    </row>
    <row r="4117" spans="1:64" x14ac:dyDescent="0.25">
      <c r="A4117" s="136">
        <v>44040</v>
      </c>
      <c r="B4117" t="s">
        <v>70</v>
      </c>
      <c r="C4117" t="s">
        <v>131</v>
      </c>
      <c r="D4117">
        <v>13280</v>
      </c>
      <c r="E4117">
        <v>13280</v>
      </c>
      <c r="F4117">
        <v>8.2219999999999995</v>
      </c>
      <c r="G4117">
        <v>-18748.23</v>
      </c>
      <c r="H4117">
        <v>-17.172999999999998</v>
      </c>
      <c r="I4117">
        <v>90436.800000000003</v>
      </c>
      <c r="J4117">
        <v>6.81</v>
      </c>
      <c r="K4117" s="133">
        <v>0.16983975322710232</v>
      </c>
      <c r="L4117" s="181">
        <v>0</v>
      </c>
      <c r="M4117" s="133">
        <v>0.20504881366096284</v>
      </c>
      <c r="N4117" s="73">
        <v>-18092.140999999989</v>
      </c>
      <c r="O4117" s="73">
        <v>-2636.019669023322</v>
      </c>
      <c r="P4117" s="182">
        <v>0</v>
      </c>
      <c r="Q4117" s="182">
        <v>0</v>
      </c>
      <c r="R4117" s="46">
        <v>0</v>
      </c>
      <c r="S4117" s="46">
        <v>9</v>
      </c>
      <c r="T4117" s="46">
        <v>5200</v>
      </c>
      <c r="U4117" s="46">
        <v>7.383</v>
      </c>
      <c r="V4117" s="46" t="s">
        <v>68</v>
      </c>
      <c r="W4117" s="46">
        <v>5200</v>
      </c>
      <c r="X4117" s="46">
        <v>7.383</v>
      </c>
      <c r="AF4117" s="46">
        <v>228</v>
      </c>
      <c r="AG4117" s="46">
        <v>113180</v>
      </c>
      <c r="AH4117" s="46">
        <v>1232560</v>
      </c>
      <c r="AI4117" s="46">
        <v>10.89</v>
      </c>
      <c r="AJ4117" s="46">
        <v>235</v>
      </c>
      <c r="AK4117" s="46">
        <v>94700</v>
      </c>
      <c r="AL4117" s="46">
        <v>1082858.4509999997</v>
      </c>
      <c r="AM4117" s="46">
        <v>11.435</v>
      </c>
      <c r="AN4117" s="46" t="s">
        <v>63</v>
      </c>
      <c r="AO4117" s="46">
        <v>18480</v>
      </c>
      <c r="AP4117" s="46">
        <v>149701.549</v>
      </c>
      <c r="AQ4117" s="46">
        <v>8.1010000000000009</v>
      </c>
      <c r="AR4117" s="46">
        <v>51611.5</v>
      </c>
      <c r="AS4117" s="46">
        <v>228</v>
      </c>
      <c r="AT4117" s="46">
        <v>113180</v>
      </c>
      <c r="AU4117" s="46">
        <v>1232560</v>
      </c>
      <c r="AV4117" s="46">
        <v>10.89</v>
      </c>
      <c r="AW4117" s="46">
        <v>245</v>
      </c>
      <c r="AX4117" s="46">
        <v>99900</v>
      </c>
      <c r="AY4117" s="46">
        <v>1121597.0589999997</v>
      </c>
      <c r="AZ4117" s="46">
        <v>11.227</v>
      </c>
      <c r="BA4117" s="46" t="s">
        <v>63</v>
      </c>
      <c r="BB4117" s="46">
        <v>13280</v>
      </c>
      <c r="BC4117" s="46">
        <v>110962.94100000001</v>
      </c>
      <c r="BD4117" s="46">
        <v>8.3559999999999999</v>
      </c>
      <c r="BE4117" s="46">
        <v>33666.300000000003</v>
      </c>
      <c r="BF4117" s="46">
        <v>0</v>
      </c>
      <c r="BH4117" s="46">
        <v>38738.608000000007</v>
      </c>
      <c r="BI4117">
        <v>7.45</v>
      </c>
      <c r="BJ4117">
        <v>-38738.607999999993</v>
      </c>
      <c r="BK4117">
        <v>-7.45</v>
      </c>
      <c r="BL4117">
        <v>7578.78</v>
      </c>
    </row>
    <row r="4118" spans="1:64" x14ac:dyDescent="0.25">
      <c r="A4118" s="136">
        <v>44040</v>
      </c>
      <c r="B4118" t="s">
        <v>65</v>
      </c>
      <c r="C4118" t="s">
        <v>82</v>
      </c>
      <c r="D4118">
        <v>25300</v>
      </c>
      <c r="E4118">
        <v>25300</v>
      </c>
      <c r="F4118">
        <v>8.2439999999999998</v>
      </c>
      <c r="G4118">
        <v>-38549.94</v>
      </c>
      <c r="H4118">
        <v>-18.486000000000001</v>
      </c>
      <c r="I4118">
        <v>170016</v>
      </c>
      <c r="J4118">
        <v>6.72</v>
      </c>
      <c r="K4118" s="133">
        <v>0.31928900054689052</v>
      </c>
      <c r="L4118" s="181">
        <v>-1732</v>
      </c>
      <c r="M4118" s="133">
        <v>0.39168555036421709</v>
      </c>
      <c r="N4118" s="73">
        <v>55160.901999999856</v>
      </c>
      <c r="O4118" s="73">
        <v>-5917.7451113398638</v>
      </c>
      <c r="P4118" s="182">
        <v>2</v>
      </c>
      <c r="Q4118" s="182">
        <v>800</v>
      </c>
      <c r="R4118" s="46">
        <v>6.73</v>
      </c>
      <c r="S4118" s="46">
        <v>1</v>
      </c>
      <c r="T4118" s="46">
        <v>4500</v>
      </c>
      <c r="U4118" s="46">
        <v>7.48</v>
      </c>
      <c r="V4118" s="46" t="s">
        <v>68</v>
      </c>
      <c r="W4118" s="46">
        <v>3700</v>
      </c>
      <c r="X4118" s="46">
        <v>7.6420000000000003</v>
      </c>
      <c r="AF4118" s="46">
        <v>301</v>
      </c>
      <c r="AG4118" s="46">
        <v>160600</v>
      </c>
      <c r="AH4118" s="46">
        <v>1608838.6810000001</v>
      </c>
      <c r="AI4118" s="46">
        <v>10.018000000000001</v>
      </c>
      <c r="AJ4118" s="46">
        <v>333</v>
      </c>
      <c r="AK4118" s="46">
        <v>140900</v>
      </c>
      <c r="AL4118" s="46">
        <v>1355426.216</v>
      </c>
      <c r="AM4118" s="46">
        <v>9.6199999999999992</v>
      </c>
      <c r="AN4118" s="46" t="s">
        <v>63</v>
      </c>
      <c r="AO4118" s="46">
        <v>19700</v>
      </c>
      <c r="AP4118" s="46">
        <v>253412.465</v>
      </c>
      <c r="AQ4118" s="46">
        <v>12.864000000000001</v>
      </c>
      <c r="AR4118" s="46">
        <v>-56078.2</v>
      </c>
      <c r="AS4118" s="46">
        <v>307</v>
      </c>
      <c r="AT4118" s="46">
        <v>163200</v>
      </c>
      <c r="AU4118" s="46">
        <v>1626794.6810000001</v>
      </c>
      <c r="AV4118" s="46">
        <v>9.968</v>
      </c>
      <c r="AW4118" s="46">
        <v>338</v>
      </c>
      <c r="AX4118" s="46">
        <v>147000</v>
      </c>
      <c r="AY4118" s="46">
        <v>1402103.0489999999</v>
      </c>
      <c r="AZ4118" s="46">
        <v>9.5380000000000003</v>
      </c>
      <c r="BA4118" s="46" t="s">
        <v>63</v>
      </c>
      <c r="BB4118" s="46">
        <v>16200</v>
      </c>
      <c r="BC4118" s="46">
        <v>224691.63200000001</v>
      </c>
      <c r="BD4118" s="46">
        <v>13.87</v>
      </c>
      <c r="BE4118" s="46">
        <v>-63210</v>
      </c>
      <c r="BF4118" s="46">
        <v>17956</v>
      </c>
      <c r="BG4118" s="46">
        <v>22.45</v>
      </c>
      <c r="BH4118" s="46">
        <v>46676.832999999868</v>
      </c>
      <c r="BI4118">
        <v>10.37</v>
      </c>
      <c r="BJ4118">
        <v>-28720.832999999984</v>
      </c>
      <c r="BK4118">
        <v>-7.76</v>
      </c>
      <c r="BL4118">
        <v>-8344.9699999999993</v>
      </c>
    </row>
    <row r="4119" spans="1:64" x14ac:dyDescent="0.25">
      <c r="A4119" s="136">
        <v>44040</v>
      </c>
      <c r="B4119" t="s">
        <v>835</v>
      </c>
      <c r="C4119" t="s">
        <v>839</v>
      </c>
      <c r="I4119">
        <v>5058.55</v>
      </c>
      <c r="K4119" s="133">
        <v>9.4999257347336309E-3</v>
      </c>
      <c r="L4119" s="181">
        <v>0</v>
      </c>
      <c r="M4119" s="133">
        <v>0.24428481872410934</v>
      </c>
    </row>
    <row r="4120" spans="1:64" x14ac:dyDescent="0.25">
      <c r="A4120" s="136">
        <v>44042</v>
      </c>
      <c r="B4120" t="s">
        <v>132</v>
      </c>
      <c r="C4120" t="s">
        <v>123</v>
      </c>
      <c r="D4120">
        <v>14389016</v>
      </c>
      <c r="E4120">
        <v>14389016</v>
      </c>
      <c r="F4120">
        <v>0.01</v>
      </c>
      <c r="G4120">
        <v>118.16</v>
      </c>
      <c r="H4120">
        <v>0</v>
      </c>
      <c r="I4120">
        <v>143890.16</v>
      </c>
      <c r="J4120">
        <v>0.01</v>
      </c>
      <c r="K4120" s="133">
        <v>0.26441619802014982</v>
      </c>
      <c r="L4120" s="181">
        <v>9.6199999999999903</v>
      </c>
      <c r="M4120" s="133">
        <v>0</v>
      </c>
    </row>
    <row r="4121" spans="1:64" x14ac:dyDescent="0.25">
      <c r="A4121" s="136">
        <v>44042</v>
      </c>
      <c r="B4121" t="s">
        <v>61</v>
      </c>
      <c r="C4121" t="s">
        <v>136</v>
      </c>
      <c r="D4121">
        <v>3500</v>
      </c>
      <c r="E4121">
        <v>3500</v>
      </c>
      <c r="F4121">
        <v>4.3079999999999998</v>
      </c>
      <c r="G4121">
        <v>-2511.64</v>
      </c>
      <c r="H4121">
        <v>-16.66</v>
      </c>
      <c r="I4121">
        <v>12565</v>
      </c>
      <c r="J4121">
        <v>3.59</v>
      </c>
      <c r="K4121" s="133">
        <v>2.308976185809497E-2</v>
      </c>
      <c r="L4121" s="181">
        <v>210</v>
      </c>
      <c r="M4121" s="133">
        <v>2.7705215059309903E-2</v>
      </c>
      <c r="N4121" s="73">
        <v>-2546.1590000000033</v>
      </c>
      <c r="O4121" s="73">
        <v>-710.86198896648148</v>
      </c>
      <c r="P4121" s="182">
        <v>4</v>
      </c>
      <c r="Q4121" s="182">
        <v>2000</v>
      </c>
      <c r="R4121" s="46">
        <v>4.07</v>
      </c>
      <c r="S4121" s="46">
        <v>1</v>
      </c>
      <c r="T4121" s="46">
        <v>1400</v>
      </c>
      <c r="U4121" s="46">
        <v>3.85</v>
      </c>
      <c r="V4121" s="46" t="s">
        <v>62</v>
      </c>
      <c r="W4121" s="46">
        <v>600</v>
      </c>
      <c r="X4121" s="46">
        <v>4.5830000000000002</v>
      </c>
      <c r="AF4121" s="46">
        <v>30</v>
      </c>
      <c r="AG4121" s="46">
        <v>15000</v>
      </c>
      <c r="AH4121" s="46">
        <v>69729.000000000015</v>
      </c>
      <c r="AI4121" s="46">
        <v>4.649</v>
      </c>
      <c r="AJ4121" s="46">
        <v>30</v>
      </c>
      <c r="AK4121" s="46">
        <v>12100</v>
      </c>
      <c r="AL4121" s="46">
        <v>56975.270999999979</v>
      </c>
      <c r="AM4121" s="46">
        <v>4.7089999999999996</v>
      </c>
      <c r="AN4121" s="46" t="s">
        <v>63</v>
      </c>
      <c r="AO4121" s="46">
        <v>2900</v>
      </c>
      <c r="AP4121" s="46">
        <v>12753.728999999999</v>
      </c>
      <c r="AQ4121" s="46">
        <v>4.3979999999999997</v>
      </c>
      <c r="AR4121" s="46">
        <v>726</v>
      </c>
      <c r="AS4121" s="46">
        <v>34</v>
      </c>
      <c r="AT4121" s="46">
        <v>17000</v>
      </c>
      <c r="AU4121" s="46">
        <v>77890.200000000026</v>
      </c>
      <c r="AV4121" s="46">
        <v>4.5819999999999999</v>
      </c>
      <c r="AW4121" s="46">
        <v>31</v>
      </c>
      <c r="AX4121" s="46">
        <v>13500</v>
      </c>
      <c r="AY4121" s="46">
        <v>62814.040999999983</v>
      </c>
      <c r="AZ4121" s="46">
        <v>4.6529999999999996</v>
      </c>
      <c r="BA4121" s="46" t="s">
        <v>63</v>
      </c>
      <c r="BB4121" s="46">
        <v>3500</v>
      </c>
      <c r="BC4121" s="46">
        <v>15076.159</v>
      </c>
      <c r="BD4121" s="46">
        <v>4.3070000000000004</v>
      </c>
      <c r="BE4121" s="46">
        <v>958.5</v>
      </c>
      <c r="BF4121" s="46">
        <v>8161.2000000000116</v>
      </c>
      <c r="BG4121" s="46">
        <v>4.08</v>
      </c>
      <c r="BH4121" s="46">
        <v>5838.7700000000041</v>
      </c>
      <c r="BI4121">
        <v>4.17</v>
      </c>
      <c r="BJ4121">
        <v>2322.4300000000003</v>
      </c>
      <c r="BK4121">
        <v>3.87</v>
      </c>
      <c r="BL4121">
        <v>202.23</v>
      </c>
    </row>
    <row r="4122" spans="1:64" x14ac:dyDescent="0.25">
      <c r="A4122" s="136">
        <v>44042</v>
      </c>
      <c r="B4122" t="s">
        <v>124</v>
      </c>
      <c r="C4122" t="s">
        <v>125</v>
      </c>
      <c r="D4122">
        <v>100</v>
      </c>
      <c r="E4122">
        <v>100</v>
      </c>
      <c r="F4122">
        <v>0.73699999999999999</v>
      </c>
      <c r="G4122">
        <v>424.28</v>
      </c>
      <c r="H4122">
        <v>575.69000000000005</v>
      </c>
      <c r="I4122">
        <v>498</v>
      </c>
      <c r="J4122">
        <v>4.9800000000000004</v>
      </c>
      <c r="K4122" s="133">
        <v>9.1513739795712657E-4</v>
      </c>
      <c r="L4122" s="181">
        <v>0</v>
      </c>
      <c r="M4122" s="133">
        <v>1.3546973690240841E-4</v>
      </c>
      <c r="N4122" s="73">
        <v>5623.0690000000113</v>
      </c>
      <c r="O4122" s="73">
        <v>1111.8087987827732</v>
      </c>
      <c r="P4122" s="182">
        <v>0</v>
      </c>
      <c r="Q4122" s="182">
        <v>0</v>
      </c>
      <c r="R4122" s="46">
        <v>0</v>
      </c>
      <c r="S4122" s="46">
        <v>5</v>
      </c>
      <c r="T4122" s="46">
        <v>2300</v>
      </c>
      <c r="U4122" s="46">
        <v>4.99</v>
      </c>
      <c r="V4122" s="46" t="s">
        <v>68</v>
      </c>
      <c r="W4122" s="46">
        <v>2300</v>
      </c>
      <c r="X4122" s="46">
        <v>4.99</v>
      </c>
      <c r="AF4122" s="46">
        <v>50</v>
      </c>
      <c r="AG4122" s="46">
        <v>36700</v>
      </c>
      <c r="AH4122" s="46">
        <v>180101.02000000002</v>
      </c>
      <c r="AI4122" s="46">
        <v>4.907</v>
      </c>
      <c r="AJ4122" s="46">
        <v>58</v>
      </c>
      <c r="AK4122" s="46">
        <v>35300</v>
      </c>
      <c r="AL4122" s="46">
        <v>178266.546</v>
      </c>
      <c r="AM4122" s="46">
        <v>5.05</v>
      </c>
      <c r="AN4122" s="46" t="s">
        <v>63</v>
      </c>
      <c r="AO4122" s="46">
        <v>1400</v>
      </c>
      <c r="AP4122" s="46">
        <v>1834.4739999999999</v>
      </c>
      <c r="AQ4122" s="46">
        <v>1.31</v>
      </c>
      <c r="AR4122" s="46">
        <v>5047.8999999999996</v>
      </c>
      <c r="AS4122" s="46">
        <v>51</v>
      </c>
      <c r="AT4122" s="46">
        <v>37700</v>
      </c>
      <c r="AU4122" s="46">
        <v>185106.62</v>
      </c>
      <c r="AV4122" s="46">
        <v>4.91</v>
      </c>
      <c r="AW4122" s="46">
        <v>63</v>
      </c>
      <c r="AX4122" s="46">
        <v>37600</v>
      </c>
      <c r="AY4122" s="46">
        <v>189763.68900000001</v>
      </c>
      <c r="AZ4122" s="46">
        <v>5.0469999999999997</v>
      </c>
      <c r="BA4122" s="46" t="s">
        <v>63</v>
      </c>
      <c r="BB4122" s="46">
        <v>100</v>
      </c>
      <c r="BC4122" s="46">
        <v>4657.0690000000004</v>
      </c>
      <c r="BD4122" s="46">
        <v>46.570999999999998</v>
      </c>
      <c r="BE4122" s="46">
        <v>5151.2</v>
      </c>
      <c r="BF4122" s="46">
        <v>5005.5999999999767</v>
      </c>
      <c r="BH4122" s="46">
        <v>11497.143000000011</v>
      </c>
      <c r="BI4122">
        <v>5</v>
      </c>
      <c r="BJ4122">
        <v>2822.5950000000003</v>
      </c>
      <c r="BK4122">
        <v>1.23</v>
      </c>
      <c r="BL4122">
        <v>1013.63</v>
      </c>
    </row>
    <row r="4123" spans="1:64" x14ac:dyDescent="0.25">
      <c r="A4123" s="136">
        <v>44042</v>
      </c>
      <c r="B4123" t="s">
        <v>71</v>
      </c>
      <c r="C4123" t="s">
        <v>126</v>
      </c>
      <c r="D4123">
        <v>4700</v>
      </c>
      <c r="E4123">
        <v>4700</v>
      </c>
      <c r="F4123">
        <v>4.0659999999999998</v>
      </c>
      <c r="G4123">
        <v>5141.84</v>
      </c>
      <c r="H4123">
        <v>26.91</v>
      </c>
      <c r="I4123">
        <v>24252</v>
      </c>
      <c r="J4123">
        <v>5.16</v>
      </c>
      <c r="K4123" s="133">
        <v>4.4566088705333802E-2</v>
      </c>
      <c r="L4123" s="181">
        <v>141</v>
      </c>
      <c r="M4123" s="133">
        <v>3.5117313447679439E-2</v>
      </c>
      <c r="N4123" s="73">
        <v>5019.1840000000047</v>
      </c>
      <c r="O4123" s="73">
        <v>976.0066941634251</v>
      </c>
      <c r="P4123" s="182">
        <v>0</v>
      </c>
      <c r="Q4123" s="182">
        <v>0</v>
      </c>
      <c r="R4123" s="46">
        <v>0</v>
      </c>
      <c r="S4123" s="46">
        <v>2</v>
      </c>
      <c r="T4123" s="46">
        <v>800</v>
      </c>
      <c r="U4123" s="46">
        <v>5.915</v>
      </c>
      <c r="V4123" s="46" t="s">
        <v>68</v>
      </c>
      <c r="W4123" s="46">
        <v>800</v>
      </c>
      <c r="X4123" s="46">
        <v>5.915</v>
      </c>
      <c r="AF4123" s="46">
        <v>73</v>
      </c>
      <c r="AG4123" s="46">
        <v>38900</v>
      </c>
      <c r="AH4123" s="46">
        <v>235563.05999999982</v>
      </c>
      <c r="AI4123" s="46">
        <v>6.056</v>
      </c>
      <c r="AJ4123" s="46">
        <v>78</v>
      </c>
      <c r="AK4123" s="46">
        <v>33800</v>
      </c>
      <c r="AL4123" s="46">
        <v>213607.49600000001</v>
      </c>
      <c r="AM4123" s="46">
        <v>6.32</v>
      </c>
      <c r="AN4123" s="46" t="s">
        <v>63</v>
      </c>
      <c r="AO4123" s="46">
        <v>5100</v>
      </c>
      <c r="AP4123" s="46">
        <v>21955.563999999998</v>
      </c>
      <c r="AQ4123" s="46">
        <v>4.3049999999999997</v>
      </c>
      <c r="AR4123" s="46">
        <v>8923.2000000000007</v>
      </c>
      <c r="AS4123" s="46">
        <v>74</v>
      </c>
      <c r="AT4123" s="46">
        <v>39300</v>
      </c>
      <c r="AU4123" s="46">
        <v>237624.29999999981</v>
      </c>
      <c r="AV4123" s="46">
        <v>6.0460000000000003</v>
      </c>
      <c r="AW4123" s="46">
        <v>80</v>
      </c>
      <c r="AX4123" s="46">
        <v>34600</v>
      </c>
      <c r="AY4123" s="46">
        <v>218324.28400000001</v>
      </c>
      <c r="AZ4123" s="46">
        <v>6.31</v>
      </c>
      <c r="BA4123" s="46" t="s">
        <v>63</v>
      </c>
      <c r="BB4123" s="46">
        <v>4700</v>
      </c>
      <c r="BC4123" s="46">
        <v>19300.016</v>
      </c>
      <c r="BD4123" s="46">
        <v>4.1059999999999999</v>
      </c>
      <c r="BE4123" s="46">
        <v>9134.4</v>
      </c>
      <c r="BF4123" s="46">
        <v>2061.2399999999907</v>
      </c>
      <c r="BH4123" s="46">
        <v>4716.7880000000005</v>
      </c>
      <c r="BI4123">
        <v>5.9</v>
      </c>
      <c r="BJ4123">
        <v>-2655.5479999999989</v>
      </c>
      <c r="BK4123">
        <v>-3.32</v>
      </c>
      <c r="BL4123">
        <v>1729.3</v>
      </c>
    </row>
    <row r="4124" spans="1:64" x14ac:dyDescent="0.25">
      <c r="A4124" s="136">
        <v>44042</v>
      </c>
      <c r="B4124" t="s">
        <v>79</v>
      </c>
      <c r="C4124" t="s">
        <v>143</v>
      </c>
      <c r="D4124">
        <v>6400</v>
      </c>
      <c r="E4124">
        <v>6400</v>
      </c>
      <c r="F4124">
        <v>10.76</v>
      </c>
      <c r="G4124">
        <v>-18494.259999999998</v>
      </c>
      <c r="H4124">
        <v>-26.86</v>
      </c>
      <c r="I4124">
        <v>50368</v>
      </c>
      <c r="J4124">
        <v>7.87</v>
      </c>
      <c r="K4124" s="133">
        <v>9.255751096446696E-2</v>
      </c>
      <c r="L4124" s="181">
        <v>183.7400000000016</v>
      </c>
      <c r="M4124" s="133">
        <v>0.12654303099166087</v>
      </c>
      <c r="N4124" s="73">
        <v>-18728.81940000043</v>
      </c>
      <c r="O4124" s="73">
        <v>-2200.5944582147849</v>
      </c>
      <c r="P4124" s="182">
        <v>1</v>
      </c>
      <c r="Q4124" s="182">
        <v>2920</v>
      </c>
      <c r="R4124" s="46">
        <v>0</v>
      </c>
      <c r="S4124" s="46">
        <v>4</v>
      </c>
      <c r="T4124" s="46">
        <v>1600</v>
      </c>
      <c r="U4124" s="46">
        <v>8.7850000000000001</v>
      </c>
      <c r="V4124" s="46" t="s">
        <v>62</v>
      </c>
      <c r="W4124" s="46">
        <v>1320</v>
      </c>
      <c r="X4124" s="46">
        <v>-10.648</v>
      </c>
      <c r="AF4124" s="46">
        <v>96</v>
      </c>
      <c r="AG4124" s="46">
        <v>44800</v>
      </c>
      <c r="AH4124" s="46">
        <v>463290.87999999919</v>
      </c>
      <c r="AI4124" s="46">
        <v>10.340999999999999</v>
      </c>
      <c r="AJ4124" s="46">
        <v>92</v>
      </c>
      <c r="AK4124" s="46">
        <v>39720</v>
      </c>
      <c r="AL4124" s="46">
        <v>380377.06859999942</v>
      </c>
      <c r="AM4124" s="46">
        <v>9.5760000000000005</v>
      </c>
      <c r="AN4124" s="46" t="s">
        <v>63</v>
      </c>
      <c r="AO4124" s="46">
        <v>5080</v>
      </c>
      <c r="AP4124" s="46">
        <v>82913.811000000002</v>
      </c>
      <c r="AQ4124" s="46">
        <v>16.321999999999999</v>
      </c>
      <c r="AR4124" s="46">
        <v>-30385.8</v>
      </c>
      <c r="AS4124" s="46">
        <v>97</v>
      </c>
      <c r="AT4124" s="46">
        <v>47720</v>
      </c>
      <c r="AU4124" s="46">
        <v>463297.63199999917</v>
      </c>
      <c r="AV4124" s="46">
        <v>9.7089999999999996</v>
      </c>
      <c r="AW4124" s="46">
        <v>96</v>
      </c>
      <c r="AX4124" s="46">
        <v>41320</v>
      </c>
      <c r="AY4124" s="46">
        <v>394398.05259999947</v>
      </c>
      <c r="AZ4124" s="46">
        <v>9.5449999999999999</v>
      </c>
      <c r="BA4124" s="46" t="s">
        <v>63</v>
      </c>
      <c r="BB4124" s="46">
        <v>6400</v>
      </c>
      <c r="BC4124" s="46">
        <v>68899.578999999998</v>
      </c>
      <c r="BD4124" s="46">
        <v>10.766</v>
      </c>
      <c r="BE4124" s="46">
        <v>-6776.48</v>
      </c>
      <c r="BF4124" s="46">
        <v>6.7519999999785796</v>
      </c>
      <c r="BG4124" s="46">
        <v>0</v>
      </c>
      <c r="BH4124" s="46">
        <v>14020.984000000055</v>
      </c>
      <c r="BI4124">
        <v>8.76</v>
      </c>
      <c r="BJ4124">
        <v>-14014.232000000004</v>
      </c>
      <c r="BK4124">
        <v>-10.62</v>
      </c>
      <c r="BL4124">
        <v>-3860.97</v>
      </c>
    </row>
    <row r="4125" spans="1:64" x14ac:dyDescent="0.25">
      <c r="A4125" s="136">
        <v>44042</v>
      </c>
      <c r="B4125" t="s">
        <v>749</v>
      </c>
      <c r="C4125" t="s">
        <v>750</v>
      </c>
      <c r="D4125">
        <v>500</v>
      </c>
      <c r="E4125">
        <v>500</v>
      </c>
      <c r="F4125">
        <v>5.65</v>
      </c>
      <c r="G4125">
        <v>305</v>
      </c>
      <c r="H4125">
        <v>10.795999999999999</v>
      </c>
      <c r="I4125">
        <v>3130</v>
      </c>
      <c r="J4125">
        <v>6.26</v>
      </c>
      <c r="K4125" s="133">
        <v>5.7517671799313377E-3</v>
      </c>
      <c r="L4125" s="181">
        <v>25</v>
      </c>
      <c r="M4125" s="133">
        <v>5.1912914643150246E-3</v>
      </c>
    </row>
    <row r="4126" spans="1:64" x14ac:dyDescent="0.25">
      <c r="A4126" s="136">
        <v>44042</v>
      </c>
      <c r="B4126" t="s">
        <v>776</v>
      </c>
      <c r="C4126" t="s">
        <v>777</v>
      </c>
      <c r="D4126">
        <v>1</v>
      </c>
      <c r="E4126">
        <v>1</v>
      </c>
      <c r="F4126">
        <v>-137.5</v>
      </c>
      <c r="G4126">
        <v>208</v>
      </c>
      <c r="H4126">
        <v>0</v>
      </c>
      <c r="I4126">
        <v>70.5</v>
      </c>
      <c r="J4126">
        <v>70.5</v>
      </c>
      <c r="K4126" s="133">
        <v>1.295525834457378E-4</v>
      </c>
      <c r="L4126" s="181">
        <v>0.28000000000000114</v>
      </c>
      <c r="M4126" s="133">
        <v>0</v>
      </c>
    </row>
    <row r="4127" spans="1:64" x14ac:dyDescent="0.25">
      <c r="A4127" s="136">
        <v>44042</v>
      </c>
      <c r="B4127" t="s">
        <v>65</v>
      </c>
      <c r="C4127" t="s">
        <v>82</v>
      </c>
      <c r="D4127">
        <v>24900</v>
      </c>
      <c r="E4127">
        <v>24900</v>
      </c>
      <c r="F4127">
        <v>8.2669999999999995</v>
      </c>
      <c r="G4127">
        <v>-35027.67</v>
      </c>
      <c r="H4127">
        <v>-17.02</v>
      </c>
      <c r="I4127">
        <v>170814</v>
      </c>
      <c r="J4127">
        <v>6.86</v>
      </c>
      <c r="K4127" s="133">
        <v>0.3138921274992944</v>
      </c>
      <c r="L4127" s="181">
        <v>3522.2700000000041</v>
      </c>
      <c r="M4127" s="133">
        <v>0.37825985998985845</v>
      </c>
      <c r="N4127" s="73">
        <v>-40044.598000000144</v>
      </c>
      <c r="O4127" s="73">
        <v>-5233.5524125549464</v>
      </c>
      <c r="P4127" s="182">
        <v>1</v>
      </c>
      <c r="Q4127" s="182">
        <v>400</v>
      </c>
      <c r="R4127" s="46">
        <v>6.68</v>
      </c>
      <c r="S4127" s="46">
        <v>1</v>
      </c>
      <c r="T4127" s="46">
        <v>4500</v>
      </c>
      <c r="U4127" s="46">
        <v>7.48</v>
      </c>
      <c r="V4127" s="46" t="s">
        <v>68</v>
      </c>
      <c r="W4127" s="46">
        <v>4100</v>
      </c>
      <c r="X4127" s="46">
        <v>7.5579999999999998</v>
      </c>
      <c r="AF4127" s="46">
        <v>302</v>
      </c>
      <c r="AG4127" s="46">
        <v>161000</v>
      </c>
      <c r="AH4127" s="46">
        <v>1611555.6810000001</v>
      </c>
      <c r="AI4127" s="46">
        <v>10.01</v>
      </c>
      <c r="AJ4127" s="46">
        <v>334</v>
      </c>
      <c r="AK4127" s="46">
        <v>141300</v>
      </c>
      <c r="AL4127" s="46">
        <v>1358150.4839999999</v>
      </c>
      <c r="AM4127" s="46">
        <v>9.6120000000000001</v>
      </c>
      <c r="AN4127" s="46" t="s">
        <v>63</v>
      </c>
      <c r="AO4127" s="46">
        <v>19700</v>
      </c>
      <c r="AP4127" s="46">
        <v>253405.19699999999</v>
      </c>
      <c r="AQ4127" s="46">
        <v>12.863</v>
      </c>
      <c r="AR4127" s="46">
        <v>-56237.4</v>
      </c>
      <c r="AS4127" s="46">
        <v>307</v>
      </c>
      <c r="AT4127" s="46">
        <v>163200</v>
      </c>
      <c r="AU4127" s="46">
        <v>1626794.6810000001</v>
      </c>
      <c r="AV4127" s="46">
        <v>9.968</v>
      </c>
      <c r="AW4127" s="46">
        <v>339</v>
      </c>
      <c r="AX4127" s="46">
        <v>147400</v>
      </c>
      <c r="AY4127" s="46">
        <v>1404827.3169999998</v>
      </c>
      <c r="AZ4127" s="46">
        <v>9.5310000000000006</v>
      </c>
      <c r="BA4127" s="46" t="s">
        <v>63</v>
      </c>
      <c r="BB4127" s="46">
        <v>15800</v>
      </c>
      <c r="BC4127" s="46">
        <v>221967.364</v>
      </c>
      <c r="BD4127" s="46">
        <v>14.048999999999999</v>
      </c>
      <c r="BE4127" s="46">
        <v>-64413.8</v>
      </c>
      <c r="BF4127" s="46">
        <v>15239</v>
      </c>
      <c r="BG4127" s="46">
        <v>38.1</v>
      </c>
      <c r="BH4127" s="46">
        <v>46676.832999999868</v>
      </c>
      <c r="BI4127">
        <v>10.37</v>
      </c>
      <c r="BJ4127">
        <v>-31437.832999999984</v>
      </c>
      <c r="BK4127">
        <v>-7.67</v>
      </c>
      <c r="BL4127">
        <v>-8197.8700000000008</v>
      </c>
    </row>
    <row r="4128" spans="1:64" x14ac:dyDescent="0.25">
      <c r="A4128" s="136">
        <v>44042</v>
      </c>
      <c r="B4128" t="s">
        <v>77</v>
      </c>
      <c r="C4128" t="s">
        <v>150</v>
      </c>
      <c r="D4128">
        <v>6700</v>
      </c>
      <c r="E4128">
        <v>6700</v>
      </c>
      <c r="F4128">
        <v>5.0060000000000002</v>
      </c>
      <c r="G4128">
        <v>-13103.99</v>
      </c>
      <c r="H4128">
        <v>-39.07</v>
      </c>
      <c r="I4128">
        <v>20435</v>
      </c>
      <c r="J4128">
        <v>3.05</v>
      </c>
      <c r="K4128" s="133">
        <v>3.7551872946292933E-2</v>
      </c>
      <c r="L4128" s="181">
        <v>268</v>
      </c>
      <c r="M4128" s="133">
        <v>6.1632096463273264E-2</v>
      </c>
      <c r="N4128" s="73">
        <v>-12938.943999999981</v>
      </c>
      <c r="O4128" s="73">
        <v>-3946.8966755555498</v>
      </c>
      <c r="P4128" s="182">
        <v>8</v>
      </c>
      <c r="Q4128" s="182">
        <v>3900</v>
      </c>
      <c r="R4128" s="46">
        <v>3.8889999999999998</v>
      </c>
      <c r="S4128" s="46">
        <v>1</v>
      </c>
      <c r="T4128" s="46">
        <v>1000</v>
      </c>
      <c r="U4128" s="46">
        <v>3.47</v>
      </c>
      <c r="V4128" s="46" t="s">
        <v>62</v>
      </c>
      <c r="W4128" s="46">
        <v>2900</v>
      </c>
      <c r="X4128" s="46">
        <v>4.0330000000000004</v>
      </c>
      <c r="AF4128" s="46">
        <v>69</v>
      </c>
      <c r="AG4128" s="46">
        <v>34000</v>
      </c>
      <c r="AH4128" s="46">
        <v>206030</v>
      </c>
      <c r="AI4128" s="46">
        <v>6.06</v>
      </c>
      <c r="AJ4128" s="46">
        <v>69</v>
      </c>
      <c r="AK4128" s="46">
        <v>30200</v>
      </c>
      <c r="AL4128" s="46">
        <v>183944.52600000007</v>
      </c>
      <c r="AM4128" s="46">
        <v>6.0910000000000002</v>
      </c>
      <c r="AN4128" s="46" t="s">
        <v>63</v>
      </c>
      <c r="AO4128" s="46">
        <v>3800</v>
      </c>
      <c r="AP4128" s="46">
        <v>22085.473999999998</v>
      </c>
      <c r="AQ4128" s="46">
        <v>5.8120000000000003</v>
      </c>
      <c r="AR4128" s="46">
        <v>936.2</v>
      </c>
      <c r="AS4128" s="46">
        <v>77</v>
      </c>
      <c r="AT4128" s="46">
        <v>37900</v>
      </c>
      <c r="AU4128" s="46">
        <v>220950</v>
      </c>
      <c r="AV4128" s="46">
        <v>5.83</v>
      </c>
      <c r="AW4128" s="46">
        <v>70</v>
      </c>
      <c r="AX4128" s="46">
        <v>31200</v>
      </c>
      <c r="AY4128" s="46">
        <v>187406.05600000007</v>
      </c>
      <c r="AZ4128" s="46">
        <v>6.0069999999999997</v>
      </c>
      <c r="BA4128" s="46" t="s">
        <v>63</v>
      </c>
      <c r="BB4128" s="46">
        <v>6700</v>
      </c>
      <c r="BC4128" s="46">
        <v>33543.944000000003</v>
      </c>
      <c r="BD4128" s="46">
        <v>5.0069999999999997</v>
      </c>
      <c r="BE4128" s="46">
        <v>5522.4</v>
      </c>
      <c r="BF4128" s="46">
        <v>14920</v>
      </c>
      <c r="BG4128" s="46">
        <v>3.83</v>
      </c>
      <c r="BH4128" s="46">
        <v>3461.5299999999988</v>
      </c>
      <c r="BI4128">
        <v>3.46</v>
      </c>
      <c r="BJ4128">
        <v>11458.470000000005</v>
      </c>
      <c r="BK4128">
        <v>3.95</v>
      </c>
      <c r="BL4128">
        <v>306.95</v>
      </c>
    </row>
    <row r="4129" spans="1:64" x14ac:dyDescent="0.25">
      <c r="A4129" s="136">
        <v>44042</v>
      </c>
      <c r="B4129" t="s">
        <v>72</v>
      </c>
      <c r="C4129" t="s">
        <v>130</v>
      </c>
      <c r="D4129">
        <v>100</v>
      </c>
      <c r="E4129">
        <v>100</v>
      </c>
      <c r="F4129">
        <v>1.53</v>
      </c>
      <c r="G4129">
        <v>359</v>
      </c>
      <c r="H4129">
        <v>234.64</v>
      </c>
      <c r="I4129">
        <v>512</v>
      </c>
      <c r="J4129">
        <v>5.12</v>
      </c>
      <c r="K4129" s="133">
        <v>9.4086415211656383E-4</v>
      </c>
      <c r="L4129" s="181">
        <v>3</v>
      </c>
      <c r="M4129" s="133">
        <v>2.8115667045670753E-4</v>
      </c>
      <c r="N4129" s="73">
        <v>-1498.9659999999872</v>
      </c>
      <c r="O4129" s="73">
        <v>376.42007904191922</v>
      </c>
      <c r="P4129" s="182">
        <v>0</v>
      </c>
      <c r="Q4129" s="182">
        <v>0</v>
      </c>
      <c r="R4129" s="46">
        <v>0</v>
      </c>
      <c r="S4129" s="46">
        <v>20</v>
      </c>
      <c r="T4129" s="46">
        <v>8600</v>
      </c>
      <c r="U4129" s="46">
        <v>7.3840000000000003</v>
      </c>
      <c r="V4129" s="46" t="s">
        <v>68</v>
      </c>
      <c r="W4129" s="46">
        <v>8600</v>
      </c>
      <c r="X4129" s="46">
        <v>7.3840000000000003</v>
      </c>
      <c r="AF4129" s="46">
        <v>42</v>
      </c>
      <c r="AG4129" s="46">
        <v>20900</v>
      </c>
      <c r="AH4129" s="46">
        <v>152800</v>
      </c>
      <c r="AI4129" s="46">
        <v>7.3109999999999999</v>
      </c>
      <c r="AJ4129" s="46">
        <v>42</v>
      </c>
      <c r="AK4129" s="46">
        <v>18800</v>
      </c>
      <c r="AL4129" s="46">
        <v>92037.725000000035</v>
      </c>
      <c r="AM4129" s="46">
        <v>4.8959999999999999</v>
      </c>
      <c r="AN4129" s="46" t="s">
        <v>63</v>
      </c>
      <c r="AO4129" s="46">
        <v>2100</v>
      </c>
      <c r="AP4129" s="46">
        <v>60762.275000000001</v>
      </c>
      <c r="AQ4129" s="46">
        <v>28.934000000000001</v>
      </c>
      <c r="AR4129" s="46">
        <v>-45402</v>
      </c>
      <c r="AS4129" s="46">
        <v>42</v>
      </c>
      <c r="AT4129" s="46">
        <v>20900</v>
      </c>
      <c r="AU4129" s="46">
        <v>152800</v>
      </c>
      <c r="AV4129" s="46">
        <v>7.3109999999999999</v>
      </c>
      <c r="AW4129" s="46">
        <v>63</v>
      </c>
      <c r="AX4129" s="46">
        <v>27900</v>
      </c>
      <c r="AY4129" s="46">
        <v>155380.21900000001</v>
      </c>
      <c r="AZ4129" s="46">
        <v>5.569</v>
      </c>
      <c r="BA4129" s="46" t="s">
        <v>69</v>
      </c>
      <c r="BB4129" s="46">
        <v>7000</v>
      </c>
      <c r="BC4129" s="46">
        <v>2580.2190000000001</v>
      </c>
      <c r="BD4129" s="46">
        <v>0.36899999999999999</v>
      </c>
      <c r="BE4129" s="46">
        <v>-36407.800000000003</v>
      </c>
      <c r="BF4129" s="46">
        <v>0</v>
      </c>
      <c r="BH4129" s="46">
        <v>63342.493999999977</v>
      </c>
      <c r="BI4129">
        <v>7.37</v>
      </c>
      <c r="BJ4129">
        <v>-58182.056000000004</v>
      </c>
      <c r="BK4129">
        <v>-6.77</v>
      </c>
      <c r="BL4129">
        <v>-8867.58</v>
      </c>
    </row>
    <row r="4130" spans="1:64" x14ac:dyDescent="0.25">
      <c r="A4130" s="136">
        <v>44042</v>
      </c>
      <c r="B4130" t="s">
        <v>70</v>
      </c>
      <c r="C4130" t="s">
        <v>131</v>
      </c>
      <c r="D4130">
        <v>12880</v>
      </c>
      <c r="E4130">
        <v>12880</v>
      </c>
      <c r="F4130">
        <v>8.2569999999999997</v>
      </c>
      <c r="G4130">
        <v>-13874.47</v>
      </c>
      <c r="H4130">
        <v>-13.05</v>
      </c>
      <c r="I4130">
        <v>92478.399999999994</v>
      </c>
      <c r="J4130">
        <v>7.18</v>
      </c>
      <c r="K4130" s="133">
        <v>0.16994064727557898</v>
      </c>
      <c r="L4130" s="181">
        <v>4873.76</v>
      </c>
      <c r="M4130" s="133">
        <v>0.19543672433147097</v>
      </c>
      <c r="N4130" s="73">
        <v>-14912.780999999988</v>
      </c>
      <c r="O4130" s="73">
        <v>-2099.3414942957729</v>
      </c>
      <c r="P4130" s="182">
        <v>0</v>
      </c>
      <c r="Q4130" s="182">
        <v>0</v>
      </c>
      <c r="R4130" s="46">
        <v>0</v>
      </c>
      <c r="S4130" s="46">
        <v>10</v>
      </c>
      <c r="T4130" s="46">
        <v>5600</v>
      </c>
      <c r="U4130" s="46">
        <v>7.3630000000000004</v>
      </c>
      <c r="V4130" s="46" t="s">
        <v>68</v>
      </c>
      <c r="W4130" s="46">
        <v>5600</v>
      </c>
      <c r="X4130" s="46">
        <v>7.3630000000000004</v>
      </c>
      <c r="AF4130" s="46">
        <v>228</v>
      </c>
      <c r="AG4130" s="46">
        <v>113180</v>
      </c>
      <c r="AH4130" s="46">
        <v>1232560</v>
      </c>
      <c r="AI4130" s="46">
        <v>10.89</v>
      </c>
      <c r="AJ4130" s="46">
        <v>235</v>
      </c>
      <c r="AK4130" s="46">
        <v>94700</v>
      </c>
      <c r="AL4130" s="46">
        <v>1082858.4509999997</v>
      </c>
      <c r="AM4130" s="46">
        <v>11.435</v>
      </c>
      <c r="AN4130" s="46" t="s">
        <v>63</v>
      </c>
      <c r="AO4130" s="46">
        <v>18480</v>
      </c>
      <c r="AP4130" s="46">
        <v>149701.549</v>
      </c>
      <c r="AQ4130" s="46">
        <v>8.1010000000000009</v>
      </c>
      <c r="AR4130" s="46">
        <v>51611.5</v>
      </c>
      <c r="AS4130" s="46">
        <v>228</v>
      </c>
      <c r="AT4130" s="46">
        <v>113180</v>
      </c>
      <c r="AU4130" s="46">
        <v>1232560</v>
      </c>
      <c r="AV4130" s="46">
        <v>10.89</v>
      </c>
      <c r="AW4130" s="46">
        <v>246</v>
      </c>
      <c r="AX4130" s="46">
        <v>100300</v>
      </c>
      <c r="AY4130" s="46">
        <v>1124429.2189999996</v>
      </c>
      <c r="AZ4130" s="46">
        <v>11.211</v>
      </c>
      <c r="BA4130" s="46" t="s">
        <v>63</v>
      </c>
      <c r="BB4130" s="46">
        <v>12880</v>
      </c>
      <c r="BC4130" s="46">
        <v>108130.781</v>
      </c>
      <c r="BD4130" s="46">
        <v>8.3949999999999996</v>
      </c>
      <c r="BE4130" s="46">
        <v>32196.3</v>
      </c>
      <c r="BF4130" s="46">
        <v>0</v>
      </c>
      <c r="BH4130" s="46">
        <v>41570.767999999924</v>
      </c>
      <c r="BI4130">
        <v>7.42</v>
      </c>
      <c r="BJ4130">
        <v>-41570.767999999996</v>
      </c>
      <c r="BK4130">
        <v>-7.42</v>
      </c>
      <c r="BL4130">
        <v>7188.23</v>
      </c>
    </row>
    <row r="4131" spans="1:64" x14ac:dyDescent="0.25">
      <c r="A4131" s="136">
        <v>44042</v>
      </c>
      <c r="B4131" t="s">
        <v>628</v>
      </c>
      <c r="C4131" t="s">
        <v>629</v>
      </c>
      <c r="D4131">
        <v>100</v>
      </c>
      <c r="E4131">
        <v>100</v>
      </c>
      <c r="F4131">
        <v>0.95</v>
      </c>
      <c r="G4131">
        <v>1452</v>
      </c>
      <c r="H4131">
        <v>1528.42</v>
      </c>
      <c r="I4131">
        <v>1547</v>
      </c>
      <c r="J4131">
        <v>15.47</v>
      </c>
      <c r="K4131" s="133">
        <v>2.8428063346178207E-3</v>
      </c>
      <c r="L4131" s="181">
        <v>3</v>
      </c>
      <c r="M4131" s="133">
        <v>1.7457440322475305E-4</v>
      </c>
    </row>
    <row r="4132" spans="1:64" x14ac:dyDescent="0.25">
      <c r="A4132" s="136">
        <v>44042</v>
      </c>
      <c r="B4132" t="s">
        <v>768</v>
      </c>
      <c r="C4132" t="s">
        <v>769</v>
      </c>
      <c r="D4132">
        <v>500</v>
      </c>
      <c r="E4132">
        <v>500</v>
      </c>
      <c r="F4132">
        <v>2.4140000000000001</v>
      </c>
      <c r="G4132">
        <v>313</v>
      </c>
      <c r="H4132">
        <v>25.93</v>
      </c>
      <c r="I4132">
        <v>1520</v>
      </c>
      <c r="J4132">
        <v>3.04</v>
      </c>
      <c r="K4132" s="133">
        <v>2.7931904515960488E-3</v>
      </c>
      <c r="L4132" s="181">
        <v>10</v>
      </c>
      <c r="M4132" s="133">
        <v>2.218013733602915E-3</v>
      </c>
    </row>
    <row r="4133" spans="1:64" x14ac:dyDescent="0.25">
      <c r="A4133" s="136">
        <v>44042</v>
      </c>
      <c r="B4133" t="s">
        <v>876</v>
      </c>
      <c r="C4133" t="s">
        <v>877</v>
      </c>
      <c r="D4133">
        <v>10</v>
      </c>
      <c r="E4133">
        <v>10</v>
      </c>
      <c r="F4133">
        <v>100</v>
      </c>
      <c r="G4133">
        <v>0</v>
      </c>
      <c r="H4133">
        <v>0</v>
      </c>
      <c r="I4133">
        <v>1000</v>
      </c>
      <c r="J4133">
        <v>100</v>
      </c>
      <c r="K4133" s="133">
        <v>1.8376252971026637E-3</v>
      </c>
      <c r="L4133" s="181">
        <v>0</v>
      </c>
      <c r="M4133" s="133">
        <v>1.8376252971026637E-3</v>
      </c>
    </row>
    <row r="4134" spans="1:64" x14ac:dyDescent="0.25">
      <c r="A4134" s="136">
        <v>44042</v>
      </c>
      <c r="B4134" t="s">
        <v>837</v>
      </c>
      <c r="C4134" t="s">
        <v>838</v>
      </c>
      <c r="D4134">
        <v>20</v>
      </c>
      <c r="E4134">
        <v>20</v>
      </c>
      <c r="F4134">
        <v>100</v>
      </c>
      <c r="G4134">
        <v>0</v>
      </c>
      <c r="H4134">
        <v>0</v>
      </c>
      <c r="I4134">
        <v>2000</v>
      </c>
      <c r="J4134">
        <v>100</v>
      </c>
      <c r="K4134" s="133">
        <v>3.6752505942053274E-3</v>
      </c>
      <c r="L4134" s="181">
        <v>0</v>
      </c>
      <c r="M4134" s="133">
        <v>3.6752505942053274E-3</v>
      </c>
    </row>
    <row r="4135" spans="1:64" x14ac:dyDescent="0.25">
      <c r="A4135" s="136">
        <v>44042</v>
      </c>
      <c r="B4135" t="s">
        <v>881</v>
      </c>
      <c r="C4135" t="s">
        <v>882</v>
      </c>
      <c r="D4135">
        <v>10</v>
      </c>
      <c r="E4135">
        <v>10</v>
      </c>
      <c r="F4135">
        <v>100</v>
      </c>
      <c r="G4135">
        <v>0</v>
      </c>
      <c r="H4135">
        <v>0</v>
      </c>
      <c r="I4135">
        <v>1000</v>
      </c>
      <c r="J4135">
        <v>100</v>
      </c>
      <c r="K4135" s="133">
        <v>1.8376252971026637E-3</v>
      </c>
      <c r="L4135" s="181">
        <v>0</v>
      </c>
      <c r="M4135" s="133">
        <v>1.8376252971026637E-3</v>
      </c>
    </row>
    <row r="4136" spans="1:64" x14ac:dyDescent="0.25">
      <c r="A4136" s="136">
        <v>44042</v>
      </c>
      <c r="B4136" t="s">
        <v>137</v>
      </c>
      <c r="C4136" t="s">
        <v>149</v>
      </c>
      <c r="D4136">
        <v>150</v>
      </c>
      <c r="E4136">
        <v>150</v>
      </c>
      <c r="F4136">
        <v>1</v>
      </c>
      <c r="G4136">
        <v>5775</v>
      </c>
      <c r="H4136">
        <v>3850</v>
      </c>
      <c r="I4136">
        <v>5925</v>
      </c>
      <c r="J4136">
        <v>39.5</v>
      </c>
      <c r="K4136" s="133">
        <v>1.0887929885333282E-2</v>
      </c>
      <c r="L4136" s="181">
        <v>345</v>
      </c>
      <c r="M4136" s="133">
        <v>2.7564379456539954E-4</v>
      </c>
    </row>
    <row r="4137" spans="1:64" x14ac:dyDescent="0.25">
      <c r="A4137" s="136">
        <v>44042</v>
      </c>
      <c r="B4137" t="s">
        <v>863</v>
      </c>
      <c r="C4137" t="s">
        <v>864</v>
      </c>
      <c r="D4137">
        <v>500</v>
      </c>
      <c r="E4137">
        <v>500</v>
      </c>
      <c r="F4137">
        <v>10.51</v>
      </c>
      <c r="G4137">
        <v>6920</v>
      </c>
      <c r="H4137">
        <v>131.68</v>
      </c>
      <c r="I4137">
        <v>12175</v>
      </c>
      <c r="J4137">
        <v>24.35</v>
      </c>
      <c r="K4137" s="133">
        <v>2.2373087992224931E-2</v>
      </c>
      <c r="L4137" s="181">
        <v>2110</v>
      </c>
      <c r="M4137" s="133">
        <v>9.6567209362744977E-3</v>
      </c>
    </row>
    <row r="4138" spans="1:64" x14ac:dyDescent="0.25">
      <c r="A4138" s="136">
        <v>44042</v>
      </c>
      <c r="B4138" t="s">
        <v>835</v>
      </c>
      <c r="C4138" t="s">
        <v>839</v>
      </c>
      <c r="I4138">
        <v>0.52</v>
      </c>
      <c r="K4138" s="133">
        <v>9.5556515449338507E-7</v>
      </c>
      <c r="L4138" s="181">
        <v>0</v>
      </c>
      <c r="M4138" s="133">
        <v>0.26441619802014982</v>
      </c>
    </row>
    <row r="4139" spans="1:64" x14ac:dyDescent="0.25">
      <c r="A4139" s="136">
        <v>44046</v>
      </c>
      <c r="B4139" t="s">
        <v>132</v>
      </c>
      <c r="C4139" t="s">
        <v>123</v>
      </c>
      <c r="D4139">
        <v>13591045</v>
      </c>
      <c r="E4139">
        <v>13591045</v>
      </c>
      <c r="F4139">
        <v>0.01</v>
      </c>
      <c r="G4139">
        <v>138.44999999999999</v>
      </c>
      <c r="H4139">
        <v>0</v>
      </c>
      <c r="I4139">
        <v>135910.45000000001</v>
      </c>
      <c r="J4139">
        <v>0.01</v>
      </c>
      <c r="K4139" s="133">
        <v>0.24506213425170051</v>
      </c>
      <c r="L4139" s="181">
        <v>20.289999999999992</v>
      </c>
      <c r="M4139" s="133">
        <v>0</v>
      </c>
    </row>
    <row r="4140" spans="1:64" x14ac:dyDescent="0.25">
      <c r="A4140" s="136">
        <v>44046</v>
      </c>
      <c r="B4140" t="s">
        <v>61</v>
      </c>
      <c r="C4140" t="s">
        <v>136</v>
      </c>
      <c r="D4140">
        <v>3500</v>
      </c>
      <c r="E4140">
        <v>3500</v>
      </c>
      <c r="F4140">
        <v>4.3079999999999998</v>
      </c>
      <c r="G4140">
        <v>-2406.64</v>
      </c>
      <c r="H4140">
        <v>-15.96</v>
      </c>
      <c r="I4140">
        <v>12670</v>
      </c>
      <c r="J4140">
        <v>3.62</v>
      </c>
      <c r="K4140" s="133">
        <v>2.2845463619383537E-2</v>
      </c>
      <c r="L4140" s="181">
        <v>105</v>
      </c>
      <c r="M4140" s="133">
        <v>2.7184911651345112E-2</v>
      </c>
      <c r="N4140" s="73">
        <v>-2546.1590000000033</v>
      </c>
      <c r="O4140" s="73">
        <v>-710.86198896648148</v>
      </c>
      <c r="P4140" s="182">
        <v>4</v>
      </c>
      <c r="Q4140" s="182">
        <v>2000</v>
      </c>
      <c r="R4140" s="46">
        <v>4.07</v>
      </c>
      <c r="S4140" s="46">
        <v>1</v>
      </c>
      <c r="T4140" s="46">
        <v>1400</v>
      </c>
      <c r="U4140" s="46">
        <v>3.85</v>
      </c>
      <c r="V4140" s="46" t="s">
        <v>62</v>
      </c>
      <c r="W4140" s="46">
        <v>600</v>
      </c>
      <c r="X4140" s="46">
        <v>4.5830000000000002</v>
      </c>
      <c r="AF4140" s="46">
        <v>30</v>
      </c>
      <c r="AG4140" s="46">
        <v>15000</v>
      </c>
      <c r="AH4140" s="46">
        <v>69729.000000000015</v>
      </c>
      <c r="AI4140" s="46">
        <v>4.649</v>
      </c>
      <c r="AJ4140" s="46">
        <v>30</v>
      </c>
      <c r="AK4140" s="46">
        <v>12100</v>
      </c>
      <c r="AL4140" s="46">
        <v>56975.270999999979</v>
      </c>
      <c r="AM4140" s="46">
        <v>4.7089999999999996</v>
      </c>
      <c r="AN4140" s="46" t="s">
        <v>63</v>
      </c>
      <c r="AO4140" s="46">
        <v>2900</v>
      </c>
      <c r="AP4140" s="46">
        <v>12753.728999999999</v>
      </c>
      <c r="AQ4140" s="46">
        <v>4.3979999999999997</v>
      </c>
      <c r="AR4140" s="46">
        <v>726</v>
      </c>
      <c r="AS4140" s="46">
        <v>34</v>
      </c>
      <c r="AT4140" s="46">
        <v>17000</v>
      </c>
      <c r="AU4140" s="46">
        <v>77890.200000000026</v>
      </c>
      <c r="AV4140" s="46">
        <v>4.5819999999999999</v>
      </c>
      <c r="AW4140" s="46">
        <v>31</v>
      </c>
      <c r="AX4140" s="46">
        <v>13500</v>
      </c>
      <c r="AY4140" s="46">
        <v>62814.040999999983</v>
      </c>
      <c r="AZ4140" s="46">
        <v>4.6529999999999996</v>
      </c>
      <c r="BA4140" s="46" t="s">
        <v>63</v>
      </c>
      <c r="BB4140" s="46">
        <v>3500</v>
      </c>
      <c r="BC4140" s="46">
        <v>15076.159</v>
      </c>
      <c r="BD4140" s="46">
        <v>4.3070000000000004</v>
      </c>
      <c r="BE4140" s="46">
        <v>958.5</v>
      </c>
      <c r="BF4140" s="46">
        <v>8161.2000000000116</v>
      </c>
      <c r="BG4140" s="46">
        <v>4.08</v>
      </c>
      <c r="BH4140" s="46">
        <v>5838.7700000000041</v>
      </c>
      <c r="BI4140">
        <v>4.17</v>
      </c>
      <c r="BJ4140">
        <v>2322.4300000000003</v>
      </c>
      <c r="BK4140">
        <v>3.87</v>
      </c>
      <c r="BL4140">
        <v>200.55</v>
      </c>
    </row>
    <row r="4141" spans="1:64" x14ac:dyDescent="0.25">
      <c r="A4141" s="136">
        <v>44046</v>
      </c>
      <c r="B4141" t="s">
        <v>124</v>
      </c>
      <c r="C4141" t="s">
        <v>125</v>
      </c>
      <c r="D4141">
        <v>100</v>
      </c>
      <c r="E4141">
        <v>100</v>
      </c>
      <c r="F4141">
        <v>0.73699999999999999</v>
      </c>
      <c r="G4141">
        <v>424.28</v>
      </c>
      <c r="H4141">
        <v>575.69000000000005</v>
      </c>
      <c r="I4141">
        <v>498</v>
      </c>
      <c r="J4141">
        <v>4.9800000000000004</v>
      </c>
      <c r="K4141" s="133">
        <v>8.9795113515809004E-4</v>
      </c>
      <c r="L4141" s="181">
        <v>0</v>
      </c>
      <c r="M4141" s="133">
        <v>1.3292561783906511E-4</v>
      </c>
      <c r="N4141" s="73">
        <v>5623.0690000000113</v>
      </c>
      <c r="O4141" s="73">
        <v>1111.8087987827732</v>
      </c>
      <c r="P4141" s="182">
        <v>0</v>
      </c>
      <c r="Q4141" s="182">
        <v>0</v>
      </c>
      <c r="R4141" s="46">
        <v>0</v>
      </c>
      <c r="S4141" s="46">
        <v>5</v>
      </c>
      <c r="T4141" s="46">
        <v>2300</v>
      </c>
      <c r="U4141" s="46">
        <v>4.99</v>
      </c>
      <c r="V4141" s="46" t="s">
        <v>68</v>
      </c>
      <c r="W4141" s="46">
        <v>2300</v>
      </c>
      <c r="X4141" s="46">
        <v>4.99</v>
      </c>
      <c r="AF4141" s="46">
        <v>50</v>
      </c>
      <c r="AG4141" s="46">
        <v>36700</v>
      </c>
      <c r="AH4141" s="46">
        <v>180101.02000000002</v>
      </c>
      <c r="AI4141" s="46">
        <v>4.907</v>
      </c>
      <c r="AJ4141" s="46">
        <v>58</v>
      </c>
      <c r="AK4141" s="46">
        <v>35300</v>
      </c>
      <c r="AL4141" s="46">
        <v>178266.546</v>
      </c>
      <c r="AM4141" s="46">
        <v>5.05</v>
      </c>
      <c r="AN4141" s="46" t="s">
        <v>63</v>
      </c>
      <c r="AO4141" s="46">
        <v>1400</v>
      </c>
      <c r="AP4141" s="46">
        <v>1834.4739999999999</v>
      </c>
      <c r="AQ4141" s="46">
        <v>1.31</v>
      </c>
      <c r="AR4141" s="46">
        <v>5047.8999999999996</v>
      </c>
      <c r="AS4141" s="46">
        <v>51</v>
      </c>
      <c r="AT4141" s="46">
        <v>37700</v>
      </c>
      <c r="AU4141" s="46">
        <v>185106.62</v>
      </c>
      <c r="AV4141" s="46">
        <v>4.91</v>
      </c>
      <c r="AW4141" s="46">
        <v>63</v>
      </c>
      <c r="AX4141" s="46">
        <v>37600</v>
      </c>
      <c r="AY4141" s="46">
        <v>189763.68900000001</v>
      </c>
      <c r="AZ4141" s="46">
        <v>5.0469999999999997</v>
      </c>
      <c r="BA4141" s="46" t="s">
        <v>63</v>
      </c>
      <c r="BB4141" s="46">
        <v>100</v>
      </c>
      <c r="BC4141" s="46">
        <v>4657.0690000000004</v>
      </c>
      <c r="BD4141" s="46">
        <v>46.570999999999998</v>
      </c>
      <c r="BE4141" s="46">
        <v>5151.2</v>
      </c>
      <c r="BF4141" s="46">
        <v>5005.5999999999767</v>
      </c>
      <c r="BH4141" s="46">
        <v>11497.143000000011</v>
      </c>
      <c r="BI4141">
        <v>5</v>
      </c>
      <c r="BJ4141">
        <v>2822.5950000000003</v>
      </c>
      <c r="BK4141">
        <v>1.23</v>
      </c>
      <c r="BL4141">
        <v>1013.63</v>
      </c>
    </row>
    <row r="4142" spans="1:64" x14ac:dyDescent="0.25">
      <c r="A4142" s="136">
        <v>44046</v>
      </c>
      <c r="B4142" t="s">
        <v>71</v>
      </c>
      <c r="C4142" t="s">
        <v>126</v>
      </c>
      <c r="D4142">
        <v>6200</v>
      </c>
      <c r="E4142">
        <v>6200</v>
      </c>
      <c r="F4142">
        <v>4.3360000000000003</v>
      </c>
      <c r="G4142">
        <v>5292.68</v>
      </c>
      <c r="H4142">
        <v>19.690000000000001</v>
      </c>
      <c r="I4142">
        <v>32178</v>
      </c>
      <c r="J4142">
        <v>5.19</v>
      </c>
      <c r="K4142" s="133">
        <v>5.8020625757263099E-2</v>
      </c>
      <c r="L4142" s="181">
        <v>150.84000000000015</v>
      </c>
      <c r="M4142" s="133">
        <v>4.8477316492145588E-2</v>
      </c>
      <c r="N4142" s="73">
        <v>-26919.715999999997</v>
      </c>
      <c r="O4142" s="73">
        <v>1003.6068258687266</v>
      </c>
      <c r="P4142" s="182">
        <v>1</v>
      </c>
      <c r="Q4142" s="182">
        <v>1500</v>
      </c>
      <c r="R4142" s="46">
        <v>5.18</v>
      </c>
      <c r="S4142" s="46">
        <v>1</v>
      </c>
      <c r="T4142" s="46">
        <v>400</v>
      </c>
      <c r="U4142" s="46">
        <v>6.11</v>
      </c>
      <c r="V4142" s="46" t="s">
        <v>62</v>
      </c>
      <c r="W4142" s="46">
        <v>1100</v>
      </c>
      <c r="X4142" s="46">
        <v>4.8419999999999996</v>
      </c>
      <c r="AF4142" s="46">
        <v>74</v>
      </c>
      <c r="AG4142" s="46">
        <v>39300</v>
      </c>
      <c r="AH4142" s="46">
        <v>237624.29999999981</v>
      </c>
      <c r="AI4142" s="46">
        <v>6.0460000000000003</v>
      </c>
      <c r="AJ4142" s="46">
        <v>79</v>
      </c>
      <c r="AK4142" s="46">
        <v>34200</v>
      </c>
      <c r="AL4142" s="46">
        <v>215887.96800000002</v>
      </c>
      <c r="AM4142" s="46">
        <v>6.3129999999999997</v>
      </c>
      <c r="AN4142" s="46" t="s">
        <v>63</v>
      </c>
      <c r="AO4142" s="46">
        <v>5100</v>
      </c>
      <c r="AP4142" s="46">
        <v>21736.331999999999</v>
      </c>
      <c r="AQ4142" s="46">
        <v>4.2619999999999996</v>
      </c>
      <c r="AR4142" s="46">
        <v>9131.4</v>
      </c>
      <c r="AS4142" s="46">
        <v>75</v>
      </c>
      <c r="AT4142" s="46">
        <v>40800</v>
      </c>
      <c r="AU4142" s="46">
        <v>245400.19999999981</v>
      </c>
      <c r="AV4142" s="46">
        <v>6.0149999999999997</v>
      </c>
      <c r="AW4142" s="46">
        <v>80</v>
      </c>
      <c r="AX4142" s="46">
        <v>34600</v>
      </c>
      <c r="AY4142" s="46">
        <v>218324.28400000001</v>
      </c>
      <c r="AZ4142" s="46">
        <v>6.31</v>
      </c>
      <c r="BA4142" s="46" t="s">
        <v>63</v>
      </c>
      <c r="BB4142" s="46">
        <v>6200</v>
      </c>
      <c r="BC4142" s="46">
        <v>27075.916000000001</v>
      </c>
      <c r="BD4142" s="46">
        <v>4.367</v>
      </c>
      <c r="BE4142" s="46">
        <v>10207</v>
      </c>
      <c r="BF4142" s="46">
        <v>7775.8999999999942</v>
      </c>
      <c r="BG4142" s="46">
        <v>5.18</v>
      </c>
      <c r="BH4142" s="46">
        <v>2436.3159999999916</v>
      </c>
      <c r="BI4142">
        <v>6.09</v>
      </c>
      <c r="BJ4142">
        <v>5339.5840000000026</v>
      </c>
      <c r="BK4142">
        <v>4.8499999999999996</v>
      </c>
      <c r="BL4142">
        <v>1759.42</v>
      </c>
    </row>
    <row r="4143" spans="1:64" x14ac:dyDescent="0.25">
      <c r="A4143" s="136">
        <v>44046</v>
      </c>
      <c r="B4143" t="s">
        <v>79</v>
      </c>
      <c r="C4143" t="s">
        <v>143</v>
      </c>
      <c r="D4143">
        <v>6000</v>
      </c>
      <c r="E4143">
        <v>6000</v>
      </c>
      <c r="F4143">
        <v>10.935</v>
      </c>
      <c r="G4143">
        <v>-17247.84</v>
      </c>
      <c r="H4143">
        <v>-26.29</v>
      </c>
      <c r="I4143">
        <v>48360</v>
      </c>
      <c r="J4143">
        <v>8.06</v>
      </c>
      <c r="K4143" s="133">
        <v>8.719862830571333E-2</v>
      </c>
      <c r="L4143" s="181">
        <v>1246.4199999999983</v>
      </c>
      <c r="M4143" s="133">
        <v>0.11829846265716937</v>
      </c>
      <c r="N4143" s="73">
        <v>-17465.695400000441</v>
      </c>
      <c r="O4143" s="73">
        <v>-2173.9679392653102</v>
      </c>
      <c r="P4143" s="182">
        <v>1</v>
      </c>
      <c r="Q4143" s="182">
        <v>2920</v>
      </c>
      <c r="R4143" s="46">
        <v>0</v>
      </c>
      <c r="S4143" s="46">
        <v>5</v>
      </c>
      <c r="T4143" s="46">
        <v>2000</v>
      </c>
      <c r="U4143" s="46">
        <v>8.4659999999999993</v>
      </c>
      <c r="V4143" s="46" t="s">
        <v>62</v>
      </c>
      <c r="W4143" s="46">
        <v>920</v>
      </c>
      <c r="X4143" s="46">
        <v>-18.404</v>
      </c>
      <c r="AF4143" s="46">
        <v>97</v>
      </c>
      <c r="AG4143" s="46">
        <v>45200</v>
      </c>
      <c r="AH4143" s="46">
        <v>466416.11999999918</v>
      </c>
      <c r="AI4143" s="46">
        <v>10.319000000000001</v>
      </c>
      <c r="AJ4143" s="46">
        <v>93</v>
      </c>
      <c r="AK4143" s="46">
        <v>40120</v>
      </c>
      <c r="AL4143" s="46">
        <v>383888.30859999941</v>
      </c>
      <c r="AM4143" s="46">
        <v>9.5690000000000008</v>
      </c>
      <c r="AN4143" s="46" t="s">
        <v>63</v>
      </c>
      <c r="AO4143" s="46">
        <v>5080</v>
      </c>
      <c r="AP4143" s="46">
        <v>82527.811000000002</v>
      </c>
      <c r="AQ4143" s="46">
        <v>16.245999999999999</v>
      </c>
      <c r="AR4143" s="46">
        <v>-30090</v>
      </c>
      <c r="AS4143" s="46">
        <v>98</v>
      </c>
      <c r="AT4143" s="46">
        <v>48120</v>
      </c>
      <c r="AU4143" s="46">
        <v>466422.87199999916</v>
      </c>
      <c r="AV4143" s="46">
        <v>9.6929999999999996</v>
      </c>
      <c r="AW4143" s="46">
        <v>98</v>
      </c>
      <c r="AX4143" s="46">
        <v>42120</v>
      </c>
      <c r="AY4143" s="46">
        <v>400777.17659999948</v>
      </c>
      <c r="AZ4143" s="46">
        <v>9.5150000000000006</v>
      </c>
      <c r="BA4143" s="46" t="s">
        <v>63</v>
      </c>
      <c r="BB4143" s="46">
        <v>6000</v>
      </c>
      <c r="BC4143" s="46">
        <v>65645.695000000007</v>
      </c>
      <c r="BD4143" s="46">
        <v>10.941000000000001</v>
      </c>
      <c r="BE4143" s="46">
        <v>-7497.36</v>
      </c>
      <c r="BF4143" s="46">
        <v>6.7519999999785796</v>
      </c>
      <c r="BG4143" s="46">
        <v>0</v>
      </c>
      <c r="BH4143" s="46">
        <v>16888.868000000075</v>
      </c>
      <c r="BI4143">
        <v>8.44</v>
      </c>
      <c r="BJ4143">
        <v>-16882.115999999995</v>
      </c>
      <c r="BK4143">
        <v>-18.350000000000001</v>
      </c>
      <c r="BL4143">
        <v>-3733.25</v>
      </c>
    </row>
    <row r="4144" spans="1:64" x14ac:dyDescent="0.25">
      <c r="A4144" s="136">
        <v>44046</v>
      </c>
      <c r="B4144" t="s">
        <v>749</v>
      </c>
      <c r="C4144" t="s">
        <v>750</v>
      </c>
      <c r="D4144">
        <v>500</v>
      </c>
      <c r="E4144">
        <v>500</v>
      </c>
      <c r="F4144">
        <v>5.65</v>
      </c>
      <c r="G4144">
        <v>425</v>
      </c>
      <c r="H4144">
        <v>15.044</v>
      </c>
      <c r="I4144">
        <v>3250</v>
      </c>
      <c r="J4144">
        <v>6.5</v>
      </c>
      <c r="K4144" s="133">
        <v>5.860122870007616E-3</v>
      </c>
      <c r="L4144" s="181">
        <v>120</v>
      </c>
      <c r="M4144" s="133">
        <v>5.0937991100835434E-3</v>
      </c>
    </row>
    <row r="4145" spans="1:64" x14ac:dyDescent="0.25">
      <c r="A4145" s="136">
        <v>44046</v>
      </c>
      <c r="B4145" t="s">
        <v>776</v>
      </c>
      <c r="C4145" t="s">
        <v>777</v>
      </c>
      <c r="D4145">
        <v>1</v>
      </c>
      <c r="E4145">
        <v>1</v>
      </c>
      <c r="F4145">
        <v>-137.5</v>
      </c>
      <c r="G4145">
        <v>211.47</v>
      </c>
      <c r="H4145">
        <v>0</v>
      </c>
      <c r="I4145">
        <v>73.97</v>
      </c>
      <c r="J4145">
        <v>73.97</v>
      </c>
      <c r="K4145" s="133">
        <v>1.3337639652137334E-4</v>
      </c>
      <c r="L4145" s="181">
        <v>3.4699999999999989</v>
      </c>
      <c r="M4145" s="133">
        <v>0</v>
      </c>
    </row>
    <row r="4146" spans="1:64" x14ac:dyDescent="0.25">
      <c r="A4146" s="136">
        <v>44046</v>
      </c>
      <c r="B4146" t="s">
        <v>65</v>
      </c>
      <c r="C4146" t="s">
        <v>82</v>
      </c>
      <c r="D4146">
        <v>24900</v>
      </c>
      <c r="E4146">
        <v>24900</v>
      </c>
      <c r="F4146">
        <v>8.2650000000000006</v>
      </c>
      <c r="G4146">
        <v>-32241.45</v>
      </c>
      <c r="H4146">
        <v>-15.67</v>
      </c>
      <c r="I4146">
        <v>173553</v>
      </c>
      <c r="J4146">
        <v>6.97</v>
      </c>
      <c r="K4146" s="133">
        <v>0.31293597060259437</v>
      </c>
      <c r="L4146" s="181">
        <v>2786.2199999999975</v>
      </c>
      <c r="M4146" s="133">
        <v>0.37107100398942733</v>
      </c>
      <c r="N4146" s="73">
        <v>-37009.378000000142</v>
      </c>
      <c r="O4146" s="73">
        <v>-4706.6849766547166</v>
      </c>
      <c r="P4146" s="182">
        <v>1</v>
      </c>
      <c r="Q4146" s="182">
        <v>400</v>
      </c>
      <c r="R4146" s="46">
        <v>6.8</v>
      </c>
      <c r="S4146" s="46">
        <v>1</v>
      </c>
      <c r="T4146" s="46">
        <v>4500</v>
      </c>
      <c r="U4146" s="46">
        <v>7.48</v>
      </c>
      <c r="V4146" s="46" t="s">
        <v>68</v>
      </c>
      <c r="W4146" s="46">
        <v>4100</v>
      </c>
      <c r="X4146" s="46">
        <v>7.5460000000000003</v>
      </c>
      <c r="AF4146" s="46">
        <v>303</v>
      </c>
      <c r="AG4146" s="46">
        <v>161400</v>
      </c>
      <c r="AH4146" s="46">
        <v>1614232.6810000001</v>
      </c>
      <c r="AI4146" s="46">
        <v>10.000999999999999</v>
      </c>
      <c r="AJ4146" s="46">
        <v>335</v>
      </c>
      <c r="AK4146" s="46">
        <v>141700</v>
      </c>
      <c r="AL4146" s="46">
        <v>1360922.7039999999</v>
      </c>
      <c r="AM4146" s="46">
        <v>9.6039999999999992</v>
      </c>
      <c r="AN4146" s="46" t="s">
        <v>63</v>
      </c>
      <c r="AO4146" s="46">
        <v>19700</v>
      </c>
      <c r="AP4146" s="46">
        <v>253309.97700000001</v>
      </c>
      <c r="AQ4146" s="46">
        <v>12.858000000000001</v>
      </c>
      <c r="AR4146" s="46">
        <v>-56254.9</v>
      </c>
      <c r="AS4146" s="46">
        <v>308</v>
      </c>
      <c r="AT4146" s="46">
        <v>163600</v>
      </c>
      <c r="AU4146" s="46">
        <v>1629519.6810000001</v>
      </c>
      <c r="AV4146" s="46">
        <v>9.9600000000000009</v>
      </c>
      <c r="AW4146" s="46">
        <v>340</v>
      </c>
      <c r="AX4146" s="46">
        <v>147800</v>
      </c>
      <c r="AY4146" s="46">
        <v>1407599.5369999998</v>
      </c>
      <c r="AZ4146" s="46">
        <v>9.5239999999999991</v>
      </c>
      <c r="BA4146" s="46" t="s">
        <v>63</v>
      </c>
      <c r="BB4146" s="46">
        <v>15800</v>
      </c>
      <c r="BC4146" s="46">
        <v>221920.144</v>
      </c>
      <c r="BD4146" s="46">
        <v>14.045999999999999</v>
      </c>
      <c r="BE4146" s="46">
        <v>-64440.800000000003</v>
      </c>
      <c r="BF4146" s="46">
        <v>15287</v>
      </c>
      <c r="BG4146" s="46">
        <v>38.22</v>
      </c>
      <c r="BH4146" s="46">
        <v>46676.832999999868</v>
      </c>
      <c r="BI4146">
        <v>10.37</v>
      </c>
      <c r="BJ4146">
        <v>-31389.833000000013</v>
      </c>
      <c r="BK4146">
        <v>-7.66</v>
      </c>
      <c r="BL4146">
        <v>-8071</v>
      </c>
    </row>
    <row r="4147" spans="1:64" x14ac:dyDescent="0.25">
      <c r="A4147" s="136">
        <v>44046</v>
      </c>
      <c r="B4147" t="s">
        <v>77</v>
      </c>
      <c r="C4147" t="s">
        <v>150</v>
      </c>
      <c r="D4147">
        <v>6700</v>
      </c>
      <c r="E4147">
        <v>6700</v>
      </c>
      <c r="F4147">
        <v>5.0060000000000002</v>
      </c>
      <c r="G4147">
        <v>-12768.99</v>
      </c>
      <c r="H4147">
        <v>-38.07</v>
      </c>
      <c r="I4147">
        <v>20770</v>
      </c>
      <c r="J4147">
        <v>3.1</v>
      </c>
      <c r="K4147" s="133">
        <v>3.7450692926171751E-2</v>
      </c>
      <c r="L4147" s="181">
        <v>335</v>
      </c>
      <c r="M4147" s="133">
        <v>6.0474646872602067E-2</v>
      </c>
      <c r="N4147" s="73">
        <v>-12938.943999999981</v>
      </c>
      <c r="O4147" s="73">
        <v>-3946.8966755555498</v>
      </c>
      <c r="P4147" s="182">
        <v>8</v>
      </c>
      <c r="Q4147" s="182">
        <v>3900</v>
      </c>
      <c r="R4147" s="46">
        <v>3.8889999999999998</v>
      </c>
      <c r="S4147" s="46">
        <v>1</v>
      </c>
      <c r="T4147" s="46">
        <v>1000</v>
      </c>
      <c r="U4147" s="46">
        <v>3.47</v>
      </c>
      <c r="V4147" s="46" t="s">
        <v>62</v>
      </c>
      <c r="W4147" s="46">
        <v>2900</v>
      </c>
      <c r="X4147" s="46">
        <v>4.0330000000000004</v>
      </c>
      <c r="AF4147" s="46">
        <v>69</v>
      </c>
      <c r="AG4147" s="46">
        <v>34000</v>
      </c>
      <c r="AH4147" s="46">
        <v>206030</v>
      </c>
      <c r="AI4147" s="46">
        <v>6.06</v>
      </c>
      <c r="AJ4147" s="46">
        <v>69</v>
      </c>
      <c r="AK4147" s="46">
        <v>30200</v>
      </c>
      <c r="AL4147" s="46">
        <v>183944.52600000007</v>
      </c>
      <c r="AM4147" s="46">
        <v>6.0910000000000002</v>
      </c>
      <c r="AN4147" s="46" t="s">
        <v>63</v>
      </c>
      <c r="AO4147" s="46">
        <v>3800</v>
      </c>
      <c r="AP4147" s="46">
        <v>22085.473999999998</v>
      </c>
      <c r="AQ4147" s="46">
        <v>5.8120000000000003</v>
      </c>
      <c r="AR4147" s="46">
        <v>936.2</v>
      </c>
      <c r="AS4147" s="46">
        <v>77</v>
      </c>
      <c r="AT4147" s="46">
        <v>37900</v>
      </c>
      <c r="AU4147" s="46">
        <v>220950</v>
      </c>
      <c r="AV4147" s="46">
        <v>5.83</v>
      </c>
      <c r="AW4147" s="46">
        <v>70</v>
      </c>
      <c r="AX4147" s="46">
        <v>31200</v>
      </c>
      <c r="AY4147" s="46">
        <v>187406.05600000007</v>
      </c>
      <c r="AZ4147" s="46">
        <v>6.0069999999999997</v>
      </c>
      <c r="BA4147" s="46" t="s">
        <v>63</v>
      </c>
      <c r="BB4147" s="46">
        <v>6700</v>
      </c>
      <c r="BC4147" s="46">
        <v>33543.944000000003</v>
      </c>
      <c r="BD4147" s="46">
        <v>5.0069999999999997</v>
      </c>
      <c r="BE4147" s="46">
        <v>5522.4</v>
      </c>
      <c r="BF4147" s="46">
        <v>14920</v>
      </c>
      <c r="BG4147" s="46">
        <v>3.83</v>
      </c>
      <c r="BH4147" s="46">
        <v>3461.5299999999988</v>
      </c>
      <c r="BI4147">
        <v>3.46</v>
      </c>
      <c r="BJ4147">
        <v>11458.470000000005</v>
      </c>
      <c r="BK4147">
        <v>3.95</v>
      </c>
      <c r="BL4147">
        <v>302</v>
      </c>
    </row>
    <row r="4148" spans="1:64" x14ac:dyDescent="0.25">
      <c r="A4148" s="136">
        <v>44046</v>
      </c>
      <c r="B4148" t="s">
        <v>72</v>
      </c>
      <c r="C4148" t="s">
        <v>130</v>
      </c>
      <c r="D4148">
        <v>100</v>
      </c>
      <c r="E4148">
        <v>100</v>
      </c>
      <c r="F4148">
        <v>1.53</v>
      </c>
      <c r="G4148">
        <v>385</v>
      </c>
      <c r="H4148">
        <v>251.63</v>
      </c>
      <c r="I4148">
        <v>538</v>
      </c>
      <c r="J4148">
        <v>5.38</v>
      </c>
      <c r="K4148" s="133">
        <v>9.700757243274146E-4</v>
      </c>
      <c r="L4148" s="181">
        <v>26</v>
      </c>
      <c r="M4148" s="133">
        <v>2.7587655357266621E-4</v>
      </c>
      <c r="N4148" s="73">
        <v>-1498.9659999999872</v>
      </c>
      <c r="O4148" s="73">
        <v>376.42007904191922</v>
      </c>
      <c r="P4148" s="182">
        <v>0</v>
      </c>
      <c r="Q4148" s="182">
        <v>0</v>
      </c>
      <c r="R4148" s="46">
        <v>0</v>
      </c>
      <c r="S4148" s="46">
        <v>20</v>
      </c>
      <c r="T4148" s="46">
        <v>8600</v>
      </c>
      <c r="U4148" s="46">
        <v>7.3840000000000003</v>
      </c>
      <c r="V4148" s="46" t="s">
        <v>68</v>
      </c>
      <c r="W4148" s="46">
        <v>8600</v>
      </c>
      <c r="X4148" s="46">
        <v>7.3840000000000003</v>
      </c>
      <c r="AF4148" s="46">
        <v>42</v>
      </c>
      <c r="AG4148" s="46">
        <v>20900</v>
      </c>
      <c r="AH4148" s="46">
        <v>152800</v>
      </c>
      <c r="AI4148" s="46">
        <v>7.3109999999999999</v>
      </c>
      <c r="AJ4148" s="46">
        <v>42</v>
      </c>
      <c r="AK4148" s="46">
        <v>18800</v>
      </c>
      <c r="AL4148" s="46">
        <v>92037.725000000035</v>
      </c>
      <c r="AM4148" s="46">
        <v>4.8959999999999999</v>
      </c>
      <c r="AN4148" s="46" t="s">
        <v>63</v>
      </c>
      <c r="AO4148" s="46">
        <v>2100</v>
      </c>
      <c r="AP4148" s="46">
        <v>60762.275000000001</v>
      </c>
      <c r="AQ4148" s="46">
        <v>28.934000000000001</v>
      </c>
      <c r="AR4148" s="46">
        <v>-45402</v>
      </c>
      <c r="AS4148" s="46">
        <v>42</v>
      </c>
      <c r="AT4148" s="46">
        <v>20900</v>
      </c>
      <c r="AU4148" s="46">
        <v>152800</v>
      </c>
      <c r="AV4148" s="46">
        <v>7.3109999999999999</v>
      </c>
      <c r="AW4148" s="46">
        <v>63</v>
      </c>
      <c r="AX4148" s="46">
        <v>27900</v>
      </c>
      <c r="AY4148" s="46">
        <v>155380.21900000001</v>
      </c>
      <c r="AZ4148" s="46">
        <v>5.569</v>
      </c>
      <c r="BA4148" s="46" t="s">
        <v>69</v>
      </c>
      <c r="BB4148" s="46">
        <v>7000</v>
      </c>
      <c r="BC4148" s="46">
        <v>2580.2190000000001</v>
      </c>
      <c r="BD4148" s="46">
        <v>0.36899999999999999</v>
      </c>
      <c r="BE4148" s="46">
        <v>-36407.800000000003</v>
      </c>
      <c r="BF4148" s="46">
        <v>0</v>
      </c>
      <c r="BH4148" s="46">
        <v>63342.493999999977</v>
      </c>
      <c r="BI4148">
        <v>7.37</v>
      </c>
      <c r="BJ4148">
        <v>-58182.056000000004</v>
      </c>
      <c r="BK4148">
        <v>-6.77</v>
      </c>
      <c r="BL4148">
        <v>-8439.0300000000007</v>
      </c>
    </row>
    <row r="4149" spans="1:64" x14ac:dyDescent="0.25">
      <c r="A4149" s="136">
        <v>44046</v>
      </c>
      <c r="B4149" t="s">
        <v>70</v>
      </c>
      <c r="C4149" t="s">
        <v>131</v>
      </c>
      <c r="D4149">
        <v>12480</v>
      </c>
      <c r="E4149">
        <v>12480</v>
      </c>
      <c r="F4149">
        <v>8.2870000000000008</v>
      </c>
      <c r="G4149">
        <v>-11322.41</v>
      </c>
      <c r="H4149">
        <v>-10.95</v>
      </c>
      <c r="I4149">
        <v>92102.399999999994</v>
      </c>
      <c r="J4149">
        <v>7.38</v>
      </c>
      <c r="K4149" s="133">
        <v>0.1660711940377198</v>
      </c>
      <c r="L4149" s="181">
        <v>2552.0599999999995</v>
      </c>
      <c r="M4149" s="133">
        <v>0.18648679827913611</v>
      </c>
      <c r="N4149" s="73">
        <v>-11829.516999999993</v>
      </c>
      <c r="O4149" s="73">
        <v>-1610.8449920299718</v>
      </c>
      <c r="P4149" s="182">
        <v>0</v>
      </c>
      <c r="Q4149" s="182">
        <v>0</v>
      </c>
      <c r="R4149" s="46">
        <v>0</v>
      </c>
      <c r="S4149" s="46">
        <v>11</v>
      </c>
      <c r="T4149" s="46">
        <v>6000</v>
      </c>
      <c r="U4149" s="46">
        <v>7.3609999999999998</v>
      </c>
      <c r="V4149" s="46" t="s">
        <v>68</v>
      </c>
      <c r="W4149" s="46">
        <v>6000</v>
      </c>
      <c r="X4149" s="46">
        <v>7.3609999999999998</v>
      </c>
      <c r="AF4149" s="46">
        <v>228</v>
      </c>
      <c r="AG4149" s="46">
        <v>113180</v>
      </c>
      <c r="AH4149" s="46">
        <v>1232560</v>
      </c>
      <c r="AI4149" s="46">
        <v>10.89</v>
      </c>
      <c r="AJ4149" s="46">
        <v>235</v>
      </c>
      <c r="AK4149" s="46">
        <v>94700</v>
      </c>
      <c r="AL4149" s="46">
        <v>1082858.4509999997</v>
      </c>
      <c r="AM4149" s="46">
        <v>11.435</v>
      </c>
      <c r="AN4149" s="46" t="s">
        <v>63</v>
      </c>
      <c r="AO4149" s="46">
        <v>18480</v>
      </c>
      <c r="AP4149" s="46">
        <v>149701.549</v>
      </c>
      <c r="AQ4149" s="46">
        <v>8.1010000000000009</v>
      </c>
      <c r="AR4149" s="46">
        <v>51611.5</v>
      </c>
      <c r="AS4149" s="46">
        <v>228</v>
      </c>
      <c r="AT4149" s="46">
        <v>113180</v>
      </c>
      <c r="AU4149" s="46">
        <v>1232560</v>
      </c>
      <c r="AV4149" s="46">
        <v>10.89</v>
      </c>
      <c r="AW4149" s="46">
        <v>247</v>
      </c>
      <c r="AX4149" s="46">
        <v>100700</v>
      </c>
      <c r="AY4149" s="46">
        <v>1127357.2829999996</v>
      </c>
      <c r="AZ4149" s="46">
        <v>11.195</v>
      </c>
      <c r="BA4149" s="46" t="s">
        <v>63</v>
      </c>
      <c r="BB4149" s="46">
        <v>12480</v>
      </c>
      <c r="BC4149" s="46">
        <v>105202.717</v>
      </c>
      <c r="BD4149" s="46">
        <v>8.43</v>
      </c>
      <c r="BE4149" s="46">
        <v>30713.5</v>
      </c>
      <c r="BF4149" s="46">
        <v>0</v>
      </c>
      <c r="BH4149" s="46">
        <v>44498.831999999937</v>
      </c>
      <c r="BI4149">
        <v>7.42</v>
      </c>
      <c r="BJ4149">
        <v>-44498.831999999995</v>
      </c>
      <c r="BK4149">
        <v>-7.42</v>
      </c>
      <c r="BL4149">
        <v>6993.43</v>
      </c>
    </row>
    <row r="4150" spans="1:64" x14ac:dyDescent="0.25">
      <c r="A4150" s="136">
        <v>44046</v>
      </c>
      <c r="B4150" t="s">
        <v>628</v>
      </c>
      <c r="C4150" t="s">
        <v>629</v>
      </c>
      <c r="D4150">
        <v>100</v>
      </c>
      <c r="E4150">
        <v>100</v>
      </c>
      <c r="F4150">
        <v>0.95</v>
      </c>
      <c r="G4150">
        <v>1640</v>
      </c>
      <c r="H4150">
        <v>1726.32</v>
      </c>
      <c r="I4150">
        <v>1735</v>
      </c>
      <c r="J4150">
        <v>17.350000000000001</v>
      </c>
      <c r="K4150" s="133">
        <v>3.1284040552194501E-3</v>
      </c>
      <c r="L4150" s="181">
        <v>188</v>
      </c>
      <c r="M4150" s="133">
        <v>1.7129589927714569E-4</v>
      </c>
    </row>
    <row r="4151" spans="1:64" x14ac:dyDescent="0.25">
      <c r="A4151" s="136">
        <v>44046</v>
      </c>
      <c r="B4151" t="s">
        <v>768</v>
      </c>
      <c r="C4151" t="s">
        <v>769</v>
      </c>
      <c r="D4151">
        <v>500</v>
      </c>
      <c r="E4151">
        <v>500</v>
      </c>
      <c r="F4151">
        <v>2.4140000000000001</v>
      </c>
      <c r="G4151">
        <v>333</v>
      </c>
      <c r="H4151">
        <v>27.59</v>
      </c>
      <c r="I4151">
        <v>1540</v>
      </c>
      <c r="J4151">
        <v>3.08</v>
      </c>
      <c r="K4151" s="133">
        <v>2.7767966830189931E-3</v>
      </c>
      <c r="L4151" s="181">
        <v>20</v>
      </c>
      <c r="M4151" s="133">
        <v>2.1763594781843668E-3</v>
      </c>
    </row>
    <row r="4152" spans="1:64" x14ac:dyDescent="0.25">
      <c r="A4152" s="136">
        <v>44046</v>
      </c>
      <c r="B4152" t="s">
        <v>876</v>
      </c>
      <c r="C4152" t="s">
        <v>877</v>
      </c>
      <c r="D4152">
        <v>10</v>
      </c>
      <c r="E4152">
        <v>10</v>
      </c>
      <c r="F4152">
        <v>100</v>
      </c>
      <c r="G4152">
        <v>0</v>
      </c>
      <c r="H4152">
        <v>0</v>
      </c>
      <c r="I4152">
        <v>1000</v>
      </c>
      <c r="J4152">
        <v>100</v>
      </c>
      <c r="K4152" s="133">
        <v>1.8031147292331125E-3</v>
      </c>
      <c r="L4152" s="181">
        <v>0</v>
      </c>
      <c r="M4152" s="133">
        <v>1.8031147292331125E-3</v>
      </c>
    </row>
    <row r="4153" spans="1:64" x14ac:dyDescent="0.25">
      <c r="A4153" s="136">
        <v>44046</v>
      </c>
      <c r="B4153" t="s">
        <v>837</v>
      </c>
      <c r="C4153" t="s">
        <v>838</v>
      </c>
      <c r="D4153">
        <v>20</v>
      </c>
      <c r="E4153">
        <v>20</v>
      </c>
      <c r="F4153">
        <v>100</v>
      </c>
      <c r="G4153">
        <v>0</v>
      </c>
      <c r="H4153">
        <v>0</v>
      </c>
      <c r="I4153">
        <v>2000</v>
      </c>
      <c r="J4153">
        <v>100</v>
      </c>
      <c r="K4153" s="133">
        <v>3.6062294584662249E-3</v>
      </c>
      <c r="L4153" s="181">
        <v>0</v>
      </c>
      <c r="M4153" s="133">
        <v>3.6062294584662249E-3</v>
      </c>
    </row>
    <row r="4154" spans="1:64" x14ac:dyDescent="0.25">
      <c r="A4154" s="136">
        <v>44046</v>
      </c>
      <c r="B4154" t="s">
        <v>881</v>
      </c>
      <c r="C4154" t="s">
        <v>882</v>
      </c>
      <c r="D4154">
        <v>10</v>
      </c>
      <c r="E4154">
        <v>10</v>
      </c>
      <c r="F4154">
        <v>100</v>
      </c>
      <c r="G4154">
        <v>0</v>
      </c>
      <c r="H4154">
        <v>0</v>
      </c>
      <c r="I4154">
        <v>1000</v>
      </c>
      <c r="J4154">
        <v>100</v>
      </c>
      <c r="K4154" s="133">
        <v>1.8031147292331125E-3</v>
      </c>
      <c r="L4154" s="181">
        <v>0</v>
      </c>
      <c r="M4154" s="133">
        <v>1.8031147292331125E-3</v>
      </c>
    </row>
    <row r="4155" spans="1:64" x14ac:dyDescent="0.25">
      <c r="A4155" s="136">
        <v>44046</v>
      </c>
      <c r="B4155" t="s">
        <v>137</v>
      </c>
      <c r="C4155" t="s">
        <v>149</v>
      </c>
      <c r="D4155">
        <v>150</v>
      </c>
      <c r="E4155">
        <v>150</v>
      </c>
      <c r="F4155">
        <v>1</v>
      </c>
      <c r="G4155">
        <v>6081</v>
      </c>
      <c r="H4155">
        <v>4054</v>
      </c>
      <c r="I4155">
        <v>6231</v>
      </c>
      <c r="J4155">
        <v>41.54</v>
      </c>
      <c r="K4155" s="133">
        <v>1.1235207877851525E-2</v>
      </c>
      <c r="L4155" s="181">
        <v>306</v>
      </c>
      <c r="M4155" s="133">
        <v>2.7046720938496687E-4</v>
      </c>
    </row>
    <row r="4156" spans="1:64" x14ac:dyDescent="0.25">
      <c r="A4156" s="136">
        <v>44046</v>
      </c>
      <c r="B4156" t="s">
        <v>863</v>
      </c>
      <c r="C4156" t="s">
        <v>864</v>
      </c>
      <c r="D4156">
        <v>500</v>
      </c>
      <c r="E4156">
        <v>500</v>
      </c>
      <c r="F4156">
        <v>10.51</v>
      </c>
      <c r="G4156">
        <v>9480</v>
      </c>
      <c r="H4156">
        <v>180.4</v>
      </c>
      <c r="I4156">
        <v>14735</v>
      </c>
      <c r="J4156">
        <v>29.47</v>
      </c>
      <c r="K4156" s="133">
        <v>2.6568895535249912E-2</v>
      </c>
      <c r="L4156" s="181">
        <v>2560</v>
      </c>
      <c r="M4156" s="133">
        <v>9.4753679021200073E-3</v>
      </c>
    </row>
    <row r="4157" spans="1:64" x14ac:dyDescent="0.25">
      <c r="A4157" s="136">
        <v>44046</v>
      </c>
      <c r="B4157" t="s">
        <v>835</v>
      </c>
      <c r="C4157" t="s">
        <v>839</v>
      </c>
      <c r="I4157">
        <v>6451.06</v>
      </c>
      <c r="K4157" s="133">
        <v>1.1632001305166563E-2</v>
      </c>
      <c r="L4157" s="181">
        <v>0</v>
      </c>
      <c r="M4157" s="133">
        <v>0.24506213425170051</v>
      </c>
    </row>
    <row r="4158" spans="1:64" x14ac:dyDescent="0.25">
      <c r="A4158" s="136">
        <v>44053</v>
      </c>
      <c r="B4158" t="s">
        <v>863</v>
      </c>
      <c r="C4158" t="s">
        <v>864</v>
      </c>
      <c r="D4158">
        <v>500</v>
      </c>
      <c r="E4158">
        <v>500</v>
      </c>
      <c r="F4158">
        <v>10.51</v>
      </c>
      <c r="G4158">
        <v>18480</v>
      </c>
      <c r="H4158">
        <v>351.67</v>
      </c>
      <c r="I4158">
        <v>23735</v>
      </c>
      <c r="J4158">
        <v>47.47</v>
      </c>
      <c r="K4158" s="133">
        <v>4.2031420802452521E-2</v>
      </c>
      <c r="L4158" s="181">
        <v>9000</v>
      </c>
      <c r="M4158" s="133">
        <v>9.3058822968985887E-3</v>
      </c>
    </row>
    <row r="4159" spans="1:64" x14ac:dyDescent="0.25">
      <c r="A4159" s="136">
        <v>44053</v>
      </c>
      <c r="B4159" t="s">
        <v>137</v>
      </c>
      <c r="C4159" t="s">
        <v>149</v>
      </c>
      <c r="D4159">
        <v>150</v>
      </c>
      <c r="E4159">
        <v>150</v>
      </c>
      <c r="F4159">
        <v>1</v>
      </c>
      <c r="G4159">
        <v>5862</v>
      </c>
      <c r="H4159">
        <v>3908</v>
      </c>
      <c r="I4159">
        <v>6012</v>
      </c>
      <c r="J4159">
        <v>40.08</v>
      </c>
      <c r="K4159" s="133">
        <v>1.0646425189144493E-2</v>
      </c>
      <c r="L4159" s="181">
        <v>-219</v>
      </c>
      <c r="M4159" s="133">
        <v>2.6562937098663906E-4</v>
      </c>
    </row>
    <row r="4160" spans="1:64" x14ac:dyDescent="0.25">
      <c r="A4160" s="136">
        <v>44053</v>
      </c>
      <c r="B4160" t="s">
        <v>71</v>
      </c>
      <c r="C4160" t="s">
        <v>126</v>
      </c>
      <c r="D4160">
        <v>5800</v>
      </c>
      <c r="E4160">
        <v>5800</v>
      </c>
      <c r="F4160">
        <v>4.274</v>
      </c>
      <c r="G4160">
        <v>5487.54</v>
      </c>
      <c r="H4160">
        <v>22.14</v>
      </c>
      <c r="I4160">
        <v>30276</v>
      </c>
      <c r="J4160">
        <v>5.22</v>
      </c>
      <c r="K4160" s="133">
        <v>5.3614632239943227E-2</v>
      </c>
      <c r="L4160" s="181">
        <v>194.85999999999967</v>
      </c>
      <c r="M4160" s="133">
        <v>4.3896953583516418E-2</v>
      </c>
      <c r="N4160" s="73">
        <v>-24823.059999999998</v>
      </c>
      <c r="O4160" s="73">
        <v>1081.1967737642592</v>
      </c>
      <c r="P4160" s="182">
        <v>1</v>
      </c>
      <c r="Q4160" s="182">
        <v>1500</v>
      </c>
      <c r="R4160" s="46">
        <v>5.18</v>
      </c>
      <c r="S4160" s="46">
        <v>2</v>
      </c>
      <c r="T4160" s="46">
        <v>800</v>
      </c>
      <c r="U4160" s="46">
        <v>5.6849999999999996</v>
      </c>
      <c r="V4160" s="46" t="s">
        <v>62</v>
      </c>
      <c r="W4160" s="46">
        <v>700</v>
      </c>
      <c r="X4160" s="46">
        <v>4.6029999999999998</v>
      </c>
      <c r="AF4160" s="46">
        <v>74</v>
      </c>
      <c r="AG4160" s="46">
        <v>39300</v>
      </c>
      <c r="AH4160" s="46">
        <v>237624.29999999981</v>
      </c>
      <c r="AI4160" s="46">
        <v>6.0460000000000003</v>
      </c>
      <c r="AJ4160" s="46">
        <v>79</v>
      </c>
      <c r="AK4160" s="46">
        <v>34200</v>
      </c>
      <c r="AL4160" s="46">
        <v>215887.96800000002</v>
      </c>
      <c r="AM4160" s="46">
        <v>6.3129999999999997</v>
      </c>
      <c r="AN4160" s="46" t="s">
        <v>63</v>
      </c>
      <c r="AO4160" s="46">
        <v>5100</v>
      </c>
      <c r="AP4160" s="46">
        <v>21736.331999999999</v>
      </c>
      <c r="AQ4160" s="46">
        <v>4.2619999999999996</v>
      </c>
      <c r="AR4160" s="46">
        <v>9131.4</v>
      </c>
      <c r="AS4160" s="46">
        <v>75</v>
      </c>
      <c r="AT4160" s="46">
        <v>40800</v>
      </c>
      <c r="AU4160" s="46">
        <v>245400.19999999981</v>
      </c>
      <c r="AV4160" s="46">
        <v>6.0149999999999997</v>
      </c>
      <c r="AW4160" s="46">
        <v>81</v>
      </c>
      <c r="AX4160" s="46">
        <v>35000</v>
      </c>
      <c r="AY4160" s="46">
        <v>220420.94</v>
      </c>
      <c r="AZ4160" s="46">
        <v>6.298</v>
      </c>
      <c r="BA4160" s="46" t="s">
        <v>63</v>
      </c>
      <c r="BB4160" s="46">
        <v>5800</v>
      </c>
      <c r="BC4160" s="46">
        <v>24979.26</v>
      </c>
      <c r="BD4160" s="46">
        <v>4.3070000000000004</v>
      </c>
      <c r="BE4160" s="46">
        <v>9905</v>
      </c>
      <c r="BF4160" s="46">
        <v>7775.8999999999942</v>
      </c>
      <c r="BG4160" s="46">
        <v>5.18</v>
      </c>
      <c r="BH4160" s="46">
        <v>4532.9719999999797</v>
      </c>
      <c r="BI4160">
        <v>5.67</v>
      </c>
      <c r="BJ4160">
        <v>3242.9279999999999</v>
      </c>
      <c r="BK4160">
        <v>4.63</v>
      </c>
      <c r="BL4160">
        <v>1749.31</v>
      </c>
    </row>
    <row r="4161" spans="1:64" x14ac:dyDescent="0.25">
      <c r="A4161" s="136">
        <v>44053</v>
      </c>
      <c r="B4161" t="s">
        <v>628</v>
      </c>
      <c r="C4161" t="s">
        <v>629</v>
      </c>
      <c r="D4161">
        <v>100</v>
      </c>
      <c r="E4161">
        <v>100</v>
      </c>
      <c r="F4161">
        <v>0.95</v>
      </c>
      <c r="G4161">
        <v>1522</v>
      </c>
      <c r="H4161">
        <v>1602.11</v>
      </c>
      <c r="I4161">
        <v>1617</v>
      </c>
      <c r="J4161">
        <v>16.170000000000002</v>
      </c>
      <c r="K4161" s="133">
        <v>2.8634846192359688E-3</v>
      </c>
      <c r="L4161" s="181">
        <v>-118</v>
      </c>
      <c r="M4161" s="133">
        <v>1.6823193495820474E-4</v>
      </c>
    </row>
    <row r="4162" spans="1:64" x14ac:dyDescent="0.25">
      <c r="A4162" s="136">
        <v>44053</v>
      </c>
      <c r="B4162" t="s">
        <v>124</v>
      </c>
      <c r="C4162" t="s">
        <v>125</v>
      </c>
      <c r="D4162">
        <v>100</v>
      </c>
      <c r="E4162">
        <v>100</v>
      </c>
      <c r="F4162">
        <v>0.73699999999999999</v>
      </c>
      <c r="G4162">
        <v>425.28</v>
      </c>
      <c r="H4162">
        <v>577.04</v>
      </c>
      <c r="I4162">
        <v>499</v>
      </c>
      <c r="J4162">
        <v>4.99</v>
      </c>
      <c r="K4162" s="133">
        <v>8.836603741488859E-4</v>
      </c>
      <c r="L4162" s="181">
        <v>1</v>
      </c>
      <c r="M4162" s="133">
        <v>1.3054798152756691E-4</v>
      </c>
      <c r="N4162" s="73">
        <v>5623.0690000000113</v>
      </c>
      <c r="O4162" s="73">
        <v>1111.8087987827732</v>
      </c>
      <c r="P4162" s="182">
        <v>0</v>
      </c>
      <c r="Q4162" s="182">
        <v>0</v>
      </c>
      <c r="R4162" s="46">
        <v>0</v>
      </c>
      <c r="S4162" s="46">
        <v>5</v>
      </c>
      <c r="T4162" s="46">
        <v>2300</v>
      </c>
      <c r="U4162" s="46">
        <v>4.99</v>
      </c>
      <c r="V4162" s="46" t="s">
        <v>68</v>
      </c>
      <c r="W4162" s="46">
        <v>2300</v>
      </c>
      <c r="X4162" s="46">
        <v>4.99</v>
      </c>
      <c r="AF4162" s="46">
        <v>50</v>
      </c>
      <c r="AG4162" s="46">
        <v>36700</v>
      </c>
      <c r="AH4162" s="46">
        <v>180101.02000000002</v>
      </c>
      <c r="AI4162" s="46">
        <v>4.907</v>
      </c>
      <c r="AJ4162" s="46">
        <v>58</v>
      </c>
      <c r="AK4162" s="46">
        <v>35300</v>
      </c>
      <c r="AL4162" s="46">
        <v>178266.546</v>
      </c>
      <c r="AM4162" s="46">
        <v>5.05</v>
      </c>
      <c r="AN4162" s="46" t="s">
        <v>63</v>
      </c>
      <c r="AO4162" s="46">
        <v>1400</v>
      </c>
      <c r="AP4162" s="46">
        <v>1834.4739999999999</v>
      </c>
      <c r="AQ4162" s="46">
        <v>1.31</v>
      </c>
      <c r="AR4162" s="46">
        <v>5047.8999999999996</v>
      </c>
      <c r="AS4162" s="46">
        <v>51</v>
      </c>
      <c r="AT4162" s="46">
        <v>37700</v>
      </c>
      <c r="AU4162" s="46">
        <v>185106.62</v>
      </c>
      <c r="AV4162" s="46">
        <v>4.91</v>
      </c>
      <c r="AW4162" s="46">
        <v>63</v>
      </c>
      <c r="AX4162" s="46">
        <v>37600</v>
      </c>
      <c r="AY4162" s="46">
        <v>189763.68900000001</v>
      </c>
      <c r="AZ4162" s="46">
        <v>5.0469999999999997</v>
      </c>
      <c r="BA4162" s="46" t="s">
        <v>63</v>
      </c>
      <c r="BB4162" s="46">
        <v>100</v>
      </c>
      <c r="BC4162" s="46">
        <v>4657.0690000000004</v>
      </c>
      <c r="BD4162" s="46">
        <v>46.570999999999998</v>
      </c>
      <c r="BE4162" s="46">
        <v>5151.2</v>
      </c>
      <c r="BF4162" s="46">
        <v>5005.5999999999767</v>
      </c>
      <c r="BH4162" s="46">
        <v>11497.143000000011</v>
      </c>
      <c r="BI4162">
        <v>5</v>
      </c>
      <c r="BJ4162">
        <v>2822.5950000000003</v>
      </c>
      <c r="BK4162">
        <v>1.23</v>
      </c>
      <c r="BL4162">
        <v>1011.6</v>
      </c>
    </row>
    <row r="4163" spans="1:64" x14ac:dyDescent="0.25">
      <c r="A4163" s="136">
        <v>44053</v>
      </c>
      <c r="B4163" t="s">
        <v>72</v>
      </c>
      <c r="C4163" t="s">
        <v>130</v>
      </c>
      <c r="D4163">
        <v>100</v>
      </c>
      <c r="E4163">
        <v>100</v>
      </c>
      <c r="F4163">
        <v>1.53</v>
      </c>
      <c r="G4163">
        <v>395</v>
      </c>
      <c r="H4163">
        <v>258.17</v>
      </c>
      <c r="I4163">
        <v>548</v>
      </c>
      <c r="J4163">
        <v>5.48</v>
      </c>
      <c r="K4163" s="133">
        <v>9.7043263533785472E-4</v>
      </c>
      <c r="L4163" s="181">
        <v>10</v>
      </c>
      <c r="M4163" s="133">
        <v>2.7094195840637181E-4</v>
      </c>
      <c r="N4163" s="73">
        <v>-1498.9659999999872</v>
      </c>
      <c r="O4163" s="73">
        <v>376.42007904191922</v>
      </c>
      <c r="P4163" s="182">
        <v>0</v>
      </c>
      <c r="Q4163" s="182">
        <v>0</v>
      </c>
      <c r="R4163" s="46">
        <v>0</v>
      </c>
      <c r="S4163" s="46">
        <v>20</v>
      </c>
      <c r="T4163" s="46">
        <v>8600</v>
      </c>
      <c r="U4163" s="46">
        <v>7.3840000000000003</v>
      </c>
      <c r="V4163" s="46" t="s">
        <v>68</v>
      </c>
      <c r="W4163" s="46">
        <v>8600</v>
      </c>
      <c r="X4163" s="46">
        <v>7.3840000000000003</v>
      </c>
      <c r="AF4163" s="46">
        <v>42</v>
      </c>
      <c r="AG4163" s="46">
        <v>20900</v>
      </c>
      <c r="AH4163" s="46">
        <v>152800</v>
      </c>
      <c r="AI4163" s="46">
        <v>7.3109999999999999</v>
      </c>
      <c r="AJ4163" s="46">
        <v>42</v>
      </c>
      <c r="AK4163" s="46">
        <v>18800</v>
      </c>
      <c r="AL4163" s="46">
        <v>92037.725000000035</v>
      </c>
      <c r="AM4163" s="46">
        <v>4.8959999999999999</v>
      </c>
      <c r="AN4163" s="46" t="s">
        <v>63</v>
      </c>
      <c r="AO4163" s="46">
        <v>2100</v>
      </c>
      <c r="AP4163" s="46">
        <v>60762.275000000001</v>
      </c>
      <c r="AQ4163" s="46">
        <v>28.934000000000001</v>
      </c>
      <c r="AR4163" s="46">
        <v>-45402</v>
      </c>
      <c r="AS4163" s="46">
        <v>42</v>
      </c>
      <c r="AT4163" s="46">
        <v>20900</v>
      </c>
      <c r="AU4163" s="46">
        <v>152800</v>
      </c>
      <c r="AV4163" s="46">
        <v>7.3109999999999999</v>
      </c>
      <c r="AW4163" s="46">
        <v>63</v>
      </c>
      <c r="AX4163" s="46">
        <v>27900</v>
      </c>
      <c r="AY4163" s="46">
        <v>155380.21900000001</v>
      </c>
      <c r="AZ4163" s="46">
        <v>5.569</v>
      </c>
      <c r="BA4163" s="46" t="s">
        <v>69</v>
      </c>
      <c r="BB4163" s="46">
        <v>7000</v>
      </c>
      <c r="BC4163" s="46">
        <v>2580.2190000000001</v>
      </c>
      <c r="BD4163" s="46">
        <v>0.36899999999999999</v>
      </c>
      <c r="BE4163" s="46">
        <v>-36407.800000000003</v>
      </c>
      <c r="BF4163" s="46">
        <v>0</v>
      </c>
      <c r="BH4163" s="46">
        <v>63342.493999999977</v>
      </c>
      <c r="BI4163">
        <v>7.37</v>
      </c>
      <c r="BJ4163">
        <v>-58182.056000000004</v>
      </c>
      <c r="BK4163">
        <v>-6.77</v>
      </c>
      <c r="BL4163">
        <v>-8285.0400000000009</v>
      </c>
    </row>
    <row r="4164" spans="1:64" x14ac:dyDescent="0.25">
      <c r="A4164" s="136">
        <v>44053</v>
      </c>
      <c r="B4164" t="s">
        <v>749</v>
      </c>
      <c r="C4164" t="s">
        <v>750</v>
      </c>
      <c r="D4164">
        <v>500</v>
      </c>
      <c r="E4164">
        <v>500</v>
      </c>
      <c r="F4164">
        <v>5.65</v>
      </c>
      <c r="G4164">
        <v>340</v>
      </c>
      <c r="H4164">
        <v>12.04</v>
      </c>
      <c r="I4164">
        <v>3165</v>
      </c>
      <c r="J4164">
        <v>6.33</v>
      </c>
      <c r="K4164" s="133">
        <v>5.6047797278180843E-3</v>
      </c>
      <c r="L4164" s="181">
        <v>-85</v>
      </c>
      <c r="M4164" s="133">
        <v>5.0026864869150353E-3</v>
      </c>
    </row>
    <row r="4165" spans="1:64" x14ac:dyDescent="0.25">
      <c r="A4165" s="136">
        <v>44053</v>
      </c>
      <c r="B4165" t="s">
        <v>768</v>
      </c>
      <c r="C4165" t="s">
        <v>769</v>
      </c>
      <c r="D4165">
        <v>500</v>
      </c>
      <c r="E4165">
        <v>500</v>
      </c>
      <c r="F4165">
        <v>2.4140000000000001</v>
      </c>
      <c r="G4165">
        <v>323</v>
      </c>
      <c r="H4165">
        <v>26.76</v>
      </c>
      <c r="I4165">
        <v>1530</v>
      </c>
      <c r="J4165">
        <v>3.06</v>
      </c>
      <c r="K4165" s="133">
        <v>2.7094195840637182E-3</v>
      </c>
      <c r="L4165" s="181">
        <v>-10</v>
      </c>
      <c r="M4165" s="133">
        <v>2.1374310052058223E-3</v>
      </c>
    </row>
    <row r="4166" spans="1:64" x14ac:dyDescent="0.25">
      <c r="A4166" s="136">
        <v>44053</v>
      </c>
      <c r="B4166" t="s">
        <v>776</v>
      </c>
      <c r="C4166" t="s">
        <v>777</v>
      </c>
      <c r="D4166">
        <v>1</v>
      </c>
      <c r="E4166">
        <v>1</v>
      </c>
      <c r="F4166">
        <v>-137.5</v>
      </c>
      <c r="G4166">
        <v>213.45</v>
      </c>
      <c r="H4166">
        <v>0</v>
      </c>
      <c r="I4166">
        <v>75.95</v>
      </c>
      <c r="J4166">
        <v>75.95</v>
      </c>
      <c r="K4166" s="133">
        <v>1.3449700484290158E-4</v>
      </c>
      <c r="L4166" s="181">
        <v>1.9799999999999898</v>
      </c>
      <c r="M4166" s="133">
        <v>0</v>
      </c>
    </row>
    <row r="4167" spans="1:64" x14ac:dyDescent="0.25">
      <c r="A4167" s="136">
        <v>44053</v>
      </c>
      <c r="B4167" t="s">
        <v>132</v>
      </c>
      <c r="C4167" t="s">
        <v>123</v>
      </c>
      <c r="D4167">
        <v>14238177</v>
      </c>
      <c r="E4167">
        <v>12001477</v>
      </c>
      <c r="F4167">
        <v>0.01</v>
      </c>
      <c r="G4167">
        <v>158.65</v>
      </c>
      <c r="H4167">
        <v>0</v>
      </c>
      <c r="I4167">
        <v>142381.76999999999</v>
      </c>
      <c r="J4167">
        <v>0.01</v>
      </c>
      <c r="K4167" s="133">
        <v>0.25213853336709541</v>
      </c>
      <c r="L4167" s="181">
        <v>20.200000000000017</v>
      </c>
      <c r="M4167" s="133">
        <v>0</v>
      </c>
    </row>
    <row r="4168" spans="1:64" x14ac:dyDescent="0.25">
      <c r="A4168" s="136">
        <v>44053</v>
      </c>
      <c r="B4168" t="s">
        <v>881</v>
      </c>
      <c r="C4168" t="s">
        <v>882</v>
      </c>
      <c r="D4168">
        <v>10</v>
      </c>
      <c r="E4168">
        <v>10</v>
      </c>
      <c r="F4168">
        <v>100</v>
      </c>
      <c r="G4168">
        <v>0</v>
      </c>
      <c r="H4168">
        <v>0</v>
      </c>
      <c r="I4168">
        <v>1000</v>
      </c>
      <c r="J4168">
        <v>100</v>
      </c>
      <c r="K4168" s="133">
        <v>1.7708624732442604E-3</v>
      </c>
      <c r="L4168" s="181">
        <v>0</v>
      </c>
      <c r="M4168" s="133">
        <v>1.7708624732442604E-3</v>
      </c>
    </row>
    <row r="4169" spans="1:64" x14ac:dyDescent="0.25">
      <c r="A4169" s="136">
        <v>44053</v>
      </c>
      <c r="B4169" t="s">
        <v>61</v>
      </c>
      <c r="C4169" t="s">
        <v>136</v>
      </c>
      <c r="D4169">
        <v>4000</v>
      </c>
      <c r="E4169">
        <v>4000</v>
      </c>
      <c r="F4169">
        <v>4.2149999999999999</v>
      </c>
      <c r="G4169">
        <v>-2541.6799999999998</v>
      </c>
      <c r="H4169">
        <v>-15.08</v>
      </c>
      <c r="I4169">
        <v>14320</v>
      </c>
      <c r="J4169">
        <v>3.58</v>
      </c>
      <c r="K4169" s="133">
        <v>2.5358750616857807E-2</v>
      </c>
      <c r="L4169" s="181">
        <v>-135.03999999999996</v>
      </c>
      <c r="M4169" s="133">
        <v>2.9859716347853279E-2</v>
      </c>
      <c r="N4169" s="73">
        <v>-2621.4590000000026</v>
      </c>
      <c r="O4169" s="73">
        <v>-735.99670519662993</v>
      </c>
      <c r="P4169" s="182">
        <v>5</v>
      </c>
      <c r="Q4169" s="182">
        <v>2500</v>
      </c>
      <c r="R4169" s="46">
        <v>3.968</v>
      </c>
      <c r="S4169" s="46">
        <v>1</v>
      </c>
      <c r="T4169" s="46">
        <v>1400</v>
      </c>
      <c r="U4169" s="46">
        <v>3.85</v>
      </c>
      <c r="V4169" s="46" t="s">
        <v>62</v>
      </c>
      <c r="W4169" s="46">
        <v>1100</v>
      </c>
      <c r="X4169" s="46">
        <v>4.1180000000000003</v>
      </c>
      <c r="AF4169" s="46">
        <v>30</v>
      </c>
      <c r="AG4169" s="46">
        <v>15000</v>
      </c>
      <c r="AH4169" s="46">
        <v>69729.000000000015</v>
      </c>
      <c r="AI4169" s="46">
        <v>4.649</v>
      </c>
      <c r="AJ4169" s="46">
        <v>30</v>
      </c>
      <c r="AK4169" s="46">
        <v>12100</v>
      </c>
      <c r="AL4169" s="46">
        <v>56975.270999999979</v>
      </c>
      <c r="AM4169" s="46">
        <v>4.7089999999999996</v>
      </c>
      <c r="AN4169" s="46" t="s">
        <v>63</v>
      </c>
      <c r="AO4169" s="46">
        <v>2900</v>
      </c>
      <c r="AP4169" s="46">
        <v>12753.728999999999</v>
      </c>
      <c r="AQ4169" s="46">
        <v>4.3979999999999997</v>
      </c>
      <c r="AR4169" s="46">
        <v>726</v>
      </c>
      <c r="AS4169" s="46">
        <v>35</v>
      </c>
      <c r="AT4169" s="46">
        <v>17500</v>
      </c>
      <c r="AU4169" s="46">
        <v>79675.500000000029</v>
      </c>
      <c r="AV4169" s="46">
        <v>4.5529999999999999</v>
      </c>
      <c r="AW4169" s="46">
        <v>31</v>
      </c>
      <c r="AX4169" s="46">
        <v>13500</v>
      </c>
      <c r="AY4169" s="46">
        <v>62814.040999999983</v>
      </c>
      <c r="AZ4169" s="46">
        <v>4.6529999999999996</v>
      </c>
      <c r="BA4169" s="46" t="s">
        <v>63</v>
      </c>
      <c r="BB4169" s="46">
        <v>4000</v>
      </c>
      <c r="BC4169" s="46">
        <v>16861.458999999999</v>
      </c>
      <c r="BD4169" s="46">
        <v>4.2149999999999999</v>
      </c>
      <c r="BE4169" s="46">
        <v>1350</v>
      </c>
      <c r="BF4169" s="46">
        <v>9946.5000000000146</v>
      </c>
      <c r="BG4169" s="46">
        <v>3.98</v>
      </c>
      <c r="BH4169" s="46">
        <v>5838.7700000000041</v>
      </c>
      <c r="BI4169">
        <v>4.17</v>
      </c>
      <c r="BJ4169">
        <v>4107.7299999999996</v>
      </c>
      <c r="BK4169">
        <v>3.73</v>
      </c>
      <c r="BL4169">
        <v>202.79</v>
      </c>
    </row>
    <row r="4170" spans="1:64" x14ac:dyDescent="0.25">
      <c r="A4170" s="136">
        <v>44053</v>
      </c>
      <c r="B4170" t="s">
        <v>70</v>
      </c>
      <c r="C4170" t="s">
        <v>131</v>
      </c>
      <c r="D4170">
        <v>11280</v>
      </c>
      <c r="E4170">
        <v>11280</v>
      </c>
      <c r="F4170">
        <v>8.3640000000000008</v>
      </c>
      <c r="G4170">
        <v>-7597.72</v>
      </c>
      <c r="H4170">
        <v>-8.0500000000000007</v>
      </c>
      <c r="I4170">
        <v>86743.2</v>
      </c>
      <c r="J4170">
        <v>7.69</v>
      </c>
      <c r="K4170" s="133">
        <v>0.15361027768912153</v>
      </c>
      <c r="L4170" s="181">
        <v>3724.6899999999996</v>
      </c>
      <c r="M4170" s="133">
        <v>0.1670647949193389</v>
      </c>
      <c r="N4170" s="73">
        <v>-6928.8249999999971</v>
      </c>
      <c r="O4170" s="73">
        <v>-893.59491451612871</v>
      </c>
      <c r="P4170" s="182">
        <v>0</v>
      </c>
      <c r="Q4170" s="182">
        <v>0</v>
      </c>
      <c r="R4170" s="46">
        <v>0</v>
      </c>
      <c r="S4170" s="46">
        <v>14</v>
      </c>
      <c r="T4170" s="46">
        <v>7200</v>
      </c>
      <c r="U4170" s="46">
        <v>7.399</v>
      </c>
      <c r="V4170" s="46" t="s">
        <v>68</v>
      </c>
      <c r="W4170" s="46">
        <v>7200</v>
      </c>
      <c r="X4170" s="46">
        <v>7.399</v>
      </c>
      <c r="AF4170" s="46">
        <v>228</v>
      </c>
      <c r="AG4170" s="46">
        <v>113180</v>
      </c>
      <c r="AH4170" s="46">
        <v>1232560</v>
      </c>
      <c r="AI4170" s="46">
        <v>10.89</v>
      </c>
      <c r="AJ4170" s="46">
        <v>235</v>
      </c>
      <c r="AK4170" s="46">
        <v>94700</v>
      </c>
      <c r="AL4170" s="46">
        <v>1082858.4509999997</v>
      </c>
      <c r="AM4170" s="46">
        <v>11.435</v>
      </c>
      <c r="AN4170" s="46" t="s">
        <v>63</v>
      </c>
      <c r="AO4170" s="46">
        <v>18480</v>
      </c>
      <c r="AP4170" s="46">
        <v>149701.549</v>
      </c>
      <c r="AQ4170" s="46">
        <v>8.1010000000000009</v>
      </c>
      <c r="AR4170" s="46">
        <v>51611.5</v>
      </c>
      <c r="AS4170" s="46">
        <v>228</v>
      </c>
      <c r="AT4170" s="46">
        <v>113180</v>
      </c>
      <c r="AU4170" s="46">
        <v>1232560</v>
      </c>
      <c r="AV4170" s="46">
        <v>10.89</v>
      </c>
      <c r="AW4170" s="46">
        <v>250</v>
      </c>
      <c r="AX4170" s="46">
        <v>101900</v>
      </c>
      <c r="AY4170" s="46">
        <v>1136441.1749999993</v>
      </c>
      <c r="AZ4170" s="46">
        <v>11.153</v>
      </c>
      <c r="BA4170" s="46" t="s">
        <v>63</v>
      </c>
      <c r="BB4170" s="46">
        <v>11280</v>
      </c>
      <c r="BC4170" s="46">
        <v>96118.824999999997</v>
      </c>
      <c r="BD4170" s="46">
        <v>8.5210000000000008</v>
      </c>
      <c r="BE4170" s="46">
        <v>26799.7</v>
      </c>
      <c r="BF4170" s="46">
        <v>0</v>
      </c>
      <c r="BH4170" s="46">
        <v>53582.723999999696</v>
      </c>
      <c r="BI4170">
        <v>7.44</v>
      </c>
      <c r="BJ4170">
        <v>-53582.724000000002</v>
      </c>
      <c r="BK4170">
        <v>-7.44</v>
      </c>
      <c r="BL4170">
        <v>6711.51</v>
      </c>
    </row>
    <row r="4171" spans="1:64" x14ac:dyDescent="0.25">
      <c r="A4171" s="136">
        <v>44053</v>
      </c>
      <c r="B4171" t="s">
        <v>77</v>
      </c>
      <c r="C4171" t="s">
        <v>150</v>
      </c>
      <c r="D4171">
        <v>6700</v>
      </c>
      <c r="E4171">
        <v>6700</v>
      </c>
      <c r="F4171">
        <v>5.0060000000000002</v>
      </c>
      <c r="G4171">
        <v>-13103.99</v>
      </c>
      <c r="H4171">
        <v>-39.07</v>
      </c>
      <c r="I4171">
        <v>20435</v>
      </c>
      <c r="J4171">
        <v>3.05</v>
      </c>
      <c r="K4171" s="133">
        <v>3.6187574640746463E-2</v>
      </c>
      <c r="L4171" s="181">
        <v>-335</v>
      </c>
      <c r="M4171" s="133">
        <v>5.9392938781514512E-2</v>
      </c>
      <c r="N4171" s="73">
        <v>-12938.943999999981</v>
      </c>
      <c r="O4171" s="73">
        <v>-3946.8966755555498</v>
      </c>
      <c r="P4171" s="182">
        <v>8</v>
      </c>
      <c r="Q4171" s="182">
        <v>3900</v>
      </c>
      <c r="R4171" s="46">
        <v>3.8889999999999998</v>
      </c>
      <c r="S4171" s="46">
        <v>1</v>
      </c>
      <c r="T4171" s="46">
        <v>1000</v>
      </c>
      <c r="U4171" s="46">
        <v>3.47</v>
      </c>
      <c r="V4171" s="46" t="s">
        <v>62</v>
      </c>
      <c r="W4171" s="46">
        <v>2900</v>
      </c>
      <c r="X4171" s="46">
        <v>4.0330000000000004</v>
      </c>
      <c r="AF4171" s="46">
        <v>69</v>
      </c>
      <c r="AG4171" s="46">
        <v>34000</v>
      </c>
      <c r="AH4171" s="46">
        <v>206030</v>
      </c>
      <c r="AI4171" s="46">
        <v>6.06</v>
      </c>
      <c r="AJ4171" s="46">
        <v>69</v>
      </c>
      <c r="AK4171" s="46">
        <v>30200</v>
      </c>
      <c r="AL4171" s="46">
        <v>183944.52600000007</v>
      </c>
      <c r="AM4171" s="46">
        <v>6.0910000000000002</v>
      </c>
      <c r="AN4171" s="46" t="s">
        <v>63</v>
      </c>
      <c r="AO4171" s="46">
        <v>3800</v>
      </c>
      <c r="AP4171" s="46">
        <v>22085.473999999998</v>
      </c>
      <c r="AQ4171" s="46">
        <v>5.8120000000000003</v>
      </c>
      <c r="AR4171" s="46">
        <v>936.2</v>
      </c>
      <c r="AS4171" s="46">
        <v>77</v>
      </c>
      <c r="AT4171" s="46">
        <v>37900</v>
      </c>
      <c r="AU4171" s="46">
        <v>220950</v>
      </c>
      <c r="AV4171" s="46">
        <v>5.83</v>
      </c>
      <c r="AW4171" s="46">
        <v>70</v>
      </c>
      <c r="AX4171" s="46">
        <v>31200</v>
      </c>
      <c r="AY4171" s="46">
        <v>187406.05600000007</v>
      </c>
      <c r="AZ4171" s="46">
        <v>6.0069999999999997</v>
      </c>
      <c r="BA4171" s="46" t="s">
        <v>63</v>
      </c>
      <c r="BB4171" s="46">
        <v>6700</v>
      </c>
      <c r="BC4171" s="46">
        <v>33543.944000000003</v>
      </c>
      <c r="BD4171" s="46">
        <v>5.0069999999999997</v>
      </c>
      <c r="BE4171" s="46">
        <v>5522.4</v>
      </c>
      <c r="BF4171" s="46">
        <v>14920</v>
      </c>
      <c r="BG4171" s="46">
        <v>3.83</v>
      </c>
      <c r="BH4171" s="46">
        <v>3461.5299999999988</v>
      </c>
      <c r="BI4171">
        <v>3.46</v>
      </c>
      <c r="BJ4171">
        <v>11458.470000000005</v>
      </c>
      <c r="BK4171">
        <v>3.95</v>
      </c>
      <c r="BL4171">
        <v>306.95</v>
      </c>
    </row>
    <row r="4172" spans="1:64" x14ac:dyDescent="0.25">
      <c r="A4172" s="136">
        <v>44053</v>
      </c>
      <c r="B4172" t="s">
        <v>79</v>
      </c>
      <c r="C4172" t="s">
        <v>143</v>
      </c>
      <c r="D4172">
        <v>7000</v>
      </c>
      <c r="E4172">
        <v>7000</v>
      </c>
      <c r="F4172">
        <v>10.505000000000001</v>
      </c>
      <c r="G4172">
        <v>-18586.259999999998</v>
      </c>
      <c r="H4172">
        <v>-25.28</v>
      </c>
      <c r="I4172">
        <v>54950</v>
      </c>
      <c r="J4172">
        <v>7.85</v>
      </c>
      <c r="K4172" s="133">
        <v>9.7308892904772112E-2</v>
      </c>
      <c r="L4172" s="181">
        <v>-1338.4199999999983</v>
      </c>
      <c r="M4172" s="133">
        <v>0.13022260325673296</v>
      </c>
      <c r="N4172" s="73">
        <v>-18694.911400000448</v>
      </c>
      <c r="O4172" s="73">
        <v>-2383.3627479975062</v>
      </c>
      <c r="P4172" s="182">
        <v>1</v>
      </c>
      <c r="Q4172" s="182">
        <v>2920</v>
      </c>
      <c r="R4172" s="46">
        <v>0</v>
      </c>
      <c r="S4172" s="46">
        <v>3</v>
      </c>
      <c r="T4172" s="46">
        <v>1200</v>
      </c>
      <c r="U4172" s="46">
        <v>8.4700000000000006</v>
      </c>
      <c r="V4172" s="46" t="s">
        <v>62</v>
      </c>
      <c r="W4172" s="46">
        <v>1720</v>
      </c>
      <c r="X4172" s="46">
        <v>-5.9089999999999998</v>
      </c>
      <c r="AF4172" s="46">
        <v>99</v>
      </c>
      <c r="AG4172" s="46">
        <v>46600</v>
      </c>
      <c r="AH4172" s="46">
        <v>477472.95999999915</v>
      </c>
      <c r="AI4172" s="46">
        <v>10.246</v>
      </c>
      <c r="AJ4172" s="46">
        <v>96</v>
      </c>
      <c r="AK4172" s="46">
        <v>41320</v>
      </c>
      <c r="AL4172" s="46">
        <v>393766.68459999945</v>
      </c>
      <c r="AM4172" s="46">
        <v>9.5299999999999994</v>
      </c>
      <c r="AN4172" s="46" t="s">
        <v>63</v>
      </c>
      <c r="AO4172" s="46">
        <v>5280</v>
      </c>
      <c r="AP4172" s="46">
        <v>83706.274999999994</v>
      </c>
      <c r="AQ4172" s="46">
        <v>15.853</v>
      </c>
      <c r="AR4172" s="46">
        <v>-29585.119999999999</v>
      </c>
      <c r="AS4172" s="46">
        <v>100</v>
      </c>
      <c r="AT4172" s="46">
        <v>49520</v>
      </c>
      <c r="AU4172" s="46">
        <v>477479.71199999913</v>
      </c>
      <c r="AV4172" s="46">
        <v>9.6419999999999995</v>
      </c>
      <c r="AW4172" s="46">
        <v>99</v>
      </c>
      <c r="AX4172" s="46">
        <v>42520</v>
      </c>
      <c r="AY4172" s="46">
        <v>403904.80059999949</v>
      </c>
      <c r="AZ4172" s="46">
        <v>9.4990000000000006</v>
      </c>
      <c r="BA4172" s="46" t="s">
        <v>63</v>
      </c>
      <c r="BB4172" s="46">
        <v>7000</v>
      </c>
      <c r="BC4172" s="46">
        <v>73574.910999999993</v>
      </c>
      <c r="BD4172" s="46">
        <v>10.510999999999999</v>
      </c>
      <c r="BE4172" s="46">
        <v>-6080.36</v>
      </c>
      <c r="BF4172" s="46">
        <v>6.7519999999785796</v>
      </c>
      <c r="BG4172" s="46">
        <v>0</v>
      </c>
      <c r="BH4172" s="46">
        <v>10138.116000000038</v>
      </c>
      <c r="BI4172">
        <v>8.4499999999999993</v>
      </c>
      <c r="BJ4172">
        <v>-10131.364000000001</v>
      </c>
      <c r="BK4172">
        <v>-5.89</v>
      </c>
      <c r="BL4172">
        <v>-3768.81</v>
      </c>
    </row>
    <row r="4173" spans="1:64" x14ac:dyDescent="0.25">
      <c r="A4173" s="136">
        <v>44053</v>
      </c>
      <c r="B4173" t="s">
        <v>65</v>
      </c>
      <c r="C4173" t="s">
        <v>127</v>
      </c>
      <c r="D4173">
        <v>25600</v>
      </c>
      <c r="E4173">
        <v>25600</v>
      </c>
      <c r="F4173">
        <v>8.2249999999999996</v>
      </c>
      <c r="G4173">
        <v>-33155.050000000003</v>
      </c>
      <c r="H4173">
        <v>-15.75</v>
      </c>
      <c r="I4173">
        <v>177408</v>
      </c>
      <c r="J4173">
        <v>6.93</v>
      </c>
      <c r="K4173" s="133">
        <v>0.31416516965331776</v>
      </c>
      <c r="L4173" s="181">
        <v>-913.60000000000218</v>
      </c>
      <c r="M4173" s="133">
        <v>0.37287820349685485</v>
      </c>
      <c r="N4173" s="73">
        <v>-37168.970000000147</v>
      </c>
      <c r="O4173" s="73">
        <v>-4736.4514109150268</v>
      </c>
      <c r="P4173" s="182">
        <v>1</v>
      </c>
      <c r="Q4173" s="182">
        <v>500</v>
      </c>
      <c r="R4173" s="46">
        <v>6.83</v>
      </c>
      <c r="S4173" s="46">
        <v>2</v>
      </c>
      <c r="T4173" s="46">
        <v>4900</v>
      </c>
      <c r="U4173" s="46">
        <v>7.4359999999999999</v>
      </c>
      <c r="V4173" s="46" t="s">
        <v>68</v>
      </c>
      <c r="W4173" s="46">
        <v>4400</v>
      </c>
      <c r="X4173" s="46">
        <v>7.5049999999999999</v>
      </c>
      <c r="AF4173" s="46">
        <v>305</v>
      </c>
      <c r="AG4173" s="46">
        <v>162800</v>
      </c>
      <c r="AH4173" s="46">
        <v>1623882.6810000001</v>
      </c>
      <c r="AI4173" s="46">
        <v>9.9749999999999996</v>
      </c>
      <c r="AJ4173" s="46">
        <v>336</v>
      </c>
      <c r="AK4173" s="46">
        <v>142100</v>
      </c>
      <c r="AL4173" s="46">
        <v>1363730.8879999998</v>
      </c>
      <c r="AM4173" s="46">
        <v>9.5969999999999995</v>
      </c>
      <c r="AN4173" s="46" t="s">
        <v>63</v>
      </c>
      <c r="AO4173" s="46">
        <v>20700</v>
      </c>
      <c r="AP4173" s="46">
        <v>260151.79300000001</v>
      </c>
      <c r="AQ4173" s="46">
        <v>12.568</v>
      </c>
      <c r="AR4173" s="46">
        <v>-53713.8</v>
      </c>
      <c r="AS4173" s="46">
        <v>310</v>
      </c>
      <c r="AT4173" s="46">
        <v>165100</v>
      </c>
      <c r="AU4173" s="46">
        <v>1639864.6810000001</v>
      </c>
      <c r="AV4173" s="46">
        <v>9.9329999999999998</v>
      </c>
      <c r="AW4173" s="46">
        <v>342</v>
      </c>
      <c r="AX4173" s="46">
        <v>148600</v>
      </c>
      <c r="AY4173" s="46">
        <v>1413175.9449999998</v>
      </c>
      <c r="AZ4173" s="46">
        <v>9.51</v>
      </c>
      <c r="BA4173" s="46" t="s">
        <v>63</v>
      </c>
      <c r="BB4173" s="46">
        <v>16500</v>
      </c>
      <c r="BC4173" s="46">
        <v>226688.736</v>
      </c>
      <c r="BD4173" s="46">
        <v>13.739000000000001</v>
      </c>
      <c r="BE4173" s="46">
        <v>-62857.8</v>
      </c>
      <c r="BF4173" s="46">
        <v>15982</v>
      </c>
      <c r="BG4173" s="46">
        <v>31.96</v>
      </c>
      <c r="BH4173" s="46">
        <v>49445.05700000003</v>
      </c>
      <c r="BI4173">
        <v>10.09</v>
      </c>
      <c r="BJ4173">
        <v>-33463.057000000001</v>
      </c>
      <c r="BK4173">
        <v>-7.61</v>
      </c>
      <c r="BL4173">
        <v>-7750.91</v>
      </c>
    </row>
    <row r="4174" spans="1:64" x14ac:dyDescent="0.25">
      <c r="A4174" s="136">
        <v>44053</v>
      </c>
      <c r="B4174" t="s">
        <v>835</v>
      </c>
      <c r="C4174" t="s">
        <v>839</v>
      </c>
      <c r="I4174">
        <v>0.67</v>
      </c>
      <c r="K4174" s="133">
        <v>1.1864778570736544E-6</v>
      </c>
      <c r="L4174" s="181">
        <v>0</v>
      </c>
      <c r="M4174" s="133">
        <v>0.25213853336709541</v>
      </c>
    </row>
    <row r="4175" spans="1:64" x14ac:dyDescent="0.25">
      <c r="A4175" s="136">
        <v>44057</v>
      </c>
      <c r="B4175" t="s">
        <v>132</v>
      </c>
      <c r="C4175" t="s">
        <v>123</v>
      </c>
      <c r="D4175">
        <v>15001139</v>
      </c>
      <c r="E4175">
        <v>15001139</v>
      </c>
      <c r="F4175">
        <v>0.01</v>
      </c>
      <c r="G4175">
        <v>186.27</v>
      </c>
      <c r="H4175">
        <v>0</v>
      </c>
      <c r="I4175">
        <v>150011.39000000001</v>
      </c>
      <c r="J4175">
        <v>0.01</v>
      </c>
      <c r="K4175" s="133">
        <v>0.26403506936176252</v>
      </c>
      <c r="L4175" s="181">
        <v>27.620000000000005</v>
      </c>
      <c r="M4175" s="133">
        <v>0</v>
      </c>
    </row>
    <row r="4176" spans="1:64" x14ac:dyDescent="0.25">
      <c r="A4176" s="136">
        <v>44057</v>
      </c>
      <c r="B4176" t="s">
        <v>61</v>
      </c>
      <c r="C4176" t="s">
        <v>136</v>
      </c>
      <c r="D4176">
        <v>4400</v>
      </c>
      <c r="E4176">
        <v>4400</v>
      </c>
      <c r="F4176">
        <v>4.1550000000000002</v>
      </c>
      <c r="G4176">
        <v>-2442.71</v>
      </c>
      <c r="H4176">
        <v>-13.36</v>
      </c>
      <c r="I4176">
        <v>15840</v>
      </c>
      <c r="J4176">
        <v>3.6</v>
      </c>
      <c r="K4176" s="133">
        <v>2.7879986304308747E-2</v>
      </c>
      <c r="L4176" s="181">
        <v>98.9699999999998</v>
      </c>
      <c r="M4176" s="133">
        <v>3.2179400530659631E-2</v>
      </c>
      <c r="N4176" s="73">
        <v>-2706.6990000000042</v>
      </c>
      <c r="O4176" s="73">
        <v>-764.22193516949278</v>
      </c>
      <c r="P4176" s="182">
        <v>3</v>
      </c>
      <c r="Q4176" s="182">
        <v>1500</v>
      </c>
      <c r="R4176" s="46">
        <v>4.2329999999999997</v>
      </c>
      <c r="S4176" s="46">
        <v>0</v>
      </c>
      <c r="T4176" s="46">
        <v>0</v>
      </c>
      <c r="U4176" s="46">
        <v>0</v>
      </c>
      <c r="V4176" s="46" t="s">
        <v>62</v>
      </c>
      <c r="W4176" s="46">
        <v>1500</v>
      </c>
      <c r="X4176" s="46">
        <v>4.2329999999999997</v>
      </c>
      <c r="AF4176" s="46">
        <v>33</v>
      </c>
      <c r="AG4176" s="46">
        <v>16400</v>
      </c>
      <c r="AH4176" s="46">
        <v>74730.840000000026</v>
      </c>
      <c r="AI4176" s="46">
        <v>4.5570000000000004</v>
      </c>
      <c r="AJ4176" s="46">
        <v>31</v>
      </c>
      <c r="AK4176" s="46">
        <v>13500</v>
      </c>
      <c r="AL4176" s="46">
        <v>62814.040999999983</v>
      </c>
      <c r="AM4176" s="46">
        <v>4.6529999999999996</v>
      </c>
      <c r="AN4176" s="46" t="s">
        <v>63</v>
      </c>
      <c r="AO4176" s="46">
        <v>2900</v>
      </c>
      <c r="AP4176" s="46">
        <v>11916.799000000001</v>
      </c>
      <c r="AQ4176" s="46">
        <v>4.109</v>
      </c>
      <c r="AR4176" s="46">
        <v>1296</v>
      </c>
      <c r="AS4176" s="46">
        <v>36</v>
      </c>
      <c r="AT4176" s="46">
        <v>17900</v>
      </c>
      <c r="AU4176" s="46">
        <v>81096.740000000034</v>
      </c>
      <c r="AV4176" s="46">
        <v>4.5309999999999997</v>
      </c>
      <c r="AW4176" s="46">
        <v>31</v>
      </c>
      <c r="AX4176" s="46">
        <v>13500</v>
      </c>
      <c r="AY4176" s="46">
        <v>62814.040999999983</v>
      </c>
      <c r="AZ4176" s="46">
        <v>4.6529999999999996</v>
      </c>
      <c r="BA4176" s="46" t="s">
        <v>63</v>
      </c>
      <c r="BB4176" s="46">
        <v>4400</v>
      </c>
      <c r="BC4176" s="46">
        <v>18282.699000000001</v>
      </c>
      <c r="BD4176" s="46">
        <v>4.1550000000000002</v>
      </c>
      <c r="BE4176" s="46">
        <v>1647</v>
      </c>
      <c r="BF4176" s="46">
        <v>6365.9000000000087</v>
      </c>
      <c r="BG4176" s="46">
        <v>4.24</v>
      </c>
      <c r="BH4176" s="46">
        <v>0</v>
      </c>
      <c r="BJ4176">
        <v>6365.9</v>
      </c>
      <c r="BK4176">
        <v>4.24</v>
      </c>
      <c r="BL4176">
        <v>360</v>
      </c>
    </row>
    <row r="4177" spans="1:64" x14ac:dyDescent="0.25">
      <c r="A4177" s="136">
        <v>44057</v>
      </c>
      <c r="B4177" t="s">
        <v>124</v>
      </c>
      <c r="C4177" t="s">
        <v>125</v>
      </c>
      <c r="D4177">
        <v>100</v>
      </c>
      <c r="E4177">
        <v>100</v>
      </c>
      <c r="F4177">
        <v>0.73699999999999999</v>
      </c>
      <c r="G4177">
        <v>428.28</v>
      </c>
      <c r="H4177">
        <v>581.11</v>
      </c>
      <c r="I4177">
        <v>502</v>
      </c>
      <c r="J4177">
        <v>5.0199999999999996</v>
      </c>
      <c r="K4177" s="133">
        <v>8.8357027302796663E-4</v>
      </c>
      <c r="L4177" s="181">
        <v>3</v>
      </c>
      <c r="M4177" s="133">
        <v>1.2975458272434606E-4</v>
      </c>
      <c r="N4177" s="73">
        <v>5623.0690000000113</v>
      </c>
      <c r="O4177" s="73">
        <v>1111.8087987827732</v>
      </c>
      <c r="P4177" s="182">
        <v>0</v>
      </c>
      <c r="Q4177" s="182">
        <v>0</v>
      </c>
      <c r="R4177" s="46">
        <v>0</v>
      </c>
      <c r="S4177" s="46">
        <v>5</v>
      </c>
      <c r="T4177" s="46">
        <v>2300</v>
      </c>
      <c r="U4177" s="46">
        <v>4.99</v>
      </c>
      <c r="V4177" s="46" t="s">
        <v>68</v>
      </c>
      <c r="W4177" s="46">
        <v>2300</v>
      </c>
      <c r="X4177" s="46">
        <v>4.99</v>
      </c>
      <c r="AF4177" s="46">
        <v>50</v>
      </c>
      <c r="AG4177" s="46">
        <v>36700</v>
      </c>
      <c r="AH4177" s="46">
        <v>180101.02000000002</v>
      </c>
      <c r="AI4177" s="46">
        <v>4.907</v>
      </c>
      <c r="AJ4177" s="46">
        <v>58</v>
      </c>
      <c r="AK4177" s="46">
        <v>35300</v>
      </c>
      <c r="AL4177" s="46">
        <v>178266.546</v>
      </c>
      <c r="AM4177" s="46">
        <v>5.05</v>
      </c>
      <c r="AN4177" s="46" t="s">
        <v>63</v>
      </c>
      <c r="AO4177" s="46">
        <v>1400</v>
      </c>
      <c r="AP4177" s="46">
        <v>1834.4739999999999</v>
      </c>
      <c r="AQ4177" s="46">
        <v>1.31</v>
      </c>
      <c r="AR4177" s="46">
        <v>5047.8999999999996</v>
      </c>
      <c r="AS4177" s="46">
        <v>51</v>
      </c>
      <c r="AT4177" s="46">
        <v>37700</v>
      </c>
      <c r="AU4177" s="46">
        <v>185106.62</v>
      </c>
      <c r="AV4177" s="46">
        <v>4.91</v>
      </c>
      <c r="AW4177" s="46">
        <v>63</v>
      </c>
      <c r="AX4177" s="46">
        <v>37600</v>
      </c>
      <c r="AY4177" s="46">
        <v>189763.68900000001</v>
      </c>
      <c r="AZ4177" s="46">
        <v>5.0469999999999997</v>
      </c>
      <c r="BA4177" s="46" t="s">
        <v>63</v>
      </c>
      <c r="BB4177" s="46">
        <v>100</v>
      </c>
      <c r="BC4177" s="46">
        <v>4657.0690000000004</v>
      </c>
      <c r="BD4177" s="46">
        <v>46.570999999999998</v>
      </c>
      <c r="BE4177" s="46">
        <v>5151.2</v>
      </c>
      <c r="BF4177" s="46">
        <v>5005.5999999999767</v>
      </c>
      <c r="BH4177" s="46">
        <v>11497.143000000011</v>
      </c>
      <c r="BI4177">
        <v>5</v>
      </c>
      <c r="BJ4177">
        <v>2822.5950000000003</v>
      </c>
      <c r="BK4177">
        <v>1.23</v>
      </c>
      <c r="BL4177">
        <v>1005.56</v>
      </c>
    </row>
    <row r="4178" spans="1:64" x14ac:dyDescent="0.25">
      <c r="A4178" s="136">
        <v>44057</v>
      </c>
      <c r="B4178" t="s">
        <v>71</v>
      </c>
      <c r="C4178" t="s">
        <v>126</v>
      </c>
      <c r="D4178">
        <v>5800</v>
      </c>
      <c r="E4178">
        <v>5800</v>
      </c>
      <c r="F4178">
        <v>4.274</v>
      </c>
      <c r="G4178">
        <v>5835.54</v>
      </c>
      <c r="H4178">
        <v>23.54</v>
      </c>
      <c r="I4178">
        <v>30624</v>
      </c>
      <c r="J4178">
        <v>5.28</v>
      </c>
      <c r="K4178" s="133">
        <v>5.3901306854996917E-2</v>
      </c>
      <c r="L4178" s="181">
        <v>348</v>
      </c>
      <c r="M4178" s="133">
        <v>4.3630172052077351E-2</v>
      </c>
      <c r="N4178" s="73">
        <v>-24823.059999999998</v>
      </c>
      <c r="O4178" s="73">
        <v>1081.1967737642592</v>
      </c>
      <c r="P4178" s="182">
        <v>1</v>
      </c>
      <c r="Q4178" s="182">
        <v>1500</v>
      </c>
      <c r="R4178" s="46">
        <v>5.18</v>
      </c>
      <c r="S4178" s="46">
        <v>2</v>
      </c>
      <c r="T4178" s="46">
        <v>800</v>
      </c>
      <c r="U4178" s="46">
        <v>5.6849999999999996</v>
      </c>
      <c r="V4178" s="46" t="s">
        <v>62</v>
      </c>
      <c r="W4178" s="46">
        <v>700</v>
      </c>
      <c r="X4178" s="46">
        <v>4.6029999999999998</v>
      </c>
      <c r="AF4178" s="46">
        <v>74</v>
      </c>
      <c r="AG4178" s="46">
        <v>39300</v>
      </c>
      <c r="AH4178" s="46">
        <v>237624.29999999981</v>
      </c>
      <c r="AI4178" s="46">
        <v>6.0460000000000003</v>
      </c>
      <c r="AJ4178" s="46">
        <v>79</v>
      </c>
      <c r="AK4178" s="46">
        <v>34200</v>
      </c>
      <c r="AL4178" s="46">
        <v>215887.96800000002</v>
      </c>
      <c r="AM4178" s="46">
        <v>6.3129999999999997</v>
      </c>
      <c r="AN4178" s="46" t="s">
        <v>63</v>
      </c>
      <c r="AO4178" s="46">
        <v>5100</v>
      </c>
      <c r="AP4178" s="46">
        <v>21736.331999999999</v>
      </c>
      <c r="AQ4178" s="46">
        <v>4.2619999999999996</v>
      </c>
      <c r="AR4178" s="46">
        <v>9131.4</v>
      </c>
      <c r="AS4178" s="46">
        <v>75</v>
      </c>
      <c r="AT4178" s="46">
        <v>40800</v>
      </c>
      <c r="AU4178" s="46">
        <v>245400.19999999981</v>
      </c>
      <c r="AV4178" s="46">
        <v>6.0149999999999997</v>
      </c>
      <c r="AW4178" s="46">
        <v>81</v>
      </c>
      <c r="AX4178" s="46">
        <v>35000</v>
      </c>
      <c r="AY4178" s="46">
        <v>220420.94</v>
      </c>
      <c r="AZ4178" s="46">
        <v>6.298</v>
      </c>
      <c r="BA4178" s="46" t="s">
        <v>63</v>
      </c>
      <c r="BB4178" s="46">
        <v>5800</v>
      </c>
      <c r="BC4178" s="46">
        <v>24979.26</v>
      </c>
      <c r="BD4178" s="46">
        <v>4.3070000000000004</v>
      </c>
      <c r="BE4178" s="46">
        <v>9905</v>
      </c>
      <c r="BF4178" s="46">
        <v>7775.8999999999942</v>
      </c>
      <c r="BG4178" s="46">
        <v>5.18</v>
      </c>
      <c r="BH4178" s="46">
        <v>4532.9719999999797</v>
      </c>
      <c r="BI4178">
        <v>5.67</v>
      </c>
      <c r="BJ4178">
        <v>3242.9279999999999</v>
      </c>
      <c r="BK4178">
        <v>4.63</v>
      </c>
      <c r="BL4178">
        <v>1729.43</v>
      </c>
    </row>
    <row r="4179" spans="1:64" x14ac:dyDescent="0.25">
      <c r="A4179" s="136">
        <v>44057</v>
      </c>
      <c r="B4179" t="s">
        <v>79</v>
      </c>
      <c r="C4179" t="s">
        <v>143</v>
      </c>
      <c r="D4179">
        <v>8000</v>
      </c>
      <c r="E4179">
        <v>8000</v>
      </c>
      <c r="F4179">
        <v>10.143000000000001</v>
      </c>
      <c r="G4179">
        <v>-19864.61</v>
      </c>
      <c r="H4179">
        <v>-24.48</v>
      </c>
      <c r="I4179">
        <v>61280</v>
      </c>
      <c r="J4179">
        <v>7.66</v>
      </c>
      <c r="K4179" s="133">
        <v>0.107858936914649</v>
      </c>
      <c r="L4179" s="181">
        <v>-1278.3500000000022</v>
      </c>
      <c r="M4179" s="133">
        <v>0.142822639865434</v>
      </c>
      <c r="N4179" s="73">
        <v>-19824.059400000464</v>
      </c>
      <c r="O4179" s="73">
        <v>-2583.3308175098387</v>
      </c>
      <c r="P4179" s="182">
        <v>2</v>
      </c>
      <c r="Q4179" s="182">
        <v>3420</v>
      </c>
      <c r="R4179" s="46">
        <v>1.101</v>
      </c>
      <c r="S4179" s="46">
        <v>2</v>
      </c>
      <c r="T4179" s="46">
        <v>800</v>
      </c>
      <c r="U4179" s="46">
        <v>8.69</v>
      </c>
      <c r="V4179" s="46" t="s">
        <v>62</v>
      </c>
      <c r="W4179" s="46">
        <v>2620</v>
      </c>
      <c r="X4179" s="46">
        <v>-1.216</v>
      </c>
      <c r="AF4179" s="46">
        <v>101</v>
      </c>
      <c r="AG4179" s="46">
        <v>47500</v>
      </c>
      <c r="AH4179" s="46">
        <v>484371.49999999913</v>
      </c>
      <c r="AI4179" s="46">
        <v>10.196999999999999</v>
      </c>
      <c r="AJ4179" s="46">
        <v>98</v>
      </c>
      <c r="AK4179" s="46">
        <v>42120</v>
      </c>
      <c r="AL4179" s="46">
        <v>400029.92459999945</v>
      </c>
      <c r="AM4179" s="46">
        <v>9.4969999999999999</v>
      </c>
      <c r="AN4179" s="46" t="s">
        <v>63</v>
      </c>
      <c r="AO4179" s="46">
        <v>5380</v>
      </c>
      <c r="AP4179" s="46">
        <v>84341.574999999997</v>
      </c>
      <c r="AQ4179" s="46">
        <v>15.677</v>
      </c>
      <c r="AR4179" s="46">
        <v>-29484</v>
      </c>
      <c r="AS4179" s="46">
        <v>103</v>
      </c>
      <c r="AT4179" s="46">
        <v>50920</v>
      </c>
      <c r="AU4179" s="46">
        <v>488148.55199999909</v>
      </c>
      <c r="AV4179" s="46">
        <v>9.5869999999999997</v>
      </c>
      <c r="AW4179" s="46">
        <v>100</v>
      </c>
      <c r="AX4179" s="46">
        <v>42920</v>
      </c>
      <c r="AY4179" s="46">
        <v>406964.49259999947</v>
      </c>
      <c r="AZ4179" s="46">
        <v>9.4819999999999993</v>
      </c>
      <c r="BA4179" s="46" t="s">
        <v>63</v>
      </c>
      <c r="BB4179" s="46">
        <v>8000</v>
      </c>
      <c r="BC4179" s="46">
        <v>81184.058999999994</v>
      </c>
      <c r="BD4179" s="46">
        <v>10.148</v>
      </c>
      <c r="BE4179" s="46">
        <v>-4506.6000000000004</v>
      </c>
      <c r="BF4179" s="46">
        <v>3777.0519999999669</v>
      </c>
      <c r="BG4179" s="46">
        <v>1.1000000000000001</v>
      </c>
      <c r="BH4179" s="46">
        <v>6934.5680000000284</v>
      </c>
      <c r="BI4179">
        <v>8.67</v>
      </c>
      <c r="BJ4179">
        <v>-3157.5160000000033</v>
      </c>
      <c r="BK4179">
        <v>-1.21</v>
      </c>
      <c r="BL4179">
        <v>-3849.09</v>
      </c>
    </row>
    <row r="4180" spans="1:64" x14ac:dyDescent="0.25">
      <c r="A4180" s="136">
        <v>44057</v>
      </c>
      <c r="B4180" t="s">
        <v>749</v>
      </c>
      <c r="C4180" t="s">
        <v>750</v>
      </c>
      <c r="D4180">
        <v>500</v>
      </c>
      <c r="E4180">
        <v>500</v>
      </c>
      <c r="F4180">
        <v>5.65</v>
      </c>
      <c r="G4180">
        <v>285</v>
      </c>
      <c r="H4180">
        <v>10.09</v>
      </c>
      <c r="I4180">
        <v>3110</v>
      </c>
      <c r="J4180">
        <v>6.22</v>
      </c>
      <c r="K4180" s="133">
        <v>5.4739114524242558E-3</v>
      </c>
      <c r="L4180" s="181">
        <v>-55</v>
      </c>
      <c r="M4180" s="133">
        <v>4.9722829109641545E-3</v>
      </c>
    </row>
    <row r="4181" spans="1:64" x14ac:dyDescent="0.25">
      <c r="A4181" s="136">
        <v>44057</v>
      </c>
      <c r="B4181" t="s">
        <v>776</v>
      </c>
      <c r="C4181" t="s">
        <v>777</v>
      </c>
      <c r="D4181">
        <v>1</v>
      </c>
      <c r="E4181">
        <v>1</v>
      </c>
      <c r="F4181">
        <v>-137.5</v>
      </c>
      <c r="G4181">
        <v>210.55</v>
      </c>
      <c r="H4181">
        <v>0</v>
      </c>
      <c r="I4181">
        <v>73.05</v>
      </c>
      <c r="J4181">
        <v>73.05</v>
      </c>
      <c r="K4181" s="133">
        <v>1.2857531562687841E-4</v>
      </c>
      <c r="L4181" s="181">
        <v>-2.8999999999999773</v>
      </c>
      <c r="M4181" s="133">
        <v>0</v>
      </c>
    </row>
    <row r="4182" spans="1:64" x14ac:dyDescent="0.25">
      <c r="A4182" s="136">
        <v>44057</v>
      </c>
      <c r="B4182" t="s">
        <v>65</v>
      </c>
      <c r="C4182" t="s">
        <v>82</v>
      </c>
      <c r="D4182">
        <v>25700</v>
      </c>
      <c r="E4182">
        <v>25700</v>
      </c>
      <c r="F4182">
        <v>8.2170000000000005</v>
      </c>
      <c r="G4182">
        <v>-31544.84</v>
      </c>
      <c r="H4182">
        <v>-14.94</v>
      </c>
      <c r="I4182">
        <v>179643</v>
      </c>
      <c r="J4182">
        <v>6.99</v>
      </c>
      <c r="K4182" s="133">
        <v>0.31618967043339247</v>
      </c>
      <c r="L4182" s="181">
        <v>1610.2100000000028</v>
      </c>
      <c r="M4182" s="133">
        <v>0.3717117479063477</v>
      </c>
      <c r="N4182" s="73">
        <v>-36328.758000000147</v>
      </c>
      <c r="O4182" s="73">
        <v>-4595.5783210545605</v>
      </c>
      <c r="P4182" s="182">
        <v>0</v>
      </c>
      <c r="Q4182" s="182">
        <v>0</v>
      </c>
      <c r="R4182" s="46">
        <v>0</v>
      </c>
      <c r="S4182" s="46">
        <v>1</v>
      </c>
      <c r="T4182" s="46">
        <v>4500</v>
      </c>
      <c r="U4182" s="46">
        <v>7.48</v>
      </c>
      <c r="V4182" s="46" t="s">
        <v>68</v>
      </c>
      <c r="W4182" s="46">
        <v>4500</v>
      </c>
      <c r="X4182" s="46">
        <v>7.48</v>
      </c>
      <c r="AF4182" s="46">
        <v>307</v>
      </c>
      <c r="AG4182" s="46">
        <v>163800</v>
      </c>
      <c r="AH4182" s="46">
        <v>1630707.6810000001</v>
      </c>
      <c r="AI4182" s="46">
        <v>9.9550000000000001</v>
      </c>
      <c r="AJ4182" s="46">
        <v>338</v>
      </c>
      <c r="AK4182" s="46">
        <v>142900</v>
      </c>
      <c r="AL4182" s="46">
        <v>1369279.3239999998</v>
      </c>
      <c r="AM4182" s="46">
        <v>9.5820000000000007</v>
      </c>
      <c r="AN4182" s="46" t="s">
        <v>63</v>
      </c>
      <c r="AO4182" s="46">
        <v>20900</v>
      </c>
      <c r="AP4182" s="46">
        <v>261428.35699999999</v>
      </c>
      <c r="AQ4182" s="46">
        <v>12.509</v>
      </c>
      <c r="AR4182" s="46">
        <v>-53301.7</v>
      </c>
      <c r="AS4182" s="46">
        <v>311</v>
      </c>
      <c r="AT4182" s="46">
        <v>165600</v>
      </c>
      <c r="AU4182" s="46">
        <v>1643269.6810000001</v>
      </c>
      <c r="AV4182" s="46">
        <v>9.923</v>
      </c>
      <c r="AW4182" s="46">
        <v>343</v>
      </c>
      <c r="AX4182" s="46">
        <v>149000</v>
      </c>
      <c r="AY4182" s="46">
        <v>1415956.1569999999</v>
      </c>
      <c r="AZ4182" s="46">
        <v>9.5030000000000001</v>
      </c>
      <c r="BA4182" s="46" t="s">
        <v>63</v>
      </c>
      <c r="BB4182" s="46">
        <v>16600</v>
      </c>
      <c r="BC4182" s="46">
        <v>227313.524</v>
      </c>
      <c r="BD4182" s="46">
        <v>13.694000000000001</v>
      </c>
      <c r="BE4182" s="46">
        <v>-62580</v>
      </c>
      <c r="BF4182" s="46">
        <v>12562</v>
      </c>
      <c r="BH4182" s="46">
        <v>46676.833000000101</v>
      </c>
      <c r="BI4182">
        <v>10.37</v>
      </c>
      <c r="BJ4182">
        <v>-34114.832999999984</v>
      </c>
      <c r="BK4182">
        <v>-7.58</v>
      </c>
      <c r="BL4182">
        <v>-7625.42</v>
      </c>
    </row>
    <row r="4183" spans="1:64" x14ac:dyDescent="0.25">
      <c r="A4183" s="136">
        <v>44057</v>
      </c>
      <c r="B4183" t="s">
        <v>77</v>
      </c>
      <c r="C4183" t="s">
        <v>150</v>
      </c>
      <c r="D4183">
        <v>6700</v>
      </c>
      <c r="E4183">
        <v>6700</v>
      </c>
      <c r="F4183">
        <v>5.0060000000000002</v>
      </c>
      <c r="G4183">
        <v>-13505.99</v>
      </c>
      <c r="H4183">
        <v>-40.270000000000003</v>
      </c>
      <c r="I4183">
        <v>20033</v>
      </c>
      <c r="J4183">
        <v>2.99</v>
      </c>
      <c r="K4183" s="133">
        <v>3.5260086214281387E-2</v>
      </c>
      <c r="L4183" s="181">
        <v>-402</v>
      </c>
      <c r="M4183" s="133">
        <v>5.9031981178052272E-2</v>
      </c>
      <c r="N4183" s="73">
        <v>-12938.943999999981</v>
      </c>
      <c r="O4183" s="73">
        <v>-3946.8966755555498</v>
      </c>
      <c r="P4183" s="182">
        <v>8</v>
      </c>
      <c r="Q4183" s="182">
        <v>3900</v>
      </c>
      <c r="R4183" s="46">
        <v>3.8889999999999998</v>
      </c>
      <c r="S4183" s="46">
        <v>1</v>
      </c>
      <c r="T4183" s="46">
        <v>1000</v>
      </c>
      <c r="U4183" s="46">
        <v>3.47</v>
      </c>
      <c r="V4183" s="46" t="s">
        <v>62</v>
      </c>
      <c r="W4183" s="46">
        <v>2900</v>
      </c>
      <c r="X4183" s="46">
        <v>4.0330000000000004</v>
      </c>
      <c r="AF4183" s="46">
        <v>69</v>
      </c>
      <c r="AG4183" s="46">
        <v>34000</v>
      </c>
      <c r="AH4183" s="46">
        <v>206030</v>
      </c>
      <c r="AI4183" s="46">
        <v>6.06</v>
      </c>
      <c r="AJ4183" s="46">
        <v>69</v>
      </c>
      <c r="AK4183" s="46">
        <v>30200</v>
      </c>
      <c r="AL4183" s="46">
        <v>183944.52600000007</v>
      </c>
      <c r="AM4183" s="46">
        <v>6.0910000000000002</v>
      </c>
      <c r="AN4183" s="46" t="s">
        <v>63</v>
      </c>
      <c r="AO4183" s="46">
        <v>3800</v>
      </c>
      <c r="AP4183" s="46">
        <v>22085.473999999998</v>
      </c>
      <c r="AQ4183" s="46">
        <v>5.8120000000000003</v>
      </c>
      <c r="AR4183" s="46">
        <v>936.2</v>
      </c>
      <c r="AS4183" s="46">
        <v>77</v>
      </c>
      <c r="AT4183" s="46">
        <v>37900</v>
      </c>
      <c r="AU4183" s="46">
        <v>220950</v>
      </c>
      <c r="AV4183" s="46">
        <v>5.83</v>
      </c>
      <c r="AW4183" s="46">
        <v>70</v>
      </c>
      <c r="AX4183" s="46">
        <v>31200</v>
      </c>
      <c r="AY4183" s="46">
        <v>187406.05600000007</v>
      </c>
      <c r="AZ4183" s="46">
        <v>6.0069999999999997</v>
      </c>
      <c r="BA4183" s="46" t="s">
        <v>63</v>
      </c>
      <c r="BB4183" s="46">
        <v>6700</v>
      </c>
      <c r="BC4183" s="46">
        <v>33543.944000000003</v>
      </c>
      <c r="BD4183" s="46">
        <v>5.0069999999999997</v>
      </c>
      <c r="BE4183" s="46">
        <v>5522.4</v>
      </c>
      <c r="BF4183" s="46">
        <v>14920</v>
      </c>
      <c r="BG4183" s="46">
        <v>3.83</v>
      </c>
      <c r="BH4183" s="46">
        <v>3461.5299999999988</v>
      </c>
      <c r="BI4183">
        <v>3.46</v>
      </c>
      <c r="BJ4183">
        <v>11458.470000000005</v>
      </c>
      <c r="BK4183">
        <v>3.95</v>
      </c>
      <c r="BL4183">
        <v>313.11</v>
      </c>
    </row>
    <row r="4184" spans="1:64" x14ac:dyDescent="0.25">
      <c r="A4184" s="136">
        <v>44057</v>
      </c>
      <c r="B4184" t="s">
        <v>72</v>
      </c>
      <c r="C4184" t="s">
        <v>130</v>
      </c>
      <c r="D4184">
        <v>100</v>
      </c>
      <c r="E4184">
        <v>100</v>
      </c>
      <c r="F4184">
        <v>1.53</v>
      </c>
      <c r="G4184">
        <v>404</v>
      </c>
      <c r="H4184">
        <v>264.05</v>
      </c>
      <c r="I4184">
        <v>557</v>
      </c>
      <c r="J4184">
        <v>5.57</v>
      </c>
      <c r="K4184" s="133">
        <v>9.8037578102903866E-4</v>
      </c>
      <c r="L4184" s="181">
        <v>9</v>
      </c>
      <c r="M4184" s="133">
        <v>2.692953222575277E-4</v>
      </c>
      <c r="N4184" s="73">
        <v>-1498.9659999999872</v>
      </c>
      <c r="O4184" s="73">
        <v>376.42007904191922</v>
      </c>
      <c r="P4184" s="182">
        <v>0</v>
      </c>
      <c r="Q4184" s="182">
        <v>0</v>
      </c>
      <c r="R4184" s="46">
        <v>0</v>
      </c>
      <c r="S4184" s="46">
        <v>20</v>
      </c>
      <c r="T4184" s="46">
        <v>8600</v>
      </c>
      <c r="U4184" s="46">
        <v>7.3840000000000003</v>
      </c>
      <c r="V4184" s="46" t="s">
        <v>68</v>
      </c>
      <c r="W4184" s="46">
        <v>8600</v>
      </c>
      <c r="X4184" s="46">
        <v>7.3840000000000003</v>
      </c>
      <c r="AF4184" s="46">
        <v>42</v>
      </c>
      <c r="AG4184" s="46">
        <v>20900</v>
      </c>
      <c r="AH4184" s="46">
        <v>152800</v>
      </c>
      <c r="AI4184" s="46">
        <v>7.3109999999999999</v>
      </c>
      <c r="AJ4184" s="46">
        <v>42</v>
      </c>
      <c r="AK4184" s="46">
        <v>18800</v>
      </c>
      <c r="AL4184" s="46">
        <v>92037.725000000035</v>
      </c>
      <c r="AM4184" s="46">
        <v>4.8959999999999999</v>
      </c>
      <c r="AN4184" s="46" t="s">
        <v>63</v>
      </c>
      <c r="AO4184" s="46">
        <v>2100</v>
      </c>
      <c r="AP4184" s="46">
        <v>60762.275000000001</v>
      </c>
      <c r="AQ4184" s="46">
        <v>28.934000000000001</v>
      </c>
      <c r="AR4184" s="46">
        <v>-45402</v>
      </c>
      <c r="AS4184" s="46">
        <v>42</v>
      </c>
      <c r="AT4184" s="46">
        <v>20900</v>
      </c>
      <c r="AU4184" s="46">
        <v>152800</v>
      </c>
      <c r="AV4184" s="46">
        <v>7.3109999999999999</v>
      </c>
      <c r="AW4184" s="46">
        <v>63</v>
      </c>
      <c r="AX4184" s="46">
        <v>27900</v>
      </c>
      <c r="AY4184" s="46">
        <v>155380.21900000001</v>
      </c>
      <c r="AZ4184" s="46">
        <v>5.569</v>
      </c>
      <c r="BA4184" s="46" t="s">
        <v>69</v>
      </c>
      <c r="BB4184" s="46">
        <v>7000</v>
      </c>
      <c r="BC4184" s="46">
        <v>2580.2190000000001</v>
      </c>
      <c r="BD4184" s="46">
        <v>0.36899999999999999</v>
      </c>
      <c r="BE4184" s="46">
        <v>-36407.800000000003</v>
      </c>
      <c r="BF4184" s="46">
        <v>0</v>
      </c>
      <c r="BH4184" s="46">
        <v>63342.493999999977</v>
      </c>
      <c r="BI4184">
        <v>7.37</v>
      </c>
      <c r="BJ4184">
        <v>-58182.056000000004</v>
      </c>
      <c r="BK4184">
        <v>-6.77</v>
      </c>
      <c r="BL4184">
        <v>-8151.17</v>
      </c>
    </row>
    <row r="4185" spans="1:64" x14ac:dyDescent="0.25">
      <c r="A4185" s="136">
        <v>44057</v>
      </c>
      <c r="B4185" t="s">
        <v>70</v>
      </c>
      <c r="C4185" t="s">
        <v>131</v>
      </c>
      <c r="D4185">
        <v>12080</v>
      </c>
      <c r="E4185">
        <v>11680</v>
      </c>
      <c r="F4185">
        <v>8.3070000000000004</v>
      </c>
      <c r="G4185">
        <v>-8539.9699999999993</v>
      </c>
      <c r="H4185">
        <v>-8.51</v>
      </c>
      <c r="I4185">
        <v>91808</v>
      </c>
      <c r="J4185">
        <v>7.6</v>
      </c>
      <c r="K4185" s="133">
        <v>0.16159127415568039</v>
      </c>
      <c r="L4185" s="181">
        <v>-942.24999999999909</v>
      </c>
      <c r="M4185" s="133">
        <v>0.17662247659502431</v>
      </c>
      <c r="N4185" s="73">
        <v>-10239.07699999999</v>
      </c>
      <c r="O4185" s="73">
        <v>-1371.8441637399451</v>
      </c>
      <c r="P4185" s="182">
        <v>0</v>
      </c>
      <c r="Q4185" s="182">
        <v>0</v>
      </c>
      <c r="R4185" s="46">
        <v>0</v>
      </c>
      <c r="S4185" s="46">
        <v>12</v>
      </c>
      <c r="T4185" s="46">
        <v>6400</v>
      </c>
      <c r="U4185" s="46">
        <v>7.37</v>
      </c>
      <c r="V4185" s="46" t="s">
        <v>68</v>
      </c>
      <c r="W4185" s="46">
        <v>6400</v>
      </c>
      <c r="X4185" s="46">
        <v>7.37</v>
      </c>
      <c r="AF4185" s="46">
        <v>231</v>
      </c>
      <c r="AG4185" s="46">
        <v>114380</v>
      </c>
      <c r="AH4185" s="46">
        <v>1241611</v>
      </c>
      <c r="AI4185" s="46">
        <v>10.855</v>
      </c>
      <c r="AJ4185" s="46">
        <v>238</v>
      </c>
      <c r="AK4185" s="46">
        <v>95900</v>
      </c>
      <c r="AL4185" s="46">
        <v>1091994.2909999997</v>
      </c>
      <c r="AM4185" s="46">
        <v>11.387</v>
      </c>
      <c r="AN4185" s="46" t="s">
        <v>63</v>
      </c>
      <c r="AO4185" s="46">
        <v>18480</v>
      </c>
      <c r="AP4185" s="46">
        <v>149616.709</v>
      </c>
      <c r="AQ4185" s="46">
        <v>8.0960000000000001</v>
      </c>
      <c r="AR4185" s="46">
        <v>51018.8</v>
      </c>
      <c r="AS4185" s="46">
        <v>231</v>
      </c>
      <c r="AT4185" s="46">
        <v>114380</v>
      </c>
      <c r="AU4185" s="46">
        <v>1241611</v>
      </c>
      <c r="AV4185" s="46">
        <v>10.855</v>
      </c>
      <c r="AW4185" s="46">
        <v>251</v>
      </c>
      <c r="AX4185" s="46">
        <v>102300</v>
      </c>
      <c r="AY4185" s="46">
        <v>1139485.1229999994</v>
      </c>
      <c r="AZ4185" s="46">
        <v>11.138999999999999</v>
      </c>
      <c r="BA4185" s="46" t="s">
        <v>63</v>
      </c>
      <c r="BB4185" s="46">
        <v>12080</v>
      </c>
      <c r="BC4185" s="46">
        <v>102125.87699999999</v>
      </c>
      <c r="BD4185" s="46">
        <v>8.4540000000000006</v>
      </c>
      <c r="BE4185" s="46">
        <v>29053.200000000001</v>
      </c>
      <c r="BF4185" s="46">
        <v>0</v>
      </c>
      <c r="BH4185" s="46">
        <v>47490.831999999704</v>
      </c>
      <c r="BI4185">
        <v>7.42</v>
      </c>
      <c r="BJ4185">
        <v>-47490.832000000009</v>
      </c>
      <c r="BK4185">
        <v>-7.42</v>
      </c>
      <c r="BL4185">
        <v>6713</v>
      </c>
    </row>
    <row r="4186" spans="1:64" x14ac:dyDescent="0.25">
      <c r="A4186" s="136">
        <v>44057</v>
      </c>
      <c r="B4186" t="s">
        <v>628</v>
      </c>
      <c r="C4186" t="s">
        <v>629</v>
      </c>
      <c r="D4186">
        <v>100</v>
      </c>
      <c r="E4186">
        <v>100</v>
      </c>
      <c r="F4186">
        <v>0.95</v>
      </c>
      <c r="G4186">
        <v>1505</v>
      </c>
      <c r="H4186">
        <v>1584.21</v>
      </c>
      <c r="I4186">
        <v>1600</v>
      </c>
      <c r="J4186">
        <v>16</v>
      </c>
      <c r="K4186" s="133">
        <v>2.8161602327584595E-3</v>
      </c>
      <c r="L4186" s="181">
        <v>-17</v>
      </c>
      <c r="M4186" s="133">
        <v>1.6720951382003354E-4</v>
      </c>
    </row>
    <row r="4187" spans="1:64" x14ac:dyDescent="0.25">
      <c r="A4187" s="136">
        <v>44057</v>
      </c>
      <c r="B4187" t="s">
        <v>768</v>
      </c>
      <c r="C4187" t="s">
        <v>769</v>
      </c>
      <c r="D4187">
        <v>500</v>
      </c>
      <c r="E4187">
        <v>500</v>
      </c>
      <c r="F4187">
        <v>2.4140000000000001</v>
      </c>
      <c r="G4187">
        <v>313</v>
      </c>
      <c r="H4187">
        <v>25.93</v>
      </c>
      <c r="I4187">
        <v>1520</v>
      </c>
      <c r="J4187">
        <v>3.04</v>
      </c>
      <c r="K4187" s="133">
        <v>2.6753522211205366E-3</v>
      </c>
      <c r="L4187" s="181">
        <v>-10</v>
      </c>
      <c r="M4187" s="133">
        <v>2.1244408755871627E-3</v>
      </c>
    </row>
    <row r="4188" spans="1:64" x14ac:dyDescent="0.25">
      <c r="A4188" s="136">
        <v>44057</v>
      </c>
      <c r="B4188" t="s">
        <v>881</v>
      </c>
      <c r="C4188" t="s">
        <v>882</v>
      </c>
      <c r="D4188">
        <v>0</v>
      </c>
      <c r="E4188">
        <v>0</v>
      </c>
      <c r="F4188">
        <v>0</v>
      </c>
      <c r="G4188">
        <v>94</v>
      </c>
      <c r="H4188">
        <v>0</v>
      </c>
      <c r="I4188">
        <v>0</v>
      </c>
      <c r="J4188">
        <v>113.2</v>
      </c>
      <c r="K4188" s="133">
        <v>0</v>
      </c>
      <c r="L4188" s="181">
        <v>94</v>
      </c>
      <c r="M4188" s="133">
        <v>0</v>
      </c>
    </row>
    <row r="4189" spans="1:64" x14ac:dyDescent="0.25">
      <c r="A4189" s="136">
        <v>44057</v>
      </c>
      <c r="B4189" t="s">
        <v>137</v>
      </c>
      <c r="C4189" t="s">
        <v>149</v>
      </c>
      <c r="D4189">
        <v>150</v>
      </c>
      <c r="E4189">
        <v>150</v>
      </c>
      <c r="F4189">
        <v>1</v>
      </c>
      <c r="G4189">
        <v>5628</v>
      </c>
      <c r="H4189">
        <v>3752</v>
      </c>
      <c r="I4189">
        <v>5778</v>
      </c>
      <c r="J4189">
        <v>38.520000000000003</v>
      </c>
      <c r="K4189" s="133">
        <v>1.0169858640548987E-2</v>
      </c>
      <c r="L4189" s="181">
        <v>-234</v>
      </c>
      <c r="M4189" s="133">
        <v>2.6401502182110556E-4</v>
      </c>
    </row>
    <row r="4190" spans="1:64" x14ac:dyDescent="0.25">
      <c r="A4190" s="136">
        <v>44057</v>
      </c>
      <c r="B4190" t="s">
        <v>835</v>
      </c>
      <c r="C4190" t="s">
        <v>839</v>
      </c>
      <c r="I4190">
        <v>5770.05</v>
      </c>
      <c r="K4190" s="133">
        <v>1.0155865844392469E-2</v>
      </c>
      <c r="L4190" s="181">
        <v>0</v>
      </c>
      <c r="M4190" s="133">
        <v>0.26403506936176252</v>
      </c>
    </row>
    <row r="4191" spans="1:64" x14ac:dyDescent="0.25">
      <c r="A4191" s="136">
        <v>44060</v>
      </c>
      <c r="B4191" t="s">
        <v>132</v>
      </c>
      <c r="C4191" t="s">
        <v>123</v>
      </c>
      <c r="D4191">
        <v>15001691</v>
      </c>
      <c r="E4191">
        <v>15001691</v>
      </c>
      <c r="F4191">
        <v>0.01</v>
      </c>
      <c r="G4191">
        <v>191.79</v>
      </c>
      <c r="H4191">
        <v>0</v>
      </c>
      <c r="I4191">
        <v>150016.91</v>
      </c>
      <c r="J4191">
        <v>0.01</v>
      </c>
      <c r="K4191" s="133">
        <v>0.26056761800354722</v>
      </c>
      <c r="L4191" s="181">
        <v>5.5199999999999818</v>
      </c>
      <c r="M4191" s="133">
        <v>0</v>
      </c>
    </row>
    <row r="4192" spans="1:64" x14ac:dyDescent="0.25">
      <c r="A4192" s="136">
        <v>44060</v>
      </c>
      <c r="B4192" t="s">
        <v>61</v>
      </c>
      <c r="C4192" t="s">
        <v>136</v>
      </c>
      <c r="D4192">
        <v>4000</v>
      </c>
      <c r="E4192">
        <v>4000</v>
      </c>
      <c r="F4192">
        <v>4.2080000000000002</v>
      </c>
      <c r="G4192">
        <v>-2273.19</v>
      </c>
      <c r="H4192">
        <v>-13.51</v>
      </c>
      <c r="I4192">
        <v>14560</v>
      </c>
      <c r="J4192">
        <v>3.64</v>
      </c>
      <c r="K4192" s="133">
        <v>2.5289579142322337E-2</v>
      </c>
      <c r="L4192" s="181">
        <v>169.51999999999998</v>
      </c>
      <c r="M4192" s="133">
        <v>2.9237932055133854E-2</v>
      </c>
      <c r="N4192" s="73">
        <v>-2273.3950000000041</v>
      </c>
      <c r="O4192" s="73">
        <v>-624.24678640110005</v>
      </c>
      <c r="P4192" s="182">
        <v>3</v>
      </c>
      <c r="Q4192" s="182">
        <v>1500</v>
      </c>
      <c r="R4192" s="46">
        <v>4.2329999999999997</v>
      </c>
      <c r="S4192" s="46">
        <v>1</v>
      </c>
      <c r="T4192" s="46">
        <v>400</v>
      </c>
      <c r="U4192" s="46">
        <v>3.64</v>
      </c>
      <c r="V4192" s="46" t="s">
        <v>62</v>
      </c>
      <c r="W4192" s="46">
        <v>1100</v>
      </c>
      <c r="X4192" s="46">
        <v>4.4489999999999998</v>
      </c>
      <c r="AF4192" s="46">
        <v>33</v>
      </c>
      <c r="AG4192" s="46">
        <v>16400</v>
      </c>
      <c r="AH4192" s="46">
        <v>74730.840000000026</v>
      </c>
      <c r="AI4192" s="46">
        <v>4.5570000000000004</v>
      </c>
      <c r="AJ4192" s="46">
        <v>31</v>
      </c>
      <c r="AK4192" s="46">
        <v>13500</v>
      </c>
      <c r="AL4192" s="46">
        <v>62814.040999999983</v>
      </c>
      <c r="AM4192" s="46">
        <v>4.6529999999999996</v>
      </c>
      <c r="AN4192" s="46" t="s">
        <v>63</v>
      </c>
      <c r="AO4192" s="46">
        <v>2900</v>
      </c>
      <c r="AP4192" s="46">
        <v>11916.799000000001</v>
      </c>
      <c r="AQ4192" s="46">
        <v>4.109</v>
      </c>
      <c r="AR4192" s="46">
        <v>1296</v>
      </c>
      <c r="AS4192" s="46">
        <v>36</v>
      </c>
      <c r="AT4192" s="46">
        <v>17900</v>
      </c>
      <c r="AU4192" s="46">
        <v>81096.740000000034</v>
      </c>
      <c r="AV4192" s="46">
        <v>4.5309999999999997</v>
      </c>
      <c r="AW4192" s="46">
        <v>32</v>
      </c>
      <c r="AX4192" s="46">
        <v>13900</v>
      </c>
      <c r="AY4192" s="46">
        <v>64263.344999999987</v>
      </c>
      <c r="AZ4192" s="46">
        <v>4.6230000000000002</v>
      </c>
      <c r="BA4192" s="46" t="s">
        <v>63</v>
      </c>
      <c r="BB4192" s="46">
        <v>4000</v>
      </c>
      <c r="BC4192" s="46">
        <v>16833.395</v>
      </c>
      <c r="BD4192" s="46">
        <v>4.2080000000000002</v>
      </c>
      <c r="BE4192" s="46">
        <v>1278.8</v>
      </c>
      <c r="BF4192" s="46">
        <v>6365.9000000000087</v>
      </c>
      <c r="BG4192" s="46">
        <v>4.24</v>
      </c>
      <c r="BH4192" s="46">
        <v>1449.3040000000037</v>
      </c>
      <c r="BI4192">
        <v>3.62</v>
      </c>
      <c r="BJ4192">
        <v>4916.5959999999995</v>
      </c>
      <c r="BK4192">
        <v>4.47</v>
      </c>
      <c r="BL4192">
        <v>356.04</v>
      </c>
    </row>
    <row r="4193" spans="1:64" x14ac:dyDescent="0.25">
      <c r="A4193" s="136">
        <v>44060</v>
      </c>
      <c r="B4193" t="s">
        <v>124</v>
      </c>
      <c r="C4193" t="s">
        <v>125</v>
      </c>
      <c r="D4193">
        <v>100</v>
      </c>
      <c r="E4193">
        <v>100</v>
      </c>
      <c r="F4193">
        <v>0.73699999999999999</v>
      </c>
      <c r="G4193">
        <v>435.28</v>
      </c>
      <c r="H4193">
        <v>590.61</v>
      </c>
      <c r="I4193">
        <v>509</v>
      </c>
      <c r="J4193">
        <v>5.09</v>
      </c>
      <c r="K4193" s="133">
        <v>8.8409311699464766E-4</v>
      </c>
      <c r="L4193" s="181">
        <v>7</v>
      </c>
      <c r="M4193" s="133">
        <v>1.2804586362445079E-4</v>
      </c>
      <c r="N4193" s="73">
        <v>5623.0690000000113</v>
      </c>
      <c r="O4193" s="73">
        <v>1111.8087987827732</v>
      </c>
      <c r="P4193" s="182">
        <v>0</v>
      </c>
      <c r="Q4193" s="182">
        <v>0</v>
      </c>
      <c r="R4193" s="46">
        <v>0</v>
      </c>
      <c r="S4193" s="46">
        <v>5</v>
      </c>
      <c r="T4193" s="46">
        <v>2300</v>
      </c>
      <c r="U4193" s="46">
        <v>4.99</v>
      </c>
      <c r="V4193" s="46" t="s">
        <v>68</v>
      </c>
      <c r="W4193" s="46">
        <v>2300</v>
      </c>
      <c r="X4193" s="46">
        <v>4.99</v>
      </c>
      <c r="AF4193" s="46">
        <v>50</v>
      </c>
      <c r="AG4193" s="46">
        <v>36700</v>
      </c>
      <c r="AH4193" s="46">
        <v>180101.02000000002</v>
      </c>
      <c r="AI4193" s="46">
        <v>4.907</v>
      </c>
      <c r="AJ4193" s="46">
        <v>58</v>
      </c>
      <c r="AK4193" s="46">
        <v>35300</v>
      </c>
      <c r="AL4193" s="46">
        <v>178266.546</v>
      </c>
      <c r="AM4193" s="46">
        <v>5.05</v>
      </c>
      <c r="AN4193" s="46" t="s">
        <v>63</v>
      </c>
      <c r="AO4193" s="46">
        <v>1400</v>
      </c>
      <c r="AP4193" s="46">
        <v>1834.4739999999999</v>
      </c>
      <c r="AQ4193" s="46">
        <v>1.31</v>
      </c>
      <c r="AR4193" s="46">
        <v>5047.8999999999996</v>
      </c>
      <c r="AS4193" s="46">
        <v>51</v>
      </c>
      <c r="AT4193" s="46">
        <v>37700</v>
      </c>
      <c r="AU4193" s="46">
        <v>185106.62</v>
      </c>
      <c r="AV4193" s="46">
        <v>4.91</v>
      </c>
      <c r="AW4193" s="46">
        <v>63</v>
      </c>
      <c r="AX4193" s="46">
        <v>37600</v>
      </c>
      <c r="AY4193" s="46">
        <v>189763.68900000001</v>
      </c>
      <c r="AZ4193" s="46">
        <v>5.0469999999999997</v>
      </c>
      <c r="BA4193" s="46" t="s">
        <v>63</v>
      </c>
      <c r="BB4193" s="46">
        <v>100</v>
      </c>
      <c r="BC4193" s="46">
        <v>4657.0690000000004</v>
      </c>
      <c r="BD4193" s="46">
        <v>46.570999999999998</v>
      </c>
      <c r="BE4193" s="46">
        <v>5151.2</v>
      </c>
      <c r="BF4193" s="46">
        <v>5005.5999999999767</v>
      </c>
      <c r="BH4193" s="46">
        <v>11497.143000000011</v>
      </c>
      <c r="BI4193">
        <v>5</v>
      </c>
      <c r="BJ4193">
        <v>2822.5950000000003</v>
      </c>
      <c r="BK4193">
        <v>1.23</v>
      </c>
      <c r="BL4193">
        <v>991.73</v>
      </c>
    </row>
    <row r="4194" spans="1:64" x14ac:dyDescent="0.25">
      <c r="A4194" s="136">
        <v>44060</v>
      </c>
      <c r="B4194" t="s">
        <v>71</v>
      </c>
      <c r="C4194" t="s">
        <v>126</v>
      </c>
      <c r="D4194">
        <v>5400</v>
      </c>
      <c r="E4194">
        <v>5400</v>
      </c>
      <c r="F4194">
        <v>4.1909999999999998</v>
      </c>
      <c r="G4194">
        <v>6798.34</v>
      </c>
      <c r="H4194">
        <v>30.04</v>
      </c>
      <c r="I4194">
        <v>29430</v>
      </c>
      <c r="J4194">
        <v>5.45</v>
      </c>
      <c r="K4194" s="133">
        <v>5.111760399440566E-2</v>
      </c>
      <c r="L4194" s="181">
        <v>962.80000000000018</v>
      </c>
      <c r="M4194" s="133">
        <v>3.9309420102481507E-2</v>
      </c>
      <c r="N4194" s="73">
        <v>-22666.464</v>
      </c>
      <c r="O4194" s="73">
        <v>1210.5840539741218</v>
      </c>
      <c r="P4194" s="182">
        <v>1</v>
      </c>
      <c r="Q4194" s="182">
        <v>1500</v>
      </c>
      <c r="R4194" s="46">
        <v>5.18</v>
      </c>
      <c r="S4194" s="46">
        <v>3</v>
      </c>
      <c r="T4194" s="46">
        <v>1200</v>
      </c>
      <c r="U4194" s="46">
        <v>5.593</v>
      </c>
      <c r="V4194" s="46" t="s">
        <v>62</v>
      </c>
      <c r="W4194" s="46">
        <v>300</v>
      </c>
      <c r="X4194" s="46">
        <v>3.528</v>
      </c>
      <c r="AF4194" s="46">
        <v>74</v>
      </c>
      <c r="AG4194" s="46">
        <v>39300</v>
      </c>
      <c r="AH4194" s="46">
        <v>237624.29999999981</v>
      </c>
      <c r="AI4194" s="46">
        <v>6.0460000000000003</v>
      </c>
      <c r="AJ4194" s="46">
        <v>79</v>
      </c>
      <c r="AK4194" s="46">
        <v>34200</v>
      </c>
      <c r="AL4194" s="46">
        <v>215887.96800000002</v>
      </c>
      <c r="AM4194" s="46">
        <v>6.3129999999999997</v>
      </c>
      <c r="AN4194" s="46" t="s">
        <v>63</v>
      </c>
      <c r="AO4194" s="46">
        <v>5100</v>
      </c>
      <c r="AP4194" s="46">
        <v>21736.331999999999</v>
      </c>
      <c r="AQ4194" s="46">
        <v>4.2619999999999996</v>
      </c>
      <c r="AR4194" s="46">
        <v>9131.4</v>
      </c>
      <c r="AS4194" s="46">
        <v>75</v>
      </c>
      <c r="AT4194" s="46">
        <v>40800</v>
      </c>
      <c r="AU4194" s="46">
        <v>245400.19999999981</v>
      </c>
      <c r="AV4194" s="46">
        <v>6.0149999999999997</v>
      </c>
      <c r="AW4194" s="46">
        <v>82</v>
      </c>
      <c r="AX4194" s="46">
        <v>35400</v>
      </c>
      <c r="AY4194" s="46">
        <v>222577.53599999999</v>
      </c>
      <c r="AZ4194" s="46">
        <v>6.2880000000000003</v>
      </c>
      <c r="BA4194" s="46" t="s">
        <v>63</v>
      </c>
      <c r="BB4194" s="46">
        <v>5400</v>
      </c>
      <c r="BC4194" s="46">
        <v>22822.664000000001</v>
      </c>
      <c r="BD4194" s="46">
        <v>4.226</v>
      </c>
      <c r="BE4194" s="46">
        <v>9664.2000000000007</v>
      </c>
      <c r="BF4194" s="46">
        <v>7775.8999999999942</v>
      </c>
      <c r="BG4194" s="46">
        <v>5.18</v>
      </c>
      <c r="BH4194" s="46">
        <v>6689.5679999999702</v>
      </c>
      <c r="BI4194">
        <v>5.57</v>
      </c>
      <c r="BJ4194">
        <v>1086.3320000000022</v>
      </c>
      <c r="BK4194">
        <v>3.62</v>
      </c>
      <c r="BL4194">
        <v>1675.49</v>
      </c>
    </row>
    <row r="4195" spans="1:64" x14ac:dyDescent="0.25">
      <c r="A4195" s="136">
        <v>44060</v>
      </c>
      <c r="B4195" t="s">
        <v>79</v>
      </c>
      <c r="C4195" t="s">
        <v>143</v>
      </c>
      <c r="D4195">
        <v>9000</v>
      </c>
      <c r="E4195">
        <v>8000</v>
      </c>
      <c r="F4195">
        <v>9.8810000000000002</v>
      </c>
      <c r="G4195">
        <v>-18909.77</v>
      </c>
      <c r="H4195">
        <v>-21.26</v>
      </c>
      <c r="I4195">
        <v>70020</v>
      </c>
      <c r="J4195">
        <v>7.78</v>
      </c>
      <c r="K4195" s="133">
        <v>0.12161925354020674</v>
      </c>
      <c r="L4195" s="181">
        <v>954.84000000000015</v>
      </c>
      <c r="M4195" s="133">
        <v>0.15446404234364855</v>
      </c>
      <c r="N4195" s="73">
        <v>-18949.65940000047</v>
      </c>
      <c r="O4195" s="73">
        <v>-2434.4710244602147</v>
      </c>
      <c r="P4195" s="182">
        <v>3</v>
      </c>
      <c r="Q4195" s="182">
        <v>4420</v>
      </c>
      <c r="R4195" s="46">
        <v>2.6120000000000001</v>
      </c>
      <c r="S4195" s="46">
        <v>2</v>
      </c>
      <c r="T4195" s="46">
        <v>800</v>
      </c>
      <c r="U4195" s="46">
        <v>8.69</v>
      </c>
      <c r="V4195" s="46" t="s">
        <v>62</v>
      </c>
      <c r="W4195" s="46">
        <v>3620</v>
      </c>
      <c r="X4195" s="46">
        <v>1.2689999999999999</v>
      </c>
      <c r="AF4195" s="46">
        <v>101</v>
      </c>
      <c r="AG4195" s="46">
        <v>47500</v>
      </c>
      <c r="AH4195" s="46">
        <v>484371.49999999913</v>
      </c>
      <c r="AI4195" s="46">
        <v>10.196999999999999</v>
      </c>
      <c r="AJ4195" s="46">
        <v>98</v>
      </c>
      <c r="AK4195" s="46">
        <v>42120</v>
      </c>
      <c r="AL4195" s="46">
        <v>400029.92459999945</v>
      </c>
      <c r="AM4195" s="46">
        <v>9.4969999999999999</v>
      </c>
      <c r="AN4195" s="46" t="s">
        <v>63</v>
      </c>
      <c r="AO4195" s="46">
        <v>5380</v>
      </c>
      <c r="AP4195" s="46">
        <v>84341.574999999997</v>
      </c>
      <c r="AQ4195" s="46">
        <v>15.677</v>
      </c>
      <c r="AR4195" s="46">
        <v>-29484</v>
      </c>
      <c r="AS4195" s="46">
        <v>104</v>
      </c>
      <c r="AT4195" s="46">
        <v>51920</v>
      </c>
      <c r="AU4195" s="46">
        <v>495934.15199999907</v>
      </c>
      <c r="AV4195" s="46">
        <v>9.5519999999999996</v>
      </c>
      <c r="AW4195" s="46">
        <v>100</v>
      </c>
      <c r="AX4195" s="46">
        <v>42920</v>
      </c>
      <c r="AY4195" s="46">
        <v>406964.49259999947</v>
      </c>
      <c r="AZ4195" s="46">
        <v>9.4819999999999993</v>
      </c>
      <c r="BA4195" s="46" t="s">
        <v>63</v>
      </c>
      <c r="BB4195" s="46">
        <v>9000</v>
      </c>
      <c r="BC4195" s="46">
        <v>88969.659</v>
      </c>
      <c r="BD4195" s="46">
        <v>9.8859999999999992</v>
      </c>
      <c r="BE4195" s="46">
        <v>-3004.4</v>
      </c>
      <c r="BF4195" s="46">
        <v>11562.651999999944</v>
      </c>
      <c r="BG4195" s="46">
        <v>2.62</v>
      </c>
      <c r="BH4195" s="46">
        <v>6934.5680000000284</v>
      </c>
      <c r="BI4195">
        <v>8.67</v>
      </c>
      <c r="BJ4195">
        <v>4628.0840000000026</v>
      </c>
      <c r="BK4195">
        <v>1.28</v>
      </c>
      <c r="BL4195">
        <v>-3789.72</v>
      </c>
    </row>
    <row r="4196" spans="1:64" x14ac:dyDescent="0.25">
      <c r="A4196" s="136">
        <v>44060</v>
      </c>
      <c r="B4196" t="s">
        <v>749</v>
      </c>
      <c r="C4196" t="s">
        <v>750</v>
      </c>
      <c r="D4196">
        <v>500</v>
      </c>
      <c r="E4196">
        <v>500</v>
      </c>
      <c r="F4196">
        <v>5.65</v>
      </c>
      <c r="G4196">
        <v>320</v>
      </c>
      <c r="H4196">
        <v>11.33</v>
      </c>
      <c r="I4196">
        <v>3145</v>
      </c>
      <c r="J4196">
        <v>6.29</v>
      </c>
      <c r="K4196" s="133">
        <v>5.4626185716074001E-3</v>
      </c>
      <c r="L4196" s="181">
        <v>35</v>
      </c>
      <c r="M4196" s="133">
        <v>4.9068036454025139E-3</v>
      </c>
    </row>
    <row r="4197" spans="1:64" x14ac:dyDescent="0.25">
      <c r="A4197" s="136">
        <v>44060</v>
      </c>
      <c r="B4197" t="s">
        <v>776</v>
      </c>
      <c r="C4197" t="s">
        <v>777</v>
      </c>
      <c r="D4197">
        <v>1</v>
      </c>
      <c r="E4197">
        <v>1</v>
      </c>
      <c r="F4197">
        <v>-137.5</v>
      </c>
      <c r="G4197">
        <v>211.25</v>
      </c>
      <c r="H4197">
        <v>0</v>
      </c>
      <c r="I4197">
        <v>73.75</v>
      </c>
      <c r="J4197">
        <v>73.75</v>
      </c>
      <c r="K4197" s="133">
        <v>1.2809797127378243E-4</v>
      </c>
      <c r="L4197" s="181">
        <v>0.69999999999998863</v>
      </c>
      <c r="M4197" s="133">
        <v>0</v>
      </c>
    </row>
    <row r="4198" spans="1:64" x14ac:dyDescent="0.25">
      <c r="A4198" s="136">
        <v>44060</v>
      </c>
      <c r="B4198" t="s">
        <v>65</v>
      </c>
      <c r="C4198" t="s">
        <v>127</v>
      </c>
      <c r="D4198">
        <v>24900</v>
      </c>
      <c r="E4198">
        <v>24900</v>
      </c>
      <c r="F4198">
        <v>8.2539999999999996</v>
      </c>
      <c r="G4198">
        <v>-28990.51</v>
      </c>
      <c r="H4198">
        <v>-14.11</v>
      </c>
      <c r="I4198">
        <v>176541</v>
      </c>
      <c r="J4198">
        <v>7.09</v>
      </c>
      <c r="K4198" s="133">
        <v>0.30663788402230274</v>
      </c>
      <c r="L4198" s="181">
        <v>2554.3300000000017</v>
      </c>
      <c r="M4198" s="133">
        <v>0.35699212832321531</v>
      </c>
      <c r="N4198" s="73">
        <v>-32513.430000000139</v>
      </c>
      <c r="O4198" s="73">
        <v>-3963.1686182233534</v>
      </c>
      <c r="P4198" s="182">
        <v>0</v>
      </c>
      <c r="Q4198" s="182">
        <v>0</v>
      </c>
      <c r="R4198" s="46">
        <v>0</v>
      </c>
      <c r="S4198" s="46">
        <v>3</v>
      </c>
      <c r="T4198" s="46">
        <v>5300</v>
      </c>
      <c r="U4198" s="46">
        <v>7.4210000000000003</v>
      </c>
      <c r="V4198" s="46" t="s">
        <v>68</v>
      </c>
      <c r="W4198" s="46">
        <v>5300</v>
      </c>
      <c r="X4198" s="46">
        <v>7.4210000000000003</v>
      </c>
      <c r="AF4198" s="46">
        <v>307</v>
      </c>
      <c r="AG4198" s="46">
        <v>163800</v>
      </c>
      <c r="AH4198" s="46">
        <v>1630707.6810000001</v>
      </c>
      <c r="AI4198" s="46">
        <v>9.9550000000000001</v>
      </c>
      <c r="AJ4198" s="46">
        <v>338</v>
      </c>
      <c r="AK4198" s="46">
        <v>142900</v>
      </c>
      <c r="AL4198" s="46">
        <v>1369279.3239999998</v>
      </c>
      <c r="AM4198" s="46">
        <v>9.5820000000000007</v>
      </c>
      <c r="AN4198" s="46" t="s">
        <v>63</v>
      </c>
      <c r="AO4198" s="46">
        <v>20900</v>
      </c>
      <c r="AP4198" s="46">
        <v>261428.35699999999</v>
      </c>
      <c r="AQ4198" s="46">
        <v>12.509</v>
      </c>
      <c r="AR4198" s="46">
        <v>-53301.7</v>
      </c>
      <c r="AS4198" s="46">
        <v>311</v>
      </c>
      <c r="AT4198" s="46">
        <v>165600</v>
      </c>
      <c r="AU4198" s="46">
        <v>1643269.6810000001</v>
      </c>
      <c r="AV4198" s="46">
        <v>9.923</v>
      </c>
      <c r="AW4198" s="46">
        <v>345</v>
      </c>
      <c r="AX4198" s="46">
        <v>149800</v>
      </c>
      <c r="AY4198" s="46">
        <v>1421612.4849999999</v>
      </c>
      <c r="AZ4198" s="46">
        <v>9.49</v>
      </c>
      <c r="BA4198" s="46" t="s">
        <v>63</v>
      </c>
      <c r="BB4198" s="46">
        <v>15800</v>
      </c>
      <c r="BC4198" s="46">
        <v>221657.196</v>
      </c>
      <c r="BD4198" s="46">
        <v>14.029</v>
      </c>
      <c r="BE4198" s="46">
        <v>-64863.4</v>
      </c>
      <c r="BF4198" s="46">
        <v>12562</v>
      </c>
      <c r="BH4198" s="46">
        <v>52333.16100000008</v>
      </c>
      <c r="BI4198">
        <v>9.8699999999999992</v>
      </c>
      <c r="BJ4198">
        <v>-39771.160999999993</v>
      </c>
      <c r="BK4198">
        <v>-7.5</v>
      </c>
      <c r="BL4198">
        <v>-7517.87</v>
      </c>
    </row>
    <row r="4199" spans="1:64" x14ac:dyDescent="0.25">
      <c r="A4199" s="136">
        <v>44060</v>
      </c>
      <c r="B4199" t="s">
        <v>77</v>
      </c>
      <c r="C4199" t="s">
        <v>150</v>
      </c>
      <c r="D4199">
        <v>6700</v>
      </c>
      <c r="E4199">
        <v>6700</v>
      </c>
      <c r="F4199">
        <v>5.0060000000000002</v>
      </c>
      <c r="G4199">
        <v>-13103.99</v>
      </c>
      <c r="H4199">
        <v>-39.07</v>
      </c>
      <c r="I4199">
        <v>20435</v>
      </c>
      <c r="J4199">
        <v>3.05</v>
      </c>
      <c r="K4199" s="133">
        <v>3.5493993803115173E-2</v>
      </c>
      <c r="L4199" s="181">
        <v>402</v>
      </c>
      <c r="M4199" s="133">
        <v>5.825459766198883E-2</v>
      </c>
      <c r="N4199" s="73">
        <v>-12938.943999999981</v>
      </c>
      <c r="O4199" s="73">
        <v>-3946.8966755555498</v>
      </c>
      <c r="P4199" s="182">
        <v>8</v>
      </c>
      <c r="Q4199" s="182">
        <v>3900</v>
      </c>
      <c r="R4199" s="46">
        <v>3.8889999999999998</v>
      </c>
      <c r="S4199" s="46">
        <v>1</v>
      </c>
      <c r="T4199" s="46">
        <v>1000</v>
      </c>
      <c r="U4199" s="46">
        <v>3.47</v>
      </c>
      <c r="V4199" s="46" t="s">
        <v>62</v>
      </c>
      <c r="W4199" s="46">
        <v>2900</v>
      </c>
      <c r="X4199" s="46">
        <v>4.0330000000000004</v>
      </c>
      <c r="AF4199" s="46">
        <v>69</v>
      </c>
      <c r="AG4199" s="46">
        <v>34000</v>
      </c>
      <c r="AH4199" s="46">
        <v>206030</v>
      </c>
      <c r="AI4199" s="46">
        <v>6.06</v>
      </c>
      <c r="AJ4199" s="46">
        <v>69</v>
      </c>
      <c r="AK4199" s="46">
        <v>30200</v>
      </c>
      <c r="AL4199" s="46">
        <v>183944.52600000007</v>
      </c>
      <c r="AM4199" s="46">
        <v>6.0910000000000002</v>
      </c>
      <c r="AN4199" s="46" t="s">
        <v>63</v>
      </c>
      <c r="AO4199" s="46">
        <v>3800</v>
      </c>
      <c r="AP4199" s="46">
        <v>22085.473999999998</v>
      </c>
      <c r="AQ4199" s="46">
        <v>5.8120000000000003</v>
      </c>
      <c r="AR4199" s="46">
        <v>936.2</v>
      </c>
      <c r="AS4199" s="46">
        <v>77</v>
      </c>
      <c r="AT4199" s="46">
        <v>37900</v>
      </c>
      <c r="AU4199" s="46">
        <v>220950</v>
      </c>
      <c r="AV4199" s="46">
        <v>5.83</v>
      </c>
      <c r="AW4199" s="46">
        <v>70</v>
      </c>
      <c r="AX4199" s="46">
        <v>31200</v>
      </c>
      <c r="AY4199" s="46">
        <v>187406.05600000007</v>
      </c>
      <c r="AZ4199" s="46">
        <v>6.0069999999999997</v>
      </c>
      <c r="BA4199" s="46" t="s">
        <v>63</v>
      </c>
      <c r="BB4199" s="46">
        <v>6700</v>
      </c>
      <c r="BC4199" s="46">
        <v>33543.944000000003</v>
      </c>
      <c r="BD4199" s="46">
        <v>5.0069999999999997</v>
      </c>
      <c r="BE4199" s="46">
        <v>5522.4</v>
      </c>
      <c r="BF4199" s="46">
        <v>14920</v>
      </c>
      <c r="BG4199" s="46">
        <v>3.83</v>
      </c>
      <c r="BH4199" s="46">
        <v>3461.5299999999988</v>
      </c>
      <c r="BI4199">
        <v>3.46</v>
      </c>
      <c r="BJ4199">
        <v>11458.470000000005</v>
      </c>
      <c r="BK4199">
        <v>3.95</v>
      </c>
      <c r="BL4199">
        <v>306.95</v>
      </c>
    </row>
    <row r="4200" spans="1:64" x14ac:dyDescent="0.25">
      <c r="A4200" s="136">
        <v>44060</v>
      </c>
      <c r="B4200" t="s">
        <v>72</v>
      </c>
      <c r="C4200" t="s">
        <v>130</v>
      </c>
      <c r="D4200">
        <v>100</v>
      </c>
      <c r="E4200">
        <v>100</v>
      </c>
      <c r="F4200">
        <v>1.53</v>
      </c>
      <c r="G4200">
        <v>419</v>
      </c>
      <c r="H4200">
        <v>273.86</v>
      </c>
      <c r="I4200">
        <v>572</v>
      </c>
      <c r="J4200">
        <v>5.72</v>
      </c>
      <c r="K4200" s="133">
        <v>9.9351918059123467E-4</v>
      </c>
      <c r="L4200" s="181">
        <v>15</v>
      </c>
      <c r="M4200" s="133">
        <v>2.6574901159171139E-4</v>
      </c>
      <c r="N4200" s="73">
        <v>-1498.9659999999872</v>
      </c>
      <c r="O4200" s="73">
        <v>376.42007904191922</v>
      </c>
      <c r="P4200" s="182">
        <v>0</v>
      </c>
      <c r="Q4200" s="182">
        <v>0</v>
      </c>
      <c r="R4200" s="46">
        <v>0</v>
      </c>
      <c r="S4200" s="46">
        <v>20</v>
      </c>
      <c r="T4200" s="46">
        <v>8600</v>
      </c>
      <c r="U4200" s="46">
        <v>7.3840000000000003</v>
      </c>
      <c r="V4200" s="46" t="s">
        <v>68</v>
      </c>
      <c r="W4200" s="46">
        <v>8600</v>
      </c>
      <c r="X4200" s="46">
        <v>7.3840000000000003</v>
      </c>
      <c r="AF4200" s="46">
        <v>42</v>
      </c>
      <c r="AG4200" s="46">
        <v>20900</v>
      </c>
      <c r="AH4200" s="46">
        <v>152800</v>
      </c>
      <c r="AI4200" s="46">
        <v>7.3109999999999999</v>
      </c>
      <c r="AJ4200" s="46">
        <v>42</v>
      </c>
      <c r="AK4200" s="46">
        <v>18800</v>
      </c>
      <c r="AL4200" s="46">
        <v>92037.725000000035</v>
      </c>
      <c r="AM4200" s="46">
        <v>4.8959999999999999</v>
      </c>
      <c r="AN4200" s="46" t="s">
        <v>63</v>
      </c>
      <c r="AO4200" s="46">
        <v>2100</v>
      </c>
      <c r="AP4200" s="46">
        <v>60762.275000000001</v>
      </c>
      <c r="AQ4200" s="46">
        <v>28.934000000000001</v>
      </c>
      <c r="AR4200" s="46">
        <v>-45402</v>
      </c>
      <c r="AS4200" s="46">
        <v>42</v>
      </c>
      <c r="AT4200" s="46">
        <v>20900</v>
      </c>
      <c r="AU4200" s="46">
        <v>152800</v>
      </c>
      <c r="AV4200" s="46">
        <v>7.3109999999999999</v>
      </c>
      <c r="AW4200" s="46">
        <v>63</v>
      </c>
      <c r="AX4200" s="46">
        <v>27900</v>
      </c>
      <c r="AY4200" s="46">
        <v>155380.21900000001</v>
      </c>
      <c r="AZ4200" s="46">
        <v>5.569</v>
      </c>
      <c r="BA4200" s="46" t="s">
        <v>69</v>
      </c>
      <c r="BB4200" s="46">
        <v>7000</v>
      </c>
      <c r="BC4200" s="46">
        <v>2580.2190000000001</v>
      </c>
      <c r="BD4200" s="46">
        <v>0.36899999999999999</v>
      </c>
      <c r="BE4200" s="46">
        <v>-36407.800000000003</v>
      </c>
      <c r="BF4200" s="46">
        <v>0</v>
      </c>
      <c r="BH4200" s="46">
        <v>63342.493999999977</v>
      </c>
      <c r="BI4200">
        <v>7.37</v>
      </c>
      <c r="BJ4200">
        <v>-58182.056000000004</v>
      </c>
      <c r="BK4200">
        <v>-6.77</v>
      </c>
      <c r="BL4200">
        <v>-7937.41</v>
      </c>
    </row>
    <row r="4201" spans="1:64" x14ac:dyDescent="0.25">
      <c r="A4201" s="136">
        <v>44060</v>
      </c>
      <c r="B4201" t="s">
        <v>70</v>
      </c>
      <c r="C4201" t="s">
        <v>131</v>
      </c>
      <c r="D4201">
        <v>11280</v>
      </c>
      <c r="E4201">
        <v>11280</v>
      </c>
      <c r="F4201">
        <v>8.35</v>
      </c>
      <c r="G4201">
        <v>-6320.96</v>
      </c>
      <c r="H4201">
        <v>-6.71</v>
      </c>
      <c r="I4201">
        <v>87871.2</v>
      </c>
      <c r="J4201">
        <v>7.79</v>
      </c>
      <c r="K4201" s="133">
        <v>0.15262538919854632</v>
      </c>
      <c r="L4201" s="181">
        <v>2219.0099999999993</v>
      </c>
      <c r="M4201" s="133">
        <v>0.16360440143587146</v>
      </c>
      <c r="N4201" s="73">
        <v>-6780.0489999999991</v>
      </c>
      <c r="O4201" s="73">
        <v>-874.4076097419354</v>
      </c>
      <c r="P4201" s="182">
        <v>0</v>
      </c>
      <c r="Q4201" s="182">
        <v>0</v>
      </c>
      <c r="R4201" s="46">
        <v>0</v>
      </c>
      <c r="S4201" s="46">
        <v>14</v>
      </c>
      <c r="T4201" s="46">
        <v>7200</v>
      </c>
      <c r="U4201" s="46">
        <v>7.4080000000000004</v>
      </c>
      <c r="V4201" s="46" t="s">
        <v>68</v>
      </c>
      <c r="W4201" s="46">
        <v>7200</v>
      </c>
      <c r="X4201" s="46">
        <v>7.4080000000000004</v>
      </c>
      <c r="AF4201" s="46">
        <v>231</v>
      </c>
      <c r="AG4201" s="46">
        <v>114380</v>
      </c>
      <c r="AH4201" s="46">
        <v>1241611</v>
      </c>
      <c r="AI4201" s="46">
        <v>10.855</v>
      </c>
      <c r="AJ4201" s="46">
        <v>238</v>
      </c>
      <c r="AK4201" s="46">
        <v>95900</v>
      </c>
      <c r="AL4201" s="46">
        <v>1091994.2909999997</v>
      </c>
      <c r="AM4201" s="46">
        <v>11.387</v>
      </c>
      <c r="AN4201" s="46" t="s">
        <v>63</v>
      </c>
      <c r="AO4201" s="46">
        <v>18480</v>
      </c>
      <c r="AP4201" s="46">
        <v>149616.709</v>
      </c>
      <c r="AQ4201" s="46">
        <v>8.0960000000000001</v>
      </c>
      <c r="AR4201" s="46">
        <v>51018.8</v>
      </c>
      <c r="AS4201" s="46">
        <v>231</v>
      </c>
      <c r="AT4201" s="46">
        <v>114380</v>
      </c>
      <c r="AU4201" s="46">
        <v>1241611</v>
      </c>
      <c r="AV4201" s="46">
        <v>10.855</v>
      </c>
      <c r="AW4201" s="46">
        <v>253</v>
      </c>
      <c r="AX4201" s="46">
        <v>103100</v>
      </c>
      <c r="AY4201" s="46">
        <v>1145640.9509999994</v>
      </c>
      <c r="AZ4201" s="46">
        <v>11.112</v>
      </c>
      <c r="BA4201" s="46" t="s">
        <v>63</v>
      </c>
      <c r="BB4201" s="46">
        <v>11280</v>
      </c>
      <c r="BC4201" s="46">
        <v>95970.048999999999</v>
      </c>
      <c r="BD4201" s="46">
        <v>8.5079999999999991</v>
      </c>
      <c r="BE4201" s="46">
        <v>26496.7</v>
      </c>
      <c r="BF4201" s="46">
        <v>0</v>
      </c>
      <c r="BH4201" s="46">
        <v>53646.659999999683</v>
      </c>
      <c r="BI4201">
        <v>7.45</v>
      </c>
      <c r="BJ4201">
        <v>-53646.66</v>
      </c>
      <c r="BK4201">
        <v>-7.45</v>
      </c>
      <c r="BL4201">
        <v>6549.27</v>
      </c>
    </row>
    <row r="4202" spans="1:64" x14ac:dyDescent="0.25">
      <c r="A4202" s="136">
        <v>44060</v>
      </c>
      <c r="B4202" t="s">
        <v>628</v>
      </c>
      <c r="C4202" t="s">
        <v>629</v>
      </c>
      <c r="D4202">
        <v>100</v>
      </c>
      <c r="E4202">
        <v>100</v>
      </c>
      <c r="F4202">
        <v>0.95</v>
      </c>
      <c r="G4202">
        <v>1554</v>
      </c>
      <c r="H4202">
        <v>1635.789</v>
      </c>
      <c r="I4202">
        <v>1649</v>
      </c>
      <c r="J4202">
        <v>16.489999999999998</v>
      </c>
      <c r="K4202" s="133">
        <v>2.8641837915995556E-3</v>
      </c>
      <c r="L4202" s="181">
        <v>49</v>
      </c>
      <c r="M4202" s="133">
        <v>1.6500755621707568E-4</v>
      </c>
    </row>
    <row r="4203" spans="1:64" x14ac:dyDescent="0.25">
      <c r="A4203" s="136">
        <v>44060</v>
      </c>
      <c r="B4203" t="s">
        <v>768</v>
      </c>
      <c r="C4203" t="s">
        <v>769</v>
      </c>
      <c r="D4203">
        <v>500</v>
      </c>
      <c r="E4203">
        <v>500</v>
      </c>
      <c r="F4203">
        <v>2.4140000000000001</v>
      </c>
      <c r="G4203">
        <v>328</v>
      </c>
      <c r="H4203">
        <v>27.17</v>
      </c>
      <c r="I4203">
        <v>1535</v>
      </c>
      <c r="J4203">
        <v>3.07</v>
      </c>
      <c r="K4203" s="133">
        <v>2.666174724139065E-3</v>
      </c>
      <c r="L4203" s="181">
        <v>15</v>
      </c>
      <c r="M4203" s="133">
        <v>2.0964644247790563E-3</v>
      </c>
    </row>
    <row r="4204" spans="1:64" x14ac:dyDescent="0.25">
      <c r="A4204" s="136">
        <v>44060</v>
      </c>
      <c r="B4204" t="s">
        <v>137</v>
      </c>
      <c r="C4204" t="s">
        <v>149</v>
      </c>
      <c r="D4204">
        <v>150</v>
      </c>
      <c r="E4204">
        <v>150</v>
      </c>
      <c r="F4204">
        <v>1</v>
      </c>
      <c r="G4204">
        <v>5820</v>
      </c>
      <c r="H4204">
        <v>3880</v>
      </c>
      <c r="I4204">
        <v>5970</v>
      </c>
      <c r="J4204">
        <v>39.799999999999997</v>
      </c>
      <c r="K4204" s="133">
        <v>1.0369422217009913E-2</v>
      </c>
      <c r="L4204" s="181">
        <v>192</v>
      </c>
      <c r="M4204" s="133">
        <v>2.6053824665854053E-4</v>
      </c>
    </row>
    <row r="4205" spans="1:64" x14ac:dyDescent="0.25">
      <c r="A4205" s="136">
        <v>44060</v>
      </c>
      <c r="B4205" t="s">
        <v>835</v>
      </c>
      <c r="C4205" t="s">
        <v>839</v>
      </c>
      <c r="I4205">
        <v>13403.35</v>
      </c>
      <c r="K4205" s="133">
        <v>2.328056872233833E-2</v>
      </c>
      <c r="L4205" s="181">
        <v>0</v>
      </c>
      <c r="M4205" s="133">
        <v>0.26056761800354722</v>
      </c>
    </row>
    <row r="4206" spans="1:64" x14ac:dyDescent="0.25">
      <c r="A4206" s="136">
        <v>44061</v>
      </c>
      <c r="B4206" t="s">
        <v>65</v>
      </c>
      <c r="C4206" t="s">
        <v>127</v>
      </c>
      <c r="D4206">
        <v>25300</v>
      </c>
      <c r="E4206">
        <v>24900</v>
      </c>
      <c r="F4206">
        <v>8.2349999999999994</v>
      </c>
      <c r="G4206">
        <v>-30983.51</v>
      </c>
      <c r="H4206">
        <v>-14.87</v>
      </c>
      <c r="I4206">
        <v>177353</v>
      </c>
      <c r="J4206">
        <v>7.01</v>
      </c>
      <c r="K4206" s="133">
        <v>0.30671797858371674</v>
      </c>
      <c r="L4206" s="181">
        <v>-1993</v>
      </c>
      <c r="M4206" s="133">
        <v>0.36030150723351895</v>
      </c>
      <c r="N4206" s="73">
        <v>-35506.430000000139</v>
      </c>
      <c r="O4206" s="73">
        <v>-4458.4662945357541</v>
      </c>
      <c r="P4206" s="182">
        <v>0</v>
      </c>
      <c r="Q4206" s="182">
        <v>0</v>
      </c>
      <c r="R4206" s="46">
        <v>0</v>
      </c>
      <c r="S4206" s="46">
        <v>2</v>
      </c>
      <c r="T4206" s="46">
        <v>4900</v>
      </c>
      <c r="U4206" s="46">
        <v>7.4509999999999996</v>
      </c>
      <c r="V4206" s="46" t="s">
        <v>68</v>
      </c>
      <c r="W4206" s="46">
        <v>4900</v>
      </c>
      <c r="X4206" s="46">
        <v>7.4509999999999996</v>
      </c>
      <c r="AF4206" s="46">
        <v>308</v>
      </c>
      <c r="AG4206" s="46">
        <v>164200</v>
      </c>
      <c r="AH4206" s="46">
        <v>1633512.6810000001</v>
      </c>
      <c r="AI4206" s="46">
        <v>9.9480000000000004</v>
      </c>
      <c r="AJ4206" s="46">
        <v>339</v>
      </c>
      <c r="AK4206" s="46">
        <v>143300</v>
      </c>
      <c r="AL4206" s="46">
        <v>1372095.4999999998</v>
      </c>
      <c r="AM4206" s="46">
        <v>9.5749999999999993</v>
      </c>
      <c r="AN4206" s="46" t="s">
        <v>63</v>
      </c>
      <c r="AO4206" s="46">
        <v>20900</v>
      </c>
      <c r="AP4206" s="46">
        <v>261417.18100000001</v>
      </c>
      <c r="AQ4206" s="46">
        <v>12.507999999999999</v>
      </c>
      <c r="AR4206" s="46">
        <v>-53450.9</v>
      </c>
      <c r="AS4206" s="46">
        <v>312</v>
      </c>
      <c r="AT4206" s="46">
        <v>166000</v>
      </c>
      <c r="AU4206" s="46">
        <v>1646074.6810000001</v>
      </c>
      <c r="AV4206" s="46">
        <v>9.9160000000000004</v>
      </c>
      <c r="AW4206" s="46">
        <v>345</v>
      </c>
      <c r="AX4206" s="46">
        <v>149800</v>
      </c>
      <c r="AY4206" s="46">
        <v>1421612.4849999999</v>
      </c>
      <c r="AZ4206" s="46">
        <v>9.49</v>
      </c>
      <c r="BA4206" s="46" t="s">
        <v>63</v>
      </c>
      <c r="BB4206" s="46">
        <v>16200</v>
      </c>
      <c r="BC4206" s="46">
        <v>224462.196</v>
      </c>
      <c r="BD4206" s="46">
        <v>13.856</v>
      </c>
      <c r="BE4206" s="46">
        <v>-63814.8</v>
      </c>
      <c r="BF4206" s="46">
        <v>12562</v>
      </c>
      <c r="BH4206" s="46">
        <v>49516.985000000102</v>
      </c>
      <c r="BI4206">
        <v>10.11</v>
      </c>
      <c r="BJ4206">
        <v>-36954.985000000015</v>
      </c>
      <c r="BK4206">
        <v>-7.54</v>
      </c>
      <c r="BL4206">
        <v>-7624.95</v>
      </c>
    </row>
    <row r="4207" spans="1:64" x14ac:dyDescent="0.25">
      <c r="A4207" s="136">
        <v>44061</v>
      </c>
      <c r="B4207" t="s">
        <v>79</v>
      </c>
      <c r="C4207" t="s">
        <v>143</v>
      </c>
      <c r="D4207">
        <v>9000</v>
      </c>
      <c r="E4207">
        <v>9000</v>
      </c>
      <c r="F4207">
        <v>9.8810000000000002</v>
      </c>
      <c r="G4207">
        <v>-18729.77</v>
      </c>
      <c r="H4207">
        <v>-21.06</v>
      </c>
      <c r="I4207">
        <v>70200</v>
      </c>
      <c r="J4207">
        <v>7.8</v>
      </c>
      <c r="K4207" s="133">
        <v>0.12140534468871073</v>
      </c>
      <c r="L4207" s="181">
        <v>180</v>
      </c>
      <c r="M4207" s="133">
        <v>0.15379699971421321</v>
      </c>
      <c r="N4207" s="73">
        <v>-18949.65940000047</v>
      </c>
      <c r="O4207" s="73">
        <v>-2434.4710244602147</v>
      </c>
      <c r="P4207" s="182">
        <v>3</v>
      </c>
      <c r="Q4207" s="182">
        <v>4420</v>
      </c>
      <c r="R4207" s="46">
        <v>2.6120000000000001</v>
      </c>
      <c r="S4207" s="46">
        <v>2</v>
      </c>
      <c r="T4207" s="46">
        <v>800</v>
      </c>
      <c r="U4207" s="46">
        <v>8.69</v>
      </c>
      <c r="V4207" s="46" t="s">
        <v>62</v>
      </c>
      <c r="W4207" s="46">
        <v>3620</v>
      </c>
      <c r="X4207" s="46">
        <v>1.2689999999999999</v>
      </c>
      <c r="AF4207" s="46">
        <v>101</v>
      </c>
      <c r="AG4207" s="46">
        <v>47500</v>
      </c>
      <c r="AH4207" s="46">
        <v>484371.49999999913</v>
      </c>
      <c r="AI4207" s="46">
        <v>10.196999999999999</v>
      </c>
      <c r="AJ4207" s="46">
        <v>98</v>
      </c>
      <c r="AK4207" s="46">
        <v>42120</v>
      </c>
      <c r="AL4207" s="46">
        <v>400029.92459999945</v>
      </c>
      <c r="AM4207" s="46">
        <v>9.4969999999999999</v>
      </c>
      <c r="AN4207" s="46" t="s">
        <v>63</v>
      </c>
      <c r="AO4207" s="46">
        <v>5380</v>
      </c>
      <c r="AP4207" s="46">
        <v>84341.574999999997</v>
      </c>
      <c r="AQ4207" s="46">
        <v>15.677</v>
      </c>
      <c r="AR4207" s="46">
        <v>-29484</v>
      </c>
      <c r="AS4207" s="46">
        <v>104</v>
      </c>
      <c r="AT4207" s="46">
        <v>51920</v>
      </c>
      <c r="AU4207" s="46">
        <v>495934.15199999907</v>
      </c>
      <c r="AV4207" s="46">
        <v>9.5519999999999996</v>
      </c>
      <c r="AW4207" s="46">
        <v>100</v>
      </c>
      <c r="AX4207" s="46">
        <v>42920</v>
      </c>
      <c r="AY4207" s="46">
        <v>406964.49259999947</v>
      </c>
      <c r="AZ4207" s="46">
        <v>9.4819999999999993</v>
      </c>
      <c r="BA4207" s="46" t="s">
        <v>63</v>
      </c>
      <c r="BB4207" s="46">
        <v>9000</v>
      </c>
      <c r="BC4207" s="46">
        <v>88969.659</v>
      </c>
      <c r="BD4207" s="46">
        <v>9.8859999999999992</v>
      </c>
      <c r="BE4207" s="46">
        <v>-3004.4</v>
      </c>
      <c r="BF4207" s="46">
        <v>11562.651999999944</v>
      </c>
      <c r="BG4207" s="46">
        <v>2.62</v>
      </c>
      <c r="BH4207" s="46">
        <v>6934.5680000000284</v>
      </c>
      <c r="BI4207">
        <v>8.67</v>
      </c>
      <c r="BJ4207">
        <v>4628.0840000000026</v>
      </c>
      <c r="BK4207">
        <v>1.28</v>
      </c>
      <c r="BL4207">
        <v>-3780</v>
      </c>
    </row>
    <row r="4208" spans="1:64" x14ac:dyDescent="0.25">
      <c r="A4208" s="136">
        <v>44061</v>
      </c>
      <c r="B4208" t="s">
        <v>77</v>
      </c>
      <c r="C4208" t="s">
        <v>150</v>
      </c>
      <c r="D4208">
        <v>6700</v>
      </c>
      <c r="E4208">
        <v>6700</v>
      </c>
      <c r="F4208">
        <v>5.0060000000000002</v>
      </c>
      <c r="G4208">
        <v>-13237.99</v>
      </c>
      <c r="H4208">
        <v>-39.47</v>
      </c>
      <c r="I4208">
        <v>20301</v>
      </c>
      <c r="J4208">
        <v>3.03</v>
      </c>
      <c r="K4208" s="133">
        <v>3.5108972970448953E-2</v>
      </c>
      <c r="L4208" s="181">
        <v>-134</v>
      </c>
      <c r="M4208" s="133">
        <v>5.800302908064419E-2</v>
      </c>
      <c r="N4208" s="73">
        <v>-12938.943999999981</v>
      </c>
      <c r="O4208" s="73">
        <v>-3946.8966755555498</v>
      </c>
      <c r="P4208" s="182">
        <v>8</v>
      </c>
      <c r="Q4208" s="182">
        <v>3900</v>
      </c>
      <c r="R4208" s="46">
        <v>3.8889999999999998</v>
      </c>
      <c r="S4208" s="46">
        <v>1</v>
      </c>
      <c r="T4208" s="46">
        <v>1000</v>
      </c>
      <c r="U4208" s="46">
        <v>3.47</v>
      </c>
      <c r="V4208" s="46" t="s">
        <v>62</v>
      </c>
      <c r="W4208" s="46">
        <v>2900</v>
      </c>
      <c r="X4208" s="46">
        <v>4.0330000000000004</v>
      </c>
      <c r="AF4208" s="46">
        <v>69</v>
      </c>
      <c r="AG4208" s="46">
        <v>34000</v>
      </c>
      <c r="AH4208" s="46">
        <v>206030</v>
      </c>
      <c r="AI4208" s="46">
        <v>6.06</v>
      </c>
      <c r="AJ4208" s="46">
        <v>69</v>
      </c>
      <c r="AK4208" s="46">
        <v>30200</v>
      </c>
      <c r="AL4208" s="46">
        <v>183944.52600000007</v>
      </c>
      <c r="AM4208" s="46">
        <v>6.0910000000000002</v>
      </c>
      <c r="AN4208" s="46" t="s">
        <v>63</v>
      </c>
      <c r="AO4208" s="46">
        <v>3800</v>
      </c>
      <c r="AP4208" s="46">
        <v>22085.473999999998</v>
      </c>
      <c r="AQ4208" s="46">
        <v>5.8120000000000003</v>
      </c>
      <c r="AR4208" s="46">
        <v>936.2</v>
      </c>
      <c r="AS4208" s="46">
        <v>77</v>
      </c>
      <c r="AT4208" s="46">
        <v>37900</v>
      </c>
      <c r="AU4208" s="46">
        <v>220950</v>
      </c>
      <c r="AV4208" s="46">
        <v>5.83</v>
      </c>
      <c r="AW4208" s="46">
        <v>70</v>
      </c>
      <c r="AX4208" s="46">
        <v>31200</v>
      </c>
      <c r="AY4208" s="46">
        <v>187406.05600000007</v>
      </c>
      <c r="AZ4208" s="46">
        <v>6.0069999999999997</v>
      </c>
      <c r="BA4208" s="46" t="s">
        <v>63</v>
      </c>
      <c r="BB4208" s="46">
        <v>6700</v>
      </c>
      <c r="BC4208" s="46">
        <v>33543.944000000003</v>
      </c>
      <c r="BD4208" s="46">
        <v>5.0069999999999997</v>
      </c>
      <c r="BE4208" s="46">
        <v>5522.4</v>
      </c>
      <c r="BF4208" s="46">
        <v>14920</v>
      </c>
      <c r="BG4208" s="46">
        <v>3.83</v>
      </c>
      <c r="BH4208" s="46">
        <v>3461.5299999999988</v>
      </c>
      <c r="BI4208">
        <v>3.46</v>
      </c>
      <c r="BJ4208">
        <v>11458.470000000005</v>
      </c>
      <c r="BK4208">
        <v>3.95</v>
      </c>
      <c r="BL4208">
        <v>308.98</v>
      </c>
    </row>
    <row r="4209" spans="1:64" x14ac:dyDescent="0.25">
      <c r="A4209" s="136">
        <v>44061</v>
      </c>
      <c r="B4209" t="s">
        <v>61</v>
      </c>
      <c r="C4209" t="s">
        <v>136</v>
      </c>
      <c r="D4209">
        <v>4000</v>
      </c>
      <c r="E4209">
        <v>4000</v>
      </c>
      <c r="F4209">
        <v>4.2080000000000002</v>
      </c>
      <c r="G4209">
        <v>-2313.19</v>
      </c>
      <c r="H4209">
        <v>-13.74</v>
      </c>
      <c r="I4209">
        <v>14520</v>
      </c>
      <c r="J4209">
        <v>3.63</v>
      </c>
      <c r="K4209" s="133">
        <v>2.5111190952707689E-2</v>
      </c>
      <c r="L4209" s="181">
        <v>-40</v>
      </c>
      <c r="M4209" s="133">
        <v>2.9111670002287156E-2</v>
      </c>
      <c r="N4209" s="73">
        <v>-2273.3950000000041</v>
      </c>
      <c r="O4209" s="73">
        <v>-624.24678640110005</v>
      </c>
      <c r="P4209" s="182">
        <v>3</v>
      </c>
      <c r="Q4209" s="182">
        <v>1500</v>
      </c>
      <c r="R4209" s="46">
        <v>4.2329999999999997</v>
      </c>
      <c r="S4209" s="46">
        <v>1</v>
      </c>
      <c r="T4209" s="46">
        <v>400</v>
      </c>
      <c r="U4209" s="46">
        <v>3.64</v>
      </c>
      <c r="V4209" s="46" t="s">
        <v>62</v>
      </c>
      <c r="W4209" s="46">
        <v>1100</v>
      </c>
      <c r="X4209" s="46">
        <v>4.4489999999999998</v>
      </c>
      <c r="AF4209" s="46">
        <v>33</v>
      </c>
      <c r="AG4209" s="46">
        <v>16400</v>
      </c>
      <c r="AH4209" s="46">
        <v>74730.840000000026</v>
      </c>
      <c r="AI4209" s="46">
        <v>4.5570000000000004</v>
      </c>
      <c r="AJ4209" s="46">
        <v>31</v>
      </c>
      <c r="AK4209" s="46">
        <v>13500</v>
      </c>
      <c r="AL4209" s="46">
        <v>62814.040999999983</v>
      </c>
      <c r="AM4209" s="46">
        <v>4.6529999999999996</v>
      </c>
      <c r="AN4209" s="46" t="s">
        <v>63</v>
      </c>
      <c r="AO4209" s="46">
        <v>2900</v>
      </c>
      <c r="AP4209" s="46">
        <v>11916.799000000001</v>
      </c>
      <c r="AQ4209" s="46">
        <v>4.109</v>
      </c>
      <c r="AR4209" s="46">
        <v>1296</v>
      </c>
      <c r="AS4209" s="46">
        <v>36</v>
      </c>
      <c r="AT4209" s="46">
        <v>17900</v>
      </c>
      <c r="AU4209" s="46">
        <v>81096.740000000034</v>
      </c>
      <c r="AV4209" s="46">
        <v>4.5309999999999997</v>
      </c>
      <c r="AW4209" s="46">
        <v>32</v>
      </c>
      <c r="AX4209" s="46">
        <v>13900</v>
      </c>
      <c r="AY4209" s="46">
        <v>64263.344999999987</v>
      </c>
      <c r="AZ4209" s="46">
        <v>4.6230000000000002</v>
      </c>
      <c r="BA4209" s="46" t="s">
        <v>63</v>
      </c>
      <c r="BB4209" s="46">
        <v>4000</v>
      </c>
      <c r="BC4209" s="46">
        <v>16833.395</v>
      </c>
      <c r="BD4209" s="46">
        <v>4.2080000000000002</v>
      </c>
      <c r="BE4209" s="46">
        <v>1278.8</v>
      </c>
      <c r="BF4209" s="46">
        <v>6365.9000000000087</v>
      </c>
      <c r="BG4209" s="46">
        <v>4.24</v>
      </c>
      <c r="BH4209" s="46">
        <v>1449.3040000000037</v>
      </c>
      <c r="BI4209">
        <v>3.62</v>
      </c>
      <c r="BJ4209">
        <v>4916.5959999999995</v>
      </c>
      <c r="BK4209">
        <v>4.47</v>
      </c>
      <c r="BL4209">
        <v>357.02</v>
      </c>
    </row>
    <row r="4210" spans="1:64" x14ac:dyDescent="0.25">
      <c r="A4210" s="136">
        <v>44061</v>
      </c>
      <c r="B4210" t="s">
        <v>70</v>
      </c>
      <c r="C4210" t="s">
        <v>131</v>
      </c>
      <c r="D4210">
        <v>10080</v>
      </c>
      <c r="E4210">
        <v>9680</v>
      </c>
      <c r="F4210">
        <v>8.3840000000000003</v>
      </c>
      <c r="G4210">
        <v>-1550.46</v>
      </c>
      <c r="H4210">
        <v>-1.83</v>
      </c>
      <c r="I4210">
        <v>82958.399999999994</v>
      </c>
      <c r="J4210">
        <v>8.23</v>
      </c>
      <c r="K4210" s="133">
        <v>0.14346998784649487</v>
      </c>
      <c r="L4210" s="181">
        <v>4770.5</v>
      </c>
      <c r="M4210" s="133">
        <v>0.14615138572008546</v>
      </c>
      <c r="N4210" s="73">
        <v>-1558.3570000000036</v>
      </c>
      <c r="O4210" s="73">
        <v>-189.25611439854237</v>
      </c>
      <c r="P4210" s="182">
        <v>0</v>
      </c>
      <c r="Q4210" s="182">
        <v>0</v>
      </c>
      <c r="R4210" s="46">
        <v>0</v>
      </c>
      <c r="S4210" s="46">
        <v>17</v>
      </c>
      <c r="T4210" s="46">
        <v>8400</v>
      </c>
      <c r="U4210" s="46">
        <v>7.5060000000000002</v>
      </c>
      <c r="V4210" s="46" t="s">
        <v>68</v>
      </c>
      <c r="W4210" s="46">
        <v>8400</v>
      </c>
      <c r="X4210" s="46">
        <v>7.5060000000000002</v>
      </c>
      <c r="AF4210" s="46">
        <v>231</v>
      </c>
      <c r="AG4210" s="46">
        <v>114380</v>
      </c>
      <c r="AH4210" s="46">
        <v>1241611</v>
      </c>
      <c r="AI4210" s="46">
        <v>10.855</v>
      </c>
      <c r="AJ4210" s="46">
        <v>238</v>
      </c>
      <c r="AK4210" s="46">
        <v>95900</v>
      </c>
      <c r="AL4210" s="46">
        <v>1091994.2909999997</v>
      </c>
      <c r="AM4210" s="46">
        <v>11.387</v>
      </c>
      <c r="AN4210" s="46" t="s">
        <v>63</v>
      </c>
      <c r="AO4210" s="46">
        <v>18480</v>
      </c>
      <c r="AP4210" s="46">
        <v>149616.709</v>
      </c>
      <c r="AQ4210" s="46">
        <v>8.0960000000000001</v>
      </c>
      <c r="AR4210" s="46">
        <v>51018.8</v>
      </c>
      <c r="AS4210" s="46">
        <v>231</v>
      </c>
      <c r="AT4210" s="46">
        <v>114380</v>
      </c>
      <c r="AU4210" s="46">
        <v>1241611</v>
      </c>
      <c r="AV4210" s="46">
        <v>10.855</v>
      </c>
      <c r="AW4210" s="46">
        <v>256</v>
      </c>
      <c r="AX4210" s="46">
        <v>104300</v>
      </c>
      <c r="AY4210" s="46">
        <v>1155324.2429999996</v>
      </c>
      <c r="AZ4210" s="46">
        <v>11.077</v>
      </c>
      <c r="BA4210" s="46" t="s">
        <v>63</v>
      </c>
      <c r="BB4210" s="46">
        <v>10080</v>
      </c>
      <c r="BC4210" s="46">
        <v>86286.756999999998</v>
      </c>
      <c r="BD4210" s="46">
        <v>8.56</v>
      </c>
      <c r="BE4210" s="46">
        <v>23154.6</v>
      </c>
      <c r="BF4210" s="46">
        <v>0</v>
      </c>
      <c r="BH4210" s="46">
        <v>63329.951999999816</v>
      </c>
      <c r="BI4210">
        <v>7.54</v>
      </c>
      <c r="BJ4210">
        <v>-63329.952000000005</v>
      </c>
      <c r="BK4210">
        <v>-7.54</v>
      </c>
      <c r="BL4210">
        <v>6199.13</v>
      </c>
    </row>
    <row r="4211" spans="1:64" x14ac:dyDescent="0.25">
      <c r="A4211" s="136">
        <v>44061</v>
      </c>
      <c r="B4211" t="s">
        <v>132</v>
      </c>
      <c r="C4211" t="s">
        <v>123</v>
      </c>
      <c r="D4211">
        <v>15003306</v>
      </c>
      <c r="E4211">
        <v>15003306</v>
      </c>
      <c r="F4211">
        <v>0.01</v>
      </c>
      <c r="G4211">
        <v>207.94</v>
      </c>
      <c r="H4211">
        <v>0</v>
      </c>
      <c r="I4211">
        <v>150033.06</v>
      </c>
      <c r="J4211">
        <v>0.01</v>
      </c>
      <c r="K4211" s="133">
        <v>0.2594703043305131</v>
      </c>
      <c r="L4211" s="181">
        <v>16.150000000000006</v>
      </c>
      <c r="M4211" s="133">
        <v>0</v>
      </c>
    </row>
    <row r="4212" spans="1:64" x14ac:dyDescent="0.25">
      <c r="A4212" s="136">
        <v>44061</v>
      </c>
      <c r="B4212" t="s">
        <v>776</v>
      </c>
      <c r="C4212" t="s">
        <v>777</v>
      </c>
      <c r="D4212">
        <v>1</v>
      </c>
      <c r="E4212">
        <v>1</v>
      </c>
      <c r="F4212">
        <v>-137.5</v>
      </c>
      <c r="G4212">
        <v>211.7</v>
      </c>
      <c r="H4212">
        <v>0</v>
      </c>
      <c r="I4212">
        <v>74.2</v>
      </c>
      <c r="J4212">
        <v>74.2</v>
      </c>
      <c r="K4212" s="133">
        <v>1.2832302814675694E-4</v>
      </c>
      <c r="L4212" s="181">
        <v>0.44999999999998863</v>
      </c>
      <c r="M4212" s="133">
        <v>0</v>
      </c>
    </row>
    <row r="4213" spans="1:64" x14ac:dyDescent="0.25">
      <c r="A4213" s="136">
        <v>44061</v>
      </c>
      <c r="B4213" t="s">
        <v>749</v>
      </c>
      <c r="C4213" t="s">
        <v>750</v>
      </c>
      <c r="D4213">
        <v>500</v>
      </c>
      <c r="E4213">
        <v>500</v>
      </c>
      <c r="F4213">
        <v>5.65</v>
      </c>
      <c r="G4213">
        <v>315</v>
      </c>
      <c r="H4213">
        <v>11.15</v>
      </c>
      <c r="I4213">
        <v>3140</v>
      </c>
      <c r="J4213">
        <v>6.28</v>
      </c>
      <c r="K4213" s="133">
        <v>5.4303815145662635E-3</v>
      </c>
      <c r="L4213" s="181">
        <v>-5</v>
      </c>
      <c r="M4213" s="133">
        <v>4.8856139422451253E-3</v>
      </c>
    </row>
    <row r="4214" spans="1:64" x14ac:dyDescent="0.25">
      <c r="A4214" s="136">
        <v>44061</v>
      </c>
      <c r="B4214" t="s">
        <v>768</v>
      </c>
      <c r="C4214" t="s">
        <v>769</v>
      </c>
      <c r="D4214">
        <v>500</v>
      </c>
      <c r="E4214">
        <v>500</v>
      </c>
      <c r="F4214">
        <v>2.4140000000000001</v>
      </c>
      <c r="G4214">
        <v>338</v>
      </c>
      <c r="H4214">
        <v>28</v>
      </c>
      <c r="I4214">
        <v>1545</v>
      </c>
      <c r="J4214">
        <v>3.09</v>
      </c>
      <c r="K4214" s="133">
        <v>2.6719552356703428E-3</v>
      </c>
      <c r="L4214" s="181">
        <v>10</v>
      </c>
      <c r="M4214" s="133">
        <v>2.0874109834654393E-3</v>
      </c>
    </row>
    <row r="4215" spans="1:64" x14ac:dyDescent="0.25">
      <c r="A4215" s="136">
        <v>44061</v>
      </c>
      <c r="B4215" t="s">
        <v>72</v>
      </c>
      <c r="C4215" t="s">
        <v>130</v>
      </c>
      <c r="D4215">
        <v>100</v>
      </c>
      <c r="E4215">
        <v>100</v>
      </c>
      <c r="F4215">
        <v>1.53</v>
      </c>
      <c r="G4215">
        <v>417</v>
      </c>
      <c r="H4215">
        <v>272.55</v>
      </c>
      <c r="I4215">
        <v>570</v>
      </c>
      <c r="J4215">
        <v>5.7</v>
      </c>
      <c r="K4215" s="133">
        <v>9.8576989277158284E-4</v>
      </c>
      <c r="L4215" s="181">
        <v>-2</v>
      </c>
      <c r="M4215" s="133">
        <v>2.6460139227026699E-4</v>
      </c>
      <c r="N4215" s="73">
        <v>-1498.9659999999872</v>
      </c>
      <c r="O4215" s="73">
        <v>376.42007904191922</v>
      </c>
      <c r="P4215" s="182">
        <v>0</v>
      </c>
      <c r="Q4215" s="182">
        <v>0</v>
      </c>
      <c r="R4215" s="46">
        <v>0</v>
      </c>
      <c r="S4215" s="46">
        <v>20</v>
      </c>
      <c r="T4215" s="46">
        <v>8600</v>
      </c>
      <c r="U4215" s="46">
        <v>7.3840000000000003</v>
      </c>
      <c r="V4215" s="46" t="s">
        <v>68</v>
      </c>
      <c r="W4215" s="46">
        <v>8600</v>
      </c>
      <c r="X4215" s="46">
        <v>7.3840000000000003</v>
      </c>
      <c r="AF4215" s="46">
        <v>42</v>
      </c>
      <c r="AG4215" s="46">
        <v>20900</v>
      </c>
      <c r="AH4215" s="46">
        <v>152800</v>
      </c>
      <c r="AI4215" s="46">
        <v>7.3109999999999999</v>
      </c>
      <c r="AJ4215" s="46">
        <v>42</v>
      </c>
      <c r="AK4215" s="46">
        <v>18800</v>
      </c>
      <c r="AL4215" s="46">
        <v>92037.725000000035</v>
      </c>
      <c r="AM4215" s="46">
        <v>4.8959999999999999</v>
      </c>
      <c r="AN4215" s="46" t="s">
        <v>63</v>
      </c>
      <c r="AO4215" s="46">
        <v>2100</v>
      </c>
      <c r="AP4215" s="46">
        <v>60762.275000000001</v>
      </c>
      <c r="AQ4215" s="46">
        <v>28.934000000000001</v>
      </c>
      <c r="AR4215" s="46">
        <v>-45402</v>
      </c>
      <c r="AS4215" s="46">
        <v>42</v>
      </c>
      <c r="AT4215" s="46">
        <v>20900</v>
      </c>
      <c r="AU4215" s="46">
        <v>152800</v>
      </c>
      <c r="AV4215" s="46">
        <v>7.3109999999999999</v>
      </c>
      <c r="AW4215" s="46">
        <v>63</v>
      </c>
      <c r="AX4215" s="46">
        <v>27900</v>
      </c>
      <c r="AY4215" s="46">
        <v>155380.21900000001</v>
      </c>
      <c r="AZ4215" s="46">
        <v>5.569</v>
      </c>
      <c r="BA4215" s="46" t="s">
        <v>69</v>
      </c>
      <c r="BB4215" s="46">
        <v>7000</v>
      </c>
      <c r="BC4215" s="46">
        <v>2580.2190000000001</v>
      </c>
      <c r="BD4215" s="46">
        <v>0.36899999999999999</v>
      </c>
      <c r="BE4215" s="46">
        <v>-36407.800000000003</v>
      </c>
      <c r="BF4215" s="46">
        <v>0</v>
      </c>
      <c r="BH4215" s="46">
        <v>63342.493999999977</v>
      </c>
      <c r="BI4215">
        <v>7.37</v>
      </c>
      <c r="BJ4215">
        <v>-58182.056000000004</v>
      </c>
      <c r="BK4215">
        <v>-6.77</v>
      </c>
      <c r="BL4215">
        <v>-7965.26</v>
      </c>
    </row>
    <row r="4216" spans="1:64" x14ac:dyDescent="0.25">
      <c r="A4216" s="136">
        <v>44061</v>
      </c>
      <c r="B4216" t="s">
        <v>124</v>
      </c>
      <c r="C4216" t="s">
        <v>125</v>
      </c>
      <c r="D4216">
        <v>100</v>
      </c>
      <c r="E4216">
        <v>100</v>
      </c>
      <c r="F4216">
        <v>0.73699999999999999</v>
      </c>
      <c r="G4216">
        <v>431.28</v>
      </c>
      <c r="H4216">
        <v>585.17999999999995</v>
      </c>
      <c r="I4216">
        <v>505</v>
      </c>
      <c r="J4216">
        <v>5.05</v>
      </c>
      <c r="K4216" s="133">
        <v>8.7335753657833217E-4</v>
      </c>
      <c r="L4216" s="181">
        <v>-4</v>
      </c>
      <c r="M4216" s="133">
        <v>1.2749290613179142E-4</v>
      </c>
      <c r="N4216" s="73">
        <v>5623.0690000000113</v>
      </c>
      <c r="O4216" s="73">
        <v>1111.8087987827732</v>
      </c>
      <c r="P4216" s="182">
        <v>0</v>
      </c>
      <c r="Q4216" s="182">
        <v>0</v>
      </c>
      <c r="R4216" s="46">
        <v>0</v>
      </c>
      <c r="S4216" s="46">
        <v>5</v>
      </c>
      <c r="T4216" s="46">
        <v>2300</v>
      </c>
      <c r="U4216" s="46">
        <v>4.99</v>
      </c>
      <c r="V4216" s="46" t="s">
        <v>68</v>
      </c>
      <c r="W4216" s="46">
        <v>2300</v>
      </c>
      <c r="X4216" s="46">
        <v>4.99</v>
      </c>
      <c r="AF4216" s="46">
        <v>50</v>
      </c>
      <c r="AG4216" s="46">
        <v>36700</v>
      </c>
      <c r="AH4216" s="46">
        <v>180101.02000000002</v>
      </c>
      <c r="AI4216" s="46">
        <v>4.907</v>
      </c>
      <c r="AJ4216" s="46">
        <v>58</v>
      </c>
      <c r="AK4216" s="46">
        <v>35300</v>
      </c>
      <c r="AL4216" s="46">
        <v>178266.546</v>
      </c>
      <c r="AM4216" s="46">
        <v>5.05</v>
      </c>
      <c r="AN4216" s="46" t="s">
        <v>63</v>
      </c>
      <c r="AO4216" s="46">
        <v>1400</v>
      </c>
      <c r="AP4216" s="46">
        <v>1834.4739999999999</v>
      </c>
      <c r="AQ4216" s="46">
        <v>1.31</v>
      </c>
      <c r="AR4216" s="46">
        <v>5047.8999999999996</v>
      </c>
      <c r="AS4216" s="46">
        <v>51</v>
      </c>
      <c r="AT4216" s="46">
        <v>37700</v>
      </c>
      <c r="AU4216" s="46">
        <v>185106.62</v>
      </c>
      <c r="AV4216" s="46">
        <v>4.91</v>
      </c>
      <c r="AW4216" s="46">
        <v>63</v>
      </c>
      <c r="AX4216" s="46">
        <v>37600</v>
      </c>
      <c r="AY4216" s="46">
        <v>189763.68900000001</v>
      </c>
      <c r="AZ4216" s="46">
        <v>5.0469999999999997</v>
      </c>
      <c r="BA4216" s="46" t="s">
        <v>63</v>
      </c>
      <c r="BB4216" s="46">
        <v>100</v>
      </c>
      <c r="BC4216" s="46">
        <v>4657.0690000000004</v>
      </c>
      <c r="BD4216" s="46">
        <v>46.570999999999998</v>
      </c>
      <c r="BE4216" s="46">
        <v>5151.2</v>
      </c>
      <c r="BF4216" s="46">
        <v>5005.5999999999767</v>
      </c>
      <c r="BH4216" s="46">
        <v>11497.143000000011</v>
      </c>
      <c r="BI4216">
        <v>5</v>
      </c>
      <c r="BJ4216">
        <v>2822.5950000000003</v>
      </c>
      <c r="BK4216">
        <v>1.23</v>
      </c>
      <c r="BL4216">
        <v>999.58</v>
      </c>
    </row>
    <row r="4217" spans="1:64" x14ac:dyDescent="0.25">
      <c r="A4217" s="136">
        <v>44061</v>
      </c>
      <c r="B4217" t="s">
        <v>628</v>
      </c>
      <c r="C4217" t="s">
        <v>629</v>
      </c>
      <c r="D4217">
        <v>100</v>
      </c>
      <c r="E4217">
        <v>100</v>
      </c>
      <c r="F4217">
        <v>0.95</v>
      </c>
      <c r="G4217">
        <v>1529</v>
      </c>
      <c r="H4217">
        <v>1609.47</v>
      </c>
      <c r="I4217">
        <v>1624</v>
      </c>
      <c r="J4217">
        <v>16.239999999999998</v>
      </c>
      <c r="K4217" s="133">
        <v>2.8085794839667554E-3</v>
      </c>
      <c r="L4217" s="181">
        <v>-25</v>
      </c>
      <c r="M4217" s="133">
        <v>1.6429498212859714E-4</v>
      </c>
    </row>
    <row r="4218" spans="1:64" x14ac:dyDescent="0.25">
      <c r="A4218" s="136">
        <v>44061</v>
      </c>
      <c r="B4218" t="s">
        <v>137</v>
      </c>
      <c r="C4218" t="s">
        <v>149</v>
      </c>
      <c r="D4218">
        <v>150</v>
      </c>
      <c r="E4218">
        <v>150</v>
      </c>
      <c r="F4218">
        <v>1</v>
      </c>
      <c r="G4218">
        <v>5890.5</v>
      </c>
      <c r="H4218">
        <v>3927</v>
      </c>
      <c r="I4218">
        <v>6040.5</v>
      </c>
      <c r="J4218">
        <v>40.270000000000003</v>
      </c>
      <c r="K4218" s="133">
        <v>1.044656673208201E-2</v>
      </c>
      <c r="L4218" s="181">
        <v>70.5</v>
      </c>
      <c r="M4218" s="133">
        <v>2.594131296767323E-4</v>
      </c>
    </row>
    <row r="4219" spans="1:64" x14ac:dyDescent="0.25">
      <c r="A4219" s="136">
        <v>44061</v>
      </c>
      <c r="B4219" t="s">
        <v>71</v>
      </c>
      <c r="C4219" t="s">
        <v>126</v>
      </c>
      <c r="D4219">
        <v>5400</v>
      </c>
      <c r="E4219">
        <v>5400</v>
      </c>
      <c r="F4219">
        <v>4.1909999999999998</v>
      </c>
      <c r="G4219">
        <v>6474.34</v>
      </c>
      <c r="H4219">
        <v>28.61</v>
      </c>
      <c r="I4219">
        <v>29106</v>
      </c>
      <c r="J4219">
        <v>5.39</v>
      </c>
      <c r="K4219" s="133">
        <v>5.0336523682473142E-2</v>
      </c>
      <c r="L4219" s="181">
        <v>-324</v>
      </c>
      <c r="M4219" s="133">
        <v>3.9139665002531437E-2</v>
      </c>
      <c r="N4219" s="73">
        <v>-22666.464</v>
      </c>
      <c r="O4219" s="73">
        <v>1210.5840539741218</v>
      </c>
      <c r="P4219" s="182">
        <v>1</v>
      </c>
      <c r="Q4219" s="182">
        <v>1500</v>
      </c>
      <c r="R4219" s="46">
        <v>5.18</v>
      </c>
      <c r="S4219" s="46">
        <v>3</v>
      </c>
      <c r="T4219" s="46">
        <v>1200</v>
      </c>
      <c r="U4219" s="46">
        <v>5.593</v>
      </c>
      <c r="V4219" s="46" t="s">
        <v>62</v>
      </c>
      <c r="W4219" s="46">
        <v>300</v>
      </c>
      <c r="X4219" s="46">
        <v>3.528</v>
      </c>
      <c r="AF4219" s="46">
        <v>74</v>
      </c>
      <c r="AG4219" s="46">
        <v>39300</v>
      </c>
      <c r="AH4219" s="46">
        <v>237624.29999999981</v>
      </c>
      <c r="AI4219" s="46">
        <v>6.0460000000000003</v>
      </c>
      <c r="AJ4219" s="46">
        <v>79</v>
      </c>
      <c r="AK4219" s="46">
        <v>34200</v>
      </c>
      <c r="AL4219" s="46">
        <v>215887.96800000002</v>
      </c>
      <c r="AM4219" s="46">
        <v>6.3129999999999997</v>
      </c>
      <c r="AN4219" s="46" t="s">
        <v>63</v>
      </c>
      <c r="AO4219" s="46">
        <v>5100</v>
      </c>
      <c r="AP4219" s="46">
        <v>21736.331999999999</v>
      </c>
      <c r="AQ4219" s="46">
        <v>4.2619999999999996</v>
      </c>
      <c r="AR4219" s="46">
        <v>9131.4</v>
      </c>
      <c r="AS4219" s="46">
        <v>75</v>
      </c>
      <c r="AT4219" s="46">
        <v>40800</v>
      </c>
      <c r="AU4219" s="46">
        <v>245400.19999999981</v>
      </c>
      <c r="AV4219" s="46">
        <v>6.0149999999999997</v>
      </c>
      <c r="AW4219" s="46">
        <v>82</v>
      </c>
      <c r="AX4219" s="46">
        <v>35400</v>
      </c>
      <c r="AY4219" s="46">
        <v>222577.53599999999</v>
      </c>
      <c r="AZ4219" s="46">
        <v>6.2880000000000003</v>
      </c>
      <c r="BA4219" s="46" t="s">
        <v>63</v>
      </c>
      <c r="BB4219" s="46">
        <v>5400</v>
      </c>
      <c r="BC4219" s="46">
        <v>22822.664000000001</v>
      </c>
      <c r="BD4219" s="46">
        <v>4.226</v>
      </c>
      <c r="BE4219" s="46">
        <v>9664.2000000000007</v>
      </c>
      <c r="BF4219" s="46">
        <v>7775.8999999999942</v>
      </c>
      <c r="BG4219" s="46">
        <v>5.18</v>
      </c>
      <c r="BH4219" s="46">
        <v>6689.5679999999702</v>
      </c>
      <c r="BI4219">
        <v>5.57</v>
      </c>
      <c r="BJ4219">
        <v>1086.3320000000022</v>
      </c>
      <c r="BK4219">
        <v>3.62</v>
      </c>
      <c r="BL4219">
        <v>1694.14</v>
      </c>
    </row>
    <row r="4220" spans="1:64" x14ac:dyDescent="0.25">
      <c r="A4220" s="136">
        <v>44061</v>
      </c>
      <c r="B4220" t="s">
        <v>835</v>
      </c>
      <c r="C4220" t="s">
        <v>839</v>
      </c>
      <c r="I4220">
        <v>20258.09</v>
      </c>
      <c r="K4220" s="133">
        <v>3.5034763521152763E-2</v>
      </c>
      <c r="L4220" s="181">
        <v>0</v>
      </c>
      <c r="M4220" s="133">
        <v>0.2594703043305131</v>
      </c>
    </row>
    <row r="4221" spans="1:64" x14ac:dyDescent="0.25">
      <c r="A4221" s="136">
        <v>44071</v>
      </c>
      <c r="B4221" t="s">
        <v>132</v>
      </c>
      <c r="C4221" t="s">
        <v>123</v>
      </c>
      <c r="D4221">
        <v>12508967</v>
      </c>
      <c r="E4221">
        <v>12508967</v>
      </c>
      <c r="F4221">
        <v>0.01</v>
      </c>
      <c r="G4221">
        <v>264.55</v>
      </c>
      <c r="H4221">
        <v>0</v>
      </c>
      <c r="I4221">
        <v>125089.67</v>
      </c>
      <c r="J4221">
        <v>0.01</v>
      </c>
      <c r="K4221" s="133">
        <v>0.22078005581837201</v>
      </c>
      <c r="L4221" s="181">
        <v>56.610000000000014</v>
      </c>
      <c r="M4221" s="133">
        <v>0</v>
      </c>
    </row>
    <row r="4222" spans="1:64" x14ac:dyDescent="0.25">
      <c r="A4222" s="136">
        <v>44071</v>
      </c>
      <c r="B4222" t="s">
        <v>61</v>
      </c>
      <c r="C4222" t="s">
        <v>136</v>
      </c>
      <c r="D4222">
        <v>4000</v>
      </c>
      <c r="E4222">
        <v>4000</v>
      </c>
      <c r="F4222">
        <v>4.2080000000000002</v>
      </c>
      <c r="G4222">
        <v>-2593.19</v>
      </c>
      <c r="H4222">
        <v>-15.41</v>
      </c>
      <c r="I4222">
        <v>14240</v>
      </c>
      <c r="J4222">
        <v>3.56</v>
      </c>
      <c r="K4222" s="133">
        <v>2.5133234381812801E-2</v>
      </c>
      <c r="L4222" s="181">
        <v>-280</v>
      </c>
      <c r="M4222" s="133">
        <v>2.9710148150532825E-2</v>
      </c>
      <c r="N4222" s="73">
        <v>-2273.3950000000041</v>
      </c>
      <c r="O4222" s="73">
        <v>-624.24678640110005</v>
      </c>
      <c r="P4222" s="182">
        <v>3</v>
      </c>
      <c r="Q4222" s="182">
        <v>1500</v>
      </c>
      <c r="R4222" s="46">
        <v>4.2329999999999997</v>
      </c>
      <c r="S4222" s="46">
        <v>1</v>
      </c>
      <c r="T4222" s="46">
        <v>400</v>
      </c>
      <c r="U4222" s="46">
        <v>3.64</v>
      </c>
      <c r="V4222" s="46" t="s">
        <v>62</v>
      </c>
      <c r="W4222" s="46">
        <v>1100</v>
      </c>
      <c r="X4222" s="46">
        <v>4.4489999999999998</v>
      </c>
      <c r="AF4222" s="46">
        <v>33</v>
      </c>
      <c r="AG4222" s="46">
        <v>16400</v>
      </c>
      <c r="AH4222" s="46">
        <v>74730.840000000026</v>
      </c>
      <c r="AI4222" s="46">
        <v>4.5570000000000004</v>
      </c>
      <c r="AJ4222" s="46">
        <v>31</v>
      </c>
      <c r="AK4222" s="46">
        <v>13500</v>
      </c>
      <c r="AL4222" s="46">
        <v>62814.040999999983</v>
      </c>
      <c r="AM4222" s="46">
        <v>4.6529999999999996</v>
      </c>
      <c r="AN4222" s="46" t="s">
        <v>63</v>
      </c>
      <c r="AO4222" s="46">
        <v>2900</v>
      </c>
      <c r="AP4222" s="46">
        <v>11916.799000000001</v>
      </c>
      <c r="AQ4222" s="46">
        <v>4.109</v>
      </c>
      <c r="AR4222" s="46">
        <v>1296</v>
      </c>
      <c r="AS4222" s="46">
        <v>36</v>
      </c>
      <c r="AT4222" s="46">
        <v>17900</v>
      </c>
      <c r="AU4222" s="46">
        <v>81096.740000000034</v>
      </c>
      <c r="AV4222" s="46">
        <v>4.5309999999999997</v>
      </c>
      <c r="AW4222" s="46">
        <v>32</v>
      </c>
      <c r="AX4222" s="46">
        <v>13900</v>
      </c>
      <c r="AY4222" s="46">
        <v>64263.344999999987</v>
      </c>
      <c r="AZ4222" s="46">
        <v>4.6230000000000002</v>
      </c>
      <c r="BA4222" s="46" t="s">
        <v>63</v>
      </c>
      <c r="BB4222" s="46">
        <v>4000</v>
      </c>
      <c r="BC4222" s="46">
        <v>16833.395</v>
      </c>
      <c r="BD4222" s="46">
        <v>4.2080000000000002</v>
      </c>
      <c r="BE4222" s="46">
        <v>1278.8</v>
      </c>
      <c r="BF4222" s="46">
        <v>6365.9000000000087</v>
      </c>
      <c r="BG4222" s="46">
        <v>4.24</v>
      </c>
      <c r="BH4222" s="46">
        <v>1449.3040000000037</v>
      </c>
      <c r="BI4222">
        <v>3.62</v>
      </c>
      <c r="BJ4222">
        <v>4916.5959999999995</v>
      </c>
      <c r="BK4222">
        <v>4.47</v>
      </c>
      <c r="BL4222">
        <v>364.04</v>
      </c>
    </row>
    <row r="4223" spans="1:64" x14ac:dyDescent="0.25">
      <c r="A4223" s="136">
        <v>44071</v>
      </c>
      <c r="B4223" t="s">
        <v>124</v>
      </c>
      <c r="C4223" t="s">
        <v>125</v>
      </c>
      <c r="D4223">
        <v>100</v>
      </c>
      <c r="E4223">
        <v>100</v>
      </c>
      <c r="F4223">
        <v>0.73699999999999999</v>
      </c>
      <c r="G4223">
        <v>426.28</v>
      </c>
      <c r="H4223">
        <v>578.4</v>
      </c>
      <c r="I4223">
        <v>500</v>
      </c>
      <c r="J4223">
        <v>5</v>
      </c>
      <c r="K4223" s="133">
        <v>8.8248716228275282E-4</v>
      </c>
      <c r="L4223" s="181">
        <v>-5</v>
      </c>
      <c r="M4223" s="133">
        <v>1.3011390720696914E-4</v>
      </c>
      <c r="N4223" s="73">
        <v>5623.0690000000113</v>
      </c>
      <c r="O4223" s="73">
        <v>1111.8087987827732</v>
      </c>
      <c r="P4223" s="182">
        <v>0</v>
      </c>
      <c r="Q4223" s="182">
        <v>0</v>
      </c>
      <c r="R4223" s="46">
        <v>0</v>
      </c>
      <c r="S4223" s="46">
        <v>5</v>
      </c>
      <c r="T4223" s="46">
        <v>2300</v>
      </c>
      <c r="U4223" s="46">
        <v>4.99</v>
      </c>
      <c r="V4223" s="46" t="s">
        <v>68</v>
      </c>
      <c r="W4223" s="46">
        <v>2300</v>
      </c>
      <c r="X4223" s="46">
        <v>4.99</v>
      </c>
      <c r="AF4223" s="46">
        <v>50</v>
      </c>
      <c r="AG4223" s="46">
        <v>36700</v>
      </c>
      <c r="AH4223" s="46">
        <v>180101.02000000002</v>
      </c>
      <c r="AI4223" s="46">
        <v>4.907</v>
      </c>
      <c r="AJ4223" s="46">
        <v>58</v>
      </c>
      <c r="AK4223" s="46">
        <v>35300</v>
      </c>
      <c r="AL4223" s="46">
        <v>178266.546</v>
      </c>
      <c r="AM4223" s="46">
        <v>5.05</v>
      </c>
      <c r="AN4223" s="46" t="s">
        <v>63</v>
      </c>
      <c r="AO4223" s="46">
        <v>1400</v>
      </c>
      <c r="AP4223" s="46">
        <v>1834.4739999999999</v>
      </c>
      <c r="AQ4223" s="46">
        <v>1.31</v>
      </c>
      <c r="AR4223" s="46">
        <v>5047.8999999999996</v>
      </c>
      <c r="AS4223" s="46">
        <v>51</v>
      </c>
      <c r="AT4223" s="46">
        <v>37700</v>
      </c>
      <c r="AU4223" s="46">
        <v>185106.62</v>
      </c>
      <c r="AV4223" s="46">
        <v>4.91</v>
      </c>
      <c r="AW4223" s="46">
        <v>63</v>
      </c>
      <c r="AX4223" s="46">
        <v>37600</v>
      </c>
      <c r="AY4223" s="46">
        <v>189763.68900000001</v>
      </c>
      <c r="AZ4223" s="46">
        <v>5.0469999999999997</v>
      </c>
      <c r="BA4223" s="46" t="s">
        <v>63</v>
      </c>
      <c r="BB4223" s="46">
        <v>100</v>
      </c>
      <c r="BC4223" s="46">
        <v>4657.0690000000004</v>
      </c>
      <c r="BD4223" s="46">
        <v>46.570999999999998</v>
      </c>
      <c r="BE4223" s="46">
        <v>5151.2</v>
      </c>
      <c r="BF4223" s="46">
        <v>5005.5999999999767</v>
      </c>
      <c r="BH4223" s="46">
        <v>11497.143000000011</v>
      </c>
      <c r="BI4223">
        <v>5</v>
      </c>
      <c r="BJ4223">
        <v>2822.5950000000003</v>
      </c>
      <c r="BK4223">
        <v>1.23</v>
      </c>
      <c r="BL4223">
        <v>1009.58</v>
      </c>
    </row>
    <row r="4224" spans="1:64" x14ac:dyDescent="0.25">
      <c r="A4224" s="136">
        <v>44071</v>
      </c>
      <c r="B4224" t="s">
        <v>71</v>
      </c>
      <c r="C4224" t="s">
        <v>126</v>
      </c>
      <c r="D4224">
        <v>6200</v>
      </c>
      <c r="E4224">
        <v>6200</v>
      </c>
      <c r="F4224">
        <v>4.3259999999999996</v>
      </c>
      <c r="G4224">
        <v>5666.26</v>
      </c>
      <c r="H4224">
        <v>21.13</v>
      </c>
      <c r="I4224">
        <v>32488</v>
      </c>
      <c r="J4224">
        <v>5.24</v>
      </c>
      <c r="K4224" s="133">
        <v>5.7340485856484151E-2</v>
      </c>
      <c r="L4224" s="181">
        <v>-808.07999999999993</v>
      </c>
      <c r="M4224" s="133">
        <v>4.7339682440171602E-2</v>
      </c>
      <c r="N4224" s="73">
        <v>-26856.944000000003</v>
      </c>
      <c r="O4224" s="73">
        <v>1025.7019213872832</v>
      </c>
      <c r="P4224" s="182">
        <v>3</v>
      </c>
      <c r="Q4224" s="182">
        <v>2300</v>
      </c>
      <c r="R4224" s="46">
        <v>5.1959999999999997</v>
      </c>
      <c r="S4224" s="46">
        <v>3</v>
      </c>
      <c r="T4224" s="46">
        <v>1200</v>
      </c>
      <c r="U4224" s="46">
        <v>5.593</v>
      </c>
      <c r="V4224" s="46" t="s">
        <v>62</v>
      </c>
      <c r="W4224" s="46">
        <v>1100</v>
      </c>
      <c r="X4224" s="46">
        <v>4.7629999999999999</v>
      </c>
      <c r="AF4224" s="46">
        <v>74</v>
      </c>
      <c r="AG4224" s="46">
        <v>39300</v>
      </c>
      <c r="AH4224" s="46">
        <v>237624.29999999981</v>
      </c>
      <c r="AI4224" s="46">
        <v>6.0460000000000003</v>
      </c>
      <c r="AJ4224" s="46">
        <v>79</v>
      </c>
      <c r="AK4224" s="46">
        <v>34200</v>
      </c>
      <c r="AL4224" s="46">
        <v>215887.96800000002</v>
      </c>
      <c r="AM4224" s="46">
        <v>6.3129999999999997</v>
      </c>
      <c r="AN4224" s="46" t="s">
        <v>63</v>
      </c>
      <c r="AO4224" s="46">
        <v>5100</v>
      </c>
      <c r="AP4224" s="46">
        <v>21736.331999999999</v>
      </c>
      <c r="AQ4224" s="46">
        <v>4.2619999999999996</v>
      </c>
      <c r="AR4224" s="46">
        <v>9131.4</v>
      </c>
      <c r="AS4224" s="46">
        <v>77</v>
      </c>
      <c r="AT4224" s="46">
        <v>41600</v>
      </c>
      <c r="AU4224" s="46">
        <v>249590.67999999979</v>
      </c>
      <c r="AV4224" s="46">
        <v>6</v>
      </c>
      <c r="AW4224" s="46">
        <v>82</v>
      </c>
      <c r="AX4224" s="46">
        <v>35400</v>
      </c>
      <c r="AY4224" s="46">
        <v>222577.53599999999</v>
      </c>
      <c r="AZ4224" s="46">
        <v>6.2880000000000003</v>
      </c>
      <c r="BA4224" s="46" t="s">
        <v>63</v>
      </c>
      <c r="BB4224" s="46">
        <v>6200</v>
      </c>
      <c r="BC4224" s="46">
        <v>27013.144</v>
      </c>
      <c r="BD4224" s="46">
        <v>4.3570000000000002</v>
      </c>
      <c r="BE4224" s="46">
        <v>10195.200000000001</v>
      </c>
      <c r="BF4224" s="46">
        <v>11966.379999999976</v>
      </c>
      <c r="BG4224" s="46">
        <v>5.2</v>
      </c>
      <c r="BH4224" s="46">
        <v>6689.5679999999702</v>
      </c>
      <c r="BI4224">
        <v>5.57</v>
      </c>
      <c r="BJ4224">
        <v>5276.8120000000017</v>
      </c>
      <c r="BK4224">
        <v>4.8</v>
      </c>
      <c r="BL4224">
        <v>1742.63</v>
      </c>
    </row>
    <row r="4225" spans="1:64" x14ac:dyDescent="0.25">
      <c r="A4225" s="136">
        <v>44071</v>
      </c>
      <c r="B4225" t="s">
        <v>79</v>
      </c>
      <c r="C4225" t="s">
        <v>143</v>
      </c>
      <c r="D4225">
        <v>11000</v>
      </c>
      <c r="E4225">
        <v>11000</v>
      </c>
      <c r="F4225">
        <v>9.4529999999999994</v>
      </c>
      <c r="G4225">
        <v>-21480.07</v>
      </c>
      <c r="H4225">
        <v>-20.66</v>
      </c>
      <c r="I4225">
        <v>82500</v>
      </c>
      <c r="J4225">
        <v>7.5</v>
      </c>
      <c r="K4225" s="133">
        <v>0.14561038177665422</v>
      </c>
      <c r="L4225" s="181">
        <v>-2750.2999999999993</v>
      </c>
      <c r="M4225" s="133">
        <v>0.18352215381652401</v>
      </c>
      <c r="N4225" s="73">
        <v>-22180.859400000481</v>
      </c>
      <c r="O4225" s="73">
        <v>-2979.8076572984519</v>
      </c>
      <c r="P4225" s="182">
        <v>5</v>
      </c>
      <c r="Q4225" s="182">
        <v>6420</v>
      </c>
      <c r="R4225" s="46">
        <v>4.141</v>
      </c>
      <c r="S4225" s="46">
        <v>2</v>
      </c>
      <c r="T4225" s="46">
        <v>800</v>
      </c>
      <c r="U4225" s="46">
        <v>8.69</v>
      </c>
      <c r="V4225" s="46" t="s">
        <v>62</v>
      </c>
      <c r="W4225" s="46">
        <v>5620</v>
      </c>
      <c r="X4225" s="46">
        <v>3.4929999999999999</v>
      </c>
      <c r="AF4225" s="46">
        <v>101</v>
      </c>
      <c r="AG4225" s="46">
        <v>47500</v>
      </c>
      <c r="AH4225" s="46">
        <v>484371.49999999913</v>
      </c>
      <c r="AI4225" s="46">
        <v>10.196999999999999</v>
      </c>
      <c r="AJ4225" s="46">
        <v>98</v>
      </c>
      <c r="AK4225" s="46">
        <v>42120</v>
      </c>
      <c r="AL4225" s="46">
        <v>400029.92459999945</v>
      </c>
      <c r="AM4225" s="46">
        <v>9.4969999999999999</v>
      </c>
      <c r="AN4225" s="46" t="s">
        <v>63</v>
      </c>
      <c r="AO4225" s="46">
        <v>5380</v>
      </c>
      <c r="AP4225" s="46">
        <v>84341.574999999997</v>
      </c>
      <c r="AQ4225" s="46">
        <v>15.677</v>
      </c>
      <c r="AR4225" s="46">
        <v>-29484</v>
      </c>
      <c r="AS4225" s="46">
        <v>106</v>
      </c>
      <c r="AT4225" s="46">
        <v>53920</v>
      </c>
      <c r="AU4225" s="46">
        <v>510985.35199999902</v>
      </c>
      <c r="AV4225" s="46">
        <v>9.4770000000000003</v>
      </c>
      <c r="AW4225" s="46">
        <v>100</v>
      </c>
      <c r="AX4225" s="46">
        <v>42920</v>
      </c>
      <c r="AY4225" s="46">
        <v>406964.49259999947</v>
      </c>
      <c r="AZ4225" s="46">
        <v>9.4819999999999993</v>
      </c>
      <c r="BA4225" s="46" t="s">
        <v>63</v>
      </c>
      <c r="BB4225" s="46">
        <v>11000</v>
      </c>
      <c r="BC4225" s="46">
        <v>104020.859</v>
      </c>
      <c r="BD4225" s="46">
        <v>9.4559999999999995</v>
      </c>
      <c r="BE4225" s="46">
        <v>214.6</v>
      </c>
      <c r="BF4225" s="46">
        <v>26613.851999999897</v>
      </c>
      <c r="BG4225" s="46">
        <v>4.1500000000000004</v>
      </c>
      <c r="BH4225" s="46">
        <v>6934.5680000000284</v>
      </c>
      <c r="BI4225">
        <v>8.67</v>
      </c>
      <c r="BJ4225">
        <v>19679.284</v>
      </c>
      <c r="BK4225">
        <v>3.5</v>
      </c>
      <c r="BL4225">
        <v>-3931.2</v>
      </c>
    </row>
    <row r="4226" spans="1:64" x14ac:dyDescent="0.25">
      <c r="A4226" s="136">
        <v>44071</v>
      </c>
      <c r="B4226" t="s">
        <v>749</v>
      </c>
      <c r="C4226" t="s">
        <v>750</v>
      </c>
      <c r="D4226">
        <v>500</v>
      </c>
      <c r="E4226">
        <v>500</v>
      </c>
      <c r="F4226">
        <v>5.65</v>
      </c>
      <c r="G4226">
        <v>275</v>
      </c>
      <c r="H4226">
        <v>9.73</v>
      </c>
      <c r="I4226">
        <v>3100</v>
      </c>
      <c r="J4226">
        <v>6.2</v>
      </c>
      <c r="K4226" s="133">
        <v>5.4714204061530681E-3</v>
      </c>
      <c r="L4226" s="181">
        <v>-40</v>
      </c>
      <c r="M4226" s="133">
        <v>4.986052466897554E-3</v>
      </c>
    </row>
    <row r="4227" spans="1:64" x14ac:dyDescent="0.25">
      <c r="A4227" s="136">
        <v>44071</v>
      </c>
      <c r="B4227" t="s">
        <v>776</v>
      </c>
      <c r="C4227" t="s">
        <v>777</v>
      </c>
      <c r="D4227">
        <v>1</v>
      </c>
      <c r="E4227">
        <v>1</v>
      </c>
      <c r="F4227">
        <v>-137.5</v>
      </c>
      <c r="G4227">
        <v>217.21</v>
      </c>
      <c r="H4227">
        <v>0</v>
      </c>
      <c r="I4227">
        <v>79.709999999999994</v>
      </c>
      <c r="J4227">
        <v>79.709999999999994</v>
      </c>
      <c r="K4227" s="133">
        <v>1.4068610341111645E-4</v>
      </c>
      <c r="L4227" s="181">
        <v>5.5100000000000193</v>
      </c>
      <c r="M4227" s="133">
        <v>0</v>
      </c>
    </row>
    <row r="4228" spans="1:64" x14ac:dyDescent="0.25">
      <c r="A4228" s="136">
        <v>44071</v>
      </c>
      <c r="B4228" t="s">
        <v>65</v>
      </c>
      <c r="C4228" t="s">
        <v>127</v>
      </c>
      <c r="D4228">
        <v>26600</v>
      </c>
      <c r="E4228">
        <v>26600</v>
      </c>
      <c r="F4228">
        <v>8.1690000000000005</v>
      </c>
      <c r="G4228">
        <v>-32969.51</v>
      </c>
      <c r="H4228">
        <v>-15.17</v>
      </c>
      <c r="I4228">
        <v>184338</v>
      </c>
      <c r="J4228">
        <v>6.93</v>
      </c>
      <c r="K4228" s="133">
        <v>0.32535183704175619</v>
      </c>
      <c r="L4228" s="181">
        <v>-1986.0000000000036</v>
      </c>
      <c r="M4228" s="133">
        <v>0.38354217568526189</v>
      </c>
      <c r="N4228" s="73">
        <v>-39633.430000000139</v>
      </c>
      <c r="O4228" s="73">
        <v>-5165.8187955775265</v>
      </c>
      <c r="P4228" s="182">
        <v>2</v>
      </c>
      <c r="Q4228" s="182">
        <v>900</v>
      </c>
      <c r="R4228" s="46">
        <v>6.8760000000000003</v>
      </c>
      <c r="S4228" s="46">
        <v>1</v>
      </c>
      <c r="T4228" s="46">
        <v>4500</v>
      </c>
      <c r="U4228" s="46">
        <v>7.48</v>
      </c>
      <c r="V4228" s="46" t="s">
        <v>68</v>
      </c>
      <c r="W4228" s="46">
        <v>3600</v>
      </c>
      <c r="X4228" s="46">
        <v>7.6310000000000002</v>
      </c>
      <c r="AF4228" s="46">
        <v>309</v>
      </c>
      <c r="AG4228" s="46">
        <v>164600</v>
      </c>
      <c r="AH4228" s="46">
        <v>1636285.6810000001</v>
      </c>
      <c r="AI4228" s="46">
        <v>9.9410000000000007</v>
      </c>
      <c r="AJ4228" s="46">
        <v>340</v>
      </c>
      <c r="AK4228" s="46">
        <v>143700</v>
      </c>
      <c r="AL4228" s="46">
        <v>1374935.6519999998</v>
      </c>
      <c r="AM4228" s="46">
        <v>9.5679999999999996</v>
      </c>
      <c r="AN4228" s="46" t="s">
        <v>63</v>
      </c>
      <c r="AO4228" s="46">
        <v>20900</v>
      </c>
      <c r="AP4228" s="46">
        <v>261350.02900000001</v>
      </c>
      <c r="AQ4228" s="46">
        <v>12.505000000000001</v>
      </c>
      <c r="AR4228" s="46">
        <v>-53600.1</v>
      </c>
      <c r="AS4228" s="46">
        <v>315</v>
      </c>
      <c r="AT4228" s="46">
        <v>167300</v>
      </c>
      <c r="AU4228" s="46">
        <v>1655045.6810000001</v>
      </c>
      <c r="AV4228" s="46">
        <v>9.8930000000000007</v>
      </c>
      <c r="AW4228" s="46">
        <v>345</v>
      </c>
      <c r="AX4228" s="46">
        <v>149800</v>
      </c>
      <c r="AY4228" s="46">
        <v>1421612.4849999999</v>
      </c>
      <c r="AZ4228" s="46">
        <v>9.49</v>
      </c>
      <c r="BA4228" s="46" t="s">
        <v>63</v>
      </c>
      <c r="BB4228" s="46">
        <v>17500</v>
      </c>
      <c r="BC4228" s="46">
        <v>233433.196</v>
      </c>
      <c r="BD4228" s="46">
        <v>13.339</v>
      </c>
      <c r="BE4228" s="46">
        <v>-60369.4</v>
      </c>
      <c r="BF4228" s="46">
        <v>18760</v>
      </c>
      <c r="BG4228" s="46">
        <v>20.84</v>
      </c>
      <c r="BH4228" s="46">
        <v>46676.833000000101</v>
      </c>
      <c r="BI4228">
        <v>10.37</v>
      </c>
      <c r="BJ4228">
        <v>-27916.833000000013</v>
      </c>
      <c r="BK4228">
        <v>-7.75</v>
      </c>
      <c r="BL4228">
        <v>-7734.5</v>
      </c>
    </row>
    <row r="4229" spans="1:64" x14ac:dyDescent="0.25">
      <c r="A4229" s="136">
        <v>44071</v>
      </c>
      <c r="B4229" t="s">
        <v>77</v>
      </c>
      <c r="C4229" t="s">
        <v>150</v>
      </c>
      <c r="D4229">
        <v>6700</v>
      </c>
      <c r="E4229">
        <v>6700</v>
      </c>
      <c r="F4229">
        <v>5.0060000000000002</v>
      </c>
      <c r="G4229">
        <v>-13974.99</v>
      </c>
      <c r="H4229">
        <v>-41.67</v>
      </c>
      <c r="I4229">
        <v>19564</v>
      </c>
      <c r="J4229">
        <v>2.92</v>
      </c>
      <c r="K4229" s="133">
        <v>3.4529957685799556E-2</v>
      </c>
      <c r="L4229" s="181">
        <v>-737</v>
      </c>
      <c r="M4229" s="133">
        <v>5.9195456221859247E-2</v>
      </c>
      <c r="N4229" s="73">
        <v>-12938.943999999981</v>
      </c>
      <c r="O4229" s="73">
        <v>-3946.8966755555498</v>
      </c>
      <c r="P4229" s="182">
        <v>8</v>
      </c>
      <c r="Q4229" s="182">
        <v>3900</v>
      </c>
      <c r="R4229" s="46">
        <v>3.8889999999999998</v>
      </c>
      <c r="S4229" s="46">
        <v>1</v>
      </c>
      <c r="T4229" s="46">
        <v>1000</v>
      </c>
      <c r="U4229" s="46">
        <v>3.47</v>
      </c>
      <c r="V4229" s="46" t="s">
        <v>62</v>
      </c>
      <c r="W4229" s="46">
        <v>2900</v>
      </c>
      <c r="X4229" s="46">
        <v>4.0330000000000004</v>
      </c>
      <c r="AF4229" s="46">
        <v>69</v>
      </c>
      <c r="AG4229" s="46">
        <v>34000</v>
      </c>
      <c r="AH4229" s="46">
        <v>206030</v>
      </c>
      <c r="AI4229" s="46">
        <v>6.06</v>
      </c>
      <c r="AJ4229" s="46">
        <v>69</v>
      </c>
      <c r="AK4229" s="46">
        <v>30200</v>
      </c>
      <c r="AL4229" s="46">
        <v>183944.52600000007</v>
      </c>
      <c r="AM4229" s="46">
        <v>6.0910000000000002</v>
      </c>
      <c r="AN4229" s="46" t="s">
        <v>63</v>
      </c>
      <c r="AO4229" s="46">
        <v>3800</v>
      </c>
      <c r="AP4229" s="46">
        <v>22085.473999999998</v>
      </c>
      <c r="AQ4229" s="46">
        <v>5.8120000000000003</v>
      </c>
      <c r="AR4229" s="46">
        <v>936.2</v>
      </c>
      <c r="AS4229" s="46">
        <v>77</v>
      </c>
      <c r="AT4229" s="46">
        <v>37900</v>
      </c>
      <c r="AU4229" s="46">
        <v>220950</v>
      </c>
      <c r="AV4229" s="46">
        <v>5.83</v>
      </c>
      <c r="AW4229" s="46">
        <v>70</v>
      </c>
      <c r="AX4229" s="46">
        <v>31200</v>
      </c>
      <c r="AY4229" s="46">
        <v>187406.05600000007</v>
      </c>
      <c r="AZ4229" s="46">
        <v>6.0069999999999997</v>
      </c>
      <c r="BA4229" s="46" t="s">
        <v>63</v>
      </c>
      <c r="BB4229" s="46">
        <v>6700</v>
      </c>
      <c r="BC4229" s="46">
        <v>33543.944000000003</v>
      </c>
      <c r="BD4229" s="46">
        <v>5.0069999999999997</v>
      </c>
      <c r="BE4229" s="46">
        <v>5522.4</v>
      </c>
      <c r="BF4229" s="46">
        <v>14920</v>
      </c>
      <c r="BG4229" s="46">
        <v>3.83</v>
      </c>
      <c r="BH4229" s="46">
        <v>3461.5299999999988</v>
      </c>
      <c r="BI4229">
        <v>3.46</v>
      </c>
      <c r="BJ4229">
        <v>11458.470000000005</v>
      </c>
      <c r="BK4229">
        <v>3.95</v>
      </c>
      <c r="BL4229">
        <v>320.62</v>
      </c>
    </row>
    <row r="4230" spans="1:64" x14ac:dyDescent="0.25">
      <c r="A4230" s="136">
        <v>44071</v>
      </c>
      <c r="B4230" t="s">
        <v>72</v>
      </c>
      <c r="C4230" t="s">
        <v>130</v>
      </c>
      <c r="D4230">
        <v>100</v>
      </c>
      <c r="E4230">
        <v>100</v>
      </c>
      <c r="F4230">
        <v>1.53</v>
      </c>
      <c r="G4230">
        <v>397</v>
      </c>
      <c r="H4230">
        <v>259.48</v>
      </c>
      <c r="I4230">
        <v>550</v>
      </c>
      <c r="J4230">
        <v>5.5</v>
      </c>
      <c r="K4230" s="133">
        <v>9.7073587851102816E-4</v>
      </c>
      <c r="L4230" s="181">
        <v>-20</v>
      </c>
      <c r="M4230" s="133">
        <v>2.7004107165852238E-4</v>
      </c>
      <c r="N4230" s="73">
        <v>-1498.9659999999872</v>
      </c>
      <c r="O4230" s="73">
        <v>376.42007904191922</v>
      </c>
      <c r="P4230" s="182">
        <v>0</v>
      </c>
      <c r="Q4230" s="182">
        <v>0</v>
      </c>
      <c r="R4230" s="46">
        <v>0</v>
      </c>
      <c r="S4230" s="46">
        <v>20</v>
      </c>
      <c r="T4230" s="46">
        <v>8600</v>
      </c>
      <c r="U4230" s="46">
        <v>7.3840000000000003</v>
      </c>
      <c r="V4230" s="46" t="s">
        <v>68</v>
      </c>
      <c r="W4230" s="46">
        <v>8600</v>
      </c>
      <c r="X4230" s="46">
        <v>7.3840000000000003</v>
      </c>
      <c r="AF4230" s="46">
        <v>42</v>
      </c>
      <c r="AG4230" s="46">
        <v>20900</v>
      </c>
      <c r="AH4230" s="46">
        <v>152800</v>
      </c>
      <c r="AI4230" s="46">
        <v>7.3109999999999999</v>
      </c>
      <c r="AJ4230" s="46">
        <v>42</v>
      </c>
      <c r="AK4230" s="46">
        <v>18800</v>
      </c>
      <c r="AL4230" s="46">
        <v>92037.725000000035</v>
      </c>
      <c r="AM4230" s="46">
        <v>4.8959999999999999</v>
      </c>
      <c r="AN4230" s="46" t="s">
        <v>63</v>
      </c>
      <c r="AO4230" s="46">
        <v>2100</v>
      </c>
      <c r="AP4230" s="46">
        <v>60762.275000000001</v>
      </c>
      <c r="AQ4230" s="46">
        <v>28.934000000000001</v>
      </c>
      <c r="AR4230" s="46">
        <v>-45402</v>
      </c>
      <c r="AS4230" s="46">
        <v>42</v>
      </c>
      <c r="AT4230" s="46">
        <v>20900</v>
      </c>
      <c r="AU4230" s="46">
        <v>152800</v>
      </c>
      <c r="AV4230" s="46">
        <v>7.3109999999999999</v>
      </c>
      <c r="AW4230" s="46">
        <v>63</v>
      </c>
      <c r="AX4230" s="46">
        <v>27900</v>
      </c>
      <c r="AY4230" s="46">
        <v>155380.21900000001</v>
      </c>
      <c r="AZ4230" s="46">
        <v>5.569</v>
      </c>
      <c r="BA4230" s="46" t="s">
        <v>69</v>
      </c>
      <c r="BB4230" s="46">
        <v>7000</v>
      </c>
      <c r="BC4230" s="46">
        <v>2580.2190000000001</v>
      </c>
      <c r="BD4230" s="46">
        <v>0.36899999999999999</v>
      </c>
      <c r="BE4230" s="46">
        <v>-36407.800000000003</v>
      </c>
      <c r="BF4230" s="46">
        <v>0</v>
      </c>
      <c r="BH4230" s="46">
        <v>63342.493999999977</v>
      </c>
      <c r="BI4230">
        <v>7.37</v>
      </c>
      <c r="BJ4230">
        <v>-58182.056000000004</v>
      </c>
      <c r="BK4230">
        <v>-6.77</v>
      </c>
      <c r="BL4230">
        <v>-8254.91</v>
      </c>
    </row>
    <row r="4231" spans="1:64" x14ac:dyDescent="0.25">
      <c r="A4231" s="136">
        <v>44071</v>
      </c>
      <c r="B4231" t="s">
        <v>70</v>
      </c>
      <c r="C4231" t="s">
        <v>131</v>
      </c>
      <c r="D4231">
        <v>10880</v>
      </c>
      <c r="E4231">
        <v>10880</v>
      </c>
      <c r="F4231">
        <v>8.3239999999999998</v>
      </c>
      <c r="G4231">
        <v>-5923.97</v>
      </c>
      <c r="H4231">
        <v>-6.54</v>
      </c>
      <c r="I4231">
        <v>84646.399999999994</v>
      </c>
      <c r="J4231">
        <v>7.78</v>
      </c>
      <c r="K4231" s="133">
        <v>0.1493987226669016</v>
      </c>
      <c r="L4231" s="181">
        <v>-4373.51</v>
      </c>
      <c r="M4231" s="133">
        <v>0.15985437761639792</v>
      </c>
      <c r="N4231" s="73">
        <v>-5931.8689999999915</v>
      </c>
      <c r="O4231" s="73">
        <v>-762.06980276349509</v>
      </c>
      <c r="P4231" s="182">
        <v>0</v>
      </c>
      <c r="Q4231" s="182">
        <v>0</v>
      </c>
      <c r="R4231" s="46">
        <v>0</v>
      </c>
      <c r="S4231" s="46">
        <v>15</v>
      </c>
      <c r="T4231" s="46">
        <v>7600</v>
      </c>
      <c r="U4231" s="46">
        <v>7.5039999999999996</v>
      </c>
      <c r="V4231" s="46" t="s">
        <v>68</v>
      </c>
      <c r="W4231" s="46">
        <v>7600</v>
      </c>
      <c r="X4231" s="46">
        <v>7.5039999999999996</v>
      </c>
      <c r="AF4231" s="46">
        <v>236</v>
      </c>
      <c r="AG4231" s="46">
        <v>116380</v>
      </c>
      <c r="AH4231" s="46">
        <v>1257160</v>
      </c>
      <c r="AI4231" s="46">
        <v>10.802</v>
      </c>
      <c r="AJ4231" s="46">
        <v>243</v>
      </c>
      <c r="AK4231" s="46">
        <v>97900</v>
      </c>
      <c r="AL4231" s="46">
        <v>1107485.7589999996</v>
      </c>
      <c r="AM4231" s="46">
        <v>11.311999999999999</v>
      </c>
      <c r="AN4231" s="46" t="s">
        <v>63</v>
      </c>
      <c r="AO4231" s="46">
        <v>18480</v>
      </c>
      <c r="AP4231" s="46">
        <v>149674.24100000001</v>
      </c>
      <c r="AQ4231" s="46">
        <v>8.0990000000000002</v>
      </c>
      <c r="AR4231" s="46">
        <v>49929</v>
      </c>
      <c r="AS4231" s="46">
        <v>236</v>
      </c>
      <c r="AT4231" s="46">
        <v>116380</v>
      </c>
      <c r="AU4231" s="46">
        <v>1257160</v>
      </c>
      <c r="AV4231" s="46">
        <v>10.802</v>
      </c>
      <c r="AW4231" s="46">
        <v>259</v>
      </c>
      <c r="AX4231" s="46">
        <v>105500</v>
      </c>
      <c r="AY4231" s="46">
        <v>1164811.7309999997</v>
      </c>
      <c r="AZ4231" s="46">
        <v>11.041</v>
      </c>
      <c r="BA4231" s="46" t="s">
        <v>63</v>
      </c>
      <c r="BB4231" s="46">
        <v>10880</v>
      </c>
      <c r="BC4231" s="46">
        <v>92348.269</v>
      </c>
      <c r="BD4231" s="46">
        <v>8.4879999999999995</v>
      </c>
      <c r="BE4231" s="46">
        <v>25214.5</v>
      </c>
      <c r="BF4231" s="46">
        <v>0</v>
      </c>
      <c r="BH4231" s="46">
        <v>57325.972000000067</v>
      </c>
      <c r="BI4231">
        <v>7.54</v>
      </c>
      <c r="BJ4231">
        <v>-57325.972000000009</v>
      </c>
      <c r="BK4231">
        <v>-7.54</v>
      </c>
      <c r="BL4231">
        <v>6417.61</v>
      </c>
    </row>
    <row r="4232" spans="1:64" x14ac:dyDescent="0.25">
      <c r="A4232" s="136">
        <v>44071</v>
      </c>
      <c r="B4232" t="s">
        <v>628</v>
      </c>
      <c r="C4232" t="s">
        <v>629</v>
      </c>
      <c r="D4232">
        <v>100</v>
      </c>
      <c r="E4232">
        <v>100</v>
      </c>
      <c r="F4232">
        <v>0.95</v>
      </c>
      <c r="G4232">
        <v>1452</v>
      </c>
      <c r="H4232">
        <v>1528.42</v>
      </c>
      <c r="I4232">
        <v>1547</v>
      </c>
      <c r="J4232">
        <v>15.47</v>
      </c>
      <c r="K4232" s="133">
        <v>2.7304152801028376E-3</v>
      </c>
      <c r="L4232" s="181">
        <v>-77</v>
      </c>
      <c r="M4232" s="133">
        <v>1.6767256083372305E-4</v>
      </c>
    </row>
    <row r="4233" spans="1:64" x14ac:dyDescent="0.25">
      <c r="A4233" s="136">
        <v>44071</v>
      </c>
      <c r="B4233" t="s">
        <v>768</v>
      </c>
      <c r="C4233" t="s">
        <v>769</v>
      </c>
      <c r="D4233">
        <v>500</v>
      </c>
      <c r="E4233">
        <v>500</v>
      </c>
      <c r="F4233">
        <v>2.4140000000000001</v>
      </c>
      <c r="G4233">
        <v>303</v>
      </c>
      <c r="H4233">
        <v>25.1</v>
      </c>
      <c r="I4233">
        <v>1510</v>
      </c>
      <c r="J4233">
        <v>3.02</v>
      </c>
      <c r="K4233" s="133">
        <v>2.6651112300939135E-3</v>
      </c>
      <c r="L4233" s="181">
        <v>-35</v>
      </c>
      <c r="M4233" s="133">
        <v>2.1303240097505652E-3</v>
      </c>
    </row>
    <row r="4234" spans="1:64" x14ac:dyDescent="0.25">
      <c r="A4234" s="136">
        <v>44071</v>
      </c>
      <c r="B4234" t="s">
        <v>895</v>
      </c>
      <c r="C4234" t="s">
        <v>896</v>
      </c>
      <c r="D4234">
        <v>0</v>
      </c>
      <c r="E4234">
        <v>0</v>
      </c>
      <c r="F4234">
        <v>100</v>
      </c>
      <c r="G4234">
        <v>0</v>
      </c>
      <c r="H4234">
        <v>0</v>
      </c>
      <c r="I4234">
        <v>0</v>
      </c>
      <c r="J4234">
        <v>100</v>
      </c>
      <c r="K4234" s="133">
        <v>0</v>
      </c>
      <c r="M4234" s="133">
        <v>0</v>
      </c>
    </row>
    <row r="4235" spans="1:64" x14ac:dyDescent="0.25">
      <c r="A4235" s="136">
        <v>44071</v>
      </c>
      <c r="B4235" t="s">
        <v>137</v>
      </c>
      <c r="C4235" t="s">
        <v>149</v>
      </c>
      <c r="D4235">
        <v>150</v>
      </c>
      <c r="E4235">
        <v>150</v>
      </c>
      <c r="F4235">
        <v>1</v>
      </c>
      <c r="G4235">
        <v>6304.5</v>
      </c>
      <c r="H4235">
        <v>4203</v>
      </c>
      <c r="I4235">
        <v>6454.5</v>
      </c>
      <c r="J4235">
        <v>43.03</v>
      </c>
      <c r="K4235" s="133">
        <v>1.1392026777908057E-2</v>
      </c>
      <c r="L4235" s="181">
        <v>414</v>
      </c>
      <c r="M4235" s="133">
        <v>2.6474614868482585E-4</v>
      </c>
    </row>
    <row r="4236" spans="1:64" x14ac:dyDescent="0.25">
      <c r="A4236" s="136">
        <v>44071</v>
      </c>
      <c r="B4236" t="s">
        <v>835</v>
      </c>
      <c r="C4236" t="s">
        <v>839</v>
      </c>
      <c r="I4236">
        <v>9973.2000000000007</v>
      </c>
      <c r="K4236" s="133">
        <v>1.7602441933756704E-2</v>
      </c>
      <c r="L4236" s="181">
        <v>0</v>
      </c>
      <c r="M4236" s="133">
        <v>0.22078005581837201</v>
      </c>
    </row>
    <row r="4237" spans="1:64" x14ac:dyDescent="0.25">
      <c r="A4237" s="136">
        <v>44084</v>
      </c>
      <c r="B4237" t="s">
        <v>132</v>
      </c>
      <c r="C4237" t="s">
        <v>123</v>
      </c>
      <c r="D4237">
        <v>503</v>
      </c>
      <c r="E4237">
        <v>503</v>
      </c>
      <c r="F4237">
        <v>-0.59299999999999997</v>
      </c>
      <c r="G4237">
        <v>303.52999999999997</v>
      </c>
      <c r="H4237">
        <v>0</v>
      </c>
      <c r="I4237">
        <v>5.03</v>
      </c>
      <c r="J4237">
        <v>0.01</v>
      </c>
      <c r="K4237" s="133">
        <v>1.1073324095876847E-5</v>
      </c>
      <c r="L4237" s="181">
        <v>38.979999999999961</v>
      </c>
      <c r="M4237" s="133">
        <v>0</v>
      </c>
    </row>
    <row r="4238" spans="1:64" x14ac:dyDescent="0.25">
      <c r="A4238" s="136">
        <v>44084</v>
      </c>
      <c r="B4238" t="s">
        <v>61</v>
      </c>
      <c r="C4238" t="s">
        <v>136</v>
      </c>
      <c r="D4238">
        <v>4500</v>
      </c>
      <c r="E4238">
        <v>4500</v>
      </c>
      <c r="F4238">
        <v>4.1360000000000001</v>
      </c>
      <c r="G4238">
        <v>-2818.23</v>
      </c>
      <c r="H4238">
        <v>-15.14</v>
      </c>
      <c r="I4238">
        <v>15795</v>
      </c>
      <c r="J4238">
        <v>3.51</v>
      </c>
      <c r="K4238" s="133">
        <v>3.4771998825919442E-2</v>
      </c>
      <c r="L4238" s="181">
        <v>-225.03999999999996</v>
      </c>
      <c r="M4238" s="133">
        <v>4.0976208401808704E-2</v>
      </c>
      <c r="N4238" s="73">
        <v>-2638.6950000000033</v>
      </c>
      <c r="O4238" s="73">
        <v>-742.9227190140856</v>
      </c>
      <c r="P4238" s="182">
        <v>3</v>
      </c>
      <c r="Q4238" s="182">
        <v>1500</v>
      </c>
      <c r="R4238" s="46">
        <v>4.2329999999999997</v>
      </c>
      <c r="S4238" s="46">
        <v>0</v>
      </c>
      <c r="T4238" s="46">
        <v>0</v>
      </c>
      <c r="U4238" s="46">
        <v>0</v>
      </c>
      <c r="V4238" s="46" t="s">
        <v>62</v>
      </c>
      <c r="W4238" s="46">
        <v>1500</v>
      </c>
      <c r="X4238" s="46">
        <v>4.2329999999999997</v>
      </c>
      <c r="AF4238" s="46">
        <v>34</v>
      </c>
      <c r="AG4238" s="46">
        <v>16900</v>
      </c>
      <c r="AH4238" s="46">
        <v>76511.140000000029</v>
      </c>
      <c r="AI4238" s="46">
        <v>4.5270000000000001</v>
      </c>
      <c r="AJ4238" s="46">
        <v>32</v>
      </c>
      <c r="AK4238" s="46">
        <v>13900</v>
      </c>
      <c r="AL4238" s="46">
        <v>64263.344999999987</v>
      </c>
      <c r="AM4238" s="46">
        <v>4.6230000000000002</v>
      </c>
      <c r="AN4238" s="46" t="s">
        <v>63</v>
      </c>
      <c r="AO4238" s="46">
        <v>3000</v>
      </c>
      <c r="AP4238" s="46">
        <v>12247.795</v>
      </c>
      <c r="AQ4238" s="46">
        <v>4.0830000000000002</v>
      </c>
      <c r="AR4238" s="46">
        <v>1334.4</v>
      </c>
      <c r="AS4238" s="46">
        <v>37</v>
      </c>
      <c r="AT4238" s="46">
        <v>18400</v>
      </c>
      <c r="AU4238" s="46">
        <v>82877.040000000037</v>
      </c>
      <c r="AV4238" s="46">
        <v>4.5039999999999996</v>
      </c>
      <c r="AW4238" s="46">
        <v>32</v>
      </c>
      <c r="AX4238" s="46">
        <v>13900</v>
      </c>
      <c r="AY4238" s="46">
        <v>64263.344999999987</v>
      </c>
      <c r="AZ4238" s="46">
        <v>4.6230000000000002</v>
      </c>
      <c r="BA4238" s="46" t="s">
        <v>63</v>
      </c>
      <c r="BB4238" s="46">
        <v>4500</v>
      </c>
      <c r="BC4238" s="46">
        <v>18613.695</v>
      </c>
      <c r="BD4238" s="46">
        <v>4.1360000000000001</v>
      </c>
      <c r="BE4238" s="46">
        <v>1654.1</v>
      </c>
      <c r="BF4238" s="46">
        <v>6365.9000000000087</v>
      </c>
      <c r="BG4238" s="46">
        <v>4.24</v>
      </c>
      <c r="BH4238" s="46">
        <v>0</v>
      </c>
      <c r="BJ4238">
        <v>6365.9</v>
      </c>
      <c r="BK4238">
        <v>4.24</v>
      </c>
      <c r="BL4238">
        <v>380.17</v>
      </c>
    </row>
    <row r="4239" spans="1:64" x14ac:dyDescent="0.25">
      <c r="A4239" s="136">
        <v>44084</v>
      </c>
      <c r="B4239" t="s">
        <v>124</v>
      </c>
      <c r="C4239" t="s">
        <v>125</v>
      </c>
      <c r="D4239">
        <v>100</v>
      </c>
      <c r="E4239">
        <v>100</v>
      </c>
      <c r="F4239">
        <v>0.73699999999999999</v>
      </c>
      <c r="G4239">
        <v>417.28</v>
      </c>
      <c r="H4239">
        <v>566.19000000000005</v>
      </c>
      <c r="I4239">
        <v>491</v>
      </c>
      <c r="J4239">
        <v>4.91</v>
      </c>
      <c r="K4239" s="133">
        <v>1.0809149365955332E-3</v>
      </c>
      <c r="L4239" s="181">
        <v>-9</v>
      </c>
      <c r="M4239" s="133">
        <v>1.6229134241511759E-4</v>
      </c>
      <c r="N4239" s="73">
        <v>5623.0690000000113</v>
      </c>
      <c r="O4239" s="73">
        <v>1111.8087987827732</v>
      </c>
      <c r="P4239" s="182">
        <v>0</v>
      </c>
      <c r="Q4239" s="182">
        <v>0</v>
      </c>
      <c r="R4239" s="46">
        <v>0</v>
      </c>
      <c r="S4239" s="46">
        <v>5</v>
      </c>
      <c r="T4239" s="46">
        <v>2300</v>
      </c>
      <c r="U4239" s="46">
        <v>4.99</v>
      </c>
      <c r="V4239" s="46" t="s">
        <v>68</v>
      </c>
      <c r="W4239" s="46">
        <v>2300</v>
      </c>
      <c r="X4239" s="46">
        <v>4.99</v>
      </c>
      <c r="AF4239" s="46">
        <v>50</v>
      </c>
      <c r="AG4239" s="46">
        <v>36700</v>
      </c>
      <c r="AH4239" s="46">
        <v>180101.02000000002</v>
      </c>
      <c r="AI4239" s="46">
        <v>4.907</v>
      </c>
      <c r="AJ4239" s="46">
        <v>58</v>
      </c>
      <c r="AK4239" s="46">
        <v>35300</v>
      </c>
      <c r="AL4239" s="46">
        <v>178266.546</v>
      </c>
      <c r="AM4239" s="46">
        <v>5.05</v>
      </c>
      <c r="AN4239" s="46" t="s">
        <v>63</v>
      </c>
      <c r="AO4239" s="46">
        <v>1400</v>
      </c>
      <c r="AP4239" s="46">
        <v>1834.4739999999999</v>
      </c>
      <c r="AQ4239" s="46">
        <v>1.31</v>
      </c>
      <c r="AR4239" s="46">
        <v>5047.8999999999996</v>
      </c>
      <c r="AS4239" s="46">
        <v>51</v>
      </c>
      <c r="AT4239" s="46">
        <v>37700</v>
      </c>
      <c r="AU4239" s="46">
        <v>185106.62</v>
      </c>
      <c r="AV4239" s="46">
        <v>4.91</v>
      </c>
      <c r="AW4239" s="46">
        <v>63</v>
      </c>
      <c r="AX4239" s="46">
        <v>37600</v>
      </c>
      <c r="AY4239" s="46">
        <v>189763.68900000001</v>
      </c>
      <c r="AZ4239" s="46">
        <v>5.0469999999999997</v>
      </c>
      <c r="BA4239" s="46" t="s">
        <v>63</v>
      </c>
      <c r="BB4239" s="46">
        <v>100</v>
      </c>
      <c r="BC4239" s="46">
        <v>4657.0690000000004</v>
      </c>
      <c r="BD4239" s="46">
        <v>46.570999999999998</v>
      </c>
      <c r="BE4239" s="46">
        <v>5151.2</v>
      </c>
      <c r="BF4239" s="46">
        <v>5005.5999999999767</v>
      </c>
      <c r="BH4239" s="46">
        <v>11497.143000000011</v>
      </c>
      <c r="BI4239">
        <v>5</v>
      </c>
      <c r="BJ4239">
        <v>2822.5950000000003</v>
      </c>
      <c r="BK4239">
        <v>1.23</v>
      </c>
      <c r="BL4239">
        <v>1028.0899999999999</v>
      </c>
    </row>
    <row r="4240" spans="1:64" x14ac:dyDescent="0.25">
      <c r="A4240" s="136">
        <v>44084</v>
      </c>
      <c r="B4240" t="s">
        <v>71</v>
      </c>
      <c r="C4240" t="s">
        <v>126</v>
      </c>
      <c r="D4240">
        <v>6700</v>
      </c>
      <c r="E4240">
        <v>6700</v>
      </c>
      <c r="F4240">
        <v>4.3879999999999999</v>
      </c>
      <c r="G4240">
        <v>4768.21</v>
      </c>
      <c r="H4240">
        <v>16.22</v>
      </c>
      <c r="I4240">
        <v>34170</v>
      </c>
      <c r="J4240">
        <v>5.0999999999999996</v>
      </c>
      <c r="K4240" s="133">
        <v>7.5223754345151467E-2</v>
      </c>
      <c r="L4240" s="181">
        <v>-898.05000000000018</v>
      </c>
      <c r="M4240" s="133">
        <v>6.4726749437159226E-2</v>
      </c>
      <c r="N4240" s="73">
        <v>-29437.244000000002</v>
      </c>
      <c r="O4240" s="73">
        <v>984.5086644660189</v>
      </c>
      <c r="P4240" s="182">
        <v>2</v>
      </c>
      <c r="Q4240" s="182">
        <v>1900</v>
      </c>
      <c r="R4240" s="46">
        <v>5.1820000000000004</v>
      </c>
      <c r="S4240" s="46">
        <v>1</v>
      </c>
      <c r="T4240" s="46">
        <v>400</v>
      </c>
      <c r="U4240" s="46">
        <v>6.11</v>
      </c>
      <c r="V4240" s="46" t="s">
        <v>62</v>
      </c>
      <c r="W4240" s="46">
        <v>1500</v>
      </c>
      <c r="X4240" s="46">
        <v>4.9349999999999996</v>
      </c>
      <c r="AF4240" s="46">
        <v>76</v>
      </c>
      <c r="AG4240" s="46">
        <v>40200</v>
      </c>
      <c r="AH4240" s="46">
        <v>242313.83999999979</v>
      </c>
      <c r="AI4240" s="46">
        <v>6.0279999999999996</v>
      </c>
      <c r="AJ4240" s="46">
        <v>81</v>
      </c>
      <c r="AK4240" s="46">
        <v>35000</v>
      </c>
      <c r="AL4240" s="46">
        <v>220141.22</v>
      </c>
      <c r="AM4240" s="46">
        <v>6.29</v>
      </c>
      <c r="AN4240" s="46" t="s">
        <v>63</v>
      </c>
      <c r="AO4240" s="46">
        <v>5200</v>
      </c>
      <c r="AP4240" s="46">
        <v>22172.62</v>
      </c>
      <c r="AQ4240" s="46">
        <v>4.2640000000000002</v>
      </c>
      <c r="AR4240" s="46">
        <v>9170</v>
      </c>
      <c r="AS4240" s="46">
        <v>78</v>
      </c>
      <c r="AT4240" s="46">
        <v>42100</v>
      </c>
      <c r="AU4240" s="46">
        <v>252170.97999999978</v>
      </c>
      <c r="AV4240" s="46">
        <v>5.99</v>
      </c>
      <c r="AW4240" s="46">
        <v>82</v>
      </c>
      <c r="AX4240" s="46">
        <v>35400</v>
      </c>
      <c r="AY4240" s="46">
        <v>222577.53599999999</v>
      </c>
      <c r="AZ4240" s="46">
        <v>6.2880000000000003</v>
      </c>
      <c r="BA4240" s="46" t="s">
        <v>63</v>
      </c>
      <c r="BB4240" s="46">
        <v>6700</v>
      </c>
      <c r="BC4240" s="46">
        <v>29593.444</v>
      </c>
      <c r="BD4240" s="46">
        <v>4.4169999999999998</v>
      </c>
      <c r="BE4240" s="46">
        <v>10549.2</v>
      </c>
      <c r="BF4240" s="46">
        <v>9857.1399999999849</v>
      </c>
      <c r="BG4240" s="46">
        <v>5.19</v>
      </c>
      <c r="BH4240" s="46">
        <v>2436.3159999999916</v>
      </c>
      <c r="BI4240">
        <v>6.09</v>
      </c>
      <c r="BJ4240">
        <v>7420.8240000000005</v>
      </c>
      <c r="BK4240">
        <v>4.95</v>
      </c>
      <c r="BL4240">
        <v>1798.04</v>
      </c>
    </row>
    <row r="4241" spans="1:64" x14ac:dyDescent="0.25">
      <c r="A4241" s="136">
        <v>44084</v>
      </c>
      <c r="B4241" t="s">
        <v>79</v>
      </c>
      <c r="C4241" t="s">
        <v>143</v>
      </c>
      <c r="D4241">
        <v>11600</v>
      </c>
      <c r="E4241">
        <v>11100</v>
      </c>
      <c r="F4241">
        <v>9.3209999999999997</v>
      </c>
      <c r="G4241">
        <v>-27161.31</v>
      </c>
      <c r="H4241">
        <v>-25.12</v>
      </c>
      <c r="I4241">
        <v>80968</v>
      </c>
      <c r="J4241">
        <v>6.98</v>
      </c>
      <c r="K4241" s="133">
        <v>0.17824749610237706</v>
      </c>
      <c r="L4241" s="181">
        <v>-5681.2400000000016</v>
      </c>
      <c r="M4241" s="133">
        <v>0.23804192721541495</v>
      </c>
      <c r="N4241" s="73">
        <v>-26390.743400000487</v>
      </c>
      <c r="O4241" s="73">
        <v>-3741.4961742270198</v>
      </c>
      <c r="P4241" s="182">
        <v>7</v>
      </c>
      <c r="Q4241" s="182">
        <v>7420</v>
      </c>
      <c r="R4241" s="46">
        <v>4.55</v>
      </c>
      <c r="S4241" s="46">
        <v>0</v>
      </c>
      <c r="T4241" s="46">
        <v>0</v>
      </c>
      <c r="U4241" s="46">
        <v>0</v>
      </c>
      <c r="V4241" s="46" t="s">
        <v>62</v>
      </c>
      <c r="W4241" s="46">
        <v>7420</v>
      </c>
      <c r="X4241" s="46">
        <v>4.55</v>
      </c>
      <c r="AF4241" s="46">
        <v>101</v>
      </c>
      <c r="AG4241" s="46">
        <v>47500</v>
      </c>
      <c r="AH4241" s="46">
        <v>484371.49999999913</v>
      </c>
      <c r="AI4241" s="46">
        <v>10.196999999999999</v>
      </c>
      <c r="AJ4241" s="46">
        <v>101</v>
      </c>
      <c r="AK4241" s="46">
        <v>43320</v>
      </c>
      <c r="AL4241" s="46">
        <v>410000.20859999949</v>
      </c>
      <c r="AM4241" s="46">
        <v>9.4640000000000004</v>
      </c>
      <c r="AN4241" s="46" t="s">
        <v>63</v>
      </c>
      <c r="AO4241" s="46">
        <v>4180</v>
      </c>
      <c r="AP4241" s="46">
        <v>74371.290999999997</v>
      </c>
      <c r="AQ4241" s="46">
        <v>17.792000000000002</v>
      </c>
      <c r="AR4241" s="46">
        <v>-31753.56</v>
      </c>
      <c r="AS4241" s="46">
        <v>108</v>
      </c>
      <c r="AT4241" s="46">
        <v>54920</v>
      </c>
      <c r="AU4241" s="46">
        <v>518170.951999999</v>
      </c>
      <c r="AV4241" s="46">
        <v>9.4350000000000005</v>
      </c>
      <c r="AW4241" s="46">
        <v>101</v>
      </c>
      <c r="AX4241" s="46">
        <v>43320</v>
      </c>
      <c r="AY4241" s="46">
        <v>410000.20859999949</v>
      </c>
      <c r="AZ4241" s="46">
        <v>9.4640000000000004</v>
      </c>
      <c r="BA4241" s="46" t="s">
        <v>63</v>
      </c>
      <c r="BB4241" s="46">
        <v>11600</v>
      </c>
      <c r="BC4241" s="46">
        <v>108170.743</v>
      </c>
      <c r="BD4241" s="46">
        <v>9.3249999999999993</v>
      </c>
      <c r="BE4241" s="46">
        <v>1256.28</v>
      </c>
      <c r="BF4241" s="46">
        <v>33799.451999999874</v>
      </c>
      <c r="BG4241" s="46">
        <v>4.5599999999999996</v>
      </c>
      <c r="BH4241" s="46">
        <v>0</v>
      </c>
      <c r="BJ4241">
        <v>33799.452000000005</v>
      </c>
      <c r="BK4241">
        <v>4.5599999999999996</v>
      </c>
      <c r="BL4241">
        <v>-4549.22</v>
      </c>
    </row>
    <row r="4242" spans="1:64" x14ac:dyDescent="0.25">
      <c r="A4242" s="136">
        <v>44084</v>
      </c>
      <c r="B4242" t="s">
        <v>749</v>
      </c>
      <c r="C4242" t="s">
        <v>750</v>
      </c>
      <c r="D4242">
        <v>500</v>
      </c>
      <c r="E4242">
        <v>500</v>
      </c>
      <c r="F4242">
        <v>5.65</v>
      </c>
      <c r="G4242">
        <v>225</v>
      </c>
      <c r="H4242">
        <v>7.96</v>
      </c>
      <c r="I4242">
        <v>3050</v>
      </c>
      <c r="J4242">
        <v>6.1</v>
      </c>
      <c r="K4242" s="133">
        <v>6.7144410521718456E-3</v>
      </c>
      <c r="L4242" s="181">
        <v>-50</v>
      </c>
      <c r="M4242" s="133">
        <v>6.2191134335690046E-3</v>
      </c>
    </row>
    <row r="4243" spans="1:64" x14ac:dyDescent="0.25">
      <c r="A4243" s="136">
        <v>44084</v>
      </c>
      <c r="B4243" t="s">
        <v>776</v>
      </c>
      <c r="C4243" t="s">
        <v>777</v>
      </c>
      <c r="D4243">
        <v>1</v>
      </c>
      <c r="E4243">
        <v>1</v>
      </c>
      <c r="F4243">
        <v>-137.5</v>
      </c>
      <c r="G4243">
        <v>208.17</v>
      </c>
      <c r="H4243">
        <v>0</v>
      </c>
      <c r="I4243">
        <v>70.67</v>
      </c>
      <c r="J4243">
        <v>70.67</v>
      </c>
      <c r="K4243" s="133">
        <v>1.5557690136294567E-4</v>
      </c>
      <c r="L4243" s="181">
        <v>-9.0400000000000205</v>
      </c>
      <c r="M4243" s="133">
        <v>0</v>
      </c>
    </row>
    <row r="4244" spans="1:64" x14ac:dyDescent="0.25">
      <c r="A4244" s="136">
        <v>44084</v>
      </c>
      <c r="B4244" t="s">
        <v>65</v>
      </c>
      <c r="C4244" t="s">
        <v>127</v>
      </c>
      <c r="D4244">
        <v>27500</v>
      </c>
      <c r="E4244">
        <v>27500</v>
      </c>
      <c r="F4244">
        <v>8.1240000000000006</v>
      </c>
      <c r="G4244">
        <v>-38348.51</v>
      </c>
      <c r="H4244">
        <v>-17.170000000000002</v>
      </c>
      <c r="I4244">
        <v>185075</v>
      </c>
      <c r="J4244">
        <v>6.73</v>
      </c>
      <c r="K4244" s="133">
        <v>0.40743448450187025</v>
      </c>
      <c r="L4244" s="181">
        <v>-5379</v>
      </c>
      <c r="M4244" s="133">
        <v>0.491857045103058</v>
      </c>
      <c r="N4244" s="73">
        <v>-42343.430000000139</v>
      </c>
      <c r="O4244" s="73">
        <v>-5644.3391041172508</v>
      </c>
      <c r="P4244" s="182">
        <v>2</v>
      </c>
      <c r="Q4244" s="182">
        <v>800</v>
      </c>
      <c r="R4244" s="46">
        <v>6.88</v>
      </c>
      <c r="S4244" s="46">
        <v>0</v>
      </c>
      <c r="T4244" s="46">
        <v>0</v>
      </c>
      <c r="U4244" s="46">
        <v>0</v>
      </c>
      <c r="V4244" s="46" t="s">
        <v>62</v>
      </c>
      <c r="W4244" s="46">
        <v>800</v>
      </c>
      <c r="X4244" s="46">
        <v>6.88</v>
      </c>
      <c r="AF4244" s="46">
        <v>311</v>
      </c>
      <c r="AG4244" s="46">
        <v>165600</v>
      </c>
      <c r="AH4244" s="46">
        <v>1643085.6810000001</v>
      </c>
      <c r="AI4244" s="46">
        <v>9.9220000000000006</v>
      </c>
      <c r="AJ4244" s="46">
        <v>341</v>
      </c>
      <c r="AK4244" s="46">
        <v>148200</v>
      </c>
      <c r="AL4244" s="46">
        <v>1408553.577</v>
      </c>
      <c r="AM4244" s="46">
        <v>9.5039999999999996</v>
      </c>
      <c r="AN4244" s="46" t="s">
        <v>63</v>
      </c>
      <c r="AO4244" s="46">
        <v>17400</v>
      </c>
      <c r="AP4244" s="46">
        <v>234532.10399999999</v>
      </c>
      <c r="AQ4244" s="46">
        <v>13.478999999999999</v>
      </c>
      <c r="AR4244" s="46">
        <v>-61947.6</v>
      </c>
      <c r="AS4244" s="46">
        <v>317</v>
      </c>
      <c r="AT4244" s="46">
        <v>168200</v>
      </c>
      <c r="AU4244" s="46">
        <v>1661161.6810000001</v>
      </c>
      <c r="AV4244" s="46">
        <v>9.8759999999999994</v>
      </c>
      <c r="AW4244" s="46">
        <v>345</v>
      </c>
      <c r="AX4244" s="46">
        <v>149800</v>
      </c>
      <c r="AY4244" s="46">
        <v>1421612.4849999999</v>
      </c>
      <c r="AZ4244" s="46">
        <v>9.49</v>
      </c>
      <c r="BA4244" s="46" t="s">
        <v>63</v>
      </c>
      <c r="BB4244" s="46">
        <v>18400</v>
      </c>
      <c r="BC4244" s="46">
        <v>239549.196</v>
      </c>
      <c r="BD4244" s="46">
        <v>13.019</v>
      </c>
      <c r="BE4244" s="46">
        <v>-57822.8</v>
      </c>
      <c r="BF4244" s="46">
        <v>18076</v>
      </c>
      <c r="BG4244" s="46">
        <v>22.6</v>
      </c>
      <c r="BH4244" s="46">
        <v>13058.907999999821</v>
      </c>
      <c r="BJ4244">
        <v>5017.0920000000042</v>
      </c>
      <c r="BK4244">
        <v>6.27</v>
      </c>
      <c r="BL4244">
        <v>-9204.7000000000007</v>
      </c>
    </row>
    <row r="4245" spans="1:64" x14ac:dyDescent="0.25">
      <c r="A4245" s="136">
        <v>44084</v>
      </c>
      <c r="B4245" t="s">
        <v>77</v>
      </c>
      <c r="C4245" t="s">
        <v>150</v>
      </c>
      <c r="D4245">
        <v>7300</v>
      </c>
      <c r="E4245">
        <v>7300</v>
      </c>
      <c r="F4245">
        <v>4.8239999999999998</v>
      </c>
      <c r="G4245">
        <v>-14630.17</v>
      </c>
      <c r="H4245">
        <v>-41.55</v>
      </c>
      <c r="I4245">
        <v>20586</v>
      </c>
      <c r="J4245">
        <v>2.82</v>
      </c>
      <c r="K4245" s="133">
        <v>4.5319174918035936E-2</v>
      </c>
      <c r="L4245" s="181">
        <v>-655.18000000000029</v>
      </c>
      <c r="M4245" s="133">
        <v>7.7526851655168053E-2</v>
      </c>
      <c r="N4245" s="73">
        <v>-14113.127999999982</v>
      </c>
      <c r="O4245" s="73">
        <v>-4596.7302148648596</v>
      </c>
      <c r="P4245" s="182">
        <v>6</v>
      </c>
      <c r="Q4245" s="182">
        <v>3500</v>
      </c>
      <c r="R4245" s="46">
        <v>3.7789999999999999</v>
      </c>
      <c r="S4245" s="46">
        <v>0</v>
      </c>
      <c r="T4245" s="46">
        <v>0</v>
      </c>
      <c r="U4245" s="46">
        <v>0</v>
      </c>
      <c r="V4245" s="46" t="s">
        <v>62</v>
      </c>
      <c r="W4245" s="46">
        <v>3500</v>
      </c>
      <c r="X4245" s="46">
        <v>3.7789999999999999</v>
      </c>
      <c r="AF4245" s="46">
        <v>72</v>
      </c>
      <c r="AG4245" s="46">
        <v>35400</v>
      </c>
      <c r="AH4245" s="46">
        <v>210838</v>
      </c>
      <c r="AI4245" s="46">
        <v>5.9560000000000004</v>
      </c>
      <c r="AJ4245" s="46">
        <v>71</v>
      </c>
      <c r="AK4245" s="46">
        <v>31600</v>
      </c>
      <c r="AL4245" s="46">
        <v>188583.87200000006</v>
      </c>
      <c r="AM4245" s="46">
        <v>5.968</v>
      </c>
      <c r="AN4245" s="46" t="s">
        <v>63</v>
      </c>
      <c r="AO4245" s="46">
        <v>3800</v>
      </c>
      <c r="AP4245" s="46">
        <v>22254.128000000001</v>
      </c>
      <c r="AQ4245" s="46">
        <v>5.8559999999999999</v>
      </c>
      <c r="AR4245" s="46">
        <v>379.2</v>
      </c>
      <c r="AS4245" s="46">
        <v>78</v>
      </c>
      <c r="AT4245" s="46">
        <v>38900</v>
      </c>
      <c r="AU4245" s="46">
        <v>223805</v>
      </c>
      <c r="AV4245" s="46">
        <v>5.7530000000000001</v>
      </c>
      <c r="AW4245" s="46">
        <v>71</v>
      </c>
      <c r="AX4245" s="46">
        <v>31600</v>
      </c>
      <c r="AY4245" s="46">
        <v>188583.87200000006</v>
      </c>
      <c r="AZ4245" s="46">
        <v>5.968</v>
      </c>
      <c r="BA4245" s="46" t="s">
        <v>63</v>
      </c>
      <c r="BB4245" s="46">
        <v>7300</v>
      </c>
      <c r="BC4245" s="46">
        <v>35221.127999999997</v>
      </c>
      <c r="BD4245" s="46">
        <v>4.8250000000000002</v>
      </c>
      <c r="BE4245" s="46">
        <v>6794</v>
      </c>
      <c r="BF4245" s="46">
        <v>12967</v>
      </c>
      <c r="BG4245" s="46">
        <v>3.7</v>
      </c>
      <c r="BH4245" s="46">
        <v>0</v>
      </c>
      <c r="BJ4245">
        <v>12966.999999999996</v>
      </c>
      <c r="BK4245">
        <v>3.7</v>
      </c>
      <c r="BL4245">
        <v>134.47</v>
      </c>
    </row>
    <row r="4246" spans="1:64" x14ac:dyDescent="0.25">
      <c r="A4246" s="136">
        <v>44084</v>
      </c>
      <c r="B4246" t="s">
        <v>72</v>
      </c>
      <c r="C4246" t="s">
        <v>130</v>
      </c>
      <c r="D4246">
        <v>100</v>
      </c>
      <c r="E4246">
        <v>100</v>
      </c>
      <c r="F4246">
        <v>1.53</v>
      </c>
      <c r="G4246">
        <v>377</v>
      </c>
      <c r="H4246">
        <v>246.41</v>
      </c>
      <c r="I4246">
        <v>530</v>
      </c>
      <c r="J4246">
        <v>5.3</v>
      </c>
      <c r="K4246" s="133">
        <v>1.1667717238200257E-3</v>
      </c>
      <c r="L4246" s="181">
        <v>-20</v>
      </c>
      <c r="M4246" s="133">
        <v>3.3682278064993193E-4</v>
      </c>
      <c r="N4246" s="73">
        <v>-1498.9659999999872</v>
      </c>
      <c r="O4246" s="73">
        <v>376.42007904191922</v>
      </c>
      <c r="P4246" s="182">
        <v>0</v>
      </c>
      <c r="Q4246" s="182">
        <v>0</v>
      </c>
      <c r="R4246" s="46">
        <v>0</v>
      </c>
      <c r="S4246" s="46">
        <v>20</v>
      </c>
      <c r="T4246" s="46">
        <v>8600</v>
      </c>
      <c r="U4246" s="46">
        <v>7.3840000000000003</v>
      </c>
      <c r="V4246" s="46" t="s">
        <v>68</v>
      </c>
      <c r="W4246" s="46">
        <v>8600</v>
      </c>
      <c r="X4246" s="46">
        <v>7.3840000000000003</v>
      </c>
      <c r="AF4246" s="46">
        <v>42</v>
      </c>
      <c r="AG4246" s="46">
        <v>20900</v>
      </c>
      <c r="AH4246" s="46">
        <v>152800</v>
      </c>
      <c r="AI4246" s="46">
        <v>7.3109999999999999</v>
      </c>
      <c r="AJ4246" s="46">
        <v>42</v>
      </c>
      <c r="AK4246" s="46">
        <v>18800</v>
      </c>
      <c r="AL4246" s="46">
        <v>92037.725000000035</v>
      </c>
      <c r="AM4246" s="46">
        <v>4.8959999999999999</v>
      </c>
      <c r="AN4246" s="46" t="s">
        <v>63</v>
      </c>
      <c r="AO4246" s="46">
        <v>2100</v>
      </c>
      <c r="AP4246" s="46">
        <v>60762.275000000001</v>
      </c>
      <c r="AQ4246" s="46">
        <v>28.934000000000001</v>
      </c>
      <c r="AR4246" s="46">
        <v>-45402</v>
      </c>
      <c r="AS4246" s="46">
        <v>42</v>
      </c>
      <c r="AT4246" s="46">
        <v>20900</v>
      </c>
      <c r="AU4246" s="46">
        <v>152800</v>
      </c>
      <c r="AV4246" s="46">
        <v>7.3109999999999999</v>
      </c>
      <c r="AW4246" s="46">
        <v>63</v>
      </c>
      <c r="AX4246" s="46">
        <v>27900</v>
      </c>
      <c r="AY4246" s="46">
        <v>155380.21900000001</v>
      </c>
      <c r="AZ4246" s="46">
        <v>5.569</v>
      </c>
      <c r="BA4246" s="46" t="s">
        <v>69</v>
      </c>
      <c r="BB4246" s="46">
        <v>7000</v>
      </c>
      <c r="BC4246" s="46">
        <v>2580.2190000000001</v>
      </c>
      <c r="BD4246" s="46">
        <v>0.36899999999999999</v>
      </c>
      <c r="BE4246" s="46">
        <v>-36407.800000000003</v>
      </c>
      <c r="BF4246" s="46">
        <v>0</v>
      </c>
      <c r="BH4246" s="46">
        <v>63342.493999999977</v>
      </c>
      <c r="BI4246">
        <v>7.37</v>
      </c>
      <c r="BJ4246">
        <v>-58182.056000000004</v>
      </c>
      <c r="BK4246">
        <v>-6.77</v>
      </c>
      <c r="BL4246">
        <v>-8566.42</v>
      </c>
    </row>
    <row r="4247" spans="1:64" x14ac:dyDescent="0.25">
      <c r="A4247" s="136">
        <v>44084</v>
      </c>
      <c r="B4247" t="s">
        <v>70</v>
      </c>
      <c r="C4247" t="s">
        <v>131</v>
      </c>
      <c r="D4247">
        <v>12180</v>
      </c>
      <c r="E4247">
        <v>11280</v>
      </c>
      <c r="F4247">
        <v>8.2040000000000006</v>
      </c>
      <c r="G4247">
        <v>-14180.17</v>
      </c>
      <c r="H4247">
        <v>-14.19</v>
      </c>
      <c r="I4247">
        <v>85747.199999999997</v>
      </c>
      <c r="J4247">
        <v>7.04</v>
      </c>
      <c r="K4247" s="133">
        <v>0.18876869501271792</v>
      </c>
      <c r="L4247" s="181">
        <v>-8256.2000000000007</v>
      </c>
      <c r="M4247" s="133">
        <v>0.21998571651264434</v>
      </c>
      <c r="N4247" s="73">
        <v>-13944.469000000012</v>
      </c>
      <c r="O4247" s="73">
        <v>-1974.1496834985853</v>
      </c>
      <c r="P4247" s="182">
        <v>1</v>
      </c>
      <c r="Q4247" s="182">
        <v>500</v>
      </c>
      <c r="R4247" s="46">
        <v>7.06</v>
      </c>
      <c r="S4247" s="46">
        <v>13</v>
      </c>
      <c r="T4247" s="46">
        <v>6800</v>
      </c>
      <c r="U4247" s="46">
        <v>7.5250000000000004</v>
      </c>
      <c r="V4247" s="46" t="s">
        <v>68</v>
      </c>
      <c r="W4247" s="46">
        <v>6300</v>
      </c>
      <c r="X4247" s="46">
        <v>7.5620000000000003</v>
      </c>
      <c r="AF4247" s="46">
        <v>238</v>
      </c>
      <c r="AG4247" s="46">
        <v>117180</v>
      </c>
      <c r="AH4247" s="46">
        <v>1262982</v>
      </c>
      <c r="AI4247" s="46">
        <v>10.778</v>
      </c>
      <c r="AJ4247" s="46">
        <v>245</v>
      </c>
      <c r="AK4247" s="46">
        <v>98700</v>
      </c>
      <c r="AL4247" s="46">
        <v>1113325.9029999999</v>
      </c>
      <c r="AM4247" s="46">
        <v>11.28</v>
      </c>
      <c r="AN4247" s="46" t="s">
        <v>63</v>
      </c>
      <c r="AO4247" s="46">
        <v>18480</v>
      </c>
      <c r="AP4247" s="46">
        <v>149656.09700000001</v>
      </c>
      <c r="AQ4247" s="46">
        <v>8.0980000000000008</v>
      </c>
      <c r="AR4247" s="46">
        <v>49547.4</v>
      </c>
      <c r="AS4247" s="46">
        <v>239</v>
      </c>
      <c r="AT4247" s="46">
        <v>117680</v>
      </c>
      <c r="AU4247" s="46">
        <v>1266517</v>
      </c>
      <c r="AV4247" s="46">
        <v>10.762</v>
      </c>
      <c r="AW4247" s="46">
        <v>259</v>
      </c>
      <c r="AX4247" s="46">
        <v>105500</v>
      </c>
      <c r="AY4247" s="46">
        <v>1164811.7309999997</v>
      </c>
      <c r="AZ4247" s="46">
        <v>11.041</v>
      </c>
      <c r="BA4247" s="46" t="s">
        <v>63</v>
      </c>
      <c r="BB4247" s="46">
        <v>12180</v>
      </c>
      <c r="BC4247" s="46">
        <v>101705.269</v>
      </c>
      <c r="BD4247" s="46">
        <v>8.35</v>
      </c>
      <c r="BE4247" s="46">
        <v>29434.5</v>
      </c>
      <c r="BF4247" s="46">
        <v>3535</v>
      </c>
      <c r="BG4247" s="46">
        <v>7.07</v>
      </c>
      <c r="BH4247" s="46">
        <v>51485.827999999747</v>
      </c>
      <c r="BI4247">
        <v>7.57</v>
      </c>
      <c r="BJ4247">
        <v>-47950.828000000009</v>
      </c>
      <c r="BK4247">
        <v>-7.61</v>
      </c>
      <c r="BL4247">
        <v>7037.98</v>
      </c>
    </row>
    <row r="4248" spans="1:64" x14ac:dyDescent="0.25">
      <c r="A4248" s="136">
        <v>44084</v>
      </c>
      <c r="B4248" t="s">
        <v>628</v>
      </c>
      <c r="C4248" t="s">
        <v>629</v>
      </c>
      <c r="D4248">
        <v>100</v>
      </c>
      <c r="E4248">
        <v>100</v>
      </c>
      <c r="F4248">
        <v>0.95</v>
      </c>
      <c r="G4248">
        <v>1287</v>
      </c>
      <c r="H4248">
        <v>1354.74</v>
      </c>
      <c r="I4248">
        <v>1382</v>
      </c>
      <c r="J4248">
        <v>13.82</v>
      </c>
      <c r="K4248" s="133">
        <v>3.0424123062627838E-3</v>
      </c>
      <c r="L4248" s="181">
        <v>-165</v>
      </c>
      <c r="M4248" s="133">
        <v>2.091383278545329E-4</v>
      </c>
    </row>
    <row r="4249" spans="1:64" x14ac:dyDescent="0.25">
      <c r="A4249" s="136">
        <v>44084</v>
      </c>
      <c r="B4249" t="s">
        <v>768</v>
      </c>
      <c r="C4249" t="s">
        <v>769</v>
      </c>
      <c r="D4249">
        <v>500</v>
      </c>
      <c r="E4249">
        <v>500</v>
      </c>
      <c r="F4249">
        <v>2.4140000000000001</v>
      </c>
      <c r="G4249">
        <v>268</v>
      </c>
      <c r="H4249">
        <v>22.2</v>
      </c>
      <c r="I4249">
        <v>1475</v>
      </c>
      <c r="J4249">
        <v>2.95</v>
      </c>
      <c r="K4249" s="133">
        <v>3.247147721951958E-3</v>
      </c>
      <c r="L4249" s="181">
        <v>-35</v>
      </c>
      <c r="M4249" s="133">
        <v>2.6571574917939075E-3</v>
      </c>
    </row>
    <row r="4250" spans="1:64" x14ac:dyDescent="0.25">
      <c r="A4250" s="136">
        <v>44084</v>
      </c>
      <c r="B4250" t="s">
        <v>900</v>
      </c>
      <c r="C4250" t="s">
        <v>901</v>
      </c>
      <c r="D4250">
        <v>10</v>
      </c>
      <c r="E4250">
        <v>10</v>
      </c>
      <c r="F4250">
        <v>100</v>
      </c>
      <c r="G4250">
        <v>0</v>
      </c>
      <c r="H4250">
        <v>0</v>
      </c>
      <c r="I4250">
        <v>1000</v>
      </c>
      <c r="J4250">
        <v>100</v>
      </c>
      <c r="K4250" s="133">
        <v>2.2014560826792936E-3</v>
      </c>
      <c r="M4250" s="133">
        <v>2.2014560826792936E-3</v>
      </c>
    </row>
    <row r="4251" spans="1:64" x14ac:dyDescent="0.25">
      <c r="A4251" s="136">
        <v>44084</v>
      </c>
      <c r="B4251" t="s">
        <v>137</v>
      </c>
      <c r="C4251" t="s">
        <v>149</v>
      </c>
      <c r="D4251">
        <v>150</v>
      </c>
      <c r="E4251">
        <v>150</v>
      </c>
      <c r="F4251">
        <v>1</v>
      </c>
      <c r="G4251">
        <v>5103</v>
      </c>
      <c r="H4251">
        <v>3402</v>
      </c>
      <c r="I4251">
        <v>5253</v>
      </c>
      <c r="J4251">
        <v>35.020000000000003</v>
      </c>
      <c r="K4251" s="133">
        <v>1.1564248802314329E-2</v>
      </c>
      <c r="L4251" s="181">
        <v>-1201.5</v>
      </c>
      <c r="M4251" s="133">
        <v>3.3021841240189406E-4</v>
      </c>
    </row>
    <row r="4252" spans="1:64" x14ac:dyDescent="0.25">
      <c r="A4252" s="136">
        <v>44084</v>
      </c>
      <c r="B4252" t="s">
        <v>835</v>
      </c>
      <c r="C4252" t="s">
        <v>839</v>
      </c>
      <c r="I4252">
        <v>18646.91</v>
      </c>
      <c r="K4252" s="133">
        <v>4.1050353442673347E-2</v>
      </c>
      <c r="L4252" s="181">
        <v>0</v>
      </c>
      <c r="M4252" s="133">
        <v>1.1073324095876847E-5</v>
      </c>
    </row>
    <row r="4253" spans="1:64" x14ac:dyDescent="0.25">
      <c r="A4253" s="136">
        <v>44095</v>
      </c>
      <c r="B4253" t="s">
        <v>132</v>
      </c>
      <c r="C4253" t="s">
        <v>123</v>
      </c>
      <c r="D4253">
        <v>503</v>
      </c>
      <c r="E4253">
        <v>503</v>
      </c>
      <c r="F4253">
        <v>-0.59299999999999997</v>
      </c>
      <c r="G4253">
        <v>303.52999999999997</v>
      </c>
      <c r="H4253">
        <v>0</v>
      </c>
      <c r="I4253">
        <v>5.03</v>
      </c>
      <c r="J4253">
        <v>0.01</v>
      </c>
      <c r="K4253" s="133">
        <v>1.0655213660653306E-5</v>
      </c>
      <c r="L4253" s="181">
        <v>0</v>
      </c>
      <c r="M4253" s="133">
        <v>0</v>
      </c>
    </row>
    <row r="4254" spans="1:64" x14ac:dyDescent="0.25">
      <c r="A4254" s="136">
        <v>44095</v>
      </c>
      <c r="B4254" t="s">
        <v>61</v>
      </c>
      <c r="C4254" t="s">
        <v>136</v>
      </c>
      <c r="D4254">
        <v>4500</v>
      </c>
      <c r="E4254">
        <v>4500</v>
      </c>
      <c r="F4254">
        <v>4.1360000000000001</v>
      </c>
      <c r="G4254">
        <v>-2683.23</v>
      </c>
      <c r="H4254">
        <v>-14.42</v>
      </c>
      <c r="I4254">
        <v>15930</v>
      </c>
      <c r="J4254">
        <v>3.54</v>
      </c>
      <c r="K4254" s="133">
        <v>3.3745040479961665E-2</v>
      </c>
      <c r="L4254" s="181">
        <v>135</v>
      </c>
      <c r="M4254" s="133">
        <v>3.9429014426417879E-2</v>
      </c>
      <c r="N4254" s="73">
        <v>-2638.6950000000033</v>
      </c>
      <c r="O4254" s="73">
        <v>-742.9227190140856</v>
      </c>
      <c r="P4254" s="182">
        <v>3</v>
      </c>
      <c r="Q4254" s="182">
        <v>1500</v>
      </c>
      <c r="R4254" s="46">
        <v>4.2329999999999997</v>
      </c>
      <c r="S4254" s="46">
        <v>0</v>
      </c>
      <c r="T4254" s="46">
        <v>0</v>
      </c>
      <c r="U4254" s="46">
        <v>0</v>
      </c>
      <c r="V4254" s="46" t="s">
        <v>62</v>
      </c>
      <c r="W4254" s="46">
        <v>1500</v>
      </c>
      <c r="X4254" s="46">
        <v>4.2329999999999997</v>
      </c>
      <c r="AF4254" s="46">
        <v>34</v>
      </c>
      <c r="AG4254" s="46">
        <v>16900</v>
      </c>
      <c r="AH4254" s="46">
        <v>76511.140000000029</v>
      </c>
      <c r="AI4254" s="46">
        <v>4.5270000000000001</v>
      </c>
      <c r="AJ4254" s="46">
        <v>32</v>
      </c>
      <c r="AK4254" s="46">
        <v>13900</v>
      </c>
      <c r="AL4254" s="46">
        <v>64263.344999999987</v>
      </c>
      <c r="AM4254" s="46">
        <v>4.6230000000000002</v>
      </c>
      <c r="AN4254" s="46" t="s">
        <v>63</v>
      </c>
      <c r="AO4254" s="46">
        <v>3000</v>
      </c>
      <c r="AP4254" s="46">
        <v>12247.795</v>
      </c>
      <c r="AQ4254" s="46">
        <v>4.0830000000000002</v>
      </c>
      <c r="AR4254" s="46">
        <v>1334.4</v>
      </c>
      <c r="AS4254" s="46">
        <v>37</v>
      </c>
      <c r="AT4254" s="46">
        <v>18400</v>
      </c>
      <c r="AU4254" s="46">
        <v>82877.040000000037</v>
      </c>
      <c r="AV4254" s="46">
        <v>4.5039999999999996</v>
      </c>
      <c r="AW4254" s="46">
        <v>32</v>
      </c>
      <c r="AX4254" s="46">
        <v>13900</v>
      </c>
      <c r="AY4254" s="46">
        <v>64263.344999999987</v>
      </c>
      <c r="AZ4254" s="46">
        <v>4.6230000000000002</v>
      </c>
      <c r="BA4254" s="46" t="s">
        <v>63</v>
      </c>
      <c r="BB4254" s="46">
        <v>4500</v>
      </c>
      <c r="BC4254" s="46">
        <v>18613.695</v>
      </c>
      <c r="BD4254" s="46">
        <v>4.1360000000000001</v>
      </c>
      <c r="BE4254" s="46">
        <v>1654.1</v>
      </c>
      <c r="BF4254" s="46">
        <v>6365.9000000000087</v>
      </c>
      <c r="BG4254" s="46">
        <v>4.24</v>
      </c>
      <c r="BH4254" s="46">
        <v>0</v>
      </c>
      <c r="BJ4254">
        <v>6365.9</v>
      </c>
      <c r="BK4254">
        <v>4.24</v>
      </c>
      <c r="BL4254">
        <v>376.95</v>
      </c>
    </row>
    <row r="4255" spans="1:64" x14ac:dyDescent="0.25">
      <c r="A4255" s="136">
        <v>44095</v>
      </c>
      <c r="B4255" t="s">
        <v>124</v>
      </c>
      <c r="C4255" t="s">
        <v>125</v>
      </c>
      <c r="D4255">
        <v>100</v>
      </c>
      <c r="E4255">
        <v>100</v>
      </c>
      <c r="F4255">
        <v>0.73699999999999999</v>
      </c>
      <c r="G4255">
        <v>422.28</v>
      </c>
      <c r="H4255">
        <v>572.97</v>
      </c>
      <c r="I4255">
        <v>496</v>
      </c>
      <c r="J4255">
        <v>4.96</v>
      </c>
      <c r="K4255" s="133">
        <v>1.0506930369153162E-3</v>
      </c>
      <c r="L4255" s="181">
        <v>5</v>
      </c>
      <c r="M4255" s="133">
        <v>1.5616348927701033E-4</v>
      </c>
      <c r="N4255" s="73">
        <v>5623.0690000000113</v>
      </c>
      <c r="O4255" s="73">
        <v>1111.8087987827732</v>
      </c>
      <c r="P4255" s="182">
        <v>0</v>
      </c>
      <c r="Q4255" s="182">
        <v>0</v>
      </c>
      <c r="R4255" s="46">
        <v>0</v>
      </c>
      <c r="S4255" s="46">
        <v>5</v>
      </c>
      <c r="T4255" s="46">
        <v>2300</v>
      </c>
      <c r="U4255" s="46">
        <v>4.99</v>
      </c>
      <c r="V4255" s="46" t="s">
        <v>68</v>
      </c>
      <c r="W4255" s="46">
        <v>2300</v>
      </c>
      <c r="X4255" s="46">
        <v>4.99</v>
      </c>
      <c r="AF4255" s="46">
        <v>50</v>
      </c>
      <c r="AG4255" s="46">
        <v>36700</v>
      </c>
      <c r="AH4255" s="46">
        <v>180101.02000000002</v>
      </c>
      <c r="AI4255" s="46">
        <v>4.907</v>
      </c>
      <c r="AJ4255" s="46">
        <v>58</v>
      </c>
      <c r="AK4255" s="46">
        <v>35300</v>
      </c>
      <c r="AL4255" s="46">
        <v>178266.546</v>
      </c>
      <c r="AM4255" s="46">
        <v>5.05</v>
      </c>
      <c r="AN4255" s="46" t="s">
        <v>63</v>
      </c>
      <c r="AO4255" s="46">
        <v>1400</v>
      </c>
      <c r="AP4255" s="46">
        <v>1834.4739999999999</v>
      </c>
      <c r="AQ4255" s="46">
        <v>1.31</v>
      </c>
      <c r="AR4255" s="46">
        <v>5047.8999999999996</v>
      </c>
      <c r="AS4255" s="46">
        <v>51</v>
      </c>
      <c r="AT4255" s="46">
        <v>37700</v>
      </c>
      <c r="AU4255" s="46">
        <v>185106.62</v>
      </c>
      <c r="AV4255" s="46">
        <v>4.91</v>
      </c>
      <c r="AW4255" s="46">
        <v>63</v>
      </c>
      <c r="AX4255" s="46">
        <v>37600</v>
      </c>
      <c r="AY4255" s="46">
        <v>189763.68900000001</v>
      </c>
      <c r="AZ4255" s="46">
        <v>5.0469999999999997</v>
      </c>
      <c r="BA4255" s="46" t="s">
        <v>63</v>
      </c>
      <c r="BB4255" s="46">
        <v>100</v>
      </c>
      <c r="BC4255" s="46">
        <v>4657.0690000000004</v>
      </c>
      <c r="BD4255" s="46">
        <v>46.570999999999998</v>
      </c>
      <c r="BE4255" s="46">
        <v>5151.2</v>
      </c>
      <c r="BF4255" s="46">
        <v>5005.5999999999767</v>
      </c>
      <c r="BH4255" s="46">
        <v>11497.143000000011</v>
      </c>
      <c r="BI4255">
        <v>5</v>
      </c>
      <c r="BJ4255">
        <v>2822.5950000000003</v>
      </c>
      <c r="BK4255">
        <v>1.23</v>
      </c>
      <c r="BL4255">
        <v>1017.72</v>
      </c>
    </row>
    <row r="4256" spans="1:64" x14ac:dyDescent="0.25">
      <c r="A4256" s="136">
        <v>44095</v>
      </c>
      <c r="B4256" t="s">
        <v>71</v>
      </c>
      <c r="C4256" t="s">
        <v>126</v>
      </c>
      <c r="D4256">
        <v>7200</v>
      </c>
      <c r="E4256">
        <v>7200</v>
      </c>
      <c r="F4256">
        <v>4.4390000000000001</v>
      </c>
      <c r="G4256">
        <v>5118.16</v>
      </c>
      <c r="H4256">
        <v>16.010000000000002</v>
      </c>
      <c r="I4256">
        <v>37080</v>
      </c>
      <c r="J4256">
        <v>5.15</v>
      </c>
      <c r="K4256" s="133">
        <v>7.8547777840362737E-2</v>
      </c>
      <c r="L4256" s="181">
        <v>349.94999999999982</v>
      </c>
      <c r="M4256" s="133">
        <v>6.7705811965728682E-2</v>
      </c>
      <c r="N4256" s="73">
        <v>-31997.544000000002</v>
      </c>
      <c r="O4256" s="73">
        <v>938.75856594911909</v>
      </c>
      <c r="P4256" s="182">
        <v>3</v>
      </c>
      <c r="Q4256" s="182">
        <v>2400</v>
      </c>
      <c r="R4256" s="46">
        <v>5.1669999999999998</v>
      </c>
      <c r="S4256" s="46">
        <v>1</v>
      </c>
      <c r="T4256" s="46">
        <v>400</v>
      </c>
      <c r="U4256" s="46">
        <v>6.11</v>
      </c>
      <c r="V4256" s="46" t="s">
        <v>62</v>
      </c>
      <c r="W4256" s="46">
        <v>2000</v>
      </c>
      <c r="X4256" s="46">
        <v>4.9779999999999998</v>
      </c>
      <c r="AF4256" s="46">
        <v>76</v>
      </c>
      <c r="AG4256" s="46">
        <v>40200</v>
      </c>
      <c r="AH4256" s="46">
        <v>242313.83999999979</v>
      </c>
      <c r="AI4256" s="46">
        <v>6.0279999999999996</v>
      </c>
      <c r="AJ4256" s="46">
        <v>81</v>
      </c>
      <c r="AK4256" s="46">
        <v>35000</v>
      </c>
      <c r="AL4256" s="46">
        <v>220141.22</v>
      </c>
      <c r="AM4256" s="46">
        <v>6.29</v>
      </c>
      <c r="AN4256" s="46" t="s">
        <v>63</v>
      </c>
      <c r="AO4256" s="46">
        <v>5200</v>
      </c>
      <c r="AP4256" s="46">
        <v>22172.62</v>
      </c>
      <c r="AQ4256" s="46">
        <v>4.2640000000000002</v>
      </c>
      <c r="AR4256" s="46">
        <v>9170</v>
      </c>
      <c r="AS4256" s="46">
        <v>79</v>
      </c>
      <c r="AT4256" s="46">
        <v>42600</v>
      </c>
      <c r="AU4256" s="46">
        <v>254731.27999999977</v>
      </c>
      <c r="AV4256" s="46">
        <v>5.98</v>
      </c>
      <c r="AW4256" s="46">
        <v>82</v>
      </c>
      <c r="AX4256" s="46">
        <v>35400</v>
      </c>
      <c r="AY4256" s="46">
        <v>222577.53599999999</v>
      </c>
      <c r="AZ4256" s="46">
        <v>6.2880000000000003</v>
      </c>
      <c r="BA4256" s="46" t="s">
        <v>63</v>
      </c>
      <c r="BB4256" s="46">
        <v>7200</v>
      </c>
      <c r="BC4256" s="46">
        <v>32153.743999999999</v>
      </c>
      <c r="BD4256" s="46">
        <v>4.4660000000000002</v>
      </c>
      <c r="BE4256" s="46">
        <v>10903.2</v>
      </c>
      <c r="BF4256" s="46">
        <v>12417.439999999973</v>
      </c>
      <c r="BG4256" s="46">
        <v>5.17</v>
      </c>
      <c r="BH4256" s="46">
        <v>2436.3159999999916</v>
      </c>
      <c r="BI4256">
        <v>6.09</v>
      </c>
      <c r="BJ4256">
        <v>9981.1239999999998</v>
      </c>
      <c r="BK4256">
        <v>4.99</v>
      </c>
      <c r="BL4256">
        <v>1780.58</v>
      </c>
    </row>
    <row r="4257" spans="1:64" x14ac:dyDescent="0.25">
      <c r="A4257" s="136">
        <v>44095</v>
      </c>
      <c r="B4257" t="s">
        <v>79</v>
      </c>
      <c r="C4257" t="s">
        <v>143</v>
      </c>
      <c r="D4257">
        <v>11600</v>
      </c>
      <c r="E4257">
        <v>11600</v>
      </c>
      <c r="F4257">
        <v>9.3179999999999996</v>
      </c>
      <c r="G4257">
        <v>-23182.35</v>
      </c>
      <c r="H4257">
        <v>-21.45</v>
      </c>
      <c r="I4257">
        <v>84912</v>
      </c>
      <c r="J4257">
        <v>7.32</v>
      </c>
      <c r="K4257" s="133">
        <v>0.17987186925514781</v>
      </c>
      <c r="L4257" s="181">
        <v>3978.9600000000028</v>
      </c>
      <c r="M4257" s="133">
        <v>0.22897980015098207</v>
      </c>
      <c r="N4257" s="73">
        <v>-24964.139400000495</v>
      </c>
      <c r="O4257" s="73">
        <v>-3480.0079958578094</v>
      </c>
      <c r="P4257" s="182">
        <v>7</v>
      </c>
      <c r="Q4257" s="182">
        <v>7320</v>
      </c>
      <c r="R4257" s="46">
        <v>4.5049999999999999</v>
      </c>
      <c r="S4257" s="46">
        <v>0</v>
      </c>
      <c r="T4257" s="46">
        <v>0</v>
      </c>
      <c r="U4257" s="46">
        <v>0</v>
      </c>
      <c r="V4257" s="46" t="s">
        <v>62</v>
      </c>
      <c r="W4257" s="46">
        <v>7320</v>
      </c>
      <c r="X4257" s="46">
        <v>4.5049999999999999</v>
      </c>
      <c r="AF4257" s="46">
        <v>102</v>
      </c>
      <c r="AG4257" s="46">
        <v>48000</v>
      </c>
      <c r="AH4257" s="46">
        <v>488026.79999999912</v>
      </c>
      <c r="AI4257" s="46">
        <v>10.167</v>
      </c>
      <c r="AJ4257" s="46">
        <v>102</v>
      </c>
      <c r="AK4257" s="46">
        <v>43720</v>
      </c>
      <c r="AL4257" s="46">
        <v>412908.05259999947</v>
      </c>
      <c r="AM4257" s="46">
        <v>9.4440000000000008</v>
      </c>
      <c r="AN4257" s="46" t="s">
        <v>63</v>
      </c>
      <c r="AO4257" s="46">
        <v>4280</v>
      </c>
      <c r="AP4257" s="46">
        <v>75118.747000000003</v>
      </c>
      <c r="AQ4257" s="46">
        <v>17.550999999999998</v>
      </c>
      <c r="AR4257" s="46">
        <v>-31609.56</v>
      </c>
      <c r="AS4257" s="46">
        <v>109</v>
      </c>
      <c r="AT4257" s="46">
        <v>55320</v>
      </c>
      <c r="AU4257" s="46">
        <v>521044.19199999899</v>
      </c>
      <c r="AV4257" s="46">
        <v>9.4190000000000005</v>
      </c>
      <c r="AW4257" s="46">
        <v>102</v>
      </c>
      <c r="AX4257" s="46">
        <v>43720</v>
      </c>
      <c r="AY4257" s="46">
        <v>412908.05259999947</v>
      </c>
      <c r="AZ4257" s="46">
        <v>9.4440000000000008</v>
      </c>
      <c r="BA4257" s="46" t="s">
        <v>63</v>
      </c>
      <c r="BB4257" s="46">
        <v>11600</v>
      </c>
      <c r="BC4257" s="46">
        <v>108136.139</v>
      </c>
      <c r="BD4257" s="46">
        <v>9.3219999999999992</v>
      </c>
      <c r="BE4257" s="46">
        <v>1093</v>
      </c>
      <c r="BF4257" s="46">
        <v>33017.391999999876</v>
      </c>
      <c r="BG4257" s="46">
        <v>4.51</v>
      </c>
      <c r="BH4257" s="46">
        <v>0</v>
      </c>
      <c r="BJ4257">
        <v>33017.391999999993</v>
      </c>
      <c r="BK4257">
        <v>4.51</v>
      </c>
      <c r="BL4257">
        <v>-4318.25</v>
      </c>
    </row>
    <row r="4258" spans="1:64" x14ac:dyDescent="0.25">
      <c r="A4258" s="136">
        <v>44095</v>
      </c>
      <c r="B4258" t="s">
        <v>749</v>
      </c>
      <c r="C4258" t="s">
        <v>750</v>
      </c>
      <c r="D4258">
        <v>500</v>
      </c>
      <c r="E4258">
        <v>500</v>
      </c>
      <c r="F4258">
        <v>5.65</v>
      </c>
      <c r="G4258">
        <v>395</v>
      </c>
      <c r="H4258">
        <v>13.98</v>
      </c>
      <c r="I4258">
        <v>3220</v>
      </c>
      <c r="J4258">
        <v>6.44</v>
      </c>
      <c r="K4258" s="133">
        <v>6.8210314090066887E-3</v>
      </c>
      <c r="L4258" s="181">
        <v>170</v>
      </c>
      <c r="M4258" s="133">
        <v>5.984289978398726E-3</v>
      </c>
    </row>
    <row r="4259" spans="1:64" x14ac:dyDescent="0.25">
      <c r="A4259" s="136">
        <v>44095</v>
      </c>
      <c r="B4259" t="s">
        <v>776</v>
      </c>
      <c r="C4259" t="s">
        <v>777</v>
      </c>
      <c r="D4259">
        <v>1</v>
      </c>
      <c r="E4259">
        <v>1</v>
      </c>
      <c r="F4259">
        <v>-137.5</v>
      </c>
      <c r="G4259">
        <v>216.46</v>
      </c>
      <c r="H4259">
        <v>0</v>
      </c>
      <c r="I4259">
        <v>78.959999999999994</v>
      </c>
      <c r="J4259">
        <v>78.959999999999994</v>
      </c>
      <c r="K4259" s="133">
        <v>1.6726355281216401E-4</v>
      </c>
      <c r="L4259" s="181">
        <v>8.2900000000000205</v>
      </c>
      <c r="M4259" s="133">
        <v>0</v>
      </c>
    </row>
    <row r="4260" spans="1:64" x14ac:dyDescent="0.25">
      <c r="A4260" s="136">
        <v>44095</v>
      </c>
      <c r="B4260" t="s">
        <v>65</v>
      </c>
      <c r="C4260" t="s">
        <v>82</v>
      </c>
      <c r="D4260">
        <v>27100</v>
      </c>
      <c r="E4260">
        <v>27100</v>
      </c>
      <c r="F4260">
        <v>8.141</v>
      </c>
      <c r="G4260">
        <v>-32000.02</v>
      </c>
      <c r="H4260">
        <v>-14.5</v>
      </c>
      <c r="I4260">
        <v>188616</v>
      </c>
      <c r="J4260">
        <v>6.96</v>
      </c>
      <c r="K4260" s="133">
        <v>0.39955144727987751</v>
      </c>
      <c r="L4260" s="181">
        <v>6348.4900000000016</v>
      </c>
      <c r="M4260" s="133">
        <v>0.46733813718945583</v>
      </c>
      <c r="P4260" s="182">
        <v>1</v>
      </c>
      <c r="Q4260" s="182">
        <v>400</v>
      </c>
      <c r="R4260" s="46">
        <v>6.92</v>
      </c>
      <c r="S4260" s="46">
        <v>0</v>
      </c>
      <c r="T4260" s="46">
        <v>0</v>
      </c>
      <c r="U4260" s="46">
        <v>0</v>
      </c>
      <c r="V4260" s="46" t="s">
        <v>62</v>
      </c>
      <c r="W4260" s="46">
        <v>400</v>
      </c>
      <c r="X4260" s="46">
        <v>6.92</v>
      </c>
      <c r="AF4260" s="46">
        <v>313</v>
      </c>
      <c r="AG4260" s="46">
        <v>166400</v>
      </c>
      <c r="AH4260" s="46">
        <v>1648511.6810000001</v>
      </c>
      <c r="AI4260" s="46">
        <v>9.907</v>
      </c>
      <c r="AJ4260" s="46">
        <v>343</v>
      </c>
      <c r="AK4260" s="46">
        <v>149000</v>
      </c>
      <c r="AL4260" s="46">
        <v>1414046.0689999999</v>
      </c>
      <c r="AM4260" s="46">
        <v>9.49</v>
      </c>
      <c r="AN4260" s="46" t="s">
        <v>63</v>
      </c>
      <c r="AO4260" s="46">
        <v>17400</v>
      </c>
      <c r="AP4260" s="46">
        <v>234465.61199999999</v>
      </c>
      <c r="AQ4260" s="46">
        <v>13.475</v>
      </c>
      <c r="AR4260" s="46">
        <v>-62133</v>
      </c>
      <c r="AS4260" s="46">
        <v>318</v>
      </c>
      <c r="AT4260" s="46">
        <v>168600</v>
      </c>
      <c r="AU4260" s="46">
        <v>1663846.6810000001</v>
      </c>
      <c r="AV4260" s="46">
        <v>9.8689999999999998</v>
      </c>
      <c r="AW4260" s="46">
        <v>347</v>
      </c>
      <c r="AX4260" s="46">
        <v>150600</v>
      </c>
      <c r="AY4260" s="46">
        <v>1427104.9769999997</v>
      </c>
      <c r="AZ4260" s="46">
        <v>9.4760000000000009</v>
      </c>
      <c r="BA4260" s="46" t="s">
        <v>63</v>
      </c>
      <c r="BB4260" s="46">
        <v>18000</v>
      </c>
      <c r="BC4260" s="46">
        <v>236741.704</v>
      </c>
      <c r="BD4260" s="46">
        <v>13.151999999999999</v>
      </c>
      <c r="BE4260" s="46">
        <v>-59185.8</v>
      </c>
      <c r="BF4260" s="46">
        <v>15335</v>
      </c>
      <c r="BG4260" s="46">
        <v>38.340000000000003</v>
      </c>
      <c r="BH4260" s="46">
        <v>13058.907999999821</v>
      </c>
      <c r="BJ4260">
        <v>2276.0920000000042</v>
      </c>
      <c r="BK4260">
        <v>5.69</v>
      </c>
      <c r="BL4260">
        <v>-8927.16</v>
      </c>
    </row>
    <row r="4261" spans="1:64" x14ac:dyDescent="0.25">
      <c r="A4261" s="136">
        <v>44095</v>
      </c>
      <c r="B4261" t="s">
        <v>77</v>
      </c>
      <c r="C4261" t="s">
        <v>150</v>
      </c>
      <c r="D4261">
        <v>7300</v>
      </c>
      <c r="E4261">
        <v>7300</v>
      </c>
      <c r="F4261">
        <v>4.8239999999999998</v>
      </c>
      <c r="G4261">
        <v>-13973.17</v>
      </c>
      <c r="H4261">
        <v>-39.68</v>
      </c>
      <c r="I4261">
        <v>21243</v>
      </c>
      <c r="J4261">
        <v>2.91</v>
      </c>
      <c r="K4261" s="133">
        <v>4.4999742304822697E-2</v>
      </c>
      <c r="L4261" s="181">
        <v>657</v>
      </c>
      <c r="M4261" s="133">
        <v>7.4599565737552512E-2</v>
      </c>
      <c r="N4261" s="73">
        <v>-14113.127999999982</v>
      </c>
      <c r="O4261" s="73">
        <v>-4596.7302148648596</v>
      </c>
      <c r="P4261" s="182">
        <v>6</v>
      </c>
      <c r="Q4261" s="182">
        <v>3500</v>
      </c>
      <c r="R4261" s="46">
        <v>3.7789999999999999</v>
      </c>
      <c r="S4261" s="46">
        <v>0</v>
      </c>
      <c r="T4261" s="46">
        <v>0</v>
      </c>
      <c r="U4261" s="46">
        <v>0</v>
      </c>
      <c r="V4261" s="46" t="s">
        <v>62</v>
      </c>
      <c r="W4261" s="46">
        <v>3500</v>
      </c>
      <c r="X4261" s="46">
        <v>3.7789999999999999</v>
      </c>
      <c r="AF4261" s="46">
        <v>72</v>
      </c>
      <c r="AG4261" s="46">
        <v>35400</v>
      </c>
      <c r="AH4261" s="46">
        <v>210838</v>
      </c>
      <c r="AI4261" s="46">
        <v>5.9560000000000004</v>
      </c>
      <c r="AJ4261" s="46">
        <v>71</v>
      </c>
      <c r="AK4261" s="46">
        <v>31600</v>
      </c>
      <c r="AL4261" s="46">
        <v>188583.87200000006</v>
      </c>
      <c r="AM4261" s="46">
        <v>5.968</v>
      </c>
      <c r="AN4261" s="46" t="s">
        <v>63</v>
      </c>
      <c r="AO4261" s="46">
        <v>3800</v>
      </c>
      <c r="AP4261" s="46">
        <v>22254.128000000001</v>
      </c>
      <c r="AQ4261" s="46">
        <v>5.8559999999999999</v>
      </c>
      <c r="AR4261" s="46">
        <v>379.2</v>
      </c>
      <c r="AS4261" s="46">
        <v>78</v>
      </c>
      <c r="AT4261" s="46">
        <v>38900</v>
      </c>
      <c r="AU4261" s="46">
        <v>223805</v>
      </c>
      <c r="AV4261" s="46">
        <v>5.7530000000000001</v>
      </c>
      <c r="AW4261" s="46">
        <v>71</v>
      </c>
      <c r="AX4261" s="46">
        <v>31600</v>
      </c>
      <c r="AY4261" s="46">
        <v>188583.87200000006</v>
      </c>
      <c r="AZ4261" s="46">
        <v>5.968</v>
      </c>
      <c r="BA4261" s="46" t="s">
        <v>63</v>
      </c>
      <c r="BB4261" s="46">
        <v>7300</v>
      </c>
      <c r="BC4261" s="46">
        <v>35221.127999999997</v>
      </c>
      <c r="BD4261" s="46">
        <v>4.8250000000000002</v>
      </c>
      <c r="BE4261" s="46">
        <v>6794</v>
      </c>
      <c r="BF4261" s="46">
        <v>12967</v>
      </c>
      <c r="BG4261" s="46">
        <v>3.7</v>
      </c>
      <c r="BH4261" s="46">
        <v>0</v>
      </c>
      <c r="BJ4261">
        <v>12966.999999999996</v>
      </c>
      <c r="BK4261">
        <v>3.7</v>
      </c>
      <c r="BL4261">
        <v>130.31</v>
      </c>
    </row>
    <row r="4262" spans="1:64" x14ac:dyDescent="0.25">
      <c r="A4262" s="136">
        <v>44095</v>
      </c>
      <c r="B4262" t="s">
        <v>72</v>
      </c>
      <c r="C4262" t="s">
        <v>130</v>
      </c>
      <c r="D4262">
        <v>100</v>
      </c>
      <c r="E4262">
        <v>100</v>
      </c>
      <c r="F4262">
        <v>1.53</v>
      </c>
      <c r="G4262">
        <v>454</v>
      </c>
      <c r="H4262">
        <v>296.73</v>
      </c>
      <c r="I4262">
        <v>607</v>
      </c>
      <c r="J4262">
        <v>6.07</v>
      </c>
      <c r="K4262" s="133">
        <v>1.2858279705798325E-3</v>
      </c>
      <c r="L4262" s="181">
        <v>77</v>
      </c>
      <c r="M4262" s="133">
        <v>3.2410490856460357E-4</v>
      </c>
      <c r="N4262" s="73">
        <v>-1498.9659999999872</v>
      </c>
      <c r="O4262" s="73">
        <v>376.42007904191922</v>
      </c>
      <c r="P4262" s="182">
        <v>0</v>
      </c>
      <c r="Q4262" s="182">
        <v>0</v>
      </c>
      <c r="R4262" s="46">
        <v>0</v>
      </c>
      <c r="S4262" s="46">
        <v>20</v>
      </c>
      <c r="T4262" s="46">
        <v>8600</v>
      </c>
      <c r="U4262" s="46">
        <v>7.3840000000000003</v>
      </c>
      <c r="V4262" s="46" t="s">
        <v>68</v>
      </c>
      <c r="W4262" s="46">
        <v>8600</v>
      </c>
      <c r="X4262" s="46">
        <v>7.3840000000000003</v>
      </c>
      <c r="AF4262" s="46">
        <v>42</v>
      </c>
      <c r="AG4262" s="46">
        <v>20900</v>
      </c>
      <c r="AH4262" s="46">
        <v>152800</v>
      </c>
      <c r="AI4262" s="46">
        <v>7.3109999999999999</v>
      </c>
      <c r="AJ4262" s="46">
        <v>42</v>
      </c>
      <c r="AK4262" s="46">
        <v>18800</v>
      </c>
      <c r="AL4262" s="46">
        <v>92037.725000000035</v>
      </c>
      <c r="AM4262" s="46">
        <v>4.8959999999999999</v>
      </c>
      <c r="AN4262" s="46" t="s">
        <v>63</v>
      </c>
      <c r="AO4262" s="46">
        <v>2100</v>
      </c>
      <c r="AP4262" s="46">
        <v>60762.275000000001</v>
      </c>
      <c r="AQ4262" s="46">
        <v>28.934000000000001</v>
      </c>
      <c r="AR4262" s="46">
        <v>-45402</v>
      </c>
      <c r="AS4262" s="46">
        <v>42</v>
      </c>
      <c r="AT4262" s="46">
        <v>20900</v>
      </c>
      <c r="AU4262" s="46">
        <v>152800</v>
      </c>
      <c r="AV4262" s="46">
        <v>7.3109999999999999</v>
      </c>
      <c r="AW4262" s="46">
        <v>63</v>
      </c>
      <c r="AX4262" s="46">
        <v>27900</v>
      </c>
      <c r="AY4262" s="46">
        <v>155380.21900000001</v>
      </c>
      <c r="AZ4262" s="46">
        <v>5.569</v>
      </c>
      <c r="BA4262" s="46" t="s">
        <v>69</v>
      </c>
      <c r="BB4262" s="46">
        <v>7000</v>
      </c>
      <c r="BC4262" s="46">
        <v>2580.2190000000001</v>
      </c>
      <c r="BD4262" s="46">
        <v>0.36899999999999999</v>
      </c>
      <c r="BE4262" s="46">
        <v>-36407.800000000003</v>
      </c>
      <c r="BF4262" s="46">
        <v>0</v>
      </c>
      <c r="BH4262" s="46">
        <v>63342.493999999977</v>
      </c>
      <c r="BI4262">
        <v>7.37</v>
      </c>
      <c r="BJ4262">
        <v>-58182.056000000004</v>
      </c>
      <c r="BK4262">
        <v>-6.77</v>
      </c>
      <c r="BL4262">
        <v>-7479.74</v>
      </c>
    </row>
    <row r="4263" spans="1:64" x14ac:dyDescent="0.25">
      <c r="A4263" s="136">
        <v>44095</v>
      </c>
      <c r="B4263" t="s">
        <v>70</v>
      </c>
      <c r="C4263" t="s">
        <v>131</v>
      </c>
      <c r="D4263">
        <v>11880</v>
      </c>
      <c r="E4263">
        <v>11880</v>
      </c>
      <c r="F4263">
        <v>8.2100000000000009</v>
      </c>
      <c r="G4263">
        <v>-8788.69</v>
      </c>
      <c r="H4263">
        <v>-9.01</v>
      </c>
      <c r="I4263">
        <v>88743.6</v>
      </c>
      <c r="J4263">
        <v>7.47</v>
      </c>
      <c r="K4263" s="133">
        <v>0.18798847296531865</v>
      </c>
      <c r="L4263" s="181">
        <v>5391.48</v>
      </c>
      <c r="M4263" s="133">
        <v>0.20660584269638169</v>
      </c>
      <c r="N4263" s="73">
        <v>48405.015000000043</v>
      </c>
      <c r="O4263" s="73">
        <v>-1142.1502680240321</v>
      </c>
      <c r="P4263" s="182">
        <v>0</v>
      </c>
      <c r="Q4263" s="182">
        <v>0</v>
      </c>
      <c r="R4263" s="46">
        <v>0</v>
      </c>
      <c r="S4263" s="46">
        <v>15</v>
      </c>
      <c r="T4263" s="46">
        <v>7600</v>
      </c>
      <c r="U4263" s="46">
        <v>7.5119999999999996</v>
      </c>
      <c r="V4263" s="46" t="s">
        <v>68</v>
      </c>
      <c r="W4263" s="46">
        <v>7600</v>
      </c>
      <c r="X4263" s="46">
        <v>7.5119999999999996</v>
      </c>
      <c r="AF4263" s="46">
        <v>240</v>
      </c>
      <c r="AG4263" s="46">
        <v>118180</v>
      </c>
      <c r="AH4263" s="46">
        <v>1270022</v>
      </c>
      <c r="AI4263" s="46">
        <v>10.747</v>
      </c>
      <c r="AJ4263" s="46">
        <v>245</v>
      </c>
      <c r="AK4263" s="46">
        <v>98700</v>
      </c>
      <c r="AL4263" s="46">
        <v>1113325.9029999999</v>
      </c>
      <c r="AM4263" s="46">
        <v>11.28</v>
      </c>
      <c r="AN4263" s="46" t="s">
        <v>63</v>
      </c>
      <c r="AO4263" s="46">
        <v>19480</v>
      </c>
      <c r="AP4263" s="46">
        <v>156696.09700000001</v>
      </c>
      <c r="AQ4263" s="46">
        <v>8.0440000000000005</v>
      </c>
      <c r="AR4263" s="46">
        <v>52607.1</v>
      </c>
      <c r="AS4263" s="46">
        <v>240</v>
      </c>
      <c r="AT4263" s="46">
        <v>118180</v>
      </c>
      <c r="AU4263" s="46">
        <v>1270022</v>
      </c>
      <c r="AV4263" s="46">
        <v>10.747</v>
      </c>
      <c r="AW4263" s="46">
        <v>261</v>
      </c>
      <c r="AX4263" s="46">
        <v>106300</v>
      </c>
      <c r="AY4263" s="46">
        <v>1170711.8149999997</v>
      </c>
      <c r="AZ4263" s="46">
        <v>11.013</v>
      </c>
      <c r="BA4263" s="46" t="s">
        <v>63</v>
      </c>
      <c r="BB4263" s="46">
        <v>11880</v>
      </c>
      <c r="BC4263" s="46">
        <v>99310.184999999998</v>
      </c>
      <c r="BD4263" s="46">
        <v>8.359</v>
      </c>
      <c r="BE4263" s="46">
        <v>28275.8</v>
      </c>
      <c r="BF4263" s="46">
        <v>0</v>
      </c>
      <c r="BH4263" s="46">
        <v>57385.911999999778</v>
      </c>
      <c r="BI4263">
        <v>7.55</v>
      </c>
      <c r="BJ4263">
        <v>-57385.912000000011</v>
      </c>
      <c r="BK4263">
        <v>-7.55</v>
      </c>
      <c r="BL4263">
        <v>7042.45</v>
      </c>
    </row>
    <row r="4264" spans="1:64" x14ac:dyDescent="0.25">
      <c r="A4264" s="136">
        <v>44095</v>
      </c>
      <c r="B4264" t="s">
        <v>628</v>
      </c>
      <c r="C4264" t="s">
        <v>629</v>
      </c>
      <c r="D4264">
        <v>100</v>
      </c>
      <c r="E4264">
        <v>100</v>
      </c>
      <c r="F4264">
        <v>0.95</v>
      </c>
      <c r="G4264">
        <v>1357</v>
      </c>
      <c r="H4264">
        <v>1428.42</v>
      </c>
      <c r="I4264">
        <v>1452</v>
      </c>
      <c r="J4264">
        <v>14.52</v>
      </c>
      <c r="K4264" s="133">
        <v>3.075819132260159E-3</v>
      </c>
      <c r="L4264" s="181">
        <v>70</v>
      </c>
      <c r="M4264" s="133">
        <v>2.012416098930545E-4</v>
      </c>
    </row>
    <row r="4265" spans="1:64" x14ac:dyDescent="0.25">
      <c r="A4265" s="136">
        <v>44095</v>
      </c>
      <c r="B4265" t="s">
        <v>768</v>
      </c>
      <c r="C4265" t="s">
        <v>769</v>
      </c>
      <c r="D4265">
        <v>500</v>
      </c>
      <c r="E4265">
        <v>500</v>
      </c>
      <c r="F4265">
        <v>2.4140000000000001</v>
      </c>
      <c r="G4265">
        <v>263</v>
      </c>
      <c r="H4265">
        <v>21.79</v>
      </c>
      <c r="I4265">
        <v>1470</v>
      </c>
      <c r="J4265">
        <v>2.94</v>
      </c>
      <c r="K4265" s="133">
        <v>3.1139491215030537E-3</v>
      </c>
      <c r="L4265" s="181">
        <v>-5</v>
      </c>
      <c r="M4265" s="133">
        <v>2.5568276120096502E-3</v>
      </c>
    </row>
    <row r="4266" spans="1:64" x14ac:dyDescent="0.25">
      <c r="A4266" s="136">
        <v>44095</v>
      </c>
      <c r="B4266" t="s">
        <v>137</v>
      </c>
      <c r="C4266" t="s">
        <v>149</v>
      </c>
      <c r="D4266">
        <v>150</v>
      </c>
      <c r="E4266">
        <v>150</v>
      </c>
      <c r="F4266">
        <v>1</v>
      </c>
      <c r="G4266">
        <v>5655</v>
      </c>
      <c r="H4266">
        <v>3770</v>
      </c>
      <c r="I4266">
        <v>5805</v>
      </c>
      <c r="J4266">
        <v>38.700000000000003</v>
      </c>
      <c r="K4266" s="133">
        <v>1.2296921530833487E-2</v>
      </c>
      <c r="L4266" s="181">
        <v>552</v>
      </c>
      <c r="M4266" s="133">
        <v>3.1774991035745444E-4</v>
      </c>
    </row>
    <row r="4267" spans="1:64" x14ac:dyDescent="0.25">
      <c r="A4267" s="136">
        <v>44095</v>
      </c>
      <c r="B4267" t="s">
        <v>835</v>
      </c>
      <c r="C4267" t="s">
        <v>839</v>
      </c>
      <c r="I4267">
        <v>22410.78</v>
      </c>
      <c r="K4267" s="133">
        <v>4.7473488906937554E-2</v>
      </c>
      <c r="L4267" s="181">
        <v>0</v>
      </c>
      <c r="M4267" s="133">
        <v>1.0655213660653306E-5</v>
      </c>
    </row>
    <row r="4268" spans="1:64" x14ac:dyDescent="0.25">
      <c r="A4268" s="136">
        <v>44103</v>
      </c>
      <c r="B4268" t="s">
        <v>132</v>
      </c>
      <c r="C4268" t="s">
        <v>123</v>
      </c>
      <c r="D4268">
        <v>503</v>
      </c>
      <c r="E4268">
        <v>503</v>
      </c>
      <c r="F4268">
        <v>-0.59299999999999997</v>
      </c>
      <c r="G4268">
        <v>303.52999999999997</v>
      </c>
      <c r="H4268">
        <v>0</v>
      </c>
      <c r="I4268">
        <v>5.03</v>
      </c>
      <c r="J4268">
        <v>0.01</v>
      </c>
      <c r="K4268" s="133">
        <v>1.117259121265706E-5</v>
      </c>
      <c r="L4268" s="181">
        <v>0</v>
      </c>
      <c r="M4268" s="133">
        <v>0</v>
      </c>
    </row>
    <row r="4269" spans="1:64" x14ac:dyDescent="0.25">
      <c r="A4269" s="136">
        <v>44103</v>
      </c>
      <c r="B4269" t="s">
        <v>61</v>
      </c>
      <c r="C4269" t="s">
        <v>136</v>
      </c>
      <c r="D4269">
        <v>4500</v>
      </c>
      <c r="E4269">
        <v>4500</v>
      </c>
      <c r="F4269">
        <v>4.1360000000000001</v>
      </c>
      <c r="G4269">
        <v>-3223.23</v>
      </c>
      <c r="H4269">
        <v>-17.32</v>
      </c>
      <c r="I4269">
        <v>15390</v>
      </c>
      <c r="J4269">
        <v>3.42</v>
      </c>
      <c r="K4269" s="133">
        <v>3.4184130966757882E-2</v>
      </c>
      <c r="L4269" s="181">
        <v>-540</v>
      </c>
      <c r="M4269" s="133">
        <v>4.1343540742975103E-2</v>
      </c>
      <c r="N4269" s="73">
        <v>-2638.6950000000033</v>
      </c>
      <c r="O4269" s="73">
        <v>-742.9227190140856</v>
      </c>
      <c r="P4269" s="182">
        <v>3</v>
      </c>
      <c r="Q4269" s="182">
        <v>1500</v>
      </c>
      <c r="R4269" s="46">
        <v>4.2329999999999997</v>
      </c>
      <c r="S4269" s="46">
        <v>0</v>
      </c>
      <c r="T4269" s="46">
        <v>0</v>
      </c>
      <c r="U4269" s="46">
        <v>0</v>
      </c>
      <c r="V4269" s="46" t="s">
        <v>62</v>
      </c>
      <c r="W4269" s="46">
        <v>1500</v>
      </c>
      <c r="X4269" s="46">
        <v>4.2329999999999997</v>
      </c>
      <c r="AF4269" s="46">
        <v>34</v>
      </c>
      <c r="AG4269" s="46">
        <v>16900</v>
      </c>
      <c r="AH4269" s="46">
        <v>76511.140000000029</v>
      </c>
      <c r="AI4269" s="46">
        <v>4.5270000000000001</v>
      </c>
      <c r="AJ4269" s="46">
        <v>32</v>
      </c>
      <c r="AK4269" s="46">
        <v>13900</v>
      </c>
      <c r="AL4269" s="46">
        <v>64263.344999999987</v>
      </c>
      <c r="AM4269" s="46">
        <v>4.6230000000000002</v>
      </c>
      <c r="AN4269" s="46" t="s">
        <v>63</v>
      </c>
      <c r="AO4269" s="46">
        <v>3000</v>
      </c>
      <c r="AP4269" s="46">
        <v>12247.795</v>
      </c>
      <c r="AQ4269" s="46">
        <v>4.0830000000000002</v>
      </c>
      <c r="AR4269" s="46">
        <v>1334.4</v>
      </c>
      <c r="AS4269" s="46">
        <v>37</v>
      </c>
      <c r="AT4269" s="46">
        <v>18400</v>
      </c>
      <c r="AU4269" s="46">
        <v>82877.040000000037</v>
      </c>
      <c r="AV4269" s="46">
        <v>4.5039999999999996</v>
      </c>
      <c r="AW4269" s="46">
        <v>32</v>
      </c>
      <c r="AX4269" s="46">
        <v>13900</v>
      </c>
      <c r="AY4269" s="46">
        <v>64263.344999999987</v>
      </c>
      <c r="AZ4269" s="46">
        <v>4.6230000000000002</v>
      </c>
      <c r="BA4269" s="46" t="s">
        <v>63</v>
      </c>
      <c r="BB4269" s="46">
        <v>4500</v>
      </c>
      <c r="BC4269" s="46">
        <v>18613.695</v>
      </c>
      <c r="BD4269" s="46">
        <v>4.1360000000000001</v>
      </c>
      <c r="BE4269" s="46">
        <v>1654.1</v>
      </c>
      <c r="BF4269" s="46">
        <v>6365.9000000000087</v>
      </c>
      <c r="BG4269" s="46">
        <v>4.24</v>
      </c>
      <c r="BH4269" s="46">
        <v>0</v>
      </c>
      <c r="BJ4269">
        <v>6365.9</v>
      </c>
      <c r="BK4269">
        <v>4.24</v>
      </c>
      <c r="BL4269">
        <v>390.18</v>
      </c>
    </row>
    <row r="4270" spans="1:64" x14ac:dyDescent="0.25">
      <c r="A4270" s="136">
        <v>44103</v>
      </c>
      <c r="B4270" t="s">
        <v>124</v>
      </c>
      <c r="C4270" t="s">
        <v>125</v>
      </c>
      <c r="D4270">
        <v>100</v>
      </c>
      <c r="E4270">
        <v>100</v>
      </c>
      <c r="F4270">
        <v>0.73699999999999999</v>
      </c>
      <c r="G4270">
        <v>417.28</v>
      </c>
      <c r="H4270">
        <v>566.19000000000005</v>
      </c>
      <c r="I4270">
        <v>491</v>
      </c>
      <c r="J4270">
        <v>4.91</v>
      </c>
      <c r="K4270" s="133">
        <v>1.0906048281142378E-3</v>
      </c>
      <c r="L4270" s="181">
        <v>-5</v>
      </c>
      <c r="M4270" s="133">
        <v>1.6374620759385263E-4</v>
      </c>
      <c r="N4270" s="73">
        <v>5623.0690000000113</v>
      </c>
      <c r="O4270" s="73">
        <v>1111.8087987827732</v>
      </c>
      <c r="P4270" s="182">
        <v>0</v>
      </c>
      <c r="Q4270" s="182">
        <v>0</v>
      </c>
      <c r="R4270" s="46">
        <v>0</v>
      </c>
      <c r="S4270" s="46">
        <v>5</v>
      </c>
      <c r="T4270" s="46">
        <v>2300</v>
      </c>
      <c r="U4270" s="46">
        <v>4.99</v>
      </c>
      <c r="V4270" s="46" t="s">
        <v>68</v>
      </c>
      <c r="W4270" s="46">
        <v>2300</v>
      </c>
      <c r="X4270" s="46">
        <v>4.99</v>
      </c>
      <c r="AF4270" s="46">
        <v>50</v>
      </c>
      <c r="AG4270" s="46">
        <v>36700</v>
      </c>
      <c r="AH4270" s="46">
        <v>180101.02000000002</v>
      </c>
      <c r="AI4270" s="46">
        <v>4.907</v>
      </c>
      <c r="AJ4270" s="46">
        <v>58</v>
      </c>
      <c r="AK4270" s="46">
        <v>35300</v>
      </c>
      <c r="AL4270" s="46">
        <v>178266.546</v>
      </c>
      <c r="AM4270" s="46">
        <v>5.05</v>
      </c>
      <c r="AN4270" s="46" t="s">
        <v>63</v>
      </c>
      <c r="AO4270" s="46">
        <v>1400</v>
      </c>
      <c r="AP4270" s="46">
        <v>1834.4739999999999</v>
      </c>
      <c r="AQ4270" s="46">
        <v>1.31</v>
      </c>
      <c r="AR4270" s="46">
        <v>5047.8999999999996</v>
      </c>
      <c r="AS4270" s="46">
        <v>51</v>
      </c>
      <c r="AT4270" s="46">
        <v>37700</v>
      </c>
      <c r="AU4270" s="46">
        <v>185106.62</v>
      </c>
      <c r="AV4270" s="46">
        <v>4.91</v>
      </c>
      <c r="AW4270" s="46">
        <v>63</v>
      </c>
      <c r="AX4270" s="46">
        <v>37600</v>
      </c>
      <c r="AY4270" s="46">
        <v>189763.68900000001</v>
      </c>
      <c r="AZ4270" s="46">
        <v>5.0469999999999997</v>
      </c>
      <c r="BA4270" s="46" t="s">
        <v>63</v>
      </c>
      <c r="BB4270" s="46">
        <v>100</v>
      </c>
      <c r="BC4270" s="46">
        <v>4657.0690000000004</v>
      </c>
      <c r="BD4270" s="46">
        <v>46.570999999999998</v>
      </c>
      <c r="BE4270" s="46">
        <v>5151.2</v>
      </c>
      <c r="BF4270" s="46">
        <v>5005.5999999999767</v>
      </c>
      <c r="BH4270" s="46">
        <v>11497.143000000011</v>
      </c>
      <c r="BI4270">
        <v>5</v>
      </c>
      <c r="BJ4270">
        <v>2822.5950000000003</v>
      </c>
      <c r="BK4270">
        <v>1.23</v>
      </c>
      <c r="BL4270">
        <v>1028.0899999999999</v>
      </c>
    </row>
    <row r="4271" spans="1:64" x14ac:dyDescent="0.25">
      <c r="A4271" s="136">
        <v>44103</v>
      </c>
      <c r="B4271" t="s">
        <v>71</v>
      </c>
      <c r="C4271" t="s">
        <v>126</v>
      </c>
      <c r="D4271">
        <v>7200</v>
      </c>
      <c r="E4271">
        <v>7200</v>
      </c>
      <c r="F4271">
        <v>4.4390000000000001</v>
      </c>
      <c r="G4271">
        <v>4326.16</v>
      </c>
      <c r="H4271">
        <v>13.54</v>
      </c>
      <c r="I4271">
        <v>36288</v>
      </c>
      <c r="J4271">
        <v>5.04</v>
      </c>
      <c r="K4271" s="133">
        <v>8.060258249003964E-2</v>
      </c>
      <c r="L4271" s="181">
        <v>-792</v>
      </c>
      <c r="M4271" s="133">
        <v>7.0993354418360022E-2</v>
      </c>
      <c r="N4271" s="73">
        <v>-31997.544000000002</v>
      </c>
      <c r="O4271" s="73">
        <v>938.75856594911909</v>
      </c>
      <c r="P4271" s="182">
        <v>2</v>
      </c>
      <c r="Q4271" s="182">
        <v>2000</v>
      </c>
      <c r="R4271" s="46">
        <v>5.1630000000000003</v>
      </c>
      <c r="S4271" s="46">
        <v>0</v>
      </c>
      <c r="T4271" s="46">
        <v>0</v>
      </c>
      <c r="U4271" s="46">
        <v>0</v>
      </c>
      <c r="V4271" s="46" t="s">
        <v>62</v>
      </c>
      <c r="W4271" s="46">
        <v>2000</v>
      </c>
      <c r="X4271" s="46">
        <v>5.1630000000000003</v>
      </c>
      <c r="AF4271" s="46">
        <v>77</v>
      </c>
      <c r="AG4271" s="46">
        <v>40600</v>
      </c>
      <c r="AH4271" s="46">
        <v>244395.07999999978</v>
      </c>
      <c r="AI4271" s="46">
        <v>6.02</v>
      </c>
      <c r="AJ4271" s="46">
        <v>82</v>
      </c>
      <c r="AK4271" s="46">
        <v>35400</v>
      </c>
      <c r="AL4271" s="46">
        <v>222577.53599999999</v>
      </c>
      <c r="AM4271" s="46">
        <v>6.2880000000000003</v>
      </c>
      <c r="AN4271" s="46" t="s">
        <v>63</v>
      </c>
      <c r="AO4271" s="46">
        <v>5200</v>
      </c>
      <c r="AP4271" s="46">
        <v>21817.544000000002</v>
      </c>
      <c r="AQ4271" s="46">
        <v>4.1959999999999997</v>
      </c>
      <c r="AR4271" s="46">
        <v>9487.2000000000007</v>
      </c>
      <c r="AS4271" s="46">
        <v>79</v>
      </c>
      <c r="AT4271" s="46">
        <v>42600</v>
      </c>
      <c r="AU4271" s="46">
        <v>254731.27999999977</v>
      </c>
      <c r="AV4271" s="46">
        <v>5.98</v>
      </c>
      <c r="AW4271" s="46">
        <v>82</v>
      </c>
      <c r="AX4271" s="46">
        <v>35400</v>
      </c>
      <c r="AY4271" s="46">
        <v>222577.53599999999</v>
      </c>
      <c r="AZ4271" s="46">
        <v>6.2880000000000003</v>
      </c>
      <c r="BA4271" s="46" t="s">
        <v>63</v>
      </c>
      <c r="BB4271" s="46">
        <v>7200</v>
      </c>
      <c r="BC4271" s="46">
        <v>32153.743999999999</v>
      </c>
      <c r="BD4271" s="46">
        <v>4.4660000000000002</v>
      </c>
      <c r="BE4271" s="46">
        <v>10903.2</v>
      </c>
      <c r="BF4271" s="46">
        <v>10336.199999999983</v>
      </c>
      <c r="BG4271" s="46">
        <v>5.17</v>
      </c>
      <c r="BH4271" s="46">
        <v>0</v>
      </c>
      <c r="BJ4271">
        <v>10336.199999999997</v>
      </c>
      <c r="BK4271">
        <v>5.17</v>
      </c>
      <c r="BL4271">
        <v>1882.38</v>
      </c>
    </row>
    <row r="4272" spans="1:64" x14ac:dyDescent="0.25">
      <c r="A4272" s="136">
        <v>44103</v>
      </c>
      <c r="B4272" t="s">
        <v>79</v>
      </c>
      <c r="C4272" t="s">
        <v>143</v>
      </c>
      <c r="D4272">
        <v>12000</v>
      </c>
      <c r="E4272">
        <v>12000</v>
      </c>
      <c r="F4272">
        <v>9.2420000000000009</v>
      </c>
      <c r="G4272">
        <v>-28703.41</v>
      </c>
      <c r="H4272">
        <v>-25.88</v>
      </c>
      <c r="I4272">
        <v>82200</v>
      </c>
      <c r="J4272">
        <v>6.85</v>
      </c>
      <c r="K4272" s="133">
        <v>0.18258190808755673</v>
      </c>
      <c r="L4272" s="181">
        <v>-5521.0600000000013</v>
      </c>
      <c r="M4272" s="133">
        <v>0.24633766680312189</v>
      </c>
      <c r="N4272" s="73">
        <v>-26825.3794000005</v>
      </c>
      <c r="O4272" s="73">
        <v>-3824.8169344223256</v>
      </c>
      <c r="P4272" s="182">
        <v>8</v>
      </c>
      <c r="Q4272" s="182">
        <v>7720</v>
      </c>
      <c r="R4272" s="46">
        <v>4.6349999999999998</v>
      </c>
      <c r="S4272" s="46">
        <v>0</v>
      </c>
      <c r="T4272" s="46">
        <v>0</v>
      </c>
      <c r="U4272" s="46">
        <v>0</v>
      </c>
      <c r="V4272" s="46" t="s">
        <v>62</v>
      </c>
      <c r="W4272" s="46">
        <v>7720</v>
      </c>
      <c r="X4272" s="46">
        <v>4.6349999999999998</v>
      </c>
      <c r="AF4272" s="46">
        <v>102</v>
      </c>
      <c r="AG4272" s="46">
        <v>48000</v>
      </c>
      <c r="AH4272" s="46">
        <v>488026.79999999912</v>
      </c>
      <c r="AI4272" s="46">
        <v>10.167</v>
      </c>
      <c r="AJ4272" s="46">
        <v>102</v>
      </c>
      <c r="AK4272" s="46">
        <v>43720</v>
      </c>
      <c r="AL4272" s="46">
        <v>412908.05259999947</v>
      </c>
      <c r="AM4272" s="46">
        <v>9.4440000000000008</v>
      </c>
      <c r="AN4272" s="46" t="s">
        <v>63</v>
      </c>
      <c r="AO4272" s="46">
        <v>4280</v>
      </c>
      <c r="AP4272" s="46">
        <v>75118.747000000003</v>
      </c>
      <c r="AQ4272" s="46">
        <v>17.550999999999998</v>
      </c>
      <c r="AR4272" s="46">
        <v>-31609.56</v>
      </c>
      <c r="AS4272" s="46">
        <v>110</v>
      </c>
      <c r="AT4272" s="46">
        <v>55720</v>
      </c>
      <c r="AU4272" s="46">
        <v>523853.43199999898</v>
      </c>
      <c r="AV4272" s="46">
        <v>9.4019999999999992</v>
      </c>
      <c r="AW4272" s="46">
        <v>102</v>
      </c>
      <c r="AX4272" s="46">
        <v>43720</v>
      </c>
      <c r="AY4272" s="46">
        <v>412908.05259999947</v>
      </c>
      <c r="AZ4272" s="46">
        <v>9.4440000000000008</v>
      </c>
      <c r="BA4272" s="46" t="s">
        <v>63</v>
      </c>
      <c r="BB4272" s="46">
        <v>12000</v>
      </c>
      <c r="BC4272" s="46">
        <v>110945.379</v>
      </c>
      <c r="BD4272" s="46">
        <v>9.2449999999999992</v>
      </c>
      <c r="BE4272" s="46">
        <v>1836.24</v>
      </c>
      <c r="BF4272" s="46">
        <v>35826.631999999867</v>
      </c>
      <c r="BG4272" s="46">
        <v>4.6399999999999997</v>
      </c>
      <c r="BH4272" s="46">
        <v>0</v>
      </c>
      <c r="BJ4272">
        <v>35826.631999999998</v>
      </c>
      <c r="BK4272">
        <v>4.6399999999999997</v>
      </c>
      <c r="BL4272">
        <v>-4614.53</v>
      </c>
    </row>
    <row r="4273" spans="1:64" x14ac:dyDescent="0.25">
      <c r="A4273" s="136">
        <v>44103</v>
      </c>
      <c r="B4273" t="s">
        <v>749</v>
      </c>
      <c r="C4273" t="s">
        <v>750</v>
      </c>
      <c r="D4273">
        <v>500</v>
      </c>
      <c r="E4273">
        <v>500</v>
      </c>
      <c r="F4273">
        <v>5.65</v>
      </c>
      <c r="G4273">
        <v>335</v>
      </c>
      <c r="H4273">
        <v>11.86</v>
      </c>
      <c r="I4273">
        <v>3160</v>
      </c>
      <c r="J4273">
        <v>6.32</v>
      </c>
      <c r="K4273" s="133">
        <v>7.0189638632199422E-3</v>
      </c>
      <c r="L4273" s="181">
        <v>-60</v>
      </c>
      <c r="M4273" s="133">
        <v>6.2748648460747899E-3</v>
      </c>
    </row>
    <row r="4274" spans="1:64" x14ac:dyDescent="0.25">
      <c r="A4274" s="136">
        <v>44103</v>
      </c>
      <c r="B4274" t="s">
        <v>776</v>
      </c>
      <c r="C4274" t="s">
        <v>777</v>
      </c>
      <c r="D4274">
        <v>1</v>
      </c>
      <c r="E4274">
        <v>1</v>
      </c>
      <c r="F4274">
        <v>-137.5</v>
      </c>
      <c r="G4274">
        <v>218.05</v>
      </c>
      <c r="H4274">
        <v>0</v>
      </c>
      <c r="I4274">
        <v>80.55</v>
      </c>
      <c r="J4274">
        <v>80.55</v>
      </c>
      <c r="K4274" s="133">
        <v>1.7891694277922984E-4</v>
      </c>
      <c r="L4274" s="181">
        <v>1.5900000000000034</v>
      </c>
      <c r="M4274" s="133">
        <v>0</v>
      </c>
    </row>
    <row r="4275" spans="1:64" x14ac:dyDescent="0.25">
      <c r="A4275" s="136">
        <v>44103</v>
      </c>
      <c r="B4275" t="s">
        <v>909</v>
      </c>
      <c r="C4275" t="s">
        <v>910</v>
      </c>
      <c r="D4275">
        <v>0</v>
      </c>
      <c r="E4275">
        <v>0</v>
      </c>
      <c r="F4275">
        <v>100</v>
      </c>
      <c r="G4275">
        <v>0</v>
      </c>
      <c r="H4275">
        <v>0</v>
      </c>
      <c r="I4275">
        <v>0</v>
      </c>
      <c r="J4275">
        <v>100</v>
      </c>
      <c r="K4275" s="133">
        <v>0</v>
      </c>
      <c r="M4275" s="133">
        <v>0</v>
      </c>
    </row>
    <row r="4276" spans="1:64" x14ac:dyDescent="0.25">
      <c r="A4276" s="136">
        <v>44103</v>
      </c>
      <c r="B4276" t="s">
        <v>65</v>
      </c>
      <c r="C4276" t="s">
        <v>127</v>
      </c>
      <c r="D4276">
        <v>27900</v>
      </c>
      <c r="E4276">
        <v>27900</v>
      </c>
      <c r="F4276">
        <v>8.1010000000000009</v>
      </c>
      <c r="G4276">
        <v>-40192.019999999997</v>
      </c>
      <c r="H4276">
        <v>-17.78</v>
      </c>
      <c r="I4276">
        <v>185814</v>
      </c>
      <c r="J4276">
        <v>6.66</v>
      </c>
      <c r="K4276" s="133">
        <v>0.41272840230390834</v>
      </c>
      <c r="L4276" s="181">
        <v>-8191.9999999999964</v>
      </c>
      <c r="M4276" s="133">
        <v>0.50200255925638082</v>
      </c>
      <c r="P4276" s="182">
        <v>3</v>
      </c>
      <c r="Q4276" s="182">
        <v>1200</v>
      </c>
      <c r="R4276" s="46">
        <v>6.79</v>
      </c>
      <c r="S4276" s="46">
        <v>0</v>
      </c>
      <c r="T4276" s="46">
        <v>0</v>
      </c>
      <c r="U4276" s="46">
        <v>0</v>
      </c>
      <c r="V4276" s="46" t="s">
        <v>62</v>
      </c>
      <c r="W4276" s="46">
        <v>1200</v>
      </c>
      <c r="X4276" s="46">
        <v>6.79</v>
      </c>
      <c r="AF4276" s="46">
        <v>313</v>
      </c>
      <c r="AG4276" s="46">
        <v>166400</v>
      </c>
      <c r="AH4276" s="46">
        <v>1648511.6810000001</v>
      </c>
      <c r="AI4276" s="46">
        <v>9.907</v>
      </c>
      <c r="AJ4276" s="46">
        <v>343</v>
      </c>
      <c r="AK4276" s="46">
        <v>149000</v>
      </c>
      <c r="AL4276" s="46">
        <v>1414046.0689999999</v>
      </c>
      <c r="AM4276" s="46">
        <v>9.49</v>
      </c>
      <c r="AN4276" s="46" t="s">
        <v>63</v>
      </c>
      <c r="AO4276" s="46">
        <v>17400</v>
      </c>
      <c r="AP4276" s="46">
        <v>234465.61199999999</v>
      </c>
      <c r="AQ4276" s="46">
        <v>13.475</v>
      </c>
      <c r="AR4276" s="46">
        <v>-62133</v>
      </c>
      <c r="AS4276" s="46">
        <v>320</v>
      </c>
      <c r="AT4276" s="46">
        <v>169400</v>
      </c>
      <c r="AU4276" s="46">
        <v>1669236.6810000001</v>
      </c>
      <c r="AV4276" s="46">
        <v>9.8539999999999992</v>
      </c>
      <c r="AW4276" s="46">
        <v>347</v>
      </c>
      <c r="AX4276" s="46">
        <v>150600</v>
      </c>
      <c r="AY4276" s="46">
        <v>1427104.9769999997</v>
      </c>
      <c r="AZ4276" s="46">
        <v>9.4760000000000009</v>
      </c>
      <c r="BA4276" s="46" t="s">
        <v>63</v>
      </c>
      <c r="BB4276" s="46">
        <v>18800</v>
      </c>
      <c r="BC4276" s="46">
        <v>242131.704</v>
      </c>
      <c r="BD4276" s="46">
        <v>12.879</v>
      </c>
      <c r="BE4276" s="46">
        <v>-56926.8</v>
      </c>
      <c r="BF4276" s="46">
        <v>20725</v>
      </c>
      <c r="BG4276" s="46">
        <v>17.27</v>
      </c>
      <c r="BH4276" s="46">
        <v>13058.907999999821</v>
      </c>
      <c r="BJ4276">
        <v>7666.0920000000042</v>
      </c>
      <c r="BK4276">
        <v>6.39</v>
      </c>
      <c r="BL4276">
        <v>-9329.2800000000007</v>
      </c>
    </row>
    <row r="4277" spans="1:64" x14ac:dyDescent="0.25">
      <c r="A4277" s="136">
        <v>44103</v>
      </c>
      <c r="B4277" t="s">
        <v>77</v>
      </c>
      <c r="C4277" t="s">
        <v>150</v>
      </c>
      <c r="D4277">
        <v>7300</v>
      </c>
      <c r="E4277">
        <v>7300</v>
      </c>
      <c r="F4277">
        <v>4.8239999999999998</v>
      </c>
      <c r="G4277">
        <v>-14703.17</v>
      </c>
      <c r="H4277">
        <v>-41.75</v>
      </c>
      <c r="I4277">
        <v>20513</v>
      </c>
      <c r="J4277">
        <v>2.81</v>
      </c>
      <c r="K4277" s="133">
        <v>4.5563292951338819E-2</v>
      </c>
      <c r="L4277" s="181">
        <v>-730</v>
      </c>
      <c r="M4277" s="133">
        <v>7.8221843237661459E-2</v>
      </c>
      <c r="N4277" s="73">
        <v>-14113.127999999982</v>
      </c>
      <c r="O4277" s="73">
        <v>-4596.7302148648596</v>
      </c>
      <c r="P4277" s="182">
        <v>6</v>
      </c>
      <c r="Q4277" s="182">
        <v>3500</v>
      </c>
      <c r="R4277" s="46">
        <v>3.7789999999999999</v>
      </c>
      <c r="S4277" s="46">
        <v>0</v>
      </c>
      <c r="T4277" s="46">
        <v>0</v>
      </c>
      <c r="U4277" s="46">
        <v>0</v>
      </c>
      <c r="V4277" s="46" t="s">
        <v>62</v>
      </c>
      <c r="W4277" s="46">
        <v>3500</v>
      </c>
      <c r="X4277" s="46">
        <v>3.7789999999999999</v>
      </c>
      <c r="AF4277" s="46">
        <v>72</v>
      </c>
      <c r="AG4277" s="46">
        <v>35400</v>
      </c>
      <c r="AH4277" s="46">
        <v>210838</v>
      </c>
      <c r="AI4277" s="46">
        <v>5.9560000000000004</v>
      </c>
      <c r="AJ4277" s="46">
        <v>71</v>
      </c>
      <c r="AK4277" s="46">
        <v>31600</v>
      </c>
      <c r="AL4277" s="46">
        <v>188583.87200000006</v>
      </c>
      <c r="AM4277" s="46">
        <v>5.968</v>
      </c>
      <c r="AN4277" s="46" t="s">
        <v>63</v>
      </c>
      <c r="AO4277" s="46">
        <v>3800</v>
      </c>
      <c r="AP4277" s="46">
        <v>22254.128000000001</v>
      </c>
      <c r="AQ4277" s="46">
        <v>5.8559999999999999</v>
      </c>
      <c r="AR4277" s="46">
        <v>379.2</v>
      </c>
      <c r="AS4277" s="46">
        <v>78</v>
      </c>
      <c r="AT4277" s="46">
        <v>38900</v>
      </c>
      <c r="AU4277" s="46">
        <v>223805</v>
      </c>
      <c r="AV4277" s="46">
        <v>5.7530000000000001</v>
      </c>
      <c r="AW4277" s="46">
        <v>71</v>
      </c>
      <c r="AX4277" s="46">
        <v>31600</v>
      </c>
      <c r="AY4277" s="46">
        <v>188583.87200000006</v>
      </c>
      <c r="AZ4277" s="46">
        <v>5.968</v>
      </c>
      <c r="BA4277" s="46" t="s">
        <v>63</v>
      </c>
      <c r="BB4277" s="46">
        <v>7300</v>
      </c>
      <c r="BC4277" s="46">
        <v>35221.127999999997</v>
      </c>
      <c r="BD4277" s="46">
        <v>4.8250000000000002</v>
      </c>
      <c r="BE4277" s="46">
        <v>6794</v>
      </c>
      <c r="BF4277" s="46">
        <v>12967</v>
      </c>
      <c r="BG4277" s="46">
        <v>3.7</v>
      </c>
      <c r="BH4277" s="46">
        <v>0</v>
      </c>
      <c r="BJ4277">
        <v>12966.999999999996</v>
      </c>
      <c r="BK4277">
        <v>3.7</v>
      </c>
      <c r="BL4277">
        <v>134.94999999999999</v>
      </c>
    </row>
    <row r="4278" spans="1:64" x14ac:dyDescent="0.25">
      <c r="A4278" s="136">
        <v>44103</v>
      </c>
      <c r="B4278" t="s">
        <v>72</v>
      </c>
      <c r="C4278" t="s">
        <v>130</v>
      </c>
      <c r="D4278">
        <v>100</v>
      </c>
      <c r="E4278">
        <v>100</v>
      </c>
      <c r="F4278">
        <v>1.53</v>
      </c>
      <c r="G4278">
        <v>374</v>
      </c>
      <c r="H4278">
        <v>244.44</v>
      </c>
      <c r="I4278">
        <v>527</v>
      </c>
      <c r="J4278">
        <v>5.27</v>
      </c>
      <c r="K4278" s="133">
        <v>1.1705677075686423E-3</v>
      </c>
      <c r="L4278" s="181">
        <v>-80</v>
      </c>
      <c r="M4278" s="133">
        <v>3.398422376812187E-4</v>
      </c>
      <c r="N4278" s="73">
        <v>-1498.9659999999872</v>
      </c>
      <c r="O4278" s="73">
        <v>376.42007904191922</v>
      </c>
      <c r="P4278" s="182">
        <v>0</v>
      </c>
      <c r="Q4278" s="182">
        <v>0</v>
      </c>
      <c r="R4278" s="46">
        <v>0</v>
      </c>
      <c r="S4278" s="46">
        <v>20</v>
      </c>
      <c r="T4278" s="46">
        <v>8600</v>
      </c>
      <c r="U4278" s="46">
        <v>7.3840000000000003</v>
      </c>
      <c r="V4278" s="46" t="s">
        <v>68</v>
      </c>
      <c r="W4278" s="46">
        <v>8600</v>
      </c>
      <c r="X4278" s="46">
        <v>7.3840000000000003</v>
      </c>
      <c r="AF4278" s="46">
        <v>42</v>
      </c>
      <c r="AG4278" s="46">
        <v>20900</v>
      </c>
      <c r="AH4278" s="46">
        <v>152800</v>
      </c>
      <c r="AI4278" s="46">
        <v>7.3109999999999999</v>
      </c>
      <c r="AJ4278" s="46">
        <v>42</v>
      </c>
      <c r="AK4278" s="46">
        <v>18800</v>
      </c>
      <c r="AL4278" s="46">
        <v>92037.725000000035</v>
      </c>
      <c r="AM4278" s="46">
        <v>4.8959999999999999</v>
      </c>
      <c r="AN4278" s="46" t="s">
        <v>63</v>
      </c>
      <c r="AO4278" s="46">
        <v>2100</v>
      </c>
      <c r="AP4278" s="46">
        <v>60762.275000000001</v>
      </c>
      <c r="AQ4278" s="46">
        <v>28.934000000000001</v>
      </c>
      <c r="AR4278" s="46">
        <v>-45402</v>
      </c>
      <c r="AS4278" s="46">
        <v>42</v>
      </c>
      <c r="AT4278" s="46">
        <v>20900</v>
      </c>
      <c r="AU4278" s="46">
        <v>152800</v>
      </c>
      <c r="AV4278" s="46">
        <v>7.3109999999999999</v>
      </c>
      <c r="AW4278" s="46">
        <v>63</v>
      </c>
      <c r="AX4278" s="46">
        <v>27900</v>
      </c>
      <c r="AY4278" s="46">
        <v>155380.21900000001</v>
      </c>
      <c r="AZ4278" s="46">
        <v>5.569</v>
      </c>
      <c r="BA4278" s="46" t="s">
        <v>69</v>
      </c>
      <c r="BB4278" s="46">
        <v>7000</v>
      </c>
      <c r="BC4278" s="46">
        <v>2580.2190000000001</v>
      </c>
      <c r="BD4278" s="46">
        <v>0.36899999999999999</v>
      </c>
      <c r="BE4278" s="46">
        <v>-36407.800000000003</v>
      </c>
      <c r="BF4278" s="46">
        <v>0</v>
      </c>
      <c r="BH4278" s="46">
        <v>63342.493999999977</v>
      </c>
      <c r="BI4278">
        <v>7.37</v>
      </c>
      <c r="BJ4278">
        <v>-58182.056000000004</v>
      </c>
      <c r="BK4278">
        <v>-6.77</v>
      </c>
      <c r="BL4278">
        <v>-8615.18</v>
      </c>
    </row>
    <row r="4279" spans="1:64" x14ac:dyDescent="0.25">
      <c r="A4279" s="136">
        <v>44103</v>
      </c>
      <c r="B4279" t="s">
        <v>70</v>
      </c>
      <c r="C4279" t="s">
        <v>131</v>
      </c>
      <c r="D4279">
        <v>12280</v>
      </c>
      <c r="E4279">
        <v>12280</v>
      </c>
      <c r="F4279">
        <v>8.1739999999999995</v>
      </c>
      <c r="G4279">
        <v>-13561.69</v>
      </c>
      <c r="H4279">
        <v>-13.51</v>
      </c>
      <c r="I4279">
        <v>86819.6</v>
      </c>
      <c r="J4279">
        <v>7.07</v>
      </c>
      <c r="K4279" s="133">
        <v>0.19284292247443358</v>
      </c>
      <c r="L4279" s="181">
        <v>-4773</v>
      </c>
      <c r="M4279" s="133">
        <v>0.22296602754854475</v>
      </c>
      <c r="N4279" s="73">
        <v>-13078.384999999995</v>
      </c>
      <c r="O4279" s="73">
        <v>-1838.5155847398023</v>
      </c>
      <c r="P4279" s="182">
        <v>0</v>
      </c>
      <c r="Q4279" s="182">
        <v>0</v>
      </c>
      <c r="R4279" s="46">
        <v>0</v>
      </c>
      <c r="S4279" s="46">
        <v>15</v>
      </c>
      <c r="T4279" s="46">
        <v>7600</v>
      </c>
      <c r="U4279" s="46">
        <v>7.5119999999999996</v>
      </c>
      <c r="V4279" s="46" t="s">
        <v>68</v>
      </c>
      <c r="W4279" s="46">
        <v>7600</v>
      </c>
      <c r="X4279" s="46">
        <v>7.5119999999999996</v>
      </c>
      <c r="AF4279" s="46">
        <v>241</v>
      </c>
      <c r="AG4279" s="46">
        <v>118580</v>
      </c>
      <c r="AH4279" s="46">
        <v>1272871</v>
      </c>
      <c r="AI4279" s="46">
        <v>10.734</v>
      </c>
      <c r="AJ4279" s="46">
        <v>245</v>
      </c>
      <c r="AK4279" s="46">
        <v>98700</v>
      </c>
      <c r="AL4279" s="46">
        <v>1113325.9029999999</v>
      </c>
      <c r="AM4279" s="46">
        <v>11.28</v>
      </c>
      <c r="AN4279" s="46" t="s">
        <v>63</v>
      </c>
      <c r="AO4279" s="46">
        <v>19880</v>
      </c>
      <c r="AP4279" s="46">
        <v>159545.09700000001</v>
      </c>
      <c r="AQ4279" s="46">
        <v>8.0250000000000004</v>
      </c>
      <c r="AR4279" s="46">
        <v>53890.2</v>
      </c>
      <c r="AS4279" s="46">
        <v>241</v>
      </c>
      <c r="AT4279" s="46">
        <v>118580</v>
      </c>
      <c r="AU4279" s="46">
        <v>1272871</v>
      </c>
      <c r="AV4279" s="46">
        <v>10.734</v>
      </c>
      <c r="AW4279" s="46">
        <v>261</v>
      </c>
      <c r="AX4279" s="46">
        <v>106300</v>
      </c>
      <c r="AY4279" s="46">
        <v>1170711.8149999997</v>
      </c>
      <c r="AZ4279" s="46">
        <v>11.013</v>
      </c>
      <c r="BA4279" s="46" t="s">
        <v>63</v>
      </c>
      <c r="BB4279" s="46">
        <v>12280</v>
      </c>
      <c r="BC4279" s="46">
        <v>102159.185</v>
      </c>
      <c r="BD4279" s="46">
        <v>8.3190000000000008</v>
      </c>
      <c r="BE4279" s="46">
        <v>29657.7</v>
      </c>
      <c r="BF4279" s="46">
        <v>0</v>
      </c>
      <c r="BH4279" s="46">
        <v>57385.911999999778</v>
      </c>
      <c r="BI4279">
        <v>7.55</v>
      </c>
      <c r="BJ4279">
        <v>-57385.912000000011</v>
      </c>
      <c r="BK4279">
        <v>-7.55</v>
      </c>
      <c r="BL4279">
        <v>7622.38</v>
      </c>
    </row>
    <row r="4280" spans="1:64" x14ac:dyDescent="0.25">
      <c r="A4280" s="136">
        <v>44103</v>
      </c>
      <c r="B4280" t="s">
        <v>628</v>
      </c>
      <c r="C4280" t="s">
        <v>629</v>
      </c>
      <c r="D4280">
        <v>100</v>
      </c>
      <c r="E4280">
        <v>100</v>
      </c>
      <c r="F4280">
        <v>0.95</v>
      </c>
      <c r="G4280">
        <v>1339</v>
      </c>
      <c r="H4280">
        <v>1409.47</v>
      </c>
      <c r="I4280">
        <v>1434</v>
      </c>
      <c r="J4280">
        <v>14.34</v>
      </c>
      <c r="K4280" s="133">
        <v>3.1851880316004421E-3</v>
      </c>
      <c r="L4280" s="181">
        <v>-18</v>
      </c>
      <c r="M4280" s="133">
        <v>2.1101315411578941E-4</v>
      </c>
    </row>
    <row r="4281" spans="1:64" x14ac:dyDescent="0.25">
      <c r="A4281" s="136">
        <v>44103</v>
      </c>
      <c r="B4281" t="s">
        <v>768</v>
      </c>
      <c r="C4281" t="s">
        <v>769</v>
      </c>
      <c r="D4281">
        <v>500</v>
      </c>
      <c r="E4281">
        <v>500</v>
      </c>
      <c r="F4281">
        <v>2.4140000000000001</v>
      </c>
      <c r="G4281">
        <v>218</v>
      </c>
      <c r="H4281">
        <v>18.059999999999999</v>
      </c>
      <c r="I4281">
        <v>1425</v>
      </c>
      <c r="J4281">
        <v>2.85</v>
      </c>
      <c r="K4281" s="133">
        <v>3.165197311736841E-3</v>
      </c>
      <c r="L4281" s="181">
        <v>-45</v>
      </c>
      <c r="M4281" s="133">
        <v>2.6809776528185034E-3</v>
      </c>
    </row>
    <row r="4282" spans="1:64" x14ac:dyDescent="0.25">
      <c r="A4282" s="136">
        <v>44103</v>
      </c>
      <c r="B4282" t="s">
        <v>137</v>
      </c>
      <c r="C4282" t="s">
        <v>149</v>
      </c>
      <c r="D4282">
        <v>150</v>
      </c>
      <c r="E4282">
        <v>150</v>
      </c>
      <c r="F4282">
        <v>1</v>
      </c>
      <c r="G4282">
        <v>5553</v>
      </c>
      <c r="H4282">
        <v>3702</v>
      </c>
      <c r="I4282">
        <v>5703</v>
      </c>
      <c r="J4282">
        <v>38.020000000000003</v>
      </c>
      <c r="K4282" s="133">
        <v>1.2667452820235231E-2</v>
      </c>
      <c r="L4282" s="181">
        <v>-102</v>
      </c>
      <c r="M4282" s="133">
        <v>3.331786643933517E-4</v>
      </c>
    </row>
    <row r="4283" spans="1:64" x14ac:dyDescent="0.25">
      <c r="A4283" s="136">
        <v>44103</v>
      </c>
      <c r="B4283" t="s">
        <v>835</v>
      </c>
      <c r="C4283" t="s">
        <v>839</v>
      </c>
      <c r="I4283">
        <v>10358.719999999999</v>
      </c>
      <c r="K4283" s="133">
        <v>2.3008696629497997E-2</v>
      </c>
      <c r="L4283" s="181">
        <v>0</v>
      </c>
      <c r="M4283" s="133">
        <v>1.117259121265706E-5</v>
      </c>
    </row>
    <row r="4284" spans="1:64" x14ac:dyDescent="0.25">
      <c r="A4284" s="136">
        <v>44116</v>
      </c>
      <c r="B4284" t="s">
        <v>132</v>
      </c>
      <c r="C4284" t="s">
        <v>123</v>
      </c>
      <c r="D4284">
        <v>503</v>
      </c>
      <c r="E4284">
        <v>503</v>
      </c>
      <c r="F4284">
        <v>-0.59299999999999997</v>
      </c>
      <c r="G4284">
        <v>303.52999999999997</v>
      </c>
      <c r="H4284">
        <v>0</v>
      </c>
      <c r="I4284">
        <v>5.03</v>
      </c>
      <c r="J4284">
        <v>0.01</v>
      </c>
      <c r="K4284" s="133">
        <v>1.0840911859916625E-5</v>
      </c>
      <c r="L4284" s="181">
        <v>0</v>
      </c>
      <c r="M4284" s="133">
        <v>0</v>
      </c>
    </row>
    <row r="4285" spans="1:64" x14ac:dyDescent="0.25">
      <c r="A4285" s="136">
        <v>44116</v>
      </c>
      <c r="B4285" t="s">
        <v>61</v>
      </c>
      <c r="C4285" t="s">
        <v>136</v>
      </c>
      <c r="D4285">
        <v>4500</v>
      </c>
      <c r="E4285">
        <v>4500</v>
      </c>
      <c r="F4285">
        <v>4.1360000000000001</v>
      </c>
      <c r="G4285">
        <v>-2953.23</v>
      </c>
      <c r="H4285">
        <v>-15.87</v>
      </c>
      <c r="I4285">
        <v>15660</v>
      </c>
      <c r="J4285">
        <v>3.48</v>
      </c>
      <c r="K4285" s="133">
        <v>3.3751228573815968E-2</v>
      </c>
      <c r="L4285" s="181">
        <v>270</v>
      </c>
      <c r="M4285" s="133">
        <v>4.0116180091124436E-2</v>
      </c>
      <c r="N4285" s="73">
        <v>-2638.6950000000033</v>
      </c>
      <c r="O4285" s="73">
        <v>-742.9227190140856</v>
      </c>
      <c r="P4285" s="182">
        <v>3</v>
      </c>
      <c r="Q4285" s="182">
        <v>1500</v>
      </c>
      <c r="R4285" s="46">
        <v>4.2329999999999997</v>
      </c>
      <c r="S4285" s="46">
        <v>0</v>
      </c>
      <c r="T4285" s="46">
        <v>0</v>
      </c>
      <c r="U4285" s="46">
        <v>0</v>
      </c>
      <c r="V4285" s="46" t="s">
        <v>62</v>
      </c>
      <c r="W4285" s="46">
        <v>1500</v>
      </c>
      <c r="X4285" s="46">
        <v>4.2329999999999997</v>
      </c>
      <c r="AF4285" s="46">
        <v>34</v>
      </c>
      <c r="AG4285" s="46">
        <v>16900</v>
      </c>
      <c r="AH4285" s="46">
        <v>76511.140000000029</v>
      </c>
      <c r="AI4285" s="46">
        <v>4.5270000000000001</v>
      </c>
      <c r="AJ4285" s="46">
        <v>32</v>
      </c>
      <c r="AK4285" s="46">
        <v>13900</v>
      </c>
      <c r="AL4285" s="46">
        <v>64263.344999999987</v>
      </c>
      <c r="AM4285" s="46">
        <v>4.6230000000000002</v>
      </c>
      <c r="AN4285" s="46" t="s">
        <v>63</v>
      </c>
      <c r="AO4285" s="46">
        <v>3000</v>
      </c>
      <c r="AP4285" s="46">
        <v>12247.795</v>
      </c>
      <c r="AQ4285" s="46">
        <v>4.0830000000000002</v>
      </c>
      <c r="AR4285" s="46">
        <v>1334.4</v>
      </c>
      <c r="AS4285" s="46">
        <v>37</v>
      </c>
      <c r="AT4285" s="46">
        <v>18400</v>
      </c>
      <c r="AU4285" s="46">
        <v>82877.040000000037</v>
      </c>
      <c r="AV4285" s="46">
        <v>4.5039999999999996</v>
      </c>
      <c r="AW4285" s="46">
        <v>32</v>
      </c>
      <c r="AX4285" s="46">
        <v>13900</v>
      </c>
      <c r="AY4285" s="46">
        <v>64263.344999999987</v>
      </c>
      <c r="AZ4285" s="46">
        <v>4.6230000000000002</v>
      </c>
      <c r="BA4285" s="46" t="s">
        <v>63</v>
      </c>
      <c r="BB4285" s="46">
        <v>4500</v>
      </c>
      <c r="BC4285" s="46">
        <v>18613.695</v>
      </c>
      <c r="BD4285" s="46">
        <v>4.1360000000000001</v>
      </c>
      <c r="BE4285" s="46">
        <v>1654.1</v>
      </c>
      <c r="BF4285" s="46">
        <v>6365.9000000000087</v>
      </c>
      <c r="BG4285" s="46">
        <v>4.24</v>
      </c>
      <c r="BH4285" s="46">
        <v>0</v>
      </c>
      <c r="BJ4285">
        <v>6365.9</v>
      </c>
      <c r="BK4285">
        <v>4.24</v>
      </c>
      <c r="BL4285">
        <v>383.45</v>
      </c>
    </row>
    <row r="4286" spans="1:64" x14ac:dyDescent="0.25">
      <c r="A4286" s="136">
        <v>44116</v>
      </c>
      <c r="B4286" t="s">
        <v>124</v>
      </c>
      <c r="C4286" t="s">
        <v>125</v>
      </c>
      <c r="D4286">
        <v>100</v>
      </c>
      <c r="E4286">
        <v>100</v>
      </c>
      <c r="F4286">
        <v>0.73699999999999999</v>
      </c>
      <c r="G4286">
        <v>422.28</v>
      </c>
      <c r="H4286">
        <v>572.97</v>
      </c>
      <c r="I4286">
        <v>496</v>
      </c>
      <c r="J4286">
        <v>4.96</v>
      </c>
      <c r="K4286" s="133">
        <v>1.0690044299241841E-3</v>
      </c>
      <c r="L4286" s="181">
        <v>5</v>
      </c>
      <c r="M4286" s="133">
        <v>1.5888509389921546E-4</v>
      </c>
      <c r="N4286" s="73">
        <v>5623.0690000000113</v>
      </c>
      <c r="O4286" s="73">
        <v>1111.8087987827732</v>
      </c>
      <c r="P4286" s="182">
        <v>0</v>
      </c>
      <c r="Q4286" s="182">
        <v>0</v>
      </c>
      <c r="R4286" s="46">
        <v>0</v>
      </c>
      <c r="S4286" s="46">
        <v>5</v>
      </c>
      <c r="T4286" s="46">
        <v>2300</v>
      </c>
      <c r="U4286" s="46">
        <v>4.99</v>
      </c>
      <c r="V4286" s="46" t="s">
        <v>68</v>
      </c>
      <c r="W4286" s="46">
        <v>2300</v>
      </c>
      <c r="X4286" s="46">
        <v>4.99</v>
      </c>
      <c r="AF4286" s="46">
        <v>50</v>
      </c>
      <c r="AG4286" s="46">
        <v>36700</v>
      </c>
      <c r="AH4286" s="46">
        <v>180101.02000000002</v>
      </c>
      <c r="AI4286" s="46">
        <v>4.907</v>
      </c>
      <c r="AJ4286" s="46">
        <v>58</v>
      </c>
      <c r="AK4286" s="46">
        <v>35300</v>
      </c>
      <c r="AL4286" s="46">
        <v>178266.546</v>
      </c>
      <c r="AM4286" s="46">
        <v>5.05</v>
      </c>
      <c r="AN4286" s="46" t="s">
        <v>63</v>
      </c>
      <c r="AO4286" s="46">
        <v>1400</v>
      </c>
      <c r="AP4286" s="46">
        <v>1834.4739999999999</v>
      </c>
      <c r="AQ4286" s="46">
        <v>1.31</v>
      </c>
      <c r="AR4286" s="46">
        <v>5047.8999999999996</v>
      </c>
      <c r="AS4286" s="46">
        <v>51</v>
      </c>
      <c r="AT4286" s="46">
        <v>37700</v>
      </c>
      <c r="AU4286" s="46">
        <v>185106.62</v>
      </c>
      <c r="AV4286" s="46">
        <v>4.91</v>
      </c>
      <c r="AW4286" s="46">
        <v>63</v>
      </c>
      <c r="AX4286" s="46">
        <v>37600</v>
      </c>
      <c r="AY4286" s="46">
        <v>189763.68900000001</v>
      </c>
      <c r="AZ4286" s="46">
        <v>5.0469999999999997</v>
      </c>
      <c r="BA4286" s="46" t="s">
        <v>63</v>
      </c>
      <c r="BB4286" s="46">
        <v>100</v>
      </c>
      <c r="BC4286" s="46">
        <v>4657.0690000000004</v>
      </c>
      <c r="BD4286" s="46">
        <v>46.570999999999998</v>
      </c>
      <c r="BE4286" s="46">
        <v>5151.2</v>
      </c>
      <c r="BF4286" s="46">
        <v>5005.5999999999767</v>
      </c>
      <c r="BH4286" s="46">
        <v>11497.143000000011</v>
      </c>
      <c r="BI4286">
        <v>5</v>
      </c>
      <c r="BJ4286">
        <v>2822.5950000000003</v>
      </c>
      <c r="BK4286">
        <v>1.23</v>
      </c>
      <c r="BL4286">
        <v>1017.72</v>
      </c>
    </row>
    <row r="4287" spans="1:64" x14ac:dyDescent="0.25">
      <c r="A4287" s="136">
        <v>44116</v>
      </c>
      <c r="B4287" t="s">
        <v>71</v>
      </c>
      <c r="C4287" t="s">
        <v>126</v>
      </c>
      <c r="D4287">
        <v>7200</v>
      </c>
      <c r="E4287">
        <v>7200</v>
      </c>
      <c r="F4287">
        <v>4.4390000000000001</v>
      </c>
      <c r="G4287">
        <v>5262.16</v>
      </c>
      <c r="H4287">
        <v>16.46</v>
      </c>
      <c r="I4287">
        <v>37224</v>
      </c>
      <c r="J4287">
        <v>5.17</v>
      </c>
      <c r="K4287" s="133">
        <v>8.0227058265116585E-2</v>
      </c>
      <c r="L4287" s="181">
        <v>936</v>
      </c>
      <c r="M4287" s="133">
        <v>6.8885783363967709E-2</v>
      </c>
      <c r="N4287" s="73">
        <v>-31997.544000000002</v>
      </c>
      <c r="O4287" s="73">
        <v>938.75856594911909</v>
      </c>
      <c r="P4287" s="182">
        <v>2</v>
      </c>
      <c r="Q4287" s="182">
        <v>2000</v>
      </c>
      <c r="R4287" s="46">
        <v>5.1630000000000003</v>
      </c>
      <c r="S4287" s="46">
        <v>0</v>
      </c>
      <c r="T4287" s="46">
        <v>0</v>
      </c>
      <c r="U4287" s="46">
        <v>0</v>
      </c>
      <c r="V4287" s="46" t="s">
        <v>62</v>
      </c>
      <c r="W4287" s="46">
        <v>2000</v>
      </c>
      <c r="X4287" s="46">
        <v>5.1630000000000003</v>
      </c>
      <c r="AF4287" s="46">
        <v>77</v>
      </c>
      <c r="AG4287" s="46">
        <v>40600</v>
      </c>
      <c r="AH4287" s="46">
        <v>244395.07999999978</v>
      </c>
      <c r="AI4287" s="46">
        <v>6.02</v>
      </c>
      <c r="AJ4287" s="46">
        <v>82</v>
      </c>
      <c r="AK4287" s="46">
        <v>35400</v>
      </c>
      <c r="AL4287" s="46">
        <v>222577.53599999999</v>
      </c>
      <c r="AM4287" s="46">
        <v>6.2880000000000003</v>
      </c>
      <c r="AN4287" s="46" t="s">
        <v>63</v>
      </c>
      <c r="AO4287" s="46">
        <v>5200</v>
      </c>
      <c r="AP4287" s="46">
        <v>21817.544000000002</v>
      </c>
      <c r="AQ4287" s="46">
        <v>4.1959999999999997</v>
      </c>
      <c r="AR4287" s="46">
        <v>9487.2000000000007</v>
      </c>
      <c r="AS4287" s="46">
        <v>79</v>
      </c>
      <c r="AT4287" s="46">
        <v>42600</v>
      </c>
      <c r="AU4287" s="46">
        <v>254731.27999999977</v>
      </c>
      <c r="AV4287" s="46">
        <v>5.98</v>
      </c>
      <c r="AW4287" s="46">
        <v>82</v>
      </c>
      <c r="AX4287" s="46">
        <v>35400</v>
      </c>
      <c r="AY4287" s="46">
        <v>222577.53599999999</v>
      </c>
      <c r="AZ4287" s="46">
        <v>6.2880000000000003</v>
      </c>
      <c r="BA4287" s="46" t="s">
        <v>63</v>
      </c>
      <c r="BB4287" s="46">
        <v>7200</v>
      </c>
      <c r="BC4287" s="46">
        <v>32153.743999999999</v>
      </c>
      <c r="BD4287" s="46">
        <v>4.4660000000000002</v>
      </c>
      <c r="BE4287" s="46">
        <v>10903.2</v>
      </c>
      <c r="BF4287" s="46">
        <v>10336.199999999983</v>
      </c>
      <c r="BG4287" s="46">
        <v>5.17</v>
      </c>
      <c r="BH4287" s="46">
        <v>0</v>
      </c>
      <c r="BJ4287">
        <v>10336.199999999997</v>
      </c>
      <c r="BK4287">
        <v>5.17</v>
      </c>
      <c r="BL4287">
        <v>1835.05</v>
      </c>
    </row>
    <row r="4288" spans="1:64" x14ac:dyDescent="0.25">
      <c r="A4288" s="136">
        <v>44116</v>
      </c>
      <c r="B4288" t="s">
        <v>79</v>
      </c>
      <c r="C4288" t="s">
        <v>143</v>
      </c>
      <c r="D4288">
        <v>11600</v>
      </c>
      <c r="E4288">
        <v>11600</v>
      </c>
      <c r="F4288">
        <v>9.3130000000000006</v>
      </c>
      <c r="G4288">
        <v>-24051.35</v>
      </c>
      <c r="H4288">
        <v>-22.26</v>
      </c>
      <c r="I4288">
        <v>83984</v>
      </c>
      <c r="J4288">
        <v>7.24</v>
      </c>
      <c r="K4288" s="133">
        <v>0.18100658879587231</v>
      </c>
      <c r="L4288" s="181">
        <v>4652.0600000000013</v>
      </c>
      <c r="M4288" s="133">
        <v>0.23284328173066471</v>
      </c>
      <c r="N4288" s="73">
        <v>-24673.495400000509</v>
      </c>
      <c r="O4288" s="73">
        <v>-3429.9247082476368</v>
      </c>
      <c r="P4288" s="182">
        <v>7</v>
      </c>
      <c r="Q4288" s="182">
        <v>7320</v>
      </c>
      <c r="R4288" s="46">
        <v>4.4960000000000004</v>
      </c>
      <c r="S4288" s="46">
        <v>0</v>
      </c>
      <c r="T4288" s="46">
        <v>0</v>
      </c>
      <c r="U4288" s="46">
        <v>0</v>
      </c>
      <c r="V4288" s="46" t="s">
        <v>62</v>
      </c>
      <c r="W4288" s="46">
        <v>7320</v>
      </c>
      <c r="X4288" s="46">
        <v>4.4960000000000004</v>
      </c>
      <c r="AF4288" s="46">
        <v>103</v>
      </c>
      <c r="AG4288" s="46">
        <v>48400</v>
      </c>
      <c r="AH4288" s="46">
        <v>490900.03999999911</v>
      </c>
      <c r="AI4288" s="46">
        <v>10.143000000000001</v>
      </c>
      <c r="AJ4288" s="46">
        <v>103</v>
      </c>
      <c r="AK4288" s="46">
        <v>44120</v>
      </c>
      <c r="AL4288" s="46">
        <v>415775.93659999943</v>
      </c>
      <c r="AM4288" s="46">
        <v>9.4239999999999995</v>
      </c>
      <c r="AN4288" s="46" t="s">
        <v>63</v>
      </c>
      <c r="AO4288" s="46">
        <v>4280</v>
      </c>
      <c r="AP4288" s="46">
        <v>75124.103000000003</v>
      </c>
      <c r="AQ4288" s="46">
        <v>17.552</v>
      </c>
      <c r="AR4288" s="46">
        <v>-31722.28</v>
      </c>
      <c r="AS4288" s="46">
        <v>110</v>
      </c>
      <c r="AT4288" s="46">
        <v>55720</v>
      </c>
      <c r="AU4288" s="46">
        <v>523853.43199999898</v>
      </c>
      <c r="AV4288" s="46">
        <v>9.4019999999999992</v>
      </c>
      <c r="AW4288" s="46">
        <v>103</v>
      </c>
      <c r="AX4288" s="46">
        <v>44120</v>
      </c>
      <c r="AY4288" s="46">
        <v>415775.93659999943</v>
      </c>
      <c r="AZ4288" s="46">
        <v>9.4239999999999995</v>
      </c>
      <c r="BA4288" s="46" t="s">
        <v>63</v>
      </c>
      <c r="BB4288" s="46">
        <v>11600</v>
      </c>
      <c r="BC4288" s="46">
        <v>108077.495</v>
      </c>
      <c r="BD4288" s="46">
        <v>9.3170000000000002</v>
      </c>
      <c r="BE4288" s="46">
        <v>970.64</v>
      </c>
      <c r="BF4288" s="46">
        <v>32953.391999999876</v>
      </c>
      <c r="BG4288" s="46">
        <v>4.5</v>
      </c>
      <c r="BH4288" s="46">
        <v>0</v>
      </c>
      <c r="BJ4288">
        <v>32953.391999999993</v>
      </c>
      <c r="BK4288">
        <v>4.5</v>
      </c>
      <c r="BL4288">
        <v>-4381.53</v>
      </c>
    </row>
    <row r="4289" spans="1:64" x14ac:dyDescent="0.25">
      <c r="A4289" s="136">
        <v>44116</v>
      </c>
      <c r="B4289" t="s">
        <v>749</v>
      </c>
      <c r="C4289" t="s">
        <v>750</v>
      </c>
      <c r="D4289">
        <v>500</v>
      </c>
      <c r="E4289">
        <v>500</v>
      </c>
      <c r="F4289">
        <v>5.65</v>
      </c>
      <c r="G4289">
        <v>400</v>
      </c>
      <c r="H4289">
        <v>14.16</v>
      </c>
      <c r="I4289">
        <v>3225</v>
      </c>
      <c r="J4289">
        <v>6.45</v>
      </c>
      <c r="K4289" s="133">
        <v>6.9506840453739784E-3</v>
      </c>
      <c r="L4289" s="181">
        <v>65</v>
      </c>
      <c r="M4289" s="133">
        <v>6.0885836986609267E-3</v>
      </c>
    </row>
    <row r="4290" spans="1:64" x14ac:dyDescent="0.25">
      <c r="A4290" s="136">
        <v>44116</v>
      </c>
      <c r="B4290" t="s">
        <v>776</v>
      </c>
      <c r="C4290" t="s">
        <v>777</v>
      </c>
      <c r="D4290">
        <v>1</v>
      </c>
      <c r="E4290">
        <v>1</v>
      </c>
      <c r="F4290">
        <v>-137.5</v>
      </c>
      <c r="G4290">
        <v>220.51</v>
      </c>
      <c r="H4290">
        <v>0</v>
      </c>
      <c r="I4290">
        <v>83.01</v>
      </c>
      <c r="J4290">
        <v>83.01</v>
      </c>
      <c r="K4290" s="133">
        <v>1.7890737445162605E-4</v>
      </c>
      <c r="L4290" s="181">
        <v>2.4599999999999795</v>
      </c>
      <c r="M4290" s="133">
        <v>0</v>
      </c>
    </row>
    <row r="4291" spans="1:64" x14ac:dyDescent="0.25">
      <c r="A4291" s="136">
        <v>44116</v>
      </c>
      <c r="B4291" t="s">
        <v>909</v>
      </c>
      <c r="C4291" t="s">
        <v>910</v>
      </c>
      <c r="D4291">
        <v>10</v>
      </c>
      <c r="E4291">
        <v>0</v>
      </c>
      <c r="F4291">
        <v>100</v>
      </c>
      <c r="G4291">
        <v>0</v>
      </c>
      <c r="H4291">
        <v>0</v>
      </c>
      <c r="I4291">
        <v>1000</v>
      </c>
      <c r="J4291">
        <v>100</v>
      </c>
      <c r="K4291" s="133">
        <v>2.1552508667826292E-3</v>
      </c>
      <c r="L4291" s="181">
        <v>0</v>
      </c>
      <c r="M4291" s="133">
        <v>2.1552508667826292E-3</v>
      </c>
    </row>
    <row r="4292" spans="1:64" x14ac:dyDescent="0.25">
      <c r="A4292" s="136">
        <v>44116</v>
      </c>
      <c r="B4292" t="s">
        <v>65</v>
      </c>
      <c r="C4292" t="s">
        <v>127</v>
      </c>
      <c r="D4292">
        <v>27900</v>
      </c>
      <c r="E4292">
        <v>27900</v>
      </c>
      <c r="F4292">
        <v>8.0980000000000008</v>
      </c>
      <c r="G4292">
        <v>-37047.71</v>
      </c>
      <c r="H4292">
        <v>-16.399999999999999</v>
      </c>
      <c r="I4292">
        <v>188883</v>
      </c>
      <c r="J4292">
        <v>6.77</v>
      </c>
      <c r="K4292" s="133">
        <v>0.40709024947050332</v>
      </c>
      <c r="L4292" s="181">
        <v>3144.3099999999977</v>
      </c>
      <c r="M4292" s="133">
        <v>0.48693735856031478</v>
      </c>
      <c r="P4292" s="182">
        <v>3</v>
      </c>
      <c r="Q4292" s="182">
        <v>1200</v>
      </c>
      <c r="R4292" s="46">
        <v>6.7329999999999997</v>
      </c>
      <c r="S4292" s="46">
        <v>0</v>
      </c>
      <c r="T4292" s="46">
        <v>0</v>
      </c>
      <c r="U4292" s="46">
        <v>0</v>
      </c>
      <c r="V4292" s="46" t="s">
        <v>62</v>
      </c>
      <c r="W4292" s="46">
        <v>1200</v>
      </c>
      <c r="X4292" s="46">
        <v>6.7329999999999997</v>
      </c>
      <c r="AF4292" s="46">
        <v>314</v>
      </c>
      <c r="AG4292" s="46">
        <v>166800</v>
      </c>
      <c r="AH4292" s="46">
        <v>1651184.6810000001</v>
      </c>
      <c r="AI4292" s="46">
        <v>9.8989999999999991</v>
      </c>
      <c r="AJ4292" s="46">
        <v>344</v>
      </c>
      <c r="AK4292" s="46">
        <v>149400</v>
      </c>
      <c r="AL4292" s="46">
        <v>1416726.3809999998</v>
      </c>
      <c r="AM4292" s="46">
        <v>9.4830000000000005</v>
      </c>
      <c r="AN4292" s="46" t="s">
        <v>63</v>
      </c>
      <c r="AO4292" s="46">
        <v>17400</v>
      </c>
      <c r="AP4292" s="46">
        <v>234458.3</v>
      </c>
      <c r="AQ4292" s="46">
        <v>13.475</v>
      </c>
      <c r="AR4292" s="46">
        <v>-62150.400000000001</v>
      </c>
      <c r="AS4292" s="46">
        <v>321</v>
      </c>
      <c r="AT4292" s="46">
        <v>169800</v>
      </c>
      <c r="AU4292" s="46">
        <v>1671841.6810000001</v>
      </c>
      <c r="AV4292" s="46">
        <v>9.8460000000000001</v>
      </c>
      <c r="AW4292" s="46">
        <v>348</v>
      </c>
      <c r="AX4292" s="46">
        <v>151000</v>
      </c>
      <c r="AY4292" s="46">
        <v>1429785.2889999996</v>
      </c>
      <c r="AZ4292" s="46">
        <v>9.4689999999999994</v>
      </c>
      <c r="BA4292" s="46" t="s">
        <v>63</v>
      </c>
      <c r="BB4292" s="46">
        <v>18800</v>
      </c>
      <c r="BC4292" s="46">
        <v>242056.39199999999</v>
      </c>
      <c r="BD4292" s="46">
        <v>12.875</v>
      </c>
      <c r="BE4292" s="46">
        <v>-56927</v>
      </c>
      <c r="BF4292" s="46">
        <v>20657</v>
      </c>
      <c r="BG4292" s="46">
        <v>17.21</v>
      </c>
      <c r="BH4292" s="46">
        <v>13058.907999999821</v>
      </c>
      <c r="BJ4292">
        <v>7598.0920000000042</v>
      </c>
      <c r="BK4292">
        <v>6.33</v>
      </c>
      <c r="BL4292">
        <v>-9180.27</v>
      </c>
    </row>
    <row r="4293" spans="1:64" x14ac:dyDescent="0.25">
      <c r="A4293" s="136">
        <v>44116</v>
      </c>
      <c r="B4293" t="s">
        <v>77</v>
      </c>
      <c r="C4293" t="s">
        <v>150</v>
      </c>
      <c r="D4293">
        <v>7300</v>
      </c>
      <c r="E4293">
        <v>7300</v>
      </c>
      <c r="F4293">
        <v>4.8239999999999998</v>
      </c>
      <c r="G4293">
        <v>-14119.17</v>
      </c>
      <c r="H4293">
        <v>-40.090000000000003</v>
      </c>
      <c r="I4293">
        <v>21097</v>
      </c>
      <c r="J4293">
        <v>2.89</v>
      </c>
      <c r="K4293" s="133">
        <v>4.5469327536513122E-2</v>
      </c>
      <c r="L4293" s="181">
        <v>584</v>
      </c>
      <c r="M4293" s="133">
        <v>7.5899680917264414E-2</v>
      </c>
      <c r="N4293" s="73">
        <v>-14113.127999999982</v>
      </c>
      <c r="O4293" s="73">
        <v>-4596.7302148648596</v>
      </c>
      <c r="P4293" s="182">
        <v>6</v>
      </c>
      <c r="Q4293" s="182">
        <v>3500</v>
      </c>
      <c r="R4293" s="46">
        <v>3.7789999999999999</v>
      </c>
      <c r="S4293" s="46">
        <v>0</v>
      </c>
      <c r="T4293" s="46">
        <v>0</v>
      </c>
      <c r="U4293" s="46">
        <v>0</v>
      </c>
      <c r="V4293" s="46" t="s">
        <v>62</v>
      </c>
      <c r="W4293" s="46">
        <v>3500</v>
      </c>
      <c r="X4293" s="46">
        <v>3.7789999999999999</v>
      </c>
      <c r="AF4293" s="46">
        <v>72</v>
      </c>
      <c r="AG4293" s="46">
        <v>35400</v>
      </c>
      <c r="AH4293" s="46">
        <v>210838</v>
      </c>
      <c r="AI4293" s="46">
        <v>5.9560000000000004</v>
      </c>
      <c r="AJ4293" s="46">
        <v>71</v>
      </c>
      <c r="AK4293" s="46">
        <v>31600</v>
      </c>
      <c r="AL4293" s="46">
        <v>188583.87200000006</v>
      </c>
      <c r="AM4293" s="46">
        <v>5.968</v>
      </c>
      <c r="AN4293" s="46" t="s">
        <v>63</v>
      </c>
      <c r="AO4293" s="46">
        <v>3800</v>
      </c>
      <c r="AP4293" s="46">
        <v>22254.128000000001</v>
      </c>
      <c r="AQ4293" s="46">
        <v>5.8559999999999999</v>
      </c>
      <c r="AR4293" s="46">
        <v>379.2</v>
      </c>
      <c r="AS4293" s="46">
        <v>78</v>
      </c>
      <c r="AT4293" s="46">
        <v>38900</v>
      </c>
      <c r="AU4293" s="46">
        <v>223805</v>
      </c>
      <c r="AV4293" s="46">
        <v>5.7530000000000001</v>
      </c>
      <c r="AW4293" s="46">
        <v>71</v>
      </c>
      <c r="AX4293" s="46">
        <v>31600</v>
      </c>
      <c r="AY4293" s="46">
        <v>188583.87200000006</v>
      </c>
      <c r="AZ4293" s="46">
        <v>5.968</v>
      </c>
      <c r="BA4293" s="46" t="s">
        <v>63</v>
      </c>
      <c r="BB4293" s="46">
        <v>7300</v>
      </c>
      <c r="BC4293" s="46">
        <v>35221.127999999997</v>
      </c>
      <c r="BD4293" s="46">
        <v>4.8250000000000002</v>
      </c>
      <c r="BE4293" s="46">
        <v>6794</v>
      </c>
      <c r="BF4293" s="46">
        <v>12967</v>
      </c>
      <c r="BG4293" s="46">
        <v>3.7</v>
      </c>
      <c r="BH4293" s="46">
        <v>0</v>
      </c>
      <c r="BJ4293">
        <v>12966.999999999996</v>
      </c>
      <c r="BK4293">
        <v>3.7</v>
      </c>
      <c r="BL4293">
        <v>131.21</v>
      </c>
    </row>
    <row r="4294" spans="1:64" x14ac:dyDescent="0.25">
      <c r="A4294" s="136">
        <v>44116</v>
      </c>
      <c r="B4294" t="s">
        <v>72</v>
      </c>
      <c r="C4294" t="s">
        <v>130</v>
      </c>
      <c r="D4294">
        <v>100</v>
      </c>
      <c r="E4294">
        <v>100</v>
      </c>
      <c r="F4294">
        <v>1.53</v>
      </c>
      <c r="G4294">
        <v>428</v>
      </c>
      <c r="H4294">
        <v>279.74</v>
      </c>
      <c r="I4294">
        <v>581</v>
      </c>
      <c r="J4294">
        <v>5.81</v>
      </c>
      <c r="K4294" s="133">
        <v>1.2522007536007074E-3</v>
      </c>
      <c r="L4294" s="181">
        <v>54</v>
      </c>
      <c r="M4294" s="133">
        <v>3.2975338261774224E-4</v>
      </c>
      <c r="N4294" s="73">
        <v>-1498.9659999999872</v>
      </c>
      <c r="O4294" s="73">
        <v>376.42007904191922</v>
      </c>
      <c r="P4294" s="182">
        <v>0</v>
      </c>
      <c r="Q4294" s="182">
        <v>0</v>
      </c>
      <c r="R4294" s="46">
        <v>0</v>
      </c>
      <c r="S4294" s="46">
        <v>20</v>
      </c>
      <c r="T4294" s="46">
        <v>8600</v>
      </c>
      <c r="U4294" s="46">
        <v>7.3840000000000003</v>
      </c>
      <c r="V4294" s="46" t="s">
        <v>68</v>
      </c>
      <c r="W4294" s="46">
        <v>8600</v>
      </c>
      <c r="X4294" s="46">
        <v>7.3840000000000003</v>
      </c>
      <c r="AF4294" s="46">
        <v>42</v>
      </c>
      <c r="AG4294" s="46">
        <v>20900</v>
      </c>
      <c r="AH4294" s="46">
        <v>152800</v>
      </c>
      <c r="AI4294" s="46">
        <v>7.3109999999999999</v>
      </c>
      <c r="AJ4294" s="46">
        <v>42</v>
      </c>
      <c r="AK4294" s="46">
        <v>18800</v>
      </c>
      <c r="AL4294" s="46">
        <v>92037.725000000035</v>
      </c>
      <c r="AM4294" s="46">
        <v>4.8959999999999999</v>
      </c>
      <c r="AN4294" s="46" t="s">
        <v>63</v>
      </c>
      <c r="AO4294" s="46">
        <v>2100</v>
      </c>
      <c r="AP4294" s="46">
        <v>60762.275000000001</v>
      </c>
      <c r="AQ4294" s="46">
        <v>28.934000000000001</v>
      </c>
      <c r="AR4294" s="46">
        <v>-45402</v>
      </c>
      <c r="AS4294" s="46">
        <v>42</v>
      </c>
      <c r="AT4294" s="46">
        <v>20900</v>
      </c>
      <c r="AU4294" s="46">
        <v>152800</v>
      </c>
      <c r="AV4294" s="46">
        <v>7.3109999999999999</v>
      </c>
      <c r="AW4294" s="46">
        <v>63</v>
      </c>
      <c r="AX4294" s="46">
        <v>27900</v>
      </c>
      <c r="AY4294" s="46">
        <v>155380.21900000001</v>
      </c>
      <c r="AZ4294" s="46">
        <v>5.569</v>
      </c>
      <c r="BA4294" s="46" t="s">
        <v>69</v>
      </c>
      <c r="BB4294" s="46">
        <v>7000</v>
      </c>
      <c r="BC4294" s="46">
        <v>2580.2190000000001</v>
      </c>
      <c r="BD4294" s="46">
        <v>0.36899999999999999</v>
      </c>
      <c r="BE4294" s="46">
        <v>-36407.800000000003</v>
      </c>
      <c r="BF4294" s="46">
        <v>0</v>
      </c>
      <c r="BH4294" s="46">
        <v>63342.493999999977</v>
      </c>
      <c r="BI4294">
        <v>7.37</v>
      </c>
      <c r="BJ4294">
        <v>-58182.056000000004</v>
      </c>
      <c r="BK4294">
        <v>-6.77</v>
      </c>
      <c r="BL4294">
        <v>-7814.46</v>
      </c>
    </row>
    <row r="4295" spans="1:64" x14ac:dyDescent="0.25">
      <c r="A4295" s="136">
        <v>44116</v>
      </c>
      <c r="B4295" t="s">
        <v>70</v>
      </c>
      <c r="C4295" t="s">
        <v>131</v>
      </c>
      <c r="D4295">
        <v>11880</v>
      </c>
      <c r="E4295">
        <v>11880</v>
      </c>
      <c r="F4295">
        <v>8.2050000000000001</v>
      </c>
      <c r="G4295">
        <v>-10986.81</v>
      </c>
      <c r="H4295">
        <v>-11.27</v>
      </c>
      <c r="I4295">
        <v>86486.399999999994</v>
      </c>
      <c r="J4295">
        <v>7.28</v>
      </c>
      <c r="K4295" s="133">
        <v>0.18639988856490916</v>
      </c>
      <c r="L4295" s="181">
        <v>2574.880000000001</v>
      </c>
      <c r="M4295" s="133">
        <v>0.21007922034058521</v>
      </c>
      <c r="N4295" s="73">
        <v>-10875.900999999998</v>
      </c>
      <c r="O4295" s="73">
        <v>-1491.1471947187927</v>
      </c>
      <c r="P4295" s="182">
        <v>0</v>
      </c>
      <c r="Q4295" s="182">
        <v>0</v>
      </c>
      <c r="R4295" s="46">
        <v>0</v>
      </c>
      <c r="S4295" s="46">
        <v>14</v>
      </c>
      <c r="T4295" s="46">
        <v>7200</v>
      </c>
      <c r="U4295" s="46">
        <v>7.5229999999999997</v>
      </c>
      <c r="V4295" s="46" t="s">
        <v>68</v>
      </c>
      <c r="W4295" s="46">
        <v>7200</v>
      </c>
      <c r="X4295" s="46">
        <v>7.5229999999999997</v>
      </c>
      <c r="AF4295" s="46">
        <v>241</v>
      </c>
      <c r="AG4295" s="46">
        <v>118580</v>
      </c>
      <c r="AH4295" s="46">
        <v>1272871</v>
      </c>
      <c r="AI4295" s="46">
        <v>10.734</v>
      </c>
      <c r="AJ4295" s="46">
        <v>247</v>
      </c>
      <c r="AK4295" s="46">
        <v>99500</v>
      </c>
      <c r="AL4295" s="46">
        <v>1119146.067</v>
      </c>
      <c r="AM4295" s="46">
        <v>11.247999999999999</v>
      </c>
      <c r="AN4295" s="46" t="s">
        <v>63</v>
      </c>
      <c r="AO4295" s="46">
        <v>19080</v>
      </c>
      <c r="AP4295" s="46">
        <v>153724.93299999999</v>
      </c>
      <c r="AQ4295" s="46">
        <v>8.0570000000000004</v>
      </c>
      <c r="AR4295" s="46">
        <v>51143</v>
      </c>
      <c r="AS4295" s="46">
        <v>241</v>
      </c>
      <c r="AT4295" s="46">
        <v>118580</v>
      </c>
      <c r="AU4295" s="46">
        <v>1272871</v>
      </c>
      <c r="AV4295" s="46">
        <v>10.734</v>
      </c>
      <c r="AW4295" s="46">
        <v>262</v>
      </c>
      <c r="AX4295" s="46">
        <v>106700</v>
      </c>
      <c r="AY4295" s="46">
        <v>1173619.8989999997</v>
      </c>
      <c r="AZ4295" s="46">
        <v>10.999000000000001</v>
      </c>
      <c r="BA4295" s="46" t="s">
        <v>63</v>
      </c>
      <c r="BB4295" s="46">
        <v>11880</v>
      </c>
      <c r="BC4295" s="46">
        <v>99251.100999999995</v>
      </c>
      <c r="BD4295" s="46">
        <v>8.3539999999999992</v>
      </c>
      <c r="BE4295" s="46">
        <v>28275.5</v>
      </c>
      <c r="BF4295" s="46">
        <v>0</v>
      </c>
      <c r="BH4295" s="46">
        <v>54473.831999999704</v>
      </c>
      <c r="BI4295">
        <v>7.57</v>
      </c>
      <c r="BJ4295">
        <v>-54473.831999999995</v>
      </c>
      <c r="BK4295">
        <v>-7.57</v>
      </c>
      <c r="BL4295">
        <v>7025.14</v>
      </c>
    </row>
    <row r="4296" spans="1:64" x14ac:dyDescent="0.25">
      <c r="A4296" s="136">
        <v>44116</v>
      </c>
      <c r="B4296" t="s">
        <v>628</v>
      </c>
      <c r="C4296" t="s">
        <v>629</v>
      </c>
      <c r="D4296">
        <v>100</v>
      </c>
      <c r="E4296">
        <v>100</v>
      </c>
      <c r="F4296">
        <v>0.95</v>
      </c>
      <c r="G4296">
        <v>1382</v>
      </c>
      <c r="H4296">
        <v>1454.74</v>
      </c>
      <c r="I4296">
        <v>1477</v>
      </c>
      <c r="J4296">
        <v>14.77</v>
      </c>
      <c r="K4296" s="133">
        <v>3.183305530237943E-3</v>
      </c>
      <c r="L4296" s="181">
        <v>43</v>
      </c>
      <c r="M4296" s="133">
        <v>2.0474883234434976E-4</v>
      </c>
    </row>
    <row r="4297" spans="1:64" x14ac:dyDescent="0.25">
      <c r="A4297" s="136">
        <v>44116</v>
      </c>
      <c r="B4297" t="s">
        <v>768</v>
      </c>
      <c r="C4297" t="s">
        <v>769</v>
      </c>
      <c r="D4297">
        <v>500</v>
      </c>
      <c r="E4297">
        <v>500</v>
      </c>
      <c r="F4297">
        <v>2.4140000000000001</v>
      </c>
      <c r="G4297">
        <v>258</v>
      </c>
      <c r="H4297">
        <v>21.38</v>
      </c>
      <c r="I4297">
        <v>1465</v>
      </c>
      <c r="J4297">
        <v>2.93</v>
      </c>
      <c r="K4297" s="133">
        <v>3.1574425198365513E-3</v>
      </c>
      <c r="L4297" s="181">
        <v>40</v>
      </c>
      <c r="M4297" s="133">
        <v>2.6013877962066333E-3</v>
      </c>
    </row>
    <row r="4298" spans="1:64" x14ac:dyDescent="0.25">
      <c r="A4298" s="136">
        <v>44116</v>
      </c>
      <c r="B4298" t="s">
        <v>137</v>
      </c>
      <c r="C4298" t="s">
        <v>149</v>
      </c>
      <c r="D4298">
        <v>150</v>
      </c>
      <c r="E4298">
        <v>150</v>
      </c>
      <c r="F4298">
        <v>1</v>
      </c>
      <c r="G4298">
        <v>5956.5</v>
      </c>
      <c r="H4298">
        <v>3971</v>
      </c>
      <c r="I4298">
        <v>6106.5</v>
      </c>
      <c r="J4298">
        <v>40.71</v>
      </c>
      <c r="K4298" s="133">
        <v>1.3161039418008124E-2</v>
      </c>
      <c r="L4298" s="181">
        <v>403.5</v>
      </c>
      <c r="M4298" s="133">
        <v>3.2328763001739433E-4</v>
      </c>
    </row>
    <row r="4299" spans="1:64" x14ac:dyDescent="0.25">
      <c r="A4299" s="136">
        <v>44116</v>
      </c>
      <c r="B4299" t="s">
        <v>835</v>
      </c>
      <c r="C4299" t="s">
        <v>839</v>
      </c>
      <c r="I4299">
        <v>16210.17</v>
      </c>
      <c r="K4299" s="133">
        <v>3.4936982943193771E-2</v>
      </c>
      <c r="L4299" s="181">
        <v>0</v>
      </c>
      <c r="M4299" s="133">
        <v>1.0840911859916625E-5</v>
      </c>
    </row>
    <row r="4300" spans="1:64" x14ac:dyDescent="0.25">
      <c r="A4300" s="136">
        <v>44118</v>
      </c>
      <c r="B4300" t="s">
        <v>132</v>
      </c>
      <c r="C4300" t="s">
        <v>123</v>
      </c>
      <c r="D4300">
        <v>503</v>
      </c>
      <c r="E4300">
        <v>503</v>
      </c>
      <c r="F4300">
        <v>-0.59299999999999997</v>
      </c>
      <c r="G4300">
        <v>303.52999999999997</v>
      </c>
      <c r="H4300">
        <v>0</v>
      </c>
      <c r="I4300">
        <v>5.03</v>
      </c>
      <c r="J4300">
        <v>0.01</v>
      </c>
      <c r="K4300" s="133">
        <v>1.0952933047398632E-5</v>
      </c>
      <c r="L4300" s="181">
        <v>0</v>
      </c>
      <c r="M4300" s="133">
        <v>0</v>
      </c>
    </row>
    <row r="4301" spans="1:64" x14ac:dyDescent="0.25">
      <c r="A4301" s="136">
        <v>44118</v>
      </c>
      <c r="B4301" t="s">
        <v>61</v>
      </c>
      <c r="C4301" t="s">
        <v>136</v>
      </c>
      <c r="D4301">
        <v>4500</v>
      </c>
      <c r="E4301">
        <v>4500</v>
      </c>
      <c r="F4301">
        <v>4.1360000000000001</v>
      </c>
      <c r="G4301">
        <v>-3043.23</v>
      </c>
      <c r="H4301">
        <v>-16.350000000000001</v>
      </c>
      <c r="I4301">
        <v>15570</v>
      </c>
      <c r="J4301">
        <v>3.46</v>
      </c>
      <c r="K4301" s="133">
        <v>3.390400945288205E-2</v>
      </c>
      <c r="L4301" s="181">
        <v>-90</v>
      </c>
      <c r="M4301" s="133">
        <v>4.0530708148276667E-2</v>
      </c>
      <c r="N4301" s="73">
        <v>-2638.6950000000033</v>
      </c>
      <c r="O4301" s="73">
        <v>-742.9227190140856</v>
      </c>
      <c r="P4301" s="182">
        <v>3</v>
      </c>
      <c r="Q4301" s="182">
        <v>1500</v>
      </c>
      <c r="R4301" s="46">
        <v>4.2329999999999997</v>
      </c>
      <c r="S4301" s="46">
        <v>0</v>
      </c>
      <c r="T4301" s="46">
        <v>0</v>
      </c>
      <c r="U4301" s="46">
        <v>0</v>
      </c>
      <c r="V4301" s="46" t="s">
        <v>62</v>
      </c>
      <c r="W4301" s="46">
        <v>1500</v>
      </c>
      <c r="X4301" s="46">
        <v>4.2329999999999997</v>
      </c>
      <c r="AF4301" s="46">
        <v>34</v>
      </c>
      <c r="AG4301" s="46">
        <v>16900</v>
      </c>
      <c r="AH4301" s="46">
        <v>76511.140000000029</v>
      </c>
      <c r="AI4301" s="46">
        <v>4.5270000000000001</v>
      </c>
      <c r="AJ4301" s="46">
        <v>32</v>
      </c>
      <c r="AK4301" s="46">
        <v>13900</v>
      </c>
      <c r="AL4301" s="46">
        <v>64263.344999999987</v>
      </c>
      <c r="AM4301" s="46">
        <v>4.6230000000000002</v>
      </c>
      <c r="AN4301" s="46" t="s">
        <v>63</v>
      </c>
      <c r="AO4301" s="46">
        <v>3000</v>
      </c>
      <c r="AP4301" s="46">
        <v>12247.795</v>
      </c>
      <c r="AQ4301" s="46">
        <v>4.0830000000000002</v>
      </c>
      <c r="AR4301" s="46">
        <v>1334.4</v>
      </c>
      <c r="AS4301" s="46">
        <v>37</v>
      </c>
      <c r="AT4301" s="46">
        <v>18400</v>
      </c>
      <c r="AU4301" s="46">
        <v>82877.040000000037</v>
      </c>
      <c r="AV4301" s="46">
        <v>4.5039999999999996</v>
      </c>
      <c r="AW4301" s="46">
        <v>32</v>
      </c>
      <c r="AX4301" s="46">
        <v>13900</v>
      </c>
      <c r="AY4301" s="46">
        <v>64263.344999999987</v>
      </c>
      <c r="AZ4301" s="46">
        <v>4.6230000000000002</v>
      </c>
      <c r="BA4301" s="46" t="s">
        <v>63</v>
      </c>
      <c r="BB4301" s="46">
        <v>4500</v>
      </c>
      <c r="BC4301" s="46">
        <v>18613.695</v>
      </c>
      <c r="BD4301" s="46">
        <v>4.1360000000000001</v>
      </c>
      <c r="BE4301" s="46">
        <v>1654.1</v>
      </c>
      <c r="BF4301" s="46">
        <v>6365.9000000000087</v>
      </c>
      <c r="BG4301" s="46">
        <v>4.24</v>
      </c>
      <c r="BH4301" s="46">
        <v>0</v>
      </c>
      <c r="BJ4301">
        <v>6365.9</v>
      </c>
      <c r="BK4301">
        <v>4.24</v>
      </c>
      <c r="BL4301">
        <v>385.66</v>
      </c>
    </row>
    <row r="4302" spans="1:64" x14ac:dyDescent="0.25">
      <c r="A4302" s="136">
        <v>44118</v>
      </c>
      <c r="B4302" t="s">
        <v>124</v>
      </c>
      <c r="C4302" t="s">
        <v>125</v>
      </c>
      <c r="D4302">
        <v>100</v>
      </c>
      <c r="E4302">
        <v>100</v>
      </c>
      <c r="F4302">
        <v>0.73699999999999999</v>
      </c>
      <c r="G4302">
        <v>418.28</v>
      </c>
      <c r="H4302">
        <v>567.54</v>
      </c>
      <c r="I4302">
        <v>492</v>
      </c>
      <c r="J4302">
        <v>4.92</v>
      </c>
      <c r="K4302" s="133">
        <v>1.0713405684533055E-3</v>
      </c>
      <c r="L4302" s="181">
        <v>-4</v>
      </c>
      <c r="M4302" s="133">
        <v>1.605268835495482E-4</v>
      </c>
      <c r="N4302" s="73">
        <v>5623.0690000000113</v>
      </c>
      <c r="O4302" s="73">
        <v>1111.8087987827732</v>
      </c>
      <c r="P4302" s="182">
        <v>0</v>
      </c>
      <c r="Q4302" s="182">
        <v>0</v>
      </c>
      <c r="R4302" s="46">
        <v>0</v>
      </c>
      <c r="S4302" s="46">
        <v>5</v>
      </c>
      <c r="T4302" s="46">
        <v>2300</v>
      </c>
      <c r="U4302" s="46">
        <v>4.99</v>
      </c>
      <c r="V4302" s="46" t="s">
        <v>68</v>
      </c>
      <c r="W4302" s="46">
        <v>2300</v>
      </c>
      <c r="X4302" s="46">
        <v>4.99</v>
      </c>
      <c r="AF4302" s="46">
        <v>50</v>
      </c>
      <c r="AG4302" s="46">
        <v>36700</v>
      </c>
      <c r="AH4302" s="46">
        <v>180101.02000000002</v>
      </c>
      <c r="AI4302" s="46">
        <v>4.907</v>
      </c>
      <c r="AJ4302" s="46">
        <v>58</v>
      </c>
      <c r="AK4302" s="46">
        <v>35300</v>
      </c>
      <c r="AL4302" s="46">
        <v>178266.546</v>
      </c>
      <c r="AM4302" s="46">
        <v>5.05</v>
      </c>
      <c r="AN4302" s="46" t="s">
        <v>63</v>
      </c>
      <c r="AO4302" s="46">
        <v>1400</v>
      </c>
      <c r="AP4302" s="46">
        <v>1834.4739999999999</v>
      </c>
      <c r="AQ4302" s="46">
        <v>1.31</v>
      </c>
      <c r="AR4302" s="46">
        <v>5047.8999999999996</v>
      </c>
      <c r="AS4302" s="46">
        <v>51</v>
      </c>
      <c r="AT4302" s="46">
        <v>37700</v>
      </c>
      <c r="AU4302" s="46">
        <v>185106.62</v>
      </c>
      <c r="AV4302" s="46">
        <v>4.91</v>
      </c>
      <c r="AW4302" s="46">
        <v>63</v>
      </c>
      <c r="AX4302" s="46">
        <v>37600</v>
      </c>
      <c r="AY4302" s="46">
        <v>189763.68900000001</v>
      </c>
      <c r="AZ4302" s="46">
        <v>5.0469999999999997</v>
      </c>
      <c r="BA4302" s="46" t="s">
        <v>63</v>
      </c>
      <c r="BB4302" s="46">
        <v>100</v>
      </c>
      <c r="BC4302" s="46">
        <v>4657.0690000000004</v>
      </c>
      <c r="BD4302" s="46">
        <v>46.570999999999998</v>
      </c>
      <c r="BE4302" s="46">
        <v>5151.2</v>
      </c>
      <c r="BF4302" s="46">
        <v>5005.5999999999767</v>
      </c>
      <c r="BH4302" s="46">
        <v>11497.143000000011</v>
      </c>
      <c r="BI4302">
        <v>5</v>
      </c>
      <c r="BJ4302">
        <v>2822.5950000000003</v>
      </c>
      <c r="BK4302">
        <v>1.23</v>
      </c>
      <c r="BL4302">
        <v>1026</v>
      </c>
    </row>
    <row r="4303" spans="1:64" x14ac:dyDescent="0.25">
      <c r="A4303" s="136">
        <v>44118</v>
      </c>
      <c r="B4303" t="s">
        <v>71</v>
      </c>
      <c r="C4303" t="s">
        <v>126</v>
      </c>
      <c r="D4303">
        <v>7200</v>
      </c>
      <c r="E4303">
        <v>7200</v>
      </c>
      <c r="F4303">
        <v>4.4390000000000001</v>
      </c>
      <c r="G4303">
        <v>5190.16</v>
      </c>
      <c r="H4303">
        <v>16.239999999999998</v>
      </c>
      <c r="I4303">
        <v>37152</v>
      </c>
      <c r="J4303">
        <v>5.16</v>
      </c>
      <c r="K4303" s="133">
        <v>8.0899278047108142E-2</v>
      </c>
      <c r="L4303" s="181">
        <v>-72</v>
      </c>
      <c r="M4303" s="133">
        <v>6.9597593159377233E-2</v>
      </c>
      <c r="N4303" s="73">
        <v>-31997.544000000002</v>
      </c>
      <c r="O4303" s="73">
        <v>938.75856594911909</v>
      </c>
      <c r="P4303" s="182">
        <v>2</v>
      </c>
      <c r="Q4303" s="182">
        <v>2000</v>
      </c>
      <c r="R4303" s="46">
        <v>5.1630000000000003</v>
      </c>
      <c r="S4303" s="46">
        <v>0</v>
      </c>
      <c r="T4303" s="46">
        <v>0</v>
      </c>
      <c r="U4303" s="46">
        <v>0</v>
      </c>
      <c r="V4303" s="46" t="s">
        <v>62</v>
      </c>
      <c r="W4303" s="46">
        <v>2000</v>
      </c>
      <c r="X4303" s="46">
        <v>5.1630000000000003</v>
      </c>
      <c r="AF4303" s="46">
        <v>77</v>
      </c>
      <c r="AG4303" s="46">
        <v>40600</v>
      </c>
      <c r="AH4303" s="46">
        <v>244395.07999999978</v>
      </c>
      <c r="AI4303" s="46">
        <v>6.02</v>
      </c>
      <c r="AJ4303" s="46">
        <v>82</v>
      </c>
      <c r="AK4303" s="46">
        <v>35400</v>
      </c>
      <c r="AL4303" s="46">
        <v>222577.53599999999</v>
      </c>
      <c r="AM4303" s="46">
        <v>6.2880000000000003</v>
      </c>
      <c r="AN4303" s="46" t="s">
        <v>63</v>
      </c>
      <c r="AO4303" s="46">
        <v>5200</v>
      </c>
      <c r="AP4303" s="46">
        <v>21817.544000000002</v>
      </c>
      <c r="AQ4303" s="46">
        <v>4.1959999999999997</v>
      </c>
      <c r="AR4303" s="46">
        <v>9487.2000000000007</v>
      </c>
      <c r="AS4303" s="46">
        <v>79</v>
      </c>
      <c r="AT4303" s="46">
        <v>42600</v>
      </c>
      <c r="AU4303" s="46">
        <v>254731.27999999977</v>
      </c>
      <c r="AV4303" s="46">
        <v>5.98</v>
      </c>
      <c r="AW4303" s="46">
        <v>82</v>
      </c>
      <c r="AX4303" s="46">
        <v>35400</v>
      </c>
      <c r="AY4303" s="46">
        <v>222577.53599999999</v>
      </c>
      <c r="AZ4303" s="46">
        <v>6.2880000000000003</v>
      </c>
      <c r="BA4303" s="46" t="s">
        <v>63</v>
      </c>
      <c r="BB4303" s="46">
        <v>7200</v>
      </c>
      <c r="BC4303" s="46">
        <v>32153.743999999999</v>
      </c>
      <c r="BD4303" s="46">
        <v>4.4660000000000002</v>
      </c>
      <c r="BE4303" s="46">
        <v>10903.2</v>
      </c>
      <c r="BF4303" s="46">
        <v>10336.199999999983</v>
      </c>
      <c r="BG4303" s="46">
        <v>5.17</v>
      </c>
      <c r="BH4303" s="46">
        <v>0</v>
      </c>
      <c r="BJ4303">
        <v>10336.199999999997</v>
      </c>
      <c r="BK4303">
        <v>5.17</v>
      </c>
      <c r="BL4303">
        <v>1838.6</v>
      </c>
    </row>
    <row r="4304" spans="1:64" x14ac:dyDescent="0.25">
      <c r="A4304" s="136">
        <v>44118</v>
      </c>
      <c r="B4304" t="s">
        <v>79</v>
      </c>
      <c r="C4304" t="s">
        <v>143</v>
      </c>
      <c r="D4304">
        <v>11600</v>
      </c>
      <c r="E4304">
        <v>11600</v>
      </c>
      <c r="F4304">
        <v>9.3130000000000006</v>
      </c>
      <c r="G4304">
        <v>-25095.35</v>
      </c>
      <c r="H4304">
        <v>-23.23</v>
      </c>
      <c r="I4304">
        <v>82940</v>
      </c>
      <c r="J4304">
        <v>7.15</v>
      </c>
      <c r="K4304" s="133">
        <v>0.18060363160064463</v>
      </c>
      <c r="L4304" s="181">
        <v>-1044</v>
      </c>
      <c r="M4304" s="133">
        <v>0.23524929528872324</v>
      </c>
      <c r="N4304" s="73">
        <v>-24673.495400000509</v>
      </c>
      <c r="O4304" s="73">
        <v>-3429.9247082476368</v>
      </c>
      <c r="P4304" s="182">
        <v>7</v>
      </c>
      <c r="Q4304" s="182">
        <v>7320</v>
      </c>
      <c r="R4304" s="46">
        <v>4.4960000000000004</v>
      </c>
      <c r="S4304" s="46">
        <v>0</v>
      </c>
      <c r="T4304" s="46">
        <v>0</v>
      </c>
      <c r="U4304" s="46">
        <v>0</v>
      </c>
      <c r="V4304" s="46" t="s">
        <v>62</v>
      </c>
      <c r="W4304" s="46">
        <v>7320</v>
      </c>
      <c r="X4304" s="46">
        <v>4.4960000000000004</v>
      </c>
      <c r="AF4304" s="46">
        <v>103</v>
      </c>
      <c r="AG4304" s="46">
        <v>48400</v>
      </c>
      <c r="AH4304" s="46">
        <v>490900.03999999911</v>
      </c>
      <c r="AI4304" s="46">
        <v>10.143000000000001</v>
      </c>
      <c r="AJ4304" s="46">
        <v>103</v>
      </c>
      <c r="AK4304" s="46">
        <v>44120</v>
      </c>
      <c r="AL4304" s="46">
        <v>415775.93659999943</v>
      </c>
      <c r="AM4304" s="46">
        <v>9.4239999999999995</v>
      </c>
      <c r="AN4304" s="46" t="s">
        <v>63</v>
      </c>
      <c r="AO4304" s="46">
        <v>4280</v>
      </c>
      <c r="AP4304" s="46">
        <v>75124.103000000003</v>
      </c>
      <c r="AQ4304" s="46">
        <v>17.552</v>
      </c>
      <c r="AR4304" s="46">
        <v>-31722.28</v>
      </c>
      <c r="AS4304" s="46">
        <v>110</v>
      </c>
      <c r="AT4304" s="46">
        <v>55720</v>
      </c>
      <c r="AU4304" s="46">
        <v>523853.43199999898</v>
      </c>
      <c r="AV4304" s="46">
        <v>9.4019999999999992</v>
      </c>
      <c r="AW4304" s="46">
        <v>103</v>
      </c>
      <c r="AX4304" s="46">
        <v>44120</v>
      </c>
      <c r="AY4304" s="46">
        <v>415775.93659999943</v>
      </c>
      <c r="AZ4304" s="46">
        <v>9.4239999999999995</v>
      </c>
      <c r="BA4304" s="46" t="s">
        <v>63</v>
      </c>
      <c r="BB4304" s="46">
        <v>11600</v>
      </c>
      <c r="BC4304" s="46">
        <v>108077.495</v>
      </c>
      <c r="BD4304" s="46">
        <v>9.3170000000000002</v>
      </c>
      <c r="BE4304" s="46">
        <v>970.64</v>
      </c>
      <c r="BF4304" s="46">
        <v>32953.391999999876</v>
      </c>
      <c r="BG4304" s="46">
        <v>4.5</v>
      </c>
      <c r="BH4304" s="46">
        <v>0</v>
      </c>
      <c r="BJ4304">
        <v>32953.391999999993</v>
      </c>
      <c r="BK4304">
        <v>4.5</v>
      </c>
      <c r="BL4304">
        <v>-4436.68</v>
      </c>
    </row>
    <row r="4305" spans="1:64" x14ac:dyDescent="0.25">
      <c r="A4305" s="136">
        <v>44118</v>
      </c>
      <c r="B4305" t="s">
        <v>749</v>
      </c>
      <c r="C4305" t="s">
        <v>750</v>
      </c>
      <c r="D4305">
        <v>500</v>
      </c>
      <c r="E4305">
        <v>500</v>
      </c>
      <c r="F4305">
        <v>5.65</v>
      </c>
      <c r="G4305">
        <v>310</v>
      </c>
      <c r="H4305">
        <v>10.97</v>
      </c>
      <c r="I4305">
        <v>3135</v>
      </c>
      <c r="J4305">
        <v>6.27</v>
      </c>
      <c r="K4305" s="133">
        <v>6.8265298416689286E-3</v>
      </c>
      <c r="L4305" s="181">
        <v>-90</v>
      </c>
      <c r="M4305" s="133">
        <v>6.1514981826841222E-3</v>
      </c>
    </row>
    <row r="4306" spans="1:64" x14ac:dyDescent="0.25">
      <c r="A4306" s="136">
        <v>44118</v>
      </c>
      <c r="B4306" t="s">
        <v>776</v>
      </c>
      <c r="C4306" t="s">
        <v>777</v>
      </c>
      <c r="D4306">
        <v>1</v>
      </c>
      <c r="E4306">
        <v>1</v>
      </c>
      <c r="F4306">
        <v>-137.5</v>
      </c>
      <c r="G4306">
        <v>217.62</v>
      </c>
      <c r="H4306">
        <v>0</v>
      </c>
      <c r="I4306">
        <v>80.12</v>
      </c>
      <c r="J4306">
        <v>80.12</v>
      </c>
      <c r="K4306" s="133">
        <v>1.744630210253635E-4</v>
      </c>
      <c r="L4306" s="181">
        <v>-2.8899999999999864</v>
      </c>
      <c r="M4306" s="133">
        <v>0</v>
      </c>
    </row>
    <row r="4307" spans="1:64" x14ac:dyDescent="0.25">
      <c r="A4307" s="136">
        <v>44118</v>
      </c>
      <c r="B4307" t="s">
        <v>909</v>
      </c>
      <c r="C4307" t="s">
        <v>910</v>
      </c>
      <c r="D4307">
        <v>10</v>
      </c>
      <c r="E4307">
        <v>0</v>
      </c>
      <c r="F4307">
        <v>100</v>
      </c>
      <c r="G4307">
        <v>0</v>
      </c>
      <c r="H4307">
        <v>0</v>
      </c>
      <c r="I4307">
        <v>1000</v>
      </c>
      <c r="J4307">
        <v>100</v>
      </c>
      <c r="K4307" s="133">
        <v>2.1775214805961497E-3</v>
      </c>
      <c r="L4307" s="181">
        <v>0</v>
      </c>
      <c r="M4307" s="133">
        <v>2.1775214805961497E-3</v>
      </c>
    </row>
    <row r="4308" spans="1:64" x14ac:dyDescent="0.25">
      <c r="A4308" s="136">
        <v>44118</v>
      </c>
      <c r="B4308" t="s">
        <v>65</v>
      </c>
      <c r="C4308" t="s">
        <v>127</v>
      </c>
      <c r="D4308">
        <v>27900</v>
      </c>
      <c r="E4308">
        <v>27900</v>
      </c>
      <c r="F4308">
        <v>8.0980000000000008</v>
      </c>
      <c r="G4308">
        <v>-39558.71</v>
      </c>
      <c r="H4308">
        <v>-17.510000000000002</v>
      </c>
      <c r="I4308">
        <v>186372</v>
      </c>
      <c r="J4308">
        <v>6.68</v>
      </c>
      <c r="K4308" s="133">
        <v>0.40582903338166559</v>
      </c>
      <c r="L4308" s="181">
        <v>-2511</v>
      </c>
      <c r="M4308" s="133">
        <v>0.49196897415133928</v>
      </c>
      <c r="P4308" s="182">
        <v>3</v>
      </c>
      <c r="Q4308" s="182">
        <v>1200</v>
      </c>
      <c r="R4308" s="46">
        <v>6.7329999999999997</v>
      </c>
      <c r="S4308" s="46">
        <v>0</v>
      </c>
      <c r="T4308" s="46">
        <v>0</v>
      </c>
      <c r="U4308" s="46">
        <v>0</v>
      </c>
      <c r="V4308" s="46" t="s">
        <v>62</v>
      </c>
      <c r="W4308" s="46">
        <v>1200</v>
      </c>
      <c r="X4308" s="46">
        <v>6.7329999999999997</v>
      </c>
      <c r="AF4308" s="46">
        <v>314</v>
      </c>
      <c r="AG4308" s="46">
        <v>166800</v>
      </c>
      <c r="AH4308" s="46">
        <v>1651184.6810000001</v>
      </c>
      <c r="AI4308" s="46">
        <v>9.8989999999999991</v>
      </c>
      <c r="AJ4308" s="46">
        <v>344</v>
      </c>
      <c r="AK4308" s="46">
        <v>149400</v>
      </c>
      <c r="AL4308" s="46">
        <v>1416726.3809999998</v>
      </c>
      <c r="AM4308" s="46">
        <v>9.4830000000000005</v>
      </c>
      <c r="AN4308" s="46" t="s">
        <v>63</v>
      </c>
      <c r="AO4308" s="46">
        <v>17400</v>
      </c>
      <c r="AP4308" s="46">
        <v>234458.3</v>
      </c>
      <c r="AQ4308" s="46">
        <v>13.475</v>
      </c>
      <c r="AR4308" s="46">
        <v>-62150.400000000001</v>
      </c>
      <c r="AS4308" s="46">
        <v>321</v>
      </c>
      <c r="AT4308" s="46">
        <v>169800</v>
      </c>
      <c r="AU4308" s="46">
        <v>1671841.6810000001</v>
      </c>
      <c r="AV4308" s="46">
        <v>9.8460000000000001</v>
      </c>
      <c r="AW4308" s="46">
        <v>348</v>
      </c>
      <c r="AX4308" s="46">
        <v>151000</v>
      </c>
      <c r="AY4308" s="46">
        <v>1429785.2889999996</v>
      </c>
      <c r="AZ4308" s="46">
        <v>9.4689999999999994</v>
      </c>
      <c r="BA4308" s="46" t="s">
        <v>63</v>
      </c>
      <c r="BB4308" s="46">
        <v>18800</v>
      </c>
      <c r="BC4308" s="46">
        <v>242056.39199999999</v>
      </c>
      <c r="BD4308" s="46">
        <v>12.875</v>
      </c>
      <c r="BE4308" s="46">
        <v>-56927</v>
      </c>
      <c r="BF4308" s="46">
        <v>20657</v>
      </c>
      <c r="BG4308" s="46">
        <v>17.21</v>
      </c>
      <c r="BH4308" s="46">
        <v>13058.907999999821</v>
      </c>
      <c r="BJ4308">
        <v>7598.0920000000042</v>
      </c>
      <c r="BK4308">
        <v>6.33</v>
      </c>
      <c r="BL4308">
        <v>-9303.9500000000007</v>
      </c>
    </row>
    <row r="4309" spans="1:64" x14ac:dyDescent="0.25">
      <c r="A4309" s="136">
        <v>44118</v>
      </c>
      <c r="B4309" t="s">
        <v>77</v>
      </c>
      <c r="C4309" t="s">
        <v>150</v>
      </c>
      <c r="D4309">
        <v>7300</v>
      </c>
      <c r="E4309">
        <v>7300</v>
      </c>
      <c r="F4309">
        <v>4.8239999999999998</v>
      </c>
      <c r="G4309">
        <v>-14557.17</v>
      </c>
      <c r="H4309">
        <v>-41.34</v>
      </c>
      <c r="I4309">
        <v>20659</v>
      </c>
      <c r="J4309">
        <v>2.83</v>
      </c>
      <c r="K4309" s="133">
        <v>4.4985416267635851E-2</v>
      </c>
      <c r="L4309" s="181">
        <v>-438</v>
      </c>
      <c r="M4309" s="133">
        <v>7.6683966639325696E-2</v>
      </c>
      <c r="N4309" s="73">
        <v>-14113.127999999982</v>
      </c>
      <c r="O4309" s="73">
        <v>-4596.7302148648596</v>
      </c>
      <c r="P4309" s="182">
        <v>6</v>
      </c>
      <c r="Q4309" s="182">
        <v>3500</v>
      </c>
      <c r="R4309" s="46">
        <v>3.7789999999999999</v>
      </c>
      <c r="S4309" s="46">
        <v>0</v>
      </c>
      <c r="T4309" s="46">
        <v>0</v>
      </c>
      <c r="U4309" s="46">
        <v>0</v>
      </c>
      <c r="V4309" s="46" t="s">
        <v>62</v>
      </c>
      <c r="W4309" s="46">
        <v>3500</v>
      </c>
      <c r="X4309" s="46">
        <v>3.7789999999999999</v>
      </c>
      <c r="AF4309" s="46">
        <v>72</v>
      </c>
      <c r="AG4309" s="46">
        <v>35400</v>
      </c>
      <c r="AH4309" s="46">
        <v>210838</v>
      </c>
      <c r="AI4309" s="46">
        <v>5.9560000000000004</v>
      </c>
      <c r="AJ4309" s="46">
        <v>71</v>
      </c>
      <c r="AK4309" s="46">
        <v>31600</v>
      </c>
      <c r="AL4309" s="46">
        <v>188583.87200000006</v>
      </c>
      <c r="AM4309" s="46">
        <v>5.968</v>
      </c>
      <c r="AN4309" s="46" t="s">
        <v>63</v>
      </c>
      <c r="AO4309" s="46">
        <v>3800</v>
      </c>
      <c r="AP4309" s="46">
        <v>22254.128000000001</v>
      </c>
      <c r="AQ4309" s="46">
        <v>5.8559999999999999</v>
      </c>
      <c r="AR4309" s="46">
        <v>379.2</v>
      </c>
      <c r="AS4309" s="46">
        <v>78</v>
      </c>
      <c r="AT4309" s="46">
        <v>38900</v>
      </c>
      <c r="AU4309" s="46">
        <v>223805</v>
      </c>
      <c r="AV4309" s="46">
        <v>5.7530000000000001</v>
      </c>
      <c r="AW4309" s="46">
        <v>71</v>
      </c>
      <c r="AX4309" s="46">
        <v>31600</v>
      </c>
      <c r="AY4309" s="46">
        <v>188583.87200000006</v>
      </c>
      <c r="AZ4309" s="46">
        <v>5.968</v>
      </c>
      <c r="BA4309" s="46" t="s">
        <v>63</v>
      </c>
      <c r="BB4309" s="46">
        <v>7300</v>
      </c>
      <c r="BC4309" s="46">
        <v>35221.127999999997</v>
      </c>
      <c r="BD4309" s="46">
        <v>4.8250000000000002</v>
      </c>
      <c r="BE4309" s="46">
        <v>6794</v>
      </c>
      <c r="BF4309" s="46">
        <v>12967</v>
      </c>
      <c r="BG4309" s="46">
        <v>3.7</v>
      </c>
      <c r="BH4309" s="46">
        <v>0</v>
      </c>
      <c r="BJ4309">
        <v>12966.999999999996</v>
      </c>
      <c r="BK4309">
        <v>3.7</v>
      </c>
      <c r="BL4309">
        <v>133.99</v>
      </c>
    </row>
    <row r="4310" spans="1:64" x14ac:dyDescent="0.25">
      <c r="A4310" s="136">
        <v>44118</v>
      </c>
      <c r="B4310" t="s">
        <v>72</v>
      </c>
      <c r="C4310" t="s">
        <v>130</v>
      </c>
      <c r="D4310">
        <v>100</v>
      </c>
      <c r="E4310">
        <v>100</v>
      </c>
      <c r="F4310">
        <v>1.53</v>
      </c>
      <c r="G4310">
        <v>414</v>
      </c>
      <c r="H4310">
        <v>270.58999999999997</v>
      </c>
      <c r="I4310">
        <v>567</v>
      </c>
      <c r="J4310">
        <v>5.67</v>
      </c>
      <c r="K4310" s="133">
        <v>1.2346546794980168E-3</v>
      </c>
      <c r="L4310" s="181">
        <v>-14</v>
      </c>
      <c r="M4310" s="133">
        <v>3.3316078653121086E-4</v>
      </c>
      <c r="N4310" s="73">
        <v>-1498.9659999999872</v>
      </c>
      <c r="O4310" s="73">
        <v>376.42007904191922</v>
      </c>
      <c r="P4310" s="182">
        <v>0</v>
      </c>
      <c r="Q4310" s="182">
        <v>0</v>
      </c>
      <c r="R4310" s="46">
        <v>0</v>
      </c>
      <c r="S4310" s="46">
        <v>20</v>
      </c>
      <c r="T4310" s="46">
        <v>8600</v>
      </c>
      <c r="U4310" s="46">
        <v>7.3840000000000003</v>
      </c>
      <c r="V4310" s="46" t="s">
        <v>68</v>
      </c>
      <c r="W4310" s="46">
        <v>8600</v>
      </c>
      <c r="X4310" s="46">
        <v>7.3840000000000003</v>
      </c>
      <c r="AF4310" s="46">
        <v>42</v>
      </c>
      <c r="AG4310" s="46">
        <v>20900</v>
      </c>
      <c r="AH4310" s="46">
        <v>152800</v>
      </c>
      <c r="AI4310" s="46">
        <v>7.3109999999999999</v>
      </c>
      <c r="AJ4310" s="46">
        <v>42</v>
      </c>
      <c r="AK4310" s="46">
        <v>18800</v>
      </c>
      <c r="AL4310" s="46">
        <v>92037.725000000035</v>
      </c>
      <c r="AM4310" s="46">
        <v>4.8959999999999999</v>
      </c>
      <c r="AN4310" s="46" t="s">
        <v>63</v>
      </c>
      <c r="AO4310" s="46">
        <v>2100</v>
      </c>
      <c r="AP4310" s="46">
        <v>60762.275000000001</v>
      </c>
      <c r="AQ4310" s="46">
        <v>28.934000000000001</v>
      </c>
      <c r="AR4310" s="46">
        <v>-45402</v>
      </c>
      <c r="AS4310" s="46">
        <v>42</v>
      </c>
      <c r="AT4310" s="46">
        <v>20900</v>
      </c>
      <c r="AU4310" s="46">
        <v>152800</v>
      </c>
      <c r="AV4310" s="46">
        <v>7.3109999999999999</v>
      </c>
      <c r="AW4310" s="46">
        <v>63</v>
      </c>
      <c r="AX4310" s="46">
        <v>27900</v>
      </c>
      <c r="AY4310" s="46">
        <v>155380.21900000001</v>
      </c>
      <c r="AZ4310" s="46">
        <v>5.569</v>
      </c>
      <c r="BA4310" s="46" t="s">
        <v>69</v>
      </c>
      <c r="BB4310" s="46">
        <v>7000</v>
      </c>
      <c r="BC4310" s="46">
        <v>2580.2190000000001</v>
      </c>
      <c r="BD4310" s="46">
        <v>0.36899999999999999</v>
      </c>
      <c r="BE4310" s="46">
        <v>-36407.800000000003</v>
      </c>
      <c r="BF4310" s="46">
        <v>0</v>
      </c>
      <c r="BH4310" s="46">
        <v>63342.493999999977</v>
      </c>
      <c r="BI4310">
        <v>7.37</v>
      </c>
      <c r="BJ4310">
        <v>-58182.056000000004</v>
      </c>
      <c r="BK4310">
        <v>-6.77</v>
      </c>
      <c r="BL4310">
        <v>-8007.41</v>
      </c>
    </row>
    <row r="4311" spans="1:64" x14ac:dyDescent="0.25">
      <c r="A4311" s="136">
        <v>44118</v>
      </c>
      <c r="B4311" t="s">
        <v>70</v>
      </c>
      <c r="C4311" t="s">
        <v>131</v>
      </c>
      <c r="D4311">
        <v>11880</v>
      </c>
      <c r="E4311">
        <v>11880</v>
      </c>
      <c r="F4311">
        <v>8.2050000000000001</v>
      </c>
      <c r="G4311">
        <v>-11580.81</v>
      </c>
      <c r="H4311">
        <v>-11.88</v>
      </c>
      <c r="I4311">
        <v>85892.4</v>
      </c>
      <c r="J4311">
        <v>7.23</v>
      </c>
      <c r="K4311" s="133">
        <v>0.1870325460199567</v>
      </c>
      <c r="L4311" s="181">
        <v>-594</v>
      </c>
      <c r="M4311" s="133">
        <v>0.21225000855765938</v>
      </c>
      <c r="N4311" s="73">
        <v>-10875.900999999998</v>
      </c>
      <c r="O4311" s="73">
        <v>-1491.1471947187927</v>
      </c>
      <c r="P4311" s="182">
        <v>0</v>
      </c>
      <c r="Q4311" s="182">
        <v>0</v>
      </c>
      <c r="R4311" s="46">
        <v>0</v>
      </c>
      <c r="S4311" s="46">
        <v>14</v>
      </c>
      <c r="T4311" s="46">
        <v>7200</v>
      </c>
      <c r="U4311" s="46">
        <v>7.5229999999999997</v>
      </c>
      <c r="V4311" s="46" t="s">
        <v>68</v>
      </c>
      <c r="W4311" s="46">
        <v>7200</v>
      </c>
      <c r="X4311" s="46">
        <v>7.5229999999999997</v>
      </c>
      <c r="AF4311" s="46">
        <v>241</v>
      </c>
      <c r="AG4311" s="46">
        <v>118580</v>
      </c>
      <c r="AH4311" s="46">
        <v>1272871</v>
      </c>
      <c r="AI4311" s="46">
        <v>10.734</v>
      </c>
      <c r="AJ4311" s="46">
        <v>247</v>
      </c>
      <c r="AK4311" s="46">
        <v>99500</v>
      </c>
      <c r="AL4311" s="46">
        <v>1119146.067</v>
      </c>
      <c r="AM4311" s="46">
        <v>11.247999999999999</v>
      </c>
      <c r="AN4311" s="46" t="s">
        <v>63</v>
      </c>
      <c r="AO4311" s="46">
        <v>19080</v>
      </c>
      <c r="AP4311" s="46">
        <v>153724.93299999999</v>
      </c>
      <c r="AQ4311" s="46">
        <v>8.0570000000000004</v>
      </c>
      <c r="AR4311" s="46">
        <v>51143</v>
      </c>
      <c r="AS4311" s="46">
        <v>241</v>
      </c>
      <c r="AT4311" s="46">
        <v>118580</v>
      </c>
      <c r="AU4311" s="46">
        <v>1272871</v>
      </c>
      <c r="AV4311" s="46">
        <v>10.734</v>
      </c>
      <c r="AW4311" s="46">
        <v>262</v>
      </c>
      <c r="AX4311" s="46">
        <v>106700</v>
      </c>
      <c r="AY4311" s="46">
        <v>1173619.8989999997</v>
      </c>
      <c r="AZ4311" s="46">
        <v>10.999000000000001</v>
      </c>
      <c r="BA4311" s="46" t="s">
        <v>63</v>
      </c>
      <c r="BB4311" s="46">
        <v>11880</v>
      </c>
      <c r="BC4311" s="46">
        <v>99251.100999999995</v>
      </c>
      <c r="BD4311" s="46">
        <v>8.3539999999999992</v>
      </c>
      <c r="BE4311" s="46">
        <v>28275.5</v>
      </c>
      <c r="BF4311" s="46">
        <v>0</v>
      </c>
      <c r="BH4311" s="46">
        <v>54473.831999999704</v>
      </c>
      <c r="BI4311">
        <v>7.57</v>
      </c>
      <c r="BJ4311">
        <v>-54473.831999999995</v>
      </c>
      <c r="BK4311">
        <v>-7.57</v>
      </c>
      <c r="BL4311">
        <v>7073.72</v>
      </c>
    </row>
    <row r="4312" spans="1:64" x14ac:dyDescent="0.25">
      <c r="A4312" s="136">
        <v>44118</v>
      </c>
      <c r="B4312" t="s">
        <v>628</v>
      </c>
      <c r="C4312" t="s">
        <v>629</v>
      </c>
      <c r="D4312">
        <v>100</v>
      </c>
      <c r="E4312">
        <v>100</v>
      </c>
      <c r="F4312">
        <v>0.95</v>
      </c>
      <c r="G4312">
        <v>1415</v>
      </c>
      <c r="H4312">
        <v>1489.4739999999999</v>
      </c>
      <c r="I4312">
        <v>1510</v>
      </c>
      <c r="J4312">
        <v>15.1</v>
      </c>
      <c r="K4312" s="133">
        <v>3.2880574357001856E-3</v>
      </c>
      <c r="L4312" s="181">
        <v>33</v>
      </c>
      <c r="M4312" s="133">
        <v>2.068645406566342E-4</v>
      </c>
    </row>
    <row r="4313" spans="1:64" x14ac:dyDescent="0.25">
      <c r="A4313" s="136">
        <v>44118</v>
      </c>
      <c r="B4313" t="s">
        <v>768</v>
      </c>
      <c r="C4313" t="s">
        <v>769</v>
      </c>
      <c r="D4313">
        <v>500</v>
      </c>
      <c r="E4313">
        <v>500</v>
      </c>
      <c r="F4313">
        <v>2.4140000000000001</v>
      </c>
      <c r="G4313">
        <v>243</v>
      </c>
      <c r="H4313">
        <v>20.13</v>
      </c>
      <c r="I4313">
        <v>1450</v>
      </c>
      <c r="J4313">
        <v>2.9</v>
      </c>
      <c r="K4313" s="133">
        <v>3.1574061468644166E-3</v>
      </c>
      <c r="L4313" s="181">
        <v>-15</v>
      </c>
      <c r="M4313" s="133">
        <v>2.6282684270795523E-3</v>
      </c>
    </row>
    <row r="4314" spans="1:64" x14ac:dyDescent="0.25">
      <c r="A4314" s="136">
        <v>44118</v>
      </c>
      <c r="B4314" t="s">
        <v>137</v>
      </c>
      <c r="C4314" t="s">
        <v>149</v>
      </c>
      <c r="D4314">
        <v>150</v>
      </c>
      <c r="E4314">
        <v>150</v>
      </c>
      <c r="F4314">
        <v>1</v>
      </c>
      <c r="G4314">
        <v>6057</v>
      </c>
      <c r="H4314">
        <v>4038</v>
      </c>
      <c r="I4314">
        <v>6207</v>
      </c>
      <c r="J4314">
        <v>41.38</v>
      </c>
      <c r="K4314" s="133">
        <v>1.35158758300603E-2</v>
      </c>
      <c r="L4314" s="181">
        <v>100.5</v>
      </c>
      <c r="M4314" s="133">
        <v>3.266282220894224E-4</v>
      </c>
    </row>
    <row r="4315" spans="1:64" x14ac:dyDescent="0.25">
      <c r="A4315" s="136">
        <v>44118</v>
      </c>
      <c r="B4315" t="s">
        <v>835</v>
      </c>
      <c r="C4315" t="s">
        <v>839</v>
      </c>
      <c r="I4315">
        <v>16206.17</v>
      </c>
      <c r="K4315" s="133">
        <v>3.5289283293192898E-2</v>
      </c>
      <c r="L4315" s="181">
        <v>0</v>
      </c>
      <c r="M4315" s="133">
        <v>1.0952933047398632E-5</v>
      </c>
    </row>
    <row r="4316" spans="1:64" x14ac:dyDescent="0.25">
      <c r="A4316" s="136">
        <v>44120</v>
      </c>
      <c r="B4316" t="s">
        <v>132</v>
      </c>
      <c r="C4316" t="s">
        <v>123</v>
      </c>
      <c r="D4316">
        <v>503</v>
      </c>
      <c r="E4316">
        <v>503</v>
      </c>
      <c r="F4316">
        <v>-0.59299999999999997</v>
      </c>
      <c r="G4316">
        <v>303.52999999999997</v>
      </c>
      <c r="H4316">
        <v>0</v>
      </c>
      <c r="I4316">
        <v>5.03</v>
      </c>
      <c r="J4316">
        <v>0.01</v>
      </c>
      <c r="K4316" s="133">
        <v>1.079248764759022E-5</v>
      </c>
      <c r="L4316" s="181">
        <v>0</v>
      </c>
      <c r="M4316" s="133">
        <v>0</v>
      </c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</row>
    <row r="4317" spans="1:64" x14ac:dyDescent="0.25">
      <c r="A4317" s="136">
        <v>44120</v>
      </c>
      <c r="B4317" t="s">
        <v>61</v>
      </c>
      <c r="C4317" t="s">
        <v>136</v>
      </c>
      <c r="D4317">
        <v>5000</v>
      </c>
      <c r="E4317">
        <v>5000</v>
      </c>
      <c r="F4317">
        <v>4.07</v>
      </c>
      <c r="G4317">
        <v>-3148.26</v>
      </c>
      <c r="H4317">
        <v>-15.47</v>
      </c>
      <c r="I4317">
        <v>17200</v>
      </c>
      <c r="J4317">
        <v>3.44</v>
      </c>
      <c r="K4317" s="133">
        <v>3.6904729132912879E-2</v>
      </c>
      <c r="L4317" s="181">
        <v>-105.0300000000002</v>
      </c>
      <c r="M4317" s="133">
        <v>4.3659710675935229E-2</v>
      </c>
      <c r="N4317" s="73">
        <v>-3048.9950000000026</v>
      </c>
      <c r="O4317" s="73">
        <v>-880.77182153179274</v>
      </c>
      <c r="P4317" s="182">
        <v>4</v>
      </c>
      <c r="Q4317" s="182">
        <v>2000</v>
      </c>
      <c r="R4317" s="46">
        <v>4.04</v>
      </c>
      <c r="S4317" s="46">
        <v>0</v>
      </c>
      <c r="T4317" s="46">
        <v>0</v>
      </c>
      <c r="U4317" s="46">
        <v>0</v>
      </c>
      <c r="V4317" s="46" t="s">
        <v>62</v>
      </c>
      <c r="W4317" s="46">
        <v>2000</v>
      </c>
      <c r="X4317" s="46">
        <v>4.04</v>
      </c>
      <c r="Y4317"/>
      <c r="Z4317"/>
      <c r="AA4317"/>
      <c r="AB4317"/>
      <c r="AC4317"/>
    </row>
    <row r="4318" spans="1:64" x14ac:dyDescent="0.25">
      <c r="A4318" s="136">
        <v>44120</v>
      </c>
      <c r="B4318" t="s">
        <v>124</v>
      </c>
      <c r="C4318" t="s">
        <v>125</v>
      </c>
      <c r="D4318">
        <v>100</v>
      </c>
      <c r="E4318">
        <v>100</v>
      </c>
      <c r="F4318">
        <v>0.73699999999999999</v>
      </c>
      <c r="G4318">
        <v>425.28</v>
      </c>
      <c r="H4318">
        <v>577.04</v>
      </c>
      <c r="I4318">
        <v>499</v>
      </c>
      <c r="J4318">
        <v>4.99</v>
      </c>
      <c r="K4318" s="133">
        <v>1.0706662696118329E-3</v>
      </c>
      <c r="L4318" s="181">
        <v>7</v>
      </c>
      <c r="M4318" s="133">
        <v>1.5817538556269411E-4</v>
      </c>
      <c r="N4318" s="73">
        <v>5623.0690000000113</v>
      </c>
      <c r="O4318" s="73">
        <v>1111.8087987827732</v>
      </c>
      <c r="P4318" s="182">
        <v>0</v>
      </c>
      <c r="Q4318" s="182">
        <v>0</v>
      </c>
      <c r="R4318" s="46">
        <v>0</v>
      </c>
      <c r="S4318" s="46">
        <v>5</v>
      </c>
      <c r="T4318" s="46">
        <v>2300</v>
      </c>
      <c r="U4318" s="46">
        <v>4.99</v>
      </c>
      <c r="V4318" s="46" t="s">
        <v>68</v>
      </c>
      <c r="W4318" s="46">
        <v>2300</v>
      </c>
      <c r="X4318" s="46">
        <v>4.99</v>
      </c>
      <c r="Y4318"/>
      <c r="Z4318"/>
      <c r="AA4318"/>
      <c r="AB4318"/>
      <c r="AC4318"/>
    </row>
    <row r="4319" spans="1:64" x14ac:dyDescent="0.25">
      <c r="A4319" s="136">
        <v>44120</v>
      </c>
      <c r="B4319" t="s">
        <v>71</v>
      </c>
      <c r="C4319" t="s">
        <v>126</v>
      </c>
      <c r="D4319">
        <v>6400</v>
      </c>
      <c r="E4319">
        <v>6400</v>
      </c>
      <c r="F4319">
        <v>4.3410000000000002</v>
      </c>
      <c r="G4319">
        <v>6011.88</v>
      </c>
      <c r="H4319">
        <v>21.64</v>
      </c>
      <c r="I4319">
        <v>33792</v>
      </c>
      <c r="J4319">
        <v>5.28</v>
      </c>
      <c r="K4319" s="133">
        <v>7.2504919003453031E-2</v>
      </c>
      <c r="L4319" s="181">
        <v>821.72000000000025</v>
      </c>
      <c r="M4319" s="133">
        <v>5.9605686272082313E-2</v>
      </c>
      <c r="N4319" s="73">
        <v>-27816.220000000005</v>
      </c>
      <c r="O4319" s="73">
        <v>1122.1672884250465</v>
      </c>
      <c r="P4319" s="182">
        <v>2</v>
      </c>
      <c r="Q4319" s="182">
        <v>2000</v>
      </c>
      <c r="R4319" s="46">
        <v>5.1630000000000003</v>
      </c>
      <c r="S4319" s="46">
        <v>2</v>
      </c>
      <c r="T4319" s="46">
        <v>800</v>
      </c>
      <c r="U4319" s="46">
        <v>5.2450000000000001</v>
      </c>
      <c r="V4319" s="46" t="s">
        <v>62</v>
      </c>
      <c r="W4319" s="46">
        <v>1200</v>
      </c>
      <c r="X4319" s="46">
        <v>5.1079999999999997</v>
      </c>
      <c r="Y4319"/>
      <c r="Z4319"/>
      <c r="AA4319"/>
      <c r="AB4319"/>
      <c r="AC4319"/>
    </row>
    <row r="4320" spans="1:64" x14ac:dyDescent="0.25">
      <c r="A4320" s="136">
        <v>44120</v>
      </c>
      <c r="B4320" t="s">
        <v>79</v>
      </c>
      <c r="C4320" t="s">
        <v>143</v>
      </c>
      <c r="D4320">
        <v>10400</v>
      </c>
      <c r="E4320">
        <v>10400</v>
      </c>
      <c r="F4320">
        <v>9.5229999999999997</v>
      </c>
      <c r="G4320">
        <v>-19999.55</v>
      </c>
      <c r="H4320">
        <v>-20.190000000000001</v>
      </c>
      <c r="I4320">
        <v>79040</v>
      </c>
      <c r="J4320">
        <v>7.6</v>
      </c>
      <c r="K4320" s="133">
        <v>0.16959010410845546</v>
      </c>
      <c r="L4320" s="181">
        <v>5095.7999999999993</v>
      </c>
      <c r="M4320" s="133">
        <v>0.21250161431369663</v>
      </c>
      <c r="N4320" s="73">
        <v>-20042.235400000514</v>
      </c>
      <c r="O4320" s="73">
        <v>-2635.8176687237524</v>
      </c>
      <c r="P4320" s="182">
        <v>6</v>
      </c>
      <c r="Q4320" s="182">
        <v>6820</v>
      </c>
      <c r="R4320" s="46">
        <v>4.274</v>
      </c>
      <c r="S4320" s="46">
        <v>1</v>
      </c>
      <c r="T4320" s="46">
        <v>400</v>
      </c>
      <c r="U4320" s="46">
        <v>7.6</v>
      </c>
      <c r="V4320" s="46" t="s">
        <v>62</v>
      </c>
      <c r="W4320" s="46">
        <v>6420</v>
      </c>
      <c r="X4320" s="46">
        <v>4.0670000000000002</v>
      </c>
      <c r="Y4320"/>
      <c r="Z4320"/>
      <c r="AA4320"/>
      <c r="AB4320"/>
      <c r="AC4320"/>
    </row>
    <row r="4321" spans="1:29" x14ac:dyDescent="0.25">
      <c r="A4321" s="136">
        <v>44120</v>
      </c>
      <c r="B4321" t="s">
        <v>749</v>
      </c>
      <c r="C4321" t="s">
        <v>750</v>
      </c>
      <c r="D4321">
        <v>500</v>
      </c>
      <c r="E4321">
        <v>500</v>
      </c>
      <c r="F4321">
        <v>5.65</v>
      </c>
      <c r="G4321">
        <v>300</v>
      </c>
      <c r="H4321">
        <v>10.62</v>
      </c>
      <c r="I4321">
        <v>3125</v>
      </c>
      <c r="J4321">
        <v>6.25</v>
      </c>
      <c r="K4321" s="133">
        <v>6.7050743337414391E-3</v>
      </c>
      <c r="L4321" s="181">
        <v>-10</v>
      </c>
      <c r="M4321" s="133">
        <v>6.0613871977022605E-3</v>
      </c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</row>
    <row r="4322" spans="1:29" x14ac:dyDescent="0.25">
      <c r="A4322" s="136">
        <v>44120</v>
      </c>
      <c r="B4322" t="s">
        <v>776</v>
      </c>
      <c r="C4322" t="s">
        <v>777</v>
      </c>
      <c r="D4322">
        <v>1</v>
      </c>
      <c r="E4322">
        <v>1</v>
      </c>
      <c r="F4322">
        <v>-137.5</v>
      </c>
      <c r="G4322">
        <v>217.2</v>
      </c>
      <c r="H4322">
        <v>0</v>
      </c>
      <c r="I4322">
        <v>79.7</v>
      </c>
      <c r="J4322">
        <v>79.7</v>
      </c>
      <c r="K4322" s="133">
        <v>1.7100621580774168E-4</v>
      </c>
      <c r="L4322" s="181">
        <v>-0.42000000000001592</v>
      </c>
      <c r="M4322" s="133">
        <v>0</v>
      </c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</row>
    <row r="4323" spans="1:29" x14ac:dyDescent="0.25">
      <c r="A4323" s="136">
        <v>44120</v>
      </c>
      <c r="B4323" t="s">
        <v>909</v>
      </c>
      <c r="C4323" t="s">
        <v>910</v>
      </c>
      <c r="D4323">
        <v>10</v>
      </c>
      <c r="E4323">
        <v>0</v>
      </c>
      <c r="F4323">
        <v>100</v>
      </c>
      <c r="G4323">
        <v>0</v>
      </c>
      <c r="H4323">
        <v>0</v>
      </c>
      <c r="I4323">
        <v>1000</v>
      </c>
      <c r="J4323">
        <v>100</v>
      </c>
      <c r="K4323" s="133">
        <v>2.1456237867972603E-3</v>
      </c>
      <c r="L4323" s="181">
        <v>0</v>
      </c>
      <c r="M4323" s="133">
        <v>2.1456237867972603E-3</v>
      </c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</row>
    <row r="4324" spans="1:29" x14ac:dyDescent="0.25">
      <c r="A4324" s="136">
        <v>44120</v>
      </c>
      <c r="B4324" t="s">
        <v>65</v>
      </c>
      <c r="C4324" t="s">
        <v>127</v>
      </c>
      <c r="D4324">
        <v>27900</v>
      </c>
      <c r="E4324">
        <v>27900</v>
      </c>
      <c r="F4324">
        <v>8.0980000000000008</v>
      </c>
      <c r="G4324">
        <v>-38721.71</v>
      </c>
      <c r="H4324">
        <v>-17.14</v>
      </c>
      <c r="I4324">
        <v>187209</v>
      </c>
      <c r="J4324">
        <v>6.71</v>
      </c>
      <c r="K4324" s="133">
        <v>0.40168008350252832</v>
      </c>
      <c r="L4324" s="181">
        <v>837</v>
      </c>
      <c r="M4324" s="133">
        <v>0.48476230554399369</v>
      </c>
      <c r="N4324"/>
      <c r="O4324"/>
      <c r="P4324" s="182">
        <v>3</v>
      </c>
      <c r="Q4324" s="182">
        <v>1200</v>
      </c>
      <c r="R4324" s="46">
        <v>6.7329999999999997</v>
      </c>
      <c r="S4324" s="46">
        <v>0</v>
      </c>
      <c r="T4324" s="46">
        <v>0</v>
      </c>
      <c r="U4324" s="46">
        <v>0</v>
      </c>
      <c r="V4324" s="46" t="s">
        <v>62</v>
      </c>
      <c r="W4324" s="46">
        <v>1200</v>
      </c>
      <c r="X4324" s="46">
        <v>6.7329999999999997</v>
      </c>
      <c r="Y4324"/>
      <c r="Z4324"/>
      <c r="AA4324"/>
      <c r="AB4324"/>
      <c r="AC4324"/>
    </row>
    <row r="4325" spans="1:29" x14ac:dyDescent="0.25">
      <c r="A4325" s="136">
        <v>44120</v>
      </c>
      <c r="B4325" t="s">
        <v>77</v>
      </c>
      <c r="C4325" t="s">
        <v>150</v>
      </c>
      <c r="D4325">
        <v>7300</v>
      </c>
      <c r="E4325">
        <v>7300</v>
      </c>
      <c r="F4325">
        <v>4.8239999999999998</v>
      </c>
      <c r="G4325">
        <v>-14922.17</v>
      </c>
      <c r="H4325">
        <v>-42.37</v>
      </c>
      <c r="I4325">
        <v>20294</v>
      </c>
      <c r="J4325">
        <v>2.78</v>
      </c>
      <c r="K4325" s="133">
        <v>4.3543289129263606E-2</v>
      </c>
      <c r="L4325" s="181">
        <v>-365</v>
      </c>
      <c r="M4325" s="133">
        <v>7.5560652031896075E-2</v>
      </c>
      <c r="N4325" s="73">
        <v>-14113.127999999982</v>
      </c>
      <c r="O4325" s="73">
        <v>-4596.7302148648596</v>
      </c>
      <c r="P4325" s="182">
        <v>6</v>
      </c>
      <c r="Q4325" s="182">
        <v>3500</v>
      </c>
      <c r="R4325" s="46">
        <v>3.7789999999999999</v>
      </c>
      <c r="S4325" s="46">
        <v>0</v>
      </c>
      <c r="T4325" s="46">
        <v>0</v>
      </c>
      <c r="U4325" s="46">
        <v>0</v>
      </c>
      <c r="V4325" s="46" t="s">
        <v>62</v>
      </c>
      <c r="W4325" s="46">
        <v>3500</v>
      </c>
      <c r="X4325" s="46">
        <v>3.7789999999999999</v>
      </c>
      <c r="Y4325"/>
      <c r="Z4325"/>
      <c r="AA4325"/>
      <c r="AB4325"/>
      <c r="AC4325"/>
    </row>
    <row r="4326" spans="1:29" x14ac:dyDescent="0.25">
      <c r="A4326" s="136">
        <v>44120</v>
      </c>
      <c r="B4326" t="s">
        <v>72</v>
      </c>
      <c r="C4326" t="s">
        <v>130</v>
      </c>
      <c r="D4326">
        <v>100</v>
      </c>
      <c r="E4326">
        <v>100</v>
      </c>
      <c r="F4326">
        <v>1.53</v>
      </c>
      <c r="G4326">
        <v>395</v>
      </c>
      <c r="H4326">
        <v>258.17</v>
      </c>
      <c r="I4326">
        <v>548</v>
      </c>
      <c r="J4326">
        <v>5.48</v>
      </c>
      <c r="K4326" s="133">
        <v>1.1758018351648988E-3</v>
      </c>
      <c r="L4326" s="181">
        <v>-19</v>
      </c>
      <c r="M4326" s="133">
        <v>3.2828043937998088E-4</v>
      </c>
      <c r="N4326" s="73">
        <v>-1498.9659999999872</v>
      </c>
      <c r="O4326" s="73">
        <v>376.42007904191922</v>
      </c>
      <c r="P4326" s="182">
        <v>0</v>
      </c>
      <c r="Q4326" s="182">
        <v>0</v>
      </c>
      <c r="R4326" s="46">
        <v>0</v>
      </c>
      <c r="S4326" s="46">
        <v>20</v>
      </c>
      <c r="T4326" s="46">
        <v>8600</v>
      </c>
      <c r="U4326" s="46">
        <v>7.3840000000000003</v>
      </c>
      <c r="V4326" s="46" t="s">
        <v>68</v>
      </c>
      <c r="W4326" s="46">
        <v>8600</v>
      </c>
      <c r="X4326" s="46">
        <v>7.3840000000000003</v>
      </c>
      <c r="Y4326"/>
      <c r="Z4326"/>
      <c r="AA4326"/>
      <c r="AB4326"/>
      <c r="AC4326"/>
    </row>
    <row r="4327" spans="1:29" x14ac:dyDescent="0.25">
      <c r="A4327" s="136">
        <v>44120</v>
      </c>
      <c r="B4327" t="s">
        <v>70</v>
      </c>
      <c r="C4327" t="s">
        <v>131</v>
      </c>
      <c r="D4327">
        <v>14380</v>
      </c>
      <c r="E4327">
        <v>11880</v>
      </c>
      <c r="F4327">
        <v>8.032</v>
      </c>
      <c r="G4327">
        <v>-10960.61</v>
      </c>
      <c r="H4327">
        <v>-9.49</v>
      </c>
      <c r="I4327">
        <v>104542.6</v>
      </c>
      <c r="J4327">
        <v>7.27</v>
      </c>
      <c r="K4327" s="133">
        <v>0.2243090892936313</v>
      </c>
      <c r="L4327" s="181">
        <v>620.19999999999891</v>
      </c>
      <c r="M4327" s="133">
        <v>0.24782643482743921</v>
      </c>
      <c r="N4327" s="73">
        <v>-11831.300999999992</v>
      </c>
      <c r="O4327" s="73">
        <v>-1640.1366642857133</v>
      </c>
      <c r="P4327" s="182">
        <v>1</v>
      </c>
      <c r="Q4327" s="182">
        <v>2500</v>
      </c>
      <c r="R4327" s="46">
        <v>7.21</v>
      </c>
      <c r="S4327" s="46">
        <v>14</v>
      </c>
      <c r="T4327" s="46">
        <v>7200</v>
      </c>
      <c r="U4327" s="46">
        <v>7.5229999999999997</v>
      </c>
      <c r="V4327" s="46" t="s">
        <v>68</v>
      </c>
      <c r="W4327" s="46">
        <v>4700</v>
      </c>
      <c r="X4327" s="46">
        <v>7.6890000000000001</v>
      </c>
      <c r="Y4327"/>
      <c r="Z4327"/>
      <c r="AA4327"/>
      <c r="AB4327"/>
      <c r="AC4327"/>
    </row>
    <row r="4328" spans="1:29" x14ac:dyDescent="0.25">
      <c r="A4328" s="136">
        <v>44120</v>
      </c>
      <c r="B4328" t="s">
        <v>628</v>
      </c>
      <c r="C4328" t="s">
        <v>629</v>
      </c>
      <c r="D4328">
        <v>100</v>
      </c>
      <c r="E4328">
        <v>100</v>
      </c>
      <c r="F4328">
        <v>0.95</v>
      </c>
      <c r="G4328">
        <v>1422</v>
      </c>
      <c r="H4328">
        <v>1496.84</v>
      </c>
      <c r="I4328">
        <v>1517</v>
      </c>
      <c r="J4328">
        <v>15.17</v>
      </c>
      <c r="K4328" s="133">
        <v>3.2549112845714442E-3</v>
      </c>
      <c r="L4328" s="181">
        <v>7</v>
      </c>
      <c r="M4328" s="133">
        <v>2.0383425974573974E-4</v>
      </c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</row>
    <row r="4329" spans="1:29" x14ac:dyDescent="0.25">
      <c r="A4329" s="136">
        <v>44120</v>
      </c>
      <c r="B4329" t="s">
        <v>768</v>
      </c>
      <c r="C4329" t="s">
        <v>769</v>
      </c>
      <c r="D4329">
        <v>500</v>
      </c>
      <c r="E4329">
        <v>500</v>
      </c>
      <c r="F4329">
        <v>2.4140000000000001</v>
      </c>
      <c r="G4329">
        <v>243</v>
      </c>
      <c r="H4329">
        <v>20.13</v>
      </c>
      <c r="I4329">
        <v>1450</v>
      </c>
      <c r="J4329">
        <v>2.9</v>
      </c>
      <c r="K4329" s="133">
        <v>3.1111544908560278E-3</v>
      </c>
      <c r="L4329" s="181">
        <v>0</v>
      </c>
      <c r="M4329" s="133">
        <v>2.5897679106642933E-3</v>
      </c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</row>
    <row r="4330" spans="1:29" x14ac:dyDescent="0.25">
      <c r="A4330" s="136">
        <v>44120</v>
      </c>
      <c r="B4330" t="s">
        <v>137</v>
      </c>
      <c r="C4330" t="s">
        <v>149</v>
      </c>
      <c r="D4330">
        <v>150</v>
      </c>
      <c r="E4330">
        <v>150</v>
      </c>
      <c r="F4330">
        <v>1</v>
      </c>
      <c r="G4330">
        <v>6004.5</v>
      </c>
      <c r="H4330">
        <v>4003</v>
      </c>
      <c r="I4330">
        <v>6154.5</v>
      </c>
      <c r="J4330">
        <v>41.03</v>
      </c>
      <c r="K4330" s="133">
        <v>1.320524159584374E-2</v>
      </c>
      <c r="L4330" s="181">
        <v>-52.5</v>
      </c>
      <c r="M4330" s="133">
        <v>3.2184356801958909E-4</v>
      </c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</row>
    <row r="4331" spans="1:29" x14ac:dyDescent="0.25">
      <c r="A4331" s="136">
        <v>44120</v>
      </c>
      <c r="B4331" t="s">
        <v>835</v>
      </c>
      <c r="C4331" t="s">
        <v>839</v>
      </c>
      <c r="I4331">
        <v>9609.1</v>
      </c>
      <c r="K4331" s="133">
        <v>2.0617513529713558E-2</v>
      </c>
      <c r="L4331" s="181">
        <v>0</v>
      </c>
      <c r="M4331" s="133">
        <v>1.079248764759022E-5</v>
      </c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</row>
    <row r="4332" spans="1:29" x14ac:dyDescent="0.25">
      <c r="A4332" s="136">
        <v>44123</v>
      </c>
      <c r="B4332" t="s">
        <v>132</v>
      </c>
      <c r="C4332" t="s">
        <v>123</v>
      </c>
      <c r="D4332">
        <v>503</v>
      </c>
      <c r="E4332">
        <v>503</v>
      </c>
      <c r="F4332">
        <v>-0.59299999999999997</v>
      </c>
      <c r="G4332">
        <v>303.52999999999997</v>
      </c>
      <c r="H4332">
        <v>0</v>
      </c>
      <c r="I4332">
        <v>5.03</v>
      </c>
      <c r="J4332">
        <v>0.01</v>
      </c>
      <c r="K4332" s="133">
        <v>1.0811556715857459E-5</v>
      </c>
      <c r="L4332" s="181">
        <v>0</v>
      </c>
      <c r="M4332" s="133">
        <v>0</v>
      </c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</row>
    <row r="4333" spans="1:29" x14ac:dyDescent="0.25">
      <c r="A4333" s="136">
        <v>44123</v>
      </c>
      <c r="B4333" t="s">
        <v>61</v>
      </c>
      <c r="C4333" t="s">
        <v>136</v>
      </c>
      <c r="D4333">
        <v>5000</v>
      </c>
      <c r="E4333">
        <v>5000</v>
      </c>
      <c r="F4333">
        <v>4.07</v>
      </c>
      <c r="G4333">
        <v>-3098.26</v>
      </c>
      <c r="H4333">
        <v>-15.22</v>
      </c>
      <c r="I4333">
        <v>17250</v>
      </c>
      <c r="J4333">
        <v>3.45</v>
      </c>
      <c r="K4333" s="133">
        <v>3.7077406232314342E-2</v>
      </c>
      <c r="L4333" s="181">
        <v>50</v>
      </c>
      <c r="M4333" s="133">
        <v>4.3736852298014654E-2</v>
      </c>
      <c r="N4333" s="73">
        <v>-3048.9950000000026</v>
      </c>
      <c r="O4333" s="73">
        <v>-880.77182153179274</v>
      </c>
      <c r="P4333" s="182">
        <v>4</v>
      </c>
      <c r="Q4333" s="182">
        <v>2000</v>
      </c>
      <c r="R4333" s="46">
        <v>4.04</v>
      </c>
      <c r="S4333" s="46">
        <v>0</v>
      </c>
      <c r="T4333" s="46">
        <v>0</v>
      </c>
      <c r="U4333" s="46">
        <v>0</v>
      </c>
      <c r="V4333" s="46" t="s">
        <v>62</v>
      </c>
      <c r="W4333" s="46">
        <v>2000</v>
      </c>
      <c r="X4333" s="46">
        <v>4.04</v>
      </c>
      <c r="Y4333"/>
      <c r="Z4333"/>
      <c r="AA4333"/>
      <c r="AB4333"/>
      <c r="AC4333"/>
    </row>
    <row r="4334" spans="1:29" x14ac:dyDescent="0.25">
      <c r="A4334" s="136">
        <v>44123</v>
      </c>
      <c r="B4334" t="s">
        <v>124</v>
      </c>
      <c r="C4334" t="s">
        <v>125</v>
      </c>
      <c r="D4334">
        <v>100</v>
      </c>
      <c r="E4334">
        <v>100</v>
      </c>
      <c r="F4334">
        <v>0.73699999999999999</v>
      </c>
      <c r="G4334">
        <v>428.28</v>
      </c>
      <c r="H4334">
        <v>581.11</v>
      </c>
      <c r="I4334">
        <v>502</v>
      </c>
      <c r="J4334">
        <v>5.0199999999999996</v>
      </c>
      <c r="K4334" s="133">
        <v>1.0790062567316986E-3</v>
      </c>
      <c r="L4334" s="181">
        <v>3</v>
      </c>
      <c r="M4334" s="133">
        <v>1.5845486304036027E-4</v>
      </c>
      <c r="N4334" s="73">
        <v>5623.0690000000113</v>
      </c>
      <c r="O4334" s="73">
        <v>1111.8087987827732</v>
      </c>
      <c r="P4334" s="182">
        <v>0</v>
      </c>
      <c r="Q4334" s="182">
        <v>0</v>
      </c>
      <c r="R4334" s="46">
        <v>0</v>
      </c>
      <c r="S4334" s="46">
        <v>5</v>
      </c>
      <c r="T4334" s="46">
        <v>2300</v>
      </c>
      <c r="U4334" s="46">
        <v>4.99</v>
      </c>
      <c r="V4334" s="46" t="s">
        <v>68</v>
      </c>
      <c r="W4334" s="46">
        <v>2300</v>
      </c>
      <c r="X4334" s="46">
        <v>4.99</v>
      </c>
      <c r="Y4334"/>
      <c r="Z4334"/>
      <c r="AA4334"/>
      <c r="AB4334"/>
      <c r="AC4334"/>
    </row>
    <row r="4335" spans="1:29" x14ac:dyDescent="0.25">
      <c r="A4335" s="136">
        <v>44123</v>
      </c>
      <c r="B4335" t="s">
        <v>71</v>
      </c>
      <c r="C4335" t="s">
        <v>126</v>
      </c>
      <c r="D4335">
        <v>6400</v>
      </c>
      <c r="E4335">
        <v>6400</v>
      </c>
      <c r="F4335">
        <v>4.3410000000000002</v>
      </c>
      <c r="G4335">
        <v>5819.88</v>
      </c>
      <c r="H4335">
        <v>20.95</v>
      </c>
      <c r="I4335">
        <v>33600</v>
      </c>
      <c r="J4335">
        <v>5.25</v>
      </c>
      <c r="K4335" s="133">
        <v>7.22203390959862E-2</v>
      </c>
      <c r="L4335" s="181">
        <v>-192</v>
      </c>
      <c r="M4335" s="133">
        <v>5.9711002575213931E-2</v>
      </c>
      <c r="N4335" s="73">
        <v>6613.3879999999954</v>
      </c>
      <c r="O4335" s="73">
        <v>1122.1672884250465</v>
      </c>
      <c r="P4335" s="182">
        <v>2</v>
      </c>
      <c r="Q4335" s="182">
        <v>2000</v>
      </c>
      <c r="R4335" s="46">
        <v>5.1630000000000003</v>
      </c>
      <c r="S4335" s="46">
        <v>2</v>
      </c>
      <c r="T4335" s="46">
        <v>800</v>
      </c>
      <c r="U4335" s="46">
        <v>5.2450000000000001</v>
      </c>
      <c r="V4335" s="46" t="s">
        <v>62</v>
      </c>
      <c r="W4335" s="46">
        <v>1200</v>
      </c>
      <c r="X4335" s="46">
        <v>5.1079999999999997</v>
      </c>
      <c r="Y4335"/>
      <c r="Z4335"/>
      <c r="AA4335"/>
      <c r="AB4335"/>
      <c r="AC4335"/>
    </row>
    <row r="4336" spans="1:29" x14ac:dyDescent="0.25">
      <c r="A4336" s="136">
        <v>44123</v>
      </c>
      <c r="B4336" t="s">
        <v>79</v>
      </c>
      <c r="C4336" t="s">
        <v>143</v>
      </c>
      <c r="D4336">
        <v>9600</v>
      </c>
      <c r="E4336">
        <v>9600</v>
      </c>
      <c r="F4336">
        <v>9.6639999999999997</v>
      </c>
      <c r="G4336">
        <v>-17703.95</v>
      </c>
      <c r="H4336">
        <v>-19.079999999999998</v>
      </c>
      <c r="I4336">
        <v>75072</v>
      </c>
      <c r="J4336">
        <v>7.82</v>
      </c>
      <c r="K4336" s="133">
        <v>0.16136087192303203</v>
      </c>
      <c r="L4336" s="181">
        <v>2295.5999999999985</v>
      </c>
      <c r="M4336" s="133">
        <v>0.19941400502834108</v>
      </c>
      <c r="N4336" s="73">
        <v>-16786.995400000524</v>
      </c>
      <c r="O4336" s="73">
        <v>-2118.5103411995615</v>
      </c>
      <c r="P4336" s="182">
        <v>5</v>
      </c>
      <c r="Q4336" s="182">
        <v>5820</v>
      </c>
      <c r="R4336" s="46">
        <v>3.6720000000000002</v>
      </c>
      <c r="S4336" s="46">
        <v>1</v>
      </c>
      <c r="T4336" s="46">
        <v>400</v>
      </c>
      <c r="U4336" s="46">
        <v>7.6</v>
      </c>
      <c r="V4336" s="46" t="s">
        <v>62</v>
      </c>
      <c r="W4336" s="46">
        <v>5420</v>
      </c>
      <c r="X4336" s="46">
        <v>3.3820000000000001</v>
      </c>
      <c r="Y4336"/>
      <c r="Z4336"/>
      <c r="AA4336"/>
      <c r="AB4336"/>
      <c r="AC4336"/>
    </row>
    <row r="4337" spans="1:29" x14ac:dyDescent="0.25">
      <c r="A4337" s="136">
        <v>44123</v>
      </c>
      <c r="B4337" t="s">
        <v>749</v>
      </c>
      <c r="C4337" t="s">
        <v>750</v>
      </c>
      <c r="D4337">
        <v>500</v>
      </c>
      <c r="E4337">
        <v>500</v>
      </c>
      <c r="F4337">
        <v>5.65</v>
      </c>
      <c r="G4337">
        <v>285</v>
      </c>
      <c r="H4337">
        <v>10.09</v>
      </c>
      <c r="I4337">
        <v>3110</v>
      </c>
      <c r="J4337">
        <v>6.22</v>
      </c>
      <c r="K4337" s="133">
        <v>6.6846801960868179E-3</v>
      </c>
      <c r="L4337" s="181">
        <v>-15</v>
      </c>
      <c r="M4337" s="133">
        <v>6.0720969626833635E-3</v>
      </c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</row>
    <row r="4338" spans="1:29" x14ac:dyDescent="0.25">
      <c r="A4338" s="136">
        <v>44123</v>
      </c>
      <c r="B4338" t="s">
        <v>776</v>
      </c>
      <c r="C4338" t="s">
        <v>777</v>
      </c>
      <c r="D4338">
        <v>1</v>
      </c>
      <c r="E4338">
        <v>1</v>
      </c>
      <c r="F4338">
        <v>-137.5</v>
      </c>
      <c r="G4338">
        <v>213.25</v>
      </c>
      <c r="H4338">
        <v>0</v>
      </c>
      <c r="I4338">
        <v>75.75</v>
      </c>
      <c r="J4338">
        <v>75.75</v>
      </c>
      <c r="K4338" s="133">
        <v>1.6281817519407603E-4</v>
      </c>
      <c r="L4338" s="181">
        <v>-3.9499999999999886</v>
      </c>
      <c r="M4338" s="133">
        <v>0</v>
      </c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</row>
    <row r="4339" spans="1:29" x14ac:dyDescent="0.25">
      <c r="A4339" s="136">
        <v>44123</v>
      </c>
      <c r="B4339" t="s">
        <v>909</v>
      </c>
      <c r="C4339" t="s">
        <v>910</v>
      </c>
      <c r="D4339">
        <v>10</v>
      </c>
      <c r="E4339">
        <v>0</v>
      </c>
      <c r="F4339">
        <v>100</v>
      </c>
      <c r="G4339">
        <v>0</v>
      </c>
      <c r="H4339">
        <v>0</v>
      </c>
      <c r="I4339">
        <v>1000</v>
      </c>
      <c r="J4339">
        <v>100</v>
      </c>
      <c r="K4339" s="133">
        <v>2.1494148540472085E-3</v>
      </c>
      <c r="L4339" s="181">
        <v>0</v>
      </c>
      <c r="M4339" s="133">
        <v>2.1494148540472085E-3</v>
      </c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</row>
    <row r="4340" spans="1:29" x14ac:dyDescent="0.25">
      <c r="A4340" s="136">
        <v>44123</v>
      </c>
      <c r="B4340" t="s">
        <v>65</v>
      </c>
      <c r="C4340" t="s">
        <v>82</v>
      </c>
      <c r="D4340">
        <v>27500</v>
      </c>
      <c r="E4340">
        <v>27500</v>
      </c>
      <c r="F4340">
        <v>8.1170000000000009</v>
      </c>
      <c r="G4340">
        <v>-38964.43</v>
      </c>
      <c r="H4340">
        <v>-17.46</v>
      </c>
      <c r="I4340">
        <v>184250</v>
      </c>
      <c r="J4340">
        <v>6.7</v>
      </c>
      <c r="K4340" s="133">
        <v>0.39602968685819812</v>
      </c>
      <c r="L4340" s="181">
        <v>-242.72000000000116</v>
      </c>
      <c r="M4340" s="133">
        <v>0.47978041147968081</v>
      </c>
      <c r="N4340"/>
      <c r="O4340"/>
      <c r="P4340" s="182">
        <v>3</v>
      </c>
      <c r="Q4340" s="182">
        <v>1200</v>
      </c>
      <c r="R4340" s="46">
        <v>6.7329999999999997</v>
      </c>
      <c r="S4340" s="46">
        <v>1</v>
      </c>
      <c r="T4340" s="46">
        <v>400</v>
      </c>
      <c r="U4340" s="46">
        <v>6.81</v>
      </c>
      <c r="V4340" s="46" t="s">
        <v>62</v>
      </c>
      <c r="W4340" s="46">
        <v>800</v>
      </c>
      <c r="X4340" s="46">
        <v>6.6950000000000003</v>
      </c>
      <c r="Y4340"/>
      <c r="Z4340"/>
      <c r="AA4340"/>
      <c r="AB4340"/>
      <c r="AC4340"/>
    </row>
    <row r="4341" spans="1:29" x14ac:dyDescent="0.25">
      <c r="A4341" s="136">
        <v>44123</v>
      </c>
      <c r="B4341" t="s">
        <v>77</v>
      </c>
      <c r="C4341" t="s">
        <v>150</v>
      </c>
      <c r="D4341">
        <v>7300</v>
      </c>
      <c r="E4341">
        <v>7300</v>
      </c>
      <c r="F4341">
        <v>4.8239999999999998</v>
      </c>
      <c r="G4341">
        <v>-15068.17</v>
      </c>
      <c r="H4341">
        <v>-42.79</v>
      </c>
      <c r="I4341">
        <v>20148</v>
      </c>
      <c r="J4341">
        <v>2.76</v>
      </c>
      <c r="K4341" s="133">
        <v>4.3306410479343152E-2</v>
      </c>
      <c r="L4341" s="181">
        <v>-146</v>
      </c>
      <c r="M4341" s="133">
        <v>7.5694158900651676E-2</v>
      </c>
      <c r="N4341" s="73">
        <v>-14113.127999999982</v>
      </c>
      <c r="O4341" s="73">
        <v>-4596.7302148648596</v>
      </c>
      <c r="P4341" s="182">
        <v>6</v>
      </c>
      <c r="Q4341" s="182">
        <v>3500</v>
      </c>
      <c r="R4341" s="46">
        <v>3.7789999999999999</v>
      </c>
      <c r="S4341" s="46">
        <v>0</v>
      </c>
      <c r="T4341" s="46">
        <v>0</v>
      </c>
      <c r="U4341" s="46">
        <v>0</v>
      </c>
      <c r="V4341" s="46" t="s">
        <v>62</v>
      </c>
      <c r="W4341" s="46">
        <v>3500</v>
      </c>
      <c r="X4341" s="46">
        <v>3.7789999999999999</v>
      </c>
      <c r="Y4341"/>
      <c r="Z4341"/>
      <c r="AA4341"/>
      <c r="AB4341"/>
      <c r="AC4341"/>
    </row>
    <row r="4342" spans="1:29" x14ac:dyDescent="0.25">
      <c r="A4342" s="136">
        <v>44123</v>
      </c>
      <c r="B4342" t="s">
        <v>72</v>
      </c>
      <c r="C4342" t="s">
        <v>130</v>
      </c>
      <c r="D4342">
        <v>100</v>
      </c>
      <c r="E4342">
        <v>100</v>
      </c>
      <c r="F4342">
        <v>1.53</v>
      </c>
      <c r="G4342">
        <v>386</v>
      </c>
      <c r="H4342">
        <v>252.29</v>
      </c>
      <c r="I4342">
        <v>539</v>
      </c>
      <c r="J4342">
        <v>5.39</v>
      </c>
      <c r="K4342" s="133">
        <v>1.1585346063314452E-3</v>
      </c>
      <c r="L4342" s="181">
        <v>-9</v>
      </c>
      <c r="M4342" s="133">
        <v>3.2886047266922287E-4</v>
      </c>
      <c r="N4342" s="73">
        <v>-1498.9659999999872</v>
      </c>
      <c r="O4342" s="73">
        <v>376.42007904191922</v>
      </c>
      <c r="P4342" s="182">
        <v>0</v>
      </c>
      <c r="Q4342" s="182">
        <v>0</v>
      </c>
      <c r="R4342" s="46">
        <v>0</v>
      </c>
      <c r="S4342" s="46">
        <v>20</v>
      </c>
      <c r="T4342" s="46">
        <v>8600</v>
      </c>
      <c r="U4342" s="46">
        <v>7.3840000000000003</v>
      </c>
      <c r="V4342" s="46" t="s">
        <v>68</v>
      </c>
      <c r="W4342" s="46">
        <v>8600</v>
      </c>
      <c r="X4342" s="46">
        <v>7.3840000000000003</v>
      </c>
      <c r="Y4342"/>
      <c r="Z4342"/>
      <c r="AA4342"/>
      <c r="AB4342"/>
      <c r="AC4342"/>
    </row>
    <row r="4343" spans="1:29" x14ac:dyDescent="0.25">
      <c r="A4343" s="136">
        <v>44123</v>
      </c>
      <c r="B4343" t="s">
        <v>70</v>
      </c>
      <c r="C4343" t="s">
        <v>131</v>
      </c>
      <c r="D4343">
        <v>14380</v>
      </c>
      <c r="E4343">
        <v>14380</v>
      </c>
      <c r="F4343">
        <v>8.032</v>
      </c>
      <c r="G4343">
        <v>-13549.01</v>
      </c>
      <c r="H4343">
        <v>-11.73</v>
      </c>
      <c r="I4343">
        <v>101954.2</v>
      </c>
      <c r="J4343">
        <v>7.09</v>
      </c>
      <c r="K4343" s="133">
        <v>0.2191418719124999</v>
      </c>
      <c r="L4343" s="181">
        <v>-2588.3999999999996</v>
      </c>
      <c r="M4343" s="133">
        <v>0.24826431526413403</v>
      </c>
      <c r="N4343" s="73">
        <v>-11831.300999999992</v>
      </c>
      <c r="O4343" s="73">
        <v>-1640.1366642857133</v>
      </c>
      <c r="P4343" s="182">
        <v>1</v>
      </c>
      <c r="Q4343" s="182">
        <v>2500</v>
      </c>
      <c r="R4343" s="46">
        <v>7.21</v>
      </c>
      <c r="S4343" s="46">
        <v>14</v>
      </c>
      <c r="T4343" s="46">
        <v>7200</v>
      </c>
      <c r="U4343" s="46">
        <v>7.5229999999999997</v>
      </c>
      <c r="V4343" s="46" t="s">
        <v>68</v>
      </c>
      <c r="W4343" s="46">
        <v>4700</v>
      </c>
      <c r="X4343" s="46">
        <v>7.6890000000000001</v>
      </c>
      <c r="Y4343"/>
      <c r="Z4343"/>
      <c r="AA4343"/>
      <c r="AB4343"/>
      <c r="AC4343"/>
    </row>
    <row r="4344" spans="1:29" x14ac:dyDescent="0.25">
      <c r="A4344" s="136">
        <v>44123</v>
      </c>
      <c r="B4344" t="s">
        <v>628</v>
      </c>
      <c r="C4344" t="s">
        <v>629</v>
      </c>
      <c r="D4344">
        <v>100</v>
      </c>
      <c r="E4344">
        <v>100</v>
      </c>
      <c r="F4344">
        <v>0.95</v>
      </c>
      <c r="G4344">
        <v>1430</v>
      </c>
      <c r="H4344">
        <v>1505.26</v>
      </c>
      <c r="I4344">
        <v>1525</v>
      </c>
      <c r="J4344">
        <v>15.25</v>
      </c>
      <c r="K4344" s="133">
        <v>3.2778576524219926E-3</v>
      </c>
      <c r="L4344" s="181">
        <v>8</v>
      </c>
      <c r="M4344" s="133">
        <v>2.0419441113448479E-4</v>
      </c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</row>
    <row r="4345" spans="1:29" x14ac:dyDescent="0.25">
      <c r="A4345" s="136">
        <v>44123</v>
      </c>
      <c r="B4345" t="s">
        <v>768</v>
      </c>
      <c r="C4345" t="s">
        <v>769</v>
      </c>
      <c r="D4345">
        <v>500</v>
      </c>
      <c r="E4345">
        <v>500</v>
      </c>
      <c r="F4345">
        <v>2.4140000000000001</v>
      </c>
      <c r="G4345">
        <v>238</v>
      </c>
      <c r="H4345">
        <v>19.72</v>
      </c>
      <c r="I4345">
        <v>1445</v>
      </c>
      <c r="J4345">
        <v>2.89</v>
      </c>
      <c r="K4345" s="133">
        <v>3.1059044640982161E-3</v>
      </c>
      <c r="L4345" s="181">
        <v>-5</v>
      </c>
      <c r="M4345" s="133">
        <v>2.5943437288349805E-3</v>
      </c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</row>
    <row r="4346" spans="1:29" x14ac:dyDescent="0.25">
      <c r="A4346" s="136">
        <v>44123</v>
      </c>
      <c r="B4346" t="s">
        <v>137</v>
      </c>
      <c r="C4346" t="s">
        <v>149</v>
      </c>
      <c r="D4346">
        <v>150</v>
      </c>
      <c r="E4346">
        <v>150</v>
      </c>
      <c r="F4346">
        <v>1</v>
      </c>
      <c r="G4346">
        <v>6037.5</v>
      </c>
      <c r="H4346">
        <v>4025</v>
      </c>
      <c r="I4346">
        <v>6187.5</v>
      </c>
      <c r="J4346">
        <v>41.25</v>
      </c>
      <c r="K4346" s="133">
        <v>1.3299504409417101E-2</v>
      </c>
      <c r="L4346" s="181">
        <v>33</v>
      </c>
      <c r="M4346" s="133">
        <v>3.2241222810708124E-4</v>
      </c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</row>
    <row r="4347" spans="1:29" x14ac:dyDescent="0.25">
      <c r="A4347" s="136">
        <v>44123</v>
      </c>
      <c r="B4347" t="s">
        <v>835</v>
      </c>
      <c r="C4347" t="s">
        <v>839</v>
      </c>
      <c r="I4347">
        <v>18579.419999999998</v>
      </c>
      <c r="K4347" s="133">
        <v>3.993488132758178E-2</v>
      </c>
      <c r="L4347" s="181">
        <v>0</v>
      </c>
      <c r="M4347" s="133">
        <v>1.0811556715857459E-5</v>
      </c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</row>
    <row r="4348" spans="1:29" x14ac:dyDescent="0.25">
      <c r="A4348" s="136">
        <v>44130</v>
      </c>
      <c r="B4348" t="s">
        <v>132</v>
      </c>
      <c r="C4348" t="s">
        <v>123</v>
      </c>
      <c r="D4348">
        <v>503</v>
      </c>
      <c r="E4348">
        <v>503</v>
      </c>
      <c r="F4348">
        <v>-0.59299999999999997</v>
      </c>
      <c r="G4348">
        <v>303.52999999999997</v>
      </c>
      <c r="H4348">
        <v>0</v>
      </c>
      <c r="I4348">
        <v>5.03</v>
      </c>
      <c r="J4348">
        <v>0.01</v>
      </c>
      <c r="K4348" s="133">
        <v>1.0928795291953206E-5</v>
      </c>
      <c r="L4348" s="181">
        <v>0</v>
      </c>
      <c r="M4348" s="133">
        <v>0</v>
      </c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</row>
    <row r="4349" spans="1:29" x14ac:dyDescent="0.25">
      <c r="A4349" s="136">
        <v>44130</v>
      </c>
      <c r="B4349" t="s">
        <v>61</v>
      </c>
      <c r="C4349" t="s">
        <v>136</v>
      </c>
      <c r="D4349">
        <v>5000</v>
      </c>
      <c r="E4349">
        <v>5000</v>
      </c>
      <c r="F4349">
        <v>4.07</v>
      </c>
      <c r="G4349">
        <v>-3198.26</v>
      </c>
      <c r="H4349">
        <v>-15.72</v>
      </c>
      <c r="I4349">
        <v>17150</v>
      </c>
      <c r="J4349">
        <v>3.43</v>
      </c>
      <c r="K4349" s="133">
        <v>3.72621946832997E-2</v>
      </c>
      <c r="L4349" s="181">
        <v>-100</v>
      </c>
      <c r="M4349" s="133">
        <v>4.4211126856349856E-2</v>
      </c>
      <c r="N4349" s="73">
        <v>-3048.9950000000026</v>
      </c>
      <c r="O4349" s="73">
        <v>-880.77182153179274</v>
      </c>
      <c r="P4349" s="182">
        <v>4</v>
      </c>
      <c r="Q4349" s="182">
        <v>2000</v>
      </c>
      <c r="R4349" s="46">
        <v>4.04</v>
      </c>
      <c r="S4349" s="46">
        <v>0</v>
      </c>
      <c r="T4349" s="46">
        <v>0</v>
      </c>
      <c r="U4349" s="46">
        <v>0</v>
      </c>
      <c r="V4349" s="46" t="s">
        <v>62</v>
      </c>
      <c r="W4349" s="46">
        <v>2000</v>
      </c>
      <c r="X4349" s="46">
        <v>4.04</v>
      </c>
      <c r="Y4349"/>
      <c r="Z4349"/>
      <c r="AA4349"/>
      <c r="AB4349"/>
      <c r="AC4349"/>
    </row>
    <row r="4350" spans="1:29" x14ac:dyDescent="0.25">
      <c r="A4350" s="136">
        <v>44130</v>
      </c>
      <c r="B4350" t="s">
        <v>124</v>
      </c>
      <c r="C4350" t="s">
        <v>125</v>
      </c>
      <c r="D4350">
        <v>100</v>
      </c>
      <c r="E4350">
        <v>100</v>
      </c>
      <c r="F4350">
        <v>0.73699999999999999</v>
      </c>
      <c r="G4350">
        <v>428.28</v>
      </c>
      <c r="H4350">
        <v>581.11</v>
      </c>
      <c r="I4350">
        <v>502</v>
      </c>
      <c r="J4350">
        <v>5.0199999999999996</v>
      </c>
      <c r="K4350" s="133">
        <v>1.0907068064732624E-3</v>
      </c>
      <c r="L4350" s="181">
        <v>0</v>
      </c>
      <c r="M4350" s="133">
        <v>1.6017311907013729E-4</v>
      </c>
      <c r="N4350" s="73">
        <v>5623.0690000000113</v>
      </c>
      <c r="O4350" s="73">
        <v>1111.8087987827732</v>
      </c>
      <c r="P4350" s="182">
        <v>0</v>
      </c>
      <c r="Q4350" s="182">
        <v>0</v>
      </c>
      <c r="R4350" s="46">
        <v>0</v>
      </c>
      <c r="S4350" s="46">
        <v>5</v>
      </c>
      <c r="T4350" s="46">
        <v>2300</v>
      </c>
      <c r="U4350" s="46">
        <v>4.99</v>
      </c>
      <c r="V4350" s="46" t="s">
        <v>68</v>
      </c>
      <c r="W4350" s="46">
        <v>2300</v>
      </c>
      <c r="X4350" s="46">
        <v>4.99</v>
      </c>
      <c r="Y4350"/>
      <c r="Z4350"/>
      <c r="AA4350"/>
      <c r="AB4350"/>
      <c r="AC4350"/>
    </row>
    <row r="4351" spans="1:29" x14ac:dyDescent="0.25">
      <c r="A4351" s="136">
        <v>44130</v>
      </c>
      <c r="B4351" t="s">
        <v>71</v>
      </c>
      <c r="C4351" t="s">
        <v>126</v>
      </c>
      <c r="D4351">
        <v>6400</v>
      </c>
      <c r="E4351">
        <v>6400</v>
      </c>
      <c r="F4351">
        <v>4.3410000000000002</v>
      </c>
      <c r="G4351">
        <v>5563.88</v>
      </c>
      <c r="H4351">
        <v>20.03</v>
      </c>
      <c r="I4351">
        <v>33344</v>
      </c>
      <c r="J4351">
        <v>5.21</v>
      </c>
      <c r="K4351" s="133">
        <v>7.2447266444311667E-2</v>
      </c>
      <c r="L4351" s="181">
        <v>-256</v>
      </c>
      <c r="M4351" s="133">
        <v>6.0358497945505983E-2</v>
      </c>
      <c r="N4351" s="73">
        <v>6613.3879999999954</v>
      </c>
      <c r="O4351" s="73">
        <v>1122.1672884250465</v>
      </c>
      <c r="P4351" s="182">
        <v>2</v>
      </c>
      <c r="Q4351" s="182">
        <v>2000</v>
      </c>
      <c r="R4351" s="46">
        <v>5.1630000000000003</v>
      </c>
      <c r="S4351" s="46">
        <v>2</v>
      </c>
      <c r="T4351" s="46">
        <v>800</v>
      </c>
      <c r="U4351" s="46">
        <v>5.2450000000000001</v>
      </c>
      <c r="V4351" s="46" t="s">
        <v>62</v>
      </c>
      <c r="W4351" s="46">
        <v>1200</v>
      </c>
      <c r="X4351" s="46">
        <v>5.1079999999999997</v>
      </c>
      <c r="Y4351"/>
      <c r="Z4351"/>
      <c r="AA4351"/>
      <c r="AB4351"/>
      <c r="AC4351"/>
    </row>
    <row r="4352" spans="1:29" x14ac:dyDescent="0.25">
      <c r="A4352" s="136">
        <v>44130</v>
      </c>
      <c r="B4352" t="s">
        <v>79</v>
      </c>
      <c r="C4352" t="s">
        <v>143</v>
      </c>
      <c r="D4352">
        <v>10800</v>
      </c>
      <c r="E4352">
        <v>9600</v>
      </c>
      <c r="F4352">
        <v>9.4139999999999997</v>
      </c>
      <c r="G4352">
        <v>-23373.119999999999</v>
      </c>
      <c r="H4352">
        <v>-22.99</v>
      </c>
      <c r="I4352">
        <v>78300</v>
      </c>
      <c r="J4352">
        <v>7.25</v>
      </c>
      <c r="K4352" s="133">
        <v>0.17012418913716423</v>
      </c>
      <c r="L4352" s="181">
        <v>-5669.1699999999983</v>
      </c>
      <c r="M4352" s="133">
        <v>0.22090749804655929</v>
      </c>
      <c r="N4352" s="73">
        <v>-22876.715400000525</v>
      </c>
      <c r="O4352" s="73">
        <v>-3132.2297318219898</v>
      </c>
      <c r="P4352" s="182">
        <v>7</v>
      </c>
      <c r="Q4352" s="182">
        <v>6020</v>
      </c>
      <c r="R4352" s="46">
        <v>3.7629999999999999</v>
      </c>
      <c r="S4352" s="46">
        <v>0</v>
      </c>
      <c r="T4352" s="46">
        <v>0</v>
      </c>
      <c r="U4352" s="46">
        <v>0</v>
      </c>
      <c r="V4352" s="46" t="s">
        <v>62</v>
      </c>
      <c r="W4352" s="46">
        <v>6020</v>
      </c>
      <c r="X4352" s="46">
        <v>3.7629999999999999</v>
      </c>
      <c r="Y4352"/>
      <c r="Z4352"/>
      <c r="AA4352"/>
      <c r="AB4352"/>
      <c r="AC4352"/>
    </row>
    <row r="4353" spans="1:29" x14ac:dyDescent="0.25">
      <c r="A4353" s="136">
        <v>44130</v>
      </c>
      <c r="B4353" t="s">
        <v>749</v>
      </c>
      <c r="C4353" t="s">
        <v>750</v>
      </c>
      <c r="D4353">
        <v>500</v>
      </c>
      <c r="E4353">
        <v>500</v>
      </c>
      <c r="F4353">
        <v>5.65</v>
      </c>
      <c r="G4353">
        <v>250</v>
      </c>
      <c r="H4353">
        <v>8.85</v>
      </c>
      <c r="I4353">
        <v>3075</v>
      </c>
      <c r="J4353">
        <v>6.15</v>
      </c>
      <c r="K4353" s="133">
        <v>6.6811223703292458E-3</v>
      </c>
      <c r="L4353" s="181">
        <v>-35</v>
      </c>
      <c r="M4353" s="133">
        <v>6.1379416898146733E-3</v>
      </c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</row>
    <row r="4354" spans="1:29" x14ac:dyDescent="0.25">
      <c r="A4354" s="136">
        <v>44130</v>
      </c>
      <c r="B4354" t="s">
        <v>776</v>
      </c>
      <c r="C4354" t="s">
        <v>777</v>
      </c>
      <c r="D4354">
        <v>1</v>
      </c>
      <c r="E4354">
        <v>1</v>
      </c>
      <c r="F4354">
        <v>-137.5</v>
      </c>
      <c r="G4354">
        <v>212.65</v>
      </c>
      <c r="H4354">
        <v>0</v>
      </c>
      <c r="I4354">
        <v>75.150000000000006</v>
      </c>
      <c r="J4354">
        <v>75.150000000000006</v>
      </c>
      <c r="K4354" s="133">
        <v>1.6328011256268061E-4</v>
      </c>
      <c r="L4354" s="181">
        <v>-0.59999999999999432</v>
      </c>
      <c r="M4354" s="133">
        <v>0</v>
      </c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</row>
    <row r="4355" spans="1:29" x14ac:dyDescent="0.25">
      <c r="A4355" s="136">
        <v>44130</v>
      </c>
      <c r="B4355" t="s">
        <v>909</v>
      </c>
      <c r="C4355" t="s">
        <v>910</v>
      </c>
      <c r="D4355">
        <v>10</v>
      </c>
      <c r="E4355">
        <v>0</v>
      </c>
      <c r="F4355">
        <v>100</v>
      </c>
      <c r="G4355">
        <v>0</v>
      </c>
      <c r="H4355">
        <v>0</v>
      </c>
      <c r="I4355">
        <v>1000</v>
      </c>
      <c r="J4355">
        <v>100</v>
      </c>
      <c r="K4355" s="133">
        <v>2.1727227220582914E-3</v>
      </c>
      <c r="L4355" s="181">
        <v>0</v>
      </c>
      <c r="M4355" s="133">
        <v>2.1727227220582914E-3</v>
      </c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</row>
    <row r="4356" spans="1:29" x14ac:dyDescent="0.25">
      <c r="A4356" s="136">
        <v>44130</v>
      </c>
      <c r="B4356" t="s">
        <v>65</v>
      </c>
      <c r="C4356" t="s">
        <v>127</v>
      </c>
      <c r="D4356">
        <v>27900</v>
      </c>
      <c r="E4356">
        <v>27500</v>
      </c>
      <c r="F4356">
        <v>8.0960000000000001</v>
      </c>
      <c r="G4356">
        <v>-36160.15</v>
      </c>
      <c r="H4356">
        <v>-16.010000000000002</v>
      </c>
      <c r="I4356">
        <v>189720</v>
      </c>
      <c r="J4356">
        <v>6.8</v>
      </c>
      <c r="K4356" s="133">
        <v>0.41220895482889908</v>
      </c>
      <c r="L4356" s="181">
        <v>2804.2799999999988</v>
      </c>
      <c r="M4356" s="133">
        <v>0.49077493436693514</v>
      </c>
      <c r="N4356"/>
      <c r="O4356"/>
      <c r="P4356" s="182">
        <v>4</v>
      </c>
      <c r="Q4356" s="182">
        <v>1600</v>
      </c>
      <c r="R4356" s="46">
        <v>6.7130000000000001</v>
      </c>
      <c r="S4356" s="46">
        <v>1</v>
      </c>
      <c r="T4356" s="46">
        <v>400</v>
      </c>
      <c r="U4356" s="46">
        <v>6.81</v>
      </c>
      <c r="V4356" s="46" t="s">
        <v>62</v>
      </c>
      <c r="W4356" s="46">
        <v>1200</v>
      </c>
      <c r="X4356" s="46">
        <v>6.681</v>
      </c>
      <c r="Y4356"/>
      <c r="Z4356"/>
      <c r="AA4356"/>
      <c r="AB4356"/>
      <c r="AC4356"/>
    </row>
    <row r="4357" spans="1:29" x14ac:dyDescent="0.25">
      <c r="A4357" s="136">
        <v>44130</v>
      </c>
      <c r="B4357" t="s">
        <v>77</v>
      </c>
      <c r="C4357" t="s">
        <v>150</v>
      </c>
      <c r="D4357">
        <v>7300</v>
      </c>
      <c r="E4357">
        <v>7300</v>
      </c>
      <c r="F4357">
        <v>4.8239999999999998</v>
      </c>
      <c r="G4357">
        <v>-15068.17</v>
      </c>
      <c r="H4357">
        <v>-42.79</v>
      </c>
      <c r="I4357">
        <v>20148</v>
      </c>
      <c r="J4357">
        <v>2.76</v>
      </c>
      <c r="K4357" s="133">
        <v>4.3776017404030455E-2</v>
      </c>
      <c r="L4357" s="181">
        <v>0</v>
      </c>
      <c r="M4357" s="133">
        <v>7.6514972742867532E-2</v>
      </c>
      <c r="N4357" s="73">
        <v>-14113.127999999982</v>
      </c>
      <c r="O4357" s="73">
        <v>-4596.7302148648596</v>
      </c>
      <c r="P4357" s="182">
        <v>6</v>
      </c>
      <c r="Q4357" s="182">
        <v>3500</v>
      </c>
      <c r="R4357" s="46">
        <v>3.7789999999999999</v>
      </c>
      <c r="S4357" s="46">
        <v>0</v>
      </c>
      <c r="T4357" s="46">
        <v>0</v>
      </c>
      <c r="U4357" s="46">
        <v>0</v>
      </c>
      <c r="V4357" s="46" t="s">
        <v>62</v>
      </c>
      <c r="W4357" s="46">
        <v>3500</v>
      </c>
      <c r="X4357" s="46">
        <v>3.7789999999999999</v>
      </c>
      <c r="Y4357"/>
      <c r="Z4357"/>
      <c r="AA4357"/>
      <c r="AB4357"/>
      <c r="AC4357"/>
    </row>
    <row r="4358" spans="1:29" x14ac:dyDescent="0.25">
      <c r="A4358" s="136">
        <v>44130</v>
      </c>
      <c r="B4358" t="s">
        <v>72</v>
      </c>
      <c r="C4358" t="s">
        <v>130</v>
      </c>
      <c r="D4358">
        <v>100</v>
      </c>
      <c r="E4358">
        <v>100</v>
      </c>
      <c r="F4358">
        <v>1.53</v>
      </c>
      <c r="G4358">
        <v>374</v>
      </c>
      <c r="H4358">
        <v>244.44</v>
      </c>
      <c r="I4358">
        <v>527</v>
      </c>
      <c r="J4358">
        <v>5.27</v>
      </c>
      <c r="K4358" s="133">
        <v>1.1450248745247197E-3</v>
      </c>
      <c r="L4358" s="181">
        <v>-12</v>
      </c>
      <c r="M4358" s="133">
        <v>3.3242657647491861E-4</v>
      </c>
      <c r="N4358" s="73">
        <v>-1498.9659999999872</v>
      </c>
      <c r="O4358" s="73">
        <v>376.42007904191922</v>
      </c>
      <c r="P4358" s="182">
        <v>0</v>
      </c>
      <c r="Q4358" s="182">
        <v>0</v>
      </c>
      <c r="R4358" s="46">
        <v>0</v>
      </c>
      <c r="S4358" s="46">
        <v>20</v>
      </c>
      <c r="T4358" s="46">
        <v>8600</v>
      </c>
      <c r="U4358" s="46">
        <v>7.3840000000000003</v>
      </c>
      <c r="V4358" s="46" t="s">
        <v>68</v>
      </c>
      <c r="W4358" s="46">
        <v>8600</v>
      </c>
      <c r="X4358" s="46">
        <v>7.3840000000000003</v>
      </c>
      <c r="Y4358"/>
      <c r="Z4358"/>
      <c r="AA4358"/>
      <c r="AB4358"/>
      <c r="AC4358"/>
    </row>
    <row r="4359" spans="1:29" x14ac:dyDescent="0.25">
      <c r="A4359" s="136">
        <v>44130</v>
      </c>
      <c r="B4359" t="s">
        <v>70</v>
      </c>
      <c r="C4359" t="s">
        <v>131</v>
      </c>
      <c r="D4359">
        <v>15380</v>
      </c>
      <c r="E4359">
        <v>15380</v>
      </c>
      <c r="F4359">
        <v>7.9660000000000002</v>
      </c>
      <c r="G4359">
        <v>-14705.41</v>
      </c>
      <c r="H4359">
        <v>-12</v>
      </c>
      <c r="I4359">
        <v>107813.8</v>
      </c>
      <c r="J4359">
        <v>7.01</v>
      </c>
      <c r="K4359" s="133">
        <v>0.23424949301144823</v>
      </c>
      <c r="L4359" s="181">
        <v>-1156.3999999999996</v>
      </c>
      <c r="M4359" s="133">
        <v>0.26620027145563147</v>
      </c>
      <c r="N4359" s="73">
        <v>-15328.501000000004</v>
      </c>
      <c r="O4359" s="73">
        <v>-2198.1114418220955</v>
      </c>
      <c r="P4359" s="182">
        <v>0</v>
      </c>
      <c r="Q4359" s="182">
        <v>0</v>
      </c>
      <c r="R4359" s="46">
        <v>0</v>
      </c>
      <c r="S4359" s="46">
        <v>6</v>
      </c>
      <c r="T4359" s="46">
        <v>2400</v>
      </c>
      <c r="U4359" s="46">
        <v>7.875</v>
      </c>
      <c r="V4359" s="46" t="s">
        <v>68</v>
      </c>
      <c r="W4359" s="46">
        <v>2400</v>
      </c>
      <c r="X4359" s="46">
        <v>7.875</v>
      </c>
      <c r="Y4359"/>
      <c r="Z4359"/>
      <c r="AA4359"/>
      <c r="AB4359"/>
      <c r="AC4359"/>
    </row>
    <row r="4360" spans="1:29" x14ac:dyDescent="0.25">
      <c r="A4360" s="136">
        <v>44130</v>
      </c>
      <c r="B4360" t="s">
        <v>628</v>
      </c>
      <c r="C4360" t="s">
        <v>629</v>
      </c>
      <c r="D4360">
        <v>100</v>
      </c>
      <c r="E4360">
        <v>100</v>
      </c>
      <c r="F4360">
        <v>0.95</v>
      </c>
      <c r="G4360">
        <v>1330</v>
      </c>
      <c r="H4360">
        <v>1400</v>
      </c>
      <c r="I4360">
        <v>1425</v>
      </c>
      <c r="J4360">
        <v>14.25</v>
      </c>
      <c r="K4360" s="133">
        <v>3.0961298789330652E-3</v>
      </c>
      <c r="L4360" s="181">
        <v>-100</v>
      </c>
      <c r="M4360" s="133">
        <v>2.0640865859553769E-4</v>
      </c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</row>
    <row r="4361" spans="1:29" x14ac:dyDescent="0.25">
      <c r="A4361" s="136">
        <v>44130</v>
      </c>
      <c r="B4361" t="s">
        <v>768</v>
      </c>
      <c r="C4361" t="s">
        <v>769</v>
      </c>
      <c r="D4361">
        <v>500</v>
      </c>
      <c r="E4361">
        <v>500</v>
      </c>
      <c r="F4361">
        <v>2.4140000000000001</v>
      </c>
      <c r="G4361">
        <v>213</v>
      </c>
      <c r="H4361">
        <v>17.649999999999999</v>
      </c>
      <c r="I4361">
        <v>1420</v>
      </c>
      <c r="J4361">
        <v>2.84</v>
      </c>
      <c r="K4361" s="133">
        <v>3.0852662653227739E-3</v>
      </c>
      <c r="L4361" s="181">
        <v>-25</v>
      </c>
      <c r="M4361" s="133">
        <v>2.6224763255243578E-3</v>
      </c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</row>
    <row r="4362" spans="1:29" x14ac:dyDescent="0.25">
      <c r="A4362" s="136">
        <v>44130</v>
      </c>
      <c r="B4362" t="s">
        <v>137</v>
      </c>
      <c r="C4362" t="s">
        <v>149</v>
      </c>
      <c r="D4362">
        <v>150</v>
      </c>
      <c r="E4362">
        <v>150</v>
      </c>
      <c r="F4362">
        <v>1</v>
      </c>
      <c r="G4362">
        <v>5596.5</v>
      </c>
      <c r="H4362">
        <v>3731</v>
      </c>
      <c r="I4362">
        <v>5746.5</v>
      </c>
      <c r="J4362">
        <v>38.31</v>
      </c>
      <c r="K4362" s="133">
        <v>1.2485551122307972E-2</v>
      </c>
      <c r="L4362" s="181">
        <v>-441</v>
      </c>
      <c r="M4362" s="133">
        <v>3.2590840830874372E-4</v>
      </c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</row>
    <row r="4363" spans="1:29" x14ac:dyDescent="0.25">
      <c r="A4363" s="136">
        <v>44130</v>
      </c>
      <c r="B4363" t="s">
        <v>835</v>
      </c>
      <c r="C4363" t="s">
        <v>839</v>
      </c>
      <c r="I4363">
        <v>0.53</v>
      </c>
      <c r="K4363" s="133">
        <v>1.1515430426908945E-6</v>
      </c>
      <c r="L4363" s="181">
        <v>0</v>
      </c>
      <c r="M4363" s="133">
        <v>1.0928795291953206E-5</v>
      </c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</row>
    <row r="4364" spans="1:29" x14ac:dyDescent="0.25">
      <c r="A4364" s="136">
        <v>44140</v>
      </c>
      <c r="B4364" t="s">
        <v>132</v>
      </c>
      <c r="C4364" t="s">
        <v>123</v>
      </c>
      <c r="D4364">
        <v>503</v>
      </c>
      <c r="E4364">
        <v>503</v>
      </c>
      <c r="F4364">
        <v>-0.59299999999999997</v>
      </c>
      <c r="G4364">
        <v>303.52999999999997</v>
      </c>
      <c r="H4364">
        <v>0</v>
      </c>
      <c r="I4364">
        <v>5.03</v>
      </c>
      <c r="J4364">
        <v>0.01</v>
      </c>
      <c r="K4364" s="133">
        <v>1.0910314804661658E-5</v>
      </c>
      <c r="L4364" s="181">
        <v>0</v>
      </c>
      <c r="M4364" s="133">
        <v>0</v>
      </c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</row>
    <row r="4365" spans="1:29" x14ac:dyDescent="0.25">
      <c r="A4365" s="136">
        <v>44140</v>
      </c>
      <c r="B4365" t="s">
        <v>61</v>
      </c>
      <c r="C4365" t="s">
        <v>136</v>
      </c>
      <c r="D4365">
        <v>5000</v>
      </c>
      <c r="E4365">
        <v>5000</v>
      </c>
      <c r="F4365">
        <v>4.07</v>
      </c>
      <c r="G4365">
        <v>-3298.26</v>
      </c>
      <c r="H4365">
        <v>-16.21</v>
      </c>
      <c r="I4365">
        <v>17050</v>
      </c>
      <c r="J4365">
        <v>3.41</v>
      </c>
      <c r="K4365" s="133">
        <v>3.6982279805065854E-2</v>
      </c>
      <c r="L4365" s="181">
        <v>-100</v>
      </c>
      <c r="M4365" s="133">
        <v>4.4136366267814045E-2</v>
      </c>
      <c r="N4365" s="73">
        <v>-3048.9950000000026</v>
      </c>
      <c r="O4365" s="73">
        <v>-880.77182153179274</v>
      </c>
      <c r="P4365" s="182">
        <v>4</v>
      </c>
      <c r="Q4365" s="182">
        <v>2000</v>
      </c>
      <c r="R4365" s="46">
        <v>4.04</v>
      </c>
      <c r="S4365" s="46">
        <v>0</v>
      </c>
      <c r="T4365" s="46">
        <v>0</v>
      </c>
      <c r="U4365" s="46">
        <v>0</v>
      </c>
      <c r="V4365" s="46" t="s">
        <v>62</v>
      </c>
      <c r="W4365" s="46">
        <v>2000</v>
      </c>
      <c r="X4365" s="46">
        <v>4.04</v>
      </c>
      <c r="Y4365"/>
      <c r="Z4365"/>
      <c r="AA4365"/>
      <c r="AB4365"/>
      <c r="AC4365"/>
    </row>
    <row r="4366" spans="1:29" x14ac:dyDescent="0.25">
      <c r="A4366" s="136">
        <v>44140</v>
      </c>
      <c r="B4366" t="s">
        <v>124</v>
      </c>
      <c r="C4366" t="s">
        <v>125</v>
      </c>
      <c r="D4366">
        <v>100</v>
      </c>
      <c r="E4366">
        <v>100</v>
      </c>
      <c r="F4366">
        <v>0.73699999999999999</v>
      </c>
      <c r="G4366">
        <v>421.28</v>
      </c>
      <c r="H4366">
        <v>571.61</v>
      </c>
      <c r="I4366">
        <v>495</v>
      </c>
      <c r="J4366">
        <v>4.95</v>
      </c>
      <c r="K4366" s="133">
        <v>1.0736790911148153E-3</v>
      </c>
      <c r="L4366" s="181">
        <v>-7</v>
      </c>
      <c r="M4366" s="133">
        <v>1.5990226787269537E-4</v>
      </c>
      <c r="N4366" s="73">
        <v>5623.0690000000113</v>
      </c>
      <c r="O4366" s="73">
        <v>1111.8087987827732</v>
      </c>
      <c r="P4366" s="182">
        <v>0</v>
      </c>
      <c r="Q4366" s="182">
        <v>0</v>
      </c>
      <c r="R4366" s="46">
        <v>0</v>
      </c>
      <c r="S4366" s="46">
        <v>5</v>
      </c>
      <c r="T4366" s="46">
        <v>2300</v>
      </c>
      <c r="U4366" s="46">
        <v>4.99</v>
      </c>
      <c r="V4366" s="46" t="s">
        <v>68</v>
      </c>
      <c r="W4366" s="46">
        <v>2300</v>
      </c>
      <c r="X4366" s="46">
        <v>4.99</v>
      </c>
      <c r="Y4366"/>
      <c r="Z4366"/>
      <c r="AA4366"/>
      <c r="AB4366"/>
      <c r="AC4366"/>
    </row>
    <row r="4367" spans="1:29" x14ac:dyDescent="0.25">
      <c r="A4367" s="136">
        <v>44140</v>
      </c>
      <c r="B4367" t="s">
        <v>71</v>
      </c>
      <c r="C4367" t="s">
        <v>126</v>
      </c>
      <c r="D4367">
        <v>6400</v>
      </c>
      <c r="E4367">
        <v>6400</v>
      </c>
      <c r="F4367">
        <v>4.3410000000000002</v>
      </c>
      <c r="G4367">
        <v>4923.88</v>
      </c>
      <c r="H4367">
        <v>17.72</v>
      </c>
      <c r="I4367">
        <v>32704</v>
      </c>
      <c r="J4367">
        <v>5.1100000000000003</v>
      </c>
      <c r="K4367" s="133">
        <v>7.0936567668321043E-2</v>
      </c>
      <c r="L4367" s="181">
        <v>-640</v>
      </c>
      <c r="M4367" s="133">
        <v>6.025643230840505E-2</v>
      </c>
      <c r="N4367" s="73">
        <v>6613.3879999999954</v>
      </c>
      <c r="O4367" s="73">
        <v>1122.1672884250465</v>
      </c>
      <c r="P4367" s="182">
        <v>2</v>
      </c>
      <c r="Q4367" s="182">
        <v>2000</v>
      </c>
      <c r="R4367" s="46">
        <v>5.1630000000000003</v>
      </c>
      <c r="S4367" s="46">
        <v>2</v>
      </c>
      <c r="T4367" s="46">
        <v>800</v>
      </c>
      <c r="U4367" s="46">
        <v>5.2450000000000001</v>
      </c>
      <c r="V4367" s="46" t="s">
        <v>62</v>
      </c>
      <c r="W4367" s="46">
        <v>1200</v>
      </c>
      <c r="X4367" s="46">
        <v>5.1079999999999997</v>
      </c>
      <c r="Y4367"/>
      <c r="Z4367"/>
      <c r="AA4367"/>
      <c r="AB4367"/>
      <c r="AC4367"/>
    </row>
    <row r="4368" spans="1:29" x14ac:dyDescent="0.25">
      <c r="A4368" s="136">
        <v>44140</v>
      </c>
      <c r="B4368" t="s">
        <v>79</v>
      </c>
      <c r="C4368" t="s">
        <v>143</v>
      </c>
      <c r="D4368">
        <v>11200</v>
      </c>
      <c r="E4368">
        <v>11200</v>
      </c>
      <c r="F4368">
        <v>9.3279999999999994</v>
      </c>
      <c r="G4368">
        <v>-25294.17</v>
      </c>
      <c r="H4368">
        <v>-24.21</v>
      </c>
      <c r="I4368">
        <v>79184</v>
      </c>
      <c r="J4368">
        <v>7.07</v>
      </c>
      <c r="K4368" s="133">
        <v>0.17175394979966774</v>
      </c>
      <c r="L4368" s="181">
        <v>-1921.0499999999993</v>
      </c>
      <c r="M4368" s="133">
        <v>0.22661823556957406</v>
      </c>
      <c r="N4368" s="73">
        <v>-26121.95540000053</v>
      </c>
      <c r="O4368" s="73">
        <v>-3729.8420603286477</v>
      </c>
      <c r="P4368" s="182">
        <v>8</v>
      </c>
      <c r="Q4368" s="182">
        <v>6420</v>
      </c>
      <c r="R4368" s="46">
        <v>3.964</v>
      </c>
      <c r="S4368" s="46">
        <v>0</v>
      </c>
      <c r="T4368" s="46">
        <v>0</v>
      </c>
      <c r="U4368" s="46">
        <v>0</v>
      </c>
      <c r="V4368" s="46" t="s">
        <v>62</v>
      </c>
      <c r="W4368" s="46">
        <v>6420</v>
      </c>
      <c r="X4368" s="46">
        <v>3.964</v>
      </c>
      <c r="Y4368"/>
      <c r="Z4368"/>
      <c r="AA4368"/>
      <c r="AB4368"/>
      <c r="AC4368"/>
    </row>
    <row r="4369" spans="1:29" x14ac:dyDescent="0.25">
      <c r="A4369" s="136">
        <v>44140</v>
      </c>
      <c r="B4369" t="s">
        <v>749</v>
      </c>
      <c r="C4369" t="s">
        <v>750</v>
      </c>
      <c r="D4369">
        <v>500</v>
      </c>
      <c r="E4369">
        <v>500</v>
      </c>
      <c r="F4369">
        <v>5.65</v>
      </c>
      <c r="G4369">
        <v>230</v>
      </c>
      <c r="H4369">
        <v>8.14</v>
      </c>
      <c r="I4369">
        <v>3055</v>
      </c>
      <c r="J4369">
        <v>6.11</v>
      </c>
      <c r="K4369" s="133">
        <v>6.6264436835469908E-3</v>
      </c>
      <c r="L4369" s="181">
        <v>-20</v>
      </c>
      <c r="M4369" s="133">
        <v>6.127562489695663E-3</v>
      </c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</row>
    <row r="4370" spans="1:29" x14ac:dyDescent="0.25">
      <c r="A4370" s="136">
        <v>44140</v>
      </c>
      <c r="B4370" t="s">
        <v>776</v>
      </c>
      <c r="C4370" t="s">
        <v>777</v>
      </c>
      <c r="D4370">
        <v>1</v>
      </c>
      <c r="E4370">
        <v>1</v>
      </c>
      <c r="F4370">
        <v>-137.5</v>
      </c>
      <c r="G4370">
        <v>206</v>
      </c>
      <c r="H4370">
        <v>0</v>
      </c>
      <c r="I4370">
        <v>68.5</v>
      </c>
      <c r="J4370">
        <v>68.5</v>
      </c>
      <c r="K4370" s="133">
        <v>1.4857983382093908E-4</v>
      </c>
      <c r="L4370" s="181">
        <v>-6.6500000000000057</v>
      </c>
      <c r="M4370" s="133">
        <v>0</v>
      </c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</row>
    <row r="4371" spans="1:29" x14ac:dyDescent="0.25">
      <c r="A4371" s="136">
        <v>44140</v>
      </c>
      <c r="B4371" t="s">
        <v>913</v>
      </c>
      <c r="C4371" t="s">
        <v>914</v>
      </c>
      <c r="D4371">
        <v>0</v>
      </c>
      <c r="E4371">
        <v>0</v>
      </c>
      <c r="F4371">
        <v>100</v>
      </c>
      <c r="G4371">
        <v>0</v>
      </c>
      <c r="H4371">
        <v>0</v>
      </c>
      <c r="I4371">
        <v>0</v>
      </c>
      <c r="J4371">
        <v>100</v>
      </c>
      <c r="K4371" s="133">
        <v>0</v>
      </c>
      <c r="L4371"/>
      <c r="M4371" s="133">
        <v>0</v>
      </c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</row>
    <row r="4372" spans="1:29" x14ac:dyDescent="0.25">
      <c r="A4372" s="136">
        <v>44140</v>
      </c>
      <c r="B4372" t="s">
        <v>65</v>
      </c>
      <c r="C4372" t="s">
        <v>127</v>
      </c>
      <c r="D4372">
        <v>27100</v>
      </c>
      <c r="E4372">
        <v>27100</v>
      </c>
      <c r="F4372">
        <v>8.1319999999999997</v>
      </c>
      <c r="G4372">
        <v>-33122.65</v>
      </c>
      <c r="H4372">
        <v>-15.03</v>
      </c>
      <c r="I4372">
        <v>187261</v>
      </c>
      <c r="J4372">
        <v>6.91</v>
      </c>
      <c r="K4372" s="133">
        <v>0.40617822279040688</v>
      </c>
      <c r="L4372" s="181">
        <v>3037.5</v>
      </c>
      <c r="M4372" s="133">
        <v>0.47802286268397076</v>
      </c>
      <c r="N4372"/>
      <c r="O4372"/>
      <c r="P4372" s="182">
        <v>2</v>
      </c>
      <c r="Q4372" s="182">
        <v>800</v>
      </c>
      <c r="R4372" s="46">
        <v>6.5949999999999998</v>
      </c>
      <c r="S4372" s="46">
        <v>1</v>
      </c>
      <c r="T4372" s="46">
        <v>400</v>
      </c>
      <c r="U4372" s="46">
        <v>6.86</v>
      </c>
      <c r="V4372" s="46" t="s">
        <v>62</v>
      </c>
      <c r="W4372" s="46">
        <v>400</v>
      </c>
      <c r="X4372" s="46">
        <v>6.33</v>
      </c>
      <c r="Y4372"/>
      <c r="Z4372"/>
      <c r="AA4372"/>
      <c r="AB4372"/>
      <c r="AC4372"/>
    </row>
    <row r="4373" spans="1:29" x14ac:dyDescent="0.25">
      <c r="A4373" s="136">
        <v>44140</v>
      </c>
      <c r="B4373" t="s">
        <v>77</v>
      </c>
      <c r="C4373" t="s">
        <v>150</v>
      </c>
      <c r="D4373">
        <v>7300</v>
      </c>
      <c r="E4373">
        <v>7300</v>
      </c>
      <c r="F4373">
        <v>4.8239999999999998</v>
      </c>
      <c r="G4373">
        <v>-16893.169999999998</v>
      </c>
      <c r="H4373">
        <v>-47.97</v>
      </c>
      <c r="I4373">
        <v>18323</v>
      </c>
      <c r="J4373">
        <v>2.5099999999999998</v>
      </c>
      <c r="K4373" s="133">
        <v>3.9743478760599513E-2</v>
      </c>
      <c r="L4373" s="181">
        <v>-1824.9999999999982</v>
      </c>
      <c r="M4373" s="133">
        <v>7.6385586662918822E-2</v>
      </c>
      <c r="N4373" s="73">
        <v>-14113.127999999982</v>
      </c>
      <c r="O4373" s="73">
        <v>-4596.7302148648596</v>
      </c>
      <c r="P4373" s="182">
        <v>6</v>
      </c>
      <c r="Q4373" s="182">
        <v>3500</v>
      </c>
      <c r="R4373" s="46">
        <v>3.7789999999999999</v>
      </c>
      <c r="S4373" s="46">
        <v>0</v>
      </c>
      <c r="T4373" s="46">
        <v>0</v>
      </c>
      <c r="U4373" s="46">
        <v>0</v>
      </c>
      <c r="V4373" s="46" t="s">
        <v>62</v>
      </c>
      <c r="W4373" s="46">
        <v>3500</v>
      </c>
      <c r="X4373" s="46">
        <v>3.7789999999999999</v>
      </c>
      <c r="Y4373"/>
      <c r="Z4373"/>
      <c r="AA4373"/>
      <c r="AB4373"/>
      <c r="AC4373"/>
    </row>
    <row r="4374" spans="1:29" x14ac:dyDescent="0.25">
      <c r="A4374" s="136">
        <v>44140</v>
      </c>
      <c r="B4374" t="s">
        <v>72</v>
      </c>
      <c r="C4374" t="s">
        <v>130</v>
      </c>
      <c r="D4374">
        <v>100</v>
      </c>
      <c r="E4374">
        <v>100</v>
      </c>
      <c r="F4374">
        <v>1.53</v>
      </c>
      <c r="G4374">
        <v>364</v>
      </c>
      <c r="H4374">
        <v>237.91</v>
      </c>
      <c r="I4374">
        <v>517</v>
      </c>
      <c r="J4374">
        <v>5.17</v>
      </c>
      <c r="K4374" s="133">
        <v>1.1213981618310293E-3</v>
      </c>
      <c r="L4374" s="181">
        <v>-10</v>
      </c>
      <c r="M4374" s="133">
        <v>3.3186444634457926E-4</v>
      </c>
      <c r="N4374" s="73">
        <v>-1498.9659999999872</v>
      </c>
      <c r="O4374" s="73">
        <v>376.42007904191922</v>
      </c>
      <c r="P4374" s="182">
        <v>0</v>
      </c>
      <c r="Q4374" s="182">
        <v>0</v>
      </c>
      <c r="R4374" s="46">
        <v>0</v>
      </c>
      <c r="S4374" s="46">
        <v>20</v>
      </c>
      <c r="T4374" s="46">
        <v>8600</v>
      </c>
      <c r="U4374" s="46">
        <v>7.3840000000000003</v>
      </c>
      <c r="V4374" s="46" t="s">
        <v>68</v>
      </c>
      <c r="W4374" s="46">
        <v>8600</v>
      </c>
      <c r="X4374" s="46">
        <v>7.3840000000000003</v>
      </c>
      <c r="Y4374"/>
      <c r="Z4374"/>
      <c r="AA4374"/>
      <c r="AB4374"/>
      <c r="AC4374"/>
    </row>
    <row r="4375" spans="1:29" x14ac:dyDescent="0.25">
      <c r="A4375" s="136">
        <v>44140</v>
      </c>
      <c r="B4375" t="s">
        <v>70</v>
      </c>
      <c r="C4375" t="s">
        <v>131</v>
      </c>
      <c r="D4375">
        <v>15380</v>
      </c>
      <c r="E4375">
        <v>15380</v>
      </c>
      <c r="F4375">
        <v>7.9660000000000002</v>
      </c>
      <c r="G4375">
        <v>-14859.21</v>
      </c>
      <c r="H4375">
        <v>-12.13</v>
      </c>
      <c r="I4375">
        <v>107660</v>
      </c>
      <c r="J4375">
        <v>7</v>
      </c>
      <c r="K4375" s="133">
        <v>0.23351977969580001</v>
      </c>
      <c r="L4375" s="181">
        <v>-153.79999999999927</v>
      </c>
      <c r="M4375" s="133">
        <v>0.26575012936748521</v>
      </c>
      <c r="N4375" s="73">
        <v>-15328.501000000004</v>
      </c>
      <c r="O4375" s="73">
        <v>-2198.1114418220955</v>
      </c>
      <c r="P4375" s="182">
        <v>0</v>
      </c>
      <c r="Q4375" s="182">
        <v>0</v>
      </c>
      <c r="R4375" s="46">
        <v>0</v>
      </c>
      <c r="S4375" s="46">
        <v>6</v>
      </c>
      <c r="T4375" s="46">
        <v>2400</v>
      </c>
      <c r="U4375" s="46">
        <v>7.875</v>
      </c>
      <c r="V4375" s="46" t="s">
        <v>68</v>
      </c>
      <c r="W4375" s="46">
        <v>2400</v>
      </c>
      <c r="X4375" s="46">
        <v>7.875</v>
      </c>
      <c r="Y4375"/>
      <c r="Z4375"/>
      <c r="AA4375"/>
      <c r="AB4375"/>
      <c r="AC4375"/>
    </row>
    <row r="4376" spans="1:29" x14ac:dyDescent="0.25">
      <c r="A4376" s="136">
        <v>44140</v>
      </c>
      <c r="B4376" t="s">
        <v>628</v>
      </c>
      <c r="C4376" t="s">
        <v>629</v>
      </c>
      <c r="D4376">
        <v>100</v>
      </c>
      <c r="E4376">
        <v>100</v>
      </c>
      <c r="F4376">
        <v>0.95</v>
      </c>
      <c r="G4376">
        <v>1339</v>
      </c>
      <c r="H4376">
        <v>1409.47</v>
      </c>
      <c r="I4376">
        <v>1434</v>
      </c>
      <c r="J4376">
        <v>14.34</v>
      </c>
      <c r="K4376" s="133">
        <v>3.1104157912295858E-3</v>
      </c>
      <c r="L4376" s="181">
        <v>9</v>
      </c>
      <c r="M4376" s="133">
        <v>2.0605962354728778E-4</v>
      </c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</row>
    <row r="4377" spans="1:29" x14ac:dyDescent="0.25">
      <c r="A4377" s="136">
        <v>44140</v>
      </c>
      <c r="B4377" t="s">
        <v>768</v>
      </c>
      <c r="C4377" t="s">
        <v>769</v>
      </c>
      <c r="D4377">
        <v>500</v>
      </c>
      <c r="E4377">
        <v>500</v>
      </c>
      <c r="F4377">
        <v>2.4140000000000001</v>
      </c>
      <c r="G4377">
        <v>148</v>
      </c>
      <c r="H4377">
        <v>12.26</v>
      </c>
      <c r="I4377">
        <v>1355</v>
      </c>
      <c r="J4377">
        <v>2.71</v>
      </c>
      <c r="K4377" s="133">
        <v>2.9390609463849993E-3</v>
      </c>
      <c r="L4377" s="181">
        <v>-65</v>
      </c>
      <c r="M4377" s="133">
        <v>2.6180417433850139E-3</v>
      </c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</row>
    <row r="4378" spans="1:29" x14ac:dyDescent="0.25">
      <c r="A4378" s="136">
        <v>44140</v>
      </c>
      <c r="B4378" t="s">
        <v>915</v>
      </c>
      <c r="C4378" t="s">
        <v>916</v>
      </c>
      <c r="D4378">
        <v>0</v>
      </c>
      <c r="E4378">
        <v>0</v>
      </c>
      <c r="F4378">
        <v>100</v>
      </c>
      <c r="G4378">
        <v>0</v>
      </c>
      <c r="H4378">
        <v>0</v>
      </c>
      <c r="I4378">
        <v>0</v>
      </c>
      <c r="J4378">
        <v>100</v>
      </c>
      <c r="K4378" s="133">
        <v>0</v>
      </c>
      <c r="L4378"/>
      <c r="M4378" s="133">
        <v>0</v>
      </c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</row>
    <row r="4379" spans="1:29" x14ac:dyDescent="0.25">
      <c r="A4379" s="136">
        <v>44140</v>
      </c>
      <c r="B4379" t="s">
        <v>137</v>
      </c>
      <c r="C4379" t="s">
        <v>149</v>
      </c>
      <c r="D4379">
        <v>150</v>
      </c>
      <c r="E4379">
        <v>150</v>
      </c>
      <c r="F4379">
        <v>1</v>
      </c>
      <c r="G4379">
        <v>5752.5</v>
      </c>
      <c r="H4379">
        <v>3835</v>
      </c>
      <c r="I4379">
        <v>5902.5</v>
      </c>
      <c r="J4379">
        <v>39.35</v>
      </c>
      <c r="K4379" s="133">
        <v>1.2802809768293327E-2</v>
      </c>
      <c r="L4379" s="181">
        <v>156</v>
      </c>
      <c r="M4379" s="133">
        <v>3.2535730033782278E-4</v>
      </c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</row>
    <row r="4380" spans="1:29" x14ac:dyDescent="0.25">
      <c r="A4380" s="136">
        <v>44140</v>
      </c>
      <c r="B4380" t="s">
        <v>835</v>
      </c>
      <c r="C4380" t="s">
        <v>839</v>
      </c>
      <c r="I4380">
        <v>6017.58</v>
      </c>
      <c r="K4380" s="133">
        <v>1.3052423889112505E-2</v>
      </c>
      <c r="L4380" s="181">
        <v>0</v>
      </c>
      <c r="M4380" s="133">
        <v>1.0910314804661658E-5</v>
      </c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</row>
    <row r="4381" spans="1:29" x14ac:dyDescent="0.25">
      <c r="A4381" s="136">
        <v>44145</v>
      </c>
      <c r="B4381" t="s">
        <v>132</v>
      </c>
      <c r="C4381" t="s">
        <v>123</v>
      </c>
      <c r="D4381">
        <v>503</v>
      </c>
      <c r="E4381">
        <v>503</v>
      </c>
      <c r="F4381">
        <v>-0.59299999999999997</v>
      </c>
      <c r="G4381">
        <v>303.52999999999997</v>
      </c>
      <c r="H4381">
        <v>0</v>
      </c>
      <c r="I4381">
        <v>5.03</v>
      </c>
      <c r="J4381">
        <v>0.01</v>
      </c>
      <c r="K4381" s="133">
        <v>1.0925853573621889E-5</v>
      </c>
      <c r="L4381" s="181">
        <v>0</v>
      </c>
      <c r="M4381" s="133">
        <v>0</v>
      </c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</row>
    <row r="4382" spans="1:29" x14ac:dyDescent="0.25">
      <c r="A4382" s="136">
        <v>44145</v>
      </c>
      <c r="B4382" t="s">
        <v>61</v>
      </c>
      <c r="C4382" t="s">
        <v>136</v>
      </c>
      <c r="D4382">
        <v>5000</v>
      </c>
      <c r="E4382">
        <v>5000</v>
      </c>
      <c r="F4382">
        <v>4.07</v>
      </c>
      <c r="G4382">
        <v>-3098.26</v>
      </c>
      <c r="H4382">
        <v>-15.22</v>
      </c>
      <c r="I4382">
        <v>17250</v>
      </c>
      <c r="J4382">
        <v>3.45</v>
      </c>
      <c r="K4382" s="133">
        <v>3.7469378557649619E-2</v>
      </c>
      <c r="L4382" s="181">
        <v>200</v>
      </c>
      <c r="M4382" s="133">
        <v>4.4199226488665477E-2</v>
      </c>
      <c r="N4382" s="73">
        <v>-3048.9950000000026</v>
      </c>
      <c r="O4382" s="73">
        <v>-880.77182153179274</v>
      </c>
      <c r="P4382" s="182">
        <v>4</v>
      </c>
      <c r="Q4382" s="182">
        <v>2000</v>
      </c>
      <c r="R4382" s="46">
        <v>4.04</v>
      </c>
      <c r="S4382" s="46">
        <v>0</v>
      </c>
      <c r="T4382" s="46">
        <v>0</v>
      </c>
      <c r="U4382" s="46">
        <v>0</v>
      </c>
      <c r="V4382" s="46" t="s">
        <v>62</v>
      </c>
      <c r="W4382" s="46">
        <v>2000</v>
      </c>
      <c r="X4382" s="46">
        <v>4.04</v>
      </c>
      <c r="Y4382"/>
      <c r="Z4382"/>
      <c r="AA4382"/>
      <c r="AB4382"/>
      <c r="AC4382"/>
    </row>
    <row r="4383" spans="1:29" x14ac:dyDescent="0.25">
      <c r="A4383" s="136">
        <v>44145</v>
      </c>
      <c r="B4383" t="s">
        <v>124</v>
      </c>
      <c r="C4383" t="s">
        <v>125</v>
      </c>
      <c r="D4383">
        <v>100</v>
      </c>
      <c r="E4383">
        <v>100</v>
      </c>
      <c r="F4383">
        <v>0.73699999999999999</v>
      </c>
      <c r="G4383">
        <v>428.28</v>
      </c>
      <c r="H4383">
        <v>581.11</v>
      </c>
      <c r="I4383">
        <v>502</v>
      </c>
      <c r="J4383">
        <v>5.0199999999999996</v>
      </c>
      <c r="K4383" s="133">
        <v>1.0904132194747887E-3</v>
      </c>
      <c r="L4383" s="181">
        <v>7</v>
      </c>
      <c r="M4383" s="133">
        <v>1.601300050591264E-4</v>
      </c>
      <c r="N4383" s="73">
        <v>5623.0690000000113</v>
      </c>
      <c r="O4383" s="73">
        <v>1111.8087987827732</v>
      </c>
      <c r="P4383" s="182">
        <v>0</v>
      </c>
      <c r="Q4383" s="182">
        <v>0</v>
      </c>
      <c r="R4383" s="46">
        <v>0</v>
      </c>
      <c r="S4383" s="46">
        <v>5</v>
      </c>
      <c r="T4383" s="46">
        <v>2300</v>
      </c>
      <c r="U4383" s="46">
        <v>4.99</v>
      </c>
      <c r="V4383" s="46" t="s">
        <v>68</v>
      </c>
      <c r="W4383" s="46">
        <v>2300</v>
      </c>
      <c r="X4383" s="46">
        <v>4.99</v>
      </c>
      <c r="Y4383"/>
      <c r="Z4383"/>
      <c r="AA4383"/>
      <c r="AB4383"/>
      <c r="AC4383"/>
    </row>
    <row r="4384" spans="1:29" x14ac:dyDescent="0.25">
      <c r="A4384" s="136">
        <v>44145</v>
      </c>
      <c r="B4384" t="s">
        <v>71</v>
      </c>
      <c r="C4384" t="s">
        <v>126</v>
      </c>
      <c r="D4384">
        <v>6400</v>
      </c>
      <c r="E4384">
        <v>6400</v>
      </c>
      <c r="F4384">
        <v>4.3410000000000002</v>
      </c>
      <c r="G4384">
        <v>5115.88</v>
      </c>
      <c r="H4384">
        <v>18.41</v>
      </c>
      <c r="I4384">
        <v>32896</v>
      </c>
      <c r="J4384">
        <v>5.14</v>
      </c>
      <c r="K4384" s="133">
        <v>7.1454647943909669E-2</v>
      </c>
      <c r="L4384" s="181">
        <v>192</v>
      </c>
      <c r="M4384" s="133">
        <v>6.0342251168517866E-2</v>
      </c>
      <c r="N4384" s="73">
        <v>6613.3879999999954</v>
      </c>
      <c r="O4384" s="73">
        <v>1122.1672884250465</v>
      </c>
      <c r="P4384" s="182">
        <v>2</v>
      </c>
      <c r="Q4384" s="182">
        <v>2000</v>
      </c>
      <c r="R4384" s="46">
        <v>5.1630000000000003</v>
      </c>
      <c r="S4384" s="46">
        <v>2</v>
      </c>
      <c r="T4384" s="46">
        <v>800</v>
      </c>
      <c r="U4384" s="46">
        <v>5.2450000000000001</v>
      </c>
      <c r="V4384" s="46" t="s">
        <v>62</v>
      </c>
      <c r="W4384" s="46">
        <v>1200</v>
      </c>
      <c r="X4384" s="46">
        <v>5.1079999999999997</v>
      </c>
      <c r="Y4384"/>
      <c r="Z4384"/>
      <c r="AA4384"/>
      <c r="AB4384"/>
      <c r="AC4384"/>
    </row>
    <row r="4385" spans="1:29" x14ac:dyDescent="0.25">
      <c r="A4385" s="136">
        <v>44145</v>
      </c>
      <c r="B4385" t="s">
        <v>79</v>
      </c>
      <c r="C4385" t="s">
        <v>143</v>
      </c>
      <c r="D4385">
        <v>11200</v>
      </c>
      <c r="E4385">
        <v>11200</v>
      </c>
      <c r="F4385">
        <v>9.3279999999999994</v>
      </c>
      <c r="G4385">
        <v>-25854.17</v>
      </c>
      <c r="H4385">
        <v>-24.75</v>
      </c>
      <c r="I4385">
        <v>78624</v>
      </c>
      <c r="J4385">
        <v>7.02</v>
      </c>
      <c r="K4385" s="133">
        <v>0.17078216925893586</v>
      </c>
      <c r="L4385" s="181">
        <v>-560</v>
      </c>
      <c r="M4385" s="133">
        <v>0.22694099146321572</v>
      </c>
      <c r="N4385" s="73">
        <v>-26121.95540000053</v>
      </c>
      <c r="O4385" s="73">
        <v>-3729.8420603286477</v>
      </c>
      <c r="P4385" s="182">
        <v>8</v>
      </c>
      <c r="Q4385" s="182">
        <v>6420</v>
      </c>
      <c r="R4385" s="46">
        <v>3.964</v>
      </c>
      <c r="S4385" s="46">
        <v>0</v>
      </c>
      <c r="T4385" s="46">
        <v>0</v>
      </c>
      <c r="U4385" s="46">
        <v>0</v>
      </c>
      <c r="V4385" s="46" t="s">
        <v>62</v>
      </c>
      <c r="W4385" s="46">
        <v>6420</v>
      </c>
      <c r="X4385" s="46">
        <v>3.964</v>
      </c>
      <c r="Y4385"/>
      <c r="Z4385"/>
      <c r="AA4385"/>
      <c r="AB4385"/>
      <c r="AC4385"/>
    </row>
    <row r="4386" spans="1:29" x14ac:dyDescent="0.25">
      <c r="A4386" s="136">
        <v>44145</v>
      </c>
      <c r="B4386" t="s">
        <v>749</v>
      </c>
      <c r="C4386" t="s">
        <v>750</v>
      </c>
      <c r="D4386">
        <v>500</v>
      </c>
      <c r="E4386">
        <v>500</v>
      </c>
      <c r="F4386">
        <v>5.65</v>
      </c>
      <c r="G4386">
        <v>240</v>
      </c>
      <c r="H4386">
        <v>8.5</v>
      </c>
      <c r="I4386">
        <v>3065</v>
      </c>
      <c r="J4386">
        <v>6.13</v>
      </c>
      <c r="K4386" s="133">
        <v>6.657602624880932E-3</v>
      </c>
      <c r="L4386" s="181">
        <v>10</v>
      </c>
      <c r="M4386" s="133">
        <v>6.1362895319049373E-3</v>
      </c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</row>
    <row r="4387" spans="1:29" x14ac:dyDescent="0.25">
      <c r="A4387" s="136">
        <v>44145</v>
      </c>
      <c r="B4387" t="s">
        <v>776</v>
      </c>
      <c r="C4387" t="s">
        <v>777</v>
      </c>
      <c r="D4387">
        <v>1</v>
      </c>
      <c r="E4387">
        <v>1</v>
      </c>
      <c r="F4387">
        <v>-137.5</v>
      </c>
      <c r="G4387">
        <v>206.22</v>
      </c>
      <c r="H4387">
        <v>0</v>
      </c>
      <c r="I4387">
        <v>68.72</v>
      </c>
      <c r="J4387">
        <v>68.72</v>
      </c>
      <c r="K4387" s="133">
        <v>1.4926931562212647E-4</v>
      </c>
      <c r="L4387" s="181">
        <v>0.21999999999999886</v>
      </c>
      <c r="M4387" s="133">
        <v>0</v>
      </c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</row>
    <row r="4388" spans="1:29" x14ac:dyDescent="0.25">
      <c r="A4388" s="136">
        <v>44145</v>
      </c>
      <c r="B4388" t="s">
        <v>913</v>
      </c>
      <c r="C4388" t="s">
        <v>914</v>
      </c>
      <c r="D4388">
        <v>10</v>
      </c>
      <c r="E4388">
        <v>0</v>
      </c>
      <c r="F4388">
        <v>100</v>
      </c>
      <c r="G4388">
        <v>0</v>
      </c>
      <c r="H4388">
        <v>0</v>
      </c>
      <c r="I4388">
        <v>1000</v>
      </c>
      <c r="J4388">
        <v>100</v>
      </c>
      <c r="K4388" s="133">
        <v>2.1721378873999775E-3</v>
      </c>
      <c r="L4388" s="181">
        <v>0</v>
      </c>
      <c r="M4388" s="133">
        <v>2.1721378873999775E-3</v>
      </c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</row>
    <row r="4389" spans="1:29" x14ac:dyDescent="0.25">
      <c r="A4389" s="136">
        <v>44145</v>
      </c>
      <c r="B4389" t="s">
        <v>65</v>
      </c>
      <c r="C4389" t="s">
        <v>127</v>
      </c>
      <c r="D4389">
        <v>27100</v>
      </c>
      <c r="E4389">
        <v>27100</v>
      </c>
      <c r="F4389">
        <v>8.1319999999999997</v>
      </c>
      <c r="G4389">
        <v>-33393.65</v>
      </c>
      <c r="H4389">
        <v>-15.15</v>
      </c>
      <c r="I4389">
        <v>186990</v>
      </c>
      <c r="J4389">
        <v>6.9</v>
      </c>
      <c r="K4389" s="133">
        <v>0.40616806356492186</v>
      </c>
      <c r="L4389" s="181">
        <v>-271</v>
      </c>
      <c r="M4389" s="133">
        <v>0.47870367592849611</v>
      </c>
      <c r="N4389"/>
      <c r="O4389"/>
      <c r="P4389" s="182">
        <v>2</v>
      </c>
      <c r="Q4389" s="182">
        <v>800</v>
      </c>
      <c r="R4389" s="46">
        <v>6.5949999999999998</v>
      </c>
      <c r="S4389" s="46">
        <v>1</v>
      </c>
      <c r="T4389" s="46">
        <v>400</v>
      </c>
      <c r="U4389" s="46">
        <v>6.86</v>
      </c>
      <c r="V4389" s="46" t="s">
        <v>62</v>
      </c>
      <c r="W4389" s="46">
        <v>400</v>
      </c>
      <c r="X4389" s="46">
        <v>6.33</v>
      </c>
      <c r="Y4389"/>
      <c r="Z4389"/>
      <c r="AA4389"/>
      <c r="AB4389"/>
      <c r="AC4389"/>
    </row>
    <row r="4390" spans="1:29" x14ac:dyDescent="0.25">
      <c r="A4390" s="136">
        <v>44145</v>
      </c>
      <c r="B4390" t="s">
        <v>77</v>
      </c>
      <c r="C4390" t="s">
        <v>150</v>
      </c>
      <c r="D4390">
        <v>7300</v>
      </c>
      <c r="E4390">
        <v>7300</v>
      </c>
      <c r="F4390">
        <v>4.8239999999999998</v>
      </c>
      <c r="G4390">
        <v>-16309.17</v>
      </c>
      <c r="H4390">
        <v>-46.31</v>
      </c>
      <c r="I4390">
        <v>18907</v>
      </c>
      <c r="J4390">
        <v>2.59</v>
      </c>
      <c r="K4390" s="133">
        <v>4.1068611037071379E-2</v>
      </c>
      <c r="L4390" s="181">
        <v>583.99999999999818</v>
      </c>
      <c r="M4390" s="133">
        <v>7.6494377106118464E-2</v>
      </c>
      <c r="N4390" s="73">
        <v>-14113.127999999982</v>
      </c>
      <c r="O4390" s="73">
        <v>-4596.7302148648596</v>
      </c>
      <c r="P4390" s="182">
        <v>6</v>
      </c>
      <c r="Q4390" s="182">
        <v>3500</v>
      </c>
      <c r="R4390" s="46">
        <v>3.7789999999999999</v>
      </c>
      <c r="S4390" s="46">
        <v>0</v>
      </c>
      <c r="T4390" s="46">
        <v>0</v>
      </c>
      <c r="U4390" s="46">
        <v>0</v>
      </c>
      <c r="V4390" s="46" t="s">
        <v>62</v>
      </c>
      <c r="W4390" s="46">
        <v>3500</v>
      </c>
      <c r="X4390" s="46">
        <v>3.7789999999999999</v>
      </c>
      <c r="Y4390"/>
      <c r="Z4390"/>
      <c r="AA4390"/>
      <c r="AB4390"/>
      <c r="AC4390"/>
    </row>
    <row r="4391" spans="1:29" x14ac:dyDescent="0.25">
      <c r="A4391" s="136">
        <v>44145</v>
      </c>
      <c r="B4391" t="s">
        <v>72</v>
      </c>
      <c r="C4391" t="s">
        <v>130</v>
      </c>
      <c r="D4391">
        <v>100</v>
      </c>
      <c r="E4391">
        <v>100</v>
      </c>
      <c r="F4391">
        <v>1.53</v>
      </c>
      <c r="G4391">
        <v>366</v>
      </c>
      <c r="H4391">
        <v>239.22</v>
      </c>
      <c r="I4391">
        <v>519</v>
      </c>
      <c r="J4391">
        <v>5.19</v>
      </c>
      <c r="K4391" s="133">
        <v>1.1273395635605884E-3</v>
      </c>
      <c r="L4391" s="181">
        <v>2</v>
      </c>
      <c r="M4391" s="133">
        <v>3.3233709677219658E-4</v>
      </c>
      <c r="N4391" s="73">
        <v>-1498.9659999999872</v>
      </c>
      <c r="O4391" s="73">
        <v>376.42007904191922</v>
      </c>
      <c r="P4391" s="182">
        <v>0</v>
      </c>
      <c r="Q4391" s="182">
        <v>0</v>
      </c>
      <c r="R4391" s="46">
        <v>0</v>
      </c>
      <c r="S4391" s="46">
        <v>20</v>
      </c>
      <c r="T4391" s="46">
        <v>8600</v>
      </c>
      <c r="U4391" s="46">
        <v>7.3840000000000003</v>
      </c>
      <c r="V4391" s="46" t="s">
        <v>68</v>
      </c>
      <c r="W4391" s="46">
        <v>8600</v>
      </c>
      <c r="X4391" s="46">
        <v>7.3840000000000003</v>
      </c>
      <c r="Y4391"/>
      <c r="Z4391"/>
      <c r="AA4391"/>
      <c r="AB4391"/>
      <c r="AC4391"/>
    </row>
    <row r="4392" spans="1:29" x14ac:dyDescent="0.25">
      <c r="A4392" s="136">
        <v>44145</v>
      </c>
      <c r="B4392" t="s">
        <v>70</v>
      </c>
      <c r="C4392" t="s">
        <v>131</v>
      </c>
      <c r="D4392">
        <v>15380</v>
      </c>
      <c r="E4392">
        <v>15380</v>
      </c>
      <c r="F4392">
        <v>7.9660000000000002</v>
      </c>
      <c r="G4392">
        <v>-15320.61</v>
      </c>
      <c r="H4392">
        <v>-12.5</v>
      </c>
      <c r="I4392">
        <v>107198.6</v>
      </c>
      <c r="J4392">
        <v>6.97</v>
      </c>
      <c r="K4392" s="133">
        <v>0.23285014053623526</v>
      </c>
      <c r="L4392" s="181">
        <v>-461.40000000000146</v>
      </c>
      <c r="M4392" s="133">
        <v>0.26612861797531423</v>
      </c>
      <c r="N4392" s="73">
        <v>-15328.501000000004</v>
      </c>
      <c r="O4392" s="73">
        <v>-2198.1114418220955</v>
      </c>
      <c r="P4392" s="182">
        <v>0</v>
      </c>
      <c r="Q4392" s="182">
        <v>0</v>
      </c>
      <c r="R4392" s="46">
        <v>0</v>
      </c>
      <c r="S4392" s="46">
        <v>6</v>
      </c>
      <c r="T4392" s="46">
        <v>2400</v>
      </c>
      <c r="U4392" s="46">
        <v>7.875</v>
      </c>
      <c r="V4392" s="46" t="s">
        <v>68</v>
      </c>
      <c r="W4392" s="46">
        <v>2400</v>
      </c>
      <c r="X4392" s="46">
        <v>7.875</v>
      </c>
      <c r="Y4392"/>
      <c r="Z4392"/>
      <c r="AA4392"/>
      <c r="AB4392"/>
      <c r="AC4392"/>
    </row>
    <row r="4393" spans="1:29" x14ac:dyDescent="0.25">
      <c r="A4393" s="136">
        <v>44145</v>
      </c>
      <c r="B4393" t="s">
        <v>628</v>
      </c>
      <c r="C4393" t="s">
        <v>629</v>
      </c>
      <c r="D4393">
        <v>100</v>
      </c>
      <c r="E4393">
        <v>100</v>
      </c>
      <c r="F4393">
        <v>0.95</v>
      </c>
      <c r="G4393">
        <v>1347</v>
      </c>
      <c r="H4393">
        <v>1417.895</v>
      </c>
      <c r="I4393">
        <v>1442</v>
      </c>
      <c r="J4393">
        <v>14.42</v>
      </c>
      <c r="K4393" s="133">
        <v>3.1322228336307678E-3</v>
      </c>
      <c r="L4393" s="181">
        <v>8</v>
      </c>
      <c r="M4393" s="133">
        <v>2.0635309930299789E-4</v>
      </c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</row>
    <row r="4394" spans="1:29" x14ac:dyDescent="0.25">
      <c r="A4394" s="136">
        <v>44145</v>
      </c>
      <c r="B4394" t="s">
        <v>768</v>
      </c>
      <c r="C4394" t="s">
        <v>769</v>
      </c>
      <c r="D4394">
        <v>500</v>
      </c>
      <c r="E4394">
        <v>500</v>
      </c>
      <c r="F4394">
        <v>2.4140000000000001</v>
      </c>
      <c r="G4394">
        <v>173</v>
      </c>
      <c r="H4394">
        <v>14.33</v>
      </c>
      <c r="I4394">
        <v>1380</v>
      </c>
      <c r="J4394">
        <v>2.76</v>
      </c>
      <c r="K4394" s="133">
        <v>2.9975502846119693E-3</v>
      </c>
      <c r="L4394" s="181">
        <v>25</v>
      </c>
      <c r="M4394" s="133">
        <v>2.6217704300917732E-3</v>
      </c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</row>
    <row r="4395" spans="1:29" x14ac:dyDescent="0.25">
      <c r="A4395" s="136">
        <v>44145</v>
      </c>
      <c r="B4395" t="s">
        <v>915</v>
      </c>
      <c r="C4395" t="s">
        <v>916</v>
      </c>
      <c r="D4395">
        <v>10</v>
      </c>
      <c r="E4395">
        <v>0</v>
      </c>
      <c r="F4395">
        <v>100</v>
      </c>
      <c r="G4395">
        <v>0</v>
      </c>
      <c r="H4395">
        <v>0</v>
      </c>
      <c r="I4395">
        <v>1000</v>
      </c>
      <c r="J4395">
        <v>100</v>
      </c>
      <c r="K4395" s="133">
        <v>2.1721378873999775E-3</v>
      </c>
      <c r="L4395" s="181">
        <v>0</v>
      </c>
      <c r="M4395" s="133">
        <v>2.1721378873999775E-3</v>
      </c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</row>
    <row r="4396" spans="1:29" x14ac:dyDescent="0.25">
      <c r="A4396" s="136">
        <v>44145</v>
      </c>
      <c r="B4396" t="s">
        <v>137</v>
      </c>
      <c r="C4396" t="s">
        <v>149</v>
      </c>
      <c r="D4396">
        <v>150</v>
      </c>
      <c r="E4396">
        <v>150</v>
      </c>
      <c r="F4396">
        <v>1</v>
      </c>
      <c r="G4396">
        <v>5370</v>
      </c>
      <c r="H4396">
        <v>3580</v>
      </c>
      <c r="I4396">
        <v>5520</v>
      </c>
      <c r="J4396">
        <v>36.799999999999997</v>
      </c>
      <c r="K4396" s="133">
        <v>1.1990201138447877E-2</v>
      </c>
      <c r="L4396" s="181">
        <v>-382.5</v>
      </c>
      <c r="M4396" s="133">
        <v>3.2582068310999668E-4</v>
      </c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</row>
    <row r="4397" spans="1:29" x14ac:dyDescent="0.25">
      <c r="A4397" s="136">
        <v>44145</v>
      </c>
      <c r="B4397" t="s">
        <v>835</v>
      </c>
      <c r="C4397" t="s">
        <v>839</v>
      </c>
      <c r="I4397">
        <v>4008.58</v>
      </c>
      <c r="K4397" s="133">
        <v>8.7071884926738022E-3</v>
      </c>
      <c r="L4397" s="181">
        <v>0</v>
      </c>
      <c r="M4397" s="133">
        <v>1.0925853573621889E-5</v>
      </c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</row>
    <row r="4398" spans="1:29" x14ac:dyDescent="0.25">
      <c r="A4398" s="136">
        <v>44148</v>
      </c>
      <c r="B4398" t="s">
        <v>132</v>
      </c>
      <c r="C4398" t="s">
        <v>123</v>
      </c>
      <c r="D4398">
        <v>503</v>
      </c>
      <c r="E4398">
        <v>503</v>
      </c>
      <c r="F4398">
        <v>-0.59299999999999997</v>
      </c>
      <c r="G4398">
        <v>303.52999999999997</v>
      </c>
      <c r="H4398">
        <v>0</v>
      </c>
      <c r="I4398">
        <v>5.03</v>
      </c>
      <c r="J4398">
        <v>0.01</v>
      </c>
      <c r="K4398" s="133">
        <v>1.0862176045856954E-5</v>
      </c>
      <c r="L4398" s="181">
        <v>0</v>
      </c>
      <c r="M4398" s="133">
        <v>0</v>
      </c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</row>
    <row r="4399" spans="1:29" x14ac:dyDescent="0.25">
      <c r="A4399" s="136">
        <v>44148</v>
      </c>
      <c r="B4399" t="s">
        <v>61</v>
      </c>
      <c r="C4399" t="s">
        <v>136</v>
      </c>
      <c r="D4399">
        <v>5000</v>
      </c>
      <c r="E4399">
        <v>5000</v>
      </c>
      <c r="F4399">
        <v>4.07</v>
      </c>
      <c r="G4399">
        <v>-3148.26</v>
      </c>
      <c r="H4399">
        <v>-15.47</v>
      </c>
      <c r="I4399">
        <v>17200</v>
      </c>
      <c r="J4399">
        <v>3.44</v>
      </c>
      <c r="K4399" s="133">
        <v>3.7143027433149026E-2</v>
      </c>
      <c r="L4399" s="181">
        <v>-50</v>
      </c>
      <c r="M4399" s="133">
        <v>4.3941626709119129E-2</v>
      </c>
      <c r="N4399" s="73">
        <v>-3048.9950000000026</v>
      </c>
      <c r="O4399" s="73">
        <v>-880.77182153179274</v>
      </c>
      <c r="P4399" s="182">
        <v>4</v>
      </c>
      <c r="Q4399" s="182">
        <v>2000</v>
      </c>
      <c r="R4399" s="46">
        <v>4.04</v>
      </c>
      <c r="S4399" s="46">
        <v>0</v>
      </c>
      <c r="T4399" s="46">
        <v>0</v>
      </c>
      <c r="U4399" s="46">
        <v>0</v>
      </c>
      <c r="V4399" s="46" t="s">
        <v>62</v>
      </c>
      <c r="W4399" s="46">
        <v>2000</v>
      </c>
      <c r="X4399" s="46">
        <v>4.04</v>
      </c>
      <c r="Y4399"/>
      <c r="Z4399"/>
      <c r="AA4399"/>
      <c r="AB4399"/>
      <c r="AC4399"/>
    </row>
    <row r="4400" spans="1:29" x14ac:dyDescent="0.25">
      <c r="A4400" s="136">
        <v>44148</v>
      </c>
      <c r="B4400" t="s">
        <v>124</v>
      </c>
      <c r="C4400" t="s">
        <v>125</v>
      </c>
      <c r="D4400">
        <v>100</v>
      </c>
      <c r="E4400">
        <v>100</v>
      </c>
      <c r="F4400">
        <v>0.73699999999999999</v>
      </c>
      <c r="G4400">
        <v>422.28</v>
      </c>
      <c r="H4400">
        <v>572.97</v>
      </c>
      <c r="I4400">
        <v>496</v>
      </c>
      <c r="J4400">
        <v>4.96</v>
      </c>
      <c r="K4400" s="133">
        <v>1.0711012562117394E-3</v>
      </c>
      <c r="L4400" s="181">
        <v>-6</v>
      </c>
      <c r="M4400" s="133">
        <v>1.5919674316114808E-4</v>
      </c>
      <c r="N4400" s="73">
        <v>5623.0690000000113</v>
      </c>
      <c r="O4400" s="73">
        <v>1111.8087987827732</v>
      </c>
      <c r="P4400" s="182">
        <v>0</v>
      </c>
      <c r="Q4400" s="182">
        <v>0</v>
      </c>
      <c r="R4400" s="46">
        <v>0</v>
      </c>
      <c r="S4400" s="46">
        <v>5</v>
      </c>
      <c r="T4400" s="46">
        <v>2300</v>
      </c>
      <c r="U4400" s="46">
        <v>4.99</v>
      </c>
      <c r="V4400" s="46" t="s">
        <v>68</v>
      </c>
      <c r="W4400" s="46">
        <v>2300</v>
      </c>
      <c r="X4400" s="46">
        <v>4.99</v>
      </c>
      <c r="Y4400"/>
      <c r="Z4400"/>
      <c r="AA4400"/>
      <c r="AB4400"/>
      <c r="AC4400"/>
    </row>
    <row r="4401" spans="1:29" x14ac:dyDescent="0.25">
      <c r="A4401" s="136">
        <v>44148</v>
      </c>
      <c r="B4401" t="s">
        <v>71</v>
      </c>
      <c r="C4401" t="s">
        <v>126</v>
      </c>
      <c r="D4401">
        <v>6400</v>
      </c>
      <c r="E4401">
        <v>6400</v>
      </c>
      <c r="F4401">
        <v>4.3410000000000002</v>
      </c>
      <c r="G4401">
        <v>4603.88</v>
      </c>
      <c r="H4401">
        <v>16.57</v>
      </c>
      <c r="I4401">
        <v>32384</v>
      </c>
      <c r="J4401">
        <v>5.0599999999999996</v>
      </c>
      <c r="K4401" s="133">
        <v>6.9932546534598725E-2</v>
      </c>
      <c r="L4401" s="181">
        <v>-512</v>
      </c>
      <c r="M4401" s="133">
        <v>5.9990567398614643E-2</v>
      </c>
      <c r="N4401" s="73">
        <v>6613.3879999999954</v>
      </c>
      <c r="O4401" s="73">
        <v>1122.1672884250465</v>
      </c>
      <c r="P4401" s="182">
        <v>2</v>
      </c>
      <c r="Q4401" s="182">
        <v>2000</v>
      </c>
      <c r="R4401" s="46">
        <v>5.1630000000000003</v>
      </c>
      <c r="S4401" s="46">
        <v>2</v>
      </c>
      <c r="T4401" s="46">
        <v>800</v>
      </c>
      <c r="U4401" s="46">
        <v>5.2450000000000001</v>
      </c>
      <c r="V4401" s="46" t="s">
        <v>62</v>
      </c>
      <c r="W4401" s="46">
        <v>1200</v>
      </c>
      <c r="X4401" s="46">
        <v>5.1079999999999997</v>
      </c>
      <c r="Y4401"/>
      <c r="Z4401"/>
      <c r="AA4401"/>
      <c r="AB4401"/>
      <c r="AC4401"/>
    </row>
    <row r="4402" spans="1:29" x14ac:dyDescent="0.25">
      <c r="A4402" s="136">
        <v>44148</v>
      </c>
      <c r="B4402" t="s">
        <v>79</v>
      </c>
      <c r="C4402" t="s">
        <v>143</v>
      </c>
      <c r="D4402">
        <v>11600</v>
      </c>
      <c r="E4402">
        <v>11200</v>
      </c>
      <c r="F4402">
        <v>9.2430000000000003</v>
      </c>
      <c r="G4402">
        <v>-27647.22</v>
      </c>
      <c r="H4402">
        <v>-25.79</v>
      </c>
      <c r="I4402">
        <v>79576</v>
      </c>
      <c r="J4402">
        <v>6.86</v>
      </c>
      <c r="K4402" s="133">
        <v>0.1718426483151318</v>
      </c>
      <c r="L4402" s="181">
        <v>-1793.0500000000029</v>
      </c>
      <c r="M4402" s="133">
        <v>0.23154622104247519</v>
      </c>
      <c r="N4402" s="73">
        <v>-27807.195400000535</v>
      </c>
      <c r="O4402" s="73">
        <v>-4057.4148616497137</v>
      </c>
      <c r="P4402" s="182">
        <v>9</v>
      </c>
      <c r="Q4402" s="182">
        <v>6820</v>
      </c>
      <c r="R4402" s="46">
        <v>4.1340000000000003</v>
      </c>
      <c r="S4402" s="46">
        <v>0</v>
      </c>
      <c r="T4402" s="46">
        <v>0</v>
      </c>
      <c r="U4402" s="46">
        <v>0</v>
      </c>
      <c r="V4402" s="46" t="s">
        <v>62</v>
      </c>
      <c r="W4402" s="46">
        <v>6820</v>
      </c>
      <c r="X4402" s="46">
        <v>4.1340000000000003</v>
      </c>
      <c r="Y4402"/>
      <c r="Z4402"/>
      <c r="AA4402"/>
      <c r="AB4402"/>
      <c r="AC4402"/>
    </row>
    <row r="4403" spans="1:29" x14ac:dyDescent="0.25">
      <c r="A4403" s="136">
        <v>44148</v>
      </c>
      <c r="B4403" t="s">
        <v>749</v>
      </c>
      <c r="C4403" t="s">
        <v>750</v>
      </c>
      <c r="D4403">
        <v>500</v>
      </c>
      <c r="E4403">
        <v>500</v>
      </c>
      <c r="F4403">
        <v>5.65</v>
      </c>
      <c r="G4403">
        <v>220</v>
      </c>
      <c r="H4403">
        <v>7.79</v>
      </c>
      <c r="I4403">
        <v>3045</v>
      </c>
      <c r="J4403">
        <v>6.09</v>
      </c>
      <c r="K4403" s="133">
        <v>6.5756115426708591E-3</v>
      </c>
      <c r="L4403" s="181">
        <v>-20</v>
      </c>
      <c r="M4403" s="133">
        <v>6.100526308060814E-3</v>
      </c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</row>
    <row r="4404" spans="1:29" x14ac:dyDescent="0.25">
      <c r="A4404" s="136">
        <v>44148</v>
      </c>
      <c r="B4404" t="s">
        <v>776</v>
      </c>
      <c r="C4404" t="s">
        <v>777</v>
      </c>
      <c r="D4404">
        <v>1</v>
      </c>
      <c r="E4404">
        <v>1</v>
      </c>
      <c r="F4404">
        <v>-137.5</v>
      </c>
      <c r="G4404">
        <v>206.89</v>
      </c>
      <c r="H4404">
        <v>0</v>
      </c>
      <c r="I4404">
        <v>69.39</v>
      </c>
      <c r="J4404">
        <v>69.39</v>
      </c>
      <c r="K4404" s="133">
        <v>1.4984620195268667E-4</v>
      </c>
      <c r="L4404" s="181">
        <v>0.66999999999998749</v>
      </c>
      <c r="M4404" s="133">
        <v>0</v>
      </c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</row>
    <row r="4405" spans="1:29" x14ac:dyDescent="0.25">
      <c r="A4405" s="136">
        <v>44148</v>
      </c>
      <c r="B4405" t="s">
        <v>913</v>
      </c>
      <c r="C4405" t="s">
        <v>914</v>
      </c>
      <c r="D4405">
        <v>10</v>
      </c>
      <c r="E4405">
        <v>0</v>
      </c>
      <c r="F4405">
        <v>100</v>
      </c>
      <c r="G4405">
        <v>0</v>
      </c>
      <c r="H4405">
        <v>0</v>
      </c>
      <c r="I4405">
        <v>1000</v>
      </c>
      <c r="J4405">
        <v>100</v>
      </c>
      <c r="K4405" s="133">
        <v>2.1594783391365711E-3</v>
      </c>
      <c r="L4405" s="181">
        <v>0</v>
      </c>
      <c r="M4405" s="133">
        <v>2.1594783391365711E-3</v>
      </c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</row>
    <row r="4406" spans="1:29" x14ac:dyDescent="0.25">
      <c r="A4406" s="136">
        <v>44148</v>
      </c>
      <c r="B4406" t="s">
        <v>65</v>
      </c>
      <c r="C4406" t="s">
        <v>127</v>
      </c>
      <c r="D4406">
        <v>27100</v>
      </c>
      <c r="E4406">
        <v>26700</v>
      </c>
      <c r="F4406">
        <v>8.1310000000000002</v>
      </c>
      <c r="G4406">
        <v>-33083.449999999997</v>
      </c>
      <c r="H4406">
        <v>-15.01</v>
      </c>
      <c r="I4406">
        <v>187261</v>
      </c>
      <c r="J4406">
        <v>6.91</v>
      </c>
      <c r="K4406" s="133">
        <v>0.40438607326505349</v>
      </c>
      <c r="L4406" s="181">
        <v>310.20000000000437</v>
      </c>
      <c r="M4406" s="133">
        <v>0.47582906692396126</v>
      </c>
      <c r="N4406"/>
      <c r="O4406"/>
      <c r="P4406" s="182">
        <v>2</v>
      </c>
      <c r="Q4406" s="182">
        <v>800</v>
      </c>
      <c r="R4406" s="46">
        <v>6.6849999999999996</v>
      </c>
      <c r="S4406" s="46">
        <v>1</v>
      </c>
      <c r="T4406" s="46">
        <v>400</v>
      </c>
      <c r="U4406" s="46">
        <v>7</v>
      </c>
      <c r="V4406" s="46" t="s">
        <v>62</v>
      </c>
      <c r="W4406" s="46">
        <v>400</v>
      </c>
      <c r="X4406" s="46">
        <v>6.37</v>
      </c>
      <c r="Y4406"/>
      <c r="Z4406"/>
      <c r="AA4406"/>
      <c r="AB4406"/>
      <c r="AC4406"/>
    </row>
    <row r="4407" spans="1:29" x14ac:dyDescent="0.25">
      <c r="A4407" s="136">
        <v>44148</v>
      </c>
      <c r="B4407" t="s">
        <v>77</v>
      </c>
      <c r="C4407" t="s">
        <v>150</v>
      </c>
      <c r="D4407">
        <v>7300</v>
      </c>
      <c r="E4407">
        <v>7300</v>
      </c>
      <c r="F4407">
        <v>4.8239999999999998</v>
      </c>
      <c r="G4407">
        <v>-15506.17</v>
      </c>
      <c r="H4407">
        <v>-44.03</v>
      </c>
      <c r="I4407">
        <v>19710</v>
      </c>
      <c r="J4407">
        <v>2.7</v>
      </c>
      <c r="K4407" s="133">
        <v>4.2563318064381822E-2</v>
      </c>
      <c r="L4407" s="181">
        <v>803</v>
      </c>
      <c r="M4407" s="133">
        <v>7.6048556302351147E-2</v>
      </c>
      <c r="N4407" s="73">
        <v>-14113.127999999982</v>
      </c>
      <c r="O4407" s="73">
        <v>-4596.7302148648596</v>
      </c>
      <c r="P4407" s="182">
        <v>6</v>
      </c>
      <c r="Q4407" s="182">
        <v>3500</v>
      </c>
      <c r="R4407" s="46">
        <v>3.7789999999999999</v>
      </c>
      <c r="S4407" s="46">
        <v>0</v>
      </c>
      <c r="T4407" s="46">
        <v>0</v>
      </c>
      <c r="U4407" s="46">
        <v>0</v>
      </c>
      <c r="V4407" s="46" t="s">
        <v>62</v>
      </c>
      <c r="W4407" s="46">
        <v>3500</v>
      </c>
      <c r="X4407" s="46">
        <v>3.7789999999999999</v>
      </c>
      <c r="Y4407"/>
      <c r="Z4407"/>
      <c r="AA4407"/>
      <c r="AB4407"/>
      <c r="AC4407"/>
    </row>
    <row r="4408" spans="1:29" x14ac:dyDescent="0.25">
      <c r="A4408" s="136">
        <v>44148</v>
      </c>
      <c r="B4408" t="s">
        <v>72</v>
      </c>
      <c r="C4408" t="s">
        <v>130</v>
      </c>
      <c r="D4408">
        <v>100</v>
      </c>
      <c r="E4408">
        <v>100</v>
      </c>
      <c r="F4408">
        <v>1.53</v>
      </c>
      <c r="G4408">
        <v>350</v>
      </c>
      <c r="H4408">
        <v>228.76</v>
      </c>
      <c r="I4408">
        <v>503</v>
      </c>
      <c r="J4408">
        <v>5.03</v>
      </c>
      <c r="K4408" s="133">
        <v>1.0862176045856953E-3</v>
      </c>
      <c r="L4408" s="181">
        <v>-16</v>
      </c>
      <c r="M4408" s="133">
        <v>3.3040018588789542E-4</v>
      </c>
      <c r="N4408" s="73">
        <v>-1498.9659999999872</v>
      </c>
      <c r="O4408" s="73">
        <v>376.42007904191922</v>
      </c>
      <c r="P4408" s="182">
        <v>0</v>
      </c>
      <c r="Q4408" s="182">
        <v>0</v>
      </c>
      <c r="R4408" s="46">
        <v>0</v>
      </c>
      <c r="S4408" s="46">
        <v>20</v>
      </c>
      <c r="T4408" s="46">
        <v>8600</v>
      </c>
      <c r="U4408" s="46">
        <v>7.3840000000000003</v>
      </c>
      <c r="V4408" s="46" t="s">
        <v>68</v>
      </c>
      <c r="W4408" s="46">
        <v>8600</v>
      </c>
      <c r="X4408" s="46">
        <v>7.3840000000000003</v>
      </c>
      <c r="Y4408"/>
      <c r="Z4408"/>
      <c r="AA4408"/>
      <c r="AB4408"/>
      <c r="AC4408"/>
    </row>
    <row r="4409" spans="1:29" x14ac:dyDescent="0.25">
      <c r="A4409" s="136">
        <v>44148</v>
      </c>
      <c r="B4409" t="s">
        <v>70</v>
      </c>
      <c r="C4409" t="s">
        <v>131</v>
      </c>
      <c r="D4409">
        <v>14980</v>
      </c>
      <c r="E4409">
        <v>14980</v>
      </c>
      <c r="F4409">
        <v>7.9889999999999999</v>
      </c>
      <c r="G4409">
        <v>-11074.06</v>
      </c>
      <c r="H4409">
        <v>-9.25</v>
      </c>
      <c r="I4409">
        <v>108605</v>
      </c>
      <c r="J4409">
        <v>7.25</v>
      </c>
      <c r="K4409" s="133">
        <v>0.23453014502192732</v>
      </c>
      <c r="L4409" s="181">
        <v>4246.5500000000011</v>
      </c>
      <c r="M4409" s="133">
        <v>0.25844433771822606</v>
      </c>
      <c r="N4409" s="73">
        <v>-13029.348999999987</v>
      </c>
      <c r="O4409" s="73">
        <v>-1829.0497648174139</v>
      </c>
      <c r="P4409" s="182">
        <v>0</v>
      </c>
      <c r="Q4409" s="182">
        <v>0</v>
      </c>
      <c r="R4409" s="46">
        <v>0</v>
      </c>
      <c r="S4409" s="46">
        <v>7</v>
      </c>
      <c r="T4409" s="46">
        <v>2800</v>
      </c>
      <c r="U4409" s="46">
        <v>7.7670000000000003</v>
      </c>
      <c r="V4409" s="46" t="s">
        <v>68</v>
      </c>
      <c r="W4409" s="46">
        <v>2800</v>
      </c>
      <c r="X4409" s="46">
        <v>7.7670000000000003</v>
      </c>
      <c r="Y4409"/>
      <c r="Z4409"/>
      <c r="AA4409"/>
      <c r="AB4409"/>
      <c r="AC4409"/>
    </row>
    <row r="4410" spans="1:29" x14ac:dyDescent="0.25">
      <c r="A4410" s="136">
        <v>44148</v>
      </c>
      <c r="B4410" t="s">
        <v>628</v>
      </c>
      <c r="C4410" t="s">
        <v>629</v>
      </c>
      <c r="D4410">
        <v>100</v>
      </c>
      <c r="E4410">
        <v>100</v>
      </c>
      <c r="F4410">
        <v>0.95</v>
      </c>
      <c r="G4410">
        <v>1315</v>
      </c>
      <c r="H4410">
        <v>1384.21</v>
      </c>
      <c r="I4410">
        <v>1410</v>
      </c>
      <c r="J4410">
        <v>14.1</v>
      </c>
      <c r="K4410" s="133">
        <v>3.0448644581825657E-3</v>
      </c>
      <c r="L4410" s="181">
        <v>-32</v>
      </c>
      <c r="M4410" s="133">
        <v>2.0515044221797426E-4</v>
      </c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</row>
    <row r="4411" spans="1:29" x14ac:dyDescent="0.25">
      <c r="A4411" s="136">
        <v>44148</v>
      </c>
      <c r="B4411" t="s">
        <v>768</v>
      </c>
      <c r="C4411" t="s">
        <v>769</v>
      </c>
      <c r="D4411">
        <v>500</v>
      </c>
      <c r="E4411">
        <v>500</v>
      </c>
      <c r="F4411">
        <v>2.4140000000000001</v>
      </c>
      <c r="G4411">
        <v>143</v>
      </c>
      <c r="H4411">
        <v>11.85</v>
      </c>
      <c r="I4411">
        <v>1350</v>
      </c>
      <c r="J4411">
        <v>2.7</v>
      </c>
      <c r="K4411" s="133">
        <v>2.9152957578343713E-3</v>
      </c>
      <c r="L4411" s="181">
        <v>-30</v>
      </c>
      <c r="M4411" s="133">
        <v>2.6064903553378416E-3</v>
      </c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</row>
    <row r="4412" spans="1:29" x14ac:dyDescent="0.25">
      <c r="A4412" s="136">
        <v>44148</v>
      </c>
      <c r="B4412" t="s">
        <v>917</v>
      </c>
      <c r="C4412" t="s">
        <v>918</v>
      </c>
      <c r="D4412">
        <v>10</v>
      </c>
      <c r="E4412">
        <v>10</v>
      </c>
      <c r="F4412">
        <v>100</v>
      </c>
      <c r="G4412">
        <v>0</v>
      </c>
      <c r="H4412">
        <v>0</v>
      </c>
      <c r="I4412">
        <v>1000</v>
      </c>
      <c r="J4412">
        <v>100</v>
      </c>
      <c r="K4412" s="133">
        <v>2.1594783391365711E-3</v>
      </c>
      <c r="L4412"/>
      <c r="M4412" s="133">
        <v>2.1594783391365711E-3</v>
      </c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</row>
    <row r="4413" spans="1:29" x14ac:dyDescent="0.25">
      <c r="A4413" s="136">
        <v>44148</v>
      </c>
      <c r="B4413" t="s">
        <v>137</v>
      </c>
      <c r="C4413" t="s">
        <v>149</v>
      </c>
      <c r="D4413">
        <v>150</v>
      </c>
      <c r="E4413">
        <v>150</v>
      </c>
      <c r="F4413">
        <v>1</v>
      </c>
      <c r="G4413">
        <v>5167.5</v>
      </c>
      <c r="H4413">
        <v>3445</v>
      </c>
      <c r="I4413">
        <v>5317.5</v>
      </c>
      <c r="J4413">
        <v>35.450000000000003</v>
      </c>
      <c r="K4413" s="133">
        <v>1.1483026068358718E-2</v>
      </c>
      <c r="L4413" s="181">
        <v>-202.5</v>
      </c>
      <c r="M4413" s="133">
        <v>3.2392175087048571E-4</v>
      </c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</row>
    <row r="4414" spans="1:29" x14ac:dyDescent="0.25">
      <c r="A4414" s="136">
        <v>44148</v>
      </c>
      <c r="B4414" t="s">
        <v>835</v>
      </c>
      <c r="C4414" t="s">
        <v>839</v>
      </c>
      <c r="I4414">
        <v>4142.88</v>
      </c>
      <c r="K4414" s="133">
        <v>8.9464596216421183E-3</v>
      </c>
      <c r="L4414" s="181">
        <v>0</v>
      </c>
      <c r="M4414" s="133">
        <v>1.0862176045856954E-5</v>
      </c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</row>
    <row r="4415" spans="1:29" x14ac:dyDescent="0.25">
      <c r="A4415" s="136">
        <v>44152</v>
      </c>
      <c r="B4415" t="s">
        <v>65</v>
      </c>
      <c r="C4415" t="s">
        <v>127</v>
      </c>
      <c r="D4415">
        <v>26300</v>
      </c>
      <c r="E4415">
        <v>26300</v>
      </c>
      <c r="F4415">
        <v>8.1649999999999991</v>
      </c>
      <c r="G4415">
        <v>-30114.07</v>
      </c>
      <c r="H4415">
        <v>-14.023</v>
      </c>
      <c r="I4415">
        <v>184626</v>
      </c>
      <c r="J4415">
        <v>7.02</v>
      </c>
      <c r="K4415" s="133">
        <v>0.39054686460838955</v>
      </c>
      <c r="L4415" s="181">
        <v>2969.3799999999974</v>
      </c>
      <c r="M4415" s="133">
        <v>0.454248378041479</v>
      </c>
      <c r="N4415"/>
      <c r="O4415"/>
      <c r="P4415" s="182">
        <v>0</v>
      </c>
      <c r="Q4415" s="182">
        <v>0</v>
      </c>
      <c r="R4415" s="46">
        <v>0</v>
      </c>
      <c r="S4415" s="46">
        <v>1</v>
      </c>
      <c r="T4415" s="46">
        <v>400</v>
      </c>
      <c r="U4415" s="46">
        <v>7.05</v>
      </c>
      <c r="V4415" s="46" t="s">
        <v>68</v>
      </c>
      <c r="W4415" s="46">
        <v>400</v>
      </c>
      <c r="X4415" s="46">
        <v>7.05</v>
      </c>
      <c r="Y4415"/>
      <c r="Z4415"/>
      <c r="AA4415"/>
      <c r="AB4415"/>
      <c r="AC4415"/>
    </row>
    <row r="4416" spans="1:29" x14ac:dyDescent="0.25">
      <c r="A4416" s="136">
        <v>44152</v>
      </c>
      <c r="B4416" t="s">
        <v>79</v>
      </c>
      <c r="C4416" t="s">
        <v>143</v>
      </c>
      <c r="D4416">
        <v>11200</v>
      </c>
      <c r="E4416">
        <v>11200</v>
      </c>
      <c r="F4416">
        <v>9.3230000000000004</v>
      </c>
      <c r="G4416">
        <v>-26239.06</v>
      </c>
      <c r="H4416">
        <v>-25.131</v>
      </c>
      <c r="I4416">
        <v>78176</v>
      </c>
      <c r="J4416">
        <v>6.98</v>
      </c>
      <c r="K4416" s="133">
        <v>0.16536886293168601</v>
      </c>
      <c r="L4416" s="181">
        <v>1408.1599999999999</v>
      </c>
      <c r="M4416" s="133">
        <v>0.22087341057541662</v>
      </c>
      <c r="N4416" s="73">
        <v>-25611.251400000547</v>
      </c>
      <c r="O4416" s="73">
        <v>-3636.1428656676912</v>
      </c>
      <c r="P4416" s="182">
        <v>8</v>
      </c>
      <c r="Q4416" s="182">
        <v>6420</v>
      </c>
      <c r="R4416" s="46">
        <v>3.9540000000000002</v>
      </c>
      <c r="S4416" s="46">
        <v>0</v>
      </c>
      <c r="T4416" s="46">
        <v>0</v>
      </c>
      <c r="U4416" s="46">
        <v>0</v>
      </c>
      <c r="V4416" s="46" t="s">
        <v>62</v>
      </c>
      <c r="W4416" s="46">
        <v>6420</v>
      </c>
      <c r="X4416" s="46">
        <v>3.9540000000000002</v>
      </c>
      <c r="Y4416"/>
      <c r="Z4416"/>
      <c r="AA4416"/>
      <c r="AB4416"/>
      <c r="AC4416"/>
    </row>
    <row r="4417" spans="1:60" x14ac:dyDescent="0.25">
      <c r="A4417" s="136">
        <v>44152</v>
      </c>
      <c r="B4417" t="s">
        <v>77</v>
      </c>
      <c r="C4417" t="s">
        <v>150</v>
      </c>
      <c r="D4417">
        <v>7300</v>
      </c>
      <c r="E4417">
        <v>7300</v>
      </c>
      <c r="F4417">
        <v>4.8239999999999998</v>
      </c>
      <c r="G4417">
        <v>-15214.17</v>
      </c>
      <c r="H4417">
        <v>-43.201000000000001</v>
      </c>
      <c r="I4417">
        <v>20002</v>
      </c>
      <c r="J4417">
        <v>2.74</v>
      </c>
      <c r="K4417" s="133">
        <v>4.2311041705377396E-2</v>
      </c>
      <c r="L4417" s="181">
        <v>292</v>
      </c>
      <c r="M4417" s="133">
        <v>7.4494192459437072E-2</v>
      </c>
      <c r="N4417" s="73">
        <v>-14113.127999999982</v>
      </c>
      <c r="O4417" s="73">
        <v>-4596.7302148648596</v>
      </c>
      <c r="P4417" s="182">
        <v>6</v>
      </c>
      <c r="Q4417" s="182">
        <v>3500</v>
      </c>
      <c r="R4417" s="46">
        <v>3.7789999999999999</v>
      </c>
      <c r="S4417" s="46">
        <v>0</v>
      </c>
      <c r="T4417" s="46">
        <v>0</v>
      </c>
      <c r="U4417" s="46">
        <v>0</v>
      </c>
      <c r="V4417" s="46" t="s">
        <v>62</v>
      </c>
      <c r="W4417" s="46">
        <v>3500</v>
      </c>
      <c r="X4417" s="46">
        <v>3.7789999999999999</v>
      </c>
      <c r="Y4417"/>
      <c r="Z4417"/>
      <c r="AA4417"/>
      <c r="AB4417"/>
      <c r="AC4417"/>
    </row>
    <row r="4418" spans="1:60" x14ac:dyDescent="0.25">
      <c r="A4418" s="136">
        <v>44152</v>
      </c>
      <c r="B4418" t="s">
        <v>70</v>
      </c>
      <c r="C4418" t="s">
        <v>131</v>
      </c>
      <c r="D4418">
        <v>14180</v>
      </c>
      <c r="E4418">
        <v>14180</v>
      </c>
      <c r="F4418">
        <v>8.0169999999999995</v>
      </c>
      <c r="G4418">
        <v>-6482.28</v>
      </c>
      <c r="H4418">
        <v>-5.7</v>
      </c>
      <c r="I4418">
        <v>107200.8</v>
      </c>
      <c r="J4418">
        <v>7.56</v>
      </c>
      <c r="K4418" s="133">
        <v>0.22676619936255482</v>
      </c>
      <c r="L4418" s="181">
        <v>4591.78</v>
      </c>
      <c r="M4418" s="133">
        <v>0.24047842911087669</v>
      </c>
      <c r="N4418" s="73">
        <v>-6064.7609999999841</v>
      </c>
      <c r="O4418" s="73">
        <v>-798.64672193675688</v>
      </c>
      <c r="P4418" s="182">
        <v>0</v>
      </c>
      <c r="Q4418" s="182">
        <v>0</v>
      </c>
      <c r="R4418" s="46">
        <v>0</v>
      </c>
      <c r="S4418" s="46">
        <v>9</v>
      </c>
      <c r="T4418" s="46">
        <v>3600</v>
      </c>
      <c r="U4418" s="46">
        <v>7.7110000000000003</v>
      </c>
      <c r="V4418" s="46" t="s">
        <v>68</v>
      </c>
      <c r="W4418" s="46">
        <v>3600</v>
      </c>
      <c r="X4418" s="46">
        <v>7.7110000000000003</v>
      </c>
      <c r="Y4418"/>
      <c r="Z4418"/>
      <c r="AA4418"/>
      <c r="AB4418"/>
      <c r="AC4418"/>
    </row>
    <row r="4419" spans="1:60" x14ac:dyDescent="0.25">
      <c r="A4419" s="136">
        <v>44152</v>
      </c>
      <c r="B4419" t="s">
        <v>61</v>
      </c>
      <c r="C4419" t="s">
        <v>136</v>
      </c>
      <c r="D4419">
        <v>5000</v>
      </c>
      <c r="E4419">
        <v>5000</v>
      </c>
      <c r="F4419">
        <v>4.07</v>
      </c>
      <c r="G4419">
        <v>-2848.26</v>
      </c>
      <c r="H4419">
        <v>-14.005000000000001</v>
      </c>
      <c r="I4419">
        <v>17500</v>
      </c>
      <c r="J4419">
        <v>3.5</v>
      </c>
      <c r="K4419" s="133">
        <v>3.7018459646240599E-2</v>
      </c>
      <c r="L4419" s="181">
        <v>300</v>
      </c>
      <c r="M4419" s="133">
        <v>4.3043499524640677E-2</v>
      </c>
      <c r="N4419" s="73">
        <v>-3048.9950000000026</v>
      </c>
      <c r="O4419" s="73">
        <v>-880.77182153179274</v>
      </c>
      <c r="P4419" s="182">
        <v>4</v>
      </c>
      <c r="Q4419" s="182">
        <v>2000</v>
      </c>
      <c r="R4419" s="46">
        <v>4.04</v>
      </c>
      <c r="S4419" s="46">
        <v>0</v>
      </c>
      <c r="T4419" s="46">
        <v>0</v>
      </c>
      <c r="U4419" s="46">
        <v>0</v>
      </c>
      <c r="V4419" s="46" t="s">
        <v>62</v>
      </c>
      <c r="W4419" s="46">
        <v>2000</v>
      </c>
      <c r="X4419" s="46">
        <v>4.04</v>
      </c>
      <c r="Y4419"/>
      <c r="Z4419"/>
      <c r="AA4419"/>
      <c r="AB4419"/>
      <c r="AC4419"/>
    </row>
    <row r="4420" spans="1:60" x14ac:dyDescent="0.25">
      <c r="A4420" s="136">
        <v>44152</v>
      </c>
      <c r="B4420" t="s">
        <v>913</v>
      </c>
      <c r="C4420" t="s">
        <v>914</v>
      </c>
      <c r="D4420">
        <v>10</v>
      </c>
      <c r="E4420">
        <v>0</v>
      </c>
      <c r="F4420">
        <v>100</v>
      </c>
      <c r="G4420">
        <v>0</v>
      </c>
      <c r="H4420">
        <v>0</v>
      </c>
      <c r="I4420">
        <v>1000</v>
      </c>
      <c r="J4420">
        <v>100</v>
      </c>
      <c r="K4420" s="133">
        <v>2.1153405512137485E-3</v>
      </c>
      <c r="L4420" s="181">
        <v>0</v>
      </c>
      <c r="M4420" s="133">
        <v>2.1153405512137485E-3</v>
      </c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</row>
    <row r="4421" spans="1:60" x14ac:dyDescent="0.25">
      <c r="A4421" s="136">
        <v>44152</v>
      </c>
      <c r="B4421" t="s">
        <v>917</v>
      </c>
      <c r="C4421" t="s">
        <v>918</v>
      </c>
      <c r="D4421">
        <v>10</v>
      </c>
      <c r="E4421">
        <v>10</v>
      </c>
      <c r="F4421">
        <v>100</v>
      </c>
      <c r="G4421">
        <v>0</v>
      </c>
      <c r="H4421">
        <v>0</v>
      </c>
      <c r="I4421">
        <v>1000</v>
      </c>
      <c r="J4421">
        <v>100</v>
      </c>
      <c r="K4421" s="133">
        <v>2.1153405512137485E-3</v>
      </c>
      <c r="L4421" s="181">
        <v>0</v>
      </c>
      <c r="M4421" s="133">
        <v>2.1153405512137485E-3</v>
      </c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</row>
    <row r="4422" spans="1:60" x14ac:dyDescent="0.25">
      <c r="A4422" s="136">
        <v>44152</v>
      </c>
      <c r="B4422" t="s">
        <v>768</v>
      </c>
      <c r="C4422" t="s">
        <v>769</v>
      </c>
      <c r="D4422">
        <v>500</v>
      </c>
      <c r="E4422">
        <v>500</v>
      </c>
      <c r="F4422">
        <v>2.4140000000000001</v>
      </c>
      <c r="G4422">
        <v>163</v>
      </c>
      <c r="H4422">
        <v>13.505000000000001</v>
      </c>
      <c r="I4422">
        <v>1370</v>
      </c>
      <c r="J4422">
        <v>2.74</v>
      </c>
      <c r="K4422" s="133">
        <v>2.8980165551628356E-3</v>
      </c>
      <c r="L4422" s="181">
        <v>20</v>
      </c>
      <c r="M4422" s="133">
        <v>2.5532160453149945E-3</v>
      </c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</row>
    <row r="4423" spans="1:60" x14ac:dyDescent="0.25">
      <c r="A4423" s="136">
        <v>44152</v>
      </c>
      <c r="B4423" t="s">
        <v>776</v>
      </c>
      <c r="C4423" t="s">
        <v>777</v>
      </c>
      <c r="D4423">
        <v>1</v>
      </c>
      <c r="E4423">
        <v>1</v>
      </c>
      <c r="F4423">
        <v>-137.5</v>
      </c>
      <c r="G4423">
        <v>207.43</v>
      </c>
      <c r="H4423">
        <v>0</v>
      </c>
      <c r="I4423">
        <v>69.930000000000007</v>
      </c>
      <c r="J4423">
        <v>69.930000000000007</v>
      </c>
      <c r="K4423" s="133">
        <v>1.4792576474637745E-4</v>
      </c>
      <c r="L4423" s="181">
        <v>0.54000000000002046</v>
      </c>
      <c r="M4423" s="133">
        <v>0</v>
      </c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</row>
    <row r="4424" spans="1:60" x14ac:dyDescent="0.25">
      <c r="A4424" s="136">
        <v>44152</v>
      </c>
      <c r="B4424" t="s">
        <v>749</v>
      </c>
      <c r="C4424" t="s">
        <v>750</v>
      </c>
      <c r="D4424">
        <v>500</v>
      </c>
      <c r="E4424">
        <v>500</v>
      </c>
      <c r="F4424">
        <v>5.65</v>
      </c>
      <c r="G4424">
        <v>255</v>
      </c>
      <c r="H4424">
        <v>9.0269999999999992</v>
      </c>
      <c r="I4424">
        <v>3080</v>
      </c>
      <c r="J4424">
        <v>6.16</v>
      </c>
      <c r="K4424" s="133">
        <v>6.5152488977383459E-3</v>
      </c>
      <c r="L4424" s="181">
        <v>35</v>
      </c>
      <c r="M4424" s="133">
        <v>5.9758370571788401E-3</v>
      </c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</row>
    <row r="4425" spans="1:60" x14ac:dyDescent="0.25">
      <c r="A4425" s="136">
        <v>44152</v>
      </c>
      <c r="B4425" t="s">
        <v>132</v>
      </c>
      <c r="C4425" t="s">
        <v>123</v>
      </c>
      <c r="D4425">
        <v>503</v>
      </c>
      <c r="E4425">
        <v>503</v>
      </c>
      <c r="F4425">
        <v>-0.59299999999999997</v>
      </c>
      <c r="G4425">
        <v>303.52999999999997</v>
      </c>
      <c r="H4425">
        <v>0</v>
      </c>
      <c r="I4425">
        <v>5.03</v>
      </c>
      <c r="J4425">
        <v>0.01</v>
      </c>
      <c r="K4425" s="133">
        <v>1.0640162972605156E-5</v>
      </c>
      <c r="L4425" s="181">
        <v>0</v>
      </c>
      <c r="M4425" s="133">
        <v>0</v>
      </c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</row>
    <row r="4426" spans="1:60" x14ac:dyDescent="0.25">
      <c r="A4426" s="136">
        <v>44152</v>
      </c>
      <c r="B4426" t="s">
        <v>72</v>
      </c>
      <c r="C4426" t="s">
        <v>130</v>
      </c>
      <c r="D4426">
        <v>100</v>
      </c>
      <c r="E4426">
        <v>100</v>
      </c>
      <c r="F4426">
        <v>1.53</v>
      </c>
      <c r="G4426">
        <v>345</v>
      </c>
      <c r="H4426">
        <v>225.49</v>
      </c>
      <c r="I4426">
        <v>498</v>
      </c>
      <c r="J4426">
        <v>4.9800000000000004</v>
      </c>
      <c r="K4426" s="133">
        <v>1.0534395945044467E-3</v>
      </c>
      <c r="L4426" s="181">
        <v>-5</v>
      </c>
      <c r="M4426" s="133">
        <v>3.2364710433570353E-4</v>
      </c>
      <c r="N4426" s="73">
        <v>-1498.9659999999872</v>
      </c>
      <c r="O4426" s="73">
        <v>376.42007904191922</v>
      </c>
      <c r="P4426" s="182">
        <v>0</v>
      </c>
      <c r="Q4426" s="182">
        <v>0</v>
      </c>
      <c r="R4426" s="46">
        <v>0</v>
      </c>
      <c r="S4426" s="46">
        <v>20</v>
      </c>
      <c r="T4426" s="46">
        <v>8600</v>
      </c>
      <c r="U4426" s="46">
        <v>7.3840000000000003</v>
      </c>
      <c r="V4426" s="46" t="s">
        <v>68</v>
      </c>
      <c r="W4426" s="46">
        <v>8600</v>
      </c>
      <c r="X4426" s="46">
        <v>7.3840000000000003</v>
      </c>
      <c r="Y4426"/>
      <c r="Z4426"/>
      <c r="AA4426"/>
      <c r="AB4426"/>
      <c r="AC4426"/>
    </row>
    <row r="4427" spans="1:60" x14ac:dyDescent="0.25">
      <c r="A4427" s="136">
        <v>44152</v>
      </c>
      <c r="B4427" t="s">
        <v>124</v>
      </c>
      <c r="C4427" t="s">
        <v>125</v>
      </c>
      <c r="D4427">
        <v>100</v>
      </c>
      <c r="E4427">
        <v>100</v>
      </c>
      <c r="F4427">
        <v>0.73699999999999999</v>
      </c>
      <c r="G4427">
        <v>426.28</v>
      </c>
      <c r="H4427">
        <v>578.42600000000004</v>
      </c>
      <c r="I4427">
        <v>500</v>
      </c>
      <c r="J4427">
        <v>5</v>
      </c>
      <c r="K4427" s="133">
        <v>1.0576702756068743E-3</v>
      </c>
      <c r="L4427" s="181">
        <v>4</v>
      </c>
      <c r="M4427" s="133">
        <v>1.559429054354776E-4</v>
      </c>
      <c r="N4427" s="73">
        <v>5623.0690000000113</v>
      </c>
      <c r="O4427" s="73">
        <v>1111.8087987827732</v>
      </c>
      <c r="P4427" s="182">
        <v>0</v>
      </c>
      <c r="Q4427" s="182">
        <v>0</v>
      </c>
      <c r="R4427" s="46">
        <v>0</v>
      </c>
      <c r="S4427" s="46">
        <v>5</v>
      </c>
      <c r="T4427" s="46">
        <v>2300</v>
      </c>
      <c r="U4427" s="46">
        <v>4.99</v>
      </c>
      <c r="V4427" s="46" t="s">
        <v>68</v>
      </c>
      <c r="W4427" s="46">
        <v>2300</v>
      </c>
      <c r="X4427" s="46">
        <v>4.99</v>
      </c>
      <c r="Y4427"/>
      <c r="Z4427"/>
      <c r="AA4427"/>
      <c r="AB4427"/>
      <c r="AC4427"/>
    </row>
    <row r="4428" spans="1:60" x14ac:dyDescent="0.25">
      <c r="A4428" s="136">
        <v>44152</v>
      </c>
      <c r="B4428" t="s">
        <v>628</v>
      </c>
      <c r="C4428" t="s">
        <v>629</v>
      </c>
      <c r="D4428">
        <v>100</v>
      </c>
      <c r="E4428">
        <v>100</v>
      </c>
      <c r="F4428">
        <v>0.95</v>
      </c>
      <c r="G4428">
        <v>1341</v>
      </c>
      <c r="H4428">
        <v>1411.579</v>
      </c>
      <c r="I4428">
        <v>1436</v>
      </c>
      <c r="J4428">
        <v>14.36</v>
      </c>
      <c r="K4428" s="133">
        <v>3.0376290315429428E-3</v>
      </c>
      <c r="L4428" s="181">
        <v>26</v>
      </c>
      <c r="M4428" s="133">
        <v>2.009573523653061E-4</v>
      </c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</row>
    <row r="4429" spans="1:60" x14ac:dyDescent="0.25">
      <c r="A4429" s="136">
        <v>44152</v>
      </c>
      <c r="B4429" t="s">
        <v>71</v>
      </c>
      <c r="C4429" t="s">
        <v>126</v>
      </c>
      <c r="D4429">
        <v>6800</v>
      </c>
      <c r="E4429">
        <v>6400</v>
      </c>
      <c r="F4429">
        <v>4.3840000000000003</v>
      </c>
      <c r="G4429">
        <v>4798.84</v>
      </c>
      <c r="H4429">
        <v>16.103999999999999</v>
      </c>
      <c r="I4429">
        <v>34612</v>
      </c>
      <c r="J4429">
        <v>5.09</v>
      </c>
      <c r="K4429" s="133">
        <v>7.3216167158610262E-2</v>
      </c>
      <c r="L4429" s="181">
        <v>194.96000000000004</v>
      </c>
      <c r="M4429" s="133">
        <v>6.3064986307823687E-2</v>
      </c>
      <c r="N4429" s="73">
        <v>4631.5399999999936</v>
      </c>
      <c r="O4429" s="73">
        <v>913.06197830374617</v>
      </c>
      <c r="P4429" s="182">
        <v>3</v>
      </c>
      <c r="Q4429" s="182">
        <v>2400</v>
      </c>
      <c r="R4429" s="46">
        <v>5.1470000000000002</v>
      </c>
      <c r="S4429" s="46">
        <v>0</v>
      </c>
      <c r="T4429" s="46">
        <v>0</v>
      </c>
      <c r="U4429" s="46">
        <v>0</v>
      </c>
      <c r="V4429" s="46" t="s">
        <v>62</v>
      </c>
      <c r="W4429" s="46">
        <v>2400</v>
      </c>
      <c r="X4429" s="46">
        <v>5.1470000000000002</v>
      </c>
      <c r="Y4429"/>
      <c r="Z4429"/>
      <c r="AA4429"/>
      <c r="AB4429"/>
      <c r="AC4429"/>
    </row>
    <row r="4430" spans="1:60" x14ac:dyDescent="0.25">
      <c r="A4430" s="136">
        <v>44152</v>
      </c>
      <c r="B4430" t="s">
        <v>137</v>
      </c>
      <c r="C4430" t="s">
        <v>149</v>
      </c>
      <c r="D4430">
        <v>150</v>
      </c>
      <c r="E4430">
        <v>150</v>
      </c>
      <c r="F4430">
        <v>1</v>
      </c>
      <c r="G4430">
        <v>5001</v>
      </c>
      <c r="H4430">
        <v>3334</v>
      </c>
      <c r="I4430">
        <v>5151</v>
      </c>
      <c r="J4430">
        <v>34.340000000000003</v>
      </c>
      <c r="K4430" s="133">
        <v>1.0896119179302019E-2</v>
      </c>
      <c r="L4430" s="181">
        <v>-166.5</v>
      </c>
      <c r="M4430" s="133">
        <v>3.1730108268206229E-4</v>
      </c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</row>
    <row r="4431" spans="1:60" x14ac:dyDescent="0.25">
      <c r="A4431" s="136">
        <v>44152</v>
      </c>
      <c r="B4431" t="s">
        <v>835</v>
      </c>
      <c r="C4431" t="s">
        <v>839</v>
      </c>
      <c r="I4431">
        <v>16510.36</v>
      </c>
      <c r="K4431" s="133">
        <v>3.492503402313743E-2</v>
      </c>
      <c r="L4431" s="181">
        <v>0</v>
      </c>
      <c r="M4431" s="133">
        <v>1.0640162972605156E-5</v>
      </c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</row>
    <row r="4432" spans="1:60" x14ac:dyDescent="0.25">
      <c r="A4432" s="136">
        <v>44154</v>
      </c>
      <c r="B4432" t="s">
        <v>132</v>
      </c>
      <c r="C4432" t="s">
        <v>123</v>
      </c>
      <c r="D4432">
        <v>503</v>
      </c>
      <c r="E4432">
        <v>503</v>
      </c>
      <c r="F4432">
        <v>-0.59299999999999997</v>
      </c>
      <c r="G4432">
        <v>303.52999999999997</v>
      </c>
      <c r="H4432">
        <v>0</v>
      </c>
      <c r="I4432">
        <v>5.03</v>
      </c>
      <c r="J4432">
        <v>0.01</v>
      </c>
      <c r="K4432" s="133">
        <v>1.063115429966468E-5</v>
      </c>
      <c r="L4432" s="181">
        <v>0</v>
      </c>
      <c r="M4432" s="133">
        <v>0</v>
      </c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  <c r="BA4432"/>
      <c r="BB4432"/>
      <c r="BC4432"/>
      <c r="BD4432"/>
      <c r="BE4432"/>
      <c r="BF4432"/>
      <c r="BG4432"/>
      <c r="BH4432"/>
    </row>
    <row r="4433" spans="1:64" x14ac:dyDescent="0.25">
      <c r="A4433" s="136">
        <v>44154</v>
      </c>
      <c r="B4433" t="s">
        <v>61</v>
      </c>
      <c r="C4433" t="s">
        <v>136</v>
      </c>
      <c r="D4433">
        <v>5000</v>
      </c>
      <c r="E4433">
        <v>5000</v>
      </c>
      <c r="F4433">
        <v>4.07</v>
      </c>
      <c r="G4433">
        <v>-2848.26</v>
      </c>
      <c r="H4433">
        <v>-14</v>
      </c>
      <c r="I4433">
        <v>17500</v>
      </c>
      <c r="J4433">
        <v>3.5</v>
      </c>
      <c r="K4433" s="133">
        <v>3.6987117344757826E-2</v>
      </c>
      <c r="L4433" s="181">
        <v>0</v>
      </c>
      <c r="M4433" s="133">
        <v>4.3007056021808113E-2</v>
      </c>
      <c r="N4433" s="73">
        <v>-3048.9950000000026</v>
      </c>
      <c r="O4433" s="73">
        <v>-880.77182153179274</v>
      </c>
      <c r="P4433" s="182">
        <v>4</v>
      </c>
      <c r="Q4433" s="182">
        <v>2000</v>
      </c>
      <c r="R4433" s="46">
        <v>4.04</v>
      </c>
      <c r="S4433" s="46">
        <v>0</v>
      </c>
      <c r="T4433" s="46">
        <v>0</v>
      </c>
      <c r="U4433" s="46">
        <v>0</v>
      </c>
      <c r="V4433" s="46" t="s">
        <v>62</v>
      </c>
      <c r="W4433" s="46">
        <v>2000</v>
      </c>
      <c r="X4433" s="46">
        <v>4.04</v>
      </c>
      <c r="Y4433"/>
      <c r="Z4433"/>
      <c r="AA4433"/>
      <c r="AB4433"/>
      <c r="AC4433"/>
      <c r="AD4433"/>
      <c r="AE4433"/>
      <c r="AF4433" s="46">
        <v>34</v>
      </c>
      <c r="AG4433" s="46">
        <v>16900</v>
      </c>
      <c r="AH4433" s="46">
        <v>76511.140000000029</v>
      </c>
      <c r="AI4433" s="46">
        <v>4.5270000000000001</v>
      </c>
      <c r="AJ4433" s="46">
        <v>32</v>
      </c>
      <c r="AK4433" s="46">
        <v>13900</v>
      </c>
      <c r="AL4433" s="46">
        <v>64263.344999999987</v>
      </c>
      <c r="AM4433" s="46">
        <v>4.6230000000000002</v>
      </c>
      <c r="AN4433" s="46" t="s">
        <v>63</v>
      </c>
      <c r="AO4433" s="46">
        <v>3000</v>
      </c>
      <c r="AP4433" s="46">
        <v>12247.795</v>
      </c>
      <c r="AQ4433" s="46">
        <v>4.0830000000000002</v>
      </c>
      <c r="AR4433" s="46">
        <v>1334.4</v>
      </c>
      <c r="AS4433" s="46">
        <v>38</v>
      </c>
      <c r="AT4433" s="46">
        <v>18900</v>
      </c>
      <c r="AU4433" s="46">
        <v>84612.34000000004</v>
      </c>
      <c r="AV4433" s="46">
        <v>4.4770000000000003</v>
      </c>
      <c r="AW4433" s="46">
        <v>32</v>
      </c>
      <c r="AX4433" s="46">
        <v>13900</v>
      </c>
      <c r="AY4433" s="46">
        <v>64263.344999999987</v>
      </c>
      <c r="AZ4433" s="46">
        <v>4.6230000000000002</v>
      </c>
      <c r="BA4433" s="46" t="s">
        <v>63</v>
      </c>
      <c r="BB4433" s="46">
        <v>5000</v>
      </c>
      <c r="BC4433" s="46">
        <v>20348.994999999999</v>
      </c>
      <c r="BD4433" s="46">
        <v>4.07</v>
      </c>
      <c r="BE4433" s="46">
        <v>2029.4</v>
      </c>
      <c r="BF4433" s="46">
        <v>8101.2000000000116</v>
      </c>
      <c r="BG4433" s="46">
        <v>4.05</v>
      </c>
      <c r="BH4433" s="46">
        <v>0</v>
      </c>
      <c r="BJ4433">
        <v>8101.1999999999989</v>
      </c>
      <c r="BK4433">
        <v>4.05</v>
      </c>
      <c r="BL4433">
        <v>381.26</v>
      </c>
    </row>
    <row r="4434" spans="1:64" x14ac:dyDescent="0.25">
      <c r="A4434" s="136">
        <v>44154</v>
      </c>
      <c r="B4434" t="s">
        <v>124</v>
      </c>
      <c r="C4434" t="s">
        <v>125</v>
      </c>
      <c r="D4434">
        <v>100</v>
      </c>
      <c r="E4434">
        <v>100</v>
      </c>
      <c r="F4434">
        <v>0.73699999999999999</v>
      </c>
      <c r="G4434">
        <v>430.28</v>
      </c>
      <c r="H4434">
        <v>583.83000000000004</v>
      </c>
      <c r="I4434">
        <v>504</v>
      </c>
      <c r="J4434">
        <v>5.04</v>
      </c>
      <c r="K4434" s="133">
        <v>1.0652289795290255E-3</v>
      </c>
      <c r="L4434" s="181">
        <v>4</v>
      </c>
      <c r="M4434" s="133">
        <v>1.5581087375174561E-4</v>
      </c>
      <c r="N4434" s="73">
        <v>5623.0690000000113</v>
      </c>
      <c r="O4434" s="73">
        <v>1111.8087987827732</v>
      </c>
      <c r="P4434" s="182">
        <v>0</v>
      </c>
      <c r="Q4434" s="182">
        <v>0</v>
      </c>
      <c r="R4434" s="46">
        <v>0</v>
      </c>
      <c r="S4434" s="46">
        <v>5</v>
      </c>
      <c r="T4434" s="46">
        <v>2300</v>
      </c>
      <c r="U4434" s="46">
        <v>4.99</v>
      </c>
      <c r="V4434" s="46" t="s">
        <v>68</v>
      </c>
      <c r="W4434" s="46">
        <v>2300</v>
      </c>
      <c r="X4434" s="46">
        <v>4.99</v>
      </c>
      <c r="Y4434"/>
      <c r="Z4434"/>
      <c r="AA4434"/>
      <c r="AB4434"/>
      <c r="AC4434"/>
      <c r="AD4434"/>
      <c r="AE4434"/>
      <c r="AF4434" s="46">
        <v>50</v>
      </c>
      <c r="AG4434" s="46">
        <v>36700</v>
      </c>
      <c r="AH4434" s="46">
        <v>180101.02000000002</v>
      </c>
      <c r="AI4434" s="46">
        <v>4.907</v>
      </c>
      <c r="AJ4434" s="46">
        <v>58</v>
      </c>
      <c r="AK4434" s="46">
        <v>35300</v>
      </c>
      <c r="AL4434" s="46">
        <v>178266.546</v>
      </c>
      <c r="AM4434" s="46">
        <v>5.05</v>
      </c>
      <c r="AN4434" s="46" t="s">
        <v>63</v>
      </c>
      <c r="AO4434" s="46">
        <v>1400</v>
      </c>
      <c r="AP4434" s="46">
        <v>1834.4739999999999</v>
      </c>
      <c r="AQ4434" s="46">
        <v>1.31</v>
      </c>
      <c r="AR4434" s="46">
        <v>5047.8999999999996</v>
      </c>
      <c r="AS4434" s="46">
        <v>51</v>
      </c>
      <c r="AT4434" s="46">
        <v>37700</v>
      </c>
      <c r="AU4434" s="46">
        <v>185106.62</v>
      </c>
      <c r="AV4434" s="46">
        <v>4.91</v>
      </c>
      <c r="AW4434" s="46">
        <v>63</v>
      </c>
      <c r="AX4434" s="46">
        <v>37600</v>
      </c>
      <c r="AY4434" s="46">
        <v>189763.68900000001</v>
      </c>
      <c r="AZ4434" s="46">
        <v>5.0469999999999997</v>
      </c>
      <c r="BA4434" s="46" t="s">
        <v>63</v>
      </c>
      <c r="BB4434" s="46">
        <v>100</v>
      </c>
      <c r="BC4434" s="46">
        <v>4657.0690000000004</v>
      </c>
      <c r="BD4434" s="46">
        <v>46.570999999999998</v>
      </c>
      <c r="BE4434" s="46">
        <v>5151.2</v>
      </c>
      <c r="BF4434" s="46">
        <v>5005.5999999999767</v>
      </c>
      <c r="BG4434"/>
      <c r="BH4434" s="46">
        <v>11497.143000000011</v>
      </c>
      <c r="BI4434">
        <v>5</v>
      </c>
      <c r="BJ4434">
        <v>2822.5950000000003</v>
      </c>
      <c r="BK4434">
        <v>1.23</v>
      </c>
      <c r="BL4434">
        <v>1001.57</v>
      </c>
    </row>
    <row r="4435" spans="1:64" x14ac:dyDescent="0.25">
      <c r="A4435" s="136">
        <v>44154</v>
      </c>
      <c r="B4435" t="s">
        <v>71</v>
      </c>
      <c r="C4435" t="s">
        <v>126</v>
      </c>
      <c r="D4435">
        <v>6400</v>
      </c>
      <c r="E4435">
        <v>6400</v>
      </c>
      <c r="F4435">
        <v>4.3360000000000003</v>
      </c>
      <c r="G4435">
        <v>5399.73</v>
      </c>
      <c r="H4435">
        <v>19.46</v>
      </c>
      <c r="I4435">
        <v>33152</v>
      </c>
      <c r="J4435">
        <v>5.18</v>
      </c>
      <c r="K4435" s="133">
        <v>7.0068395097909228E-2</v>
      </c>
      <c r="L4435" s="181">
        <v>600.88999999999942</v>
      </c>
      <c r="M4435" s="133">
        <v>5.8655798118480131E-2</v>
      </c>
      <c r="N4435" s="73">
        <v>-27788.768000000007</v>
      </c>
      <c r="O4435" s="73">
        <v>1025.4506545454533</v>
      </c>
      <c r="P4435" s="182">
        <v>2</v>
      </c>
      <c r="Q4435" s="182">
        <v>900</v>
      </c>
      <c r="R4435" s="46">
        <v>5.0919999999999996</v>
      </c>
      <c r="S4435" s="46">
        <v>0</v>
      </c>
      <c r="T4435" s="46">
        <v>0</v>
      </c>
      <c r="U4435" s="46">
        <v>0</v>
      </c>
      <c r="V4435" s="46" t="s">
        <v>62</v>
      </c>
      <c r="W4435" s="46">
        <v>900</v>
      </c>
      <c r="X4435" s="46">
        <v>5.0919999999999996</v>
      </c>
      <c r="Y4435"/>
      <c r="Z4435"/>
      <c r="AA4435"/>
      <c r="AB4435"/>
      <c r="AC4435"/>
      <c r="AD4435"/>
      <c r="AE4435"/>
      <c r="AF4435" s="46">
        <v>78</v>
      </c>
      <c r="AG4435" s="46">
        <v>42100</v>
      </c>
      <c r="AH4435" s="46">
        <v>252170.97999999978</v>
      </c>
      <c r="AI4435" s="46">
        <v>5.99</v>
      </c>
      <c r="AJ4435" s="46">
        <v>85</v>
      </c>
      <c r="AK4435" s="46">
        <v>36600</v>
      </c>
      <c r="AL4435" s="46">
        <v>228819.552</v>
      </c>
      <c r="AM4435" s="46">
        <v>6.2519999999999998</v>
      </c>
      <c r="AN4435" s="46" t="s">
        <v>63</v>
      </c>
      <c r="AO4435" s="46">
        <v>5500</v>
      </c>
      <c r="AP4435" s="46">
        <v>23351.428</v>
      </c>
      <c r="AQ4435" s="46">
        <v>4.2460000000000004</v>
      </c>
      <c r="AR4435" s="46">
        <v>9589.2000000000007</v>
      </c>
      <c r="AS4435" s="46">
        <v>80</v>
      </c>
      <c r="AT4435" s="46">
        <v>43000</v>
      </c>
      <c r="AU4435" s="46">
        <v>256764.51999999976</v>
      </c>
      <c r="AV4435" s="46">
        <v>5.9710000000000001</v>
      </c>
      <c r="AW4435" s="46">
        <v>85</v>
      </c>
      <c r="AX4435" s="46">
        <v>36600</v>
      </c>
      <c r="AY4435" s="46">
        <v>228819.552</v>
      </c>
      <c r="AZ4435" s="46">
        <v>6.2519999999999998</v>
      </c>
      <c r="BA4435" s="46" t="s">
        <v>63</v>
      </c>
      <c r="BB4435" s="46">
        <v>6400</v>
      </c>
      <c r="BC4435" s="46">
        <v>27944.968000000001</v>
      </c>
      <c r="BD4435" s="46">
        <v>4.3659999999999997</v>
      </c>
      <c r="BE4435" s="46">
        <v>10284.6</v>
      </c>
      <c r="BF4435" s="46">
        <v>4593.539999999979</v>
      </c>
      <c r="BG4435" s="46">
        <v>5.0999999999999996</v>
      </c>
      <c r="BH4435" s="46">
        <v>0</v>
      </c>
      <c r="BJ4435">
        <v>4593.5400000000009</v>
      </c>
      <c r="BK4435">
        <v>5.0999999999999996</v>
      </c>
      <c r="BL4435">
        <v>1851.2</v>
      </c>
    </row>
    <row r="4436" spans="1:64" x14ac:dyDescent="0.25">
      <c r="A4436" s="136">
        <v>44154</v>
      </c>
      <c r="B4436" t="s">
        <v>79</v>
      </c>
      <c r="C4436" t="s">
        <v>143</v>
      </c>
      <c r="D4436">
        <v>11200</v>
      </c>
      <c r="E4436">
        <v>11200</v>
      </c>
      <c r="F4436">
        <v>9.3230000000000004</v>
      </c>
      <c r="G4436">
        <v>-24671.06</v>
      </c>
      <c r="H4436">
        <v>-23.63</v>
      </c>
      <c r="I4436">
        <v>79744</v>
      </c>
      <c r="J4436">
        <v>7.12</v>
      </c>
      <c r="K4436" s="133">
        <v>0.16854289631659247</v>
      </c>
      <c r="L4436" s="181">
        <v>1568</v>
      </c>
      <c r="M4436" s="133">
        <v>0.22068640438742454</v>
      </c>
      <c r="N4436" s="73">
        <v>-25611.251400000547</v>
      </c>
      <c r="O4436" s="73">
        <v>-3636.1428656676912</v>
      </c>
      <c r="P4436" s="182">
        <v>8</v>
      </c>
      <c r="Q4436" s="182">
        <v>6420</v>
      </c>
      <c r="R4436" s="46">
        <v>3.9540000000000002</v>
      </c>
      <c r="S4436" s="46">
        <v>0</v>
      </c>
      <c r="T4436" s="46">
        <v>0</v>
      </c>
      <c r="U4436" s="46">
        <v>0</v>
      </c>
      <c r="V4436" s="46" t="s">
        <v>62</v>
      </c>
      <c r="W4436" s="46">
        <v>6420</v>
      </c>
      <c r="X4436" s="46">
        <v>3.9540000000000002</v>
      </c>
      <c r="Y4436"/>
      <c r="Z4436"/>
      <c r="AA4436"/>
      <c r="AB4436"/>
      <c r="AC4436"/>
      <c r="AD4436"/>
      <c r="AE4436"/>
      <c r="AF4436" s="46">
        <v>107</v>
      </c>
      <c r="AG4436" s="46">
        <v>51300</v>
      </c>
      <c r="AH4436" s="46">
        <v>512870.77999999904</v>
      </c>
      <c r="AI4436" s="46">
        <v>9.9969999999999999</v>
      </c>
      <c r="AJ4436" s="46">
        <v>109</v>
      </c>
      <c r="AK4436" s="46">
        <v>46520</v>
      </c>
      <c r="AL4436" s="46">
        <v>433842.38059999945</v>
      </c>
      <c r="AM4436" s="46">
        <v>9.3260000000000005</v>
      </c>
      <c r="AN4436" s="46" t="s">
        <v>63</v>
      </c>
      <c r="AO4436" s="46">
        <v>4780</v>
      </c>
      <c r="AP4436" s="46">
        <v>79028.399000000005</v>
      </c>
      <c r="AQ4436" s="46">
        <v>16.533000000000001</v>
      </c>
      <c r="AR4436" s="46">
        <v>-31214.92</v>
      </c>
      <c r="AS4436" s="46">
        <v>115</v>
      </c>
      <c r="AT4436" s="46">
        <v>57720</v>
      </c>
      <c r="AU4436" s="46">
        <v>538301.63199999905</v>
      </c>
      <c r="AV4436" s="46">
        <v>9.3260000000000005</v>
      </c>
      <c r="AW4436" s="46">
        <v>109</v>
      </c>
      <c r="AX4436" s="46">
        <v>46520</v>
      </c>
      <c r="AY4436" s="46">
        <v>433842.38059999945</v>
      </c>
      <c r="AZ4436" s="46">
        <v>9.3260000000000005</v>
      </c>
      <c r="BA4436" s="46" t="s">
        <v>63</v>
      </c>
      <c r="BB4436" s="46">
        <v>11200</v>
      </c>
      <c r="BC4436" s="46">
        <v>104459.251</v>
      </c>
      <c r="BD4436" s="46">
        <v>9.327</v>
      </c>
      <c r="BE4436" s="46">
        <v>0</v>
      </c>
      <c r="BF4436" s="46">
        <v>25430.852000000014</v>
      </c>
      <c r="BG4436" s="46">
        <v>3.96</v>
      </c>
      <c r="BH4436" s="46">
        <v>0</v>
      </c>
      <c r="BJ4436">
        <v>25430.851999999999</v>
      </c>
      <c r="BK4436">
        <v>3.96</v>
      </c>
      <c r="BL4436">
        <v>-4384.12</v>
      </c>
    </row>
    <row r="4437" spans="1:64" x14ac:dyDescent="0.25">
      <c r="A4437" s="136">
        <v>44154</v>
      </c>
      <c r="B4437" t="s">
        <v>749</v>
      </c>
      <c r="C4437" t="s">
        <v>750</v>
      </c>
      <c r="D4437">
        <v>500</v>
      </c>
      <c r="E4437">
        <v>500</v>
      </c>
      <c r="F4437">
        <v>5.65</v>
      </c>
      <c r="G4437">
        <v>250</v>
      </c>
      <c r="H4437">
        <v>8.85</v>
      </c>
      <c r="I4437">
        <v>3075</v>
      </c>
      <c r="J4437">
        <v>6.15</v>
      </c>
      <c r="K4437" s="133">
        <v>6.4991649048645895E-3</v>
      </c>
      <c r="L4437" s="181">
        <v>-5</v>
      </c>
      <c r="M4437" s="133">
        <v>5.970777514225192E-3</v>
      </c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  <c r="BA4437"/>
      <c r="BB4437"/>
      <c r="BC4437"/>
      <c r="BD4437"/>
      <c r="BE4437"/>
      <c r="BF4437"/>
      <c r="BG4437"/>
      <c r="BH4437"/>
    </row>
    <row r="4438" spans="1:64" x14ac:dyDescent="0.25">
      <c r="A4438" s="136">
        <v>44154</v>
      </c>
      <c r="B4438" t="s">
        <v>776</v>
      </c>
      <c r="C4438" t="s">
        <v>777</v>
      </c>
      <c r="D4438">
        <v>1</v>
      </c>
      <c r="E4438">
        <v>1</v>
      </c>
      <c r="F4438">
        <v>-137.5</v>
      </c>
      <c r="G4438">
        <v>207.2</v>
      </c>
      <c r="H4438">
        <v>0</v>
      </c>
      <c r="I4438">
        <v>69.7</v>
      </c>
      <c r="J4438">
        <v>69.7</v>
      </c>
      <c r="K4438" s="133">
        <v>1.4731440451026405E-4</v>
      </c>
      <c r="L4438" s="181">
        <v>-0.23000000000001819</v>
      </c>
      <c r="M4438" s="133">
        <v>0</v>
      </c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  <c r="BA4438"/>
      <c r="BB4438"/>
      <c r="BC4438"/>
      <c r="BD4438"/>
      <c r="BE4438"/>
      <c r="BF4438"/>
      <c r="BG4438"/>
      <c r="BH4438"/>
    </row>
    <row r="4439" spans="1:64" x14ac:dyDescent="0.25">
      <c r="A4439" s="136">
        <v>44154</v>
      </c>
      <c r="B4439" t="s">
        <v>913</v>
      </c>
      <c r="C4439" t="s">
        <v>914</v>
      </c>
      <c r="D4439">
        <v>10</v>
      </c>
      <c r="E4439">
        <v>0</v>
      </c>
      <c r="F4439">
        <v>100</v>
      </c>
      <c r="G4439">
        <v>0</v>
      </c>
      <c r="H4439">
        <v>0</v>
      </c>
      <c r="I4439">
        <v>1000</v>
      </c>
      <c r="J4439">
        <v>100</v>
      </c>
      <c r="K4439" s="133">
        <v>2.1135495625575901E-3</v>
      </c>
      <c r="L4439" s="181">
        <v>0</v>
      </c>
      <c r="M4439" s="133">
        <v>2.1135495625575901E-3</v>
      </c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  <c r="BA4439"/>
      <c r="BB4439"/>
      <c r="BC4439"/>
      <c r="BD4439"/>
      <c r="BE4439"/>
      <c r="BF4439"/>
      <c r="BG4439"/>
      <c r="BH4439"/>
    </row>
    <row r="4440" spans="1:64" x14ac:dyDescent="0.25">
      <c r="A4440" s="136">
        <v>44154</v>
      </c>
      <c r="B4440" t="s">
        <v>65</v>
      </c>
      <c r="C4440" t="s">
        <v>127</v>
      </c>
      <c r="D4440">
        <v>26300</v>
      </c>
      <c r="E4440">
        <v>26300</v>
      </c>
      <c r="F4440">
        <v>8.1649999999999991</v>
      </c>
      <c r="G4440">
        <v>-30640.07</v>
      </c>
      <c r="H4440">
        <v>-14.27</v>
      </c>
      <c r="I4440">
        <v>184100</v>
      </c>
      <c r="J4440">
        <v>7</v>
      </c>
      <c r="K4440" s="133">
        <v>0.38910447446685237</v>
      </c>
      <c r="L4440" s="181">
        <v>-526</v>
      </c>
      <c r="M4440" s="133">
        <v>0.4538637810120863</v>
      </c>
      <c r="N4440"/>
      <c r="O4440"/>
      <c r="P4440" s="182">
        <v>0</v>
      </c>
      <c r="Q4440" s="182">
        <v>0</v>
      </c>
      <c r="R4440" s="46">
        <v>0</v>
      </c>
      <c r="S4440" s="46">
        <v>1</v>
      </c>
      <c r="T4440" s="46">
        <v>400</v>
      </c>
      <c r="U4440" s="46">
        <v>7.05</v>
      </c>
      <c r="V4440" s="46" t="s">
        <v>68</v>
      </c>
      <c r="W4440" s="46">
        <v>400</v>
      </c>
      <c r="X4440" s="46">
        <v>7.05</v>
      </c>
      <c r="Y4440"/>
      <c r="Z4440"/>
      <c r="AA4440"/>
      <c r="AB4440"/>
      <c r="AC4440"/>
      <c r="AD4440"/>
      <c r="AE4440"/>
      <c r="AF4440" s="46">
        <v>320</v>
      </c>
      <c r="AG4440" s="46">
        <v>169200</v>
      </c>
      <c r="AH4440" s="46">
        <v>1667414.6810000001</v>
      </c>
      <c r="AI4440" s="46">
        <v>9.8550000000000004</v>
      </c>
      <c r="AJ4440" s="46">
        <v>350</v>
      </c>
      <c r="AK4440" s="46">
        <v>151800</v>
      </c>
      <c r="AL4440" s="46">
        <v>1433239.821</v>
      </c>
      <c r="AM4440" s="46">
        <v>9.4420000000000002</v>
      </c>
      <c r="AN4440" s="46" t="s">
        <v>63</v>
      </c>
      <c r="AO4440" s="46">
        <v>17400</v>
      </c>
      <c r="AP4440" s="46">
        <v>234174.86</v>
      </c>
      <c r="AQ4440" s="46">
        <v>13.458</v>
      </c>
      <c r="AR4440" s="46">
        <v>-62693.4</v>
      </c>
      <c r="AS4440" s="46">
        <v>324</v>
      </c>
      <c r="AT4440" s="46">
        <v>171000</v>
      </c>
      <c r="AU4440" s="46">
        <v>1679976.6810000001</v>
      </c>
      <c r="AV4440" s="46">
        <v>9.8239999999999998</v>
      </c>
      <c r="AW4440" s="46">
        <v>355</v>
      </c>
      <c r="AX4440" s="46">
        <v>153800</v>
      </c>
      <c r="AY4440" s="46">
        <v>1449110.9089999998</v>
      </c>
      <c r="AZ4440" s="46">
        <v>9.4220000000000006</v>
      </c>
      <c r="BA4440" s="46" t="s">
        <v>63</v>
      </c>
      <c r="BB4440" s="46">
        <v>17200</v>
      </c>
      <c r="BC4440" s="46">
        <v>230865.772</v>
      </c>
      <c r="BD4440" s="46">
        <v>13.422000000000001</v>
      </c>
      <c r="BE4440" s="46">
        <v>-61827.6</v>
      </c>
      <c r="BF4440" s="46">
        <v>12562</v>
      </c>
      <c r="BG4440"/>
      <c r="BH4440" s="46">
        <v>15871.087999999756</v>
      </c>
      <c r="BI4440">
        <v>39.68</v>
      </c>
      <c r="BJ4440">
        <v>-3309.0879999999888</v>
      </c>
      <c r="BK4440">
        <v>-8.27</v>
      </c>
      <c r="BL4440">
        <v>-8956.2000000000007</v>
      </c>
    </row>
    <row r="4441" spans="1:64" x14ac:dyDescent="0.25">
      <c r="A4441" s="136">
        <v>44154</v>
      </c>
      <c r="B4441" t="s">
        <v>77</v>
      </c>
      <c r="C4441" t="s">
        <v>150</v>
      </c>
      <c r="D4441">
        <v>6900</v>
      </c>
      <c r="E4441">
        <v>6900</v>
      </c>
      <c r="F4441">
        <v>4.944</v>
      </c>
      <c r="G4441">
        <v>-14656.28</v>
      </c>
      <c r="H4441">
        <v>-42.96</v>
      </c>
      <c r="I4441">
        <v>19458</v>
      </c>
      <c r="J4441">
        <v>2.82</v>
      </c>
      <c r="K4441" s="133">
        <v>4.1125447388245591E-2</v>
      </c>
      <c r="L4441" s="181">
        <v>557.88999999999942</v>
      </c>
      <c r="M4441" s="133">
        <v>7.2102221570967143E-2</v>
      </c>
      <c r="N4441" s="73">
        <v>-15506.235999999983</v>
      </c>
      <c r="O4441" s="73">
        <v>-5414.7050115523407</v>
      </c>
      <c r="P4441" s="182">
        <v>6</v>
      </c>
      <c r="Q4441" s="182">
        <v>3500</v>
      </c>
      <c r="R4441" s="46">
        <v>3.7789999999999999</v>
      </c>
      <c r="S4441" s="46">
        <v>1</v>
      </c>
      <c r="T4441" s="46">
        <v>400</v>
      </c>
      <c r="U4441" s="46">
        <v>2.77</v>
      </c>
      <c r="V4441" s="46" t="s">
        <v>62</v>
      </c>
      <c r="W4441" s="46">
        <v>3100</v>
      </c>
      <c r="X4441" s="46">
        <v>3.9089999999999998</v>
      </c>
      <c r="Y4441"/>
      <c r="Z4441"/>
      <c r="AA4441"/>
      <c r="AB4441"/>
      <c r="AC4441"/>
      <c r="AD4441"/>
      <c r="AE4441"/>
      <c r="AF4441" s="46">
        <v>72</v>
      </c>
      <c r="AG4441" s="46">
        <v>35400</v>
      </c>
      <c r="AH4441" s="46">
        <v>210838</v>
      </c>
      <c r="AI4441" s="46">
        <v>5.9560000000000004</v>
      </c>
      <c r="AJ4441" s="46">
        <v>71</v>
      </c>
      <c r="AK4441" s="46">
        <v>31600</v>
      </c>
      <c r="AL4441" s="46">
        <v>188583.87200000006</v>
      </c>
      <c r="AM4441" s="46">
        <v>5.968</v>
      </c>
      <c r="AN4441" s="46" t="s">
        <v>63</v>
      </c>
      <c r="AO4441" s="46">
        <v>3800</v>
      </c>
      <c r="AP4441" s="46">
        <v>22254.128000000001</v>
      </c>
      <c r="AQ4441" s="46">
        <v>5.8559999999999999</v>
      </c>
      <c r="AR4441" s="46">
        <v>379.2</v>
      </c>
      <c r="AS4441" s="46">
        <v>78</v>
      </c>
      <c r="AT4441" s="46">
        <v>38900</v>
      </c>
      <c r="AU4441" s="46">
        <v>223805</v>
      </c>
      <c r="AV4441" s="46">
        <v>5.7530000000000001</v>
      </c>
      <c r="AW4441" s="46">
        <v>72</v>
      </c>
      <c r="AX4441" s="46">
        <v>32000</v>
      </c>
      <c r="AY4441" s="46">
        <v>189685.76400000005</v>
      </c>
      <c r="AZ4441" s="46">
        <v>5.9279999999999999</v>
      </c>
      <c r="BA4441" s="46" t="s">
        <v>63</v>
      </c>
      <c r="BB4441" s="46">
        <v>6900</v>
      </c>
      <c r="BC4441" s="46">
        <v>34119.235999999997</v>
      </c>
      <c r="BD4441" s="46">
        <v>4.9450000000000003</v>
      </c>
      <c r="BE4441" s="46">
        <v>5600</v>
      </c>
      <c r="BF4441" s="46">
        <v>12967</v>
      </c>
      <c r="BG4441" s="46">
        <v>3.7</v>
      </c>
      <c r="BH4441" s="46">
        <v>1101.8919999999925</v>
      </c>
      <c r="BI4441">
        <v>2.75</v>
      </c>
      <c r="BJ4441">
        <v>11865.107999999997</v>
      </c>
      <c r="BK4441">
        <v>3.83</v>
      </c>
      <c r="BL4441">
        <v>134.47</v>
      </c>
    </row>
    <row r="4442" spans="1:64" x14ac:dyDescent="0.25">
      <c r="A4442" s="136">
        <v>44154</v>
      </c>
      <c r="B4442" t="s">
        <v>72</v>
      </c>
      <c r="C4442" t="s">
        <v>130</v>
      </c>
      <c r="D4442">
        <v>100</v>
      </c>
      <c r="E4442">
        <v>100</v>
      </c>
      <c r="F4442">
        <v>1.53</v>
      </c>
      <c r="G4442">
        <v>338</v>
      </c>
      <c r="H4442">
        <v>220.92</v>
      </c>
      <c r="I4442">
        <v>491</v>
      </c>
      <c r="J4442">
        <v>4.91</v>
      </c>
      <c r="K4442" s="133">
        <v>1.0377528352157768E-3</v>
      </c>
      <c r="L4442" s="181">
        <v>-7</v>
      </c>
      <c r="M4442" s="133">
        <v>3.2337308307131129E-4</v>
      </c>
      <c r="N4442" s="73">
        <v>-1498.9659999999872</v>
      </c>
      <c r="O4442" s="73">
        <v>376.42007904191922</v>
      </c>
      <c r="P4442" s="182">
        <v>0</v>
      </c>
      <c r="Q4442" s="182">
        <v>0</v>
      </c>
      <c r="R4442" s="46">
        <v>0</v>
      </c>
      <c r="S4442" s="46">
        <v>20</v>
      </c>
      <c r="T4442" s="46">
        <v>8600</v>
      </c>
      <c r="U4442" s="46">
        <v>7.3840000000000003</v>
      </c>
      <c r="V4442" s="46" t="s">
        <v>68</v>
      </c>
      <c r="W4442" s="46">
        <v>8600</v>
      </c>
      <c r="X4442" s="46">
        <v>7.3840000000000003</v>
      </c>
      <c r="Y4442"/>
      <c r="Z4442"/>
      <c r="AA4442"/>
      <c r="AB4442"/>
      <c r="AC4442"/>
      <c r="AD4442"/>
      <c r="AE4442"/>
      <c r="AF4442" s="46">
        <v>42</v>
      </c>
      <c r="AG4442" s="46">
        <v>20900</v>
      </c>
      <c r="AH4442" s="46">
        <v>152800</v>
      </c>
      <c r="AI4442" s="46">
        <v>7.3109999999999999</v>
      </c>
      <c r="AJ4442" s="46">
        <v>42</v>
      </c>
      <c r="AK4442" s="46">
        <v>18800</v>
      </c>
      <c r="AL4442" s="46">
        <v>92037.725000000035</v>
      </c>
      <c r="AM4442" s="46">
        <v>4.8959999999999999</v>
      </c>
      <c r="AN4442" s="46" t="s">
        <v>63</v>
      </c>
      <c r="AO4442" s="46">
        <v>2100</v>
      </c>
      <c r="AP4442" s="46">
        <v>60762.275000000001</v>
      </c>
      <c r="AQ4442" s="46">
        <v>28.934000000000001</v>
      </c>
      <c r="AR4442" s="46">
        <v>-45402</v>
      </c>
      <c r="AS4442" s="46">
        <v>42</v>
      </c>
      <c r="AT4442" s="46">
        <v>20900</v>
      </c>
      <c r="AU4442" s="46">
        <v>152800</v>
      </c>
      <c r="AV4442" s="46">
        <v>7.3109999999999999</v>
      </c>
      <c r="AW4442" s="46">
        <v>63</v>
      </c>
      <c r="AX4442" s="46">
        <v>27900</v>
      </c>
      <c r="AY4442" s="46">
        <v>155380.21900000001</v>
      </c>
      <c r="AZ4442" s="46">
        <v>5.569</v>
      </c>
      <c r="BA4442" s="46" t="s">
        <v>69</v>
      </c>
      <c r="BB4442" s="46">
        <v>7000</v>
      </c>
      <c r="BC4442" s="46">
        <v>2580.2190000000001</v>
      </c>
      <c r="BD4442" s="46">
        <v>0.36899999999999999</v>
      </c>
      <c r="BE4442" s="46">
        <v>-36407.800000000003</v>
      </c>
      <c r="BF4442" s="46">
        <v>0</v>
      </c>
      <c r="BG4442"/>
      <c r="BH4442" s="46">
        <v>63342.493999999977</v>
      </c>
      <c r="BI4442">
        <v>7.37</v>
      </c>
      <c r="BJ4442">
        <v>-58182.056000000004</v>
      </c>
      <c r="BK4442">
        <v>-6.77</v>
      </c>
      <c r="BL4442">
        <v>-9246.84</v>
      </c>
    </row>
    <row r="4443" spans="1:64" x14ac:dyDescent="0.25">
      <c r="A4443" s="136">
        <v>44154</v>
      </c>
      <c r="B4443" t="s">
        <v>70</v>
      </c>
      <c r="C4443" t="s">
        <v>131</v>
      </c>
      <c r="D4443">
        <v>14180</v>
      </c>
      <c r="E4443">
        <v>14180</v>
      </c>
      <c r="F4443">
        <v>8.0169999999999995</v>
      </c>
      <c r="G4443">
        <v>-8325.68</v>
      </c>
      <c r="H4443">
        <v>-7.32</v>
      </c>
      <c r="I4443">
        <v>105357.4</v>
      </c>
      <c r="J4443">
        <v>7.43</v>
      </c>
      <c r="K4443" s="133">
        <v>0.22267808668220504</v>
      </c>
      <c r="L4443" s="181">
        <v>-1843.4000000000005</v>
      </c>
      <c r="M4443" s="133">
        <v>0.2402748240041995</v>
      </c>
      <c r="N4443" s="73">
        <v>-6064.7609999999841</v>
      </c>
      <c r="O4443" s="73">
        <v>-798.64672193675688</v>
      </c>
      <c r="P4443" s="182">
        <v>0</v>
      </c>
      <c r="Q4443" s="182">
        <v>0</v>
      </c>
      <c r="R4443" s="46">
        <v>0</v>
      </c>
      <c r="S4443" s="46">
        <v>9</v>
      </c>
      <c r="T4443" s="46">
        <v>3600</v>
      </c>
      <c r="U4443" s="46">
        <v>7.7110000000000003</v>
      </c>
      <c r="V4443" s="46" t="s">
        <v>68</v>
      </c>
      <c r="W4443" s="46">
        <v>3600</v>
      </c>
      <c r="X4443" s="46">
        <v>7.7110000000000003</v>
      </c>
      <c r="Y4443"/>
      <c r="Z4443"/>
      <c r="AA4443"/>
      <c r="AB4443"/>
      <c r="AC4443"/>
      <c r="AD4443"/>
      <c r="AE4443"/>
      <c r="AF4443" s="46">
        <v>244</v>
      </c>
      <c r="AG4443" s="46">
        <v>122080</v>
      </c>
      <c r="AH4443" s="46">
        <v>1297917</v>
      </c>
      <c r="AI4443" s="46">
        <v>10.632</v>
      </c>
      <c r="AJ4443" s="46">
        <v>255</v>
      </c>
      <c r="AK4443" s="46">
        <v>104300</v>
      </c>
      <c r="AL4443" s="46">
        <v>1154363.7989999996</v>
      </c>
      <c r="AM4443" s="46">
        <v>11.068</v>
      </c>
      <c r="AN4443" s="46" t="s">
        <v>63</v>
      </c>
      <c r="AO4443" s="46">
        <v>17780</v>
      </c>
      <c r="AP4443" s="46">
        <v>143553.201</v>
      </c>
      <c r="AQ4443" s="46">
        <v>8.0739999999999998</v>
      </c>
      <c r="AR4443" s="46">
        <v>45474.8</v>
      </c>
      <c r="AS4443" s="46">
        <v>244</v>
      </c>
      <c r="AT4443" s="46">
        <v>122080</v>
      </c>
      <c r="AU4443" s="46">
        <v>1297917</v>
      </c>
      <c r="AV4443" s="46">
        <v>10.632</v>
      </c>
      <c r="AW4443" s="46">
        <v>265</v>
      </c>
      <c r="AX4443" s="46">
        <v>107900</v>
      </c>
      <c r="AY4443" s="46">
        <v>1182456.0389999996</v>
      </c>
      <c r="AZ4443" s="46">
        <v>10.959</v>
      </c>
      <c r="BA4443" s="46" t="s">
        <v>63</v>
      </c>
      <c r="BB4443" s="46">
        <v>14180</v>
      </c>
      <c r="BC4443" s="46">
        <v>115460.961</v>
      </c>
      <c r="BD4443" s="46">
        <v>8.1430000000000007</v>
      </c>
      <c r="BE4443" s="46">
        <v>35283.300000000003</v>
      </c>
      <c r="BF4443" s="46">
        <v>0</v>
      </c>
      <c r="BG4443"/>
      <c r="BH4443" s="46">
        <v>28092.239999999991</v>
      </c>
      <c r="BI4443">
        <v>7.8</v>
      </c>
      <c r="BJ4443">
        <v>-28092.240000000005</v>
      </c>
      <c r="BK4443">
        <v>-7.8</v>
      </c>
      <c r="BL4443">
        <v>6120.43</v>
      </c>
    </row>
    <row r="4444" spans="1:64" x14ac:dyDescent="0.25">
      <c r="A4444" s="136">
        <v>44154</v>
      </c>
      <c r="B4444" t="s">
        <v>628</v>
      </c>
      <c r="C4444" t="s">
        <v>629</v>
      </c>
      <c r="D4444">
        <v>100</v>
      </c>
      <c r="E4444">
        <v>100</v>
      </c>
      <c r="F4444">
        <v>0.95</v>
      </c>
      <c r="G4444">
        <v>1344</v>
      </c>
      <c r="H4444">
        <v>1414.74</v>
      </c>
      <c r="I4444">
        <v>1439</v>
      </c>
      <c r="J4444">
        <v>14.39</v>
      </c>
      <c r="K4444" s="133">
        <v>3.0413978205203721E-3</v>
      </c>
      <c r="L4444" s="181">
        <v>3</v>
      </c>
      <c r="M4444" s="133">
        <v>2.0078720844297107E-4</v>
      </c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  <c r="BA4444"/>
      <c r="BB4444"/>
      <c r="BC4444"/>
      <c r="BD4444"/>
      <c r="BE4444"/>
      <c r="BF4444"/>
      <c r="BG4444"/>
      <c r="BH4444"/>
    </row>
    <row r="4445" spans="1:64" x14ac:dyDescent="0.25">
      <c r="A4445" s="136">
        <v>44154</v>
      </c>
      <c r="B4445" t="s">
        <v>768</v>
      </c>
      <c r="C4445" t="s">
        <v>769</v>
      </c>
      <c r="D4445">
        <v>500</v>
      </c>
      <c r="E4445">
        <v>500</v>
      </c>
      <c r="F4445">
        <v>2.4140000000000001</v>
      </c>
      <c r="G4445">
        <v>168</v>
      </c>
      <c r="H4445">
        <v>13.92</v>
      </c>
      <c r="I4445">
        <v>1375</v>
      </c>
      <c r="J4445">
        <v>2.75</v>
      </c>
      <c r="K4445" s="133">
        <v>2.9061306485166864E-3</v>
      </c>
      <c r="L4445" s="181">
        <v>5</v>
      </c>
      <c r="M4445" s="133">
        <v>2.5510543220070114E-3</v>
      </c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  <c r="BA4445"/>
      <c r="BB4445"/>
      <c r="BC4445"/>
      <c r="BD4445"/>
      <c r="BE4445"/>
      <c r="BF4445"/>
      <c r="BG4445"/>
      <c r="BH4445"/>
    </row>
    <row r="4446" spans="1:64" x14ac:dyDescent="0.25">
      <c r="A4446" s="136">
        <v>44154</v>
      </c>
      <c r="B4446" t="s">
        <v>917</v>
      </c>
      <c r="C4446" t="s">
        <v>918</v>
      </c>
      <c r="D4446">
        <v>10</v>
      </c>
      <c r="E4446">
        <v>10</v>
      </c>
      <c r="F4446">
        <v>100</v>
      </c>
      <c r="G4446">
        <v>0</v>
      </c>
      <c r="H4446">
        <v>0</v>
      </c>
      <c r="I4446">
        <v>1000</v>
      </c>
      <c r="J4446">
        <v>100</v>
      </c>
      <c r="K4446" s="133">
        <v>2.1135495625575901E-3</v>
      </c>
      <c r="L4446" s="181">
        <v>0</v>
      </c>
      <c r="M4446" s="133">
        <v>2.1135495625575901E-3</v>
      </c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  <c r="BA4446"/>
      <c r="BB4446"/>
      <c r="BC4446"/>
      <c r="BD4446"/>
      <c r="BE4446"/>
      <c r="BF4446"/>
      <c r="BG4446"/>
      <c r="BH4446"/>
    </row>
    <row r="4447" spans="1:64" x14ac:dyDescent="0.25">
      <c r="A4447" s="136">
        <v>44154</v>
      </c>
      <c r="B4447" t="s">
        <v>137</v>
      </c>
      <c r="C4447" t="s">
        <v>149</v>
      </c>
      <c r="D4447">
        <v>150</v>
      </c>
      <c r="E4447">
        <v>150</v>
      </c>
      <c r="F4447">
        <v>1</v>
      </c>
      <c r="G4447">
        <v>5058</v>
      </c>
      <c r="H4447">
        <v>3372</v>
      </c>
      <c r="I4447">
        <v>5208</v>
      </c>
      <c r="J4447">
        <v>34.72</v>
      </c>
      <c r="K4447" s="133">
        <v>1.1007366121799929E-2</v>
      </c>
      <c r="L4447" s="181">
        <v>57</v>
      </c>
      <c r="M4447" s="133">
        <v>3.1703243438363851E-4</v>
      </c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  <c r="BA4447"/>
      <c r="BB4447"/>
      <c r="BC4447"/>
      <c r="BD4447"/>
      <c r="BE4447"/>
      <c r="BF4447"/>
      <c r="BG4447"/>
      <c r="BH4447"/>
    </row>
    <row r="4448" spans="1:64" x14ac:dyDescent="0.25">
      <c r="A4448" s="136">
        <v>44154</v>
      </c>
      <c r="B4448" t="s">
        <v>835</v>
      </c>
      <c r="C4448" t="s">
        <v>839</v>
      </c>
      <c r="I4448">
        <v>19659.580000000002</v>
      </c>
      <c r="K4448" s="133">
        <v>4.1551496709065952E-2</v>
      </c>
      <c r="L4448" s="181">
        <v>0</v>
      </c>
      <c r="M4448" s="133">
        <v>1.063115429966468E-5</v>
      </c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  <c r="BA4448"/>
      <c r="BB4448"/>
      <c r="BC4448"/>
      <c r="BD4448"/>
      <c r="BE4448"/>
      <c r="BF4448"/>
      <c r="BG4448"/>
      <c r="BH4448"/>
    </row>
    <row r="4449" spans="1:64" x14ac:dyDescent="0.25">
      <c r="A4449" s="136">
        <v>44158</v>
      </c>
      <c r="B4449" t="s">
        <v>132</v>
      </c>
      <c r="C4449" t="s">
        <v>123</v>
      </c>
      <c r="D4449">
        <v>503</v>
      </c>
      <c r="E4449">
        <v>503</v>
      </c>
      <c r="F4449">
        <v>-0.59299999999999997</v>
      </c>
      <c r="G4449">
        <v>303.52999999999997</v>
      </c>
      <c r="H4449">
        <v>0</v>
      </c>
      <c r="I4449">
        <v>5.03</v>
      </c>
      <c r="J4449">
        <v>0.01</v>
      </c>
      <c r="K4449" s="133">
        <v>1.0598085353692558E-5</v>
      </c>
      <c r="L4449" s="181">
        <v>0</v>
      </c>
      <c r="M4449" s="133">
        <v>0</v>
      </c>
    </row>
    <row r="4450" spans="1:64" x14ac:dyDescent="0.25">
      <c r="A4450" s="136">
        <v>44158</v>
      </c>
      <c r="B4450" t="s">
        <v>61</v>
      </c>
      <c r="C4450" t="s">
        <v>136</v>
      </c>
      <c r="D4450">
        <v>5000</v>
      </c>
      <c r="E4450">
        <v>5000</v>
      </c>
      <c r="F4450">
        <v>4.07</v>
      </c>
      <c r="G4450">
        <v>-2698.26</v>
      </c>
      <c r="H4450">
        <v>-13.26</v>
      </c>
      <c r="I4450">
        <v>17650</v>
      </c>
      <c r="J4450">
        <v>3.53</v>
      </c>
      <c r="K4450" s="133">
        <v>3.7188112622797941E-2</v>
      </c>
      <c r="L4450" s="181">
        <v>150</v>
      </c>
      <c r="M4450" s="133">
        <v>4.2873279578355489E-2</v>
      </c>
      <c r="N4450" s="73">
        <v>-3048.9950000000026</v>
      </c>
      <c r="O4450" s="73">
        <v>-880.77182153179274</v>
      </c>
      <c r="P4450" s="182">
        <v>3</v>
      </c>
      <c r="Q4450" s="182">
        <v>1500</v>
      </c>
      <c r="R4450" s="46">
        <v>4.2329999999999997</v>
      </c>
      <c r="S4450" s="46">
        <v>0</v>
      </c>
      <c r="T4450" s="46">
        <v>0</v>
      </c>
      <c r="U4450" s="46">
        <v>0</v>
      </c>
      <c r="V4450" s="46" t="s">
        <v>62</v>
      </c>
      <c r="W4450" s="46">
        <v>1500</v>
      </c>
      <c r="X4450" s="46">
        <v>4.2329999999999997</v>
      </c>
      <c r="AF4450" s="46">
        <v>34</v>
      </c>
      <c r="AG4450" s="46">
        <v>16900</v>
      </c>
      <c r="AH4450" s="46">
        <v>76511.140000000029</v>
      </c>
      <c r="AI4450" s="46">
        <v>4.5270000000000001</v>
      </c>
      <c r="AJ4450" s="46">
        <v>32</v>
      </c>
      <c r="AK4450" s="46">
        <v>13900</v>
      </c>
      <c r="AL4450" s="46">
        <v>64263.344999999987</v>
      </c>
      <c r="AM4450" s="46">
        <v>4.6230000000000002</v>
      </c>
      <c r="AN4450" s="46" t="s">
        <v>63</v>
      </c>
      <c r="AO4450" s="46">
        <v>3000</v>
      </c>
      <c r="AP4450" s="46">
        <v>12247.795</v>
      </c>
      <c r="AQ4450" s="46">
        <v>4.0830000000000002</v>
      </c>
      <c r="AR4450" s="46">
        <v>1334.4</v>
      </c>
      <c r="AS4450" s="46">
        <v>38</v>
      </c>
      <c r="AT4450" s="46">
        <v>18900</v>
      </c>
      <c r="AU4450" s="46">
        <v>84612.34000000004</v>
      </c>
      <c r="AV4450" s="46">
        <v>4.4770000000000003</v>
      </c>
      <c r="AW4450" s="46">
        <v>32</v>
      </c>
      <c r="AX4450" s="46">
        <v>13900</v>
      </c>
      <c r="AY4450" s="46">
        <v>64263.344999999987</v>
      </c>
      <c r="AZ4450" s="46">
        <v>4.6230000000000002</v>
      </c>
      <c r="BA4450" s="46" t="s">
        <v>63</v>
      </c>
      <c r="BB4450" s="46">
        <v>5000</v>
      </c>
      <c r="BC4450" s="46">
        <v>20348.994999999999</v>
      </c>
      <c r="BD4450" s="46">
        <v>4.07</v>
      </c>
      <c r="BE4450" s="46">
        <v>2029.4</v>
      </c>
      <c r="BF4450" s="46">
        <v>8101.2000000000116</v>
      </c>
      <c r="BG4450" s="46">
        <v>5.4</v>
      </c>
      <c r="BH4450" s="46">
        <v>0</v>
      </c>
      <c r="BJ4450">
        <v>8101.1999999999989</v>
      </c>
      <c r="BK4450">
        <v>5.4</v>
      </c>
      <c r="BL4450">
        <v>378.02</v>
      </c>
    </row>
    <row r="4451" spans="1:64" x14ac:dyDescent="0.25">
      <c r="A4451" s="136">
        <v>44158</v>
      </c>
      <c r="B4451" t="s">
        <v>124</v>
      </c>
      <c r="C4451" t="s">
        <v>125</v>
      </c>
      <c r="D4451">
        <v>100</v>
      </c>
      <c r="E4451">
        <v>100</v>
      </c>
      <c r="F4451">
        <v>0.73699999999999999</v>
      </c>
      <c r="G4451">
        <v>433.28</v>
      </c>
      <c r="H4451">
        <v>587.9</v>
      </c>
      <c r="I4451">
        <v>507</v>
      </c>
      <c r="J4451">
        <v>5.07</v>
      </c>
      <c r="K4451" s="133">
        <v>1.0682364362469435E-3</v>
      </c>
      <c r="L4451" s="181">
        <v>3</v>
      </c>
      <c r="M4451" s="133">
        <v>1.5532621317578839E-4</v>
      </c>
      <c r="N4451" s="73">
        <v>5623.0690000000113</v>
      </c>
      <c r="O4451" s="73">
        <v>1111.8087987827732</v>
      </c>
      <c r="P4451" s="182">
        <v>0</v>
      </c>
      <c r="Q4451" s="182">
        <v>0</v>
      </c>
      <c r="R4451" s="46">
        <v>0</v>
      </c>
      <c r="S4451" s="46">
        <v>5</v>
      </c>
      <c r="T4451" s="46">
        <v>2300</v>
      </c>
      <c r="U4451" s="46">
        <v>4.99</v>
      </c>
      <c r="V4451" s="46" t="s">
        <v>68</v>
      </c>
      <c r="W4451" s="46">
        <v>2300</v>
      </c>
      <c r="X4451" s="46">
        <v>4.99</v>
      </c>
      <c r="AF4451" s="46">
        <v>50</v>
      </c>
      <c r="AG4451" s="46">
        <v>36700</v>
      </c>
      <c r="AH4451" s="46">
        <v>180101.02000000002</v>
      </c>
      <c r="AI4451" s="46">
        <v>4.907</v>
      </c>
      <c r="AJ4451" s="46">
        <v>58</v>
      </c>
      <c r="AK4451" s="46">
        <v>35300</v>
      </c>
      <c r="AL4451" s="46">
        <v>178266.546</v>
      </c>
      <c r="AM4451" s="46">
        <v>5.05</v>
      </c>
      <c r="AN4451" s="46" t="s">
        <v>63</v>
      </c>
      <c r="AO4451" s="46">
        <v>1400</v>
      </c>
      <c r="AP4451" s="46">
        <v>1834.4739999999999</v>
      </c>
      <c r="AQ4451" s="46">
        <v>1.31</v>
      </c>
      <c r="AR4451" s="46">
        <v>5047.8999999999996</v>
      </c>
      <c r="AS4451" s="46">
        <v>51</v>
      </c>
      <c r="AT4451" s="46">
        <v>37700</v>
      </c>
      <c r="AU4451" s="46">
        <v>185106.62</v>
      </c>
      <c r="AV4451" s="46">
        <v>4.91</v>
      </c>
      <c r="AW4451" s="46">
        <v>63</v>
      </c>
      <c r="AX4451" s="46">
        <v>37600</v>
      </c>
      <c r="AY4451" s="46">
        <v>189763.68900000001</v>
      </c>
      <c r="AZ4451" s="46">
        <v>5.0469999999999997</v>
      </c>
      <c r="BA4451" s="46" t="s">
        <v>63</v>
      </c>
      <c r="BB4451" s="46">
        <v>100</v>
      </c>
      <c r="BC4451" s="46">
        <v>4657.0690000000004</v>
      </c>
      <c r="BD4451" s="46">
        <v>46.570999999999998</v>
      </c>
      <c r="BE4451" s="46">
        <v>5151.2</v>
      </c>
      <c r="BF4451" s="46">
        <v>5005.5999999999767</v>
      </c>
      <c r="BH4451" s="46">
        <v>11497.143000000011</v>
      </c>
      <c r="BI4451">
        <v>5</v>
      </c>
      <c r="BJ4451">
        <v>2822.5950000000003</v>
      </c>
      <c r="BK4451">
        <v>1.23</v>
      </c>
      <c r="BL4451">
        <v>995.64</v>
      </c>
    </row>
    <row r="4452" spans="1:64" x14ac:dyDescent="0.25">
      <c r="A4452" s="136">
        <v>44158</v>
      </c>
      <c r="B4452" t="s">
        <v>71</v>
      </c>
      <c r="C4452" t="s">
        <v>126</v>
      </c>
      <c r="D4452">
        <v>6400</v>
      </c>
      <c r="E4452">
        <v>6400</v>
      </c>
      <c r="F4452">
        <v>4.3360000000000003</v>
      </c>
      <c r="G4452">
        <v>5719.73</v>
      </c>
      <c r="H4452">
        <v>20.61</v>
      </c>
      <c r="I4452">
        <v>33472</v>
      </c>
      <c r="J4452">
        <v>5.23</v>
      </c>
      <c r="K4452" s="133">
        <v>7.0524674544492502E-2</v>
      </c>
      <c r="L4452" s="181">
        <v>320</v>
      </c>
      <c r="M4452" s="133">
        <v>5.8473345172708018E-2</v>
      </c>
      <c r="N4452" s="73">
        <v>5304.2319999999927</v>
      </c>
      <c r="O4452" s="73">
        <v>1025.4506545454533</v>
      </c>
      <c r="P4452" s="182">
        <v>1</v>
      </c>
      <c r="Q4452" s="182">
        <v>500</v>
      </c>
      <c r="R4452" s="46">
        <v>5.1100000000000003</v>
      </c>
      <c r="S4452" s="46">
        <v>0</v>
      </c>
      <c r="T4452" s="46">
        <v>0</v>
      </c>
      <c r="U4452" s="46">
        <v>0</v>
      </c>
      <c r="V4452" s="46" t="s">
        <v>62</v>
      </c>
      <c r="W4452" s="46">
        <v>500</v>
      </c>
      <c r="X4452" s="46">
        <v>5.1100000000000003</v>
      </c>
      <c r="AF4452" s="46">
        <v>78</v>
      </c>
      <c r="AG4452" s="46">
        <v>42100</v>
      </c>
      <c r="AH4452" s="46">
        <v>252170.97999999978</v>
      </c>
      <c r="AI4452" s="46">
        <v>5.99</v>
      </c>
      <c r="AJ4452" s="46">
        <v>85</v>
      </c>
      <c r="AK4452" s="46">
        <v>36600</v>
      </c>
      <c r="AL4452" s="46">
        <v>228819.552</v>
      </c>
      <c r="AM4452" s="46">
        <v>6.2519999999999998</v>
      </c>
      <c r="AN4452" s="46" t="s">
        <v>63</v>
      </c>
      <c r="AO4452" s="46">
        <v>5500</v>
      </c>
      <c r="AP4452" s="46">
        <v>23351.428</v>
      </c>
      <c r="AQ4452" s="46">
        <v>4.2460000000000004</v>
      </c>
      <c r="AR4452" s="46">
        <v>9589.2000000000007</v>
      </c>
      <c r="AS4452" s="46">
        <v>80</v>
      </c>
      <c r="AT4452" s="46">
        <v>43000</v>
      </c>
      <c r="AU4452" s="46">
        <v>256764.51999999976</v>
      </c>
      <c r="AV4452" s="46">
        <v>5.9710000000000001</v>
      </c>
      <c r="AW4452" s="46">
        <v>85</v>
      </c>
      <c r="AX4452" s="46">
        <v>36600</v>
      </c>
      <c r="AY4452" s="46">
        <v>228819.552</v>
      </c>
      <c r="AZ4452" s="46">
        <v>6.2519999999999998</v>
      </c>
      <c r="BA4452" s="46" t="s">
        <v>63</v>
      </c>
      <c r="BB4452" s="46">
        <v>6400</v>
      </c>
      <c r="BC4452" s="46">
        <v>27944.968000000001</v>
      </c>
      <c r="BD4452" s="46">
        <v>4.3659999999999997</v>
      </c>
      <c r="BE4452" s="46">
        <v>10284.6</v>
      </c>
      <c r="BF4452" s="46">
        <v>4593.539999999979</v>
      </c>
      <c r="BG4452" s="46">
        <v>9.19</v>
      </c>
      <c r="BH4452" s="46">
        <v>0</v>
      </c>
      <c r="BJ4452">
        <v>4593.5400000000009</v>
      </c>
      <c r="BK4452">
        <v>9.19</v>
      </c>
      <c r="BL4452">
        <v>1833.5</v>
      </c>
    </row>
    <row r="4453" spans="1:64" x14ac:dyDescent="0.25">
      <c r="A4453" s="136">
        <v>44158</v>
      </c>
      <c r="B4453" t="s">
        <v>79</v>
      </c>
      <c r="C4453" t="s">
        <v>143</v>
      </c>
      <c r="D4453">
        <v>11200</v>
      </c>
      <c r="E4453">
        <v>11200</v>
      </c>
      <c r="F4453">
        <v>9.3230000000000004</v>
      </c>
      <c r="G4453">
        <v>-26127.06</v>
      </c>
      <c r="H4453">
        <v>-25.02</v>
      </c>
      <c r="I4453">
        <v>78288</v>
      </c>
      <c r="J4453">
        <v>6.99</v>
      </c>
      <c r="K4453" s="133">
        <v>0.16495087597810792</v>
      </c>
      <c r="L4453" s="181">
        <v>-1456</v>
      </c>
      <c r="M4453" s="133">
        <v>0.21999994395445915</v>
      </c>
      <c r="N4453" s="73">
        <v>-25611.251400000547</v>
      </c>
      <c r="O4453" s="73">
        <v>-3636.1428656676912</v>
      </c>
      <c r="P4453" s="182">
        <v>7</v>
      </c>
      <c r="Q4453" s="182">
        <v>6020</v>
      </c>
      <c r="R4453" s="46">
        <v>3.762</v>
      </c>
      <c r="S4453" s="46">
        <v>0</v>
      </c>
      <c r="T4453" s="46">
        <v>0</v>
      </c>
      <c r="U4453" s="46">
        <v>0</v>
      </c>
      <c r="V4453" s="46" t="s">
        <v>62</v>
      </c>
      <c r="W4453" s="46">
        <v>6020</v>
      </c>
      <c r="X4453" s="46">
        <v>3.762</v>
      </c>
      <c r="AF4453" s="46">
        <v>107</v>
      </c>
      <c r="AG4453" s="46">
        <v>51300</v>
      </c>
      <c r="AH4453" s="46">
        <v>512870.77999999904</v>
      </c>
      <c r="AI4453" s="46">
        <v>9.9969999999999999</v>
      </c>
      <c r="AJ4453" s="46">
        <v>109</v>
      </c>
      <c r="AK4453" s="46">
        <v>46520</v>
      </c>
      <c r="AL4453" s="46">
        <v>433842.38059999945</v>
      </c>
      <c r="AM4453" s="46">
        <v>9.3260000000000005</v>
      </c>
      <c r="AN4453" s="46" t="s">
        <v>63</v>
      </c>
      <c r="AO4453" s="46">
        <v>4780</v>
      </c>
      <c r="AP4453" s="46">
        <v>79028.399000000005</v>
      </c>
      <c r="AQ4453" s="46">
        <v>16.533000000000001</v>
      </c>
      <c r="AR4453" s="46">
        <v>-31214.92</v>
      </c>
      <c r="AS4453" s="46">
        <v>115</v>
      </c>
      <c r="AT4453" s="46">
        <v>57720</v>
      </c>
      <c r="AU4453" s="46">
        <v>538301.63199999905</v>
      </c>
      <c r="AV4453" s="46">
        <v>9.3260000000000005</v>
      </c>
      <c r="AW4453" s="46">
        <v>109</v>
      </c>
      <c r="AX4453" s="46">
        <v>46520</v>
      </c>
      <c r="AY4453" s="46">
        <v>433842.38059999945</v>
      </c>
      <c r="AZ4453" s="46">
        <v>9.3260000000000005</v>
      </c>
      <c r="BA4453" s="46" t="s">
        <v>63</v>
      </c>
      <c r="BB4453" s="46">
        <v>11200</v>
      </c>
      <c r="BC4453" s="46">
        <v>104459.251</v>
      </c>
      <c r="BD4453" s="46">
        <v>9.327</v>
      </c>
      <c r="BE4453" s="46">
        <v>0</v>
      </c>
      <c r="BF4453" s="46">
        <v>25430.852000000014</v>
      </c>
      <c r="BG4453" s="46">
        <v>4.22</v>
      </c>
      <c r="BH4453" s="46">
        <v>0</v>
      </c>
      <c r="BJ4453">
        <v>25430.851999999999</v>
      </c>
      <c r="BK4453">
        <v>4.22</v>
      </c>
      <c r="BL4453">
        <v>-4465.6499999999996</v>
      </c>
    </row>
    <row r="4454" spans="1:64" x14ac:dyDescent="0.25">
      <c r="A4454" s="136">
        <v>44158</v>
      </c>
      <c r="B4454" t="s">
        <v>749</v>
      </c>
      <c r="C4454" t="s">
        <v>750</v>
      </c>
      <c r="D4454">
        <v>500</v>
      </c>
      <c r="E4454">
        <v>500</v>
      </c>
      <c r="F4454">
        <v>5.65</v>
      </c>
      <c r="G4454">
        <v>255</v>
      </c>
      <c r="H4454">
        <v>9.0299999999999994</v>
      </c>
      <c r="I4454">
        <v>3080</v>
      </c>
      <c r="J4454">
        <v>6.16</v>
      </c>
      <c r="K4454" s="133">
        <v>6.489483675819697E-3</v>
      </c>
      <c r="L4454" s="181">
        <v>5</v>
      </c>
      <c r="M4454" s="133">
        <v>5.9522049948670924E-3</v>
      </c>
    </row>
    <row r="4455" spans="1:64" x14ac:dyDescent="0.25">
      <c r="A4455" s="136">
        <v>44158</v>
      </c>
      <c r="B4455" t="s">
        <v>776</v>
      </c>
      <c r="C4455" t="s">
        <v>777</v>
      </c>
      <c r="D4455">
        <v>1</v>
      </c>
      <c r="E4455">
        <v>1</v>
      </c>
      <c r="F4455">
        <v>-137.5</v>
      </c>
      <c r="G4455">
        <v>207.03</v>
      </c>
      <c r="H4455">
        <v>0</v>
      </c>
      <c r="I4455">
        <v>69.53</v>
      </c>
      <c r="J4455">
        <v>69.53</v>
      </c>
      <c r="K4455" s="133">
        <v>1.4649798700641024E-4</v>
      </c>
      <c r="L4455" s="181">
        <v>-0.16999999999998749</v>
      </c>
      <c r="M4455" s="133">
        <v>0</v>
      </c>
    </row>
    <row r="4456" spans="1:64" x14ac:dyDescent="0.25">
      <c r="A4456" s="136">
        <v>44158</v>
      </c>
      <c r="B4456" t="s">
        <v>913</v>
      </c>
      <c r="C4456" t="s">
        <v>914</v>
      </c>
      <c r="D4456">
        <v>10</v>
      </c>
      <c r="E4456">
        <v>0</v>
      </c>
      <c r="F4456">
        <v>100</v>
      </c>
      <c r="G4456">
        <v>0</v>
      </c>
      <c r="H4456">
        <v>0</v>
      </c>
      <c r="I4456">
        <v>1000</v>
      </c>
      <c r="J4456">
        <v>100</v>
      </c>
      <c r="K4456" s="133">
        <v>2.1069752194219794E-3</v>
      </c>
      <c r="L4456" s="181">
        <v>0</v>
      </c>
      <c r="M4456" s="133">
        <v>2.1069752194219794E-3</v>
      </c>
    </row>
    <row r="4457" spans="1:64" x14ac:dyDescent="0.25">
      <c r="A4457" s="136">
        <v>44158</v>
      </c>
      <c r="B4457" t="s">
        <v>65</v>
      </c>
      <c r="C4457" t="s">
        <v>82</v>
      </c>
      <c r="D4457">
        <v>26300</v>
      </c>
      <c r="E4457">
        <v>26300</v>
      </c>
      <c r="F4457">
        <v>8.1649999999999991</v>
      </c>
      <c r="G4457">
        <v>-30640.07</v>
      </c>
      <c r="H4457">
        <v>-14.27</v>
      </c>
      <c r="I4457">
        <v>184100</v>
      </c>
      <c r="J4457">
        <v>7</v>
      </c>
      <c r="K4457" s="133">
        <v>0.38789413789558641</v>
      </c>
      <c r="L4457" s="181">
        <v>0</v>
      </c>
      <c r="M4457" s="133">
        <v>0.45245200610694125</v>
      </c>
      <c r="N4457" s="73">
        <v>-33595.00600000011</v>
      </c>
      <c r="O4457" s="73">
        <v>-4155.8575565603196</v>
      </c>
      <c r="P4457" s="182">
        <v>0</v>
      </c>
      <c r="Q4457" s="182">
        <v>0</v>
      </c>
      <c r="R4457" s="46">
        <v>0</v>
      </c>
      <c r="S4457" s="46">
        <v>1</v>
      </c>
      <c r="T4457" s="46">
        <v>400</v>
      </c>
      <c r="U4457" s="46">
        <v>6.86</v>
      </c>
      <c r="V4457" s="46" t="s">
        <v>68</v>
      </c>
      <c r="W4457" s="46">
        <v>400</v>
      </c>
      <c r="X4457" s="46">
        <v>6.86</v>
      </c>
      <c r="AF4457" s="46">
        <v>320</v>
      </c>
      <c r="AG4457" s="46">
        <v>169200</v>
      </c>
      <c r="AH4457" s="46">
        <v>1667414.6810000001</v>
      </c>
      <c r="AI4457" s="46">
        <v>9.8550000000000004</v>
      </c>
      <c r="AJ4457" s="46">
        <v>350</v>
      </c>
      <c r="AK4457" s="46">
        <v>151800</v>
      </c>
      <c r="AL4457" s="46">
        <v>1433315.7449999999</v>
      </c>
      <c r="AM4457" s="46">
        <v>9.4420000000000002</v>
      </c>
      <c r="AN4457" s="46" t="s">
        <v>63</v>
      </c>
      <c r="AO4457" s="46">
        <v>17400</v>
      </c>
      <c r="AP4457" s="46">
        <v>234098.93599999999</v>
      </c>
      <c r="AQ4457" s="46">
        <v>13.454000000000001</v>
      </c>
      <c r="AR4457" s="46">
        <v>-62693.4</v>
      </c>
      <c r="AS4457" s="46">
        <v>324</v>
      </c>
      <c r="AT4457" s="46">
        <v>171000</v>
      </c>
      <c r="AU4457" s="46">
        <v>1679976.6810000001</v>
      </c>
      <c r="AV4457" s="46">
        <v>9.8239999999999998</v>
      </c>
      <c r="AW4457" s="46">
        <v>355</v>
      </c>
      <c r="AX4457" s="46">
        <v>153800</v>
      </c>
      <c r="AY4457" s="46">
        <v>1449110.9089999998</v>
      </c>
      <c r="AZ4457" s="46">
        <v>9.4220000000000006</v>
      </c>
      <c r="BA4457" s="46" t="s">
        <v>63</v>
      </c>
      <c r="BB4457" s="46">
        <v>17200</v>
      </c>
      <c r="BC4457" s="46">
        <v>230865.772</v>
      </c>
      <c r="BD4457" s="46">
        <v>13.422000000000001</v>
      </c>
      <c r="BE4457" s="46">
        <v>-61827.6</v>
      </c>
      <c r="BF4457" s="46">
        <v>12562</v>
      </c>
      <c r="BH4457" s="46">
        <v>15795.163999999873</v>
      </c>
      <c r="BI4457">
        <v>39.49</v>
      </c>
      <c r="BJ4457">
        <v>-3233.1639999999898</v>
      </c>
      <c r="BK4457">
        <v>-8.08</v>
      </c>
      <c r="BL4457">
        <v>-8956.2000000000007</v>
      </c>
    </row>
    <row r="4458" spans="1:64" x14ac:dyDescent="0.25">
      <c r="A4458" s="136">
        <v>44158</v>
      </c>
      <c r="B4458" t="s">
        <v>77</v>
      </c>
      <c r="C4458" t="s">
        <v>150</v>
      </c>
      <c r="D4458">
        <v>6500</v>
      </c>
      <c r="E4458">
        <v>6500</v>
      </c>
      <c r="F4458">
        <v>5.0750000000000002</v>
      </c>
      <c r="G4458">
        <v>-14914.42</v>
      </c>
      <c r="H4458">
        <v>-45.21</v>
      </c>
      <c r="I4458">
        <v>18070</v>
      </c>
      <c r="J4458">
        <v>2.78</v>
      </c>
      <c r="K4458" s="133">
        <v>3.8073042214955166E-2</v>
      </c>
      <c r="L4458" s="181">
        <v>-258.13999999999942</v>
      </c>
      <c r="M4458" s="133">
        <v>6.949735556700673E-2</v>
      </c>
      <c r="N4458" s="73">
        <v>-15029.371999999981</v>
      </c>
      <c r="O4458" s="73">
        <v>-5113.418068309853</v>
      </c>
      <c r="P4458" s="182">
        <v>6</v>
      </c>
      <c r="Q4458" s="182">
        <v>3500</v>
      </c>
      <c r="R4458" s="46">
        <v>3.7789999999999999</v>
      </c>
      <c r="S4458" s="46">
        <v>1</v>
      </c>
      <c r="T4458" s="46">
        <v>400</v>
      </c>
      <c r="U4458" s="46">
        <v>2.77</v>
      </c>
      <c r="V4458" s="46" t="s">
        <v>62</v>
      </c>
      <c r="W4458" s="46">
        <v>3100</v>
      </c>
      <c r="X4458" s="46">
        <v>3.9089999999999998</v>
      </c>
      <c r="AF4458" s="46">
        <v>72</v>
      </c>
      <c r="AG4458" s="46">
        <v>35400</v>
      </c>
      <c r="AH4458" s="46">
        <v>210838</v>
      </c>
      <c r="AI4458" s="46">
        <v>5.9560000000000004</v>
      </c>
      <c r="AJ4458" s="46">
        <v>71</v>
      </c>
      <c r="AK4458" s="46">
        <v>31600</v>
      </c>
      <c r="AL4458" s="46">
        <v>188583.87200000006</v>
      </c>
      <c r="AM4458" s="46">
        <v>5.968</v>
      </c>
      <c r="AN4458" s="46" t="s">
        <v>63</v>
      </c>
      <c r="AO4458" s="46">
        <v>3800</v>
      </c>
      <c r="AP4458" s="46">
        <v>22254.128000000001</v>
      </c>
      <c r="AQ4458" s="46">
        <v>5.8559999999999999</v>
      </c>
      <c r="AR4458" s="46">
        <v>379.2</v>
      </c>
      <c r="AS4458" s="46">
        <v>78</v>
      </c>
      <c r="AT4458" s="46">
        <v>38900</v>
      </c>
      <c r="AU4458" s="46">
        <v>223805</v>
      </c>
      <c r="AV4458" s="46">
        <v>5.7530000000000001</v>
      </c>
      <c r="AW4458" s="46">
        <v>73</v>
      </c>
      <c r="AX4458" s="46">
        <v>32400</v>
      </c>
      <c r="AY4458" s="46">
        <v>190815.62800000006</v>
      </c>
      <c r="AZ4458" s="46">
        <v>5.8890000000000002</v>
      </c>
      <c r="BA4458" s="46" t="s">
        <v>63</v>
      </c>
      <c r="BB4458" s="46">
        <v>6500</v>
      </c>
      <c r="BC4458" s="46">
        <v>32989.372000000003</v>
      </c>
      <c r="BD4458" s="46">
        <v>5.0750000000000002</v>
      </c>
      <c r="BE4458" s="46">
        <v>4406.3999999999996</v>
      </c>
      <c r="BF4458" s="46">
        <v>12967</v>
      </c>
      <c r="BG4458" s="46">
        <v>3.7</v>
      </c>
      <c r="BH4458" s="46">
        <v>2231.7559999999939</v>
      </c>
      <c r="BI4458">
        <v>5.58</v>
      </c>
      <c r="BJ4458">
        <v>10735.244000000002</v>
      </c>
      <c r="BK4458">
        <v>3.46</v>
      </c>
      <c r="BL4458">
        <v>136.4</v>
      </c>
    </row>
    <row r="4459" spans="1:64" x14ac:dyDescent="0.25">
      <c r="A4459" s="136">
        <v>44158</v>
      </c>
      <c r="B4459" t="s">
        <v>72</v>
      </c>
      <c r="C4459" t="s">
        <v>130</v>
      </c>
      <c r="D4459">
        <v>100</v>
      </c>
      <c r="E4459">
        <v>100</v>
      </c>
      <c r="F4459">
        <v>1.53</v>
      </c>
      <c r="G4459">
        <v>338</v>
      </c>
      <c r="H4459">
        <v>220.92</v>
      </c>
      <c r="I4459">
        <v>491</v>
      </c>
      <c r="J4459">
        <v>4.91</v>
      </c>
      <c r="K4459" s="133">
        <v>1.0345248327361918E-3</v>
      </c>
      <c r="L4459" s="181">
        <v>0</v>
      </c>
      <c r="M4459" s="133">
        <v>3.2236720857156285E-4</v>
      </c>
      <c r="N4459" s="73">
        <v>-1498.9659999999872</v>
      </c>
      <c r="O4459" s="73">
        <v>376.42007904191922</v>
      </c>
      <c r="P4459" s="182">
        <v>0</v>
      </c>
      <c r="Q4459" s="182">
        <v>0</v>
      </c>
      <c r="R4459" s="46">
        <v>0</v>
      </c>
      <c r="S4459" s="46">
        <v>20</v>
      </c>
      <c r="T4459" s="46">
        <v>8600</v>
      </c>
      <c r="U4459" s="46">
        <v>7.3840000000000003</v>
      </c>
      <c r="V4459" s="46" t="s">
        <v>68</v>
      </c>
      <c r="W4459" s="46">
        <v>8600</v>
      </c>
      <c r="X4459" s="46">
        <v>7.3840000000000003</v>
      </c>
      <c r="AF4459" s="46">
        <v>42</v>
      </c>
      <c r="AG4459" s="46">
        <v>20900</v>
      </c>
      <c r="AH4459" s="46">
        <v>152800</v>
      </c>
      <c r="AI4459" s="46">
        <v>7.3109999999999999</v>
      </c>
      <c r="AJ4459" s="46">
        <v>42</v>
      </c>
      <c r="AK4459" s="46">
        <v>18800</v>
      </c>
      <c r="AL4459" s="46">
        <v>92037.725000000035</v>
      </c>
      <c r="AM4459" s="46">
        <v>4.8959999999999999</v>
      </c>
      <c r="AN4459" s="46" t="s">
        <v>63</v>
      </c>
      <c r="AO4459" s="46">
        <v>2100</v>
      </c>
      <c r="AP4459" s="46">
        <v>60762.275000000001</v>
      </c>
      <c r="AQ4459" s="46">
        <v>28.934000000000001</v>
      </c>
      <c r="AR4459" s="46">
        <v>-45402</v>
      </c>
      <c r="AS4459" s="46">
        <v>42</v>
      </c>
      <c r="AT4459" s="46">
        <v>20900</v>
      </c>
      <c r="AU4459" s="46">
        <v>152800</v>
      </c>
      <c r="AV4459" s="46">
        <v>7.3109999999999999</v>
      </c>
      <c r="AW4459" s="46">
        <v>63</v>
      </c>
      <c r="AX4459" s="46">
        <v>27900</v>
      </c>
      <c r="AY4459" s="46">
        <v>155380.21900000001</v>
      </c>
      <c r="AZ4459" s="46">
        <v>5.569</v>
      </c>
      <c r="BA4459" s="46" t="s">
        <v>69</v>
      </c>
      <c r="BB4459" s="46">
        <v>7000</v>
      </c>
      <c r="BC4459" s="46">
        <v>2580.2190000000001</v>
      </c>
      <c r="BD4459" s="46">
        <v>0.36899999999999999</v>
      </c>
      <c r="BE4459" s="46">
        <v>-36407.800000000003</v>
      </c>
      <c r="BF4459" s="46">
        <v>0</v>
      </c>
      <c r="BH4459" s="46">
        <v>63342.493999999977</v>
      </c>
      <c r="BI4459">
        <v>7.37</v>
      </c>
      <c r="BJ4459">
        <v>-58182.056000000004</v>
      </c>
      <c r="BK4459">
        <v>-6.77</v>
      </c>
      <c r="BL4459">
        <v>-9246.84</v>
      </c>
    </row>
    <row r="4460" spans="1:64" x14ac:dyDescent="0.25">
      <c r="A4460" s="136">
        <v>44158</v>
      </c>
      <c r="B4460" t="s">
        <v>70</v>
      </c>
      <c r="C4460" t="s">
        <v>131</v>
      </c>
      <c r="D4460">
        <v>13780</v>
      </c>
      <c r="E4460">
        <v>13780</v>
      </c>
      <c r="F4460">
        <v>8.0239999999999991</v>
      </c>
      <c r="G4460">
        <v>-5560.55</v>
      </c>
      <c r="H4460">
        <v>-5.03</v>
      </c>
      <c r="I4460">
        <v>105003.6</v>
      </c>
      <c r="J4460">
        <v>7.62</v>
      </c>
      <c r="K4460" s="133">
        <v>0.22123998315009777</v>
      </c>
      <c r="L4460" s="181">
        <v>2765.13</v>
      </c>
      <c r="M4460" s="133">
        <v>0.23295592420645467</v>
      </c>
      <c r="N4460" s="73">
        <v>-5292.8409999999858</v>
      </c>
      <c r="O4460" s="73">
        <v>-692.4338454842914</v>
      </c>
      <c r="P4460" s="182">
        <v>0</v>
      </c>
      <c r="Q4460" s="182">
        <v>0</v>
      </c>
      <c r="R4460" s="46">
        <v>0</v>
      </c>
      <c r="S4460" s="46">
        <v>10</v>
      </c>
      <c r="T4460" s="46">
        <v>4000</v>
      </c>
      <c r="U4460" s="46">
        <v>7.7160000000000002</v>
      </c>
      <c r="V4460" s="46" t="s">
        <v>68</v>
      </c>
      <c r="W4460" s="46">
        <v>4000</v>
      </c>
      <c r="X4460" s="46">
        <v>7.7160000000000002</v>
      </c>
      <c r="AF4460" s="46">
        <v>245</v>
      </c>
      <c r="AG4460" s="46">
        <v>122480</v>
      </c>
      <c r="AH4460" s="46">
        <v>1300862</v>
      </c>
      <c r="AI4460" s="46">
        <v>10.621</v>
      </c>
      <c r="AJ4460" s="46">
        <v>256</v>
      </c>
      <c r="AK4460" s="46">
        <v>104700</v>
      </c>
      <c r="AL4460" s="46">
        <v>1157331.8229999996</v>
      </c>
      <c r="AM4460" s="46">
        <v>11.054</v>
      </c>
      <c r="AN4460" s="46" t="s">
        <v>63</v>
      </c>
      <c r="AO4460" s="46">
        <v>17780</v>
      </c>
      <c r="AP4460" s="46">
        <v>143530.177</v>
      </c>
      <c r="AQ4460" s="46">
        <v>8.0730000000000004</v>
      </c>
      <c r="AR4460" s="46">
        <v>45335.1</v>
      </c>
      <c r="AS4460" s="46">
        <v>245</v>
      </c>
      <c r="AT4460" s="46">
        <v>122480</v>
      </c>
      <c r="AU4460" s="46">
        <v>1300862</v>
      </c>
      <c r="AV4460" s="46">
        <v>10.621</v>
      </c>
      <c r="AW4460" s="46">
        <v>267</v>
      </c>
      <c r="AX4460" s="46">
        <v>108700</v>
      </c>
      <c r="AY4460" s="46">
        <v>1188519.9589999996</v>
      </c>
      <c r="AZ4460" s="46">
        <v>10.933999999999999</v>
      </c>
      <c r="BA4460" s="46" t="s">
        <v>63</v>
      </c>
      <c r="BB4460" s="46">
        <v>13780</v>
      </c>
      <c r="BC4460" s="46">
        <v>112342.041</v>
      </c>
      <c r="BD4460" s="46">
        <v>8.1530000000000005</v>
      </c>
      <c r="BE4460" s="46">
        <v>34023.1</v>
      </c>
      <c r="BF4460" s="46">
        <v>0</v>
      </c>
      <c r="BH4460" s="46">
        <v>31188.13599999994</v>
      </c>
      <c r="BI4460">
        <v>7.8</v>
      </c>
      <c r="BJ4460">
        <v>-31188.135999999999</v>
      </c>
      <c r="BK4460">
        <v>-7.8</v>
      </c>
      <c r="BL4460">
        <v>5949.49</v>
      </c>
    </row>
    <row r="4461" spans="1:64" x14ac:dyDescent="0.25">
      <c r="A4461" s="136">
        <v>44158</v>
      </c>
      <c r="B4461" t="s">
        <v>628</v>
      </c>
      <c r="C4461" t="s">
        <v>629</v>
      </c>
      <c r="D4461">
        <v>100</v>
      </c>
      <c r="E4461">
        <v>100</v>
      </c>
      <c r="F4461">
        <v>0.95</v>
      </c>
      <c r="G4461">
        <v>1376</v>
      </c>
      <c r="H4461">
        <v>1448.42</v>
      </c>
      <c r="I4461">
        <v>1471</v>
      </c>
      <c r="J4461">
        <v>14.71</v>
      </c>
      <c r="K4461" s="133">
        <v>3.0993605477697317E-3</v>
      </c>
      <c r="L4461" s="181">
        <v>32</v>
      </c>
      <c r="M4461" s="133">
        <v>2.0016264584508806E-4</v>
      </c>
    </row>
    <row r="4462" spans="1:64" x14ac:dyDescent="0.25">
      <c r="A4462" s="136">
        <v>44158</v>
      </c>
      <c r="B4462" t="s">
        <v>768</v>
      </c>
      <c r="C4462" t="s">
        <v>769</v>
      </c>
      <c r="D4462">
        <v>500</v>
      </c>
      <c r="E4462">
        <v>500</v>
      </c>
      <c r="F4462">
        <v>2.4140000000000001</v>
      </c>
      <c r="G4462">
        <v>178</v>
      </c>
      <c r="H4462">
        <v>14.75</v>
      </c>
      <c r="I4462">
        <v>1385</v>
      </c>
      <c r="J4462">
        <v>2.77</v>
      </c>
      <c r="K4462" s="133">
        <v>2.9181606788994414E-3</v>
      </c>
      <c r="L4462" s="181">
        <v>10</v>
      </c>
      <c r="M4462" s="133">
        <v>2.5431190898423293E-3</v>
      </c>
    </row>
    <row r="4463" spans="1:64" x14ac:dyDescent="0.25">
      <c r="A4463" s="136">
        <v>44158</v>
      </c>
      <c r="B4463" t="s">
        <v>917</v>
      </c>
      <c r="C4463" t="s">
        <v>918</v>
      </c>
      <c r="D4463">
        <v>10</v>
      </c>
      <c r="E4463">
        <v>10</v>
      </c>
      <c r="F4463">
        <v>100</v>
      </c>
      <c r="G4463">
        <v>0</v>
      </c>
      <c r="H4463">
        <v>0</v>
      </c>
      <c r="I4463">
        <v>1000</v>
      </c>
      <c r="J4463">
        <v>100</v>
      </c>
      <c r="K4463" s="133">
        <v>2.1069752194219794E-3</v>
      </c>
      <c r="L4463" s="181">
        <v>0</v>
      </c>
      <c r="M4463" s="133">
        <v>2.1069752194219794E-3</v>
      </c>
    </row>
    <row r="4464" spans="1:64" x14ac:dyDescent="0.25">
      <c r="A4464" s="136">
        <v>44158</v>
      </c>
      <c r="B4464" t="s">
        <v>137</v>
      </c>
      <c r="C4464" t="s">
        <v>149</v>
      </c>
      <c r="D4464">
        <v>150</v>
      </c>
      <c r="E4464">
        <v>150</v>
      </c>
      <c r="F4464">
        <v>1</v>
      </c>
      <c r="G4464">
        <v>4963.5</v>
      </c>
      <c r="H4464">
        <v>3309</v>
      </c>
      <c r="I4464">
        <v>5113.5</v>
      </c>
      <c r="J4464">
        <v>34.090000000000003</v>
      </c>
      <c r="K4464" s="133">
        <v>1.0774017784514292E-2</v>
      </c>
      <c r="L4464" s="181">
        <v>-94.5</v>
      </c>
      <c r="M4464" s="133">
        <v>3.160462829132969E-4</v>
      </c>
    </row>
    <row r="4465" spans="1:64" x14ac:dyDescent="0.25">
      <c r="A4465" s="136">
        <v>44158</v>
      </c>
      <c r="B4465" t="s">
        <v>835</v>
      </c>
      <c r="C4465" t="s">
        <v>839</v>
      </c>
      <c r="I4465">
        <v>23908.37</v>
      </c>
      <c r="K4465" s="133">
        <v>5.0374343126771866E-2</v>
      </c>
      <c r="L4465" s="181">
        <v>0</v>
      </c>
      <c r="M4465" s="133">
        <v>1.0598085353692558E-5</v>
      </c>
    </row>
    <row r="4466" spans="1:64" x14ac:dyDescent="0.25">
      <c r="A4466" s="136">
        <v>44161</v>
      </c>
      <c r="B4466" t="s">
        <v>1142</v>
      </c>
      <c r="C4466" t="s">
        <v>1143</v>
      </c>
      <c r="D4466">
        <v>10</v>
      </c>
      <c r="E4466">
        <v>10</v>
      </c>
      <c r="F4466">
        <v>100</v>
      </c>
      <c r="G4466">
        <v>0</v>
      </c>
      <c r="H4466">
        <v>0</v>
      </c>
      <c r="I4466">
        <v>1000</v>
      </c>
      <c r="J4466">
        <v>100</v>
      </c>
      <c r="K4466" s="133">
        <v>2.1212996923203283E-3</v>
      </c>
      <c r="M4466" s="133">
        <v>2.1212996923203283E-3</v>
      </c>
    </row>
    <row r="4467" spans="1:64" x14ac:dyDescent="0.25">
      <c r="A4467" s="136">
        <v>44161</v>
      </c>
      <c r="B4467" t="s">
        <v>132</v>
      </c>
      <c r="C4467" t="s">
        <v>123</v>
      </c>
      <c r="D4467">
        <v>503</v>
      </c>
      <c r="E4467">
        <v>503</v>
      </c>
      <c r="F4467">
        <v>-0.59299999999999997</v>
      </c>
      <c r="G4467">
        <v>303.52999999999997</v>
      </c>
      <c r="H4467">
        <v>0</v>
      </c>
      <c r="I4467">
        <v>5.03</v>
      </c>
      <c r="J4467">
        <v>0.01</v>
      </c>
      <c r="K4467" s="133">
        <v>1.0670137452371253E-5</v>
      </c>
      <c r="L4467" s="181">
        <v>0</v>
      </c>
      <c r="M4467" s="133">
        <v>0</v>
      </c>
    </row>
    <row r="4468" spans="1:64" x14ac:dyDescent="0.25">
      <c r="A4468" s="136">
        <v>44161</v>
      </c>
      <c r="B4468" t="s">
        <v>61</v>
      </c>
      <c r="C4468" t="s">
        <v>136</v>
      </c>
      <c r="D4468">
        <v>4600</v>
      </c>
      <c r="E4468">
        <v>4600</v>
      </c>
      <c r="F4468">
        <v>4.1180000000000003</v>
      </c>
      <c r="G4468">
        <v>-2842.7</v>
      </c>
      <c r="H4468">
        <v>-15.007</v>
      </c>
      <c r="I4468">
        <v>16100</v>
      </c>
      <c r="J4468">
        <v>3.5</v>
      </c>
      <c r="K4468" s="133">
        <v>3.4152925046357287E-2</v>
      </c>
      <c r="L4468" s="181">
        <v>-144.4399999999996</v>
      </c>
      <c r="M4468" s="133">
        <v>4.0183143681716292E-2</v>
      </c>
      <c r="N4468" s="73">
        <v>-2705.6470000000045</v>
      </c>
      <c r="O4468" s="73">
        <v>-766.0890018413611</v>
      </c>
      <c r="P4468" s="182">
        <v>2</v>
      </c>
      <c r="Q4468" s="182">
        <v>1000</v>
      </c>
      <c r="R4468" s="46">
        <v>4.1500000000000004</v>
      </c>
      <c r="S4468" s="46">
        <v>0</v>
      </c>
      <c r="T4468" s="46">
        <v>0</v>
      </c>
      <c r="U4468" s="46">
        <v>0</v>
      </c>
      <c r="V4468" s="46" t="s">
        <v>62</v>
      </c>
      <c r="W4468" s="46">
        <v>1000</v>
      </c>
      <c r="X4468" s="46">
        <v>4.1500000000000004</v>
      </c>
      <c r="AF4468" s="46">
        <v>35</v>
      </c>
      <c r="AG4468" s="46">
        <v>17400</v>
      </c>
      <c r="AH4468" s="46">
        <v>78716.440000000031</v>
      </c>
      <c r="AI4468" s="46">
        <v>4.524</v>
      </c>
      <c r="AJ4468" s="46">
        <v>33</v>
      </c>
      <c r="AK4468" s="46">
        <v>14300</v>
      </c>
      <c r="AL4468" s="46">
        <v>65668.692999999985</v>
      </c>
      <c r="AM4468" s="46">
        <v>4.5919999999999996</v>
      </c>
      <c r="AN4468" s="46" t="s">
        <v>63</v>
      </c>
      <c r="AO4468" s="46">
        <v>3100</v>
      </c>
      <c r="AP4468" s="46">
        <v>13047.746999999999</v>
      </c>
      <c r="AQ4468" s="46">
        <v>4.2089999999999996</v>
      </c>
      <c r="AR4468" s="46">
        <v>972.4</v>
      </c>
      <c r="AS4468" s="46">
        <v>38</v>
      </c>
      <c r="AT4468" s="46">
        <v>18900</v>
      </c>
      <c r="AU4468" s="46">
        <v>84612.34000000004</v>
      </c>
      <c r="AV4468" s="46">
        <v>4.4770000000000003</v>
      </c>
      <c r="AW4468" s="46">
        <v>33</v>
      </c>
      <c r="AX4468" s="46">
        <v>14300</v>
      </c>
      <c r="AY4468" s="46">
        <v>65668.692999999985</v>
      </c>
      <c r="AZ4468" s="46">
        <v>4.5919999999999996</v>
      </c>
      <c r="BA4468" s="46" t="s">
        <v>63</v>
      </c>
      <c r="BB4468" s="46">
        <v>4600</v>
      </c>
      <c r="BC4468" s="46">
        <v>18943.647000000001</v>
      </c>
      <c r="BD4468" s="46">
        <v>4.1180000000000003</v>
      </c>
      <c r="BE4468" s="46">
        <v>1644.5</v>
      </c>
      <c r="BF4468" s="46">
        <v>5895.9000000000087</v>
      </c>
      <c r="BG4468" s="46">
        <v>5.9</v>
      </c>
      <c r="BH4468" s="46">
        <v>0</v>
      </c>
      <c r="BJ4468">
        <v>5895.9000000000015</v>
      </c>
      <c r="BK4468">
        <v>5.9</v>
      </c>
      <c r="BL4468">
        <v>277.83</v>
      </c>
    </row>
    <row r="4469" spans="1:64" x14ac:dyDescent="0.25">
      <c r="A4469" s="136">
        <v>44161</v>
      </c>
      <c r="B4469" t="s">
        <v>124</v>
      </c>
      <c r="C4469" t="s">
        <v>125</v>
      </c>
      <c r="D4469">
        <v>100</v>
      </c>
      <c r="E4469">
        <v>100</v>
      </c>
      <c r="F4469">
        <v>0.73699999999999999</v>
      </c>
      <c r="G4469">
        <v>435.28</v>
      </c>
      <c r="H4469">
        <v>590.63800000000003</v>
      </c>
      <c r="I4469">
        <v>509</v>
      </c>
      <c r="J4469">
        <v>5.09</v>
      </c>
      <c r="K4469" s="133">
        <v>1.0797415433910472E-3</v>
      </c>
      <c r="L4469" s="181">
        <v>2</v>
      </c>
      <c r="M4469" s="133">
        <v>1.5638221331785467E-4</v>
      </c>
      <c r="N4469" s="73">
        <v>5623.0690000000113</v>
      </c>
      <c r="O4469" s="73">
        <v>1111.8087987827732</v>
      </c>
      <c r="P4469" s="182">
        <v>0</v>
      </c>
      <c r="Q4469" s="182">
        <v>0</v>
      </c>
      <c r="R4469" s="46">
        <v>0</v>
      </c>
      <c r="S4469" s="46">
        <v>5</v>
      </c>
      <c r="T4469" s="46">
        <v>2300</v>
      </c>
      <c r="U4469" s="46">
        <v>4.99</v>
      </c>
      <c r="V4469" s="46" t="s">
        <v>68</v>
      </c>
      <c r="W4469" s="46">
        <v>2300</v>
      </c>
      <c r="X4469" s="46">
        <v>4.99</v>
      </c>
      <c r="AF4469" s="46">
        <v>50</v>
      </c>
      <c r="AG4469" s="46">
        <v>36700</v>
      </c>
      <c r="AH4469" s="46">
        <v>180101.02000000002</v>
      </c>
      <c r="AI4469" s="46">
        <v>4.907</v>
      </c>
      <c r="AJ4469" s="46">
        <v>58</v>
      </c>
      <c r="AK4469" s="46">
        <v>35300</v>
      </c>
      <c r="AL4469" s="46">
        <v>178266.546</v>
      </c>
      <c r="AM4469" s="46">
        <v>5.05</v>
      </c>
      <c r="AN4469" s="46" t="s">
        <v>63</v>
      </c>
      <c r="AO4469" s="46">
        <v>1400</v>
      </c>
      <c r="AP4469" s="46">
        <v>1834.4739999999999</v>
      </c>
      <c r="AQ4469" s="46">
        <v>1.31</v>
      </c>
      <c r="AR4469" s="46">
        <v>5047.8999999999996</v>
      </c>
      <c r="AS4469" s="46">
        <v>51</v>
      </c>
      <c r="AT4469" s="46">
        <v>37700</v>
      </c>
      <c r="AU4469" s="46">
        <v>185106.62</v>
      </c>
      <c r="AV4469" s="46">
        <v>4.91</v>
      </c>
      <c r="AW4469" s="46">
        <v>63</v>
      </c>
      <c r="AX4469" s="46">
        <v>37600</v>
      </c>
      <c r="AY4469" s="46">
        <v>189763.68900000001</v>
      </c>
      <c r="AZ4469" s="46">
        <v>5.0469999999999997</v>
      </c>
      <c r="BA4469" s="46" t="s">
        <v>63</v>
      </c>
      <c r="BB4469" s="46">
        <v>100</v>
      </c>
      <c r="BC4469" s="46">
        <v>4657.0690000000004</v>
      </c>
      <c r="BD4469" s="46">
        <v>46.570999999999998</v>
      </c>
      <c r="BE4469" s="46">
        <v>5151.2</v>
      </c>
      <c r="BF4469" s="46">
        <v>5005.5999999999767</v>
      </c>
      <c r="BH4469" s="46">
        <v>11497.143000000011</v>
      </c>
      <c r="BI4469">
        <v>5</v>
      </c>
      <c r="BJ4469">
        <v>2822.5950000000003</v>
      </c>
      <c r="BK4469">
        <v>1.23</v>
      </c>
      <c r="BL4469">
        <v>991.73</v>
      </c>
    </row>
    <row r="4470" spans="1:64" x14ac:dyDescent="0.25">
      <c r="A4470" s="136">
        <v>44161</v>
      </c>
      <c r="B4470" t="s">
        <v>71</v>
      </c>
      <c r="C4470" t="s">
        <v>126</v>
      </c>
      <c r="D4470">
        <v>6000</v>
      </c>
      <c r="E4470">
        <v>6000</v>
      </c>
      <c r="F4470">
        <v>4.2759999999999998</v>
      </c>
      <c r="G4470">
        <v>5904.59</v>
      </c>
      <c r="H4470">
        <v>23.012</v>
      </c>
      <c r="I4470">
        <v>31560</v>
      </c>
      <c r="J4470">
        <v>5.26</v>
      </c>
      <c r="K4470" s="133">
        <v>6.6948218289629574E-2</v>
      </c>
      <c r="L4470" s="181">
        <v>184.86000000000058</v>
      </c>
      <c r="M4470" s="133">
        <v>5.442281333935188E-2</v>
      </c>
      <c r="N4470" s="73">
        <v>-26697.112000000008</v>
      </c>
      <c r="O4470" s="73">
        <v>1115.9603718631163</v>
      </c>
      <c r="P4470" s="182">
        <v>2</v>
      </c>
      <c r="Q4470" s="182">
        <v>900</v>
      </c>
      <c r="R4470" s="46">
        <v>5.0919999999999996</v>
      </c>
      <c r="S4470" s="46">
        <v>0</v>
      </c>
      <c r="T4470" s="46">
        <v>0</v>
      </c>
      <c r="U4470" s="46">
        <v>0</v>
      </c>
      <c r="V4470" s="46" t="s">
        <v>62</v>
      </c>
      <c r="W4470" s="46">
        <v>900</v>
      </c>
      <c r="X4470" s="46">
        <v>5.0919999999999996</v>
      </c>
      <c r="AF4470" s="46">
        <v>78</v>
      </c>
      <c r="AG4470" s="46">
        <v>42100</v>
      </c>
      <c r="AH4470" s="46">
        <v>252170.97999999978</v>
      </c>
      <c r="AI4470" s="46">
        <v>5.99</v>
      </c>
      <c r="AJ4470" s="46">
        <v>85</v>
      </c>
      <c r="AK4470" s="46">
        <v>36600</v>
      </c>
      <c r="AL4470" s="46">
        <v>228819.552</v>
      </c>
      <c r="AM4470" s="46">
        <v>6.2519999999999998</v>
      </c>
      <c r="AN4470" s="46" t="s">
        <v>63</v>
      </c>
      <c r="AO4470" s="46">
        <v>5500</v>
      </c>
      <c r="AP4470" s="46">
        <v>23351.428</v>
      </c>
      <c r="AQ4470" s="46">
        <v>4.2460000000000004</v>
      </c>
      <c r="AR4470" s="46">
        <v>9589.2000000000007</v>
      </c>
      <c r="AS4470" s="46">
        <v>80</v>
      </c>
      <c r="AT4470" s="46">
        <v>43000</v>
      </c>
      <c r="AU4470" s="46">
        <v>256764.51999999976</v>
      </c>
      <c r="AV4470" s="46">
        <v>5.9710000000000001</v>
      </c>
      <c r="AW4470" s="46">
        <v>86</v>
      </c>
      <c r="AX4470" s="46">
        <v>37000</v>
      </c>
      <c r="AY4470" s="46">
        <v>230916.20799999998</v>
      </c>
      <c r="AZ4470" s="46">
        <v>6.2409999999999997</v>
      </c>
      <c r="BA4470" s="46" t="s">
        <v>63</v>
      </c>
      <c r="BB4470" s="46">
        <v>6000</v>
      </c>
      <c r="BC4470" s="46">
        <v>25848.312000000002</v>
      </c>
      <c r="BD4470" s="46">
        <v>4.3079999999999998</v>
      </c>
      <c r="BE4470" s="46">
        <v>9990</v>
      </c>
      <c r="BF4470" s="46">
        <v>4593.539999999979</v>
      </c>
      <c r="BG4470" s="46">
        <v>5.0999999999999996</v>
      </c>
      <c r="BH4470" s="46">
        <v>2096.6559999999881</v>
      </c>
      <c r="BJ4470">
        <v>2496.8840000000018</v>
      </c>
      <c r="BK4470">
        <v>2.77</v>
      </c>
      <c r="BL4470">
        <v>1823.04</v>
      </c>
    </row>
    <row r="4471" spans="1:64" x14ac:dyDescent="0.25">
      <c r="A4471" s="136">
        <v>44161</v>
      </c>
      <c r="B4471" t="s">
        <v>79</v>
      </c>
      <c r="C4471" t="s">
        <v>143</v>
      </c>
      <c r="D4471">
        <v>11600</v>
      </c>
      <c r="E4471">
        <v>11600</v>
      </c>
      <c r="F4471">
        <v>9.2390000000000008</v>
      </c>
      <c r="G4471">
        <v>-27252.12</v>
      </c>
      <c r="H4471">
        <v>-25.425000000000001</v>
      </c>
      <c r="I4471">
        <v>79924</v>
      </c>
      <c r="J4471">
        <v>6.89</v>
      </c>
      <c r="K4471" s="133">
        <v>0.16954275660900994</v>
      </c>
      <c r="L4471" s="181">
        <v>-1125.0599999999977</v>
      </c>
      <c r="M4471" s="133">
        <v>0.22735267038008661</v>
      </c>
      <c r="N4471" s="73">
        <v>-27296.491400000552</v>
      </c>
      <c r="O4471" s="73">
        <v>-3959.7740427141589</v>
      </c>
      <c r="P4471" s="182">
        <v>8</v>
      </c>
      <c r="Q4471" s="182">
        <v>6420</v>
      </c>
      <c r="R4471" s="46">
        <v>3.9540000000000002</v>
      </c>
      <c r="S4471" s="46">
        <v>0</v>
      </c>
      <c r="T4471" s="46">
        <v>0</v>
      </c>
      <c r="U4471" s="46">
        <v>0</v>
      </c>
      <c r="V4471" s="46" t="s">
        <v>62</v>
      </c>
      <c r="W4471" s="46">
        <v>6420</v>
      </c>
      <c r="X4471" s="46">
        <v>3.9540000000000002</v>
      </c>
      <c r="AF4471" s="46">
        <v>107</v>
      </c>
      <c r="AG4471" s="46">
        <v>51300</v>
      </c>
      <c r="AH4471" s="46">
        <v>512870.77999999904</v>
      </c>
      <c r="AI4471" s="46">
        <v>9.9969999999999999</v>
      </c>
      <c r="AJ4471" s="46">
        <v>109</v>
      </c>
      <c r="AK4471" s="46">
        <v>46520</v>
      </c>
      <c r="AL4471" s="46">
        <v>433842.38059999945</v>
      </c>
      <c r="AM4471" s="46">
        <v>9.3260000000000005</v>
      </c>
      <c r="AN4471" s="46" t="s">
        <v>63</v>
      </c>
      <c r="AO4471" s="46">
        <v>4780</v>
      </c>
      <c r="AP4471" s="46">
        <v>79028.399000000005</v>
      </c>
      <c r="AQ4471" s="46">
        <v>16.533000000000001</v>
      </c>
      <c r="AR4471" s="46">
        <v>-31214.92</v>
      </c>
      <c r="AS4471" s="46">
        <v>116</v>
      </c>
      <c r="AT4471" s="46">
        <v>58120</v>
      </c>
      <c r="AU4471" s="46">
        <v>541062.87199999904</v>
      </c>
      <c r="AV4471" s="46">
        <v>9.3089999999999993</v>
      </c>
      <c r="AW4471" s="46">
        <v>109</v>
      </c>
      <c r="AX4471" s="46">
        <v>46520</v>
      </c>
      <c r="AY4471" s="46">
        <v>433842.38059999945</v>
      </c>
      <c r="AZ4471" s="46">
        <v>9.3260000000000005</v>
      </c>
      <c r="BA4471" s="46" t="s">
        <v>63</v>
      </c>
      <c r="BB4471" s="46">
        <v>11600</v>
      </c>
      <c r="BC4471" s="46">
        <v>107220.49099999999</v>
      </c>
      <c r="BD4471" s="46">
        <v>9.2430000000000003</v>
      </c>
      <c r="BE4471" s="46">
        <v>790.84</v>
      </c>
      <c r="BF4471" s="46">
        <v>28192.092000000004</v>
      </c>
      <c r="BG4471" s="46">
        <v>4.3899999999999997</v>
      </c>
      <c r="BH4471" s="46">
        <v>0</v>
      </c>
      <c r="BJ4471">
        <v>28192.09199999999</v>
      </c>
      <c r="BK4471">
        <v>4.3899999999999997</v>
      </c>
      <c r="BL4471">
        <v>-4530.47</v>
      </c>
    </row>
    <row r="4472" spans="1:64" x14ac:dyDescent="0.25">
      <c r="A4472" s="136">
        <v>44161</v>
      </c>
      <c r="B4472" t="s">
        <v>749</v>
      </c>
      <c r="C4472" t="s">
        <v>750</v>
      </c>
      <c r="D4472">
        <v>500</v>
      </c>
      <c r="E4472">
        <v>500</v>
      </c>
      <c r="F4472">
        <v>5.65</v>
      </c>
      <c r="G4472">
        <v>215</v>
      </c>
      <c r="H4472">
        <v>7.6109999999999998</v>
      </c>
      <c r="I4472">
        <v>3040</v>
      </c>
      <c r="J4472">
        <v>6.08</v>
      </c>
      <c r="K4472" s="133">
        <v>6.4487510646537988E-3</v>
      </c>
      <c r="L4472" s="181">
        <v>-40</v>
      </c>
      <c r="M4472" s="133">
        <v>5.992671630804928E-3</v>
      </c>
    </row>
    <row r="4473" spans="1:64" x14ac:dyDescent="0.25">
      <c r="A4473" s="136">
        <v>44161</v>
      </c>
      <c r="B4473" t="s">
        <v>776</v>
      </c>
      <c r="C4473" t="s">
        <v>777</v>
      </c>
      <c r="D4473">
        <v>1</v>
      </c>
      <c r="E4473">
        <v>1</v>
      </c>
      <c r="F4473">
        <v>-137.5</v>
      </c>
      <c r="G4473">
        <v>205.75</v>
      </c>
      <c r="H4473">
        <v>0</v>
      </c>
      <c r="I4473">
        <v>68.25</v>
      </c>
      <c r="J4473">
        <v>68.25</v>
      </c>
      <c r="K4473" s="133">
        <v>1.4477870400086241E-4</v>
      </c>
      <c r="L4473" s="181">
        <v>-1.2800000000000011</v>
      </c>
      <c r="M4473" s="133">
        <v>0</v>
      </c>
    </row>
    <row r="4474" spans="1:64" x14ac:dyDescent="0.25">
      <c r="A4474" s="136">
        <v>44161</v>
      </c>
      <c r="B4474" t="s">
        <v>65</v>
      </c>
      <c r="C4474" t="s">
        <v>82</v>
      </c>
      <c r="D4474">
        <v>26300</v>
      </c>
      <c r="E4474">
        <v>26300</v>
      </c>
      <c r="F4474">
        <v>8.1649999999999991</v>
      </c>
      <c r="G4474">
        <v>-31417.87</v>
      </c>
      <c r="H4474">
        <v>-14.635999999999999</v>
      </c>
      <c r="I4474">
        <v>183311</v>
      </c>
      <c r="J4474">
        <v>6.97</v>
      </c>
      <c r="K4474" s="133">
        <v>0.38885756789893172</v>
      </c>
      <c r="L4474" s="181">
        <v>-777.79999999999927</v>
      </c>
      <c r="M4474" s="133">
        <v>0.45550428586329184</v>
      </c>
      <c r="N4474" s="73">
        <v>-35161.802000000112</v>
      </c>
      <c r="O4474" s="73">
        <v>-4415.5662912375174</v>
      </c>
      <c r="P4474" s="182">
        <v>1</v>
      </c>
      <c r="Q4474" s="182">
        <v>400</v>
      </c>
      <c r="R4474" s="46">
        <v>6.93</v>
      </c>
      <c r="S4474" s="46">
        <v>2</v>
      </c>
      <c r="T4474" s="46">
        <v>800</v>
      </c>
      <c r="U4474" s="46">
        <v>6.9249999999999998</v>
      </c>
      <c r="V4474" s="46" t="s">
        <v>68</v>
      </c>
      <c r="W4474" s="46">
        <v>400</v>
      </c>
      <c r="X4474" s="46">
        <v>6.92</v>
      </c>
      <c r="AF4474" s="46">
        <v>320</v>
      </c>
      <c r="AG4474" s="46">
        <v>169200</v>
      </c>
      <c r="AH4474" s="46">
        <v>1667414.6810000001</v>
      </c>
      <c r="AI4474" s="46">
        <v>9.8550000000000004</v>
      </c>
      <c r="AJ4474" s="46">
        <v>350</v>
      </c>
      <c r="AK4474" s="46">
        <v>151800</v>
      </c>
      <c r="AL4474" s="46">
        <v>1433315.7449999999</v>
      </c>
      <c r="AM4474" s="46">
        <v>9.4420000000000002</v>
      </c>
      <c r="AN4474" s="46" t="s">
        <v>63</v>
      </c>
      <c r="AO4474" s="46">
        <v>17400</v>
      </c>
      <c r="AP4474" s="46">
        <v>234098.93599999999</v>
      </c>
      <c r="AQ4474" s="46">
        <v>13.454000000000001</v>
      </c>
      <c r="AR4474" s="46">
        <v>-62693.4</v>
      </c>
      <c r="AS4474" s="46">
        <v>325</v>
      </c>
      <c r="AT4474" s="46">
        <v>171400</v>
      </c>
      <c r="AU4474" s="46">
        <v>1682753.6810000001</v>
      </c>
      <c r="AV4474" s="46">
        <v>9.8179999999999996</v>
      </c>
      <c r="AW4474" s="46">
        <v>356</v>
      </c>
      <c r="AX4474" s="46">
        <v>154200</v>
      </c>
      <c r="AY4474" s="46">
        <v>1451899.1129999997</v>
      </c>
      <c r="AZ4474" s="46">
        <v>9.4160000000000004</v>
      </c>
      <c r="BA4474" s="46" t="s">
        <v>63</v>
      </c>
      <c r="BB4474" s="46">
        <v>17200</v>
      </c>
      <c r="BC4474" s="46">
        <v>230854.568</v>
      </c>
      <c r="BD4474" s="46">
        <v>13.422000000000001</v>
      </c>
      <c r="BE4474" s="46">
        <v>-61988.4</v>
      </c>
      <c r="BF4474" s="46">
        <v>15339</v>
      </c>
      <c r="BG4474" s="46">
        <v>38.35</v>
      </c>
      <c r="BH4474" s="46">
        <v>18583.367999999784</v>
      </c>
      <c r="BI4474">
        <v>23.23</v>
      </c>
      <c r="BJ4474">
        <v>-3244.3679999999877</v>
      </c>
      <c r="BK4474">
        <v>-8.11</v>
      </c>
      <c r="BL4474">
        <v>-8994.75</v>
      </c>
    </row>
    <row r="4475" spans="1:64" x14ac:dyDescent="0.25">
      <c r="A4475" s="136">
        <v>44161</v>
      </c>
      <c r="B4475" t="s">
        <v>77</v>
      </c>
      <c r="C4475" t="s">
        <v>150</v>
      </c>
      <c r="D4475">
        <v>6500</v>
      </c>
      <c r="E4475">
        <v>6500</v>
      </c>
      <c r="F4475">
        <v>5.0750000000000002</v>
      </c>
      <c r="G4475">
        <v>-14914.42</v>
      </c>
      <c r="H4475">
        <v>-45.222000000000001</v>
      </c>
      <c r="I4475">
        <v>18070</v>
      </c>
      <c r="J4475">
        <v>2.78</v>
      </c>
      <c r="K4475" s="133">
        <v>3.8331885440228336E-2</v>
      </c>
      <c r="L4475" s="181">
        <v>0</v>
      </c>
      <c r="M4475" s="133">
        <v>6.9969839997364489E-2</v>
      </c>
      <c r="N4475" s="73">
        <v>-15029.371999999981</v>
      </c>
      <c r="O4475" s="73">
        <v>-5113.418068309853</v>
      </c>
      <c r="P4475" s="182">
        <v>6</v>
      </c>
      <c r="Q4475" s="182">
        <v>3500</v>
      </c>
      <c r="R4475" s="46">
        <v>3.7789999999999999</v>
      </c>
      <c r="S4475" s="46">
        <v>1</v>
      </c>
      <c r="T4475" s="46">
        <v>400</v>
      </c>
      <c r="U4475" s="46">
        <v>2.77</v>
      </c>
      <c r="V4475" s="46" t="s">
        <v>62</v>
      </c>
      <c r="W4475" s="46">
        <v>3100</v>
      </c>
      <c r="X4475" s="46">
        <v>3.9089999999999998</v>
      </c>
      <c r="AF4475" s="46">
        <v>72</v>
      </c>
      <c r="AG4475" s="46">
        <v>35400</v>
      </c>
      <c r="AH4475" s="46">
        <v>210838</v>
      </c>
      <c r="AI4475" s="46">
        <v>5.9560000000000004</v>
      </c>
      <c r="AJ4475" s="46">
        <v>71</v>
      </c>
      <c r="AK4475" s="46">
        <v>31600</v>
      </c>
      <c r="AL4475" s="46">
        <v>188583.87200000006</v>
      </c>
      <c r="AM4475" s="46">
        <v>5.968</v>
      </c>
      <c r="AN4475" s="46" t="s">
        <v>63</v>
      </c>
      <c r="AO4475" s="46">
        <v>3800</v>
      </c>
      <c r="AP4475" s="46">
        <v>22254.128000000001</v>
      </c>
      <c r="AQ4475" s="46">
        <v>5.8559999999999999</v>
      </c>
      <c r="AR4475" s="46">
        <v>379.2</v>
      </c>
      <c r="AS4475" s="46">
        <v>78</v>
      </c>
      <c r="AT4475" s="46">
        <v>38900</v>
      </c>
      <c r="AU4475" s="46">
        <v>223805</v>
      </c>
      <c r="AV4475" s="46">
        <v>5.7530000000000001</v>
      </c>
      <c r="AW4475" s="46">
        <v>73</v>
      </c>
      <c r="AX4475" s="46">
        <v>32400</v>
      </c>
      <c r="AY4475" s="46">
        <v>190815.62800000006</v>
      </c>
      <c r="AZ4475" s="46">
        <v>5.8890000000000002</v>
      </c>
      <c r="BA4475" s="46" t="s">
        <v>63</v>
      </c>
      <c r="BB4475" s="46">
        <v>6500</v>
      </c>
      <c r="BC4475" s="46">
        <v>32989.372000000003</v>
      </c>
      <c r="BD4475" s="46">
        <v>5.0750000000000002</v>
      </c>
      <c r="BE4475" s="46">
        <v>4406.3999999999996</v>
      </c>
      <c r="BF4475" s="46">
        <v>12967</v>
      </c>
      <c r="BG4475" s="46">
        <v>3.7</v>
      </c>
      <c r="BH4475" s="46">
        <v>2231.7559999999939</v>
      </c>
      <c r="BI4475">
        <v>5.58</v>
      </c>
      <c r="BJ4475">
        <v>10735.244000000002</v>
      </c>
      <c r="BK4475">
        <v>3.46</v>
      </c>
      <c r="BL4475">
        <v>136.4</v>
      </c>
    </row>
    <row r="4476" spans="1:64" x14ac:dyDescent="0.25">
      <c r="A4476" s="136">
        <v>44161</v>
      </c>
      <c r="B4476" t="s">
        <v>72</v>
      </c>
      <c r="C4476" t="s">
        <v>130</v>
      </c>
      <c r="D4476">
        <v>100</v>
      </c>
      <c r="E4476">
        <v>100</v>
      </c>
      <c r="F4476">
        <v>1.53</v>
      </c>
      <c r="G4476">
        <v>351</v>
      </c>
      <c r="H4476">
        <v>229.41200000000001</v>
      </c>
      <c r="I4476">
        <v>504</v>
      </c>
      <c r="J4476">
        <v>5.04</v>
      </c>
      <c r="K4476" s="133">
        <v>1.0691350449294455E-3</v>
      </c>
      <c r="L4476" s="181">
        <v>13</v>
      </c>
      <c r="M4476" s="133">
        <v>3.2455885292501026E-4</v>
      </c>
      <c r="N4476" s="73">
        <v>-1498.9659999999872</v>
      </c>
      <c r="O4476" s="73">
        <v>376.42007904191922</v>
      </c>
      <c r="P4476" s="182">
        <v>0</v>
      </c>
      <c r="Q4476" s="182">
        <v>0</v>
      </c>
      <c r="R4476" s="46">
        <v>0</v>
      </c>
      <c r="S4476" s="46">
        <v>20</v>
      </c>
      <c r="T4476" s="46">
        <v>8600</v>
      </c>
      <c r="U4476" s="46">
        <v>7.3840000000000003</v>
      </c>
      <c r="V4476" s="46" t="s">
        <v>68</v>
      </c>
      <c r="W4476" s="46">
        <v>8600</v>
      </c>
      <c r="X4476" s="46">
        <v>7.3840000000000003</v>
      </c>
      <c r="AF4476" s="46">
        <v>42</v>
      </c>
      <c r="AG4476" s="46">
        <v>20900</v>
      </c>
      <c r="AH4476" s="46">
        <v>152800</v>
      </c>
      <c r="AI4476" s="46">
        <v>7.3109999999999999</v>
      </c>
      <c r="AJ4476" s="46">
        <v>42</v>
      </c>
      <c r="AK4476" s="46">
        <v>18800</v>
      </c>
      <c r="AL4476" s="46">
        <v>92037.725000000035</v>
      </c>
      <c r="AM4476" s="46">
        <v>4.8959999999999999</v>
      </c>
      <c r="AN4476" s="46" t="s">
        <v>63</v>
      </c>
      <c r="AO4476" s="46">
        <v>2100</v>
      </c>
      <c r="AP4476" s="46">
        <v>60762.275000000001</v>
      </c>
      <c r="AQ4476" s="46">
        <v>28.934000000000001</v>
      </c>
      <c r="AR4476" s="46">
        <v>-45402</v>
      </c>
      <c r="AS4476" s="46">
        <v>42</v>
      </c>
      <c r="AT4476" s="46">
        <v>20900</v>
      </c>
      <c r="AU4476" s="46">
        <v>152800</v>
      </c>
      <c r="AV4476" s="46">
        <v>7.3109999999999999</v>
      </c>
      <c r="AW4476" s="46">
        <v>63</v>
      </c>
      <c r="AX4476" s="46">
        <v>27900</v>
      </c>
      <c r="AY4476" s="46">
        <v>155380.21900000001</v>
      </c>
      <c r="AZ4476" s="46">
        <v>5.569</v>
      </c>
      <c r="BA4476" s="46" t="s">
        <v>69</v>
      </c>
      <c r="BB4476" s="46">
        <v>7000</v>
      </c>
      <c r="BC4476" s="46">
        <v>2580.2190000000001</v>
      </c>
      <c r="BD4476" s="46">
        <v>0.36899999999999999</v>
      </c>
      <c r="BE4476" s="46">
        <v>-36407.800000000003</v>
      </c>
      <c r="BF4476" s="46">
        <v>0</v>
      </c>
      <c r="BH4476" s="46">
        <v>63342.493999999977</v>
      </c>
      <c r="BI4476">
        <v>7.37</v>
      </c>
      <c r="BJ4476">
        <v>-58182.056000000004</v>
      </c>
      <c r="BK4476">
        <v>-6.77</v>
      </c>
      <c r="BL4476">
        <v>-9008.33</v>
      </c>
    </row>
    <row r="4477" spans="1:64" x14ac:dyDescent="0.25">
      <c r="A4477" s="136">
        <v>44161</v>
      </c>
      <c r="B4477" t="s">
        <v>70</v>
      </c>
      <c r="C4477" t="s">
        <v>131</v>
      </c>
      <c r="D4477">
        <v>14180</v>
      </c>
      <c r="E4477">
        <v>14180</v>
      </c>
      <c r="F4477">
        <v>8.0069999999999997</v>
      </c>
      <c r="G4477">
        <v>-6765.75</v>
      </c>
      <c r="H4477">
        <v>-5.9569999999999999</v>
      </c>
      <c r="I4477">
        <v>106775.4</v>
      </c>
      <c r="J4477">
        <v>7.53</v>
      </c>
      <c r="K4477" s="133">
        <v>0.22650262316737999</v>
      </c>
      <c r="L4477" s="181">
        <v>-1205.1999999999998</v>
      </c>
      <c r="M4477" s="133">
        <v>0.24085480656069624</v>
      </c>
      <c r="N4477" s="73">
        <v>-8191.6409999999887</v>
      </c>
      <c r="O4477" s="73">
        <v>-1101.9576284656782</v>
      </c>
      <c r="P4477" s="182">
        <v>0</v>
      </c>
      <c r="Q4477" s="182">
        <v>0</v>
      </c>
      <c r="R4477" s="46">
        <v>0</v>
      </c>
      <c r="S4477" s="46">
        <v>9</v>
      </c>
      <c r="T4477" s="46">
        <v>3600</v>
      </c>
      <c r="U4477" s="46">
        <v>7.7409999999999997</v>
      </c>
      <c r="V4477" s="46" t="s">
        <v>68</v>
      </c>
      <c r="W4477" s="46">
        <v>3600</v>
      </c>
      <c r="X4477" s="46">
        <v>7.7409999999999997</v>
      </c>
      <c r="AF4477" s="46">
        <v>246</v>
      </c>
      <c r="AG4477" s="46">
        <v>122880</v>
      </c>
      <c r="AH4477" s="46">
        <v>1303839</v>
      </c>
      <c r="AI4477" s="46">
        <v>10.611000000000001</v>
      </c>
      <c r="AJ4477" s="46">
        <v>257</v>
      </c>
      <c r="AK4477" s="46">
        <v>105100</v>
      </c>
      <c r="AL4477" s="46">
        <v>1160319.8269999996</v>
      </c>
      <c r="AM4477" s="46">
        <v>11.04</v>
      </c>
      <c r="AN4477" s="46" t="s">
        <v>63</v>
      </c>
      <c r="AO4477" s="46">
        <v>17780</v>
      </c>
      <c r="AP4477" s="46">
        <v>143519.17300000001</v>
      </c>
      <c r="AQ4477" s="46">
        <v>8.0719999999999992</v>
      </c>
      <c r="AR4477" s="46">
        <v>45087.9</v>
      </c>
      <c r="AS4477" s="46">
        <v>246</v>
      </c>
      <c r="AT4477" s="46">
        <v>122880</v>
      </c>
      <c r="AU4477" s="46">
        <v>1303839</v>
      </c>
      <c r="AV4477" s="46">
        <v>10.611000000000001</v>
      </c>
      <c r="AW4477" s="46">
        <v>267</v>
      </c>
      <c r="AX4477" s="46">
        <v>108700</v>
      </c>
      <c r="AY4477" s="46">
        <v>1188519.9589999996</v>
      </c>
      <c r="AZ4477" s="46">
        <v>10.933999999999999</v>
      </c>
      <c r="BA4477" s="46" t="s">
        <v>63</v>
      </c>
      <c r="BB4477" s="46">
        <v>14180</v>
      </c>
      <c r="BC4477" s="46">
        <v>115319.041</v>
      </c>
      <c r="BD4477" s="46">
        <v>8.1329999999999991</v>
      </c>
      <c r="BE4477" s="46">
        <v>35110.1</v>
      </c>
      <c r="BF4477" s="46">
        <v>0</v>
      </c>
      <c r="BH4477" s="46">
        <v>28200.131999999983</v>
      </c>
      <c r="BI4477">
        <v>7.83</v>
      </c>
      <c r="BJ4477">
        <v>-28200.132000000012</v>
      </c>
      <c r="BK4477">
        <v>-7.83</v>
      </c>
      <c r="BL4477">
        <v>5987.77</v>
      </c>
    </row>
    <row r="4478" spans="1:64" x14ac:dyDescent="0.25">
      <c r="A4478" s="136">
        <v>44161</v>
      </c>
      <c r="B4478" t="s">
        <v>628</v>
      </c>
      <c r="C4478" t="s">
        <v>629</v>
      </c>
      <c r="D4478">
        <v>100</v>
      </c>
      <c r="E4478">
        <v>100</v>
      </c>
      <c r="F4478">
        <v>0.95</v>
      </c>
      <c r="G4478">
        <v>1343</v>
      </c>
      <c r="H4478">
        <v>1413.684</v>
      </c>
      <c r="I4478">
        <v>1438</v>
      </c>
      <c r="J4478">
        <v>14.38</v>
      </c>
      <c r="K4478" s="133">
        <v>3.0504289575566325E-3</v>
      </c>
      <c r="L4478" s="181">
        <v>-33</v>
      </c>
      <c r="M4478" s="133">
        <v>2.0152347077043121E-4</v>
      </c>
    </row>
    <row r="4479" spans="1:64" x14ac:dyDescent="0.25">
      <c r="A4479" s="136">
        <v>44161</v>
      </c>
      <c r="B4479" t="s">
        <v>768</v>
      </c>
      <c r="C4479" t="s">
        <v>769</v>
      </c>
      <c r="D4479">
        <v>500</v>
      </c>
      <c r="E4479">
        <v>500</v>
      </c>
      <c r="F4479">
        <v>2.4140000000000001</v>
      </c>
      <c r="G4479">
        <v>198</v>
      </c>
      <c r="H4479">
        <v>16.404</v>
      </c>
      <c r="I4479">
        <v>1405</v>
      </c>
      <c r="J4479">
        <v>2.81</v>
      </c>
      <c r="K4479" s="133">
        <v>2.9804260677100615E-3</v>
      </c>
      <c r="L4479" s="181">
        <v>20</v>
      </c>
      <c r="M4479" s="133">
        <v>2.5604087286306364E-3</v>
      </c>
    </row>
    <row r="4480" spans="1:64" x14ac:dyDescent="0.25">
      <c r="A4480" s="136">
        <v>44161</v>
      </c>
      <c r="B4480" t="s">
        <v>917</v>
      </c>
      <c r="C4480" t="s">
        <v>918</v>
      </c>
      <c r="D4480">
        <v>10</v>
      </c>
      <c r="E4480">
        <v>10</v>
      </c>
      <c r="F4480">
        <v>100</v>
      </c>
      <c r="G4480">
        <v>0</v>
      </c>
      <c r="H4480">
        <v>0</v>
      </c>
      <c r="I4480">
        <v>1000</v>
      </c>
      <c r="J4480">
        <v>100</v>
      </c>
      <c r="K4480" s="133">
        <v>2.1212996923203283E-3</v>
      </c>
      <c r="L4480" s="181">
        <v>0</v>
      </c>
      <c r="M4480" s="133">
        <v>2.1212996923203283E-3</v>
      </c>
    </row>
    <row r="4481" spans="1:64" x14ac:dyDescent="0.25">
      <c r="A4481" s="136">
        <v>44161</v>
      </c>
      <c r="B4481" t="s">
        <v>137</v>
      </c>
      <c r="C4481" t="s">
        <v>149</v>
      </c>
      <c r="D4481">
        <v>150</v>
      </c>
      <c r="E4481">
        <v>150</v>
      </c>
      <c r="F4481">
        <v>1</v>
      </c>
      <c r="G4481">
        <v>4879.5</v>
      </c>
      <c r="H4481">
        <v>3253</v>
      </c>
      <c r="I4481">
        <v>5029.5</v>
      </c>
      <c r="J4481">
        <v>33.53</v>
      </c>
      <c r="K4481" s="133">
        <v>1.0669076802525093E-2</v>
      </c>
      <c r="L4481" s="181">
        <v>-84</v>
      </c>
      <c r="M4481" s="133">
        <v>3.1819495384804926E-4</v>
      </c>
    </row>
    <row r="4482" spans="1:64" x14ac:dyDescent="0.25">
      <c r="A4482" s="136">
        <v>44161</v>
      </c>
      <c r="B4482" t="s">
        <v>835</v>
      </c>
      <c r="C4482" t="s">
        <v>839</v>
      </c>
      <c r="I4482">
        <v>21669.93</v>
      </c>
      <c r="K4482" s="133">
        <v>4.5968415841603057E-2</v>
      </c>
      <c r="L4482" s="181">
        <v>0</v>
      </c>
      <c r="M4482" s="133">
        <v>1.0670137452371253E-5</v>
      </c>
    </row>
    <row r="4483" spans="1:64" x14ac:dyDescent="0.25">
      <c r="A4483" s="136">
        <v>44165</v>
      </c>
      <c r="B4483" t="s">
        <v>132</v>
      </c>
      <c r="C4483" t="s">
        <v>123</v>
      </c>
      <c r="D4483">
        <v>503</v>
      </c>
      <c r="E4483">
        <v>503</v>
      </c>
      <c r="F4483">
        <v>-0.59299999999999997</v>
      </c>
      <c r="G4483">
        <v>303.52999999999997</v>
      </c>
      <c r="H4483">
        <v>0</v>
      </c>
      <c r="I4483">
        <v>5.03</v>
      </c>
      <c r="J4483">
        <v>0.01</v>
      </c>
      <c r="K4483" s="133">
        <v>1.0772225279825684E-5</v>
      </c>
      <c r="L4483" s="181">
        <v>0</v>
      </c>
      <c r="M4483" s="133">
        <v>0</v>
      </c>
    </row>
    <row r="4484" spans="1:64" x14ac:dyDescent="0.25">
      <c r="A4484" s="136">
        <v>44165</v>
      </c>
      <c r="B4484" t="s">
        <v>61</v>
      </c>
      <c r="C4484" t="s">
        <v>136</v>
      </c>
      <c r="D4484">
        <v>4200</v>
      </c>
      <c r="E4484">
        <v>4200</v>
      </c>
      <c r="F4484">
        <v>4.1719999999999997</v>
      </c>
      <c r="G4484">
        <v>-2695.16</v>
      </c>
      <c r="H4484">
        <v>-15.38</v>
      </c>
      <c r="I4484">
        <v>14826</v>
      </c>
      <c r="J4484">
        <v>3.53</v>
      </c>
      <c r="K4484" s="133">
        <v>3.1751294631947431E-2</v>
      </c>
      <c r="L4484" s="181">
        <v>147.53999999999996</v>
      </c>
      <c r="M4484" s="133">
        <v>3.7523237114089579E-2</v>
      </c>
      <c r="N4484" s="73">
        <v>-2528.315000000006</v>
      </c>
      <c r="O4484" s="73">
        <v>-707.85737885154242</v>
      </c>
      <c r="P4484" s="182">
        <v>1</v>
      </c>
      <c r="Q4484" s="182">
        <v>500</v>
      </c>
      <c r="R4484" s="46">
        <v>4.26</v>
      </c>
      <c r="S4484" s="46">
        <v>0</v>
      </c>
      <c r="T4484" s="46">
        <v>0</v>
      </c>
      <c r="U4484" s="46">
        <v>0</v>
      </c>
      <c r="V4484" s="46" t="s">
        <v>62</v>
      </c>
      <c r="W4484" s="46">
        <v>500</v>
      </c>
      <c r="X4484" s="46">
        <v>4.26</v>
      </c>
      <c r="AF4484" s="46">
        <v>36</v>
      </c>
      <c r="AG4484" s="46">
        <v>17900</v>
      </c>
      <c r="AH4484" s="46">
        <v>80451.740000000034</v>
      </c>
      <c r="AI4484" s="46">
        <v>4.4950000000000001</v>
      </c>
      <c r="AJ4484" s="46">
        <v>34</v>
      </c>
      <c r="AK4484" s="46">
        <v>14700</v>
      </c>
      <c r="AL4484" s="46">
        <v>67090.02499999998</v>
      </c>
      <c r="AM4484" s="46">
        <v>4.5640000000000001</v>
      </c>
      <c r="AN4484" s="46" t="s">
        <v>63</v>
      </c>
      <c r="AO4484" s="46">
        <v>3200</v>
      </c>
      <c r="AP4484" s="46">
        <v>13361.715</v>
      </c>
      <c r="AQ4484" s="46">
        <v>4.1760000000000002</v>
      </c>
      <c r="AR4484" s="46">
        <v>1014.3</v>
      </c>
      <c r="AS4484" s="46">
        <v>38</v>
      </c>
      <c r="AT4484" s="46">
        <v>18900</v>
      </c>
      <c r="AU4484" s="46">
        <v>84612.34000000004</v>
      </c>
      <c r="AV4484" s="46">
        <v>4.4770000000000003</v>
      </c>
      <c r="AW4484" s="46">
        <v>34</v>
      </c>
      <c r="AX4484" s="46">
        <v>14700</v>
      </c>
      <c r="AY4484" s="46">
        <v>67090.02499999998</v>
      </c>
      <c r="AZ4484" s="46">
        <v>4.5640000000000001</v>
      </c>
      <c r="BA4484" s="46" t="s">
        <v>63</v>
      </c>
      <c r="BB4484" s="46">
        <v>4200</v>
      </c>
      <c r="BC4484" s="46">
        <v>17522.314999999999</v>
      </c>
      <c r="BD4484" s="46">
        <v>4.1719999999999997</v>
      </c>
      <c r="BE4484" s="46">
        <v>1278.9000000000001</v>
      </c>
      <c r="BF4484" s="46">
        <v>4160.6000000000058</v>
      </c>
      <c r="BG4484" s="46">
        <v>8.32</v>
      </c>
      <c r="BH4484" s="46">
        <v>0</v>
      </c>
      <c r="BJ4484">
        <v>4160.5999999999985</v>
      </c>
      <c r="BK4484">
        <v>8.32</v>
      </c>
      <c r="BL4484">
        <v>287.33999999999997</v>
      </c>
    </row>
    <row r="4485" spans="1:64" x14ac:dyDescent="0.25">
      <c r="A4485" s="136">
        <v>44165</v>
      </c>
      <c r="B4485" t="s">
        <v>124</v>
      </c>
      <c r="C4485" t="s">
        <v>125</v>
      </c>
      <c r="D4485">
        <v>100</v>
      </c>
      <c r="E4485">
        <v>100</v>
      </c>
      <c r="F4485">
        <v>0.73699999999999999</v>
      </c>
      <c r="G4485">
        <v>458.28</v>
      </c>
      <c r="H4485">
        <v>621.82000000000005</v>
      </c>
      <c r="I4485">
        <v>532</v>
      </c>
      <c r="J4485">
        <v>5.32</v>
      </c>
      <c r="K4485" s="133">
        <v>1.1393287969915038E-3</v>
      </c>
      <c r="L4485" s="181">
        <v>23</v>
      </c>
      <c r="M4485" s="133">
        <v>1.5787841901167987E-4</v>
      </c>
      <c r="N4485" s="73">
        <v>5623.0690000000113</v>
      </c>
      <c r="O4485" s="73">
        <v>1111.8087987827732</v>
      </c>
      <c r="P4485" s="182">
        <v>0</v>
      </c>
      <c r="Q4485" s="182">
        <v>0</v>
      </c>
      <c r="R4485" s="46">
        <v>0</v>
      </c>
      <c r="S4485" s="46">
        <v>5</v>
      </c>
      <c r="T4485" s="46">
        <v>2300</v>
      </c>
      <c r="U4485" s="46">
        <v>4.99</v>
      </c>
      <c r="V4485" s="46" t="s">
        <v>68</v>
      </c>
      <c r="W4485" s="46">
        <v>2300</v>
      </c>
      <c r="X4485" s="46">
        <v>4.99</v>
      </c>
      <c r="AF4485" s="46">
        <v>50</v>
      </c>
      <c r="AG4485" s="46">
        <v>36700</v>
      </c>
      <c r="AH4485" s="46">
        <v>180101.02000000002</v>
      </c>
      <c r="AI4485" s="46">
        <v>4.907</v>
      </c>
      <c r="AJ4485" s="46">
        <v>58</v>
      </c>
      <c r="AK4485" s="46">
        <v>35300</v>
      </c>
      <c r="AL4485" s="46">
        <v>178266.546</v>
      </c>
      <c r="AM4485" s="46">
        <v>5.05</v>
      </c>
      <c r="AN4485" s="46" t="s">
        <v>63</v>
      </c>
      <c r="AO4485" s="46">
        <v>1400</v>
      </c>
      <c r="AP4485" s="46">
        <v>1834.4739999999999</v>
      </c>
      <c r="AQ4485" s="46">
        <v>1.31</v>
      </c>
      <c r="AR4485" s="46">
        <v>5047.8999999999996</v>
      </c>
      <c r="AS4485" s="46">
        <v>51</v>
      </c>
      <c r="AT4485" s="46">
        <v>37700</v>
      </c>
      <c r="AU4485" s="46">
        <v>185106.62</v>
      </c>
      <c r="AV4485" s="46">
        <v>4.91</v>
      </c>
      <c r="AW4485" s="46">
        <v>63</v>
      </c>
      <c r="AX4485" s="46">
        <v>37600</v>
      </c>
      <c r="AY4485" s="46">
        <v>189763.68900000001</v>
      </c>
      <c r="AZ4485" s="46">
        <v>5.0469999999999997</v>
      </c>
      <c r="BA4485" s="46" t="s">
        <v>63</v>
      </c>
      <c r="BB4485" s="46">
        <v>100</v>
      </c>
      <c r="BC4485" s="46">
        <v>4657.0690000000004</v>
      </c>
      <c r="BD4485" s="46">
        <v>46.570999999999998</v>
      </c>
      <c r="BE4485" s="46">
        <v>5151.2</v>
      </c>
      <c r="BF4485" s="46">
        <v>5005.5999999999767</v>
      </c>
      <c r="BH4485" s="46">
        <v>11497.143000000011</v>
      </c>
      <c r="BI4485">
        <v>5</v>
      </c>
      <c r="BJ4485">
        <v>2822.5950000000003</v>
      </c>
      <c r="BK4485">
        <v>1.23</v>
      </c>
      <c r="BL4485">
        <v>948.85</v>
      </c>
    </row>
    <row r="4486" spans="1:64" x14ac:dyDescent="0.25">
      <c r="A4486" s="136">
        <v>44165</v>
      </c>
      <c r="B4486" t="s">
        <v>71</v>
      </c>
      <c r="C4486" t="s">
        <v>126</v>
      </c>
      <c r="D4486">
        <v>5200</v>
      </c>
      <c r="E4486">
        <v>5200</v>
      </c>
      <c r="F4486">
        <v>4.1029999999999998</v>
      </c>
      <c r="G4486">
        <v>5910.18</v>
      </c>
      <c r="H4486">
        <v>27.7</v>
      </c>
      <c r="I4486">
        <v>27248</v>
      </c>
      <c r="J4486">
        <v>5.24</v>
      </c>
      <c r="K4486" s="133">
        <v>5.8354193722602435E-2</v>
      </c>
      <c r="L4486" s="181">
        <v>5.5900000000001455</v>
      </c>
      <c r="M4486" s="133">
        <v>4.5696978930491065E-2</v>
      </c>
      <c r="N4486" s="73">
        <v>-22369.924000000014</v>
      </c>
      <c r="O4486" s="73">
        <v>1285.4514582417557</v>
      </c>
      <c r="P4486" s="182">
        <v>2</v>
      </c>
      <c r="Q4486" s="182">
        <v>900</v>
      </c>
      <c r="R4486" s="46">
        <v>5.0919999999999996</v>
      </c>
      <c r="S4486" s="46">
        <v>2</v>
      </c>
      <c r="T4486" s="46">
        <v>800</v>
      </c>
      <c r="U4486" s="46">
        <v>5.3150000000000004</v>
      </c>
      <c r="V4486" s="46" t="s">
        <v>62</v>
      </c>
      <c r="W4486" s="46">
        <v>100</v>
      </c>
      <c r="X4486" s="46">
        <v>3.3079999999999998</v>
      </c>
      <c r="AF4486" s="46">
        <v>78</v>
      </c>
      <c r="AG4486" s="46">
        <v>42100</v>
      </c>
      <c r="AH4486" s="46">
        <v>252170.97999999978</v>
      </c>
      <c r="AI4486" s="46">
        <v>5.99</v>
      </c>
      <c r="AJ4486" s="46">
        <v>85</v>
      </c>
      <c r="AK4486" s="46">
        <v>36600</v>
      </c>
      <c r="AL4486" s="46">
        <v>228819.552</v>
      </c>
      <c r="AM4486" s="46">
        <v>6.2519999999999998</v>
      </c>
      <c r="AN4486" s="46" t="s">
        <v>63</v>
      </c>
      <c r="AO4486" s="46">
        <v>5500</v>
      </c>
      <c r="AP4486" s="46">
        <v>23351.428</v>
      </c>
      <c r="AQ4486" s="46">
        <v>4.2460000000000004</v>
      </c>
      <c r="AR4486" s="46">
        <v>9589.2000000000007</v>
      </c>
      <c r="AS4486" s="46">
        <v>80</v>
      </c>
      <c r="AT4486" s="46">
        <v>43000</v>
      </c>
      <c r="AU4486" s="46">
        <v>256764.51999999976</v>
      </c>
      <c r="AV4486" s="46">
        <v>5.9710000000000001</v>
      </c>
      <c r="AW4486" s="46">
        <v>88</v>
      </c>
      <c r="AX4486" s="46">
        <v>37800</v>
      </c>
      <c r="AY4486" s="46">
        <v>235233.39599999998</v>
      </c>
      <c r="AZ4486" s="46">
        <v>6.2229999999999999</v>
      </c>
      <c r="BA4486" s="46" t="s">
        <v>63</v>
      </c>
      <c r="BB4486" s="46">
        <v>5200</v>
      </c>
      <c r="BC4486" s="46">
        <v>21531.124</v>
      </c>
      <c r="BD4486" s="46">
        <v>4.141</v>
      </c>
      <c r="BE4486" s="46">
        <v>9525.6</v>
      </c>
      <c r="BF4486" s="46">
        <v>4593.539999999979</v>
      </c>
      <c r="BG4486" s="46">
        <v>5.0999999999999996</v>
      </c>
      <c r="BH4486" s="46">
        <v>6413.8439999999828</v>
      </c>
      <c r="BI4486">
        <v>8.02</v>
      </c>
      <c r="BJ4486">
        <v>-1820.3040000000001</v>
      </c>
      <c r="BK4486">
        <v>-18.2</v>
      </c>
      <c r="BL4486">
        <v>1830</v>
      </c>
    </row>
    <row r="4487" spans="1:64" x14ac:dyDescent="0.25">
      <c r="A4487" s="136">
        <v>44165</v>
      </c>
      <c r="B4487" t="s">
        <v>79</v>
      </c>
      <c r="C4487" t="s">
        <v>143</v>
      </c>
      <c r="D4487">
        <v>11600</v>
      </c>
      <c r="E4487">
        <v>11600</v>
      </c>
      <c r="F4487">
        <v>9.2390000000000008</v>
      </c>
      <c r="G4487">
        <v>-28180.12</v>
      </c>
      <c r="H4487">
        <v>-26.29</v>
      </c>
      <c r="I4487">
        <v>78996</v>
      </c>
      <c r="J4487">
        <v>6.81</v>
      </c>
      <c r="K4487" s="133">
        <v>0.1691774767803399</v>
      </c>
      <c r="L4487" s="181">
        <v>-928</v>
      </c>
      <c r="M4487" s="133">
        <v>0.22952789448461849</v>
      </c>
      <c r="N4487" s="73">
        <v>-27296.491400000552</v>
      </c>
      <c r="O4487" s="73">
        <v>-3959.7740427141589</v>
      </c>
      <c r="P4487" s="182">
        <v>8</v>
      </c>
      <c r="Q4487" s="182">
        <v>6420</v>
      </c>
      <c r="R4487" s="46">
        <v>3.9540000000000002</v>
      </c>
      <c r="S4487" s="46">
        <v>0</v>
      </c>
      <c r="T4487" s="46">
        <v>0</v>
      </c>
      <c r="U4487" s="46">
        <v>0</v>
      </c>
      <c r="V4487" s="46" t="s">
        <v>62</v>
      </c>
      <c r="W4487" s="46">
        <v>6420</v>
      </c>
      <c r="X4487" s="46">
        <v>3.9540000000000002</v>
      </c>
      <c r="AF4487" s="46">
        <v>107</v>
      </c>
      <c r="AG4487" s="46">
        <v>51300</v>
      </c>
      <c r="AH4487" s="46">
        <v>512870.77999999904</v>
      </c>
      <c r="AI4487" s="46">
        <v>9.9969999999999999</v>
      </c>
      <c r="AJ4487" s="46">
        <v>109</v>
      </c>
      <c r="AK4487" s="46">
        <v>46520</v>
      </c>
      <c r="AL4487" s="46">
        <v>433842.38059999945</v>
      </c>
      <c r="AM4487" s="46">
        <v>9.3260000000000005</v>
      </c>
      <c r="AN4487" s="46" t="s">
        <v>63</v>
      </c>
      <c r="AO4487" s="46">
        <v>4780</v>
      </c>
      <c r="AP4487" s="46">
        <v>79028.399000000005</v>
      </c>
      <c r="AQ4487" s="46">
        <v>16.533000000000001</v>
      </c>
      <c r="AR4487" s="46">
        <v>-31214.92</v>
      </c>
      <c r="AS4487" s="46">
        <v>116</v>
      </c>
      <c r="AT4487" s="46">
        <v>58120</v>
      </c>
      <c r="AU4487" s="46">
        <v>541062.87199999904</v>
      </c>
      <c r="AV4487" s="46">
        <v>9.3089999999999993</v>
      </c>
      <c r="AW4487" s="46">
        <v>109</v>
      </c>
      <c r="AX4487" s="46">
        <v>46520</v>
      </c>
      <c r="AY4487" s="46">
        <v>433842.38059999945</v>
      </c>
      <c r="AZ4487" s="46">
        <v>9.3260000000000005</v>
      </c>
      <c r="BA4487" s="46" t="s">
        <v>63</v>
      </c>
      <c r="BB4487" s="46">
        <v>11600</v>
      </c>
      <c r="BC4487" s="46">
        <v>107220.49099999999</v>
      </c>
      <c r="BD4487" s="46">
        <v>9.2430000000000003</v>
      </c>
      <c r="BE4487" s="46">
        <v>790.84</v>
      </c>
      <c r="BF4487" s="46">
        <v>28192.092000000004</v>
      </c>
      <c r="BG4487" s="46">
        <v>4.3899999999999997</v>
      </c>
      <c r="BH4487" s="46">
        <v>0</v>
      </c>
      <c r="BJ4487">
        <v>28192.09199999999</v>
      </c>
      <c r="BK4487">
        <v>4.3899999999999997</v>
      </c>
      <c r="BL4487">
        <v>-4583.6899999999996</v>
      </c>
    </row>
    <row r="4488" spans="1:64" x14ac:dyDescent="0.25">
      <c r="A4488" s="136">
        <v>44165</v>
      </c>
      <c r="B4488" t="s">
        <v>749</v>
      </c>
      <c r="C4488" t="s">
        <v>750</v>
      </c>
      <c r="D4488">
        <v>500</v>
      </c>
      <c r="E4488">
        <v>500</v>
      </c>
      <c r="F4488">
        <v>5.65</v>
      </c>
      <c r="G4488">
        <v>260</v>
      </c>
      <c r="H4488">
        <v>9.1999999999999993</v>
      </c>
      <c r="I4488">
        <v>3085</v>
      </c>
      <c r="J4488">
        <v>6.17</v>
      </c>
      <c r="K4488" s="133">
        <v>6.6068220652608818E-3</v>
      </c>
      <c r="L4488" s="181">
        <v>45</v>
      </c>
      <c r="M4488" s="133">
        <v>6.0500072396635299E-3</v>
      </c>
    </row>
    <row r="4489" spans="1:64" x14ac:dyDescent="0.25">
      <c r="A4489" s="136">
        <v>44165</v>
      </c>
      <c r="B4489" t="s">
        <v>776</v>
      </c>
      <c r="C4489" t="s">
        <v>777</v>
      </c>
      <c r="D4489">
        <v>1</v>
      </c>
      <c r="E4489">
        <v>1</v>
      </c>
      <c r="F4489">
        <v>-137.5</v>
      </c>
      <c r="G4489">
        <v>207.13</v>
      </c>
      <c r="H4489">
        <v>0</v>
      </c>
      <c r="I4489">
        <v>69.63</v>
      </c>
      <c r="J4489">
        <v>69.63</v>
      </c>
      <c r="K4489" s="133">
        <v>1.4911929348593685E-4</v>
      </c>
      <c r="L4489" s="181">
        <v>1.3799999999999955</v>
      </c>
      <c r="M4489" s="133">
        <v>0</v>
      </c>
    </row>
    <row r="4490" spans="1:64" x14ac:dyDescent="0.25">
      <c r="A4490" s="136">
        <v>44165</v>
      </c>
      <c r="B4490" t="s">
        <v>65</v>
      </c>
      <c r="C4490" t="s">
        <v>127</v>
      </c>
      <c r="D4490">
        <v>26300</v>
      </c>
      <c r="E4490">
        <v>25900</v>
      </c>
      <c r="F4490">
        <v>8.1620000000000008</v>
      </c>
      <c r="G4490">
        <v>-31625.71</v>
      </c>
      <c r="H4490">
        <v>-14.73</v>
      </c>
      <c r="I4490">
        <v>183048</v>
      </c>
      <c r="J4490">
        <v>6.96</v>
      </c>
      <c r="K4490" s="133">
        <v>0.39201476998439994</v>
      </c>
      <c r="L4490" s="181">
        <v>-207.84000000000015</v>
      </c>
      <c r="M4490" s="133">
        <v>0.45974424766917843</v>
      </c>
      <c r="N4490" s="73">
        <v>-36421.646000000124</v>
      </c>
      <c r="O4490" s="73">
        <v>-4628.821679214735</v>
      </c>
      <c r="P4490" s="182">
        <v>0</v>
      </c>
      <c r="Q4490" s="182">
        <v>0</v>
      </c>
      <c r="R4490" s="46">
        <v>0</v>
      </c>
      <c r="S4490" s="46">
        <v>1</v>
      </c>
      <c r="T4490" s="46">
        <v>400</v>
      </c>
      <c r="U4490" s="46">
        <v>6.99</v>
      </c>
      <c r="V4490" s="46" t="s">
        <v>68</v>
      </c>
      <c r="W4490" s="46">
        <v>400</v>
      </c>
      <c r="X4490" s="46">
        <v>6.99</v>
      </c>
      <c r="AF4490" s="46">
        <v>322</v>
      </c>
      <c r="AG4490" s="46">
        <v>170000</v>
      </c>
      <c r="AH4490" s="46">
        <v>1672972.6810000001</v>
      </c>
      <c r="AI4490" s="46">
        <v>9.8409999999999993</v>
      </c>
      <c r="AJ4490" s="46">
        <v>352</v>
      </c>
      <c r="AK4490" s="46">
        <v>152600</v>
      </c>
      <c r="AL4490" s="46">
        <v>1438888.1569999999</v>
      </c>
      <c r="AM4490" s="46">
        <v>9.4290000000000003</v>
      </c>
      <c r="AN4490" s="46" t="s">
        <v>63</v>
      </c>
      <c r="AO4490" s="46">
        <v>17400</v>
      </c>
      <c r="AP4490" s="46">
        <v>234084.524</v>
      </c>
      <c r="AQ4490" s="46">
        <v>13.452999999999999</v>
      </c>
      <c r="AR4490" s="46">
        <v>-62871.199999999997</v>
      </c>
      <c r="AS4490" s="46">
        <v>326</v>
      </c>
      <c r="AT4490" s="46">
        <v>171800</v>
      </c>
      <c r="AU4490" s="46">
        <v>1685534.6810000001</v>
      </c>
      <c r="AV4490" s="46">
        <v>9.8109999999999999</v>
      </c>
      <c r="AW4490" s="46">
        <v>357</v>
      </c>
      <c r="AX4490" s="46">
        <v>154600</v>
      </c>
      <c r="AY4490" s="46">
        <v>1454735.2689999996</v>
      </c>
      <c r="AZ4490" s="46">
        <v>9.41</v>
      </c>
      <c r="BA4490" s="46" t="s">
        <v>63</v>
      </c>
      <c r="BB4490" s="46">
        <v>17200</v>
      </c>
      <c r="BC4490" s="46">
        <v>230799.41200000001</v>
      </c>
      <c r="BD4490" s="46">
        <v>13.419</v>
      </c>
      <c r="BE4490" s="46">
        <v>-61994.6</v>
      </c>
      <c r="BF4490" s="46">
        <v>12562</v>
      </c>
      <c r="BH4490" s="46">
        <v>15847.111999999732</v>
      </c>
      <c r="BI4490">
        <v>39.619999999999997</v>
      </c>
      <c r="BJ4490">
        <v>-3285.1119999999937</v>
      </c>
      <c r="BK4490">
        <v>-8.2100000000000009</v>
      </c>
      <c r="BL4490">
        <v>-9033.2199999999993</v>
      </c>
    </row>
    <row r="4491" spans="1:64" x14ac:dyDescent="0.25">
      <c r="A4491" s="136">
        <v>44165</v>
      </c>
      <c r="B4491" t="s">
        <v>77</v>
      </c>
      <c r="C4491" t="s">
        <v>150</v>
      </c>
      <c r="D4491">
        <v>6500</v>
      </c>
      <c r="E4491">
        <v>6500</v>
      </c>
      <c r="F4491">
        <v>5.0750000000000002</v>
      </c>
      <c r="G4491">
        <v>-15694.42</v>
      </c>
      <c r="H4491">
        <v>-47.58</v>
      </c>
      <c r="I4491">
        <v>17290</v>
      </c>
      <c r="J4491">
        <v>2.66</v>
      </c>
      <c r="K4491" s="133">
        <v>3.702818590222387E-2</v>
      </c>
      <c r="L4491" s="181">
        <v>-780</v>
      </c>
      <c r="M4491" s="133">
        <v>7.0639284883576112E-2</v>
      </c>
      <c r="N4491" s="73">
        <v>-15029.371999999981</v>
      </c>
      <c r="O4491" s="73">
        <v>-5113.418068309853</v>
      </c>
      <c r="P4491" s="182">
        <v>6</v>
      </c>
      <c r="Q4491" s="182">
        <v>3500</v>
      </c>
      <c r="R4491" s="46">
        <v>3.7789999999999999</v>
      </c>
      <c r="S4491" s="46">
        <v>1</v>
      </c>
      <c r="T4491" s="46">
        <v>400</v>
      </c>
      <c r="U4491" s="46">
        <v>2.77</v>
      </c>
      <c r="V4491" s="46" t="s">
        <v>62</v>
      </c>
      <c r="W4491" s="46">
        <v>3100</v>
      </c>
      <c r="X4491" s="46">
        <v>3.9089999999999998</v>
      </c>
      <c r="AF4491" s="46">
        <v>72</v>
      </c>
      <c r="AG4491" s="46">
        <v>35400</v>
      </c>
      <c r="AH4491" s="46">
        <v>210838</v>
      </c>
      <c r="AI4491" s="46">
        <v>5.9560000000000004</v>
      </c>
      <c r="AJ4491" s="46">
        <v>71</v>
      </c>
      <c r="AK4491" s="46">
        <v>31600</v>
      </c>
      <c r="AL4491" s="46">
        <v>188583.87200000006</v>
      </c>
      <c r="AM4491" s="46">
        <v>5.968</v>
      </c>
      <c r="AN4491" s="46" t="s">
        <v>63</v>
      </c>
      <c r="AO4491" s="46">
        <v>3800</v>
      </c>
      <c r="AP4491" s="46">
        <v>22254.128000000001</v>
      </c>
      <c r="AQ4491" s="46">
        <v>5.8559999999999999</v>
      </c>
      <c r="AR4491" s="46">
        <v>379.2</v>
      </c>
      <c r="AS4491" s="46">
        <v>78</v>
      </c>
      <c r="AT4491" s="46">
        <v>38900</v>
      </c>
      <c r="AU4491" s="46">
        <v>223805</v>
      </c>
      <c r="AV4491" s="46">
        <v>5.7530000000000001</v>
      </c>
      <c r="AW4491" s="46">
        <v>73</v>
      </c>
      <c r="AX4491" s="46">
        <v>32400</v>
      </c>
      <c r="AY4491" s="46">
        <v>190815.62800000006</v>
      </c>
      <c r="AZ4491" s="46">
        <v>5.8890000000000002</v>
      </c>
      <c r="BA4491" s="46" t="s">
        <v>63</v>
      </c>
      <c r="BB4491" s="46">
        <v>6500</v>
      </c>
      <c r="BC4491" s="46">
        <v>32989.372000000003</v>
      </c>
      <c r="BD4491" s="46">
        <v>5.0750000000000002</v>
      </c>
      <c r="BE4491" s="46">
        <v>4406.3999999999996</v>
      </c>
      <c r="BF4491" s="46">
        <v>12967</v>
      </c>
      <c r="BG4491" s="46">
        <v>3.7</v>
      </c>
      <c r="BH4491" s="46">
        <v>2231.7559999999939</v>
      </c>
      <c r="BI4491">
        <v>5.58</v>
      </c>
      <c r="BJ4491">
        <v>10735.244000000002</v>
      </c>
      <c r="BK4491">
        <v>3.46</v>
      </c>
      <c r="BL4491">
        <v>142.56</v>
      </c>
    </row>
    <row r="4492" spans="1:64" x14ac:dyDescent="0.25">
      <c r="A4492" s="136">
        <v>44165</v>
      </c>
      <c r="B4492" t="s">
        <v>72</v>
      </c>
      <c r="C4492" t="s">
        <v>130</v>
      </c>
      <c r="D4492">
        <v>100</v>
      </c>
      <c r="E4492">
        <v>100</v>
      </c>
      <c r="F4492">
        <v>1.53</v>
      </c>
      <c r="G4492">
        <v>352</v>
      </c>
      <c r="H4492">
        <v>230.07</v>
      </c>
      <c r="I4492">
        <v>505</v>
      </c>
      <c r="J4492">
        <v>5.05</v>
      </c>
      <c r="K4492" s="133">
        <v>1.0815057189487018E-3</v>
      </c>
      <c r="L4492" s="181">
        <v>1</v>
      </c>
      <c r="M4492" s="133">
        <v>3.2766410890921067E-4</v>
      </c>
      <c r="N4492" s="73">
        <v>-1498.9659999999872</v>
      </c>
      <c r="O4492" s="73">
        <v>376.42007904191922</v>
      </c>
      <c r="P4492" s="182">
        <v>0</v>
      </c>
      <c r="Q4492" s="182">
        <v>0</v>
      </c>
      <c r="R4492" s="46">
        <v>0</v>
      </c>
      <c r="S4492" s="46">
        <v>20</v>
      </c>
      <c r="T4492" s="46">
        <v>8600</v>
      </c>
      <c r="U4492" s="46">
        <v>7.3840000000000003</v>
      </c>
      <c r="V4492" s="46" t="s">
        <v>68</v>
      </c>
      <c r="W4492" s="46">
        <v>8600</v>
      </c>
      <c r="X4492" s="46">
        <v>7.3840000000000003</v>
      </c>
      <c r="AF4492" s="46">
        <v>42</v>
      </c>
      <c r="AG4492" s="46">
        <v>20900</v>
      </c>
      <c r="AH4492" s="46">
        <v>152800</v>
      </c>
      <c r="AI4492" s="46">
        <v>7.3109999999999999</v>
      </c>
      <c r="AJ4492" s="46">
        <v>42</v>
      </c>
      <c r="AK4492" s="46">
        <v>18800</v>
      </c>
      <c r="AL4492" s="46">
        <v>92037.725000000035</v>
      </c>
      <c r="AM4492" s="46">
        <v>4.8959999999999999</v>
      </c>
      <c r="AN4492" s="46" t="s">
        <v>63</v>
      </c>
      <c r="AO4492" s="46">
        <v>2100</v>
      </c>
      <c r="AP4492" s="46">
        <v>60762.275000000001</v>
      </c>
      <c r="AQ4492" s="46">
        <v>28.934000000000001</v>
      </c>
      <c r="AR4492" s="46">
        <v>-45402</v>
      </c>
      <c r="AS4492" s="46">
        <v>42</v>
      </c>
      <c r="AT4492" s="46">
        <v>20900</v>
      </c>
      <c r="AU4492" s="46">
        <v>152800</v>
      </c>
      <c r="AV4492" s="46">
        <v>7.3109999999999999</v>
      </c>
      <c r="AW4492" s="46">
        <v>63</v>
      </c>
      <c r="AX4492" s="46">
        <v>27900</v>
      </c>
      <c r="AY4492" s="46">
        <v>155380.21900000001</v>
      </c>
      <c r="AZ4492" s="46">
        <v>5.569</v>
      </c>
      <c r="BA4492" s="46" t="s">
        <v>69</v>
      </c>
      <c r="BB4492" s="46">
        <v>7000</v>
      </c>
      <c r="BC4492" s="46">
        <v>2580.2190000000001</v>
      </c>
      <c r="BD4492" s="46">
        <v>0.36899999999999999</v>
      </c>
      <c r="BE4492" s="46">
        <v>-36407.800000000003</v>
      </c>
      <c r="BF4492" s="46">
        <v>0</v>
      </c>
      <c r="BH4492" s="46">
        <v>63342.493999999977</v>
      </c>
      <c r="BI4492">
        <v>7.37</v>
      </c>
      <c r="BJ4492">
        <v>-58182.056000000004</v>
      </c>
      <c r="BK4492">
        <v>-6.77</v>
      </c>
      <c r="BL4492">
        <v>-8990.5</v>
      </c>
    </row>
    <row r="4493" spans="1:64" x14ac:dyDescent="0.25">
      <c r="A4493" s="136">
        <v>44165</v>
      </c>
      <c r="B4493" t="s">
        <v>70</v>
      </c>
      <c r="C4493" t="s">
        <v>131</v>
      </c>
      <c r="D4493">
        <v>14180</v>
      </c>
      <c r="E4493">
        <v>14180</v>
      </c>
      <c r="F4493">
        <v>8.0050000000000008</v>
      </c>
      <c r="G4493">
        <v>-8574.15</v>
      </c>
      <c r="H4493">
        <v>-7.55</v>
      </c>
      <c r="I4493">
        <v>104932</v>
      </c>
      <c r="J4493">
        <v>7.4</v>
      </c>
      <c r="K4493" s="133">
        <v>0.22472189722915878</v>
      </c>
      <c r="L4493" s="181">
        <v>-1808.3999999999996</v>
      </c>
      <c r="M4493" s="133">
        <v>0.24308425814029541</v>
      </c>
      <c r="N4493" s="73">
        <v>-7164.0409999999829</v>
      </c>
      <c r="O4493" s="73">
        <v>-954.72786393333115</v>
      </c>
      <c r="P4493" s="182">
        <v>0</v>
      </c>
      <c r="Q4493" s="182">
        <v>0</v>
      </c>
      <c r="R4493" s="46">
        <v>0</v>
      </c>
      <c r="S4493" s="46">
        <v>9</v>
      </c>
      <c r="T4493" s="46">
        <v>3600</v>
      </c>
      <c r="U4493" s="46">
        <v>7.734</v>
      </c>
      <c r="V4493" s="46" t="s">
        <v>68</v>
      </c>
      <c r="W4493" s="46">
        <v>3600</v>
      </c>
      <c r="X4493" s="46">
        <v>7.734</v>
      </c>
      <c r="AF4493" s="46">
        <v>247</v>
      </c>
      <c r="AG4493" s="46">
        <v>123280</v>
      </c>
      <c r="AH4493" s="46">
        <v>1306796</v>
      </c>
      <c r="AI4493" s="46">
        <v>10.6</v>
      </c>
      <c r="AJ4493" s="46">
        <v>258</v>
      </c>
      <c r="AK4493" s="46">
        <v>105500</v>
      </c>
      <c r="AL4493" s="46">
        <v>1163335.8029999996</v>
      </c>
      <c r="AM4493" s="46">
        <v>11.026999999999999</v>
      </c>
      <c r="AN4493" s="46" t="s">
        <v>63</v>
      </c>
      <c r="AO4493" s="46">
        <v>17780</v>
      </c>
      <c r="AP4493" s="46">
        <v>143460.19699999999</v>
      </c>
      <c r="AQ4493" s="46">
        <v>8.0690000000000008</v>
      </c>
      <c r="AR4493" s="46">
        <v>45048.5</v>
      </c>
      <c r="AS4493" s="46">
        <v>247</v>
      </c>
      <c r="AT4493" s="46">
        <v>123280</v>
      </c>
      <c r="AU4493" s="46">
        <v>1306796</v>
      </c>
      <c r="AV4493" s="46">
        <v>10.6</v>
      </c>
      <c r="AW4493" s="46">
        <v>268</v>
      </c>
      <c r="AX4493" s="46">
        <v>109100</v>
      </c>
      <c r="AY4493" s="46">
        <v>1191511.9589999996</v>
      </c>
      <c r="AZ4493" s="46">
        <v>10.920999999999999</v>
      </c>
      <c r="BA4493" s="46" t="s">
        <v>63</v>
      </c>
      <c r="BB4493" s="46">
        <v>14180</v>
      </c>
      <c r="BC4493" s="46">
        <v>115284.041</v>
      </c>
      <c r="BD4493" s="46">
        <v>8.1300000000000008</v>
      </c>
      <c r="BE4493" s="46">
        <v>35021.1</v>
      </c>
      <c r="BF4493" s="46">
        <v>0</v>
      </c>
      <c r="BH4493" s="46">
        <v>28176.155999999959</v>
      </c>
      <c r="BI4493">
        <v>7.83</v>
      </c>
      <c r="BJ4493">
        <v>-28176.155999999988</v>
      </c>
      <c r="BK4493">
        <v>-7.83</v>
      </c>
      <c r="BL4493">
        <v>6087.64</v>
      </c>
    </row>
    <row r="4494" spans="1:64" x14ac:dyDescent="0.25">
      <c r="A4494" s="136">
        <v>44165</v>
      </c>
      <c r="B4494" t="s">
        <v>628</v>
      </c>
      <c r="C4494" t="s">
        <v>629</v>
      </c>
      <c r="D4494">
        <v>100</v>
      </c>
      <c r="E4494">
        <v>100</v>
      </c>
      <c r="F4494">
        <v>0.95</v>
      </c>
      <c r="G4494">
        <v>1376</v>
      </c>
      <c r="H4494">
        <v>1448.42</v>
      </c>
      <c r="I4494">
        <v>1471</v>
      </c>
      <c r="J4494">
        <v>14.71</v>
      </c>
      <c r="K4494" s="133">
        <v>3.1502869555911691E-3</v>
      </c>
      <c r="L4494" s="181">
        <v>33</v>
      </c>
      <c r="M4494" s="133">
        <v>2.0345157089133995E-4</v>
      </c>
    </row>
    <row r="4495" spans="1:64" x14ac:dyDescent="0.25">
      <c r="A4495" s="136">
        <v>44165</v>
      </c>
      <c r="B4495" t="s">
        <v>768</v>
      </c>
      <c r="C4495" t="s">
        <v>769</v>
      </c>
      <c r="D4495">
        <v>500</v>
      </c>
      <c r="E4495">
        <v>500</v>
      </c>
      <c r="F4495">
        <v>2.4140000000000001</v>
      </c>
      <c r="G4495">
        <v>198</v>
      </c>
      <c r="H4495">
        <v>16.399999999999999</v>
      </c>
      <c r="I4495">
        <v>1405</v>
      </c>
      <c r="J4495">
        <v>2.81</v>
      </c>
      <c r="K4495" s="133">
        <v>3.0089416537087644E-3</v>
      </c>
      <c r="L4495" s="181">
        <v>0</v>
      </c>
      <c r="M4495" s="133">
        <v>2.5849057480615508E-3</v>
      </c>
    </row>
    <row r="4496" spans="1:64" x14ac:dyDescent="0.25">
      <c r="A4496" s="136">
        <v>44165</v>
      </c>
      <c r="B4496" t="s">
        <v>917</v>
      </c>
      <c r="C4496" t="s">
        <v>918</v>
      </c>
      <c r="D4496">
        <v>10</v>
      </c>
      <c r="E4496">
        <v>10</v>
      </c>
      <c r="F4496">
        <v>100</v>
      </c>
      <c r="G4496">
        <v>0</v>
      </c>
      <c r="H4496">
        <v>0</v>
      </c>
      <c r="I4496">
        <v>1000</v>
      </c>
      <c r="J4496">
        <v>100</v>
      </c>
      <c r="K4496" s="133">
        <v>2.1415954830667364E-3</v>
      </c>
      <c r="L4496" s="181">
        <v>0</v>
      </c>
      <c r="M4496" s="133">
        <v>2.1415954830667364E-3</v>
      </c>
    </row>
    <row r="4497" spans="1:64" x14ac:dyDescent="0.25">
      <c r="A4497" s="136">
        <v>44165</v>
      </c>
      <c r="B4497" t="s">
        <v>137</v>
      </c>
      <c r="C4497" t="s">
        <v>149</v>
      </c>
      <c r="D4497">
        <v>150</v>
      </c>
      <c r="E4497">
        <v>150</v>
      </c>
      <c r="F4497">
        <v>1</v>
      </c>
      <c r="G4497">
        <v>4845</v>
      </c>
      <c r="H4497">
        <v>3230</v>
      </c>
      <c r="I4497">
        <v>4995</v>
      </c>
      <c r="J4497">
        <v>33.299999999999997</v>
      </c>
      <c r="K4497" s="133">
        <v>1.0697269437918348E-2</v>
      </c>
      <c r="L4497" s="181">
        <v>-34.5</v>
      </c>
      <c r="M4497" s="133">
        <v>3.2123932246001043E-4</v>
      </c>
    </row>
    <row r="4498" spans="1:64" x14ac:dyDescent="0.25">
      <c r="A4498" s="136">
        <v>44165</v>
      </c>
      <c r="B4498" t="s">
        <v>835</v>
      </c>
      <c r="C4498" t="s">
        <v>839</v>
      </c>
      <c r="I4498">
        <v>27533.93</v>
      </c>
      <c r="K4498" s="133">
        <v>5.8966540119075705E-2</v>
      </c>
      <c r="L4498" s="181">
        <v>0</v>
      </c>
      <c r="M4498" s="133">
        <v>1.0772225279825684E-5</v>
      </c>
    </row>
    <row r="4499" spans="1:64" x14ac:dyDescent="0.25">
      <c r="A4499" s="136">
        <v>44172</v>
      </c>
      <c r="B4499" t="s">
        <v>77</v>
      </c>
      <c r="C4499" t="s">
        <v>150</v>
      </c>
      <c r="D4499">
        <v>6900</v>
      </c>
      <c r="E4499">
        <v>6900</v>
      </c>
      <c r="F4499">
        <v>4.9400000000000004</v>
      </c>
      <c r="G4499">
        <v>-15386.42</v>
      </c>
      <c r="H4499">
        <v>-45.142000000000003</v>
      </c>
      <c r="I4499">
        <v>18699</v>
      </c>
      <c r="J4499">
        <v>2.71</v>
      </c>
      <c r="K4499" s="133">
        <v>4.0252470105453332E-2</v>
      </c>
      <c r="L4499" s="181">
        <v>308</v>
      </c>
      <c r="M4499" s="133">
        <v>7.3374102870839134E-2</v>
      </c>
      <c r="N4499" s="73">
        <v>-34830.371999999981</v>
      </c>
      <c r="O4499" s="73">
        <v>-5538.9707350364897</v>
      </c>
      <c r="P4499" s="182">
        <v>6</v>
      </c>
      <c r="Q4499" s="182">
        <v>3500</v>
      </c>
      <c r="R4499" s="46">
        <v>3.7789999999999999</v>
      </c>
      <c r="S4499" s="46">
        <v>1</v>
      </c>
      <c r="T4499" s="46">
        <v>400</v>
      </c>
      <c r="U4499" s="46">
        <v>2.77</v>
      </c>
      <c r="V4499" s="46" t="s">
        <v>62</v>
      </c>
      <c r="W4499" s="46">
        <v>3100</v>
      </c>
      <c r="X4499" s="46">
        <v>3.9089999999999998</v>
      </c>
      <c r="AF4499" s="46">
        <v>72</v>
      </c>
      <c r="AG4499" s="46">
        <v>35400</v>
      </c>
      <c r="AH4499" s="46">
        <v>210838</v>
      </c>
      <c r="AI4499" s="46">
        <v>5.9560000000000004</v>
      </c>
      <c r="AJ4499" s="46">
        <v>72</v>
      </c>
      <c r="AK4499" s="46">
        <v>32000</v>
      </c>
      <c r="AL4499" s="46">
        <v>189713.73600000006</v>
      </c>
      <c r="AM4499" s="46">
        <v>5.9290000000000003</v>
      </c>
      <c r="AN4499" s="46" t="s">
        <v>63</v>
      </c>
      <c r="AO4499" s="46">
        <v>3400</v>
      </c>
      <c r="AP4499" s="46">
        <v>21124.263999999999</v>
      </c>
      <c r="AQ4499" s="46">
        <v>6.2130000000000001</v>
      </c>
      <c r="AR4499" s="46">
        <v>-864</v>
      </c>
      <c r="AS4499" s="46">
        <v>79</v>
      </c>
      <c r="AT4499" s="46">
        <v>39300</v>
      </c>
      <c r="AU4499" s="46">
        <v>224906</v>
      </c>
      <c r="AV4499" s="46">
        <v>5.7229999999999999</v>
      </c>
      <c r="AW4499" s="46">
        <v>73</v>
      </c>
      <c r="AX4499" s="46">
        <v>32400</v>
      </c>
      <c r="AY4499" s="46">
        <v>190815.62800000006</v>
      </c>
      <c r="AZ4499" s="46">
        <v>5.8890000000000002</v>
      </c>
      <c r="BA4499" s="46" t="s">
        <v>63</v>
      </c>
      <c r="BB4499" s="46">
        <v>6900</v>
      </c>
      <c r="BC4499" s="46">
        <v>34090.372000000003</v>
      </c>
      <c r="BD4499" s="46">
        <v>4.9409999999999998</v>
      </c>
      <c r="BE4499" s="46">
        <v>5378.4</v>
      </c>
      <c r="BF4499" s="46">
        <v>14068</v>
      </c>
      <c r="BG4499" s="46">
        <v>4.0199999999999996</v>
      </c>
      <c r="BH4499" s="46">
        <v>1101.8919999999925</v>
      </c>
      <c r="BI4499">
        <v>2.75</v>
      </c>
      <c r="BJ4499">
        <v>12966.108000000004</v>
      </c>
      <c r="BK4499">
        <v>4.18</v>
      </c>
      <c r="BL4499">
        <v>-318.82</v>
      </c>
    </row>
    <row r="4500" spans="1:64" x14ac:dyDescent="0.25">
      <c r="A4500" s="136">
        <v>44172</v>
      </c>
      <c r="B4500" t="s">
        <v>79</v>
      </c>
      <c r="C4500" t="s">
        <v>143</v>
      </c>
      <c r="D4500">
        <v>12000</v>
      </c>
      <c r="E4500">
        <v>12000</v>
      </c>
      <c r="F4500">
        <v>9.157</v>
      </c>
      <c r="G4500">
        <v>-29361.17</v>
      </c>
      <c r="H4500">
        <v>-26.722999999999999</v>
      </c>
      <c r="I4500">
        <v>80520</v>
      </c>
      <c r="J4500">
        <v>6.71</v>
      </c>
      <c r="K4500" s="133">
        <v>0.17333166976261311</v>
      </c>
      <c r="L4500" s="181">
        <v>-1181.0499999999993</v>
      </c>
      <c r="M4500" s="133">
        <v>0.23653609875272663</v>
      </c>
      <c r="N4500" s="73">
        <v>-28925.731400000557</v>
      </c>
      <c r="O4500" s="73">
        <v>-4283.1508939704527</v>
      </c>
      <c r="P4500" s="182">
        <v>9</v>
      </c>
      <c r="Q4500" s="182">
        <v>6820</v>
      </c>
      <c r="R4500" s="46">
        <v>4.1269999999999998</v>
      </c>
      <c r="S4500" s="46">
        <v>0</v>
      </c>
      <c r="T4500" s="46">
        <v>0</v>
      </c>
      <c r="U4500" s="46">
        <v>0</v>
      </c>
      <c r="V4500" s="46" t="s">
        <v>62</v>
      </c>
      <c r="W4500" s="46">
        <v>6820</v>
      </c>
      <c r="X4500" s="46">
        <v>4.1269999999999998</v>
      </c>
      <c r="AF4500" s="46">
        <v>107</v>
      </c>
      <c r="AG4500" s="46">
        <v>51300</v>
      </c>
      <c r="AH4500" s="46">
        <v>512870.77999999904</v>
      </c>
      <c r="AI4500" s="46">
        <v>9.9969999999999999</v>
      </c>
      <c r="AJ4500" s="46">
        <v>109</v>
      </c>
      <c r="AK4500" s="46">
        <v>46520</v>
      </c>
      <c r="AL4500" s="46">
        <v>433842.38059999945</v>
      </c>
      <c r="AM4500" s="46">
        <v>9.3260000000000005</v>
      </c>
      <c r="AN4500" s="46" t="s">
        <v>63</v>
      </c>
      <c r="AO4500" s="46">
        <v>4780</v>
      </c>
      <c r="AP4500" s="46">
        <v>79028.399000000005</v>
      </c>
      <c r="AQ4500" s="46">
        <v>16.533000000000001</v>
      </c>
      <c r="AR4500" s="46">
        <v>-31214.92</v>
      </c>
      <c r="AS4500" s="46">
        <v>117</v>
      </c>
      <c r="AT4500" s="46">
        <v>58520</v>
      </c>
      <c r="AU4500" s="46">
        <v>543768.11199999903</v>
      </c>
      <c r="AV4500" s="46">
        <v>9.2919999999999998</v>
      </c>
      <c r="AW4500" s="46">
        <v>109</v>
      </c>
      <c r="AX4500" s="46">
        <v>46520</v>
      </c>
      <c r="AY4500" s="46">
        <v>433842.38059999945</v>
      </c>
      <c r="AZ4500" s="46">
        <v>9.3260000000000005</v>
      </c>
      <c r="BA4500" s="46" t="s">
        <v>63</v>
      </c>
      <c r="BB4500" s="46">
        <v>12000</v>
      </c>
      <c r="BC4500" s="46">
        <v>109925.731</v>
      </c>
      <c r="BD4500" s="46">
        <v>9.16</v>
      </c>
      <c r="BE4500" s="46">
        <v>1581.68</v>
      </c>
      <c r="BF4500" s="46">
        <v>30897.331999999995</v>
      </c>
      <c r="BG4500" s="46">
        <v>4.53</v>
      </c>
      <c r="BH4500" s="46">
        <v>0</v>
      </c>
      <c r="BJ4500">
        <v>30897.331999999995</v>
      </c>
      <c r="BK4500">
        <v>4.53</v>
      </c>
      <c r="BL4500">
        <v>-4652</v>
      </c>
    </row>
    <row r="4501" spans="1:64" x14ac:dyDescent="0.25">
      <c r="A4501" s="136">
        <v>44172</v>
      </c>
      <c r="B4501" t="s">
        <v>65</v>
      </c>
      <c r="C4501" t="s">
        <v>82</v>
      </c>
      <c r="D4501">
        <v>27100</v>
      </c>
      <c r="E4501">
        <v>27100</v>
      </c>
      <c r="F4501">
        <v>8.125</v>
      </c>
      <c r="G4501">
        <v>-36979.71</v>
      </c>
      <c r="H4501">
        <v>-16.8</v>
      </c>
      <c r="I4501">
        <v>183196</v>
      </c>
      <c r="J4501">
        <v>6.76</v>
      </c>
      <c r="K4501" s="133">
        <v>0.39435753320705003</v>
      </c>
      <c r="L4501" s="181">
        <v>-5354</v>
      </c>
      <c r="M4501" s="133">
        <v>0.47396203993379121</v>
      </c>
      <c r="N4501" s="73">
        <v>-38810.646000000124</v>
      </c>
      <c r="O4501" s="73">
        <v>-5038.2230589416449</v>
      </c>
      <c r="P4501" s="182">
        <v>2</v>
      </c>
      <c r="Q4501" s="182">
        <v>800</v>
      </c>
      <c r="R4501" s="46">
        <v>6.8650000000000002</v>
      </c>
      <c r="S4501" s="46">
        <v>1</v>
      </c>
      <c r="T4501" s="46">
        <v>400</v>
      </c>
      <c r="U4501" s="46">
        <v>6.99</v>
      </c>
      <c r="V4501" s="46" t="s">
        <v>62</v>
      </c>
      <c r="W4501" s="46">
        <v>400</v>
      </c>
      <c r="X4501" s="46">
        <v>6.74</v>
      </c>
      <c r="AF4501" s="46">
        <v>322</v>
      </c>
      <c r="AG4501" s="46">
        <v>170000</v>
      </c>
      <c r="AH4501" s="46">
        <v>1672972.6810000001</v>
      </c>
      <c r="AI4501" s="46">
        <v>9.8409999999999993</v>
      </c>
      <c r="AJ4501" s="46">
        <v>352</v>
      </c>
      <c r="AK4501" s="46">
        <v>152600</v>
      </c>
      <c r="AL4501" s="46">
        <v>1438888.1569999999</v>
      </c>
      <c r="AM4501" s="46">
        <v>9.4290000000000003</v>
      </c>
      <c r="AN4501" s="46" t="s">
        <v>63</v>
      </c>
      <c r="AO4501" s="46">
        <v>17400</v>
      </c>
      <c r="AP4501" s="46">
        <v>234084.524</v>
      </c>
      <c r="AQ4501" s="46">
        <v>13.452999999999999</v>
      </c>
      <c r="AR4501" s="46">
        <v>-62871.199999999997</v>
      </c>
      <c r="AS4501" s="46">
        <v>328</v>
      </c>
      <c r="AT4501" s="46">
        <v>172600</v>
      </c>
      <c r="AU4501" s="46">
        <v>1691036.6810000001</v>
      </c>
      <c r="AV4501" s="46">
        <v>9.7970000000000006</v>
      </c>
      <c r="AW4501" s="46">
        <v>357</v>
      </c>
      <c r="AX4501" s="46">
        <v>154600</v>
      </c>
      <c r="AY4501" s="46">
        <v>1454735.2689999996</v>
      </c>
      <c r="AZ4501" s="46">
        <v>9.41</v>
      </c>
      <c r="BA4501" s="46" t="s">
        <v>63</v>
      </c>
      <c r="BB4501" s="46">
        <v>18000</v>
      </c>
      <c r="BC4501" s="46">
        <v>236301.41200000001</v>
      </c>
      <c r="BD4501" s="46">
        <v>13.128</v>
      </c>
      <c r="BE4501" s="46">
        <v>-59830.2</v>
      </c>
      <c r="BF4501" s="46">
        <v>18064</v>
      </c>
      <c r="BG4501" s="46">
        <v>22.58</v>
      </c>
      <c r="BH4501" s="46">
        <v>15847.111999999732</v>
      </c>
      <c r="BI4501">
        <v>39.619999999999997</v>
      </c>
      <c r="BJ4501">
        <v>2216.8880000000063</v>
      </c>
      <c r="BK4501">
        <v>5.54</v>
      </c>
      <c r="BL4501">
        <v>-9300.4699999999993</v>
      </c>
    </row>
    <row r="4502" spans="1:64" x14ac:dyDescent="0.25">
      <c r="A4502" s="136">
        <v>44172</v>
      </c>
      <c r="B4502" t="s">
        <v>61</v>
      </c>
      <c r="C4502" t="s">
        <v>136</v>
      </c>
      <c r="D4502">
        <v>4200</v>
      </c>
      <c r="E4502">
        <v>4200</v>
      </c>
      <c r="F4502">
        <v>4.1719999999999997</v>
      </c>
      <c r="G4502">
        <v>-2863.16</v>
      </c>
      <c r="H4502">
        <v>-16.347000000000001</v>
      </c>
      <c r="I4502">
        <v>14658</v>
      </c>
      <c r="J4502">
        <v>3.49</v>
      </c>
      <c r="K4502" s="133">
        <v>3.1553596812970479E-2</v>
      </c>
      <c r="L4502" s="181">
        <v>-168</v>
      </c>
      <c r="M4502" s="133">
        <v>3.7716988561573593E-2</v>
      </c>
      <c r="N4502" s="73">
        <v>-2528.315000000006</v>
      </c>
      <c r="O4502" s="73">
        <v>-707.85737885154242</v>
      </c>
      <c r="P4502" s="182">
        <v>1</v>
      </c>
      <c r="Q4502" s="182">
        <v>500</v>
      </c>
      <c r="R4502" s="46">
        <v>4.26</v>
      </c>
      <c r="S4502" s="46">
        <v>0</v>
      </c>
      <c r="T4502" s="46">
        <v>0</v>
      </c>
      <c r="U4502" s="46">
        <v>0</v>
      </c>
      <c r="V4502" s="46" t="s">
        <v>62</v>
      </c>
      <c r="W4502" s="46">
        <v>500</v>
      </c>
      <c r="X4502" s="46">
        <v>4.26</v>
      </c>
      <c r="AF4502" s="46">
        <v>36</v>
      </c>
      <c r="AG4502" s="46">
        <v>17900</v>
      </c>
      <c r="AH4502" s="46">
        <v>80451.740000000034</v>
      </c>
      <c r="AI4502" s="46">
        <v>4.4950000000000001</v>
      </c>
      <c r="AJ4502" s="46">
        <v>34</v>
      </c>
      <c r="AK4502" s="46">
        <v>14700</v>
      </c>
      <c r="AL4502" s="46">
        <v>67090.02499999998</v>
      </c>
      <c r="AM4502" s="46">
        <v>4.5640000000000001</v>
      </c>
      <c r="AN4502" s="46" t="s">
        <v>63</v>
      </c>
      <c r="AO4502" s="46">
        <v>3200</v>
      </c>
      <c r="AP4502" s="46">
        <v>13361.715</v>
      </c>
      <c r="AQ4502" s="46">
        <v>4.1760000000000002</v>
      </c>
      <c r="AR4502" s="46">
        <v>1014.3</v>
      </c>
      <c r="AS4502" s="46">
        <v>38</v>
      </c>
      <c r="AT4502" s="46">
        <v>18900</v>
      </c>
      <c r="AU4502" s="46">
        <v>84612.34000000004</v>
      </c>
      <c r="AV4502" s="46">
        <v>4.4770000000000003</v>
      </c>
      <c r="AW4502" s="46">
        <v>34</v>
      </c>
      <c r="AX4502" s="46">
        <v>14700</v>
      </c>
      <c r="AY4502" s="46">
        <v>67090.02499999998</v>
      </c>
      <c r="AZ4502" s="46">
        <v>4.5640000000000001</v>
      </c>
      <c r="BA4502" s="46" t="s">
        <v>63</v>
      </c>
      <c r="BB4502" s="46">
        <v>4200</v>
      </c>
      <c r="BC4502" s="46">
        <v>17522.314999999999</v>
      </c>
      <c r="BD4502" s="46">
        <v>4.1719999999999997</v>
      </c>
      <c r="BE4502" s="46">
        <v>1278.9000000000001</v>
      </c>
      <c r="BF4502" s="46">
        <v>4160.6000000000058</v>
      </c>
      <c r="BG4502" s="46">
        <v>8.32</v>
      </c>
      <c r="BH4502" s="46">
        <v>0</v>
      </c>
      <c r="BJ4502">
        <v>4160.5999999999985</v>
      </c>
      <c r="BK4502">
        <v>8.32</v>
      </c>
      <c r="BL4502">
        <v>290.63</v>
      </c>
    </row>
    <row r="4503" spans="1:64" x14ac:dyDescent="0.25">
      <c r="A4503" s="136">
        <v>44172</v>
      </c>
      <c r="B4503" t="s">
        <v>70</v>
      </c>
      <c r="C4503" t="s">
        <v>131</v>
      </c>
      <c r="D4503">
        <v>14180</v>
      </c>
      <c r="E4503">
        <v>14180</v>
      </c>
      <c r="F4503">
        <v>7.9950000000000001</v>
      </c>
      <c r="G4503">
        <v>-2333.9299999999998</v>
      </c>
      <c r="H4503">
        <v>-2.0640000000000001</v>
      </c>
      <c r="I4503">
        <v>111029.4</v>
      </c>
      <c r="J4503">
        <v>7.83</v>
      </c>
      <c r="K4503" s="133">
        <v>0.23900784022281513</v>
      </c>
      <c r="L4503" s="181">
        <v>6240.2199999999993</v>
      </c>
      <c r="M4503" s="133">
        <v>0.24403198309426388</v>
      </c>
      <c r="N4503" s="73">
        <v>-2767.2209999999759</v>
      </c>
      <c r="O4503" s="73">
        <v>-354.59453711538157</v>
      </c>
      <c r="P4503" s="182">
        <v>0</v>
      </c>
      <c r="Q4503" s="182">
        <v>0</v>
      </c>
      <c r="R4503" s="46">
        <v>0</v>
      </c>
      <c r="S4503" s="46">
        <v>9</v>
      </c>
      <c r="T4503" s="46">
        <v>3600</v>
      </c>
      <c r="U4503" s="46">
        <v>7.7329999999999997</v>
      </c>
      <c r="V4503" s="46" t="s">
        <v>68</v>
      </c>
      <c r="W4503" s="46">
        <v>3600</v>
      </c>
      <c r="X4503" s="46">
        <v>7.7329999999999997</v>
      </c>
      <c r="AF4503" s="46">
        <v>248</v>
      </c>
      <c r="AG4503" s="46">
        <v>124080</v>
      </c>
      <c r="AH4503" s="46">
        <v>1312817</v>
      </c>
      <c r="AI4503" s="46">
        <v>10.58</v>
      </c>
      <c r="AJ4503" s="46">
        <v>260</v>
      </c>
      <c r="AK4503" s="46">
        <v>106300</v>
      </c>
      <c r="AL4503" s="46">
        <v>1169503.6189999997</v>
      </c>
      <c r="AM4503" s="46">
        <v>11.002000000000001</v>
      </c>
      <c r="AN4503" s="46" t="s">
        <v>63</v>
      </c>
      <c r="AO4503" s="46">
        <v>17780</v>
      </c>
      <c r="AP4503" s="46">
        <v>143313.38099999999</v>
      </c>
      <c r="AQ4503" s="46">
        <v>8.06</v>
      </c>
      <c r="AR4503" s="46">
        <v>44858.6</v>
      </c>
      <c r="AS4503" s="46">
        <v>248</v>
      </c>
      <c r="AT4503" s="46">
        <v>124080</v>
      </c>
      <c r="AU4503" s="46">
        <v>1312817</v>
      </c>
      <c r="AV4503" s="46">
        <v>10.58</v>
      </c>
      <c r="AW4503" s="46">
        <v>270</v>
      </c>
      <c r="AX4503" s="46">
        <v>109900</v>
      </c>
      <c r="AY4503" s="46">
        <v>1197675.7789999996</v>
      </c>
      <c r="AZ4503" s="46">
        <v>10.898</v>
      </c>
      <c r="BA4503" s="46" t="s">
        <v>63</v>
      </c>
      <c r="BB4503" s="46">
        <v>14180</v>
      </c>
      <c r="BC4503" s="46">
        <v>115141.22100000001</v>
      </c>
      <c r="BD4503" s="46">
        <v>8.1199999999999992</v>
      </c>
      <c r="BE4503" s="46">
        <v>34948.199999999997</v>
      </c>
      <c r="BF4503" s="46">
        <v>0</v>
      </c>
      <c r="BH4503" s="46">
        <v>28172.159999999916</v>
      </c>
      <c r="BI4503">
        <v>7.83</v>
      </c>
      <c r="BJ4503">
        <v>-28172.159999999989</v>
      </c>
      <c r="BK4503">
        <v>-7.83</v>
      </c>
      <c r="BL4503">
        <v>5729.07</v>
      </c>
    </row>
    <row r="4504" spans="1:64" x14ac:dyDescent="0.25">
      <c r="A4504" s="136">
        <v>44172</v>
      </c>
      <c r="B4504" t="s">
        <v>132</v>
      </c>
      <c r="C4504" t="s">
        <v>123</v>
      </c>
      <c r="D4504">
        <v>503</v>
      </c>
      <c r="E4504">
        <v>503</v>
      </c>
      <c r="F4504">
        <v>-0.59299999999999997</v>
      </c>
      <c r="G4504">
        <v>303.52999999999997</v>
      </c>
      <c r="H4504">
        <v>0</v>
      </c>
      <c r="I4504">
        <v>5.03</v>
      </c>
      <c r="J4504">
        <v>0.01</v>
      </c>
      <c r="K4504" s="133">
        <v>1.0827847726104618E-5</v>
      </c>
      <c r="L4504" s="181">
        <v>0</v>
      </c>
      <c r="M4504" s="133">
        <v>0</v>
      </c>
    </row>
    <row r="4505" spans="1:64" x14ac:dyDescent="0.25">
      <c r="A4505" s="136">
        <v>44172</v>
      </c>
      <c r="B4505" t="s">
        <v>776</v>
      </c>
      <c r="C4505" t="s">
        <v>777</v>
      </c>
      <c r="D4505">
        <v>1</v>
      </c>
      <c r="E4505">
        <v>1</v>
      </c>
      <c r="F4505">
        <v>-137.5</v>
      </c>
      <c r="G4505">
        <v>209.19</v>
      </c>
      <c r="H4505">
        <v>0</v>
      </c>
      <c r="I4505">
        <v>71.69</v>
      </c>
      <c r="J4505">
        <v>71.69</v>
      </c>
      <c r="K4505" s="133">
        <v>1.5432373826728429E-4</v>
      </c>
      <c r="L4505" s="181">
        <v>2.0600000000000023</v>
      </c>
      <c r="M4505" s="133">
        <v>0</v>
      </c>
    </row>
    <row r="4506" spans="1:64" x14ac:dyDescent="0.25">
      <c r="A4506" s="136">
        <v>44172</v>
      </c>
      <c r="B4506" t="s">
        <v>1154</v>
      </c>
      <c r="C4506" t="s">
        <v>1155</v>
      </c>
      <c r="D4506">
        <v>10</v>
      </c>
      <c r="E4506">
        <v>0</v>
      </c>
      <c r="F4506">
        <v>100</v>
      </c>
      <c r="G4506">
        <v>0</v>
      </c>
      <c r="H4506">
        <v>0</v>
      </c>
      <c r="I4506">
        <v>1000</v>
      </c>
      <c r="J4506">
        <v>100</v>
      </c>
      <c r="K4506" s="133">
        <v>2.1526536234800432E-3</v>
      </c>
      <c r="M4506" s="133">
        <v>2.1526536234800432E-3</v>
      </c>
    </row>
    <row r="4507" spans="1:64" x14ac:dyDescent="0.25">
      <c r="A4507" s="136">
        <v>44172</v>
      </c>
      <c r="B4507" t="s">
        <v>1156</v>
      </c>
      <c r="C4507" t="s">
        <v>1157</v>
      </c>
      <c r="D4507">
        <v>0</v>
      </c>
      <c r="E4507">
        <v>0</v>
      </c>
      <c r="F4507">
        <v>100</v>
      </c>
      <c r="G4507">
        <v>0</v>
      </c>
      <c r="H4507">
        <v>0</v>
      </c>
      <c r="I4507">
        <v>0</v>
      </c>
      <c r="J4507">
        <v>100</v>
      </c>
      <c r="K4507" s="133">
        <v>0</v>
      </c>
      <c r="M4507" s="133">
        <v>0</v>
      </c>
    </row>
    <row r="4508" spans="1:64" x14ac:dyDescent="0.25">
      <c r="A4508" s="136">
        <v>44172</v>
      </c>
      <c r="B4508" t="s">
        <v>749</v>
      </c>
      <c r="C4508" t="s">
        <v>750</v>
      </c>
      <c r="D4508">
        <v>500</v>
      </c>
      <c r="E4508">
        <v>500</v>
      </c>
      <c r="F4508">
        <v>5.65</v>
      </c>
      <c r="G4508">
        <v>220</v>
      </c>
      <c r="H4508">
        <v>7.7880000000000003</v>
      </c>
      <c r="I4508">
        <v>3045</v>
      </c>
      <c r="J4508">
        <v>6.09</v>
      </c>
      <c r="K4508" s="133">
        <v>6.5548302834967324E-3</v>
      </c>
      <c r="L4508" s="181">
        <v>-40</v>
      </c>
      <c r="M4508" s="133">
        <v>6.0812464863311223E-3</v>
      </c>
    </row>
    <row r="4509" spans="1:64" x14ac:dyDescent="0.25">
      <c r="A4509" s="136">
        <v>44172</v>
      </c>
      <c r="B4509" t="s">
        <v>768</v>
      </c>
      <c r="C4509" t="s">
        <v>769</v>
      </c>
      <c r="D4509">
        <v>500</v>
      </c>
      <c r="E4509">
        <v>500</v>
      </c>
      <c r="F4509">
        <v>2.4140000000000001</v>
      </c>
      <c r="G4509">
        <v>183</v>
      </c>
      <c r="H4509">
        <v>15.162000000000001</v>
      </c>
      <c r="I4509">
        <v>1390</v>
      </c>
      <c r="J4509">
        <v>2.78</v>
      </c>
      <c r="K4509" s="133">
        <v>2.9921885366372605E-3</v>
      </c>
      <c r="L4509" s="181">
        <v>-15</v>
      </c>
      <c r="M4509" s="133">
        <v>2.5982529235404122E-3</v>
      </c>
    </row>
    <row r="4510" spans="1:64" x14ac:dyDescent="0.25">
      <c r="A4510" s="136">
        <v>44172</v>
      </c>
      <c r="B4510" t="s">
        <v>71</v>
      </c>
      <c r="C4510" t="s">
        <v>126</v>
      </c>
      <c r="D4510">
        <v>5200</v>
      </c>
      <c r="E4510">
        <v>5200</v>
      </c>
      <c r="F4510">
        <v>4.1029999999999998</v>
      </c>
      <c r="G4510">
        <v>5442.18</v>
      </c>
      <c r="H4510">
        <v>25.518000000000001</v>
      </c>
      <c r="I4510">
        <v>26780</v>
      </c>
      <c r="J4510">
        <v>5.15</v>
      </c>
      <c r="K4510" s="133">
        <v>5.7648064036795559E-2</v>
      </c>
      <c r="L4510" s="181">
        <v>-468</v>
      </c>
      <c r="M4510" s="133">
        <v>4.5932935540164942E-2</v>
      </c>
      <c r="N4510" s="73">
        <v>-22369.924000000014</v>
      </c>
      <c r="O4510" s="73">
        <v>1285.4514582417557</v>
      </c>
      <c r="P4510" s="182">
        <v>2</v>
      </c>
      <c r="Q4510" s="182">
        <v>900</v>
      </c>
      <c r="R4510" s="46">
        <v>5.0919999999999996</v>
      </c>
      <c r="S4510" s="46">
        <v>2</v>
      </c>
      <c r="T4510" s="46">
        <v>800</v>
      </c>
      <c r="U4510" s="46">
        <v>5.3150000000000004</v>
      </c>
      <c r="V4510" s="46" t="s">
        <v>62</v>
      </c>
      <c r="W4510" s="46">
        <v>100</v>
      </c>
      <c r="X4510" s="46">
        <v>3.3079999999999998</v>
      </c>
      <c r="AF4510" s="46">
        <v>78</v>
      </c>
      <c r="AG4510" s="46">
        <v>42100</v>
      </c>
      <c r="AH4510" s="46">
        <v>252170.97999999978</v>
      </c>
      <c r="AI4510" s="46">
        <v>5.99</v>
      </c>
      <c r="AJ4510" s="46">
        <v>85</v>
      </c>
      <c r="AK4510" s="46">
        <v>36600</v>
      </c>
      <c r="AL4510" s="46">
        <v>228819.552</v>
      </c>
      <c r="AM4510" s="46">
        <v>6.2519999999999998</v>
      </c>
      <c r="AN4510" s="46" t="s">
        <v>63</v>
      </c>
      <c r="AO4510" s="46">
        <v>5500</v>
      </c>
      <c r="AP4510" s="46">
        <v>23351.428</v>
      </c>
      <c r="AQ4510" s="46">
        <v>4.2460000000000004</v>
      </c>
      <c r="AR4510" s="46">
        <v>9589.2000000000007</v>
      </c>
      <c r="AS4510" s="46">
        <v>80</v>
      </c>
      <c r="AT4510" s="46">
        <v>43000</v>
      </c>
      <c r="AU4510" s="46">
        <v>256764.51999999976</v>
      </c>
      <c r="AV4510" s="46">
        <v>5.9710000000000001</v>
      </c>
      <c r="AW4510" s="46">
        <v>88</v>
      </c>
      <c r="AX4510" s="46">
        <v>37800</v>
      </c>
      <c r="AY4510" s="46">
        <v>235233.39599999998</v>
      </c>
      <c r="AZ4510" s="46">
        <v>6.2229999999999999</v>
      </c>
      <c r="BA4510" s="46" t="s">
        <v>63</v>
      </c>
      <c r="BB4510" s="46">
        <v>5200</v>
      </c>
      <c r="BC4510" s="46">
        <v>21531.124</v>
      </c>
      <c r="BD4510" s="46">
        <v>4.141</v>
      </c>
      <c r="BE4510" s="46">
        <v>9525.6</v>
      </c>
      <c r="BF4510" s="46">
        <v>4593.539999999979</v>
      </c>
      <c r="BG4510" s="46">
        <v>5.0999999999999996</v>
      </c>
      <c r="BH4510" s="46">
        <v>6413.8439999999828</v>
      </c>
      <c r="BI4510">
        <v>8.02</v>
      </c>
      <c r="BJ4510">
        <v>-1820.3040000000001</v>
      </c>
      <c r="BK4510">
        <v>-18.2</v>
      </c>
      <c r="BL4510">
        <v>1861.98</v>
      </c>
    </row>
    <row r="4511" spans="1:64" x14ac:dyDescent="0.25">
      <c r="A4511" s="136">
        <v>44172</v>
      </c>
      <c r="B4511" t="s">
        <v>72</v>
      </c>
      <c r="C4511" t="s">
        <v>130</v>
      </c>
      <c r="D4511">
        <v>100</v>
      </c>
      <c r="E4511">
        <v>100</v>
      </c>
      <c r="F4511">
        <v>1.53</v>
      </c>
      <c r="G4511">
        <v>411</v>
      </c>
      <c r="H4511">
        <v>268.62700000000001</v>
      </c>
      <c r="I4511">
        <v>564</v>
      </c>
      <c r="J4511">
        <v>5.64</v>
      </c>
      <c r="K4511" s="133">
        <v>1.2140966436427444E-3</v>
      </c>
      <c r="L4511" s="181">
        <v>59</v>
      </c>
      <c r="M4511" s="133">
        <v>3.2935600439244663E-4</v>
      </c>
      <c r="N4511" s="73">
        <v>-1498.9659999999872</v>
      </c>
      <c r="O4511" s="73">
        <v>376.42007904191922</v>
      </c>
      <c r="P4511" s="182">
        <v>0</v>
      </c>
      <c r="Q4511" s="182">
        <v>0</v>
      </c>
      <c r="R4511" s="46">
        <v>0</v>
      </c>
      <c r="S4511" s="46">
        <v>20</v>
      </c>
      <c r="T4511" s="46">
        <v>8600</v>
      </c>
      <c r="U4511" s="46">
        <v>7.3840000000000003</v>
      </c>
      <c r="V4511" s="46" t="s">
        <v>68</v>
      </c>
      <c r="W4511" s="46">
        <v>8600</v>
      </c>
      <c r="X4511" s="46">
        <v>7.3840000000000003</v>
      </c>
      <c r="AF4511" s="46">
        <v>42</v>
      </c>
      <c r="AG4511" s="46">
        <v>20900</v>
      </c>
      <c r="AH4511" s="46">
        <v>152800</v>
      </c>
      <c r="AI4511" s="46">
        <v>7.3109999999999999</v>
      </c>
      <c r="AJ4511" s="46">
        <v>42</v>
      </c>
      <c r="AK4511" s="46">
        <v>18800</v>
      </c>
      <c r="AL4511" s="46">
        <v>92037.725000000035</v>
      </c>
      <c r="AM4511" s="46">
        <v>4.8959999999999999</v>
      </c>
      <c r="AN4511" s="46" t="s">
        <v>63</v>
      </c>
      <c r="AO4511" s="46">
        <v>2100</v>
      </c>
      <c r="AP4511" s="46">
        <v>60762.275000000001</v>
      </c>
      <c r="AQ4511" s="46">
        <v>28.934000000000001</v>
      </c>
      <c r="AR4511" s="46">
        <v>-45402</v>
      </c>
      <c r="AS4511" s="46">
        <v>42</v>
      </c>
      <c r="AT4511" s="46">
        <v>20900</v>
      </c>
      <c r="AU4511" s="46">
        <v>152800</v>
      </c>
      <c r="AV4511" s="46">
        <v>7.3109999999999999</v>
      </c>
      <c r="AW4511" s="46">
        <v>63</v>
      </c>
      <c r="AX4511" s="46">
        <v>27900</v>
      </c>
      <c r="AY4511" s="46">
        <v>155380.21900000001</v>
      </c>
      <c r="AZ4511" s="46">
        <v>5.569</v>
      </c>
      <c r="BA4511" s="46" t="s">
        <v>69</v>
      </c>
      <c r="BB4511" s="46">
        <v>7000</v>
      </c>
      <c r="BC4511" s="46">
        <v>2580.2190000000001</v>
      </c>
      <c r="BD4511" s="46">
        <v>0.36899999999999999</v>
      </c>
      <c r="BE4511" s="46">
        <v>-36407.800000000003</v>
      </c>
      <c r="BF4511" s="46">
        <v>0</v>
      </c>
      <c r="BH4511" s="46">
        <v>63342.493999999977</v>
      </c>
      <c r="BI4511">
        <v>7.37</v>
      </c>
      <c r="BJ4511">
        <v>-58182.056000000004</v>
      </c>
      <c r="BK4511">
        <v>-6.77</v>
      </c>
      <c r="BL4511">
        <v>-8050</v>
      </c>
    </row>
    <row r="4512" spans="1:64" x14ac:dyDescent="0.25">
      <c r="A4512" s="136">
        <v>44172</v>
      </c>
      <c r="B4512" t="s">
        <v>124</v>
      </c>
      <c r="C4512" t="s">
        <v>125</v>
      </c>
      <c r="D4512">
        <v>100</v>
      </c>
      <c r="E4512">
        <v>100</v>
      </c>
      <c r="F4512">
        <v>0.73699999999999999</v>
      </c>
      <c r="G4512">
        <v>445.28</v>
      </c>
      <c r="H4512">
        <v>604.20600000000002</v>
      </c>
      <c r="I4512">
        <v>519</v>
      </c>
      <c r="J4512">
        <v>5.19</v>
      </c>
      <c r="K4512" s="133">
        <v>1.1172272305861426E-3</v>
      </c>
      <c r="L4512" s="181">
        <v>-13</v>
      </c>
      <c r="M4512" s="133">
        <v>1.5869362512294885E-4</v>
      </c>
      <c r="N4512" s="73">
        <v>5623.0690000000113</v>
      </c>
      <c r="O4512" s="73">
        <v>1111.8087987827732</v>
      </c>
      <c r="P4512" s="182">
        <v>0</v>
      </c>
      <c r="Q4512" s="182">
        <v>0</v>
      </c>
      <c r="R4512" s="46">
        <v>0</v>
      </c>
      <c r="S4512" s="46">
        <v>5</v>
      </c>
      <c r="T4512" s="46">
        <v>2300</v>
      </c>
      <c r="U4512" s="46">
        <v>4.99</v>
      </c>
      <c r="V4512" s="46" t="s">
        <v>68</v>
      </c>
      <c r="W4512" s="46">
        <v>2300</v>
      </c>
      <c r="X4512" s="46">
        <v>4.99</v>
      </c>
      <c r="AF4512" s="46">
        <v>50</v>
      </c>
      <c r="AG4512" s="46">
        <v>36700</v>
      </c>
      <c r="AH4512" s="46">
        <v>180101.02000000002</v>
      </c>
      <c r="AI4512" s="46">
        <v>4.907</v>
      </c>
      <c r="AJ4512" s="46">
        <v>58</v>
      </c>
      <c r="AK4512" s="46">
        <v>35300</v>
      </c>
      <c r="AL4512" s="46">
        <v>178266.546</v>
      </c>
      <c r="AM4512" s="46">
        <v>5.05</v>
      </c>
      <c r="AN4512" s="46" t="s">
        <v>63</v>
      </c>
      <c r="AO4512" s="46">
        <v>1400</v>
      </c>
      <c r="AP4512" s="46">
        <v>1834.4739999999999</v>
      </c>
      <c r="AQ4512" s="46">
        <v>1.31</v>
      </c>
      <c r="AR4512" s="46">
        <v>5047.8999999999996</v>
      </c>
      <c r="AS4512" s="46">
        <v>51</v>
      </c>
      <c r="AT4512" s="46">
        <v>37700</v>
      </c>
      <c r="AU4512" s="46">
        <v>185106.62</v>
      </c>
      <c r="AV4512" s="46">
        <v>4.91</v>
      </c>
      <c r="AW4512" s="46">
        <v>63</v>
      </c>
      <c r="AX4512" s="46">
        <v>37600</v>
      </c>
      <c r="AY4512" s="46">
        <v>189763.68900000001</v>
      </c>
      <c r="AZ4512" s="46">
        <v>5.0469999999999997</v>
      </c>
      <c r="BA4512" s="46" t="s">
        <v>63</v>
      </c>
      <c r="BB4512" s="46">
        <v>100</v>
      </c>
      <c r="BC4512" s="46">
        <v>4657.0690000000004</v>
      </c>
      <c r="BD4512" s="46">
        <v>46.570999999999998</v>
      </c>
      <c r="BE4512" s="46">
        <v>5151.2</v>
      </c>
      <c r="BF4512" s="46">
        <v>5005.5999999999767</v>
      </c>
      <c r="BH4512" s="46">
        <v>11497.143000000011</v>
      </c>
      <c r="BI4512">
        <v>5</v>
      </c>
      <c r="BJ4512">
        <v>2822.5950000000003</v>
      </c>
      <c r="BK4512">
        <v>1.23</v>
      </c>
      <c r="BL4512">
        <v>972.62</v>
      </c>
    </row>
    <row r="4513" spans="1:64" x14ac:dyDescent="0.25">
      <c r="A4513" s="136">
        <v>44172</v>
      </c>
      <c r="B4513" t="s">
        <v>628</v>
      </c>
      <c r="C4513" t="s">
        <v>629</v>
      </c>
      <c r="D4513">
        <v>100</v>
      </c>
      <c r="E4513">
        <v>100</v>
      </c>
      <c r="F4513">
        <v>0.95</v>
      </c>
      <c r="G4513">
        <v>1504</v>
      </c>
      <c r="H4513">
        <v>1583.1579999999999</v>
      </c>
      <c r="I4513">
        <v>1599</v>
      </c>
      <c r="J4513">
        <v>15.99</v>
      </c>
      <c r="K4513" s="133">
        <v>3.4420931439445896E-3</v>
      </c>
      <c r="L4513" s="181">
        <v>128</v>
      </c>
      <c r="M4513" s="133">
        <v>2.0450209423060413E-4</v>
      </c>
    </row>
    <row r="4514" spans="1:64" x14ac:dyDescent="0.25">
      <c r="A4514" s="136">
        <v>44172</v>
      </c>
      <c r="B4514" t="s">
        <v>137</v>
      </c>
      <c r="C4514" t="s">
        <v>149</v>
      </c>
      <c r="D4514">
        <v>150</v>
      </c>
      <c r="E4514">
        <v>150</v>
      </c>
      <c r="F4514">
        <v>1</v>
      </c>
      <c r="G4514">
        <v>4887</v>
      </c>
      <c r="H4514">
        <v>3258</v>
      </c>
      <c r="I4514">
        <v>5037</v>
      </c>
      <c r="J4514">
        <v>33.58</v>
      </c>
      <c r="K4514" s="133">
        <v>1.0842916301468979E-2</v>
      </c>
      <c r="L4514" s="181">
        <v>42</v>
      </c>
      <c r="M4514" s="133">
        <v>3.2289804352200648E-4</v>
      </c>
    </row>
    <row r="4515" spans="1:64" x14ac:dyDescent="0.25">
      <c r="A4515" s="136">
        <v>44172</v>
      </c>
      <c r="B4515" t="s">
        <v>835</v>
      </c>
      <c r="C4515" t="s">
        <v>839</v>
      </c>
      <c r="I4515">
        <v>16429.8</v>
      </c>
      <c r="K4515" s="133">
        <v>3.5367668503052417E-2</v>
      </c>
      <c r="L4515" s="181">
        <v>0</v>
      </c>
      <c r="M4515" s="133">
        <v>1.0827847726104618E-5</v>
      </c>
    </row>
    <row r="4516" spans="1:64" x14ac:dyDescent="0.25">
      <c r="A4516" s="136">
        <v>44211</v>
      </c>
      <c r="B4516" t="s">
        <v>132</v>
      </c>
      <c r="C4516" t="s">
        <v>123</v>
      </c>
      <c r="D4516">
        <v>503</v>
      </c>
      <c r="E4516">
        <v>503</v>
      </c>
      <c r="F4516">
        <v>-0.59299999999999997</v>
      </c>
      <c r="G4516">
        <v>303.52999999999997</v>
      </c>
      <c r="H4516">
        <v>0</v>
      </c>
      <c r="I4516">
        <v>5.03</v>
      </c>
      <c r="J4516">
        <v>0.01</v>
      </c>
      <c r="K4516" s="133">
        <v>1.1813990573891722E-5</v>
      </c>
      <c r="L4516" s="181">
        <v>0</v>
      </c>
      <c r="M4516" s="133">
        <v>0</v>
      </c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  <c r="AJ4516"/>
      <c r="AK4516"/>
      <c r="AL4516"/>
      <c r="AM4516"/>
      <c r="AN4516"/>
      <c r="AO4516"/>
      <c r="AP4516"/>
      <c r="AQ4516"/>
      <c r="AR4516"/>
      <c r="AS4516"/>
      <c r="AT4516"/>
      <c r="AU4516"/>
      <c r="AV4516"/>
      <c r="AW4516"/>
      <c r="AX4516"/>
      <c r="AY4516"/>
      <c r="AZ4516"/>
      <c r="BA4516"/>
      <c r="BB4516"/>
      <c r="BC4516"/>
      <c r="BD4516"/>
      <c r="BE4516"/>
      <c r="BF4516"/>
      <c r="BG4516"/>
      <c r="BH4516"/>
    </row>
    <row r="4517" spans="1:64" x14ac:dyDescent="0.25">
      <c r="A4517" s="136">
        <v>44211</v>
      </c>
      <c r="B4517" t="s">
        <v>61</v>
      </c>
      <c r="C4517" t="s">
        <v>136</v>
      </c>
      <c r="D4517">
        <v>4600</v>
      </c>
      <c r="E4517">
        <v>4600</v>
      </c>
      <c r="F4517">
        <v>4.0960000000000001</v>
      </c>
      <c r="G4517">
        <v>-3478.19</v>
      </c>
      <c r="H4517">
        <v>-18.46</v>
      </c>
      <c r="I4517">
        <v>15364</v>
      </c>
      <c r="J4517">
        <v>3.34</v>
      </c>
      <c r="K4517" s="133">
        <v>3.6085517132658528E-2</v>
      </c>
      <c r="L4517" s="181">
        <v>-615.0300000000002</v>
      </c>
      <c r="M4517" s="133">
        <v>4.4254762435681279E-2</v>
      </c>
      <c r="N4517" s="73">
        <v>-3709.5550000000076</v>
      </c>
      <c r="O4517" s="73">
        <v>-1126.96055395137</v>
      </c>
      <c r="P4517" s="182">
        <v>2</v>
      </c>
      <c r="Q4517" s="182">
        <v>1000</v>
      </c>
      <c r="R4517" s="46">
        <v>4.1500000000000004</v>
      </c>
      <c r="S4517" s="46">
        <v>0</v>
      </c>
      <c r="T4517" s="46">
        <v>0</v>
      </c>
      <c r="U4517" s="46">
        <v>0</v>
      </c>
      <c r="V4517" s="46" t="s">
        <v>62</v>
      </c>
      <c r="W4517" s="46">
        <v>1000</v>
      </c>
      <c r="X4517" s="46">
        <v>4.1500000000000004</v>
      </c>
      <c r="Y4517"/>
      <c r="Z4517"/>
      <c r="AA4517"/>
      <c r="AB4517"/>
      <c r="AC4517"/>
      <c r="AD4517"/>
      <c r="AE4517"/>
      <c r="AF4517" s="46">
        <v>36</v>
      </c>
      <c r="AG4517" s="46">
        <v>17900</v>
      </c>
      <c r="AH4517" s="46">
        <v>80451.740000000034</v>
      </c>
      <c r="AI4517" s="46">
        <v>4.4950000000000001</v>
      </c>
      <c r="AJ4517" s="46">
        <v>34</v>
      </c>
      <c r="AK4517" s="46">
        <v>14700</v>
      </c>
      <c r="AL4517" s="46">
        <v>67090.02499999998</v>
      </c>
      <c r="AM4517" s="46">
        <v>4.5640000000000001</v>
      </c>
      <c r="AN4517" s="46" t="s">
        <v>63</v>
      </c>
      <c r="AO4517" s="46">
        <v>3200</v>
      </c>
      <c r="AP4517" s="46">
        <v>13361.715</v>
      </c>
      <c r="AQ4517" s="46">
        <v>4.1760000000000002</v>
      </c>
      <c r="AR4517" s="46">
        <v>1014.3</v>
      </c>
      <c r="AS4517" s="46">
        <v>39</v>
      </c>
      <c r="AT4517" s="46">
        <v>19300</v>
      </c>
      <c r="AU4517" s="46">
        <v>85933.580000000045</v>
      </c>
      <c r="AV4517" s="46">
        <v>4.4530000000000003</v>
      </c>
      <c r="AW4517" s="46">
        <v>34</v>
      </c>
      <c r="AX4517" s="46">
        <v>14700</v>
      </c>
      <c r="AY4517" s="46">
        <v>67090.02499999998</v>
      </c>
      <c r="AZ4517" s="46">
        <v>4.5640000000000001</v>
      </c>
      <c r="BA4517" s="46" t="s">
        <v>63</v>
      </c>
      <c r="BB4517" s="46">
        <v>4600</v>
      </c>
      <c r="BC4517" s="46">
        <v>18843.555</v>
      </c>
      <c r="BD4517" s="46">
        <v>4.0960000000000001</v>
      </c>
      <c r="BE4517" s="46">
        <v>1631.7</v>
      </c>
      <c r="BF4517" s="46">
        <v>5481.8400000000111</v>
      </c>
      <c r="BG4517" s="46">
        <v>5.48</v>
      </c>
      <c r="BH4517" s="46">
        <v>0</v>
      </c>
      <c r="BJ4517">
        <v>5481.84</v>
      </c>
      <c r="BK4517">
        <v>5.48</v>
      </c>
      <c r="BL4517">
        <v>303.68</v>
      </c>
    </row>
    <row r="4518" spans="1:64" x14ac:dyDescent="0.25">
      <c r="A4518" s="136">
        <v>44211</v>
      </c>
      <c r="B4518" t="s">
        <v>124</v>
      </c>
      <c r="C4518" t="s">
        <v>125</v>
      </c>
      <c r="D4518">
        <v>100</v>
      </c>
      <c r="E4518">
        <v>100</v>
      </c>
      <c r="F4518">
        <v>0.73699999999999999</v>
      </c>
      <c r="G4518">
        <v>441.28</v>
      </c>
      <c r="H4518">
        <v>598.75</v>
      </c>
      <c r="I4518">
        <v>515</v>
      </c>
      <c r="J4518">
        <v>5.15</v>
      </c>
      <c r="K4518" s="133">
        <v>1.2095835279431881E-3</v>
      </c>
      <c r="L4518" s="181">
        <v>-4</v>
      </c>
      <c r="M4518" s="133">
        <v>1.7314659743683858E-4</v>
      </c>
      <c r="N4518" s="73">
        <v>5623.0690000000113</v>
      </c>
      <c r="O4518" s="73">
        <v>1111.8087987827732</v>
      </c>
      <c r="P4518" s="182">
        <v>0</v>
      </c>
      <c r="Q4518" s="182">
        <v>0</v>
      </c>
      <c r="R4518" s="46">
        <v>0</v>
      </c>
      <c r="S4518" s="46">
        <v>5</v>
      </c>
      <c r="T4518" s="46">
        <v>2300</v>
      </c>
      <c r="U4518" s="46">
        <v>4.99</v>
      </c>
      <c r="V4518" s="46" t="s">
        <v>68</v>
      </c>
      <c r="W4518" s="46">
        <v>2300</v>
      </c>
      <c r="X4518" s="46">
        <v>4.99</v>
      </c>
      <c r="Y4518"/>
      <c r="Z4518"/>
      <c r="AA4518"/>
      <c r="AB4518"/>
      <c r="AC4518"/>
      <c r="AD4518"/>
      <c r="AE4518"/>
      <c r="AF4518" s="46">
        <v>50</v>
      </c>
      <c r="AG4518" s="46">
        <v>36700</v>
      </c>
      <c r="AH4518" s="46">
        <v>180101.02000000002</v>
      </c>
      <c r="AI4518" s="46">
        <v>4.907</v>
      </c>
      <c r="AJ4518" s="46">
        <v>58</v>
      </c>
      <c r="AK4518" s="46">
        <v>35300</v>
      </c>
      <c r="AL4518" s="46">
        <v>178266.546</v>
      </c>
      <c r="AM4518" s="46">
        <v>5.05</v>
      </c>
      <c r="AN4518" s="46" t="s">
        <v>63</v>
      </c>
      <c r="AO4518" s="46">
        <v>1400</v>
      </c>
      <c r="AP4518" s="46">
        <v>1834.4739999999999</v>
      </c>
      <c r="AQ4518" s="46">
        <v>1.31</v>
      </c>
      <c r="AR4518" s="46">
        <v>5047.8999999999996</v>
      </c>
      <c r="AS4518" s="46">
        <v>51</v>
      </c>
      <c r="AT4518" s="46">
        <v>37700</v>
      </c>
      <c r="AU4518" s="46">
        <v>185106.62</v>
      </c>
      <c r="AV4518" s="46">
        <v>4.91</v>
      </c>
      <c r="AW4518" s="46">
        <v>63</v>
      </c>
      <c r="AX4518" s="46">
        <v>37600</v>
      </c>
      <c r="AY4518" s="46">
        <v>189763.68900000001</v>
      </c>
      <c r="AZ4518" s="46">
        <v>5.0469999999999997</v>
      </c>
      <c r="BA4518" s="46" t="s">
        <v>63</v>
      </c>
      <c r="BB4518" s="46">
        <v>100</v>
      </c>
      <c r="BC4518" s="46">
        <v>4657.0690000000004</v>
      </c>
      <c r="BD4518" s="46">
        <v>46.570999999999998</v>
      </c>
      <c r="BE4518" s="46">
        <v>5151.2</v>
      </c>
      <c r="BF4518" s="46">
        <v>5005.5999999999767</v>
      </c>
      <c r="BG4518"/>
      <c r="BH4518" s="46">
        <v>11497.143000000011</v>
      </c>
      <c r="BI4518">
        <v>5</v>
      </c>
      <c r="BJ4518">
        <v>2822.5950000000003</v>
      </c>
      <c r="BK4518">
        <v>1.23</v>
      </c>
      <c r="BL4518">
        <v>980.17</v>
      </c>
    </row>
    <row r="4519" spans="1:64" x14ac:dyDescent="0.25">
      <c r="A4519" s="136">
        <v>44211</v>
      </c>
      <c r="B4519" t="s">
        <v>71</v>
      </c>
      <c r="C4519" t="s">
        <v>126</v>
      </c>
      <c r="D4519">
        <v>5600</v>
      </c>
      <c r="E4519">
        <v>5600</v>
      </c>
      <c r="F4519">
        <v>4.17</v>
      </c>
      <c r="G4519">
        <v>5768.96</v>
      </c>
      <c r="H4519">
        <v>24.7</v>
      </c>
      <c r="I4519">
        <v>29120</v>
      </c>
      <c r="J4519">
        <v>5.2</v>
      </c>
      <c r="K4519" s="133">
        <v>6.8394315211078915E-2</v>
      </c>
      <c r="L4519" s="181">
        <v>326.77999999999975</v>
      </c>
      <c r="M4519" s="133">
        <v>5.4844724940470886E-2</v>
      </c>
      <c r="N4519" s="73">
        <v>-23388.748000000018</v>
      </c>
      <c r="O4519" s="73">
        <v>1153.8433220532286</v>
      </c>
      <c r="P4519" s="182">
        <v>1</v>
      </c>
      <c r="Q4519" s="182">
        <v>400</v>
      </c>
      <c r="R4519" s="46">
        <v>6.19</v>
      </c>
      <c r="S4519" s="46">
        <v>6</v>
      </c>
      <c r="T4519" s="46">
        <v>2400</v>
      </c>
      <c r="U4519" s="46">
        <v>7.6719999999999997</v>
      </c>
      <c r="V4519" s="46" t="s">
        <v>68</v>
      </c>
      <c r="W4519" s="46">
        <v>2000</v>
      </c>
      <c r="X4519" s="46">
        <v>7.968</v>
      </c>
      <c r="Y4519"/>
      <c r="Z4519"/>
      <c r="AA4519"/>
      <c r="AB4519"/>
      <c r="AC4519"/>
      <c r="AD4519"/>
      <c r="AE4519"/>
      <c r="AF4519" s="46">
        <v>82</v>
      </c>
      <c r="AG4519" s="46">
        <v>43800</v>
      </c>
      <c r="AH4519" s="46">
        <v>260874.99999999974</v>
      </c>
      <c r="AI4519" s="46">
        <v>5.9560000000000004</v>
      </c>
      <c r="AJ4519" s="46">
        <v>89</v>
      </c>
      <c r="AK4519" s="46">
        <v>38200</v>
      </c>
      <c r="AL4519" s="46">
        <v>237330.05199999997</v>
      </c>
      <c r="AM4519" s="46">
        <v>6.2130000000000001</v>
      </c>
      <c r="AN4519" s="46" t="s">
        <v>63</v>
      </c>
      <c r="AO4519" s="46">
        <v>5600</v>
      </c>
      <c r="AP4519" s="46">
        <v>23544.948</v>
      </c>
      <c r="AQ4519" s="46">
        <v>4.2039999999999997</v>
      </c>
      <c r="AR4519" s="46">
        <v>9817.4</v>
      </c>
      <c r="AS4519" s="46">
        <v>82</v>
      </c>
      <c r="AT4519" s="46">
        <v>43800</v>
      </c>
      <c r="AU4519" s="46">
        <v>260874.99999999974</v>
      </c>
      <c r="AV4519" s="46">
        <v>5.9560000000000004</v>
      </c>
      <c r="AW4519" s="46">
        <v>89</v>
      </c>
      <c r="AX4519" s="46">
        <v>38200</v>
      </c>
      <c r="AY4519" s="46">
        <v>237330.05199999997</v>
      </c>
      <c r="AZ4519" s="46">
        <v>6.2130000000000001</v>
      </c>
      <c r="BA4519" s="46" t="s">
        <v>63</v>
      </c>
      <c r="BB4519" s="46">
        <v>5600</v>
      </c>
      <c r="BC4519" s="46">
        <v>23544.948</v>
      </c>
      <c r="BD4519" s="46">
        <v>4.2039999999999997</v>
      </c>
      <c r="BE4519" s="46">
        <v>9817.4</v>
      </c>
      <c r="BF4519" s="46">
        <v>0</v>
      </c>
      <c r="BG4519" s="46">
        <v>0</v>
      </c>
      <c r="BH4519" s="46">
        <v>0</v>
      </c>
      <c r="BI4519">
        <v>0</v>
      </c>
      <c r="BJ4519">
        <v>0</v>
      </c>
      <c r="BK4519">
        <v>0</v>
      </c>
      <c r="BL4519">
        <v>1887.96</v>
      </c>
    </row>
    <row r="4520" spans="1:64" x14ac:dyDescent="0.25">
      <c r="A4520" s="136">
        <v>44211</v>
      </c>
      <c r="B4520" t="s">
        <v>79</v>
      </c>
      <c r="C4520" t="s">
        <v>143</v>
      </c>
      <c r="D4520">
        <v>12800</v>
      </c>
      <c r="E4520">
        <v>12800</v>
      </c>
      <c r="F4520">
        <v>8.9640000000000004</v>
      </c>
      <c r="G4520">
        <v>-41007.26</v>
      </c>
      <c r="H4520">
        <v>-35.74</v>
      </c>
      <c r="I4520">
        <v>73728</v>
      </c>
      <c r="J4520">
        <v>5.76</v>
      </c>
      <c r="K4520" s="133">
        <v>0.17316538708387452</v>
      </c>
      <c r="L4520" s="181">
        <v>-11646.090000000004</v>
      </c>
      <c r="M4520" s="133">
        <v>0.26947937974811448</v>
      </c>
      <c r="N4520" s="73">
        <v>-43356.211400000568</v>
      </c>
      <c r="O4520" s="73">
        <v>-7766.0453932438304</v>
      </c>
      <c r="P4520" s="182">
        <v>11</v>
      </c>
      <c r="Q4520" s="182">
        <v>7620</v>
      </c>
      <c r="R4520" s="46">
        <v>4.3899999999999997</v>
      </c>
      <c r="S4520" s="46">
        <v>0</v>
      </c>
      <c r="T4520" s="46">
        <v>0</v>
      </c>
      <c r="U4520" s="46">
        <v>0</v>
      </c>
      <c r="V4520" s="46" t="s">
        <v>62</v>
      </c>
      <c r="W4520" s="46">
        <v>7620</v>
      </c>
      <c r="X4520" s="46">
        <v>4.3899999999999997</v>
      </c>
      <c r="Y4520"/>
      <c r="Z4520"/>
      <c r="AA4520"/>
      <c r="AB4520"/>
      <c r="AC4520"/>
      <c r="AD4520"/>
      <c r="AE4520"/>
      <c r="AF4520" s="46">
        <v>107</v>
      </c>
      <c r="AG4520" s="46">
        <v>51300</v>
      </c>
      <c r="AH4520" s="46">
        <v>512870.77999999904</v>
      </c>
      <c r="AI4520" s="46">
        <v>9.9969999999999999</v>
      </c>
      <c r="AJ4520" s="46">
        <v>109</v>
      </c>
      <c r="AK4520" s="46">
        <v>46520</v>
      </c>
      <c r="AL4520" s="46">
        <v>433842.38059999945</v>
      </c>
      <c r="AM4520" s="46">
        <v>9.3260000000000005</v>
      </c>
      <c r="AN4520" s="46" t="s">
        <v>63</v>
      </c>
      <c r="AO4520" s="46">
        <v>4780</v>
      </c>
      <c r="AP4520" s="46">
        <v>79028.399000000005</v>
      </c>
      <c r="AQ4520" s="46">
        <v>16.533000000000001</v>
      </c>
      <c r="AR4520" s="46">
        <v>-31214.92</v>
      </c>
      <c r="AS4520" s="46">
        <v>119</v>
      </c>
      <c r="AT4520" s="46">
        <v>59320</v>
      </c>
      <c r="AU4520" s="46">
        <v>548622.59199999901</v>
      </c>
      <c r="AV4520" s="46">
        <v>9.2490000000000006</v>
      </c>
      <c r="AW4520" s="46">
        <v>109</v>
      </c>
      <c r="AX4520" s="46">
        <v>46520</v>
      </c>
      <c r="AY4520" s="46">
        <v>433842.38059999945</v>
      </c>
      <c r="AZ4520" s="46">
        <v>9.3260000000000005</v>
      </c>
      <c r="BA4520" s="46" t="s">
        <v>63</v>
      </c>
      <c r="BB4520" s="46">
        <v>12800</v>
      </c>
      <c r="BC4520" s="46">
        <v>114780.211</v>
      </c>
      <c r="BD4520" s="46">
        <v>8.9670000000000005</v>
      </c>
      <c r="BE4520" s="46">
        <v>3582.04</v>
      </c>
      <c r="BF4520" s="46">
        <v>35751.811999999976</v>
      </c>
      <c r="BG4520" s="46">
        <v>4.6900000000000004</v>
      </c>
      <c r="BH4520" s="46">
        <v>0</v>
      </c>
      <c r="BJ4520">
        <v>35751.811999999991</v>
      </c>
      <c r="BK4520">
        <v>4.6900000000000004</v>
      </c>
      <c r="BL4520">
        <v>-5419.26</v>
      </c>
    </row>
    <row r="4521" spans="1:64" x14ac:dyDescent="0.25">
      <c r="A4521" s="136">
        <v>44211</v>
      </c>
      <c r="B4521" t="s">
        <v>749</v>
      </c>
      <c r="C4521" t="s">
        <v>750</v>
      </c>
      <c r="D4521">
        <v>500</v>
      </c>
      <c r="E4521">
        <v>500</v>
      </c>
      <c r="F4521">
        <v>5.65</v>
      </c>
      <c r="G4521">
        <v>220</v>
      </c>
      <c r="H4521">
        <v>7.79</v>
      </c>
      <c r="I4521">
        <v>3045</v>
      </c>
      <c r="J4521">
        <v>6.09</v>
      </c>
      <c r="K4521" s="133">
        <v>7.1518094030815684E-3</v>
      </c>
      <c r="L4521" s="181">
        <v>0</v>
      </c>
      <c r="M4521" s="133">
        <v>6.6350941095912747E-3</v>
      </c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  <c r="AJ4521"/>
      <c r="AK4521"/>
      <c r="AL4521"/>
      <c r="AM4521"/>
      <c r="AN4521"/>
      <c r="AO4521"/>
      <c r="AP4521"/>
      <c r="AQ4521"/>
      <c r="AR4521"/>
      <c r="AS4521"/>
      <c r="AT4521"/>
      <c r="AU4521"/>
      <c r="AV4521"/>
      <c r="AW4521"/>
      <c r="AX4521"/>
      <c r="AY4521"/>
      <c r="AZ4521"/>
      <c r="BA4521"/>
      <c r="BB4521"/>
      <c r="BC4521"/>
      <c r="BD4521"/>
      <c r="BE4521"/>
      <c r="BF4521"/>
      <c r="BG4521"/>
      <c r="BH4521"/>
    </row>
    <row r="4522" spans="1:64" x14ac:dyDescent="0.25">
      <c r="A4522" s="136">
        <v>44211</v>
      </c>
      <c r="B4522" t="s">
        <v>776</v>
      </c>
      <c r="C4522" t="s">
        <v>777</v>
      </c>
      <c r="D4522">
        <v>1</v>
      </c>
      <c r="E4522">
        <v>1</v>
      </c>
      <c r="F4522">
        <v>-137.5</v>
      </c>
      <c r="G4522">
        <v>202.64</v>
      </c>
      <c r="H4522">
        <v>0</v>
      </c>
      <c r="I4522">
        <v>65.14</v>
      </c>
      <c r="J4522">
        <v>65.14</v>
      </c>
      <c r="K4522" s="133">
        <v>1.5299470099071704E-4</v>
      </c>
      <c r="L4522" s="181">
        <v>-6.5500000000000114</v>
      </c>
      <c r="M4522" s="133">
        <v>0</v>
      </c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  <c r="AJ4522"/>
      <c r="AK4522"/>
      <c r="AL4522"/>
      <c r="AM4522"/>
      <c r="AN4522"/>
      <c r="AO4522"/>
      <c r="AP4522"/>
      <c r="AQ4522"/>
      <c r="AR4522"/>
      <c r="AS4522"/>
      <c r="AT4522"/>
      <c r="AU4522"/>
      <c r="AV4522"/>
      <c r="AW4522"/>
      <c r="AX4522"/>
      <c r="AY4522"/>
      <c r="AZ4522"/>
      <c r="BA4522"/>
      <c r="BB4522"/>
      <c r="BC4522"/>
      <c r="BD4522"/>
      <c r="BE4522"/>
      <c r="BF4522"/>
      <c r="BG4522"/>
      <c r="BH4522"/>
    </row>
    <row r="4523" spans="1:64" x14ac:dyDescent="0.25">
      <c r="A4523" s="136">
        <v>44211</v>
      </c>
      <c r="B4523" t="s">
        <v>65</v>
      </c>
      <c r="C4523" t="s">
        <v>127</v>
      </c>
      <c r="D4523">
        <v>27500</v>
      </c>
      <c r="E4523">
        <v>27500</v>
      </c>
      <c r="F4523">
        <v>8.1029999999999998</v>
      </c>
      <c r="G4523">
        <v>-50400.23</v>
      </c>
      <c r="H4523">
        <v>-22.62</v>
      </c>
      <c r="I4523">
        <v>172425</v>
      </c>
      <c r="J4523">
        <v>6.27</v>
      </c>
      <c r="K4523" s="133">
        <v>0.4049756112730179</v>
      </c>
      <c r="L4523" s="181">
        <v>-13420.520000000004</v>
      </c>
      <c r="M4523" s="133">
        <v>0.52335092780223758</v>
      </c>
      <c r="N4523" s="73">
        <v>-53845.166000000114</v>
      </c>
      <c r="O4523" s="73">
        <v>-7863.3064593254376</v>
      </c>
      <c r="P4523" s="182">
        <v>2</v>
      </c>
      <c r="Q4523" s="182">
        <v>800</v>
      </c>
      <c r="R4523" s="46">
        <v>6.8</v>
      </c>
      <c r="S4523" s="46">
        <v>0</v>
      </c>
      <c r="T4523" s="46">
        <v>0</v>
      </c>
      <c r="U4523" s="46">
        <v>0</v>
      </c>
      <c r="V4523" s="46" t="s">
        <v>62</v>
      </c>
      <c r="W4523" s="46">
        <v>800</v>
      </c>
      <c r="X4523" s="46">
        <v>6.8</v>
      </c>
      <c r="Y4523"/>
      <c r="Z4523"/>
      <c r="AA4523"/>
      <c r="AB4523"/>
      <c r="AC4523"/>
      <c r="AD4523"/>
      <c r="AE4523"/>
      <c r="AF4523" s="46">
        <v>324</v>
      </c>
      <c r="AG4523" s="46">
        <v>170800</v>
      </c>
      <c r="AH4523" s="46">
        <v>1678186.6810000001</v>
      </c>
      <c r="AI4523" s="46">
        <v>9.8249999999999993</v>
      </c>
      <c r="AJ4523" s="46">
        <v>354</v>
      </c>
      <c r="AK4523" s="46">
        <v>153400</v>
      </c>
      <c r="AL4523" s="46">
        <v>1444188.8409999998</v>
      </c>
      <c r="AM4523" s="46">
        <v>9.4149999999999991</v>
      </c>
      <c r="AN4523" s="46" t="s">
        <v>63</v>
      </c>
      <c r="AO4523" s="46">
        <v>17400</v>
      </c>
      <c r="AP4523" s="46">
        <v>233997.84</v>
      </c>
      <c r="AQ4523" s="46">
        <v>13.448</v>
      </c>
      <c r="AR4523" s="46">
        <v>-62894</v>
      </c>
      <c r="AS4523" s="46">
        <v>330</v>
      </c>
      <c r="AT4523" s="46">
        <v>173400</v>
      </c>
      <c r="AU4523" s="46">
        <v>1696198.6810000001</v>
      </c>
      <c r="AV4523" s="46">
        <v>9.782</v>
      </c>
      <c r="AW4523" s="46">
        <v>358</v>
      </c>
      <c r="AX4523" s="46">
        <v>155000</v>
      </c>
      <c r="AY4523" s="46">
        <v>1457247.7489999996</v>
      </c>
      <c r="AZ4523" s="46">
        <v>9.4019999999999992</v>
      </c>
      <c r="BA4523" s="46" t="s">
        <v>63</v>
      </c>
      <c r="BB4523" s="46">
        <v>18400</v>
      </c>
      <c r="BC4523" s="46">
        <v>238950.932</v>
      </c>
      <c r="BD4523" s="46">
        <v>12.986000000000001</v>
      </c>
      <c r="BE4523" s="46">
        <v>-58900</v>
      </c>
      <c r="BF4523" s="46">
        <v>18012</v>
      </c>
      <c r="BG4523" s="46">
        <v>22.52</v>
      </c>
      <c r="BH4523" s="46">
        <v>13058.907999999821</v>
      </c>
      <c r="BJ4523">
        <v>4953.0920000000042</v>
      </c>
      <c r="BK4523">
        <v>6.19</v>
      </c>
      <c r="BL4523">
        <v>-10030.94</v>
      </c>
    </row>
    <row r="4524" spans="1:64" x14ac:dyDescent="0.25">
      <c r="A4524" s="136">
        <v>44211</v>
      </c>
      <c r="B4524" t="s">
        <v>77</v>
      </c>
      <c r="C4524" t="s">
        <v>150</v>
      </c>
      <c r="D4524">
        <v>6900</v>
      </c>
      <c r="E4524">
        <v>6900</v>
      </c>
      <c r="F4524">
        <v>4.9400000000000004</v>
      </c>
      <c r="G4524">
        <v>-18974.419999999998</v>
      </c>
      <c r="H4524">
        <v>-55.67</v>
      </c>
      <c r="I4524">
        <v>15111</v>
      </c>
      <c r="J4524">
        <v>2.19</v>
      </c>
      <c r="K4524" s="133">
        <v>3.5491294545144693E-2</v>
      </c>
      <c r="L4524" s="181">
        <v>-3587.9999999999982</v>
      </c>
      <c r="M4524" s="133">
        <v>8.0056626359272437E-2</v>
      </c>
      <c r="N4524" s="73">
        <v>-34830.371999999981</v>
      </c>
      <c r="O4524" s="73">
        <v>-5538.9707350364897</v>
      </c>
      <c r="P4524" s="182">
        <v>6</v>
      </c>
      <c r="Q4524" s="182">
        <v>3500</v>
      </c>
      <c r="R4524" s="46">
        <v>3.7789999999999999</v>
      </c>
      <c r="S4524" s="46">
        <v>1</v>
      </c>
      <c r="T4524" s="46">
        <v>400</v>
      </c>
      <c r="U4524" s="46">
        <v>2.77</v>
      </c>
      <c r="V4524" s="46" t="s">
        <v>62</v>
      </c>
      <c r="W4524" s="46">
        <v>3100</v>
      </c>
      <c r="X4524" s="46">
        <v>3.9089999999999998</v>
      </c>
      <c r="Y4524"/>
      <c r="Z4524"/>
      <c r="AA4524"/>
      <c r="AB4524"/>
      <c r="AC4524"/>
      <c r="AD4524"/>
      <c r="AE4524"/>
      <c r="AF4524" s="46">
        <v>72</v>
      </c>
      <c r="AG4524" s="46">
        <v>35400</v>
      </c>
      <c r="AH4524" s="46">
        <v>210838</v>
      </c>
      <c r="AI4524" s="46">
        <v>5.9560000000000004</v>
      </c>
      <c r="AJ4524" s="46">
        <v>72</v>
      </c>
      <c r="AK4524" s="46">
        <v>32000</v>
      </c>
      <c r="AL4524" s="46">
        <v>189713.73600000006</v>
      </c>
      <c r="AM4524" s="46">
        <v>5.9290000000000003</v>
      </c>
      <c r="AN4524" s="46" t="s">
        <v>63</v>
      </c>
      <c r="AO4524" s="46">
        <v>3400</v>
      </c>
      <c r="AP4524" s="46">
        <v>21124.263999999999</v>
      </c>
      <c r="AQ4524" s="46">
        <v>6.2130000000000001</v>
      </c>
      <c r="AR4524" s="46">
        <v>-864</v>
      </c>
      <c r="AS4524" s="46">
        <v>79</v>
      </c>
      <c r="AT4524" s="46">
        <v>39300</v>
      </c>
      <c r="AU4524" s="46">
        <v>224906</v>
      </c>
      <c r="AV4524" s="46">
        <v>5.7229999999999999</v>
      </c>
      <c r="AW4524" s="46">
        <v>73</v>
      </c>
      <c r="AX4524" s="46">
        <v>32400</v>
      </c>
      <c r="AY4524" s="46">
        <v>190815.62800000006</v>
      </c>
      <c r="AZ4524" s="46">
        <v>5.8890000000000002</v>
      </c>
      <c r="BA4524" s="46" t="s">
        <v>63</v>
      </c>
      <c r="BB4524" s="46">
        <v>6900</v>
      </c>
      <c r="BC4524" s="46">
        <v>34090.372000000003</v>
      </c>
      <c r="BD4524" s="46">
        <v>4.9409999999999998</v>
      </c>
      <c r="BE4524" s="46">
        <v>5378.4</v>
      </c>
      <c r="BF4524" s="46">
        <v>14068</v>
      </c>
      <c r="BG4524" s="46">
        <v>4.0199999999999996</v>
      </c>
      <c r="BH4524" s="46">
        <v>1101.8919999999925</v>
      </c>
      <c r="BI4524">
        <v>2.75</v>
      </c>
      <c r="BJ4524">
        <v>12966.108000000004</v>
      </c>
      <c r="BK4524">
        <v>4.18</v>
      </c>
      <c r="BL4524">
        <v>-394.52</v>
      </c>
    </row>
    <row r="4525" spans="1:64" x14ac:dyDescent="0.25">
      <c r="A4525" s="136">
        <v>44211</v>
      </c>
      <c r="B4525" t="s">
        <v>72</v>
      </c>
      <c r="C4525" t="s">
        <v>130</v>
      </c>
      <c r="D4525">
        <v>100</v>
      </c>
      <c r="E4525">
        <v>100</v>
      </c>
      <c r="F4525">
        <v>1.53</v>
      </c>
      <c r="G4525">
        <v>371</v>
      </c>
      <c r="H4525">
        <v>242.48</v>
      </c>
      <c r="I4525">
        <v>524</v>
      </c>
      <c r="J4525">
        <v>5.24</v>
      </c>
      <c r="K4525" s="133">
        <v>1.2307218808587002E-3</v>
      </c>
      <c r="L4525" s="181">
        <v>-40</v>
      </c>
      <c r="M4525" s="133">
        <v>3.5935199956370443E-4</v>
      </c>
      <c r="N4525" s="73">
        <v>-1498.9659999999872</v>
      </c>
      <c r="O4525" s="73">
        <v>376.42007904191922</v>
      </c>
      <c r="P4525" s="182">
        <v>0</v>
      </c>
      <c r="Q4525" s="182">
        <v>0</v>
      </c>
      <c r="R4525" s="46">
        <v>0</v>
      </c>
      <c r="S4525" s="46">
        <v>20</v>
      </c>
      <c r="T4525" s="46">
        <v>8600</v>
      </c>
      <c r="U4525" s="46">
        <v>7.3840000000000003</v>
      </c>
      <c r="V4525" s="46" t="s">
        <v>68</v>
      </c>
      <c r="W4525" s="46">
        <v>8600</v>
      </c>
      <c r="X4525" s="46">
        <v>7.3840000000000003</v>
      </c>
      <c r="Y4525"/>
      <c r="Z4525"/>
      <c r="AA4525"/>
      <c r="AB4525"/>
      <c r="AC4525"/>
      <c r="AD4525"/>
      <c r="AE4525"/>
      <c r="AF4525" s="46">
        <v>42</v>
      </c>
      <c r="AG4525" s="46">
        <v>20900</v>
      </c>
      <c r="AH4525" s="46">
        <v>152800</v>
      </c>
      <c r="AI4525" s="46">
        <v>7.3109999999999999</v>
      </c>
      <c r="AJ4525" s="46">
        <v>42</v>
      </c>
      <c r="AK4525" s="46">
        <v>18800</v>
      </c>
      <c r="AL4525" s="46">
        <v>92037.725000000035</v>
      </c>
      <c r="AM4525" s="46">
        <v>4.8959999999999999</v>
      </c>
      <c r="AN4525" s="46" t="s">
        <v>63</v>
      </c>
      <c r="AO4525" s="46">
        <v>2100</v>
      </c>
      <c r="AP4525" s="46">
        <v>60762.275000000001</v>
      </c>
      <c r="AQ4525" s="46">
        <v>28.934000000000001</v>
      </c>
      <c r="AR4525" s="46">
        <v>-45402</v>
      </c>
      <c r="AS4525" s="46">
        <v>42</v>
      </c>
      <c r="AT4525" s="46">
        <v>20900</v>
      </c>
      <c r="AU4525" s="46">
        <v>152800</v>
      </c>
      <c r="AV4525" s="46">
        <v>7.3109999999999999</v>
      </c>
      <c r="AW4525" s="46">
        <v>63</v>
      </c>
      <c r="AX4525" s="46">
        <v>27900</v>
      </c>
      <c r="AY4525" s="46">
        <v>155380.21900000001</v>
      </c>
      <c r="AZ4525" s="46">
        <v>5.569</v>
      </c>
      <c r="BA4525" s="46" t="s">
        <v>69</v>
      </c>
      <c r="BB4525" s="46">
        <v>7000</v>
      </c>
      <c r="BC4525" s="46">
        <v>2580.2190000000001</v>
      </c>
      <c r="BD4525" s="46">
        <v>0.36899999999999999</v>
      </c>
      <c r="BE4525" s="46">
        <v>-36407.800000000003</v>
      </c>
      <c r="BF4525" s="46">
        <v>0</v>
      </c>
      <c r="BG4525"/>
      <c r="BH4525" s="46">
        <v>63342.493999999977</v>
      </c>
      <c r="BI4525">
        <v>7.37</v>
      </c>
      <c r="BJ4525">
        <v>-58182.056000000004</v>
      </c>
      <c r="BK4525">
        <v>-6.77</v>
      </c>
      <c r="BL4525">
        <v>-8664.5</v>
      </c>
    </row>
    <row r="4526" spans="1:64" x14ac:dyDescent="0.25">
      <c r="A4526" s="136">
        <v>44211</v>
      </c>
      <c r="B4526" t="s">
        <v>70</v>
      </c>
      <c r="C4526" t="s">
        <v>131</v>
      </c>
      <c r="D4526">
        <v>15680</v>
      </c>
      <c r="E4526">
        <v>15680</v>
      </c>
      <c r="F4526">
        <v>7.8920000000000003</v>
      </c>
      <c r="G4526">
        <v>-24812.53</v>
      </c>
      <c r="H4526">
        <v>-20.05</v>
      </c>
      <c r="I4526">
        <v>98940.800000000003</v>
      </c>
      <c r="J4526">
        <v>6.31</v>
      </c>
      <c r="K4526" s="133">
        <v>0.23238283868256582</v>
      </c>
      <c r="L4526" s="181">
        <v>-22478.6</v>
      </c>
      <c r="M4526" s="133">
        <v>0.2906601737788691</v>
      </c>
      <c r="N4526" s="73">
        <v>-26702.020999999964</v>
      </c>
      <c r="O4526" s="73">
        <v>-4311.5783504846468</v>
      </c>
      <c r="P4526" s="182">
        <v>1</v>
      </c>
      <c r="Q4526" s="182">
        <v>400</v>
      </c>
      <c r="R4526" s="46">
        <v>6.19</v>
      </c>
      <c r="S4526" s="46">
        <v>6</v>
      </c>
      <c r="T4526" s="46">
        <v>2400</v>
      </c>
      <c r="U4526" s="46">
        <v>7.6719999999999997</v>
      </c>
      <c r="V4526" s="46" t="s">
        <v>68</v>
      </c>
      <c r="W4526" s="46">
        <v>2000</v>
      </c>
      <c r="X4526" s="46">
        <v>7.968</v>
      </c>
      <c r="Y4526"/>
      <c r="Z4526"/>
      <c r="AA4526"/>
      <c r="AB4526"/>
      <c r="AC4526"/>
      <c r="AD4526"/>
      <c r="AE4526"/>
      <c r="AF4526" s="46">
        <v>251</v>
      </c>
      <c r="AG4526" s="46">
        <v>125180</v>
      </c>
      <c r="AH4526" s="46">
        <v>1320726</v>
      </c>
      <c r="AI4526" s="46">
        <v>10.551</v>
      </c>
      <c r="AJ4526" s="46">
        <v>263</v>
      </c>
      <c r="AK4526" s="46">
        <v>107500</v>
      </c>
      <c r="AL4526" s="46">
        <v>1178907.1909999996</v>
      </c>
      <c r="AM4526" s="46">
        <v>10.967000000000001</v>
      </c>
      <c r="AN4526" s="46" t="s">
        <v>63</v>
      </c>
      <c r="AO4526" s="46">
        <v>17680</v>
      </c>
      <c r="AP4526" s="46">
        <v>141818.80900000001</v>
      </c>
      <c r="AQ4526" s="46">
        <v>8.0210000000000008</v>
      </c>
      <c r="AR4526" s="46">
        <v>44720</v>
      </c>
      <c r="AS4526" s="46">
        <v>252</v>
      </c>
      <c r="AT4526" s="46">
        <v>125580</v>
      </c>
      <c r="AU4526" s="46">
        <v>1323207</v>
      </c>
      <c r="AV4526" s="46">
        <v>10.537000000000001</v>
      </c>
      <c r="AW4526" s="46">
        <v>270</v>
      </c>
      <c r="AX4526" s="46">
        <v>109900</v>
      </c>
      <c r="AY4526" s="46">
        <v>1197675.7789999996</v>
      </c>
      <c r="AZ4526" s="46">
        <v>10.898</v>
      </c>
      <c r="BA4526" s="46" t="s">
        <v>63</v>
      </c>
      <c r="BB4526" s="46">
        <v>15680</v>
      </c>
      <c r="BC4526" s="46">
        <v>125531.22100000001</v>
      </c>
      <c r="BD4526" s="46">
        <v>8.0060000000000002</v>
      </c>
      <c r="BE4526" s="46">
        <v>39673.9</v>
      </c>
      <c r="BF4526" s="46">
        <v>2481</v>
      </c>
      <c r="BG4526" s="46">
        <v>6.2</v>
      </c>
      <c r="BH4526" s="46">
        <v>18768.587999999989</v>
      </c>
      <c r="BI4526">
        <v>7.82</v>
      </c>
      <c r="BJ4526">
        <v>-16287.588000000003</v>
      </c>
      <c r="BK4526">
        <v>-8.14</v>
      </c>
      <c r="BL4526">
        <v>7087.16</v>
      </c>
    </row>
    <row r="4527" spans="1:64" x14ac:dyDescent="0.25">
      <c r="A4527" s="136">
        <v>44211</v>
      </c>
      <c r="B4527" t="s">
        <v>628</v>
      </c>
      <c r="C4527" t="s">
        <v>629</v>
      </c>
      <c r="D4527">
        <v>100</v>
      </c>
      <c r="E4527">
        <v>100</v>
      </c>
      <c r="F4527">
        <v>0.95</v>
      </c>
      <c r="G4527">
        <v>1336</v>
      </c>
      <c r="H4527">
        <v>1406.32</v>
      </c>
      <c r="I4527">
        <v>1431</v>
      </c>
      <c r="J4527">
        <v>14.31</v>
      </c>
      <c r="K4527" s="133">
        <v>3.3609981135664119E-3</v>
      </c>
      <c r="L4527" s="181">
        <v>-168</v>
      </c>
      <c r="M4527" s="133">
        <v>2.2312705855262693E-4</v>
      </c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  <c r="AJ4527"/>
      <c r="AK4527"/>
      <c r="AL4527"/>
      <c r="AM4527"/>
      <c r="AN4527"/>
      <c r="AO4527"/>
      <c r="AP4527"/>
      <c r="AQ4527"/>
      <c r="AR4527"/>
      <c r="AS4527"/>
      <c r="AT4527"/>
      <c r="AU4527"/>
      <c r="AV4527"/>
      <c r="AW4527"/>
      <c r="AX4527"/>
      <c r="AY4527"/>
      <c r="AZ4527"/>
      <c r="BA4527"/>
      <c r="BB4527"/>
      <c r="BC4527"/>
      <c r="BD4527"/>
      <c r="BE4527"/>
      <c r="BF4527"/>
      <c r="BG4527"/>
      <c r="BH4527"/>
    </row>
    <row r="4528" spans="1:64" x14ac:dyDescent="0.25">
      <c r="A4528" s="136">
        <v>44211</v>
      </c>
      <c r="B4528" t="s">
        <v>768</v>
      </c>
      <c r="C4528" t="s">
        <v>769</v>
      </c>
      <c r="D4528">
        <v>500</v>
      </c>
      <c r="E4528">
        <v>500</v>
      </c>
      <c r="F4528">
        <v>2.4140000000000001</v>
      </c>
      <c r="G4528">
        <v>228</v>
      </c>
      <c r="H4528">
        <v>18.89</v>
      </c>
      <c r="I4528">
        <v>1435</v>
      </c>
      <c r="J4528">
        <v>2.87</v>
      </c>
      <c r="K4528" s="133">
        <v>3.3703929370844173E-3</v>
      </c>
      <c r="L4528" s="181">
        <v>45</v>
      </c>
      <c r="M4528" s="133">
        <v>2.8348879965581129E-3</v>
      </c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  <c r="AJ4528"/>
      <c r="AK4528"/>
      <c r="AL4528"/>
      <c r="AM4528"/>
      <c r="AN4528"/>
      <c r="AO4528"/>
      <c r="AP4528"/>
      <c r="AQ4528"/>
      <c r="AR4528"/>
      <c r="AS4528"/>
      <c r="AT4528"/>
      <c r="AU4528"/>
      <c r="AV4528"/>
      <c r="AW4528"/>
      <c r="AX4528"/>
      <c r="AY4528"/>
      <c r="AZ4528"/>
      <c r="BA4528"/>
      <c r="BB4528"/>
      <c r="BC4528"/>
      <c r="BD4528"/>
      <c r="BE4528"/>
      <c r="BF4528"/>
      <c r="BG4528"/>
      <c r="BH4528"/>
    </row>
    <row r="4529" spans="1:64" x14ac:dyDescent="0.25">
      <c r="A4529" s="136">
        <v>44211</v>
      </c>
      <c r="B4529" t="s">
        <v>1165</v>
      </c>
      <c r="C4529" t="s">
        <v>1166</v>
      </c>
      <c r="D4529">
        <v>10</v>
      </c>
      <c r="E4529">
        <v>10</v>
      </c>
      <c r="F4529">
        <v>100</v>
      </c>
      <c r="G4529">
        <v>0</v>
      </c>
      <c r="H4529">
        <v>0</v>
      </c>
      <c r="I4529">
        <v>1000</v>
      </c>
      <c r="J4529">
        <v>100</v>
      </c>
      <c r="K4529" s="133">
        <v>2.3487058795013363E-3</v>
      </c>
      <c r="L4529"/>
      <c r="M4529" s="133">
        <v>2.3487058795013363E-3</v>
      </c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  <c r="AJ4529"/>
      <c r="AK4529"/>
      <c r="AL4529"/>
      <c r="AM4529"/>
      <c r="AN4529"/>
      <c r="AO4529"/>
      <c r="AP4529"/>
      <c r="AQ4529"/>
      <c r="AR4529"/>
      <c r="AS4529"/>
      <c r="AT4529"/>
      <c r="AU4529"/>
      <c r="AV4529"/>
      <c r="AW4529"/>
      <c r="AX4529"/>
      <c r="AY4529"/>
      <c r="AZ4529"/>
      <c r="BA4529"/>
      <c r="BB4529"/>
      <c r="BC4529"/>
      <c r="BD4529"/>
      <c r="BE4529"/>
      <c r="BF4529"/>
      <c r="BG4529"/>
      <c r="BH4529"/>
    </row>
    <row r="4530" spans="1:64" x14ac:dyDescent="0.25">
      <c r="A4530" s="136">
        <v>44211</v>
      </c>
      <c r="B4530" t="s">
        <v>137</v>
      </c>
      <c r="C4530" t="s">
        <v>149</v>
      </c>
      <c r="D4530">
        <v>150</v>
      </c>
      <c r="E4530">
        <v>150</v>
      </c>
      <c r="F4530">
        <v>1</v>
      </c>
      <c r="G4530">
        <v>4180.5</v>
      </c>
      <c r="H4530">
        <v>2787</v>
      </c>
      <c r="I4530">
        <v>4330.5</v>
      </c>
      <c r="J4530">
        <v>28.87</v>
      </c>
      <c r="K4530" s="133">
        <v>1.0171070811180537E-2</v>
      </c>
      <c r="L4530" s="181">
        <v>-706.5</v>
      </c>
      <c r="M4530" s="133">
        <v>3.5230588192520043E-4</v>
      </c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  <c r="AJ4530"/>
      <c r="AK4530"/>
      <c r="AL4530"/>
      <c r="AM4530"/>
      <c r="AN4530"/>
      <c r="AO4530"/>
      <c r="AP4530"/>
      <c r="AQ4530"/>
      <c r="AR4530"/>
      <c r="AS4530"/>
      <c r="AT4530"/>
      <c r="AU4530"/>
      <c r="AV4530"/>
      <c r="AW4530"/>
      <c r="AX4530"/>
      <c r="AY4530"/>
      <c r="AZ4530"/>
      <c r="BA4530"/>
      <c r="BB4530"/>
      <c r="BC4530"/>
      <c r="BD4530"/>
      <c r="BE4530"/>
      <c r="BF4530"/>
      <c r="BG4530"/>
      <c r="BH4530"/>
    </row>
    <row r="4531" spans="1:64" x14ac:dyDescent="0.25">
      <c r="A4531" s="136">
        <v>44211</v>
      </c>
      <c r="B4531" t="s">
        <v>835</v>
      </c>
      <c r="C4531" t="s">
        <v>839</v>
      </c>
      <c r="I4531">
        <v>8726.91</v>
      </c>
      <c r="K4531" s="133">
        <v>2.0496944826879006E-2</v>
      </c>
      <c r="L4531" s="181">
        <v>0</v>
      </c>
      <c r="M4531" s="133">
        <v>1.1813990573891722E-5</v>
      </c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  <c r="AJ4531"/>
      <c r="AK4531"/>
      <c r="AL4531"/>
      <c r="AM4531"/>
      <c r="AN4531"/>
      <c r="AO4531"/>
      <c r="AP4531"/>
      <c r="AQ4531"/>
      <c r="AR4531"/>
      <c r="AS4531"/>
      <c r="AT4531"/>
      <c r="AU4531"/>
      <c r="AV4531"/>
      <c r="AW4531"/>
      <c r="AX4531"/>
      <c r="AY4531"/>
      <c r="AZ4531"/>
      <c r="BA4531"/>
      <c r="BB4531"/>
      <c r="BC4531"/>
      <c r="BD4531"/>
      <c r="BE4531"/>
      <c r="BF4531"/>
      <c r="BG4531"/>
      <c r="BH4531"/>
    </row>
    <row r="4532" spans="1:64" x14ac:dyDescent="0.25">
      <c r="A4532" s="136">
        <v>44214</v>
      </c>
      <c r="B4532" t="s">
        <v>132</v>
      </c>
      <c r="C4532" t="s">
        <v>123</v>
      </c>
      <c r="D4532">
        <v>503</v>
      </c>
      <c r="E4532">
        <v>503</v>
      </c>
      <c r="F4532">
        <v>-0.59299999999999997</v>
      </c>
      <c r="G4532">
        <v>303.52999999999997</v>
      </c>
      <c r="H4532">
        <v>0</v>
      </c>
      <c r="I4532">
        <v>5.03</v>
      </c>
      <c r="J4532">
        <v>0.01</v>
      </c>
      <c r="K4532" s="133">
        <v>1.1800463868492817E-5</v>
      </c>
      <c r="L4532" s="181">
        <v>0</v>
      </c>
      <c r="M4532" s="133">
        <v>0</v>
      </c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  <c r="AJ4532"/>
      <c r="AK4532"/>
      <c r="AL4532"/>
      <c r="AM4532"/>
      <c r="AN4532"/>
      <c r="AO4532"/>
      <c r="AP4532"/>
      <c r="AQ4532"/>
      <c r="AR4532"/>
      <c r="AS4532"/>
      <c r="AT4532"/>
      <c r="AU4532"/>
      <c r="AV4532"/>
      <c r="AW4532"/>
      <c r="AX4532"/>
      <c r="AY4532"/>
      <c r="AZ4532"/>
      <c r="BA4532"/>
      <c r="BB4532"/>
      <c r="BC4532"/>
      <c r="BD4532"/>
      <c r="BE4532"/>
      <c r="BF4532"/>
      <c r="BG4532"/>
      <c r="BH4532"/>
    </row>
    <row r="4533" spans="1:64" x14ac:dyDescent="0.25">
      <c r="A4533" s="136">
        <v>44214</v>
      </c>
      <c r="B4533" t="s">
        <v>61</v>
      </c>
      <c r="C4533" t="s">
        <v>136</v>
      </c>
      <c r="D4533">
        <v>4600</v>
      </c>
      <c r="E4533">
        <v>4600</v>
      </c>
      <c r="F4533">
        <v>4.0960000000000001</v>
      </c>
      <c r="G4533">
        <v>-3478.19</v>
      </c>
      <c r="H4533">
        <v>-18.46</v>
      </c>
      <c r="I4533">
        <v>15364</v>
      </c>
      <c r="J4533">
        <v>3.34</v>
      </c>
      <c r="K4533" s="133">
        <v>3.6044200174060362E-2</v>
      </c>
      <c r="L4533" s="181">
        <v>0</v>
      </c>
      <c r="M4533" s="133">
        <v>4.4204091908206088E-2</v>
      </c>
      <c r="N4533" s="73">
        <v>-3709.5550000000076</v>
      </c>
      <c r="O4533" s="73">
        <v>-1126.96055395137</v>
      </c>
      <c r="P4533" s="182">
        <v>2</v>
      </c>
      <c r="Q4533" s="182">
        <v>1000</v>
      </c>
      <c r="R4533" s="46">
        <v>4.1500000000000004</v>
      </c>
      <c r="S4533" s="46">
        <v>0</v>
      </c>
      <c r="T4533" s="46">
        <v>0</v>
      </c>
      <c r="U4533" s="46">
        <v>0</v>
      </c>
      <c r="V4533" s="46" t="s">
        <v>62</v>
      </c>
      <c r="W4533" s="46">
        <v>1000</v>
      </c>
      <c r="X4533" s="46">
        <v>4.1500000000000004</v>
      </c>
      <c r="Y4533"/>
      <c r="Z4533"/>
      <c r="AA4533"/>
      <c r="AB4533"/>
      <c r="AC4533"/>
      <c r="AD4533"/>
      <c r="AE4533"/>
      <c r="AF4533" s="46">
        <v>36</v>
      </c>
      <c r="AG4533" s="46">
        <v>17900</v>
      </c>
      <c r="AH4533" s="46">
        <v>80451.740000000034</v>
      </c>
      <c r="AI4533" s="46">
        <v>4.4950000000000001</v>
      </c>
      <c r="AJ4533" s="46">
        <v>34</v>
      </c>
      <c r="AK4533" s="46">
        <v>14700</v>
      </c>
      <c r="AL4533" s="46">
        <v>67090.02499999998</v>
      </c>
      <c r="AM4533" s="46">
        <v>4.5640000000000001</v>
      </c>
      <c r="AN4533" s="46" t="s">
        <v>63</v>
      </c>
      <c r="AO4533" s="46">
        <v>3200</v>
      </c>
      <c r="AP4533" s="46">
        <v>13361.715</v>
      </c>
      <c r="AQ4533" s="46">
        <v>4.1760000000000002</v>
      </c>
      <c r="AR4533" s="46">
        <v>1014.3</v>
      </c>
      <c r="AS4533" s="46">
        <v>39</v>
      </c>
      <c r="AT4533" s="46">
        <v>19300</v>
      </c>
      <c r="AU4533" s="46">
        <v>85933.580000000045</v>
      </c>
      <c r="AV4533" s="46">
        <v>4.4530000000000003</v>
      </c>
      <c r="AW4533" s="46">
        <v>34</v>
      </c>
      <c r="AX4533" s="46">
        <v>14700</v>
      </c>
      <c r="AY4533" s="46">
        <v>67090.02499999998</v>
      </c>
      <c r="AZ4533" s="46">
        <v>4.5640000000000001</v>
      </c>
      <c r="BA4533" s="46" t="s">
        <v>63</v>
      </c>
      <c r="BB4533" s="46">
        <v>4600</v>
      </c>
      <c r="BC4533" s="46">
        <v>18843.555</v>
      </c>
      <c r="BD4533" s="46">
        <v>4.0960000000000001</v>
      </c>
      <c r="BE4533" s="46">
        <v>1631.7</v>
      </c>
      <c r="BF4533" s="46">
        <v>5481.8400000000111</v>
      </c>
      <c r="BG4533" s="46">
        <v>5.48</v>
      </c>
      <c r="BH4533" s="46">
        <v>0</v>
      </c>
      <c r="BJ4533">
        <v>5481.84</v>
      </c>
      <c r="BK4533">
        <v>5.48</v>
      </c>
      <c r="BL4533">
        <v>303.68</v>
      </c>
    </row>
    <row r="4534" spans="1:64" x14ac:dyDescent="0.25">
      <c r="A4534" s="136">
        <v>44214</v>
      </c>
      <c r="B4534" t="s">
        <v>124</v>
      </c>
      <c r="C4534" t="s">
        <v>125</v>
      </c>
      <c r="D4534">
        <v>100</v>
      </c>
      <c r="E4534">
        <v>100</v>
      </c>
      <c r="F4534">
        <v>0.73699999999999999</v>
      </c>
      <c r="G4534">
        <v>440.28</v>
      </c>
      <c r="H4534">
        <v>597.39</v>
      </c>
      <c r="I4534">
        <v>514</v>
      </c>
      <c r="J4534">
        <v>5.14</v>
      </c>
      <c r="K4534" s="133">
        <v>1.2058525702595044E-3</v>
      </c>
      <c r="L4534" s="181">
        <v>-1</v>
      </c>
      <c r="M4534" s="133">
        <v>1.7294834918196635E-4</v>
      </c>
      <c r="N4534" s="73">
        <v>5623.0690000000113</v>
      </c>
      <c r="O4534" s="73">
        <v>1111.8087987827732</v>
      </c>
      <c r="P4534" s="182">
        <v>0</v>
      </c>
      <c r="Q4534" s="182">
        <v>0</v>
      </c>
      <c r="R4534" s="46">
        <v>0</v>
      </c>
      <c r="S4534" s="46">
        <v>5</v>
      </c>
      <c r="T4534" s="46">
        <v>2300</v>
      </c>
      <c r="U4534" s="46">
        <v>4.99</v>
      </c>
      <c r="V4534" s="46" t="s">
        <v>68</v>
      </c>
      <c r="W4534" s="46">
        <v>2300</v>
      </c>
      <c r="X4534" s="46">
        <v>4.99</v>
      </c>
      <c r="Y4534"/>
      <c r="Z4534"/>
      <c r="AA4534"/>
      <c r="AB4534"/>
      <c r="AC4534"/>
      <c r="AD4534"/>
      <c r="AE4534"/>
      <c r="AF4534" s="46">
        <v>50</v>
      </c>
      <c r="AG4534" s="46">
        <v>36700</v>
      </c>
      <c r="AH4534" s="46">
        <v>180101.02000000002</v>
      </c>
      <c r="AI4534" s="46">
        <v>4.907</v>
      </c>
      <c r="AJ4534" s="46">
        <v>58</v>
      </c>
      <c r="AK4534" s="46">
        <v>35300</v>
      </c>
      <c r="AL4534" s="46">
        <v>178266.546</v>
      </c>
      <c r="AM4534" s="46">
        <v>5.05</v>
      </c>
      <c r="AN4534" s="46" t="s">
        <v>63</v>
      </c>
      <c r="AO4534" s="46">
        <v>1400</v>
      </c>
      <c r="AP4534" s="46">
        <v>1834.4739999999999</v>
      </c>
      <c r="AQ4534" s="46">
        <v>1.31</v>
      </c>
      <c r="AR4534" s="46">
        <v>5047.8999999999996</v>
      </c>
      <c r="AS4534" s="46">
        <v>51</v>
      </c>
      <c r="AT4534" s="46">
        <v>37700</v>
      </c>
      <c r="AU4534" s="46">
        <v>185106.62</v>
      </c>
      <c r="AV4534" s="46">
        <v>4.91</v>
      </c>
      <c r="AW4534" s="46">
        <v>63</v>
      </c>
      <c r="AX4534" s="46">
        <v>37600</v>
      </c>
      <c r="AY4534" s="46">
        <v>189763.68900000001</v>
      </c>
      <c r="AZ4534" s="46">
        <v>5.0469999999999997</v>
      </c>
      <c r="BA4534" s="46" t="s">
        <v>63</v>
      </c>
      <c r="BB4534" s="46">
        <v>100</v>
      </c>
      <c r="BC4534" s="46">
        <v>4657.0690000000004</v>
      </c>
      <c r="BD4534" s="46">
        <v>46.570999999999998</v>
      </c>
      <c r="BE4534" s="46">
        <v>5151.2</v>
      </c>
      <c r="BF4534" s="46">
        <v>5005.5999999999767</v>
      </c>
      <c r="BG4534"/>
      <c r="BH4534" s="46">
        <v>11497.143000000011</v>
      </c>
      <c r="BI4534">
        <v>5</v>
      </c>
      <c r="BJ4534">
        <v>2822.5950000000003</v>
      </c>
      <c r="BK4534">
        <v>1.23</v>
      </c>
      <c r="BL4534">
        <v>982.08</v>
      </c>
    </row>
    <row r="4535" spans="1:64" x14ac:dyDescent="0.25">
      <c r="A4535" s="136">
        <v>44214</v>
      </c>
      <c r="B4535" t="s">
        <v>71</v>
      </c>
      <c r="C4535" t="s">
        <v>126</v>
      </c>
      <c r="D4535">
        <v>5600</v>
      </c>
      <c r="E4535">
        <v>5600</v>
      </c>
      <c r="F4535">
        <v>4.17</v>
      </c>
      <c r="G4535">
        <v>5544.96</v>
      </c>
      <c r="H4535">
        <v>23.75</v>
      </c>
      <c r="I4535">
        <v>28896</v>
      </c>
      <c r="J4535">
        <v>5.16</v>
      </c>
      <c r="K4535" s="133">
        <v>6.7790497801981792E-2</v>
      </c>
      <c r="L4535" s="181">
        <v>-224</v>
      </c>
      <c r="M4535" s="133">
        <v>5.4781929187222758E-2</v>
      </c>
      <c r="N4535" s="73">
        <v>-23388.748000000018</v>
      </c>
      <c r="O4535" s="73">
        <v>1153.8433220532286</v>
      </c>
      <c r="P4535" s="182">
        <v>0</v>
      </c>
      <c r="Q4535" s="182">
        <v>0</v>
      </c>
      <c r="R4535" s="46">
        <v>0</v>
      </c>
      <c r="S4535" s="46">
        <v>6</v>
      </c>
      <c r="T4535" s="46">
        <v>2400</v>
      </c>
      <c r="U4535" s="46">
        <v>7.46</v>
      </c>
      <c r="V4535" s="46" t="s">
        <v>68</v>
      </c>
      <c r="W4535" s="46">
        <v>2400</v>
      </c>
      <c r="X4535" s="46">
        <v>7.46</v>
      </c>
      <c r="Y4535"/>
      <c r="Z4535"/>
      <c r="AA4535"/>
      <c r="AB4535"/>
      <c r="AC4535"/>
      <c r="AD4535"/>
      <c r="AE4535"/>
      <c r="AF4535" s="46">
        <v>82</v>
      </c>
      <c r="AG4535" s="46">
        <v>43800</v>
      </c>
      <c r="AH4535" s="46">
        <v>260874.99999999974</v>
      </c>
      <c r="AI4535" s="46">
        <v>5.9560000000000004</v>
      </c>
      <c r="AJ4535" s="46">
        <v>89</v>
      </c>
      <c r="AK4535" s="46">
        <v>38200</v>
      </c>
      <c r="AL4535" s="46">
        <v>237330.05199999997</v>
      </c>
      <c r="AM4535" s="46">
        <v>6.2130000000000001</v>
      </c>
      <c r="AN4535" s="46" t="s">
        <v>63</v>
      </c>
      <c r="AO4535" s="46">
        <v>5600</v>
      </c>
      <c r="AP4535" s="46">
        <v>23544.948</v>
      </c>
      <c r="AQ4535" s="46">
        <v>4.2039999999999997</v>
      </c>
      <c r="AR4535" s="46">
        <v>9817.4</v>
      </c>
      <c r="AS4535" s="46">
        <v>82</v>
      </c>
      <c r="AT4535" s="46">
        <v>43800</v>
      </c>
      <c r="AU4535" s="46">
        <v>260874.99999999974</v>
      </c>
      <c r="AV4535" s="46">
        <v>5.9560000000000004</v>
      </c>
      <c r="AW4535" s="46">
        <v>89</v>
      </c>
      <c r="AX4535" s="46">
        <v>38200</v>
      </c>
      <c r="AY4535" s="46">
        <v>237330.05199999997</v>
      </c>
      <c r="AZ4535" s="46">
        <v>6.2130000000000001</v>
      </c>
      <c r="BA4535" s="46" t="s">
        <v>63</v>
      </c>
      <c r="BB4535" s="46">
        <v>5600</v>
      </c>
      <c r="BC4535" s="46">
        <v>23544.948</v>
      </c>
      <c r="BD4535" s="46">
        <v>4.2039999999999997</v>
      </c>
      <c r="BE4535" s="46">
        <v>9817.4</v>
      </c>
      <c r="BF4535" s="46">
        <v>0</v>
      </c>
      <c r="BG4535"/>
      <c r="BH4535" s="46">
        <v>0</v>
      </c>
      <c r="BI4535">
        <v>0</v>
      </c>
      <c r="BJ4535">
        <v>0</v>
      </c>
      <c r="BK4535">
        <v>0</v>
      </c>
      <c r="BL4535">
        <v>1902.6</v>
      </c>
    </row>
    <row r="4536" spans="1:64" x14ac:dyDescent="0.25">
      <c r="A4536" s="136">
        <v>44214</v>
      </c>
      <c r="B4536" t="s">
        <v>79</v>
      </c>
      <c r="C4536" t="s">
        <v>143</v>
      </c>
      <c r="D4536">
        <v>12800</v>
      </c>
      <c r="E4536">
        <v>12800</v>
      </c>
      <c r="F4536">
        <v>8.9640000000000004</v>
      </c>
      <c r="G4536">
        <v>-41135.26</v>
      </c>
      <c r="H4536">
        <v>-35.85</v>
      </c>
      <c r="I4536">
        <v>73600</v>
      </c>
      <c r="J4536">
        <v>5.75</v>
      </c>
      <c r="K4536" s="133">
        <v>0.17266682718112747</v>
      </c>
      <c r="L4536" s="181">
        <v>-128</v>
      </c>
      <c r="M4536" s="133">
        <v>0.26917083301632788</v>
      </c>
      <c r="N4536" s="73">
        <v>-43356.211400000568</v>
      </c>
      <c r="O4536" s="73">
        <v>-7766.0453932438304</v>
      </c>
      <c r="P4536" s="182">
        <v>11</v>
      </c>
      <c r="Q4536" s="182">
        <v>7620</v>
      </c>
      <c r="R4536" s="46">
        <v>4.3899999999999997</v>
      </c>
      <c r="S4536" s="46">
        <v>0</v>
      </c>
      <c r="T4536" s="46">
        <v>0</v>
      </c>
      <c r="U4536" s="46">
        <v>0</v>
      </c>
      <c r="V4536" s="46" t="s">
        <v>62</v>
      </c>
      <c r="W4536" s="46">
        <v>7620</v>
      </c>
      <c r="X4536" s="46">
        <v>4.3899999999999997</v>
      </c>
      <c r="Y4536"/>
      <c r="Z4536"/>
      <c r="AA4536"/>
      <c r="AB4536"/>
      <c r="AC4536"/>
      <c r="AD4536"/>
      <c r="AE4536"/>
      <c r="AF4536" s="46">
        <v>107</v>
      </c>
      <c r="AG4536" s="46">
        <v>51300</v>
      </c>
      <c r="AH4536" s="46">
        <v>512870.77999999904</v>
      </c>
      <c r="AI4536" s="46">
        <v>9.9969999999999999</v>
      </c>
      <c r="AJ4536" s="46">
        <v>109</v>
      </c>
      <c r="AK4536" s="46">
        <v>46520</v>
      </c>
      <c r="AL4536" s="46">
        <v>433842.38059999945</v>
      </c>
      <c r="AM4536" s="46">
        <v>9.3260000000000005</v>
      </c>
      <c r="AN4536" s="46" t="s">
        <v>63</v>
      </c>
      <c r="AO4536" s="46">
        <v>4780</v>
      </c>
      <c r="AP4536" s="46">
        <v>79028.399000000005</v>
      </c>
      <c r="AQ4536" s="46">
        <v>16.533000000000001</v>
      </c>
      <c r="AR4536" s="46">
        <v>-31214.92</v>
      </c>
      <c r="AS4536" s="46">
        <v>119</v>
      </c>
      <c r="AT4536" s="46">
        <v>59320</v>
      </c>
      <c r="AU4536" s="46">
        <v>548622.59199999901</v>
      </c>
      <c r="AV4536" s="46">
        <v>9.2490000000000006</v>
      </c>
      <c r="AW4536" s="46">
        <v>109</v>
      </c>
      <c r="AX4536" s="46">
        <v>46520</v>
      </c>
      <c r="AY4536" s="46">
        <v>433842.38059999945</v>
      </c>
      <c r="AZ4536" s="46">
        <v>9.3260000000000005</v>
      </c>
      <c r="BA4536" s="46" t="s">
        <v>63</v>
      </c>
      <c r="BB4536" s="46">
        <v>12800</v>
      </c>
      <c r="BC4536" s="46">
        <v>114780.211</v>
      </c>
      <c r="BD4536" s="46">
        <v>8.9670000000000005</v>
      </c>
      <c r="BE4536" s="46">
        <v>3582.04</v>
      </c>
      <c r="BF4536" s="46">
        <v>35751.811999999976</v>
      </c>
      <c r="BG4536" s="46">
        <v>4.6900000000000004</v>
      </c>
      <c r="BH4536" s="46">
        <v>0</v>
      </c>
      <c r="BJ4536">
        <v>35751.811999999991</v>
      </c>
      <c r="BK4536">
        <v>4.6900000000000004</v>
      </c>
      <c r="BL4536">
        <v>-5428.68</v>
      </c>
    </row>
    <row r="4537" spans="1:64" x14ac:dyDescent="0.25">
      <c r="A4537" s="136">
        <v>44214</v>
      </c>
      <c r="B4537" t="s">
        <v>749</v>
      </c>
      <c r="C4537" t="s">
        <v>750</v>
      </c>
      <c r="D4537">
        <v>500</v>
      </c>
      <c r="E4537">
        <v>500</v>
      </c>
      <c r="F4537">
        <v>5.65</v>
      </c>
      <c r="G4537">
        <v>220</v>
      </c>
      <c r="H4537">
        <v>7.79</v>
      </c>
      <c r="I4537">
        <v>3045</v>
      </c>
      <c r="J4537">
        <v>6.09</v>
      </c>
      <c r="K4537" s="133">
        <v>7.1436207712844181E-3</v>
      </c>
      <c r="L4537" s="181">
        <v>0</v>
      </c>
      <c r="M4537" s="133">
        <v>6.6274971030799608E-3</v>
      </c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  <c r="AJ4537"/>
      <c r="AK4537"/>
      <c r="AL4537"/>
      <c r="AM4537"/>
      <c r="AN4537"/>
      <c r="AO4537"/>
      <c r="AP4537"/>
      <c r="AQ4537"/>
      <c r="AR4537"/>
      <c r="AS4537"/>
      <c r="AT4537"/>
      <c r="AU4537"/>
      <c r="AV4537"/>
      <c r="AW4537"/>
      <c r="AX4537"/>
      <c r="AY4537"/>
      <c r="AZ4537"/>
      <c r="BA4537"/>
      <c r="BB4537"/>
      <c r="BC4537"/>
      <c r="BD4537"/>
      <c r="BE4537"/>
      <c r="BF4537"/>
      <c r="BG4537"/>
      <c r="BH4537"/>
    </row>
    <row r="4538" spans="1:64" x14ac:dyDescent="0.25">
      <c r="A4538" s="136">
        <v>44214</v>
      </c>
      <c r="B4538" t="s">
        <v>776</v>
      </c>
      <c r="C4538" t="s">
        <v>777</v>
      </c>
      <c r="D4538">
        <v>1</v>
      </c>
      <c r="E4538">
        <v>1</v>
      </c>
      <c r="F4538">
        <v>-137.5</v>
      </c>
      <c r="G4538">
        <v>201.75</v>
      </c>
      <c r="H4538">
        <v>0</v>
      </c>
      <c r="I4538">
        <v>64.25</v>
      </c>
      <c r="J4538">
        <v>64.25</v>
      </c>
      <c r="K4538" s="133">
        <v>1.5073157128243805E-4</v>
      </c>
      <c r="L4538" s="181">
        <v>-0.88999999999998636</v>
      </c>
      <c r="M4538" s="133">
        <v>0</v>
      </c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  <c r="AJ4538"/>
      <c r="AK4538"/>
      <c r="AL4538"/>
      <c r="AM4538"/>
      <c r="AN4538"/>
      <c r="AO4538"/>
      <c r="AP4538"/>
      <c r="AQ4538"/>
      <c r="AR4538"/>
      <c r="AS4538"/>
      <c r="AT4538"/>
      <c r="AU4538"/>
      <c r="AV4538"/>
      <c r="AW4538"/>
      <c r="AX4538"/>
      <c r="AY4538"/>
      <c r="AZ4538"/>
      <c r="BA4538"/>
      <c r="BB4538"/>
      <c r="BC4538"/>
      <c r="BD4538"/>
      <c r="BE4538"/>
      <c r="BF4538"/>
      <c r="BG4538"/>
      <c r="BH4538"/>
    </row>
    <row r="4539" spans="1:64" x14ac:dyDescent="0.25">
      <c r="A4539" s="136">
        <v>44214</v>
      </c>
      <c r="B4539" t="s">
        <v>65</v>
      </c>
      <c r="C4539" t="s">
        <v>127</v>
      </c>
      <c r="D4539">
        <v>27500</v>
      </c>
      <c r="E4539">
        <v>27500</v>
      </c>
      <c r="F4539">
        <v>8.1029999999999998</v>
      </c>
      <c r="G4539">
        <v>-50400.23</v>
      </c>
      <c r="H4539">
        <v>-22.62</v>
      </c>
      <c r="I4539">
        <v>172425</v>
      </c>
      <c r="J4539">
        <v>6.27</v>
      </c>
      <c r="K4539" s="133">
        <v>0.4045119249552433</v>
      </c>
      <c r="L4539" s="181">
        <v>0</v>
      </c>
      <c r="M4539" s="133">
        <v>0.52275170489137213</v>
      </c>
      <c r="N4539" s="73">
        <v>-53845.166000000114</v>
      </c>
      <c r="O4539" s="73">
        <v>-7863.3064593254376</v>
      </c>
      <c r="P4539" s="182">
        <v>2</v>
      </c>
      <c r="Q4539" s="182">
        <v>800</v>
      </c>
      <c r="R4539" s="46">
        <v>6.8</v>
      </c>
      <c r="S4539" s="46">
        <v>0</v>
      </c>
      <c r="T4539" s="46">
        <v>0</v>
      </c>
      <c r="U4539" s="46">
        <v>0</v>
      </c>
      <c r="V4539" s="46" t="s">
        <v>62</v>
      </c>
      <c r="W4539" s="46">
        <v>800</v>
      </c>
      <c r="X4539" s="46">
        <v>6.8</v>
      </c>
      <c r="Y4539"/>
      <c r="Z4539"/>
      <c r="AA4539"/>
      <c r="AB4539"/>
      <c r="AC4539"/>
      <c r="AD4539"/>
      <c r="AE4539"/>
      <c r="AF4539" s="46">
        <v>324</v>
      </c>
      <c r="AG4539" s="46">
        <v>170800</v>
      </c>
      <c r="AH4539" s="46">
        <v>1678186.6810000001</v>
      </c>
      <c r="AI4539" s="46">
        <v>9.8249999999999993</v>
      </c>
      <c r="AJ4539" s="46">
        <v>354</v>
      </c>
      <c r="AK4539" s="46">
        <v>153400</v>
      </c>
      <c r="AL4539" s="46">
        <v>1444188.8409999998</v>
      </c>
      <c r="AM4539" s="46">
        <v>9.4149999999999991</v>
      </c>
      <c r="AN4539" s="46" t="s">
        <v>63</v>
      </c>
      <c r="AO4539" s="46">
        <v>17400</v>
      </c>
      <c r="AP4539" s="46">
        <v>233997.84</v>
      </c>
      <c r="AQ4539" s="46">
        <v>13.448</v>
      </c>
      <c r="AR4539" s="46">
        <v>-62894</v>
      </c>
      <c r="AS4539" s="46">
        <v>330</v>
      </c>
      <c r="AT4539" s="46">
        <v>173400</v>
      </c>
      <c r="AU4539" s="46">
        <v>1696198.6810000001</v>
      </c>
      <c r="AV4539" s="46">
        <v>9.782</v>
      </c>
      <c r="AW4539" s="46">
        <v>358</v>
      </c>
      <c r="AX4539" s="46">
        <v>155000</v>
      </c>
      <c r="AY4539" s="46">
        <v>1457247.7489999996</v>
      </c>
      <c r="AZ4539" s="46">
        <v>9.4019999999999992</v>
      </c>
      <c r="BA4539" s="46" t="s">
        <v>63</v>
      </c>
      <c r="BB4539" s="46">
        <v>18400</v>
      </c>
      <c r="BC4539" s="46">
        <v>238950.932</v>
      </c>
      <c r="BD4539" s="46">
        <v>12.986000000000001</v>
      </c>
      <c r="BE4539" s="46">
        <v>-58900</v>
      </c>
      <c r="BF4539" s="46">
        <v>18012</v>
      </c>
      <c r="BG4539" s="46">
        <v>22.52</v>
      </c>
      <c r="BH4539" s="46">
        <v>13058.907999999821</v>
      </c>
      <c r="BJ4539">
        <v>4953.0920000000042</v>
      </c>
      <c r="BK4539">
        <v>6.19</v>
      </c>
      <c r="BL4539">
        <v>-10030.94</v>
      </c>
    </row>
    <row r="4540" spans="1:64" x14ac:dyDescent="0.25">
      <c r="A4540" s="136">
        <v>44214</v>
      </c>
      <c r="B4540" t="s">
        <v>77</v>
      </c>
      <c r="C4540" t="s">
        <v>150</v>
      </c>
      <c r="D4540">
        <v>6900</v>
      </c>
      <c r="E4540">
        <v>6900</v>
      </c>
      <c r="F4540">
        <v>4.9400000000000004</v>
      </c>
      <c r="G4540">
        <v>-19043.419999999998</v>
      </c>
      <c r="H4540">
        <v>-55.87</v>
      </c>
      <c r="I4540">
        <v>15042</v>
      </c>
      <c r="J4540">
        <v>2.1800000000000002</v>
      </c>
      <c r="K4540" s="133">
        <v>3.5288782805142929E-2</v>
      </c>
      <c r="L4540" s="181">
        <v>-69</v>
      </c>
      <c r="M4540" s="133">
        <v>7.9964963648588946E-2</v>
      </c>
      <c r="N4540" s="73">
        <v>-34830.371999999981</v>
      </c>
      <c r="O4540" s="73">
        <v>-5538.9707350364897</v>
      </c>
      <c r="P4540" s="182">
        <v>6</v>
      </c>
      <c r="Q4540" s="182">
        <v>3500</v>
      </c>
      <c r="R4540" s="46">
        <v>3.7789999999999999</v>
      </c>
      <c r="S4540" s="46">
        <v>1</v>
      </c>
      <c r="T4540" s="46">
        <v>400</v>
      </c>
      <c r="U4540" s="46">
        <v>2.77</v>
      </c>
      <c r="V4540" s="46" t="s">
        <v>62</v>
      </c>
      <c r="W4540" s="46">
        <v>3100</v>
      </c>
      <c r="X4540" s="46">
        <v>3.9089999999999998</v>
      </c>
      <c r="Y4540"/>
      <c r="Z4540"/>
      <c r="AA4540"/>
      <c r="AB4540"/>
      <c r="AC4540"/>
      <c r="AD4540"/>
      <c r="AE4540"/>
      <c r="AF4540" s="46">
        <v>72</v>
      </c>
      <c r="AG4540" s="46">
        <v>35400</v>
      </c>
      <c r="AH4540" s="46">
        <v>210838</v>
      </c>
      <c r="AI4540" s="46">
        <v>5.9560000000000004</v>
      </c>
      <c r="AJ4540" s="46">
        <v>72</v>
      </c>
      <c r="AK4540" s="46">
        <v>32000</v>
      </c>
      <c r="AL4540" s="46">
        <v>189713.73600000006</v>
      </c>
      <c r="AM4540" s="46">
        <v>5.9290000000000003</v>
      </c>
      <c r="AN4540" s="46" t="s">
        <v>63</v>
      </c>
      <c r="AO4540" s="46">
        <v>3400</v>
      </c>
      <c r="AP4540" s="46">
        <v>21124.263999999999</v>
      </c>
      <c r="AQ4540" s="46">
        <v>6.2130000000000001</v>
      </c>
      <c r="AR4540" s="46">
        <v>-864</v>
      </c>
      <c r="AS4540" s="46">
        <v>79</v>
      </c>
      <c r="AT4540" s="46">
        <v>39300</v>
      </c>
      <c r="AU4540" s="46">
        <v>224906</v>
      </c>
      <c r="AV4540" s="46">
        <v>5.7229999999999999</v>
      </c>
      <c r="AW4540" s="46">
        <v>73</v>
      </c>
      <c r="AX4540" s="46">
        <v>32400</v>
      </c>
      <c r="AY4540" s="46">
        <v>190815.62800000006</v>
      </c>
      <c r="AZ4540" s="46">
        <v>5.8890000000000002</v>
      </c>
      <c r="BA4540" s="46" t="s">
        <v>63</v>
      </c>
      <c r="BB4540" s="46">
        <v>6900</v>
      </c>
      <c r="BC4540" s="46">
        <v>34090.372000000003</v>
      </c>
      <c r="BD4540" s="46">
        <v>4.9409999999999998</v>
      </c>
      <c r="BE4540" s="46">
        <v>5378.4</v>
      </c>
      <c r="BF4540" s="46">
        <v>14068</v>
      </c>
      <c r="BG4540" s="46">
        <v>4.0199999999999996</v>
      </c>
      <c r="BH4540" s="46">
        <v>1101.8919999999925</v>
      </c>
      <c r="BI4540">
        <v>2.75</v>
      </c>
      <c r="BJ4540">
        <v>12966.108000000004</v>
      </c>
      <c r="BK4540">
        <v>4.18</v>
      </c>
      <c r="BL4540">
        <v>-396.33</v>
      </c>
    </row>
    <row r="4541" spans="1:64" x14ac:dyDescent="0.25">
      <c r="A4541" s="136">
        <v>44214</v>
      </c>
      <c r="B4541" t="s">
        <v>72</v>
      </c>
      <c r="C4541" t="s">
        <v>130</v>
      </c>
      <c r="D4541">
        <v>100</v>
      </c>
      <c r="E4541">
        <v>100</v>
      </c>
      <c r="F4541">
        <v>1.53</v>
      </c>
      <c r="G4541">
        <v>386</v>
      </c>
      <c r="H4541">
        <v>252.29</v>
      </c>
      <c r="I4541">
        <v>539</v>
      </c>
      <c r="J4541">
        <v>5.39</v>
      </c>
      <c r="K4541" s="133">
        <v>1.2645029871009199E-3</v>
      </c>
      <c r="L4541" s="181">
        <v>15</v>
      </c>
      <c r="M4541" s="133">
        <v>3.5894055106946337E-4</v>
      </c>
      <c r="N4541" s="73">
        <v>-1498.9659999999872</v>
      </c>
      <c r="O4541" s="73">
        <v>376.42007904191922</v>
      </c>
      <c r="P4541" s="182">
        <v>0</v>
      </c>
      <c r="Q4541" s="182">
        <v>0</v>
      </c>
      <c r="R4541" s="46">
        <v>0</v>
      </c>
      <c r="S4541" s="46">
        <v>20</v>
      </c>
      <c r="T4541" s="46">
        <v>8600</v>
      </c>
      <c r="U4541" s="46">
        <v>7.3840000000000003</v>
      </c>
      <c r="V4541" s="46" t="s">
        <v>68</v>
      </c>
      <c r="W4541" s="46">
        <v>8600</v>
      </c>
      <c r="X4541" s="46">
        <v>7.3840000000000003</v>
      </c>
      <c r="Y4541"/>
      <c r="Z4541"/>
      <c r="AA4541"/>
      <c r="AB4541"/>
      <c r="AC4541"/>
      <c r="AD4541"/>
      <c r="AE4541"/>
      <c r="AF4541" s="46">
        <v>42</v>
      </c>
      <c r="AG4541" s="46">
        <v>20900</v>
      </c>
      <c r="AH4541" s="46">
        <v>152800</v>
      </c>
      <c r="AI4541" s="46">
        <v>7.3109999999999999</v>
      </c>
      <c r="AJ4541" s="46">
        <v>42</v>
      </c>
      <c r="AK4541" s="46">
        <v>18800</v>
      </c>
      <c r="AL4541" s="46">
        <v>92037.725000000035</v>
      </c>
      <c r="AM4541" s="46">
        <v>4.8959999999999999</v>
      </c>
      <c r="AN4541" s="46" t="s">
        <v>63</v>
      </c>
      <c r="AO4541" s="46">
        <v>2100</v>
      </c>
      <c r="AP4541" s="46">
        <v>60762.275000000001</v>
      </c>
      <c r="AQ4541" s="46">
        <v>28.934000000000001</v>
      </c>
      <c r="AR4541" s="46">
        <v>-45402</v>
      </c>
      <c r="AS4541" s="46">
        <v>42</v>
      </c>
      <c r="AT4541" s="46">
        <v>20900</v>
      </c>
      <c r="AU4541" s="46">
        <v>152800</v>
      </c>
      <c r="AV4541" s="46">
        <v>7.3109999999999999</v>
      </c>
      <c r="AW4541" s="46">
        <v>63</v>
      </c>
      <c r="AX4541" s="46">
        <v>27900</v>
      </c>
      <c r="AY4541" s="46">
        <v>155380.21900000001</v>
      </c>
      <c r="AZ4541" s="46">
        <v>5.569</v>
      </c>
      <c r="BA4541" s="46" t="s">
        <v>69</v>
      </c>
      <c r="BB4541" s="46">
        <v>7000</v>
      </c>
      <c r="BC4541" s="46">
        <v>2580.2190000000001</v>
      </c>
      <c r="BD4541" s="46">
        <v>0.36899999999999999</v>
      </c>
      <c r="BE4541" s="46">
        <v>-36407.800000000003</v>
      </c>
      <c r="BF4541" s="46">
        <v>0</v>
      </c>
      <c r="BG4541"/>
      <c r="BH4541" s="46">
        <v>63342.493999999977</v>
      </c>
      <c r="BI4541">
        <v>7.37</v>
      </c>
      <c r="BJ4541">
        <v>-58182.056000000004</v>
      </c>
      <c r="BK4541">
        <v>-6.77</v>
      </c>
      <c r="BL4541">
        <v>-8423.3799999999992</v>
      </c>
    </row>
    <row r="4542" spans="1:64" x14ac:dyDescent="0.25">
      <c r="A4542" s="136">
        <v>44214</v>
      </c>
      <c r="B4542" t="s">
        <v>70</v>
      </c>
      <c r="C4542" t="s">
        <v>131</v>
      </c>
      <c r="D4542">
        <v>15280</v>
      </c>
      <c r="E4542">
        <v>15280</v>
      </c>
      <c r="F4542">
        <v>7.9320000000000004</v>
      </c>
      <c r="G4542">
        <v>-24024.09</v>
      </c>
      <c r="H4542">
        <v>-19.82</v>
      </c>
      <c r="I4542">
        <v>97180.800000000003</v>
      </c>
      <c r="J4542">
        <v>6.36</v>
      </c>
      <c r="K4542" s="133">
        <v>0.22798777715928958</v>
      </c>
      <c r="L4542" s="181">
        <v>788.43999999999869</v>
      </c>
      <c r="M4542" s="133">
        <v>0.28434869286871695</v>
      </c>
      <c r="N4542" s="73">
        <v>-23573.576999999976</v>
      </c>
      <c r="O4542" s="73">
        <v>-3687.2911129107947</v>
      </c>
      <c r="P4542" s="182">
        <v>0</v>
      </c>
      <c r="Q4542" s="182">
        <v>0</v>
      </c>
      <c r="R4542" s="46">
        <v>0</v>
      </c>
      <c r="S4542" s="46">
        <v>6</v>
      </c>
      <c r="T4542" s="46">
        <v>2400</v>
      </c>
      <c r="U4542" s="46">
        <v>7.46</v>
      </c>
      <c r="V4542" s="46" t="s">
        <v>68</v>
      </c>
      <c r="W4542" s="46">
        <v>2400</v>
      </c>
      <c r="X4542" s="46">
        <v>7.46</v>
      </c>
      <c r="Y4542"/>
      <c r="Z4542"/>
      <c r="AA4542"/>
      <c r="AB4542"/>
      <c r="AC4542"/>
      <c r="AD4542"/>
      <c r="AE4542"/>
      <c r="AF4542" s="46">
        <v>252</v>
      </c>
      <c r="AG4542" s="46">
        <v>125580</v>
      </c>
      <c r="AH4542" s="46">
        <v>1323207</v>
      </c>
      <c r="AI4542" s="46">
        <v>10.537000000000001</v>
      </c>
      <c r="AJ4542" s="46">
        <v>264</v>
      </c>
      <c r="AK4542" s="46">
        <v>107900</v>
      </c>
      <c r="AL4542" s="46">
        <v>1181963.1269999996</v>
      </c>
      <c r="AM4542" s="46">
        <v>10.954000000000001</v>
      </c>
      <c r="AN4542" s="46" t="s">
        <v>63</v>
      </c>
      <c r="AO4542" s="46">
        <v>17680</v>
      </c>
      <c r="AP4542" s="46">
        <v>141243.87299999999</v>
      </c>
      <c r="AQ4542" s="46">
        <v>7.9889999999999999</v>
      </c>
      <c r="AR4542" s="46">
        <v>44994.3</v>
      </c>
      <c r="AS4542" s="46">
        <v>252</v>
      </c>
      <c r="AT4542" s="46">
        <v>125580</v>
      </c>
      <c r="AU4542" s="46">
        <v>1323207</v>
      </c>
      <c r="AV4542" s="46">
        <v>10.537000000000001</v>
      </c>
      <c r="AW4542" s="46">
        <v>271</v>
      </c>
      <c r="AX4542" s="46">
        <v>110300</v>
      </c>
      <c r="AY4542" s="46">
        <v>1200224.2229999995</v>
      </c>
      <c r="AZ4542" s="46">
        <v>10.881</v>
      </c>
      <c r="BA4542" s="46" t="s">
        <v>63</v>
      </c>
      <c r="BB4542" s="46">
        <v>15280</v>
      </c>
      <c r="BC4542" s="46">
        <v>122982.777</v>
      </c>
      <c r="BD4542" s="46">
        <v>8.0489999999999995</v>
      </c>
      <c r="BE4542" s="46">
        <v>37943.199999999997</v>
      </c>
      <c r="BF4542" s="46">
        <v>0</v>
      </c>
      <c r="BG4542"/>
      <c r="BH4542" s="46">
        <v>18261.095999999903</v>
      </c>
      <c r="BI4542">
        <v>7.61</v>
      </c>
      <c r="BJ4542">
        <v>-18261.09599999999</v>
      </c>
      <c r="BK4542">
        <v>-7.61</v>
      </c>
      <c r="BL4542">
        <v>7074.58</v>
      </c>
    </row>
    <row r="4543" spans="1:64" x14ac:dyDescent="0.25">
      <c r="A4543" s="136">
        <v>44214</v>
      </c>
      <c r="B4543" t="s">
        <v>628</v>
      </c>
      <c r="C4543" t="s">
        <v>629</v>
      </c>
      <c r="D4543">
        <v>100</v>
      </c>
      <c r="E4543">
        <v>100</v>
      </c>
      <c r="F4543">
        <v>0.95</v>
      </c>
      <c r="G4543">
        <v>1350</v>
      </c>
      <c r="H4543">
        <v>1421.05</v>
      </c>
      <c r="I4543">
        <v>1445</v>
      </c>
      <c r="J4543">
        <v>14.45</v>
      </c>
      <c r="K4543" s="133">
        <v>3.3899940934338209E-3</v>
      </c>
      <c r="L4543" s="181">
        <v>14</v>
      </c>
      <c r="M4543" s="133">
        <v>2.2287158399737921E-4</v>
      </c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  <c r="AJ4543"/>
      <c r="AK4543"/>
      <c r="AL4543"/>
      <c r="AM4543"/>
      <c r="AN4543"/>
      <c r="AO4543"/>
      <c r="AP4543"/>
      <c r="AQ4543"/>
      <c r="AR4543"/>
      <c r="AS4543"/>
      <c r="AT4543"/>
      <c r="AU4543"/>
      <c r="AV4543"/>
      <c r="AW4543"/>
      <c r="AX4543"/>
      <c r="AY4543"/>
      <c r="AZ4543"/>
      <c r="BA4543"/>
      <c r="BB4543"/>
      <c r="BC4543"/>
      <c r="BD4543"/>
      <c r="BE4543"/>
      <c r="BF4543"/>
      <c r="BG4543"/>
      <c r="BH4543"/>
    </row>
    <row r="4544" spans="1:64" x14ac:dyDescent="0.25">
      <c r="A4544" s="136">
        <v>44214</v>
      </c>
      <c r="B4544" t="s">
        <v>768</v>
      </c>
      <c r="C4544" t="s">
        <v>769</v>
      </c>
      <c r="D4544">
        <v>500</v>
      </c>
      <c r="E4544">
        <v>500</v>
      </c>
      <c r="F4544">
        <v>2.4140000000000001</v>
      </c>
      <c r="G4544">
        <v>218</v>
      </c>
      <c r="H4544">
        <v>18.059999999999999</v>
      </c>
      <c r="I4544">
        <v>1425</v>
      </c>
      <c r="J4544">
        <v>2.85</v>
      </c>
      <c r="K4544" s="133">
        <v>3.3430737599606884E-3</v>
      </c>
      <c r="L4544" s="181">
        <v>-10</v>
      </c>
      <c r="M4544" s="133">
        <v>2.8316421251035444E-3</v>
      </c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  <c r="AJ4544"/>
      <c r="AK4544"/>
      <c r="AL4544"/>
      <c r="AM4544"/>
      <c r="AN4544"/>
      <c r="AO4544"/>
      <c r="AP4544"/>
      <c r="AQ4544"/>
      <c r="AR4544"/>
      <c r="AS4544"/>
      <c r="AT4544"/>
      <c r="AU4544"/>
      <c r="AV4544"/>
      <c r="AW4544"/>
      <c r="AX4544"/>
      <c r="AY4544"/>
      <c r="AZ4544"/>
      <c r="BA4544"/>
      <c r="BB4544"/>
      <c r="BC4544"/>
      <c r="BD4544"/>
      <c r="BE4544"/>
      <c r="BF4544"/>
      <c r="BG4544"/>
      <c r="BH4544"/>
    </row>
    <row r="4545" spans="1:64" x14ac:dyDescent="0.25">
      <c r="A4545" s="136">
        <v>44214</v>
      </c>
      <c r="B4545" t="s">
        <v>1165</v>
      </c>
      <c r="C4545" t="s">
        <v>1166</v>
      </c>
      <c r="D4545">
        <v>10</v>
      </c>
      <c r="E4545">
        <v>10</v>
      </c>
      <c r="F4545">
        <v>100</v>
      </c>
      <c r="G4545">
        <v>0</v>
      </c>
      <c r="H4545">
        <v>0</v>
      </c>
      <c r="I4545">
        <v>1000</v>
      </c>
      <c r="J4545">
        <v>100</v>
      </c>
      <c r="K4545" s="133">
        <v>2.3460166736566234E-3</v>
      </c>
      <c r="L4545" s="181">
        <v>0</v>
      </c>
      <c r="M4545" s="133">
        <v>2.3460166736566234E-3</v>
      </c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  <c r="AJ4545"/>
      <c r="AK4545"/>
      <c r="AL4545"/>
      <c r="AM4545"/>
      <c r="AN4545"/>
      <c r="AO4545"/>
      <c r="AP4545"/>
      <c r="AQ4545"/>
      <c r="AR4545"/>
      <c r="AS4545"/>
      <c r="AT4545"/>
      <c r="AU4545"/>
      <c r="AV4545"/>
      <c r="AW4545"/>
      <c r="AX4545"/>
      <c r="AY4545"/>
      <c r="AZ4545"/>
      <c r="BA4545"/>
      <c r="BB4545"/>
      <c r="BC4545"/>
      <c r="BD4545"/>
      <c r="BE4545"/>
      <c r="BF4545"/>
      <c r="BG4545"/>
      <c r="BH4545"/>
    </row>
    <row r="4546" spans="1:64" x14ac:dyDescent="0.25">
      <c r="A4546" s="136">
        <v>44214</v>
      </c>
      <c r="B4546" t="s">
        <v>137</v>
      </c>
      <c r="C4546" t="s">
        <v>149</v>
      </c>
      <c r="D4546">
        <v>150</v>
      </c>
      <c r="E4546">
        <v>150</v>
      </c>
      <c r="F4546">
        <v>1</v>
      </c>
      <c r="G4546">
        <v>4284</v>
      </c>
      <c r="H4546">
        <v>2856</v>
      </c>
      <c r="I4546">
        <v>4434</v>
      </c>
      <c r="J4546">
        <v>29.56</v>
      </c>
      <c r="K4546" s="133">
        <v>1.0402237930993468E-2</v>
      </c>
      <c r="L4546" s="181">
        <v>103.5</v>
      </c>
      <c r="M4546" s="133">
        <v>3.5190250104849351E-4</v>
      </c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  <c r="AJ4546"/>
      <c r="AK4546"/>
      <c r="AL4546"/>
      <c r="AM4546"/>
      <c r="AN4546"/>
      <c r="AO4546"/>
      <c r="AP4546"/>
      <c r="AQ4546"/>
      <c r="AR4546"/>
      <c r="AS4546"/>
      <c r="AT4546"/>
      <c r="AU4546"/>
      <c r="AV4546"/>
      <c r="AW4546"/>
      <c r="AX4546"/>
      <c r="AY4546"/>
      <c r="AZ4546"/>
      <c r="BA4546"/>
      <c r="BB4546"/>
      <c r="BC4546"/>
      <c r="BD4546"/>
      <c r="BE4546"/>
      <c r="BF4546"/>
      <c r="BG4546"/>
      <c r="BH4546"/>
    </row>
    <row r="4547" spans="1:64" x14ac:dyDescent="0.25">
      <c r="A4547" s="136">
        <v>44214</v>
      </c>
      <c r="B4547" t="s">
        <v>835</v>
      </c>
      <c r="C4547" t="s">
        <v>839</v>
      </c>
      <c r="I4547">
        <v>11275.35</v>
      </c>
      <c r="K4547" s="133">
        <v>2.645215910131421E-2</v>
      </c>
      <c r="L4547" s="181">
        <v>0</v>
      </c>
      <c r="M4547" s="133">
        <v>1.1800463868492817E-5</v>
      </c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  <c r="AJ4547"/>
      <c r="AK4547"/>
      <c r="AL4547"/>
      <c r="AM4547"/>
      <c r="AN4547"/>
      <c r="AO4547"/>
      <c r="AP4547"/>
      <c r="AQ4547"/>
      <c r="AR4547"/>
      <c r="AS4547"/>
      <c r="AT4547"/>
      <c r="AU4547"/>
      <c r="AV4547"/>
      <c r="AW4547"/>
      <c r="AX4547"/>
      <c r="AY4547"/>
      <c r="AZ4547"/>
      <c r="BA4547"/>
      <c r="BB4547"/>
      <c r="BC4547"/>
      <c r="BD4547"/>
      <c r="BE4547"/>
      <c r="BF4547"/>
      <c r="BG4547"/>
      <c r="BH4547"/>
    </row>
    <row r="4548" spans="1:64" x14ac:dyDescent="0.25">
      <c r="A4548" s="136">
        <v>44228</v>
      </c>
      <c r="B4548" t="s">
        <v>132</v>
      </c>
      <c r="C4548" t="s">
        <v>123</v>
      </c>
      <c r="D4548">
        <v>503</v>
      </c>
      <c r="E4548">
        <v>503</v>
      </c>
      <c r="F4548">
        <v>-0.59299999999999997</v>
      </c>
      <c r="G4548">
        <v>303.52999999999997</v>
      </c>
      <c r="H4548">
        <v>0</v>
      </c>
      <c r="I4548">
        <v>5.03</v>
      </c>
      <c r="J4548">
        <v>0.01</v>
      </c>
      <c r="K4548" s="133">
        <v>1.1900787089193348E-5</v>
      </c>
      <c r="L4548" s="181">
        <v>0</v>
      </c>
      <c r="M4548" s="133">
        <v>0</v>
      </c>
    </row>
    <row r="4549" spans="1:64" x14ac:dyDescent="0.25">
      <c r="A4549" s="136">
        <v>44228</v>
      </c>
      <c r="B4549" t="s">
        <v>61</v>
      </c>
      <c r="C4549" t="s">
        <v>136</v>
      </c>
      <c r="D4549">
        <v>4600</v>
      </c>
      <c r="E4549">
        <v>4600</v>
      </c>
      <c r="F4549">
        <v>4.0960000000000001</v>
      </c>
      <c r="G4549">
        <v>-3662.19</v>
      </c>
      <c r="H4549">
        <v>-19.440000000000001</v>
      </c>
      <c r="I4549">
        <v>15180</v>
      </c>
      <c r="J4549">
        <v>3.3</v>
      </c>
      <c r="K4549" s="133">
        <v>3.5915297815895628E-2</v>
      </c>
      <c r="L4549" s="181">
        <v>-184</v>
      </c>
      <c r="M4549" s="133">
        <v>4.4579898903405163E-2</v>
      </c>
      <c r="N4549" s="73">
        <v>-3709.5550000000076</v>
      </c>
      <c r="O4549" s="73">
        <v>-1126.96055395137</v>
      </c>
      <c r="P4549" s="182">
        <v>2</v>
      </c>
      <c r="Q4549" s="182">
        <v>1000</v>
      </c>
      <c r="R4549" s="46">
        <v>4.1500000000000004</v>
      </c>
      <c r="S4549" s="46">
        <v>0</v>
      </c>
      <c r="T4549" s="46">
        <v>0</v>
      </c>
      <c r="U4549" s="46">
        <v>0</v>
      </c>
      <c r="V4549" s="46" t="s">
        <v>62</v>
      </c>
      <c r="W4549" s="46">
        <v>1000</v>
      </c>
      <c r="X4549" s="46">
        <v>4.1500000000000004</v>
      </c>
      <c r="AF4549" s="46">
        <v>36</v>
      </c>
      <c r="AG4549" s="46">
        <v>17900</v>
      </c>
      <c r="AH4549" s="46">
        <v>80451.740000000034</v>
      </c>
      <c r="AI4549" s="46">
        <v>4.4950000000000001</v>
      </c>
      <c r="AJ4549" s="46">
        <v>34</v>
      </c>
      <c r="AK4549" s="46">
        <v>14700</v>
      </c>
      <c r="AL4549" s="46">
        <v>67090.02499999998</v>
      </c>
      <c r="AM4549" s="46">
        <v>4.5640000000000001</v>
      </c>
      <c r="AN4549" s="46" t="s">
        <v>63</v>
      </c>
      <c r="AO4549" s="46">
        <v>3200</v>
      </c>
      <c r="AP4549" s="46">
        <v>13361.715</v>
      </c>
      <c r="AQ4549" s="46">
        <v>4.1760000000000002</v>
      </c>
      <c r="AR4549" s="46">
        <v>1014.3</v>
      </c>
      <c r="AS4549" s="46">
        <v>39</v>
      </c>
      <c r="AT4549" s="46">
        <v>19300</v>
      </c>
      <c r="AU4549" s="46">
        <v>85933.580000000045</v>
      </c>
      <c r="AV4549" s="46">
        <v>4.4530000000000003</v>
      </c>
      <c r="AW4549" s="46">
        <v>34</v>
      </c>
      <c r="AX4549" s="46">
        <v>14700</v>
      </c>
      <c r="AY4549" s="46">
        <v>67090.02499999998</v>
      </c>
      <c r="AZ4549" s="46">
        <v>4.5640000000000001</v>
      </c>
      <c r="BA4549" s="46" t="s">
        <v>63</v>
      </c>
      <c r="BB4549" s="46">
        <v>4600</v>
      </c>
      <c r="BC4549" s="46">
        <v>18843.555</v>
      </c>
      <c r="BD4549" s="46">
        <v>4.0960000000000001</v>
      </c>
      <c r="BE4549" s="46">
        <v>1631.7</v>
      </c>
      <c r="BF4549" s="46">
        <v>5481.8400000000111</v>
      </c>
      <c r="BG4549" s="46">
        <v>5.48</v>
      </c>
      <c r="BH4549" s="46">
        <v>0</v>
      </c>
      <c r="BJ4549">
        <v>5481.84</v>
      </c>
      <c r="BK4549">
        <v>5.48</v>
      </c>
      <c r="BL4549">
        <v>307.36</v>
      </c>
    </row>
    <row r="4550" spans="1:64" x14ac:dyDescent="0.25">
      <c r="A4550" s="136">
        <v>44228</v>
      </c>
      <c r="B4550" t="s">
        <v>124</v>
      </c>
      <c r="C4550" t="s">
        <v>125</v>
      </c>
      <c r="D4550">
        <v>100</v>
      </c>
      <c r="E4550">
        <v>100</v>
      </c>
      <c r="F4550">
        <v>0.73699999999999999</v>
      </c>
      <c r="G4550">
        <v>440.28</v>
      </c>
      <c r="H4550">
        <v>597.39</v>
      </c>
      <c r="I4550">
        <v>514</v>
      </c>
      <c r="J4550">
        <v>5.14</v>
      </c>
      <c r="K4550" s="133">
        <v>1.2161042870467954E-3</v>
      </c>
      <c r="L4550" s="181">
        <v>0</v>
      </c>
      <c r="M4550" s="133">
        <v>1.744186926869451E-4</v>
      </c>
      <c r="N4550" s="73">
        <v>5623.0690000000113</v>
      </c>
      <c r="O4550" s="73">
        <v>1111.8087987827732</v>
      </c>
      <c r="P4550" s="182">
        <v>0</v>
      </c>
      <c r="Q4550" s="182">
        <v>0</v>
      </c>
      <c r="R4550" s="46">
        <v>0</v>
      </c>
      <c r="S4550" s="46">
        <v>5</v>
      </c>
      <c r="T4550" s="46">
        <v>2300</v>
      </c>
      <c r="U4550" s="46">
        <v>4.99</v>
      </c>
      <c r="V4550" s="46" t="s">
        <v>68</v>
      </c>
      <c r="W4550" s="46">
        <v>2300</v>
      </c>
      <c r="X4550" s="46">
        <v>4.99</v>
      </c>
      <c r="AF4550" s="46">
        <v>50</v>
      </c>
      <c r="AG4550" s="46">
        <v>36700</v>
      </c>
      <c r="AH4550" s="46">
        <v>180101.02000000002</v>
      </c>
      <c r="AI4550" s="46">
        <v>4.907</v>
      </c>
      <c r="AJ4550" s="46">
        <v>58</v>
      </c>
      <c r="AK4550" s="46">
        <v>35300</v>
      </c>
      <c r="AL4550" s="46">
        <v>178266.546</v>
      </c>
      <c r="AM4550" s="46">
        <v>5.05</v>
      </c>
      <c r="AN4550" s="46" t="s">
        <v>63</v>
      </c>
      <c r="AO4550" s="46">
        <v>1400</v>
      </c>
      <c r="AP4550" s="46">
        <v>1834.4739999999999</v>
      </c>
      <c r="AQ4550" s="46">
        <v>1.31</v>
      </c>
      <c r="AR4550" s="46">
        <v>5047.8999999999996</v>
      </c>
      <c r="AS4550" s="46">
        <v>51</v>
      </c>
      <c r="AT4550" s="46">
        <v>37700</v>
      </c>
      <c r="AU4550" s="46">
        <v>185106.62</v>
      </c>
      <c r="AV4550" s="46">
        <v>4.91</v>
      </c>
      <c r="AW4550" s="46">
        <v>63</v>
      </c>
      <c r="AX4550" s="46">
        <v>37600</v>
      </c>
      <c r="AY4550" s="46">
        <v>189763.68900000001</v>
      </c>
      <c r="AZ4550" s="46">
        <v>5.0469999999999997</v>
      </c>
      <c r="BA4550" s="46" t="s">
        <v>63</v>
      </c>
      <c r="BB4550" s="46">
        <v>100</v>
      </c>
      <c r="BC4550" s="46">
        <v>4657.0690000000004</v>
      </c>
      <c r="BD4550" s="46">
        <v>46.570999999999998</v>
      </c>
      <c r="BE4550" s="46">
        <v>5151.2</v>
      </c>
      <c r="BF4550" s="46">
        <v>5005.5999999999767</v>
      </c>
      <c r="BH4550" s="46">
        <v>11497.143000000011</v>
      </c>
      <c r="BI4550">
        <v>5</v>
      </c>
      <c r="BJ4550">
        <v>2822.5950000000003</v>
      </c>
      <c r="BK4550">
        <v>1.23</v>
      </c>
      <c r="BL4550">
        <v>982.08</v>
      </c>
    </row>
    <row r="4551" spans="1:64" x14ac:dyDescent="0.25">
      <c r="A4551" s="136">
        <v>44228</v>
      </c>
      <c r="B4551" t="s">
        <v>71</v>
      </c>
      <c r="C4551" t="s">
        <v>126</v>
      </c>
      <c r="D4551">
        <v>5600</v>
      </c>
      <c r="E4551">
        <v>5600</v>
      </c>
      <c r="F4551">
        <v>4.17</v>
      </c>
      <c r="G4551">
        <v>6272.96</v>
      </c>
      <c r="H4551">
        <v>26.86</v>
      </c>
      <c r="I4551">
        <v>29624</v>
      </c>
      <c r="J4551">
        <v>5.29</v>
      </c>
      <c r="K4551" s="133">
        <v>7.0089247858899348E-2</v>
      </c>
      <c r="L4551" s="181">
        <v>728</v>
      </c>
      <c r="M4551" s="133">
        <v>5.5247665079768873E-2</v>
      </c>
      <c r="N4551" s="73">
        <v>-24368.748000000018</v>
      </c>
      <c r="O4551" s="73">
        <v>1153.8433220532286</v>
      </c>
      <c r="P4551" s="182">
        <v>0</v>
      </c>
      <c r="Q4551" s="182">
        <v>0</v>
      </c>
      <c r="R4551" s="46">
        <v>0</v>
      </c>
      <c r="S4551" s="46">
        <v>7</v>
      </c>
      <c r="T4551" s="46">
        <v>2800</v>
      </c>
      <c r="U4551" s="46">
        <v>7.3230000000000004</v>
      </c>
      <c r="V4551" s="46" t="s">
        <v>68</v>
      </c>
      <c r="W4551" s="46">
        <v>2800</v>
      </c>
      <c r="X4551" s="46">
        <v>7.3230000000000004</v>
      </c>
      <c r="AF4551" s="46">
        <v>82</v>
      </c>
      <c r="AG4551" s="46">
        <v>43800</v>
      </c>
      <c r="AH4551" s="46">
        <v>260874.99999999974</v>
      </c>
      <c r="AI4551" s="46">
        <v>5.9560000000000004</v>
      </c>
      <c r="AJ4551" s="46">
        <v>89</v>
      </c>
      <c r="AK4551" s="46">
        <v>38200</v>
      </c>
      <c r="AL4551" s="46">
        <v>237330.05199999997</v>
      </c>
      <c r="AM4551" s="46">
        <v>6.2130000000000001</v>
      </c>
      <c r="AN4551" s="46" t="s">
        <v>63</v>
      </c>
      <c r="AO4551" s="46">
        <v>5600</v>
      </c>
      <c r="AP4551" s="46">
        <v>23544.948</v>
      </c>
      <c r="AQ4551" s="46">
        <v>4.2039999999999997</v>
      </c>
      <c r="AR4551" s="46">
        <v>9817.4</v>
      </c>
      <c r="AS4551" s="46">
        <v>82</v>
      </c>
      <c r="AT4551" s="46">
        <v>43800</v>
      </c>
      <c r="AU4551" s="46">
        <v>260874.99999999974</v>
      </c>
      <c r="AV4551" s="46">
        <v>5.9560000000000004</v>
      </c>
      <c r="AW4551" s="46">
        <v>89</v>
      </c>
      <c r="AX4551" s="46">
        <v>38200</v>
      </c>
      <c r="AY4551" s="46">
        <v>237330.05199999997</v>
      </c>
      <c r="AZ4551" s="46">
        <v>6.2130000000000001</v>
      </c>
      <c r="BA4551" s="46" t="s">
        <v>63</v>
      </c>
      <c r="BB4551" s="46">
        <v>5600</v>
      </c>
      <c r="BC4551" s="46">
        <v>23544.948</v>
      </c>
      <c r="BD4551" s="46">
        <v>4.2039999999999997</v>
      </c>
      <c r="BE4551" s="46">
        <v>9817.4</v>
      </c>
      <c r="BF4551" s="46">
        <v>0</v>
      </c>
      <c r="BH4551" s="46">
        <v>0</v>
      </c>
      <c r="BI4551">
        <v>0</v>
      </c>
      <c r="BJ4551">
        <v>0</v>
      </c>
      <c r="BK4551">
        <v>0</v>
      </c>
      <c r="BL4551">
        <v>1855.84</v>
      </c>
    </row>
    <row r="4552" spans="1:64" x14ac:dyDescent="0.25">
      <c r="A4552" s="136">
        <v>44228</v>
      </c>
      <c r="B4552" t="s">
        <v>79</v>
      </c>
      <c r="C4552" t="s">
        <v>143</v>
      </c>
      <c r="D4552">
        <v>12800</v>
      </c>
      <c r="E4552">
        <v>12800</v>
      </c>
      <c r="F4552">
        <v>8.9489999999999998</v>
      </c>
      <c r="G4552">
        <v>-40819.68</v>
      </c>
      <c r="H4552">
        <v>-35.64</v>
      </c>
      <c r="I4552">
        <v>73728</v>
      </c>
      <c r="J4552">
        <v>5.76</v>
      </c>
      <c r="K4552" s="133">
        <v>0.17443762038012864</v>
      </c>
      <c r="L4552" s="181">
        <v>315.58000000000175</v>
      </c>
      <c r="M4552" s="133">
        <v>0.27101541774175963</v>
      </c>
      <c r="N4552" s="73">
        <v>-39969.023400000573</v>
      </c>
      <c r="O4552" s="73">
        <v>-6852.32227929684</v>
      </c>
      <c r="P4552" s="182">
        <v>11</v>
      </c>
      <c r="Q4552" s="182">
        <v>7620</v>
      </c>
      <c r="R4552" s="46">
        <v>4.3410000000000002</v>
      </c>
      <c r="S4552" s="46">
        <v>0</v>
      </c>
      <c r="T4552" s="46">
        <v>0</v>
      </c>
      <c r="U4552" s="46">
        <v>0</v>
      </c>
      <c r="V4552" s="46" t="s">
        <v>62</v>
      </c>
      <c r="W4552" s="46">
        <v>7620</v>
      </c>
      <c r="X4552" s="46">
        <v>4.3410000000000002</v>
      </c>
      <c r="AF4552" s="46">
        <v>108</v>
      </c>
      <c r="AG4552" s="46">
        <v>51700</v>
      </c>
      <c r="AH4552" s="46">
        <v>515488.01999999903</v>
      </c>
      <c r="AI4552" s="46">
        <v>9.9710000000000001</v>
      </c>
      <c r="AJ4552" s="46">
        <v>110</v>
      </c>
      <c r="AK4552" s="46">
        <v>46920</v>
      </c>
      <c r="AL4552" s="46">
        <v>436166.80859999947</v>
      </c>
      <c r="AM4552" s="46">
        <v>9.2959999999999994</v>
      </c>
      <c r="AN4552" s="46" t="s">
        <v>63</v>
      </c>
      <c r="AO4552" s="46">
        <v>4780</v>
      </c>
      <c r="AP4552" s="46">
        <v>79321.210999999996</v>
      </c>
      <c r="AQ4552" s="46">
        <v>16.594000000000001</v>
      </c>
      <c r="AR4552" s="46">
        <v>-31671</v>
      </c>
      <c r="AS4552" s="46">
        <v>120</v>
      </c>
      <c r="AT4552" s="46">
        <v>59720</v>
      </c>
      <c r="AU4552" s="46">
        <v>550759.83199999901</v>
      </c>
      <c r="AV4552" s="46">
        <v>9.2219999999999995</v>
      </c>
      <c r="AW4552" s="46">
        <v>110</v>
      </c>
      <c r="AX4552" s="46">
        <v>46920</v>
      </c>
      <c r="AY4552" s="46">
        <v>436166.80859999947</v>
      </c>
      <c r="AZ4552" s="46">
        <v>9.2959999999999994</v>
      </c>
      <c r="BA4552" s="46" t="s">
        <v>63</v>
      </c>
      <c r="BB4552" s="46">
        <v>12800</v>
      </c>
      <c r="BC4552" s="46">
        <v>114593.023</v>
      </c>
      <c r="BD4552" s="46">
        <v>8.9529999999999994</v>
      </c>
      <c r="BE4552" s="46">
        <v>3472.08</v>
      </c>
      <c r="BF4552" s="46">
        <v>35271.811999999976</v>
      </c>
      <c r="BG4552" s="46">
        <v>4.63</v>
      </c>
      <c r="BH4552" s="46">
        <v>0</v>
      </c>
      <c r="BJ4552">
        <v>35271.812000000005</v>
      </c>
      <c r="BK4552">
        <v>4.63</v>
      </c>
      <c r="BL4552">
        <v>-5498.44</v>
      </c>
    </row>
    <row r="4553" spans="1:64" x14ac:dyDescent="0.25">
      <c r="A4553" s="136">
        <v>44228</v>
      </c>
      <c r="B4553" t="s">
        <v>749</v>
      </c>
      <c r="C4553" t="s">
        <v>750</v>
      </c>
      <c r="D4553">
        <v>500</v>
      </c>
      <c r="E4553">
        <v>500</v>
      </c>
      <c r="F4553">
        <v>5.65</v>
      </c>
      <c r="G4553">
        <v>65</v>
      </c>
      <c r="H4553">
        <v>2.2999999999999998</v>
      </c>
      <c r="I4553">
        <v>2890</v>
      </c>
      <c r="J4553">
        <v>5.78</v>
      </c>
      <c r="K4553" s="133">
        <v>6.8376291625782846E-3</v>
      </c>
      <c r="L4553" s="181">
        <v>-155</v>
      </c>
      <c r="M4553" s="133">
        <v>6.6838416554614727E-3</v>
      </c>
    </row>
    <row r="4554" spans="1:64" x14ac:dyDescent="0.25">
      <c r="A4554" s="136">
        <v>44228</v>
      </c>
      <c r="B4554" t="s">
        <v>776</v>
      </c>
      <c r="C4554" t="s">
        <v>777</v>
      </c>
      <c r="D4554">
        <v>1</v>
      </c>
      <c r="E4554">
        <v>1</v>
      </c>
      <c r="F4554">
        <v>-137.5</v>
      </c>
      <c r="G4554">
        <v>198.32</v>
      </c>
      <c r="H4554">
        <v>0</v>
      </c>
      <c r="I4554">
        <v>60.82</v>
      </c>
      <c r="J4554">
        <v>60.82</v>
      </c>
      <c r="K4554" s="133">
        <v>1.4389778742837761E-4</v>
      </c>
      <c r="L4554" s="181">
        <v>-3.4300000000000068</v>
      </c>
      <c r="M4554" s="133">
        <v>0</v>
      </c>
    </row>
    <row r="4555" spans="1:64" x14ac:dyDescent="0.25">
      <c r="A4555" s="136">
        <v>44228</v>
      </c>
      <c r="B4555" t="s">
        <v>65</v>
      </c>
      <c r="C4555" t="s">
        <v>127</v>
      </c>
      <c r="D4555">
        <v>28300</v>
      </c>
      <c r="E4555">
        <v>28300</v>
      </c>
      <c r="F4555">
        <v>8.0459999999999994</v>
      </c>
      <c r="G4555">
        <v>-56197.79</v>
      </c>
      <c r="H4555">
        <v>-24.68</v>
      </c>
      <c r="I4555">
        <v>171498</v>
      </c>
      <c r="J4555">
        <v>6.06</v>
      </c>
      <c r="K4555" s="133">
        <v>0.40575769070029438</v>
      </c>
      <c r="L4555" s="181">
        <v>-5797.5599999999977</v>
      </c>
      <c r="M4555" s="133">
        <v>0.53871950653989653</v>
      </c>
      <c r="N4555" s="73">
        <v>-59618.730000000127</v>
      </c>
      <c r="O4555" s="73">
        <v>-9082.0210035714717</v>
      </c>
      <c r="P4555" s="182">
        <v>5</v>
      </c>
      <c r="Q4555" s="182">
        <v>2000</v>
      </c>
      <c r="R4555" s="46">
        <v>6.4260000000000002</v>
      </c>
      <c r="S4555" s="46">
        <v>1</v>
      </c>
      <c r="T4555" s="46">
        <v>400</v>
      </c>
      <c r="U4555" s="46">
        <v>6.41</v>
      </c>
      <c r="V4555" s="46" t="s">
        <v>62</v>
      </c>
      <c r="W4555" s="46">
        <v>1600</v>
      </c>
      <c r="X4555" s="46">
        <v>6.43</v>
      </c>
      <c r="AF4555" s="46">
        <v>324</v>
      </c>
      <c r="AG4555" s="46">
        <v>170800</v>
      </c>
      <c r="AH4555" s="46">
        <v>1678186.6810000001</v>
      </c>
      <c r="AI4555" s="46">
        <v>9.8249999999999993</v>
      </c>
      <c r="AJ4555" s="46">
        <v>354</v>
      </c>
      <c r="AK4555" s="46">
        <v>153400</v>
      </c>
      <c r="AL4555" s="46">
        <v>1444188.8409999998</v>
      </c>
      <c r="AM4555" s="46">
        <v>9.4149999999999991</v>
      </c>
      <c r="AN4555" s="46" t="s">
        <v>63</v>
      </c>
      <c r="AO4555" s="46">
        <v>17400</v>
      </c>
      <c r="AP4555" s="46">
        <v>233997.84</v>
      </c>
      <c r="AQ4555" s="46">
        <v>13.448</v>
      </c>
      <c r="AR4555" s="46">
        <v>-62894</v>
      </c>
      <c r="AS4555" s="46">
        <v>333</v>
      </c>
      <c r="AT4555" s="46">
        <v>174600</v>
      </c>
      <c r="AU4555" s="46">
        <v>1703625.6810000001</v>
      </c>
      <c r="AV4555" s="46">
        <v>9.7569999999999997</v>
      </c>
      <c r="AW4555" s="46">
        <v>359</v>
      </c>
      <c r="AX4555" s="46">
        <v>155400</v>
      </c>
      <c r="AY4555" s="46">
        <v>1459804.1849999996</v>
      </c>
      <c r="AZ4555" s="46">
        <v>9.3940000000000001</v>
      </c>
      <c r="BA4555" s="46" t="s">
        <v>63</v>
      </c>
      <c r="BB4555" s="46">
        <v>19200</v>
      </c>
      <c r="BC4555" s="46">
        <v>243821.49600000001</v>
      </c>
      <c r="BD4555" s="46">
        <v>12.699</v>
      </c>
      <c r="BE4555" s="46">
        <v>-56410.2</v>
      </c>
      <c r="BF4555" s="46">
        <v>25439</v>
      </c>
      <c r="BG4555" s="46">
        <v>12.72</v>
      </c>
      <c r="BH4555" s="46">
        <v>15615.343999999808</v>
      </c>
      <c r="BI4555">
        <v>39.04</v>
      </c>
      <c r="BJ4555">
        <v>9823.6560000000172</v>
      </c>
      <c r="BK4555">
        <v>6.14</v>
      </c>
      <c r="BL4555">
        <v>-10378.549999999999</v>
      </c>
    </row>
    <row r="4556" spans="1:64" x14ac:dyDescent="0.25">
      <c r="A4556" s="136">
        <v>44228</v>
      </c>
      <c r="B4556" t="s">
        <v>77</v>
      </c>
      <c r="C4556" t="s">
        <v>150</v>
      </c>
      <c r="D4556">
        <v>6900</v>
      </c>
      <c r="E4556">
        <v>6900</v>
      </c>
      <c r="F4556">
        <v>4.9400000000000004</v>
      </c>
      <c r="G4556">
        <v>-19388.419999999998</v>
      </c>
      <c r="H4556">
        <v>-56.88</v>
      </c>
      <c r="I4556">
        <v>14697</v>
      </c>
      <c r="J4556">
        <v>2.13</v>
      </c>
      <c r="K4556" s="133">
        <v>3.4772538339935315E-2</v>
      </c>
      <c r="L4556" s="181">
        <v>-345</v>
      </c>
      <c r="M4556" s="133">
        <v>8.0644796474300728E-2</v>
      </c>
      <c r="N4556" s="73">
        <v>-34830.371999999981</v>
      </c>
      <c r="O4556" s="73">
        <v>-5538.9707350364897</v>
      </c>
      <c r="P4556" s="182">
        <v>6</v>
      </c>
      <c r="Q4556" s="182">
        <v>3500</v>
      </c>
      <c r="R4556" s="46">
        <v>3.7789999999999999</v>
      </c>
      <c r="S4556" s="46">
        <v>1</v>
      </c>
      <c r="T4556" s="46">
        <v>400</v>
      </c>
      <c r="U4556" s="46">
        <v>2.77</v>
      </c>
      <c r="V4556" s="46" t="s">
        <v>62</v>
      </c>
      <c r="W4556" s="46">
        <v>3100</v>
      </c>
      <c r="X4556" s="46">
        <v>3.9089999999999998</v>
      </c>
      <c r="AF4556" s="46">
        <v>72</v>
      </c>
      <c r="AG4556" s="46">
        <v>35400</v>
      </c>
      <c r="AH4556" s="46">
        <v>210838</v>
      </c>
      <c r="AI4556" s="46">
        <v>5.9560000000000004</v>
      </c>
      <c r="AJ4556" s="46">
        <v>72</v>
      </c>
      <c r="AK4556" s="46">
        <v>32000</v>
      </c>
      <c r="AL4556" s="46">
        <v>189713.73600000006</v>
      </c>
      <c r="AM4556" s="46">
        <v>5.9290000000000003</v>
      </c>
      <c r="AN4556" s="46" t="s">
        <v>63</v>
      </c>
      <c r="AO4556" s="46">
        <v>3400</v>
      </c>
      <c r="AP4556" s="46">
        <v>21124.263999999999</v>
      </c>
      <c r="AQ4556" s="46">
        <v>6.2130000000000001</v>
      </c>
      <c r="AR4556" s="46">
        <v>-864</v>
      </c>
      <c r="AS4556" s="46">
        <v>79</v>
      </c>
      <c r="AT4556" s="46">
        <v>39300</v>
      </c>
      <c r="AU4556" s="46">
        <v>224906</v>
      </c>
      <c r="AV4556" s="46">
        <v>5.7229999999999999</v>
      </c>
      <c r="AW4556" s="46">
        <v>73</v>
      </c>
      <c r="AX4556" s="46">
        <v>32400</v>
      </c>
      <c r="AY4556" s="46">
        <v>190815.62800000006</v>
      </c>
      <c r="AZ4556" s="46">
        <v>5.8890000000000002</v>
      </c>
      <c r="BA4556" s="46" t="s">
        <v>63</v>
      </c>
      <c r="BB4556" s="46">
        <v>6900</v>
      </c>
      <c r="BC4556" s="46">
        <v>34090.372000000003</v>
      </c>
      <c r="BD4556" s="46">
        <v>4.9409999999999998</v>
      </c>
      <c r="BE4556" s="46">
        <v>5378.4</v>
      </c>
      <c r="BF4556" s="46">
        <v>14068</v>
      </c>
      <c r="BG4556" s="46">
        <v>4.0199999999999996</v>
      </c>
      <c r="BH4556" s="46">
        <v>1101.8919999999925</v>
      </c>
      <c r="BI4556">
        <v>2.75</v>
      </c>
      <c r="BJ4556">
        <v>12966.108000000004</v>
      </c>
      <c r="BK4556">
        <v>4.18</v>
      </c>
      <c r="BL4556">
        <v>-405.63</v>
      </c>
    </row>
    <row r="4557" spans="1:64" x14ac:dyDescent="0.25">
      <c r="A4557" s="136">
        <v>44228</v>
      </c>
      <c r="B4557" t="s">
        <v>72</v>
      </c>
      <c r="C4557" t="s">
        <v>130</v>
      </c>
      <c r="D4557">
        <v>100</v>
      </c>
      <c r="E4557">
        <v>100</v>
      </c>
      <c r="F4557">
        <v>1.53</v>
      </c>
      <c r="G4557">
        <v>481</v>
      </c>
      <c r="H4557">
        <v>314.38</v>
      </c>
      <c r="I4557">
        <v>634</v>
      </c>
      <c r="J4557">
        <v>6.34</v>
      </c>
      <c r="K4557" s="133">
        <v>1.5000196848009109E-3</v>
      </c>
      <c r="L4557" s="181">
        <v>95</v>
      </c>
      <c r="M4557" s="133">
        <v>3.6199213213649744E-4</v>
      </c>
      <c r="N4557" s="73">
        <v>-1498.9659999999872</v>
      </c>
      <c r="O4557" s="73">
        <v>376.42007904191922</v>
      </c>
      <c r="P4557" s="182">
        <v>0</v>
      </c>
      <c r="Q4557" s="182">
        <v>0</v>
      </c>
      <c r="R4557" s="46">
        <v>0</v>
      </c>
      <c r="S4557" s="46">
        <v>20</v>
      </c>
      <c r="T4557" s="46">
        <v>8600</v>
      </c>
      <c r="U4557" s="46">
        <v>7.3840000000000003</v>
      </c>
      <c r="V4557" s="46" t="s">
        <v>68</v>
      </c>
      <c r="W4557" s="46">
        <v>8600</v>
      </c>
      <c r="X4557" s="46">
        <v>7.3840000000000003</v>
      </c>
      <c r="AF4557" s="46">
        <v>42</v>
      </c>
      <c r="AG4557" s="46">
        <v>20900</v>
      </c>
      <c r="AH4557" s="46">
        <v>152800</v>
      </c>
      <c r="AI4557" s="46">
        <v>7.3109999999999999</v>
      </c>
      <c r="AJ4557" s="46">
        <v>42</v>
      </c>
      <c r="AK4557" s="46">
        <v>18800</v>
      </c>
      <c r="AL4557" s="46">
        <v>92037.725000000035</v>
      </c>
      <c r="AM4557" s="46">
        <v>4.8959999999999999</v>
      </c>
      <c r="AN4557" s="46" t="s">
        <v>63</v>
      </c>
      <c r="AO4557" s="46">
        <v>2100</v>
      </c>
      <c r="AP4557" s="46">
        <v>60762.275000000001</v>
      </c>
      <c r="AQ4557" s="46">
        <v>28.934000000000001</v>
      </c>
      <c r="AR4557" s="46">
        <v>-45402</v>
      </c>
      <c r="AS4557" s="46">
        <v>42</v>
      </c>
      <c r="AT4557" s="46">
        <v>20900</v>
      </c>
      <c r="AU4557" s="46">
        <v>152800</v>
      </c>
      <c r="AV4557" s="46">
        <v>7.3109999999999999</v>
      </c>
      <c r="AW4557" s="46">
        <v>63</v>
      </c>
      <c r="AX4557" s="46">
        <v>27900</v>
      </c>
      <c r="AY4557" s="46">
        <v>155380.21900000001</v>
      </c>
      <c r="AZ4557" s="46">
        <v>5.569</v>
      </c>
      <c r="BA4557" s="46" t="s">
        <v>69</v>
      </c>
      <c r="BB4557" s="46">
        <v>7000</v>
      </c>
      <c r="BC4557" s="46">
        <v>2580.2190000000001</v>
      </c>
      <c r="BD4557" s="46">
        <v>0.36899999999999999</v>
      </c>
      <c r="BE4557" s="46">
        <v>-36407.800000000003</v>
      </c>
      <c r="BF4557" s="46">
        <v>0</v>
      </c>
      <c r="BH4557" s="46">
        <v>63342.493999999977</v>
      </c>
      <c r="BI4557">
        <v>7.37</v>
      </c>
      <c r="BJ4557">
        <v>-58182.056000000004</v>
      </c>
      <c r="BK4557">
        <v>-6.77</v>
      </c>
      <c r="BL4557">
        <v>-7161.2</v>
      </c>
    </row>
    <row r="4558" spans="1:64" x14ac:dyDescent="0.25">
      <c r="A4558" s="136">
        <v>44228</v>
      </c>
      <c r="B4558" t="s">
        <v>70</v>
      </c>
      <c r="C4558" t="s">
        <v>131</v>
      </c>
      <c r="D4558">
        <v>14880</v>
      </c>
      <c r="E4558">
        <v>14880</v>
      </c>
      <c r="F4558">
        <v>7.9710000000000001</v>
      </c>
      <c r="G4558">
        <v>-21892.49</v>
      </c>
      <c r="H4558">
        <v>-18.46</v>
      </c>
      <c r="I4558">
        <v>96720</v>
      </c>
      <c r="J4558">
        <v>6.5</v>
      </c>
      <c r="K4558" s="133">
        <v>0.2288358105898172</v>
      </c>
      <c r="L4558" s="181">
        <v>2131.5999999999985</v>
      </c>
      <c r="M4558" s="133">
        <v>0.28063260230796722</v>
      </c>
      <c r="N4558" s="73">
        <v>-21900.376999999979</v>
      </c>
      <c r="O4558" s="73">
        <v>-3367.6041248461506</v>
      </c>
      <c r="P4558" s="182">
        <v>0</v>
      </c>
      <c r="Q4558" s="182">
        <v>0</v>
      </c>
      <c r="R4558" s="46">
        <v>0</v>
      </c>
      <c r="S4558" s="46">
        <v>7</v>
      </c>
      <c r="T4558" s="46">
        <v>2800</v>
      </c>
      <c r="U4558" s="46">
        <v>7.3230000000000004</v>
      </c>
      <c r="V4558" s="46" t="s">
        <v>68</v>
      </c>
      <c r="W4558" s="46">
        <v>2800</v>
      </c>
      <c r="X4558" s="46">
        <v>7.3230000000000004</v>
      </c>
      <c r="AF4558" s="46">
        <v>252</v>
      </c>
      <c r="AG4558" s="46">
        <v>125580</v>
      </c>
      <c r="AH4558" s="46">
        <v>1323207</v>
      </c>
      <c r="AI4558" s="46">
        <v>10.537000000000001</v>
      </c>
      <c r="AJ4558" s="46">
        <v>264</v>
      </c>
      <c r="AK4558" s="46">
        <v>107900</v>
      </c>
      <c r="AL4558" s="46">
        <v>1181963.1269999996</v>
      </c>
      <c r="AM4558" s="46">
        <v>10.954000000000001</v>
      </c>
      <c r="AN4558" s="46" t="s">
        <v>63</v>
      </c>
      <c r="AO4558" s="46">
        <v>17680</v>
      </c>
      <c r="AP4558" s="46">
        <v>141243.87299999999</v>
      </c>
      <c r="AQ4558" s="46">
        <v>7.9889999999999999</v>
      </c>
      <c r="AR4558" s="46">
        <v>44994.3</v>
      </c>
      <c r="AS4558" s="46">
        <v>252</v>
      </c>
      <c r="AT4558" s="46">
        <v>125580</v>
      </c>
      <c r="AU4558" s="46">
        <v>1323207</v>
      </c>
      <c r="AV4558" s="46">
        <v>10.537000000000001</v>
      </c>
      <c r="AW4558" s="46">
        <v>272</v>
      </c>
      <c r="AX4558" s="46">
        <v>110700</v>
      </c>
      <c r="AY4558" s="46">
        <v>1202816.6229999994</v>
      </c>
      <c r="AZ4558" s="46">
        <v>10.866</v>
      </c>
      <c r="BA4558" s="46" t="s">
        <v>63</v>
      </c>
      <c r="BB4558" s="46">
        <v>14880</v>
      </c>
      <c r="BC4558" s="46">
        <v>120390.37699999999</v>
      </c>
      <c r="BD4558" s="46">
        <v>8.0909999999999993</v>
      </c>
      <c r="BE4558" s="46">
        <v>36420.300000000003</v>
      </c>
      <c r="BF4558" s="46">
        <v>0</v>
      </c>
      <c r="BH4558" s="46">
        <v>20853.49599999981</v>
      </c>
      <c r="BI4558">
        <v>7.45</v>
      </c>
      <c r="BJ4558">
        <v>-20853.495999999999</v>
      </c>
      <c r="BK4558">
        <v>-7.45</v>
      </c>
      <c r="BL4558">
        <v>6922.2</v>
      </c>
    </row>
    <row r="4559" spans="1:64" x14ac:dyDescent="0.25">
      <c r="A4559" s="136">
        <v>44228</v>
      </c>
      <c r="B4559" t="s">
        <v>628</v>
      </c>
      <c r="C4559" t="s">
        <v>629</v>
      </c>
      <c r="D4559">
        <v>100</v>
      </c>
      <c r="E4559">
        <v>100</v>
      </c>
      <c r="F4559">
        <v>0.95</v>
      </c>
      <c r="G4559">
        <v>1193</v>
      </c>
      <c r="H4559">
        <v>1255.79</v>
      </c>
      <c r="I4559">
        <v>1288</v>
      </c>
      <c r="J4559">
        <v>12.88</v>
      </c>
      <c r="K4559" s="133">
        <v>3.0473586025608411E-3</v>
      </c>
      <c r="L4559" s="181">
        <v>-157</v>
      </c>
      <c r="M4559" s="133">
        <v>2.2476635655534154E-4</v>
      </c>
    </row>
    <row r="4560" spans="1:64" x14ac:dyDescent="0.25">
      <c r="A4560" s="136">
        <v>44228</v>
      </c>
      <c r="B4560" t="s">
        <v>768</v>
      </c>
      <c r="C4560" t="s">
        <v>769</v>
      </c>
      <c r="D4560">
        <v>500</v>
      </c>
      <c r="E4560">
        <v>500</v>
      </c>
      <c r="F4560">
        <v>2.4140000000000001</v>
      </c>
      <c r="G4560">
        <v>158</v>
      </c>
      <c r="H4560">
        <v>13.09</v>
      </c>
      <c r="I4560">
        <v>1365</v>
      </c>
      <c r="J4560">
        <v>2.73</v>
      </c>
      <c r="K4560" s="133">
        <v>3.2295376494530653E-3</v>
      </c>
      <c r="L4560" s="181">
        <v>-60</v>
      </c>
      <c r="M4560" s="133">
        <v>2.8557157090768133E-3</v>
      </c>
    </row>
    <row r="4561" spans="1:64" x14ac:dyDescent="0.25">
      <c r="A4561" s="136">
        <v>44228</v>
      </c>
      <c r="B4561" t="s">
        <v>1165</v>
      </c>
      <c r="C4561" t="s">
        <v>1166</v>
      </c>
      <c r="D4561">
        <v>10</v>
      </c>
      <c r="E4561">
        <v>10</v>
      </c>
      <c r="F4561">
        <v>100</v>
      </c>
      <c r="G4561">
        <v>-108</v>
      </c>
      <c r="H4561">
        <v>-10.8</v>
      </c>
      <c r="I4561">
        <v>892</v>
      </c>
      <c r="J4561">
        <v>89.2</v>
      </c>
      <c r="K4561" s="133">
        <v>2.1104377899722596E-3</v>
      </c>
      <c r="L4561" s="181">
        <v>-108</v>
      </c>
      <c r="M4561" s="133">
        <v>2.3659616479509635E-3</v>
      </c>
    </row>
    <row r="4562" spans="1:64" x14ac:dyDescent="0.25">
      <c r="A4562" s="136">
        <v>44228</v>
      </c>
      <c r="B4562" t="s">
        <v>137</v>
      </c>
      <c r="C4562" t="s">
        <v>149</v>
      </c>
      <c r="D4562">
        <v>150</v>
      </c>
      <c r="E4562">
        <v>150</v>
      </c>
      <c r="F4562">
        <v>1</v>
      </c>
      <c r="G4562">
        <v>4234.5</v>
      </c>
      <c r="H4562">
        <v>2823</v>
      </c>
      <c r="I4562">
        <v>4384.5</v>
      </c>
      <c r="J4562">
        <v>29.23</v>
      </c>
      <c r="K4562" s="133">
        <v>1.0373558845441E-2</v>
      </c>
      <c r="L4562" s="181">
        <v>-49.5</v>
      </c>
      <c r="M4562" s="133">
        <v>3.5489424719264458E-4</v>
      </c>
    </row>
    <row r="4563" spans="1:64" x14ac:dyDescent="0.25">
      <c r="A4563" s="136">
        <v>44228</v>
      </c>
      <c r="B4563" t="s">
        <v>835</v>
      </c>
      <c r="C4563" t="s">
        <v>839</v>
      </c>
      <c r="I4563">
        <v>9180.77</v>
      </c>
      <c r="K4563" s="133">
        <v>2.1721349718658769E-2</v>
      </c>
      <c r="L4563" s="181">
        <v>0</v>
      </c>
      <c r="M4563" s="133">
        <v>1.1900787089193348E-5</v>
      </c>
    </row>
    <row r="4564" spans="1:64" x14ac:dyDescent="0.25">
      <c r="A4564" s="136">
        <v>44232</v>
      </c>
      <c r="B4564" t="s">
        <v>132</v>
      </c>
      <c r="C4564" t="s">
        <v>123</v>
      </c>
      <c r="D4564">
        <v>503</v>
      </c>
      <c r="E4564">
        <v>503</v>
      </c>
      <c r="F4564">
        <v>-0.59299999999999997</v>
      </c>
      <c r="G4564">
        <v>303.52999999999997</v>
      </c>
      <c r="H4564">
        <v>0</v>
      </c>
      <c r="I4564">
        <v>5.03</v>
      </c>
      <c r="J4564">
        <v>0.01</v>
      </c>
      <c r="K4564" s="133">
        <v>1.2353885827597618E-5</v>
      </c>
      <c r="L4564" s="181">
        <v>0</v>
      </c>
      <c r="M4564" s="133">
        <v>0</v>
      </c>
    </row>
    <row r="4565" spans="1:64" x14ac:dyDescent="0.25">
      <c r="A4565" s="136">
        <v>44232</v>
      </c>
      <c r="B4565" t="s">
        <v>61</v>
      </c>
      <c r="C4565" t="s">
        <v>136</v>
      </c>
      <c r="D4565">
        <v>4600</v>
      </c>
      <c r="E4565">
        <v>4600</v>
      </c>
      <c r="F4565">
        <v>4.0960000000000001</v>
      </c>
      <c r="G4565">
        <v>-4030.19</v>
      </c>
      <c r="H4565">
        <v>-21.39</v>
      </c>
      <c r="I4565">
        <v>14812</v>
      </c>
      <c r="J4565">
        <v>3.22</v>
      </c>
      <c r="K4565" s="133">
        <v>3.6378878107032983E-2</v>
      </c>
      <c r="L4565" s="181">
        <v>-368</v>
      </c>
      <c r="M4565" s="133">
        <v>4.627718966240587E-2</v>
      </c>
      <c r="N4565" s="73">
        <v>-3709.5550000000076</v>
      </c>
      <c r="O4565" s="73">
        <v>-1126.96055395137</v>
      </c>
      <c r="P4565" s="182">
        <v>2</v>
      </c>
      <c r="Q4565" s="182">
        <v>1000</v>
      </c>
      <c r="R4565" s="46">
        <v>4.1500000000000004</v>
      </c>
      <c r="S4565" s="46">
        <v>0</v>
      </c>
      <c r="T4565" s="46">
        <v>0</v>
      </c>
      <c r="U4565" s="46">
        <v>0</v>
      </c>
      <c r="V4565" s="46" t="s">
        <v>62</v>
      </c>
      <c r="W4565" s="46">
        <v>1000</v>
      </c>
      <c r="X4565" s="46">
        <v>4.1500000000000004</v>
      </c>
      <c r="AF4565" s="46">
        <v>36</v>
      </c>
      <c r="AG4565" s="46">
        <v>17900</v>
      </c>
      <c r="AH4565" s="46">
        <v>80451.740000000034</v>
      </c>
      <c r="AI4565" s="46">
        <v>4.4950000000000001</v>
      </c>
      <c r="AJ4565" s="46">
        <v>34</v>
      </c>
      <c r="AK4565" s="46">
        <v>14700</v>
      </c>
      <c r="AL4565" s="46">
        <v>67090.02499999998</v>
      </c>
      <c r="AM4565" s="46">
        <v>4.5640000000000001</v>
      </c>
      <c r="AN4565" s="46" t="s">
        <v>63</v>
      </c>
      <c r="AO4565" s="46">
        <v>3200</v>
      </c>
      <c r="AP4565" s="46">
        <v>13361.715</v>
      </c>
      <c r="AQ4565" s="46">
        <v>4.1760000000000002</v>
      </c>
      <c r="AR4565" s="46">
        <v>1014.3</v>
      </c>
      <c r="AS4565" s="46">
        <v>39</v>
      </c>
      <c r="AT4565" s="46">
        <v>19300</v>
      </c>
      <c r="AU4565" s="46">
        <v>85933.580000000045</v>
      </c>
      <c r="AV4565" s="46">
        <v>4.4530000000000003</v>
      </c>
      <c r="AW4565" s="46">
        <v>34</v>
      </c>
      <c r="AX4565" s="46">
        <v>14700</v>
      </c>
      <c r="AY4565" s="46">
        <v>67090.02499999998</v>
      </c>
      <c r="AZ4565" s="46">
        <v>4.5640000000000001</v>
      </c>
      <c r="BA4565" s="46" t="s">
        <v>63</v>
      </c>
      <c r="BB4565" s="46">
        <v>4600</v>
      </c>
      <c r="BC4565" s="46">
        <v>18843.555</v>
      </c>
      <c r="BD4565" s="46">
        <v>4.0960000000000001</v>
      </c>
      <c r="BE4565" s="46">
        <v>1631.7</v>
      </c>
      <c r="BF4565" s="46">
        <v>5481.8400000000111</v>
      </c>
      <c r="BG4565" s="46">
        <v>5.48</v>
      </c>
      <c r="BH4565" s="46">
        <v>0</v>
      </c>
      <c r="BJ4565">
        <v>5481.84</v>
      </c>
      <c r="BK4565">
        <v>5.48</v>
      </c>
      <c r="BL4565">
        <v>315</v>
      </c>
    </row>
    <row r="4566" spans="1:64" x14ac:dyDescent="0.25">
      <c r="A4566" s="136">
        <v>44232</v>
      </c>
      <c r="B4566" t="s">
        <v>124</v>
      </c>
      <c r="C4566" t="s">
        <v>125</v>
      </c>
      <c r="D4566">
        <v>100</v>
      </c>
      <c r="E4566">
        <v>100</v>
      </c>
      <c r="F4566">
        <v>0.73699999999999999</v>
      </c>
      <c r="G4566">
        <v>444.28</v>
      </c>
      <c r="H4566">
        <v>602.82000000000005</v>
      </c>
      <c r="I4566">
        <v>518</v>
      </c>
      <c r="J4566">
        <v>5.18</v>
      </c>
      <c r="K4566" s="133">
        <v>1.2722291965597547E-3</v>
      </c>
      <c r="L4566" s="181">
        <v>4</v>
      </c>
      <c r="M4566" s="133">
        <v>1.8105933662236514E-4</v>
      </c>
      <c r="N4566" s="73">
        <v>5623.0690000000113</v>
      </c>
      <c r="O4566" s="73">
        <v>1111.8087987827732</v>
      </c>
      <c r="P4566" s="182">
        <v>0</v>
      </c>
      <c r="Q4566" s="182">
        <v>0</v>
      </c>
      <c r="R4566" s="46">
        <v>0</v>
      </c>
      <c r="S4566" s="46">
        <v>5</v>
      </c>
      <c r="T4566" s="46">
        <v>2300</v>
      </c>
      <c r="U4566" s="46">
        <v>4.99</v>
      </c>
      <c r="V4566" s="46" t="s">
        <v>68</v>
      </c>
      <c r="W4566" s="46">
        <v>2300</v>
      </c>
      <c r="X4566" s="46">
        <v>4.99</v>
      </c>
      <c r="AF4566" s="46">
        <v>50</v>
      </c>
      <c r="AG4566" s="46">
        <v>36700</v>
      </c>
      <c r="AH4566" s="46">
        <v>180101.02000000002</v>
      </c>
      <c r="AI4566" s="46">
        <v>4.907</v>
      </c>
      <c r="AJ4566" s="46">
        <v>58</v>
      </c>
      <c r="AK4566" s="46">
        <v>35300</v>
      </c>
      <c r="AL4566" s="46">
        <v>178266.546</v>
      </c>
      <c r="AM4566" s="46">
        <v>5.05</v>
      </c>
      <c r="AN4566" s="46" t="s">
        <v>63</v>
      </c>
      <c r="AO4566" s="46">
        <v>1400</v>
      </c>
      <c r="AP4566" s="46">
        <v>1834.4739999999999</v>
      </c>
      <c r="AQ4566" s="46">
        <v>1.31</v>
      </c>
      <c r="AR4566" s="46">
        <v>5047.8999999999996</v>
      </c>
      <c r="AS4566" s="46">
        <v>51</v>
      </c>
      <c r="AT4566" s="46">
        <v>37700</v>
      </c>
      <c r="AU4566" s="46">
        <v>185106.62</v>
      </c>
      <c r="AV4566" s="46">
        <v>4.91</v>
      </c>
      <c r="AW4566" s="46">
        <v>63</v>
      </c>
      <c r="AX4566" s="46">
        <v>37600</v>
      </c>
      <c r="AY4566" s="46">
        <v>189763.68900000001</v>
      </c>
      <c r="AZ4566" s="46">
        <v>5.0469999999999997</v>
      </c>
      <c r="BA4566" s="46" t="s">
        <v>63</v>
      </c>
      <c r="BB4566" s="46">
        <v>100</v>
      </c>
      <c r="BC4566" s="46">
        <v>4657.0690000000004</v>
      </c>
      <c r="BD4566" s="46">
        <v>46.570999999999998</v>
      </c>
      <c r="BE4566" s="46">
        <v>5151.2</v>
      </c>
      <c r="BF4566" s="46">
        <v>5005.5999999999767</v>
      </c>
      <c r="BH4566" s="46">
        <v>11497.143000000011</v>
      </c>
      <c r="BI4566">
        <v>5</v>
      </c>
      <c r="BJ4566">
        <v>2822.5950000000003</v>
      </c>
      <c r="BK4566">
        <v>1.23</v>
      </c>
      <c r="BL4566">
        <v>974.5</v>
      </c>
    </row>
    <row r="4567" spans="1:64" x14ac:dyDescent="0.25">
      <c r="A4567" s="136">
        <v>44232</v>
      </c>
      <c r="B4567" t="s">
        <v>71</v>
      </c>
      <c r="C4567" t="s">
        <v>126</v>
      </c>
      <c r="D4567">
        <v>5200</v>
      </c>
      <c r="E4567">
        <v>5200</v>
      </c>
      <c r="F4567">
        <v>4.0830000000000002</v>
      </c>
      <c r="G4567">
        <v>6797.79</v>
      </c>
      <c r="H4567">
        <v>32.020000000000003</v>
      </c>
      <c r="I4567">
        <v>28028</v>
      </c>
      <c r="J4567">
        <v>5.39</v>
      </c>
      <c r="K4567" s="133">
        <v>6.8837914905746728E-2</v>
      </c>
      <c r="L4567" s="181">
        <v>524.82999999999993</v>
      </c>
      <c r="M4567" s="133">
        <v>5.2142264500183139E-2</v>
      </c>
      <c r="N4567" s="73">
        <v>-22243.11600000002</v>
      </c>
      <c r="O4567" s="73">
        <v>1202.5720973684172</v>
      </c>
      <c r="P4567" s="182">
        <v>0</v>
      </c>
      <c r="Q4567" s="182">
        <v>0</v>
      </c>
      <c r="R4567" s="46">
        <v>0</v>
      </c>
      <c r="S4567" s="46">
        <v>0</v>
      </c>
      <c r="T4567" s="46">
        <v>0</v>
      </c>
      <c r="U4567" s="46">
        <v>0</v>
      </c>
      <c r="V4567" s="46" t="s">
        <v>68</v>
      </c>
      <c r="W4567" s="46">
        <v>0</v>
      </c>
      <c r="AF4567" s="46">
        <v>82</v>
      </c>
      <c r="AG4567" s="46">
        <v>43800</v>
      </c>
      <c r="AH4567" s="46">
        <v>260874.99999999974</v>
      </c>
      <c r="AI4567" s="46">
        <v>5.9560000000000004</v>
      </c>
      <c r="AJ4567" s="46">
        <v>89</v>
      </c>
      <c r="AK4567" s="46">
        <v>38200</v>
      </c>
      <c r="AL4567" s="46">
        <v>237330.05199999997</v>
      </c>
      <c r="AM4567" s="46">
        <v>6.2130000000000001</v>
      </c>
      <c r="AN4567" s="46" t="s">
        <v>63</v>
      </c>
      <c r="AO4567" s="46">
        <v>5600</v>
      </c>
      <c r="AP4567" s="46">
        <v>23544.948</v>
      </c>
      <c r="AQ4567" s="46">
        <v>4.2039999999999997</v>
      </c>
      <c r="AR4567" s="46">
        <v>9817.4</v>
      </c>
      <c r="AS4567" s="46">
        <v>82</v>
      </c>
      <c r="AT4567" s="46">
        <v>43800</v>
      </c>
      <c r="AU4567" s="46">
        <v>260874.99999999974</v>
      </c>
      <c r="AV4567" s="46">
        <v>5.9560000000000004</v>
      </c>
      <c r="AW4567" s="46">
        <v>90</v>
      </c>
      <c r="AX4567" s="46">
        <v>38600</v>
      </c>
      <c r="AY4567" s="46">
        <v>239450.68399999995</v>
      </c>
      <c r="AZ4567" s="46">
        <v>6.2030000000000003</v>
      </c>
      <c r="BA4567" s="46" t="s">
        <v>63</v>
      </c>
      <c r="BB4567" s="46">
        <v>5200</v>
      </c>
      <c r="BC4567" s="46">
        <v>21424.315999999999</v>
      </c>
      <c r="BD4567" s="46">
        <v>4.12</v>
      </c>
      <c r="BE4567" s="46">
        <v>9534.2000000000007</v>
      </c>
      <c r="BF4567" s="46">
        <v>0</v>
      </c>
      <c r="BH4567" s="46">
        <v>2120.6319999999832</v>
      </c>
      <c r="BJ4567">
        <v>-2120.6320000000014</v>
      </c>
      <c r="BL4567">
        <v>1821.41</v>
      </c>
    </row>
    <row r="4568" spans="1:64" x14ac:dyDescent="0.25">
      <c r="A4568" s="136">
        <v>44232</v>
      </c>
      <c r="B4568" t="s">
        <v>79</v>
      </c>
      <c r="C4568" t="s">
        <v>143</v>
      </c>
      <c r="D4568">
        <v>12800</v>
      </c>
      <c r="E4568">
        <v>12800</v>
      </c>
      <c r="F4568">
        <v>8.9450000000000003</v>
      </c>
      <c r="G4568">
        <v>-44096.03</v>
      </c>
      <c r="H4568">
        <v>-38.51</v>
      </c>
      <c r="I4568">
        <v>70400</v>
      </c>
      <c r="J4568">
        <v>5.5</v>
      </c>
      <c r="K4568" s="133">
        <v>0.17290528076796666</v>
      </c>
      <c r="L4568" s="181">
        <v>-3276.3499999999985</v>
      </c>
      <c r="M4568" s="133">
        <v>0.28120693485749337</v>
      </c>
      <c r="N4568" s="73">
        <v>-42349.759400000577</v>
      </c>
      <c r="O4568" s="73">
        <v>-7505.0681773582592</v>
      </c>
      <c r="P4568" s="182">
        <v>11</v>
      </c>
      <c r="Q4568" s="182">
        <v>7620</v>
      </c>
      <c r="R4568" s="46">
        <v>4.327</v>
      </c>
      <c r="S4568" s="46">
        <v>0</v>
      </c>
      <c r="T4568" s="46">
        <v>0</v>
      </c>
      <c r="U4568" s="46">
        <v>0</v>
      </c>
      <c r="V4568" s="46" t="s">
        <v>62</v>
      </c>
      <c r="W4568" s="46">
        <v>7620</v>
      </c>
      <c r="X4568" s="46">
        <v>4.327</v>
      </c>
      <c r="AF4568" s="46">
        <v>109</v>
      </c>
      <c r="AG4568" s="46">
        <v>52100</v>
      </c>
      <c r="AH4568" s="46">
        <v>517725.25999999902</v>
      </c>
      <c r="AI4568" s="46">
        <v>9.9369999999999994</v>
      </c>
      <c r="AJ4568" s="46">
        <v>111</v>
      </c>
      <c r="AK4568" s="46">
        <v>47320</v>
      </c>
      <c r="AL4568" s="46">
        <v>438415.31259999948</v>
      </c>
      <c r="AM4568" s="46">
        <v>9.2650000000000006</v>
      </c>
      <c r="AN4568" s="46" t="s">
        <v>63</v>
      </c>
      <c r="AO4568" s="46">
        <v>4780</v>
      </c>
      <c r="AP4568" s="46">
        <v>79309.947</v>
      </c>
      <c r="AQ4568" s="46">
        <v>16.591999999999999</v>
      </c>
      <c r="AR4568" s="46">
        <v>-31799.040000000001</v>
      </c>
      <c r="AS4568" s="46">
        <v>121</v>
      </c>
      <c r="AT4568" s="46">
        <v>60120</v>
      </c>
      <c r="AU4568" s="46">
        <v>552957.071999999</v>
      </c>
      <c r="AV4568" s="46">
        <v>9.1980000000000004</v>
      </c>
      <c r="AW4568" s="46">
        <v>111</v>
      </c>
      <c r="AX4568" s="46">
        <v>47320</v>
      </c>
      <c r="AY4568" s="46">
        <v>438415.31259999948</v>
      </c>
      <c r="AZ4568" s="46">
        <v>9.2650000000000006</v>
      </c>
      <c r="BA4568" s="46" t="s">
        <v>63</v>
      </c>
      <c r="BB4568" s="46">
        <v>12800</v>
      </c>
      <c r="BC4568" s="46">
        <v>114541.75900000001</v>
      </c>
      <c r="BD4568" s="46">
        <v>8.9489999999999998</v>
      </c>
      <c r="BE4568" s="46">
        <v>3170.44</v>
      </c>
      <c r="BF4568" s="46">
        <v>35231.811999999976</v>
      </c>
      <c r="BG4568" s="46">
        <v>4.62</v>
      </c>
      <c r="BH4568" s="46">
        <v>0</v>
      </c>
      <c r="BJ4568">
        <v>35231.812000000005</v>
      </c>
      <c r="BK4568">
        <v>4.62</v>
      </c>
      <c r="BL4568">
        <v>-5781.64</v>
      </c>
    </row>
    <row r="4569" spans="1:64" x14ac:dyDescent="0.25">
      <c r="A4569" s="136">
        <v>44232</v>
      </c>
      <c r="B4569" t="s">
        <v>749</v>
      </c>
      <c r="C4569" t="s">
        <v>750</v>
      </c>
      <c r="D4569">
        <v>500</v>
      </c>
      <c r="E4569">
        <v>500</v>
      </c>
      <c r="F4569">
        <v>5.65</v>
      </c>
      <c r="G4569">
        <v>-110</v>
      </c>
      <c r="H4569">
        <v>-3.89</v>
      </c>
      <c r="I4569">
        <v>2715</v>
      </c>
      <c r="J4569">
        <v>5.43</v>
      </c>
      <c r="K4569" s="133">
        <v>6.6681510977987142E-3</v>
      </c>
      <c r="L4569" s="181">
        <v>-175</v>
      </c>
      <c r="M4569" s="133">
        <v>6.9383155989986619E-3</v>
      </c>
    </row>
    <row r="4570" spans="1:64" x14ac:dyDescent="0.25">
      <c r="A4570" s="136">
        <v>44232</v>
      </c>
      <c r="B4570" t="s">
        <v>776</v>
      </c>
      <c r="C4570" t="s">
        <v>777</v>
      </c>
      <c r="D4570">
        <v>1</v>
      </c>
      <c r="E4570">
        <v>1</v>
      </c>
      <c r="F4570">
        <v>-137.5</v>
      </c>
      <c r="G4570">
        <v>191.82</v>
      </c>
      <c r="H4570">
        <v>0</v>
      </c>
      <c r="I4570">
        <v>54.32</v>
      </c>
      <c r="J4570">
        <v>54.32</v>
      </c>
      <c r="K4570" s="133">
        <v>1.3341214277437426E-4</v>
      </c>
      <c r="L4570" s="181">
        <v>-6.5</v>
      </c>
      <c r="M4570" s="133">
        <v>0</v>
      </c>
    </row>
    <row r="4571" spans="1:64" x14ac:dyDescent="0.25">
      <c r="A4571" s="136">
        <v>44232</v>
      </c>
      <c r="B4571" t="s">
        <v>65</v>
      </c>
      <c r="C4571" t="s">
        <v>127</v>
      </c>
      <c r="D4571">
        <v>29100</v>
      </c>
      <c r="E4571">
        <v>29100</v>
      </c>
      <c r="F4571">
        <v>7.9880000000000004</v>
      </c>
      <c r="G4571">
        <v>-61632.480000000003</v>
      </c>
      <c r="H4571">
        <v>-26.51</v>
      </c>
      <c r="I4571">
        <v>170817</v>
      </c>
      <c r="J4571">
        <v>5.87</v>
      </c>
      <c r="K4571" s="133">
        <v>0.41953354183155911</v>
      </c>
      <c r="L4571" s="181">
        <v>-5434.6900000000023</v>
      </c>
      <c r="M4571" s="133">
        <v>0.57090543471261157</v>
      </c>
      <c r="N4571" s="73">
        <v>-64738.426000000123</v>
      </c>
      <c r="O4571" s="73">
        <v>-10224.474460871448</v>
      </c>
      <c r="P4571" s="182">
        <v>7</v>
      </c>
      <c r="Q4571" s="182">
        <v>3200</v>
      </c>
      <c r="R4571" s="46">
        <v>6.2229999999999999</v>
      </c>
      <c r="S4571" s="46">
        <v>2</v>
      </c>
      <c r="T4571" s="46">
        <v>800</v>
      </c>
      <c r="U4571" s="46">
        <v>6.12</v>
      </c>
      <c r="V4571" s="46" t="s">
        <v>62</v>
      </c>
      <c r="W4571" s="46">
        <v>2400</v>
      </c>
      <c r="X4571" s="46">
        <v>6.2569999999999997</v>
      </c>
      <c r="AF4571" s="46">
        <v>325</v>
      </c>
      <c r="AG4571" s="46">
        <v>171200</v>
      </c>
      <c r="AH4571" s="46">
        <v>1680551.6810000001</v>
      </c>
      <c r="AI4571" s="46">
        <v>9.8160000000000007</v>
      </c>
      <c r="AJ4571" s="46">
        <v>355</v>
      </c>
      <c r="AK4571" s="46">
        <v>153800</v>
      </c>
      <c r="AL4571" s="46">
        <v>1446545.4769999997</v>
      </c>
      <c r="AM4571" s="46">
        <v>9.4049999999999994</v>
      </c>
      <c r="AN4571" s="46" t="s">
        <v>63</v>
      </c>
      <c r="AO4571" s="46">
        <v>17400</v>
      </c>
      <c r="AP4571" s="46">
        <v>234006.204</v>
      </c>
      <c r="AQ4571" s="46">
        <v>13.449</v>
      </c>
      <c r="AR4571" s="46">
        <v>-63211.8</v>
      </c>
      <c r="AS4571" s="46">
        <v>336</v>
      </c>
      <c r="AT4571" s="46">
        <v>176200</v>
      </c>
      <c r="AU4571" s="46">
        <v>1713060.6810000001</v>
      </c>
      <c r="AV4571" s="46">
        <v>9.7219999999999995</v>
      </c>
      <c r="AW4571" s="46">
        <v>361</v>
      </c>
      <c r="AX4571" s="46">
        <v>156200</v>
      </c>
      <c r="AY4571" s="46">
        <v>1464485.4889999996</v>
      </c>
      <c r="AZ4571" s="46">
        <v>9.3759999999999994</v>
      </c>
      <c r="BA4571" s="46" t="s">
        <v>63</v>
      </c>
      <c r="BB4571" s="46">
        <v>20000</v>
      </c>
      <c r="BC4571" s="46">
        <v>248575.19200000001</v>
      </c>
      <c r="BD4571" s="46">
        <v>12.429</v>
      </c>
      <c r="BE4571" s="46">
        <v>-54045.2</v>
      </c>
      <c r="BF4571" s="46">
        <v>32509</v>
      </c>
      <c r="BG4571" s="46">
        <v>10.16</v>
      </c>
      <c r="BH4571" s="46">
        <v>17940.011999999871</v>
      </c>
      <c r="BI4571">
        <v>22.43</v>
      </c>
      <c r="BJ4571">
        <v>14568.988000000012</v>
      </c>
      <c r="BK4571">
        <v>6.07</v>
      </c>
      <c r="BL4571">
        <v>-10768.62</v>
      </c>
    </row>
    <row r="4572" spans="1:64" x14ac:dyDescent="0.25">
      <c r="A4572" s="136">
        <v>44232</v>
      </c>
      <c r="B4572" t="s">
        <v>77</v>
      </c>
      <c r="C4572" t="s">
        <v>150</v>
      </c>
      <c r="D4572">
        <v>6900</v>
      </c>
      <c r="E4572">
        <v>6900</v>
      </c>
      <c r="F4572">
        <v>4.9400000000000004</v>
      </c>
      <c r="G4572">
        <v>-20906.419999999998</v>
      </c>
      <c r="H4572">
        <v>-61.33</v>
      </c>
      <c r="I4572">
        <v>13179</v>
      </c>
      <c r="J4572">
        <v>1.91</v>
      </c>
      <c r="K4572" s="133">
        <v>3.2368163284673755E-2</v>
      </c>
      <c r="L4572" s="181">
        <v>-1518</v>
      </c>
      <c r="M4572" s="133">
        <v>8.3715186295370253E-2</v>
      </c>
      <c r="N4572" s="73">
        <v>-34830.371999999981</v>
      </c>
      <c r="O4572" s="73">
        <v>-5538.9707350364897</v>
      </c>
      <c r="P4572" s="182">
        <v>6</v>
      </c>
      <c r="Q4572" s="182">
        <v>3500</v>
      </c>
      <c r="R4572" s="46">
        <v>3.7789999999999999</v>
      </c>
      <c r="S4572" s="46">
        <v>1</v>
      </c>
      <c r="T4572" s="46">
        <v>400</v>
      </c>
      <c r="U4572" s="46">
        <v>2.77</v>
      </c>
      <c r="V4572" s="46" t="s">
        <v>62</v>
      </c>
      <c r="W4572" s="46">
        <v>3100</v>
      </c>
      <c r="X4572" s="46">
        <v>3.9089999999999998</v>
      </c>
      <c r="AF4572" s="46">
        <v>72</v>
      </c>
      <c r="AG4572" s="46">
        <v>35400</v>
      </c>
      <c r="AH4572" s="46">
        <v>210838</v>
      </c>
      <c r="AI4572" s="46">
        <v>5.9560000000000004</v>
      </c>
      <c r="AJ4572" s="46">
        <v>72</v>
      </c>
      <c r="AK4572" s="46">
        <v>32000</v>
      </c>
      <c r="AL4572" s="46">
        <v>189713.73600000006</v>
      </c>
      <c r="AM4572" s="46">
        <v>5.9290000000000003</v>
      </c>
      <c r="AN4572" s="46" t="s">
        <v>63</v>
      </c>
      <c r="AO4572" s="46">
        <v>3400</v>
      </c>
      <c r="AP4572" s="46">
        <v>21124.263999999999</v>
      </c>
      <c r="AQ4572" s="46">
        <v>6.2130000000000001</v>
      </c>
      <c r="AR4572" s="46">
        <v>-864</v>
      </c>
      <c r="AS4572" s="46">
        <v>79</v>
      </c>
      <c r="AT4572" s="46">
        <v>39300</v>
      </c>
      <c r="AU4572" s="46">
        <v>224906</v>
      </c>
      <c r="AV4572" s="46">
        <v>5.7229999999999999</v>
      </c>
      <c r="AW4572" s="46">
        <v>73</v>
      </c>
      <c r="AX4572" s="46">
        <v>32400</v>
      </c>
      <c r="AY4572" s="46">
        <v>190815.62800000006</v>
      </c>
      <c r="AZ4572" s="46">
        <v>5.8890000000000002</v>
      </c>
      <c r="BA4572" s="46" t="s">
        <v>63</v>
      </c>
      <c r="BB4572" s="46">
        <v>6900</v>
      </c>
      <c r="BC4572" s="46">
        <v>34090.372000000003</v>
      </c>
      <c r="BD4572" s="46">
        <v>4.9409999999999998</v>
      </c>
      <c r="BE4572" s="46">
        <v>5378.4</v>
      </c>
      <c r="BF4572" s="46">
        <v>14068</v>
      </c>
      <c r="BG4572" s="46">
        <v>4.0199999999999996</v>
      </c>
      <c r="BH4572" s="46">
        <v>1101.8919999999925</v>
      </c>
      <c r="BI4572">
        <v>2.75</v>
      </c>
      <c r="BJ4572">
        <v>12966.108000000004</v>
      </c>
      <c r="BK4572">
        <v>4.18</v>
      </c>
      <c r="BL4572">
        <v>-452.36</v>
      </c>
    </row>
    <row r="4573" spans="1:64" x14ac:dyDescent="0.25">
      <c r="A4573" s="136">
        <v>44232</v>
      </c>
      <c r="B4573" t="s">
        <v>72</v>
      </c>
      <c r="C4573" t="s">
        <v>130</v>
      </c>
      <c r="D4573">
        <v>100</v>
      </c>
      <c r="E4573">
        <v>100</v>
      </c>
      <c r="F4573">
        <v>1.53</v>
      </c>
      <c r="G4573">
        <v>428</v>
      </c>
      <c r="H4573">
        <v>279.74</v>
      </c>
      <c r="I4573">
        <v>581</v>
      </c>
      <c r="J4573">
        <v>5.81</v>
      </c>
      <c r="K4573" s="133">
        <v>1.4269597745197248E-3</v>
      </c>
      <c r="L4573" s="181">
        <v>-53</v>
      </c>
      <c r="M4573" s="133">
        <v>3.7577426075992754E-4</v>
      </c>
      <c r="N4573" s="73">
        <v>-1498.9659999999872</v>
      </c>
      <c r="O4573" s="73">
        <v>376.42007904191922</v>
      </c>
      <c r="P4573" s="182">
        <v>0</v>
      </c>
      <c r="Q4573" s="182">
        <v>0</v>
      </c>
      <c r="R4573" s="46">
        <v>0</v>
      </c>
      <c r="S4573" s="46">
        <v>20</v>
      </c>
      <c r="T4573" s="46">
        <v>8600</v>
      </c>
      <c r="U4573" s="46">
        <v>7.3840000000000003</v>
      </c>
      <c r="V4573" s="46" t="s">
        <v>68</v>
      </c>
      <c r="W4573" s="46">
        <v>8600</v>
      </c>
      <c r="X4573" s="46">
        <v>7.3840000000000003</v>
      </c>
      <c r="AF4573" s="46">
        <v>42</v>
      </c>
      <c r="AG4573" s="46">
        <v>20900</v>
      </c>
      <c r="AH4573" s="46">
        <v>152800</v>
      </c>
      <c r="AI4573" s="46">
        <v>7.3109999999999999</v>
      </c>
      <c r="AJ4573" s="46">
        <v>42</v>
      </c>
      <c r="AK4573" s="46">
        <v>18800</v>
      </c>
      <c r="AL4573" s="46">
        <v>92037.725000000035</v>
      </c>
      <c r="AM4573" s="46">
        <v>4.8959999999999999</v>
      </c>
      <c r="AN4573" s="46" t="s">
        <v>63</v>
      </c>
      <c r="AO4573" s="46">
        <v>2100</v>
      </c>
      <c r="AP4573" s="46">
        <v>60762.275000000001</v>
      </c>
      <c r="AQ4573" s="46">
        <v>28.934000000000001</v>
      </c>
      <c r="AR4573" s="46">
        <v>-45402</v>
      </c>
      <c r="AS4573" s="46">
        <v>42</v>
      </c>
      <c r="AT4573" s="46">
        <v>20900</v>
      </c>
      <c r="AU4573" s="46">
        <v>152800</v>
      </c>
      <c r="AV4573" s="46">
        <v>7.3109999999999999</v>
      </c>
      <c r="AW4573" s="46">
        <v>63</v>
      </c>
      <c r="AX4573" s="46">
        <v>27900</v>
      </c>
      <c r="AY4573" s="46">
        <v>155380.21900000001</v>
      </c>
      <c r="AZ4573" s="46">
        <v>5.569</v>
      </c>
      <c r="BA4573" s="46" t="s">
        <v>69</v>
      </c>
      <c r="BB4573" s="46">
        <v>7000</v>
      </c>
      <c r="BC4573" s="46">
        <v>2580.2190000000001</v>
      </c>
      <c r="BD4573" s="46">
        <v>0.36899999999999999</v>
      </c>
      <c r="BE4573" s="46">
        <v>-36407.800000000003</v>
      </c>
      <c r="BF4573" s="46">
        <v>0</v>
      </c>
      <c r="BH4573" s="46">
        <v>63342.493999999977</v>
      </c>
      <c r="BI4573">
        <v>7.37</v>
      </c>
      <c r="BJ4573">
        <v>-58182.056000000004</v>
      </c>
      <c r="BK4573">
        <v>-6.77</v>
      </c>
      <c r="BL4573">
        <v>-7814.46</v>
      </c>
    </row>
    <row r="4574" spans="1:64" x14ac:dyDescent="0.25">
      <c r="A4574" s="136">
        <v>44232</v>
      </c>
      <c r="B4574" t="s">
        <v>70</v>
      </c>
      <c r="C4574" t="s">
        <v>131</v>
      </c>
      <c r="D4574">
        <v>14880</v>
      </c>
      <c r="E4574">
        <v>14880</v>
      </c>
      <c r="F4574">
        <v>7.9619999999999997</v>
      </c>
      <c r="G4574">
        <v>-26518.76</v>
      </c>
      <c r="H4574">
        <v>-22.38</v>
      </c>
      <c r="I4574">
        <v>91958.399999999994</v>
      </c>
      <c r="J4574">
        <v>6.18</v>
      </c>
      <c r="K4574" s="133">
        <v>0.22585359333768443</v>
      </c>
      <c r="L4574" s="181">
        <v>-4626.2699999999968</v>
      </c>
      <c r="M4574" s="133">
        <v>0.29098475304533106</v>
      </c>
      <c r="N4574" s="73">
        <v>-25038.636999999973</v>
      </c>
      <c r="O4574" s="73">
        <v>-3985.0505862261107</v>
      </c>
      <c r="P4574" s="182">
        <v>0</v>
      </c>
      <c r="Q4574" s="182">
        <v>0</v>
      </c>
      <c r="R4574" s="46">
        <v>0</v>
      </c>
      <c r="S4574" s="46">
        <v>7</v>
      </c>
      <c r="T4574" s="46">
        <v>2800</v>
      </c>
      <c r="U4574" s="46">
        <v>7.36</v>
      </c>
      <c r="V4574" s="46" t="s">
        <v>68</v>
      </c>
      <c r="W4574" s="46">
        <v>2800</v>
      </c>
      <c r="X4574" s="46">
        <v>7.36</v>
      </c>
      <c r="AF4574" s="46">
        <v>253</v>
      </c>
      <c r="AG4574" s="46">
        <v>125980</v>
      </c>
      <c r="AH4574" s="46">
        <v>1325724</v>
      </c>
      <c r="AI4574" s="46">
        <v>10.523</v>
      </c>
      <c r="AJ4574" s="46">
        <v>265</v>
      </c>
      <c r="AK4574" s="46">
        <v>108300</v>
      </c>
      <c r="AL4574" s="46">
        <v>1184511.5709999995</v>
      </c>
      <c r="AM4574" s="46">
        <v>10.936999999999999</v>
      </c>
      <c r="AN4574" s="46" t="s">
        <v>63</v>
      </c>
      <c r="AO4574" s="46">
        <v>17680</v>
      </c>
      <c r="AP4574" s="46">
        <v>141212.429</v>
      </c>
      <c r="AQ4574" s="46">
        <v>7.9870000000000001</v>
      </c>
      <c r="AR4574" s="46">
        <v>44836.2</v>
      </c>
      <c r="AS4574" s="46">
        <v>253</v>
      </c>
      <c r="AT4574" s="46">
        <v>125980</v>
      </c>
      <c r="AU4574" s="46">
        <v>1325724</v>
      </c>
      <c r="AV4574" s="46">
        <v>10.523</v>
      </c>
      <c r="AW4574" s="46">
        <v>273</v>
      </c>
      <c r="AX4574" s="46">
        <v>111100</v>
      </c>
      <c r="AY4574" s="46">
        <v>1205468.9629999995</v>
      </c>
      <c r="AZ4574" s="46">
        <v>10.85</v>
      </c>
      <c r="BA4574" s="46" t="s">
        <v>63</v>
      </c>
      <c r="BB4574" s="46">
        <v>14880</v>
      </c>
      <c r="BC4574" s="46">
        <v>120255.037</v>
      </c>
      <c r="BD4574" s="46">
        <v>8.0820000000000007</v>
      </c>
      <c r="BE4574" s="46">
        <v>36329.699999999997</v>
      </c>
      <c r="BF4574" s="46">
        <v>0</v>
      </c>
      <c r="BH4574" s="46">
        <v>20957.391999999993</v>
      </c>
      <c r="BI4574">
        <v>7.48</v>
      </c>
      <c r="BJ4574">
        <v>-20957.392000000007</v>
      </c>
      <c r="BK4574">
        <v>-7.48</v>
      </c>
      <c r="BL4574">
        <v>7255.05</v>
      </c>
    </row>
    <row r="4575" spans="1:64" x14ac:dyDescent="0.25">
      <c r="A4575" s="136">
        <v>44232</v>
      </c>
      <c r="B4575" t="s">
        <v>628</v>
      </c>
      <c r="C4575" t="s">
        <v>629</v>
      </c>
      <c r="D4575">
        <v>100</v>
      </c>
      <c r="E4575">
        <v>100</v>
      </c>
      <c r="F4575">
        <v>0.95</v>
      </c>
      <c r="G4575">
        <v>1093</v>
      </c>
      <c r="H4575">
        <v>1150.53</v>
      </c>
      <c r="I4575">
        <v>1188</v>
      </c>
      <c r="J4575">
        <v>11.88</v>
      </c>
      <c r="K4575" s="133">
        <v>2.9177766129594371E-3</v>
      </c>
      <c r="L4575" s="181">
        <v>-100</v>
      </c>
      <c r="M4575" s="133">
        <v>2.3332388739995499E-4</v>
      </c>
    </row>
    <row r="4576" spans="1:64" x14ac:dyDescent="0.25">
      <c r="A4576" s="136">
        <v>44232</v>
      </c>
      <c r="B4576" t="s">
        <v>768</v>
      </c>
      <c r="C4576" t="s">
        <v>769</v>
      </c>
      <c r="D4576">
        <v>500</v>
      </c>
      <c r="E4576">
        <v>500</v>
      </c>
      <c r="F4576">
        <v>2.4140000000000001</v>
      </c>
      <c r="G4576">
        <v>103</v>
      </c>
      <c r="H4576">
        <v>8.5299999999999994</v>
      </c>
      <c r="I4576">
        <v>1310</v>
      </c>
      <c r="J4576">
        <v>2.62</v>
      </c>
      <c r="K4576" s="133">
        <v>3.2174136051993795E-3</v>
      </c>
      <c r="L4576" s="181">
        <v>-55</v>
      </c>
      <c r="M4576" s="133">
        <v>2.9644413904394281E-3</v>
      </c>
    </row>
    <row r="4577" spans="1:64" x14ac:dyDescent="0.25">
      <c r="A4577" s="136">
        <v>44232</v>
      </c>
      <c r="B4577" t="s">
        <v>1165</v>
      </c>
      <c r="C4577" t="s">
        <v>1166</v>
      </c>
      <c r="D4577">
        <v>10</v>
      </c>
      <c r="E4577">
        <v>10</v>
      </c>
      <c r="F4577">
        <v>100</v>
      </c>
      <c r="G4577">
        <v>-144.5</v>
      </c>
      <c r="H4577">
        <v>-14.45</v>
      </c>
      <c r="I4577">
        <v>855.5</v>
      </c>
      <c r="J4577">
        <v>85.55</v>
      </c>
      <c r="K4577" s="133">
        <v>2.1011430070595949E-3</v>
      </c>
      <c r="L4577" s="181">
        <v>-36.5</v>
      </c>
      <c r="M4577" s="133">
        <v>2.4560409199995263E-3</v>
      </c>
    </row>
    <row r="4578" spans="1:64" x14ac:dyDescent="0.25">
      <c r="A4578" s="136">
        <v>44232</v>
      </c>
      <c r="B4578" t="s">
        <v>137</v>
      </c>
      <c r="C4578" t="s">
        <v>149</v>
      </c>
      <c r="D4578">
        <v>150</v>
      </c>
      <c r="E4578">
        <v>150</v>
      </c>
      <c r="F4578">
        <v>1</v>
      </c>
      <c r="G4578">
        <v>3858</v>
      </c>
      <c r="H4578">
        <v>2572</v>
      </c>
      <c r="I4578">
        <v>4008</v>
      </c>
      <c r="J4578">
        <v>26.72</v>
      </c>
      <c r="K4578" s="133">
        <v>9.8438120073581006E-3</v>
      </c>
      <c r="L4578" s="181">
        <v>-376.5</v>
      </c>
      <c r="M4578" s="133">
        <v>3.6840613799992897E-4</v>
      </c>
    </row>
    <row r="4579" spans="1:64" x14ac:dyDescent="0.25">
      <c r="A4579" s="136">
        <v>44232</v>
      </c>
      <c r="B4579" t="s">
        <v>835</v>
      </c>
      <c r="C4579" t="s">
        <v>839</v>
      </c>
      <c r="I4579">
        <v>6730.09</v>
      </c>
      <c r="K4579" s="133">
        <v>1.6529376435279613E-2</v>
      </c>
      <c r="L4579" s="181">
        <v>0</v>
      </c>
      <c r="M4579" s="133">
        <v>1.2353885827597618E-5</v>
      </c>
    </row>
    <row r="4580" spans="1:64" x14ac:dyDescent="0.25">
      <c r="A4580" s="136">
        <v>44236</v>
      </c>
      <c r="B4580" t="s">
        <v>132</v>
      </c>
      <c r="C4580" t="s">
        <v>123</v>
      </c>
      <c r="D4580">
        <v>503</v>
      </c>
      <c r="E4580">
        <v>503</v>
      </c>
      <c r="F4580">
        <v>-0.59299999999999997</v>
      </c>
      <c r="G4580">
        <v>303.52999999999997</v>
      </c>
      <c r="H4580">
        <v>0</v>
      </c>
      <c r="I4580">
        <v>5.03</v>
      </c>
      <c r="J4580">
        <v>0.01</v>
      </c>
      <c r="K4580" s="133">
        <v>1.2303135161704776E-5</v>
      </c>
      <c r="L4580" s="181">
        <v>0</v>
      </c>
      <c r="M4580" s="133">
        <v>0</v>
      </c>
    </row>
    <row r="4581" spans="1:64" x14ac:dyDescent="0.25">
      <c r="A4581" s="136">
        <v>44236</v>
      </c>
      <c r="B4581" t="s">
        <v>61</v>
      </c>
      <c r="C4581" t="s">
        <v>136</v>
      </c>
      <c r="D4581">
        <v>4600</v>
      </c>
      <c r="E4581">
        <v>4600</v>
      </c>
      <c r="F4581">
        <v>4.0960000000000001</v>
      </c>
      <c r="G4581">
        <v>-3892.19</v>
      </c>
      <c r="H4581">
        <v>-20.66</v>
      </c>
      <c r="I4581">
        <v>14950</v>
      </c>
      <c r="J4581">
        <v>3.25</v>
      </c>
      <c r="K4581" s="133">
        <v>3.6566972299699081E-2</v>
      </c>
      <c r="L4581" s="181">
        <v>138</v>
      </c>
      <c r="M4581" s="133">
        <v>4.6087079584994452E-2</v>
      </c>
      <c r="N4581" s="73">
        <v>-3709.5550000000076</v>
      </c>
      <c r="O4581" s="73">
        <v>-1126.96055395137</v>
      </c>
      <c r="P4581" s="182">
        <v>2</v>
      </c>
      <c r="Q4581" s="182">
        <v>1000</v>
      </c>
      <c r="R4581" s="46">
        <v>4.1500000000000004</v>
      </c>
      <c r="S4581" s="46">
        <v>0</v>
      </c>
      <c r="T4581" s="46">
        <v>0</v>
      </c>
      <c r="U4581" s="46">
        <v>0</v>
      </c>
      <c r="V4581" s="46" t="s">
        <v>62</v>
      </c>
      <c r="W4581" s="46">
        <v>1000</v>
      </c>
      <c r="X4581" s="46">
        <v>4.1500000000000004</v>
      </c>
      <c r="AF4581" s="46">
        <v>36</v>
      </c>
      <c r="AG4581" s="46">
        <v>17900</v>
      </c>
      <c r="AH4581" s="46">
        <v>80451.740000000034</v>
      </c>
      <c r="AI4581" s="46">
        <v>4.4950000000000001</v>
      </c>
      <c r="AJ4581" s="46">
        <v>34</v>
      </c>
      <c r="AK4581" s="46">
        <v>14700</v>
      </c>
      <c r="AL4581" s="46">
        <v>67090.02499999998</v>
      </c>
      <c r="AM4581" s="46">
        <v>4.5640000000000001</v>
      </c>
      <c r="AN4581" s="46" t="s">
        <v>63</v>
      </c>
      <c r="AO4581" s="46">
        <v>3200</v>
      </c>
      <c r="AP4581" s="46">
        <v>13361.715</v>
      </c>
      <c r="AQ4581" s="46">
        <v>4.1760000000000002</v>
      </c>
      <c r="AR4581" s="46">
        <v>1014.3</v>
      </c>
      <c r="AS4581" s="46">
        <v>39</v>
      </c>
      <c r="AT4581" s="46">
        <v>19300</v>
      </c>
      <c r="AU4581" s="46">
        <v>85933.580000000045</v>
      </c>
      <c r="AV4581" s="46">
        <v>4.4530000000000003</v>
      </c>
      <c r="AW4581" s="46">
        <v>34</v>
      </c>
      <c r="AX4581" s="46">
        <v>14700</v>
      </c>
      <c r="AY4581" s="46">
        <v>67090.02499999998</v>
      </c>
      <c r="AZ4581" s="46">
        <v>4.5640000000000001</v>
      </c>
      <c r="BA4581" s="46" t="s">
        <v>63</v>
      </c>
      <c r="BB4581" s="46">
        <v>4600</v>
      </c>
      <c r="BC4581" s="46">
        <v>18843.555</v>
      </c>
      <c r="BD4581" s="46">
        <v>4.0960000000000001</v>
      </c>
      <c r="BE4581" s="46">
        <v>1631.7</v>
      </c>
      <c r="BF4581" s="46">
        <v>5481.8400000000111</v>
      </c>
      <c r="BG4581" s="46">
        <v>5.48</v>
      </c>
      <c r="BH4581" s="46">
        <v>0</v>
      </c>
      <c r="BJ4581">
        <v>5481.84</v>
      </c>
      <c r="BK4581">
        <v>5.48</v>
      </c>
      <c r="BL4581">
        <v>312.08999999999997</v>
      </c>
    </row>
    <row r="4582" spans="1:64" x14ac:dyDescent="0.25">
      <c r="A4582" s="136">
        <v>44236</v>
      </c>
      <c r="B4582" t="s">
        <v>124</v>
      </c>
      <c r="C4582" t="s">
        <v>125</v>
      </c>
      <c r="D4582">
        <v>100</v>
      </c>
      <c r="E4582">
        <v>100</v>
      </c>
      <c r="F4582">
        <v>0.73699999999999999</v>
      </c>
      <c r="G4582">
        <v>441.28</v>
      </c>
      <c r="H4582">
        <v>598.75</v>
      </c>
      <c r="I4582">
        <v>515</v>
      </c>
      <c r="J4582">
        <v>5.15</v>
      </c>
      <c r="K4582" s="133">
        <v>1.2596649320632126E-3</v>
      </c>
      <c r="L4582" s="181">
        <v>-3</v>
      </c>
      <c r="M4582" s="133">
        <v>1.8031553163436905E-4</v>
      </c>
      <c r="N4582" s="73">
        <v>5623.0690000000113</v>
      </c>
      <c r="O4582" s="73">
        <v>1111.8087987827732</v>
      </c>
      <c r="P4582" s="182">
        <v>0</v>
      </c>
      <c r="Q4582" s="182">
        <v>0</v>
      </c>
      <c r="R4582" s="46">
        <v>0</v>
      </c>
      <c r="S4582" s="46">
        <v>5</v>
      </c>
      <c r="T4582" s="46">
        <v>2300</v>
      </c>
      <c r="U4582" s="46">
        <v>4.99</v>
      </c>
      <c r="V4582" s="46" t="s">
        <v>68</v>
      </c>
      <c r="W4582" s="46">
        <v>2300</v>
      </c>
      <c r="X4582" s="46">
        <v>4.99</v>
      </c>
      <c r="AF4582" s="46">
        <v>50</v>
      </c>
      <c r="AG4582" s="46">
        <v>36700</v>
      </c>
      <c r="AH4582" s="46">
        <v>180101.02000000002</v>
      </c>
      <c r="AI4582" s="46">
        <v>4.907</v>
      </c>
      <c r="AJ4582" s="46">
        <v>58</v>
      </c>
      <c r="AK4582" s="46">
        <v>35300</v>
      </c>
      <c r="AL4582" s="46">
        <v>178266.546</v>
      </c>
      <c r="AM4582" s="46">
        <v>5.05</v>
      </c>
      <c r="AN4582" s="46" t="s">
        <v>63</v>
      </c>
      <c r="AO4582" s="46">
        <v>1400</v>
      </c>
      <c r="AP4582" s="46">
        <v>1834.4739999999999</v>
      </c>
      <c r="AQ4582" s="46">
        <v>1.31</v>
      </c>
      <c r="AR4582" s="46">
        <v>5047.8999999999996</v>
      </c>
      <c r="AS4582" s="46">
        <v>51</v>
      </c>
      <c r="AT4582" s="46">
        <v>37700</v>
      </c>
      <c r="AU4582" s="46">
        <v>185106.62</v>
      </c>
      <c r="AV4582" s="46">
        <v>4.91</v>
      </c>
      <c r="AW4582" s="46">
        <v>63</v>
      </c>
      <c r="AX4582" s="46">
        <v>37600</v>
      </c>
      <c r="AY4582" s="46">
        <v>189763.68900000001</v>
      </c>
      <c r="AZ4582" s="46">
        <v>5.0469999999999997</v>
      </c>
      <c r="BA4582" s="46" t="s">
        <v>63</v>
      </c>
      <c r="BB4582" s="46">
        <v>100</v>
      </c>
      <c r="BC4582" s="46">
        <v>4657.0690000000004</v>
      </c>
      <c r="BD4582" s="46">
        <v>46.570999999999998</v>
      </c>
      <c r="BE4582" s="46">
        <v>5151.2</v>
      </c>
      <c r="BF4582" s="46">
        <v>5005.5999999999767</v>
      </c>
      <c r="BH4582" s="46">
        <v>11497.143000000011</v>
      </c>
      <c r="BI4582">
        <v>5</v>
      </c>
      <c r="BJ4582">
        <v>2822.5950000000003</v>
      </c>
      <c r="BK4582">
        <v>1.23</v>
      </c>
      <c r="BL4582">
        <v>980.17</v>
      </c>
    </row>
    <row r="4583" spans="1:64" x14ac:dyDescent="0.25">
      <c r="A4583" s="136">
        <v>44236</v>
      </c>
      <c r="B4583" t="s">
        <v>71</v>
      </c>
      <c r="C4583" t="s">
        <v>126</v>
      </c>
      <c r="D4583">
        <v>5200</v>
      </c>
      <c r="E4583">
        <v>5200</v>
      </c>
      <c r="F4583">
        <v>4.0830000000000002</v>
      </c>
      <c r="G4583">
        <v>6225.79</v>
      </c>
      <c r="H4583">
        <v>29.32</v>
      </c>
      <c r="I4583">
        <v>27456</v>
      </c>
      <c r="J4583">
        <v>5.28</v>
      </c>
      <c r="K4583" s="133">
        <v>6.7156039562577791E-2</v>
      </c>
      <c r="L4583" s="181">
        <v>-572</v>
      </c>
      <c r="M4583" s="133">
        <v>5.1928060266675215E-2</v>
      </c>
      <c r="N4583" s="73">
        <v>-22243.11600000002</v>
      </c>
      <c r="O4583" s="73">
        <v>1202.5720973684172</v>
      </c>
      <c r="P4583" s="182">
        <v>0</v>
      </c>
      <c r="Q4583" s="182">
        <v>0</v>
      </c>
      <c r="R4583" s="46">
        <v>0</v>
      </c>
      <c r="S4583" s="46">
        <v>0</v>
      </c>
      <c r="T4583" s="46">
        <v>0</v>
      </c>
      <c r="U4583" s="46">
        <v>0</v>
      </c>
      <c r="V4583" s="46" t="s">
        <v>68</v>
      </c>
      <c r="W4583" s="46">
        <v>0</v>
      </c>
      <c r="AF4583" s="46">
        <v>82</v>
      </c>
      <c r="AG4583" s="46">
        <v>43800</v>
      </c>
      <c r="AH4583" s="46">
        <v>260874.99999999974</v>
      </c>
      <c r="AI4583" s="46">
        <v>5.9560000000000004</v>
      </c>
      <c r="AJ4583" s="46">
        <v>89</v>
      </c>
      <c r="AK4583" s="46">
        <v>38200</v>
      </c>
      <c r="AL4583" s="46">
        <v>237330.05199999997</v>
      </c>
      <c r="AM4583" s="46">
        <v>6.2130000000000001</v>
      </c>
      <c r="AN4583" s="46" t="s">
        <v>63</v>
      </c>
      <c r="AO4583" s="46">
        <v>5600</v>
      </c>
      <c r="AP4583" s="46">
        <v>23544.948</v>
      </c>
      <c r="AQ4583" s="46">
        <v>4.2039999999999997</v>
      </c>
      <c r="AR4583" s="46">
        <v>9817.4</v>
      </c>
      <c r="AS4583" s="46">
        <v>82</v>
      </c>
      <c r="AT4583" s="46">
        <v>43800</v>
      </c>
      <c r="AU4583" s="46">
        <v>260874.99999999974</v>
      </c>
      <c r="AV4583" s="46">
        <v>5.9560000000000004</v>
      </c>
      <c r="AW4583" s="46">
        <v>90</v>
      </c>
      <c r="AX4583" s="46">
        <v>38600</v>
      </c>
      <c r="AY4583" s="46">
        <v>239450.68399999995</v>
      </c>
      <c r="AZ4583" s="46">
        <v>6.2030000000000003</v>
      </c>
      <c r="BA4583" s="46" t="s">
        <v>63</v>
      </c>
      <c r="BB4583" s="46">
        <v>5200</v>
      </c>
      <c r="BC4583" s="46">
        <v>21424.315999999999</v>
      </c>
      <c r="BD4583" s="46">
        <v>4.12</v>
      </c>
      <c r="BE4583" s="46">
        <v>9534.2000000000007</v>
      </c>
      <c r="BF4583" s="46">
        <v>0</v>
      </c>
      <c r="BH4583" s="46">
        <v>2120.6319999999832</v>
      </c>
      <c r="BJ4583">
        <v>-2120.6320000000014</v>
      </c>
      <c r="BL4583">
        <v>1859.36</v>
      </c>
    </row>
    <row r="4584" spans="1:64" x14ac:dyDescent="0.25">
      <c r="A4584" s="136">
        <v>44236</v>
      </c>
      <c r="B4584" t="s">
        <v>79</v>
      </c>
      <c r="C4584" t="s">
        <v>143</v>
      </c>
      <c r="D4584">
        <v>12800</v>
      </c>
      <c r="E4584">
        <v>12800</v>
      </c>
      <c r="F4584">
        <v>8.9450000000000003</v>
      </c>
      <c r="G4584">
        <v>-44096.03</v>
      </c>
      <c r="H4584">
        <v>-38.51</v>
      </c>
      <c r="I4584">
        <v>70400</v>
      </c>
      <c r="J4584">
        <v>5.5</v>
      </c>
      <c r="K4584" s="133">
        <v>0.17219497323737895</v>
      </c>
      <c r="L4584" s="181">
        <v>0</v>
      </c>
      <c r="M4584" s="133">
        <v>0.28005171621642244</v>
      </c>
      <c r="N4584" s="73">
        <v>-42349.759400000577</v>
      </c>
      <c r="O4584" s="73">
        <v>-7505.0681773582592</v>
      </c>
      <c r="P4584" s="182">
        <v>11</v>
      </c>
      <c r="Q4584" s="182">
        <v>7620</v>
      </c>
      <c r="R4584" s="46">
        <v>4.327</v>
      </c>
      <c r="S4584" s="46">
        <v>0</v>
      </c>
      <c r="T4584" s="46">
        <v>0</v>
      </c>
      <c r="U4584" s="46">
        <v>0</v>
      </c>
      <c r="V4584" s="46" t="s">
        <v>62</v>
      </c>
      <c r="W4584" s="46">
        <v>7620</v>
      </c>
      <c r="X4584" s="46">
        <v>4.327</v>
      </c>
      <c r="AF4584" s="46">
        <v>109</v>
      </c>
      <c r="AG4584" s="46">
        <v>52100</v>
      </c>
      <c r="AH4584" s="46">
        <v>517725.25999999902</v>
      </c>
      <c r="AI4584" s="46">
        <v>9.9369999999999994</v>
      </c>
      <c r="AJ4584" s="46">
        <v>111</v>
      </c>
      <c r="AK4584" s="46">
        <v>47320</v>
      </c>
      <c r="AL4584" s="46">
        <v>438415.31259999948</v>
      </c>
      <c r="AM4584" s="46">
        <v>9.2650000000000006</v>
      </c>
      <c r="AN4584" s="46" t="s">
        <v>63</v>
      </c>
      <c r="AO4584" s="46">
        <v>4780</v>
      </c>
      <c r="AP4584" s="46">
        <v>79309.947</v>
      </c>
      <c r="AQ4584" s="46">
        <v>16.591999999999999</v>
      </c>
      <c r="AR4584" s="46">
        <v>-31799.040000000001</v>
      </c>
      <c r="AS4584" s="46">
        <v>121</v>
      </c>
      <c r="AT4584" s="46">
        <v>60120</v>
      </c>
      <c r="AU4584" s="46">
        <v>552957.071999999</v>
      </c>
      <c r="AV4584" s="46">
        <v>9.1980000000000004</v>
      </c>
      <c r="AW4584" s="46">
        <v>111</v>
      </c>
      <c r="AX4584" s="46">
        <v>47320</v>
      </c>
      <c r="AY4584" s="46">
        <v>438415.31259999948</v>
      </c>
      <c r="AZ4584" s="46">
        <v>9.2650000000000006</v>
      </c>
      <c r="BA4584" s="46" t="s">
        <v>63</v>
      </c>
      <c r="BB4584" s="46">
        <v>12800</v>
      </c>
      <c r="BC4584" s="46">
        <v>114541.75900000001</v>
      </c>
      <c r="BD4584" s="46">
        <v>8.9489999999999998</v>
      </c>
      <c r="BE4584" s="46">
        <v>3170.44</v>
      </c>
      <c r="BF4584" s="46">
        <v>35231.811999999976</v>
      </c>
      <c r="BG4584" s="46">
        <v>4.62</v>
      </c>
      <c r="BH4584" s="46">
        <v>0</v>
      </c>
      <c r="BJ4584">
        <v>35231.812000000005</v>
      </c>
      <c r="BK4584">
        <v>4.62</v>
      </c>
      <c r="BL4584">
        <v>-5781.64</v>
      </c>
    </row>
    <row r="4585" spans="1:64" x14ac:dyDescent="0.25">
      <c r="A4585" s="136">
        <v>44236</v>
      </c>
      <c r="B4585" t="s">
        <v>749</v>
      </c>
      <c r="C4585" t="s">
        <v>750</v>
      </c>
      <c r="D4585">
        <v>500</v>
      </c>
      <c r="E4585">
        <v>500</v>
      </c>
      <c r="F4585">
        <v>5.65</v>
      </c>
      <c r="G4585">
        <v>-95</v>
      </c>
      <c r="H4585">
        <v>-3.36</v>
      </c>
      <c r="I4585">
        <v>2730</v>
      </c>
      <c r="J4585">
        <v>5.46</v>
      </c>
      <c r="K4585" s="133">
        <v>6.6774471155972241E-3</v>
      </c>
      <c r="L4585" s="181">
        <v>15</v>
      </c>
      <c r="M4585" s="133">
        <v>6.9098124914147097E-3</v>
      </c>
    </row>
    <row r="4586" spans="1:64" x14ac:dyDescent="0.25">
      <c r="A4586" s="136">
        <v>44236</v>
      </c>
      <c r="B4586" t="s">
        <v>776</v>
      </c>
      <c r="C4586" t="s">
        <v>777</v>
      </c>
      <c r="D4586">
        <v>1</v>
      </c>
      <c r="E4586">
        <v>1</v>
      </c>
      <c r="F4586">
        <v>-137.5</v>
      </c>
      <c r="G4586">
        <v>194.48</v>
      </c>
      <c r="H4586">
        <v>0</v>
      </c>
      <c r="I4586">
        <v>56.98</v>
      </c>
      <c r="J4586">
        <v>56.98</v>
      </c>
      <c r="K4586" s="133">
        <v>1.3937030646400358E-4</v>
      </c>
      <c r="L4586" s="181">
        <v>2.6599999999999966</v>
      </c>
      <c r="M4586" s="133">
        <v>0</v>
      </c>
    </row>
    <row r="4587" spans="1:64" x14ac:dyDescent="0.25">
      <c r="A4587" s="136">
        <v>44236</v>
      </c>
      <c r="B4587" t="s">
        <v>65</v>
      </c>
      <c r="C4587" t="s">
        <v>127</v>
      </c>
      <c r="D4587">
        <v>29100</v>
      </c>
      <c r="E4587">
        <v>29100</v>
      </c>
      <c r="F4587">
        <v>7.9880000000000004</v>
      </c>
      <c r="G4587">
        <v>-61923.48</v>
      </c>
      <c r="H4587">
        <v>-26.64</v>
      </c>
      <c r="I4587">
        <v>170526</v>
      </c>
      <c r="J4587">
        <v>5.86</v>
      </c>
      <c r="K4587" s="133">
        <v>0.41709829554371142</v>
      </c>
      <c r="L4587" s="181">
        <v>-291</v>
      </c>
      <c r="M4587" s="133">
        <v>0.56856011346083324</v>
      </c>
      <c r="N4587" s="73">
        <v>-64738.426000000123</v>
      </c>
      <c r="O4587" s="73">
        <v>-10224.474460871448</v>
      </c>
      <c r="P4587" s="182">
        <v>7</v>
      </c>
      <c r="Q4587" s="182">
        <v>3200</v>
      </c>
      <c r="R4587" s="46">
        <v>6.2229999999999999</v>
      </c>
      <c r="S4587" s="46">
        <v>2</v>
      </c>
      <c r="T4587" s="46">
        <v>800</v>
      </c>
      <c r="U4587" s="46">
        <v>6.12</v>
      </c>
      <c r="V4587" s="46" t="s">
        <v>62</v>
      </c>
      <c r="W4587" s="46">
        <v>2400</v>
      </c>
      <c r="X4587" s="46">
        <v>6.2569999999999997</v>
      </c>
      <c r="AF4587" s="46">
        <v>325</v>
      </c>
      <c r="AG4587" s="46">
        <v>171200</v>
      </c>
      <c r="AH4587" s="46">
        <v>1680551.6810000001</v>
      </c>
      <c r="AI4587" s="46">
        <v>9.8160000000000007</v>
      </c>
      <c r="AJ4587" s="46">
        <v>355</v>
      </c>
      <c r="AK4587" s="46">
        <v>153800</v>
      </c>
      <c r="AL4587" s="46">
        <v>1446545.4769999997</v>
      </c>
      <c r="AM4587" s="46">
        <v>9.4049999999999994</v>
      </c>
      <c r="AN4587" s="46" t="s">
        <v>63</v>
      </c>
      <c r="AO4587" s="46">
        <v>17400</v>
      </c>
      <c r="AP4587" s="46">
        <v>234006.204</v>
      </c>
      <c r="AQ4587" s="46">
        <v>13.449</v>
      </c>
      <c r="AR4587" s="46">
        <v>-63211.8</v>
      </c>
      <c r="AS4587" s="46">
        <v>336</v>
      </c>
      <c r="AT4587" s="46">
        <v>176200</v>
      </c>
      <c r="AU4587" s="46">
        <v>1713060.6810000001</v>
      </c>
      <c r="AV4587" s="46">
        <v>9.7219999999999995</v>
      </c>
      <c r="AW4587" s="46">
        <v>361</v>
      </c>
      <c r="AX4587" s="46">
        <v>156200</v>
      </c>
      <c r="AY4587" s="46">
        <v>1464485.4889999996</v>
      </c>
      <c r="AZ4587" s="46">
        <v>9.3759999999999994</v>
      </c>
      <c r="BA4587" s="46" t="s">
        <v>63</v>
      </c>
      <c r="BB4587" s="46">
        <v>20000</v>
      </c>
      <c r="BC4587" s="46">
        <v>248575.19200000001</v>
      </c>
      <c r="BD4587" s="46">
        <v>12.429</v>
      </c>
      <c r="BE4587" s="46">
        <v>-54045.2</v>
      </c>
      <c r="BF4587" s="46">
        <v>32509</v>
      </c>
      <c r="BG4587" s="46">
        <v>10.16</v>
      </c>
      <c r="BH4587" s="46">
        <v>17940.011999999871</v>
      </c>
      <c r="BI4587">
        <v>22.43</v>
      </c>
      <c r="BJ4587">
        <v>14568.988000000012</v>
      </c>
      <c r="BK4587">
        <v>6.07</v>
      </c>
      <c r="BL4587">
        <v>-10787</v>
      </c>
    </row>
    <row r="4588" spans="1:64" x14ac:dyDescent="0.25">
      <c r="A4588" s="136">
        <v>44236</v>
      </c>
      <c r="B4588" t="s">
        <v>77</v>
      </c>
      <c r="C4588" t="s">
        <v>150</v>
      </c>
      <c r="D4588">
        <v>6900</v>
      </c>
      <c r="E4588">
        <v>6900</v>
      </c>
      <c r="F4588">
        <v>4.9400000000000004</v>
      </c>
      <c r="G4588">
        <v>-21044.42</v>
      </c>
      <c r="H4588">
        <v>-61.74</v>
      </c>
      <c r="I4588">
        <v>13041</v>
      </c>
      <c r="J4588">
        <v>1.89</v>
      </c>
      <c r="K4588" s="133">
        <v>3.1897651221429818E-2</v>
      </c>
      <c r="L4588" s="181">
        <v>-138</v>
      </c>
      <c r="M4588" s="133">
        <v>8.3371278191545758E-2</v>
      </c>
      <c r="N4588" s="73">
        <v>-34830.371999999981</v>
      </c>
      <c r="O4588" s="73">
        <v>-5538.9707350364897</v>
      </c>
      <c r="P4588" s="182">
        <v>6</v>
      </c>
      <c r="Q4588" s="182">
        <v>3500</v>
      </c>
      <c r="R4588" s="46">
        <v>3.7789999999999999</v>
      </c>
      <c r="S4588" s="46">
        <v>1</v>
      </c>
      <c r="T4588" s="46">
        <v>400</v>
      </c>
      <c r="U4588" s="46">
        <v>2.77</v>
      </c>
      <c r="V4588" s="46" t="s">
        <v>62</v>
      </c>
      <c r="W4588" s="46">
        <v>3100</v>
      </c>
      <c r="X4588" s="46">
        <v>3.9089999999999998</v>
      </c>
      <c r="AF4588" s="46">
        <v>72</v>
      </c>
      <c r="AG4588" s="46">
        <v>35400</v>
      </c>
      <c r="AH4588" s="46">
        <v>210838</v>
      </c>
      <c r="AI4588" s="46">
        <v>5.9560000000000004</v>
      </c>
      <c r="AJ4588" s="46">
        <v>72</v>
      </c>
      <c r="AK4588" s="46">
        <v>32000</v>
      </c>
      <c r="AL4588" s="46">
        <v>189713.73600000006</v>
      </c>
      <c r="AM4588" s="46">
        <v>5.9290000000000003</v>
      </c>
      <c r="AN4588" s="46" t="s">
        <v>63</v>
      </c>
      <c r="AO4588" s="46">
        <v>3400</v>
      </c>
      <c r="AP4588" s="46">
        <v>21124.263999999999</v>
      </c>
      <c r="AQ4588" s="46">
        <v>6.2130000000000001</v>
      </c>
      <c r="AR4588" s="46">
        <v>-864</v>
      </c>
      <c r="AS4588" s="46">
        <v>79</v>
      </c>
      <c r="AT4588" s="46">
        <v>39300</v>
      </c>
      <c r="AU4588" s="46">
        <v>224906</v>
      </c>
      <c r="AV4588" s="46">
        <v>5.7229999999999999</v>
      </c>
      <c r="AW4588" s="46">
        <v>73</v>
      </c>
      <c r="AX4588" s="46">
        <v>32400</v>
      </c>
      <c r="AY4588" s="46">
        <v>190815.62800000006</v>
      </c>
      <c r="AZ4588" s="46">
        <v>5.8890000000000002</v>
      </c>
      <c r="BA4588" s="46" t="s">
        <v>63</v>
      </c>
      <c r="BB4588" s="46">
        <v>6900</v>
      </c>
      <c r="BC4588" s="46">
        <v>34090.372000000003</v>
      </c>
      <c r="BD4588" s="46">
        <v>4.9409999999999998</v>
      </c>
      <c r="BE4588" s="46">
        <v>5378.4</v>
      </c>
      <c r="BF4588" s="46">
        <v>14068</v>
      </c>
      <c r="BG4588" s="46">
        <v>4.0199999999999996</v>
      </c>
      <c r="BH4588" s="46">
        <v>1101.8919999999925</v>
      </c>
      <c r="BI4588">
        <v>2.75</v>
      </c>
      <c r="BJ4588">
        <v>12966.108000000004</v>
      </c>
      <c r="BK4588">
        <v>4.18</v>
      </c>
      <c r="BL4588">
        <v>-457.14</v>
      </c>
    </row>
    <row r="4589" spans="1:64" x14ac:dyDescent="0.25">
      <c r="A4589" s="136">
        <v>44236</v>
      </c>
      <c r="B4589" t="s">
        <v>72</v>
      </c>
      <c r="C4589" t="s">
        <v>130</v>
      </c>
      <c r="D4589">
        <v>100</v>
      </c>
      <c r="E4589">
        <v>100</v>
      </c>
      <c r="F4589">
        <v>1.53</v>
      </c>
      <c r="G4589">
        <v>481</v>
      </c>
      <c r="H4589">
        <v>314.38</v>
      </c>
      <c r="I4589">
        <v>634</v>
      </c>
      <c r="J4589">
        <v>6.34</v>
      </c>
      <c r="K4589" s="133">
        <v>1.5507331396661685E-3</v>
      </c>
      <c r="L4589" s="181">
        <v>53</v>
      </c>
      <c r="M4589" s="133">
        <v>3.7423055263237191E-4</v>
      </c>
      <c r="N4589" s="73">
        <v>-1498.9659999999872</v>
      </c>
      <c r="O4589" s="73">
        <v>376.42007904191922</v>
      </c>
      <c r="P4589" s="182">
        <v>0</v>
      </c>
      <c r="Q4589" s="182">
        <v>0</v>
      </c>
      <c r="R4589" s="46">
        <v>0</v>
      </c>
      <c r="S4589" s="46">
        <v>20</v>
      </c>
      <c r="T4589" s="46">
        <v>8600</v>
      </c>
      <c r="U4589" s="46">
        <v>7.3840000000000003</v>
      </c>
      <c r="V4589" s="46" t="s">
        <v>68</v>
      </c>
      <c r="W4589" s="46">
        <v>8600</v>
      </c>
      <c r="X4589" s="46">
        <v>7.3840000000000003</v>
      </c>
      <c r="AF4589" s="46">
        <v>42</v>
      </c>
      <c r="AG4589" s="46">
        <v>20900</v>
      </c>
      <c r="AH4589" s="46">
        <v>152800</v>
      </c>
      <c r="AI4589" s="46">
        <v>7.3109999999999999</v>
      </c>
      <c r="AJ4589" s="46">
        <v>42</v>
      </c>
      <c r="AK4589" s="46">
        <v>18800</v>
      </c>
      <c r="AL4589" s="46">
        <v>92037.725000000035</v>
      </c>
      <c r="AM4589" s="46">
        <v>4.8959999999999999</v>
      </c>
      <c r="AN4589" s="46" t="s">
        <v>63</v>
      </c>
      <c r="AO4589" s="46">
        <v>2100</v>
      </c>
      <c r="AP4589" s="46">
        <v>60762.275000000001</v>
      </c>
      <c r="AQ4589" s="46">
        <v>28.934000000000001</v>
      </c>
      <c r="AR4589" s="46">
        <v>-45402</v>
      </c>
      <c r="AS4589" s="46">
        <v>42</v>
      </c>
      <c r="AT4589" s="46">
        <v>20900</v>
      </c>
      <c r="AU4589" s="46">
        <v>152800</v>
      </c>
      <c r="AV4589" s="46">
        <v>7.3109999999999999</v>
      </c>
      <c r="AW4589" s="46">
        <v>63</v>
      </c>
      <c r="AX4589" s="46">
        <v>27900</v>
      </c>
      <c r="AY4589" s="46">
        <v>155380.21900000001</v>
      </c>
      <c r="AZ4589" s="46">
        <v>5.569</v>
      </c>
      <c r="BA4589" s="46" t="s">
        <v>69</v>
      </c>
      <c r="BB4589" s="46">
        <v>7000</v>
      </c>
      <c r="BC4589" s="46">
        <v>2580.2190000000001</v>
      </c>
      <c r="BD4589" s="46">
        <v>0.36899999999999999</v>
      </c>
      <c r="BE4589" s="46">
        <v>-36407.800000000003</v>
      </c>
      <c r="BF4589" s="46">
        <v>0</v>
      </c>
      <c r="BH4589" s="46">
        <v>63342.493999999977</v>
      </c>
      <c r="BI4589">
        <v>7.37</v>
      </c>
      <c r="BJ4589">
        <v>-58182.056000000004</v>
      </c>
      <c r="BK4589">
        <v>-6.77</v>
      </c>
      <c r="BL4589">
        <v>-7161.2</v>
      </c>
    </row>
    <row r="4590" spans="1:64" x14ac:dyDescent="0.25">
      <c r="A4590" s="136">
        <v>44236</v>
      </c>
      <c r="B4590" t="s">
        <v>70</v>
      </c>
      <c r="C4590" t="s">
        <v>131</v>
      </c>
      <c r="D4590">
        <v>14880</v>
      </c>
      <c r="E4590">
        <v>14880</v>
      </c>
      <c r="F4590">
        <v>7.9580000000000002</v>
      </c>
      <c r="G4590">
        <v>-24231.279999999999</v>
      </c>
      <c r="H4590">
        <v>-20.46</v>
      </c>
      <c r="I4590">
        <v>94190.399999999994</v>
      </c>
      <c r="J4590">
        <v>6.33</v>
      </c>
      <c r="K4590" s="133">
        <v>0.23038513362525595</v>
      </c>
      <c r="L4590" s="181">
        <v>2287.4799999999996</v>
      </c>
      <c r="M4590" s="133">
        <v>0.28965366503303203</v>
      </c>
      <c r="N4590" s="73">
        <v>-24536.760999999999</v>
      </c>
      <c r="O4590" s="73">
        <v>-3886.6073881933444</v>
      </c>
      <c r="P4590" s="182">
        <v>0</v>
      </c>
      <c r="Q4590" s="182">
        <v>0</v>
      </c>
      <c r="R4590" s="46">
        <v>0</v>
      </c>
      <c r="S4590" s="46">
        <v>7</v>
      </c>
      <c r="T4590" s="46">
        <v>2800</v>
      </c>
      <c r="U4590" s="46">
        <v>7.17</v>
      </c>
      <c r="V4590" s="46" t="s">
        <v>68</v>
      </c>
      <c r="W4590" s="46">
        <v>2800</v>
      </c>
      <c r="X4590" s="46">
        <v>7.17</v>
      </c>
      <c r="AF4590" s="46">
        <v>254</v>
      </c>
      <c r="AG4590" s="46">
        <v>126380</v>
      </c>
      <c r="AH4590" s="46">
        <v>1328185</v>
      </c>
      <c r="AI4590" s="46">
        <v>10.509</v>
      </c>
      <c r="AJ4590" s="46">
        <v>266</v>
      </c>
      <c r="AK4590" s="46">
        <v>108700</v>
      </c>
      <c r="AL4590" s="46">
        <v>1187559.5149999994</v>
      </c>
      <c r="AM4590" s="46">
        <v>10.925000000000001</v>
      </c>
      <c r="AN4590" s="46" t="s">
        <v>63</v>
      </c>
      <c r="AO4590" s="46">
        <v>17680</v>
      </c>
      <c r="AP4590" s="46">
        <v>140625.48499999999</v>
      </c>
      <c r="AQ4590" s="46">
        <v>7.9539999999999997</v>
      </c>
      <c r="AR4590" s="46">
        <v>45219.199999999997</v>
      </c>
      <c r="AS4590" s="46">
        <v>254</v>
      </c>
      <c r="AT4590" s="46">
        <v>126380</v>
      </c>
      <c r="AU4590" s="46">
        <v>1328185</v>
      </c>
      <c r="AV4590" s="46">
        <v>10.509</v>
      </c>
      <c r="AW4590" s="46">
        <v>274</v>
      </c>
      <c r="AX4590" s="46">
        <v>111500</v>
      </c>
      <c r="AY4590" s="46">
        <v>1207985.4389999995</v>
      </c>
      <c r="AZ4590" s="46">
        <v>10.834</v>
      </c>
      <c r="BA4590" s="46" t="s">
        <v>63</v>
      </c>
      <c r="BB4590" s="46">
        <v>14880</v>
      </c>
      <c r="BC4590" s="46">
        <v>120199.561</v>
      </c>
      <c r="BD4590" s="46">
        <v>8.0779999999999994</v>
      </c>
      <c r="BE4590" s="46">
        <v>36237.5</v>
      </c>
      <c r="BF4590" s="46">
        <v>0</v>
      </c>
      <c r="BH4590" s="46">
        <v>20425.924000000115</v>
      </c>
      <c r="BI4590">
        <v>7.29</v>
      </c>
      <c r="BJ4590">
        <v>-20425.923999999985</v>
      </c>
      <c r="BK4590">
        <v>-7.29</v>
      </c>
      <c r="BL4590">
        <v>7143.63</v>
      </c>
    </row>
    <row r="4591" spans="1:64" x14ac:dyDescent="0.25">
      <c r="A4591" s="136">
        <v>44236</v>
      </c>
      <c r="B4591" t="s">
        <v>628</v>
      </c>
      <c r="C4591" t="s">
        <v>629</v>
      </c>
      <c r="D4591">
        <v>100</v>
      </c>
      <c r="E4591">
        <v>100</v>
      </c>
      <c r="F4591">
        <v>0.95</v>
      </c>
      <c r="G4591">
        <v>1131</v>
      </c>
      <c r="H4591">
        <v>1190.53</v>
      </c>
      <c r="I4591">
        <v>1226</v>
      </c>
      <c r="J4591">
        <v>12.26</v>
      </c>
      <c r="K4591" s="133">
        <v>2.9987363237077643E-3</v>
      </c>
      <c r="L4591" s="181">
        <v>38</v>
      </c>
      <c r="M4591" s="133">
        <v>2.323653758174858E-4</v>
      </c>
    </row>
    <row r="4592" spans="1:64" x14ac:dyDescent="0.25">
      <c r="A4592" s="136">
        <v>44236</v>
      </c>
      <c r="B4592" t="s">
        <v>768</v>
      </c>
      <c r="C4592" t="s">
        <v>769</v>
      </c>
      <c r="D4592">
        <v>500</v>
      </c>
      <c r="E4592">
        <v>500</v>
      </c>
      <c r="F4592">
        <v>2.4140000000000001</v>
      </c>
      <c r="G4592">
        <v>113</v>
      </c>
      <c r="H4592">
        <v>9.36</v>
      </c>
      <c r="I4592">
        <v>1320</v>
      </c>
      <c r="J4592">
        <v>2.64</v>
      </c>
      <c r="K4592" s="133">
        <v>3.2286557482008554E-3</v>
      </c>
      <c r="L4592" s="181">
        <v>10</v>
      </c>
      <c r="M4592" s="133">
        <v>2.9522632485442673E-3</v>
      </c>
    </row>
    <row r="4593" spans="1:64" x14ac:dyDescent="0.25">
      <c r="A4593" s="136">
        <v>44236</v>
      </c>
      <c r="B4593" t="s">
        <v>1165</v>
      </c>
      <c r="C4593" t="s">
        <v>1166</v>
      </c>
      <c r="D4593">
        <v>10</v>
      </c>
      <c r="E4593">
        <v>10</v>
      </c>
      <c r="F4593">
        <v>100</v>
      </c>
      <c r="G4593">
        <v>-137.1</v>
      </c>
      <c r="H4593">
        <v>-13.71</v>
      </c>
      <c r="I4593">
        <v>862.9</v>
      </c>
      <c r="J4593">
        <v>86.29</v>
      </c>
      <c r="K4593" s="133">
        <v>2.1106113978200895E-3</v>
      </c>
      <c r="L4593" s="181">
        <v>7.4000000000000057</v>
      </c>
      <c r="M4593" s="133">
        <v>2.4459513243945876E-3</v>
      </c>
    </row>
    <row r="4594" spans="1:64" x14ac:dyDescent="0.25">
      <c r="A4594" s="136">
        <v>44236</v>
      </c>
      <c r="B4594" t="s">
        <v>137</v>
      </c>
      <c r="C4594" t="s">
        <v>149</v>
      </c>
      <c r="D4594">
        <v>150</v>
      </c>
      <c r="E4594">
        <v>150</v>
      </c>
      <c r="F4594">
        <v>1</v>
      </c>
      <c r="G4594">
        <v>3990</v>
      </c>
      <c r="H4594">
        <v>2660</v>
      </c>
      <c r="I4594">
        <v>4140</v>
      </c>
      <c r="J4594">
        <v>27.6</v>
      </c>
      <c r="K4594" s="133">
        <v>1.0126238482993592E-2</v>
      </c>
      <c r="L4594" s="181">
        <v>132</v>
      </c>
      <c r="M4594" s="133">
        <v>3.6689269865918813E-4</v>
      </c>
    </row>
    <row r="4595" spans="1:64" x14ac:dyDescent="0.25">
      <c r="A4595" s="136">
        <v>44236</v>
      </c>
      <c r="B4595" t="s">
        <v>835</v>
      </c>
      <c r="C4595" t="s">
        <v>839</v>
      </c>
      <c r="I4595">
        <v>6785.57</v>
      </c>
      <c r="K4595" s="133">
        <v>1.6597173928272181E-2</v>
      </c>
      <c r="L4595" s="181">
        <v>0</v>
      </c>
      <c r="M4595" s="133">
        <v>1.2303135161704776E-5</v>
      </c>
    </row>
    <row r="4596" spans="1:64" x14ac:dyDescent="0.25">
      <c r="A4596" s="136">
        <v>44245</v>
      </c>
      <c r="B4596" t="s">
        <v>132</v>
      </c>
      <c r="C4596" t="s">
        <v>123</v>
      </c>
      <c r="D4596">
        <v>503</v>
      </c>
      <c r="E4596">
        <v>503</v>
      </c>
      <c r="F4596">
        <v>-0.59299999999999997</v>
      </c>
      <c r="G4596">
        <v>303.52999999999997</v>
      </c>
      <c r="H4596">
        <v>0</v>
      </c>
      <c r="I4596">
        <v>5.03</v>
      </c>
      <c r="J4596">
        <v>0.01</v>
      </c>
      <c r="K4596" s="133">
        <v>1.2062158051008493E-5</v>
      </c>
      <c r="L4596" s="181">
        <v>0</v>
      </c>
      <c r="M4596" s="133">
        <v>0</v>
      </c>
    </row>
    <row r="4597" spans="1:64" x14ac:dyDescent="0.25">
      <c r="A4597" s="136">
        <v>44245</v>
      </c>
      <c r="B4597" t="s">
        <v>61</v>
      </c>
      <c r="C4597" t="s">
        <v>136</v>
      </c>
      <c r="D4597">
        <v>4600</v>
      </c>
      <c r="E4597">
        <v>4600</v>
      </c>
      <c r="F4597">
        <v>4.0960000000000001</v>
      </c>
      <c r="G4597">
        <v>-3662.19</v>
      </c>
      <c r="H4597">
        <v>-19.440000000000001</v>
      </c>
      <c r="I4597">
        <v>15180</v>
      </c>
      <c r="J4597">
        <v>3.3</v>
      </c>
      <c r="K4597" s="133">
        <v>3.6402298054534571E-2</v>
      </c>
      <c r="L4597" s="181">
        <v>230</v>
      </c>
      <c r="M4597" s="133">
        <v>4.5184388430841285E-2</v>
      </c>
      <c r="P4597" s="182">
        <v>2</v>
      </c>
      <c r="Q4597" s="182">
        <v>1000</v>
      </c>
      <c r="R4597" s="46">
        <v>4.1500000000000004</v>
      </c>
      <c r="S4597" s="46">
        <v>0</v>
      </c>
      <c r="T4597" s="46">
        <v>0</v>
      </c>
      <c r="U4597" s="46">
        <v>0</v>
      </c>
      <c r="V4597" s="46" t="s">
        <v>62</v>
      </c>
      <c r="W4597" s="46">
        <v>1000</v>
      </c>
      <c r="X4597" s="46">
        <v>4.1500000000000004</v>
      </c>
      <c r="AF4597" s="46">
        <v>36</v>
      </c>
      <c r="AG4597" s="46">
        <v>17900</v>
      </c>
      <c r="AH4597" s="46">
        <v>80711</v>
      </c>
      <c r="AI4597" s="46">
        <v>4.5090000000000003</v>
      </c>
      <c r="AJ4597" s="46">
        <v>34</v>
      </c>
      <c r="AK4597" s="46">
        <v>14700</v>
      </c>
      <c r="AL4597" s="46">
        <v>67368.844999999987</v>
      </c>
      <c r="AM4597" s="46">
        <v>4.5830000000000002</v>
      </c>
      <c r="AN4597" s="46" t="s">
        <v>63</v>
      </c>
      <c r="AO4597" s="46">
        <v>3200</v>
      </c>
      <c r="AP4597" s="46">
        <v>13342.155000000001</v>
      </c>
      <c r="AQ4597" s="46">
        <v>4.1689999999999996</v>
      </c>
      <c r="AR4597" s="46">
        <v>1087.8</v>
      </c>
      <c r="AS4597" s="46">
        <v>39</v>
      </c>
      <c r="AT4597" s="46">
        <v>19300</v>
      </c>
      <c r="AU4597" s="46">
        <v>86192</v>
      </c>
      <c r="AV4597" s="46">
        <v>4.4660000000000002</v>
      </c>
      <c r="AW4597" s="46">
        <v>34</v>
      </c>
      <c r="AX4597" s="46">
        <v>14700</v>
      </c>
      <c r="AY4597" s="46">
        <v>67368.844999999987</v>
      </c>
      <c r="AZ4597" s="46">
        <v>4.5830000000000002</v>
      </c>
      <c r="BA4597" s="46" t="s">
        <v>63</v>
      </c>
      <c r="BB4597" s="46">
        <v>4600</v>
      </c>
      <c r="BC4597" s="46">
        <v>18823.154999999999</v>
      </c>
      <c r="BD4597" s="46">
        <v>4.0919999999999996</v>
      </c>
      <c r="BE4597" s="46">
        <v>1719.9</v>
      </c>
      <c r="BF4597" s="46">
        <v>5481</v>
      </c>
      <c r="BG4597" s="46">
        <v>5.48</v>
      </c>
      <c r="BH4597" s="46">
        <v>0</v>
      </c>
      <c r="BJ4597">
        <v>5480.9999999999982</v>
      </c>
      <c r="BK4597">
        <v>5.48</v>
      </c>
      <c r="BL4597">
        <v>329.64</v>
      </c>
    </row>
    <row r="4598" spans="1:64" x14ac:dyDescent="0.25">
      <c r="A4598" s="136">
        <v>44245</v>
      </c>
      <c r="B4598" t="s">
        <v>124</v>
      </c>
      <c r="C4598" t="s">
        <v>125</v>
      </c>
      <c r="D4598">
        <v>100</v>
      </c>
      <c r="E4598">
        <v>100</v>
      </c>
      <c r="F4598">
        <v>0.73699999999999999</v>
      </c>
      <c r="G4598">
        <v>450.28</v>
      </c>
      <c r="H4598">
        <v>610.96</v>
      </c>
      <c r="I4598">
        <v>524</v>
      </c>
      <c r="J4598">
        <v>5.24</v>
      </c>
      <c r="K4598" s="133">
        <v>1.2565747154529721E-3</v>
      </c>
      <c r="L4598" s="181">
        <v>9</v>
      </c>
      <c r="M4598" s="133">
        <v>1.7678375576945255E-4</v>
      </c>
      <c r="N4598" s="73">
        <v>5623.0690000000113</v>
      </c>
      <c r="O4598" s="73">
        <v>1111.8087987827732</v>
      </c>
      <c r="P4598" s="182">
        <v>0</v>
      </c>
      <c r="Q4598" s="182">
        <v>0</v>
      </c>
      <c r="R4598" s="46">
        <v>0</v>
      </c>
      <c r="S4598" s="46">
        <v>5</v>
      </c>
      <c r="T4598" s="46">
        <v>2300</v>
      </c>
      <c r="U4598" s="46">
        <v>4.99</v>
      </c>
      <c r="V4598" s="46" t="s">
        <v>68</v>
      </c>
      <c r="W4598" s="46">
        <v>2300</v>
      </c>
      <c r="X4598" s="46">
        <v>4.99</v>
      </c>
      <c r="AF4598" s="46">
        <v>50</v>
      </c>
      <c r="AG4598" s="46">
        <v>36700</v>
      </c>
      <c r="AH4598" s="46">
        <v>180101.02000000002</v>
      </c>
      <c r="AI4598" s="46">
        <v>4.907</v>
      </c>
      <c r="AJ4598" s="46">
        <v>58</v>
      </c>
      <c r="AK4598" s="46">
        <v>35300</v>
      </c>
      <c r="AL4598" s="46">
        <v>178266.546</v>
      </c>
      <c r="AM4598" s="46">
        <v>5.05</v>
      </c>
      <c r="AN4598" s="46" t="s">
        <v>63</v>
      </c>
      <c r="AO4598" s="46">
        <v>1400</v>
      </c>
      <c r="AP4598" s="46">
        <v>1834.4739999999999</v>
      </c>
      <c r="AQ4598" s="46">
        <v>1.31</v>
      </c>
      <c r="AR4598" s="46">
        <v>5047.8999999999996</v>
      </c>
      <c r="AS4598" s="46">
        <v>51</v>
      </c>
      <c r="AT4598" s="46">
        <v>37700</v>
      </c>
      <c r="AU4598" s="46">
        <v>185106.62</v>
      </c>
      <c r="AV4598" s="46">
        <v>4.91</v>
      </c>
      <c r="AW4598" s="46">
        <v>63</v>
      </c>
      <c r="AX4598" s="46">
        <v>37600</v>
      </c>
      <c r="AY4598" s="46">
        <v>189763.68900000001</v>
      </c>
      <c r="AZ4598" s="46">
        <v>5.0469999999999997</v>
      </c>
      <c r="BA4598" s="46" t="s">
        <v>63</v>
      </c>
      <c r="BB4598" s="46">
        <v>100</v>
      </c>
      <c r="BC4598" s="46">
        <v>4657.0690000000004</v>
      </c>
      <c r="BD4598" s="46">
        <v>46.570999999999998</v>
      </c>
      <c r="BE4598" s="46">
        <v>5151.2</v>
      </c>
      <c r="BF4598" s="46">
        <v>5005.5999999999767</v>
      </c>
      <c r="BH4598" s="46">
        <v>11497.143000000011</v>
      </c>
      <c r="BI4598">
        <v>5</v>
      </c>
      <c r="BJ4598">
        <v>2822.5950000000003</v>
      </c>
      <c r="BK4598">
        <v>1.23</v>
      </c>
      <c r="BL4598">
        <v>963.34</v>
      </c>
    </row>
    <row r="4599" spans="1:64" x14ac:dyDescent="0.25">
      <c r="A4599" s="136">
        <v>44245</v>
      </c>
      <c r="B4599" t="s">
        <v>71</v>
      </c>
      <c r="C4599" t="s">
        <v>126</v>
      </c>
      <c r="D4599">
        <v>5200</v>
      </c>
      <c r="E4599">
        <v>5200</v>
      </c>
      <c r="F4599">
        <v>4.0830000000000002</v>
      </c>
      <c r="G4599">
        <v>6225.79</v>
      </c>
      <c r="H4599">
        <v>29.32</v>
      </c>
      <c r="I4599">
        <v>27456</v>
      </c>
      <c r="J4599">
        <v>5.28</v>
      </c>
      <c r="K4599" s="133">
        <v>6.5840678220375579E-2</v>
      </c>
      <c r="L4599" s="181">
        <v>0</v>
      </c>
      <c r="M4599" s="133">
        <v>5.09109639117497E-2</v>
      </c>
      <c r="P4599" s="182">
        <v>0</v>
      </c>
      <c r="Q4599" s="182">
        <v>0</v>
      </c>
      <c r="R4599" s="46">
        <v>0</v>
      </c>
      <c r="S4599" s="46">
        <v>0</v>
      </c>
      <c r="T4599" s="46">
        <v>0</v>
      </c>
      <c r="U4599" s="46">
        <v>0</v>
      </c>
      <c r="V4599" s="46" t="s">
        <v>68</v>
      </c>
      <c r="W4599" s="46">
        <v>0</v>
      </c>
      <c r="AF4599" s="46">
        <v>82</v>
      </c>
      <c r="AG4599" s="46">
        <v>43800</v>
      </c>
      <c r="AH4599" s="46">
        <v>260848.72</v>
      </c>
      <c r="AI4599" s="46">
        <v>5.9550000000000001</v>
      </c>
      <c r="AJ4599" s="46">
        <v>89</v>
      </c>
      <c r="AK4599" s="46">
        <v>38200</v>
      </c>
      <c r="AL4599" s="46">
        <v>237524.17200000002</v>
      </c>
      <c r="AM4599" s="46">
        <v>6.218</v>
      </c>
      <c r="AN4599" s="46" t="s">
        <v>63</v>
      </c>
      <c r="AO4599" s="46">
        <v>5600</v>
      </c>
      <c r="AP4599" s="46">
        <v>23324.547999999999</v>
      </c>
      <c r="AQ4599" s="46">
        <v>4.165</v>
      </c>
      <c r="AR4599" s="46">
        <v>10046.6</v>
      </c>
      <c r="AS4599" s="46">
        <v>82</v>
      </c>
      <c r="AT4599" s="46">
        <v>43800</v>
      </c>
      <c r="AU4599" s="46">
        <v>260848.72</v>
      </c>
      <c r="AV4599" s="46">
        <v>5.9550000000000001</v>
      </c>
      <c r="AW4599" s="46">
        <v>90</v>
      </c>
      <c r="AX4599" s="46">
        <v>38600</v>
      </c>
      <c r="AY4599" s="46">
        <v>239645.04400000002</v>
      </c>
      <c r="AZ4599" s="46">
        <v>6.2080000000000002</v>
      </c>
      <c r="BA4599" s="46" t="s">
        <v>63</v>
      </c>
      <c r="BB4599" s="46">
        <v>5200</v>
      </c>
      <c r="BC4599" s="46">
        <v>21203.675999999999</v>
      </c>
      <c r="BD4599" s="46">
        <v>4.0780000000000003</v>
      </c>
      <c r="BE4599" s="46">
        <v>9765.7999999999993</v>
      </c>
      <c r="BF4599" s="46">
        <v>0</v>
      </c>
      <c r="BH4599" s="46">
        <v>2120.872000000003</v>
      </c>
      <c r="BJ4599">
        <v>-2120.8719999999994</v>
      </c>
      <c r="BL4599">
        <v>1902.77</v>
      </c>
    </row>
    <row r="4600" spans="1:64" x14ac:dyDescent="0.25">
      <c r="A4600" s="136">
        <v>44245</v>
      </c>
      <c r="B4600" t="s">
        <v>79</v>
      </c>
      <c r="C4600" t="s">
        <v>143</v>
      </c>
      <c r="D4600">
        <v>12800</v>
      </c>
      <c r="E4600">
        <v>12800</v>
      </c>
      <c r="F4600">
        <v>8.9450000000000003</v>
      </c>
      <c r="G4600">
        <v>-40128.03</v>
      </c>
      <c r="H4600">
        <v>-35.049999999999997</v>
      </c>
      <c r="I4600">
        <v>74368</v>
      </c>
      <c r="J4600">
        <v>5.81</v>
      </c>
      <c r="K4600" s="133">
        <v>0.17833768786031801</v>
      </c>
      <c r="L4600" s="181">
        <v>3968</v>
      </c>
      <c r="M4600" s="133">
        <v>0.27456644335447511</v>
      </c>
      <c r="P4600" s="182">
        <v>11</v>
      </c>
      <c r="Q4600" s="182">
        <v>7620</v>
      </c>
      <c r="R4600" s="46">
        <v>4.327</v>
      </c>
      <c r="S4600" s="46">
        <v>0</v>
      </c>
      <c r="T4600" s="46">
        <v>0</v>
      </c>
      <c r="U4600" s="46">
        <v>0</v>
      </c>
      <c r="V4600" s="46" t="s">
        <v>62</v>
      </c>
      <c r="W4600" s="46">
        <v>7620</v>
      </c>
      <c r="X4600" s="46">
        <v>4.327</v>
      </c>
      <c r="AF4600" s="46">
        <v>109</v>
      </c>
      <c r="AG4600" s="46">
        <v>52100</v>
      </c>
      <c r="AH4600" s="46">
        <v>512561.05170800013</v>
      </c>
      <c r="AI4600" s="46">
        <v>9.8379999999999992</v>
      </c>
      <c r="AJ4600" s="46">
        <v>111</v>
      </c>
      <c r="AK4600" s="46">
        <v>47320</v>
      </c>
      <c r="AL4600" s="46">
        <v>433304.22723000008</v>
      </c>
      <c r="AM4600" s="46">
        <v>9.157</v>
      </c>
      <c r="AN4600" s="46" t="s">
        <v>63</v>
      </c>
      <c r="AO4600" s="46">
        <v>4780</v>
      </c>
      <c r="AP4600" s="46">
        <v>79256.823999999993</v>
      </c>
      <c r="AQ4600" s="46">
        <v>16.581</v>
      </c>
      <c r="AR4600" s="46">
        <v>-32224.92</v>
      </c>
      <c r="AS4600" s="46">
        <v>121</v>
      </c>
      <c r="AT4600" s="46">
        <v>60120</v>
      </c>
      <c r="AU4600" s="46">
        <v>547788.09669000027</v>
      </c>
      <c r="AV4600" s="46">
        <v>9.1120000000000001</v>
      </c>
      <c r="AW4600" s="46">
        <v>111</v>
      </c>
      <c r="AX4600" s="46">
        <v>47320</v>
      </c>
      <c r="AY4600" s="46">
        <v>433304.22723000008</v>
      </c>
      <c r="AZ4600" s="46">
        <v>9.157</v>
      </c>
      <c r="BA4600" s="46" t="s">
        <v>63</v>
      </c>
      <c r="BB4600" s="46">
        <v>12800</v>
      </c>
      <c r="BC4600" s="46">
        <v>114483.86900000001</v>
      </c>
      <c r="BD4600" s="46">
        <v>8.9440000000000008</v>
      </c>
      <c r="BE4600" s="46">
        <v>2129.4</v>
      </c>
      <c r="BF4600" s="46">
        <v>35227.044982000138</v>
      </c>
      <c r="BG4600" s="46">
        <v>4.62</v>
      </c>
      <c r="BH4600" s="46">
        <v>0</v>
      </c>
      <c r="BJ4600">
        <v>35227.045000000013</v>
      </c>
      <c r="BK4600">
        <v>4.62</v>
      </c>
      <c r="BL4600">
        <v>-5546.46</v>
      </c>
    </row>
    <row r="4601" spans="1:64" x14ac:dyDescent="0.25">
      <c r="A4601" s="136">
        <v>44245</v>
      </c>
      <c r="B4601" t="s">
        <v>749</v>
      </c>
      <c r="C4601" t="s">
        <v>750</v>
      </c>
      <c r="D4601">
        <v>500</v>
      </c>
      <c r="E4601">
        <v>500</v>
      </c>
      <c r="F4601">
        <v>5.65</v>
      </c>
      <c r="G4601">
        <v>-35</v>
      </c>
      <c r="H4601">
        <v>-1.24</v>
      </c>
      <c r="I4601">
        <v>2790</v>
      </c>
      <c r="J4601">
        <v>5.58</v>
      </c>
      <c r="K4601" s="133">
        <v>6.690540946782046E-3</v>
      </c>
      <c r="L4601" s="181">
        <v>60</v>
      </c>
      <c r="M4601" s="133">
        <v>6.7744724640355844E-3</v>
      </c>
    </row>
    <row r="4602" spans="1:64" x14ac:dyDescent="0.25">
      <c r="A4602" s="136">
        <v>44245</v>
      </c>
      <c r="B4602" t="s">
        <v>776</v>
      </c>
      <c r="C4602" t="s">
        <v>777</v>
      </c>
      <c r="D4602">
        <v>1</v>
      </c>
      <c r="E4602">
        <v>1</v>
      </c>
      <c r="F4602">
        <v>-137.5</v>
      </c>
      <c r="G4602">
        <v>195.65</v>
      </c>
      <c r="H4602">
        <v>0</v>
      </c>
      <c r="I4602">
        <v>58.15</v>
      </c>
      <c r="J4602">
        <v>58.15</v>
      </c>
      <c r="K4602" s="133">
        <v>1.3944622080837849E-4</v>
      </c>
      <c r="L4602" s="181">
        <v>1.1700000000000159</v>
      </c>
      <c r="M4602" s="133">
        <v>0</v>
      </c>
    </row>
    <row r="4603" spans="1:64" x14ac:dyDescent="0.25">
      <c r="A4603" s="136">
        <v>44245</v>
      </c>
      <c r="B4603" t="s">
        <v>65</v>
      </c>
      <c r="C4603" t="s">
        <v>127</v>
      </c>
      <c r="D4603">
        <v>29100</v>
      </c>
      <c r="E4603">
        <v>29100</v>
      </c>
      <c r="F4603">
        <v>7.9880000000000004</v>
      </c>
      <c r="G4603">
        <v>-61341.48</v>
      </c>
      <c r="H4603">
        <v>-26.39</v>
      </c>
      <c r="I4603">
        <v>171108</v>
      </c>
      <c r="J4603">
        <v>5.88</v>
      </c>
      <c r="K4603" s="133">
        <v>0.41032440154909761</v>
      </c>
      <c r="L4603" s="181">
        <v>582</v>
      </c>
      <c r="M4603" s="133">
        <v>0.55742392974845678</v>
      </c>
      <c r="P4603" s="182">
        <v>0</v>
      </c>
      <c r="Q4603" s="182">
        <v>0</v>
      </c>
      <c r="R4603" s="46">
        <v>0</v>
      </c>
      <c r="S4603" s="46">
        <v>20</v>
      </c>
      <c r="T4603" s="46">
        <v>8600</v>
      </c>
      <c r="U4603" s="46">
        <v>7.3840000000000003</v>
      </c>
      <c r="V4603" s="46" t="s">
        <v>68</v>
      </c>
      <c r="W4603" s="46">
        <v>8600</v>
      </c>
      <c r="X4603" s="46">
        <v>7.3840000000000003</v>
      </c>
      <c r="AF4603" s="46">
        <v>7</v>
      </c>
      <c r="AG4603" s="46">
        <v>3200</v>
      </c>
      <c r="AH4603" s="46">
        <v>19935</v>
      </c>
      <c r="AI4603" s="46">
        <v>6.23</v>
      </c>
      <c r="AJ4603" s="46">
        <v>2</v>
      </c>
      <c r="AK4603" s="46">
        <v>800</v>
      </c>
      <c r="AL4603" s="46">
        <v>2640.2479999999923</v>
      </c>
      <c r="AM4603" s="46">
        <v>3.3</v>
      </c>
      <c r="AN4603" s="46" t="s">
        <v>63</v>
      </c>
      <c r="AO4603" s="46">
        <v>2400</v>
      </c>
      <c r="AP4603" s="46">
        <v>17294.752</v>
      </c>
      <c r="AQ4603" s="46">
        <v>7.2060000000000004</v>
      </c>
      <c r="AR4603" s="46">
        <v>-2344</v>
      </c>
      <c r="AS4603" s="46">
        <v>7</v>
      </c>
      <c r="AT4603" s="46">
        <v>3200</v>
      </c>
      <c r="AU4603" s="46">
        <v>19935</v>
      </c>
      <c r="AV4603" s="46">
        <v>6.23</v>
      </c>
      <c r="AW4603" s="46">
        <v>2</v>
      </c>
      <c r="AX4603" s="46">
        <v>800</v>
      </c>
      <c r="AY4603" s="46">
        <v>2640.2479999999923</v>
      </c>
      <c r="AZ4603" s="46">
        <v>3.3</v>
      </c>
      <c r="BA4603" s="46" t="s">
        <v>63</v>
      </c>
      <c r="BB4603" s="46">
        <v>2400</v>
      </c>
      <c r="BC4603" s="46">
        <v>17294.752</v>
      </c>
      <c r="BD4603" s="46">
        <v>7.2060000000000004</v>
      </c>
      <c r="BE4603" s="46">
        <v>-2344</v>
      </c>
      <c r="BF4603" s="46">
        <v>0</v>
      </c>
      <c r="BH4603" s="46">
        <v>0</v>
      </c>
      <c r="BI4603">
        <v>0</v>
      </c>
      <c r="BJ4603">
        <v>0</v>
      </c>
      <c r="BK4603">
        <v>0</v>
      </c>
      <c r="BL4603">
        <v>-398.64</v>
      </c>
    </row>
    <row r="4604" spans="1:64" x14ac:dyDescent="0.25">
      <c r="A4604" s="136">
        <v>44245</v>
      </c>
      <c r="B4604" t="s">
        <v>77</v>
      </c>
      <c r="C4604" t="s">
        <v>150</v>
      </c>
      <c r="D4604">
        <v>6900</v>
      </c>
      <c r="E4604">
        <v>6900</v>
      </c>
      <c r="F4604">
        <v>4.9400000000000004</v>
      </c>
      <c r="G4604">
        <v>-20492.419999999998</v>
      </c>
      <c r="H4604">
        <v>-60.12</v>
      </c>
      <c r="I4604">
        <v>13593</v>
      </c>
      <c r="J4604">
        <v>1.97</v>
      </c>
      <c r="K4604" s="133">
        <v>3.2596603257924142E-2</v>
      </c>
      <c r="L4604" s="181">
        <v>552</v>
      </c>
      <c r="M4604" s="133">
        <v>8.1738314766402753E-2</v>
      </c>
      <c r="P4604" s="182">
        <v>6</v>
      </c>
      <c r="Q4604" s="182">
        <v>3500</v>
      </c>
      <c r="R4604" s="46">
        <v>3.7789999999999999</v>
      </c>
      <c r="S4604" s="46">
        <v>1</v>
      </c>
      <c r="T4604" s="46">
        <v>400</v>
      </c>
      <c r="U4604" s="46">
        <v>2.77</v>
      </c>
      <c r="V4604" s="46" t="s">
        <v>62</v>
      </c>
      <c r="W4604" s="46">
        <v>3100</v>
      </c>
      <c r="X4604" s="46">
        <v>3.9089999999999998</v>
      </c>
      <c r="AF4604" s="46">
        <v>72</v>
      </c>
      <c r="AG4604" s="46">
        <v>35400</v>
      </c>
      <c r="AH4604" s="46">
        <v>210550</v>
      </c>
      <c r="AI4604" s="46">
        <v>5.9480000000000004</v>
      </c>
      <c r="AJ4604" s="46">
        <v>72</v>
      </c>
      <c r="AK4604" s="46">
        <v>32000</v>
      </c>
      <c r="AL4604" s="46">
        <v>189713.73600000006</v>
      </c>
      <c r="AM4604" s="46">
        <v>5.9290000000000003</v>
      </c>
      <c r="AN4604" s="46" t="s">
        <v>63</v>
      </c>
      <c r="AO4604" s="46">
        <v>3400</v>
      </c>
      <c r="AP4604" s="46">
        <v>20836.263999999999</v>
      </c>
      <c r="AQ4604" s="46">
        <v>6.1280000000000001</v>
      </c>
      <c r="AR4604" s="46">
        <v>-608</v>
      </c>
      <c r="AS4604" s="46">
        <v>79</v>
      </c>
      <c r="AT4604" s="46">
        <v>39300</v>
      </c>
      <c r="AU4604" s="46">
        <v>224906</v>
      </c>
      <c r="AV4604" s="46">
        <v>5.7229999999999999</v>
      </c>
      <c r="AW4604" s="46">
        <v>73</v>
      </c>
      <c r="AX4604" s="46">
        <v>32400</v>
      </c>
      <c r="AY4604" s="46">
        <v>190815.62800000006</v>
      </c>
      <c r="AZ4604" s="46">
        <v>5.8890000000000002</v>
      </c>
      <c r="BA4604" s="46" t="s">
        <v>63</v>
      </c>
      <c r="BB4604" s="46">
        <v>6900</v>
      </c>
      <c r="BC4604" s="46">
        <v>34090.372000000003</v>
      </c>
      <c r="BD4604" s="46">
        <v>4.9409999999999998</v>
      </c>
      <c r="BE4604" s="46">
        <v>5378.4</v>
      </c>
      <c r="BF4604" s="46">
        <v>14356</v>
      </c>
      <c r="BG4604" s="46">
        <v>4.0999999999999996</v>
      </c>
      <c r="BH4604" s="46">
        <v>1101.8919999999925</v>
      </c>
      <c r="BI4604">
        <v>2.75</v>
      </c>
      <c r="BJ4604">
        <v>13254.108000000004</v>
      </c>
      <c r="BK4604">
        <v>4.28</v>
      </c>
      <c r="BL4604">
        <v>-308.63</v>
      </c>
    </row>
    <row r="4605" spans="1:64" x14ac:dyDescent="0.25">
      <c r="A4605" s="136">
        <v>44245</v>
      </c>
      <c r="B4605" t="s">
        <v>72</v>
      </c>
      <c r="C4605" t="s">
        <v>130</v>
      </c>
      <c r="D4605">
        <v>100</v>
      </c>
      <c r="E4605">
        <v>100</v>
      </c>
      <c r="F4605">
        <v>1.53</v>
      </c>
      <c r="G4605">
        <v>526</v>
      </c>
      <c r="H4605">
        <v>343.79</v>
      </c>
      <c r="I4605">
        <v>679</v>
      </c>
      <c r="J4605">
        <v>6.79</v>
      </c>
      <c r="K4605" s="133">
        <v>1.6282714347186414E-3</v>
      </c>
      <c r="L4605" s="181">
        <v>45</v>
      </c>
      <c r="M4605" s="133">
        <v>3.6690063256546705E-4</v>
      </c>
      <c r="N4605" s="73">
        <v>-1498.9659999999872</v>
      </c>
      <c r="O4605" s="73">
        <v>376.42007904191922</v>
      </c>
      <c r="P4605" s="182">
        <v>0</v>
      </c>
      <c r="Q4605" s="182">
        <v>0</v>
      </c>
      <c r="R4605" s="46">
        <v>0</v>
      </c>
      <c r="S4605" s="46">
        <v>20</v>
      </c>
      <c r="T4605" s="46">
        <v>8600</v>
      </c>
      <c r="U4605" s="46">
        <v>7.3840000000000003</v>
      </c>
      <c r="V4605" s="46" t="s">
        <v>68</v>
      </c>
      <c r="W4605" s="46">
        <v>8600</v>
      </c>
      <c r="X4605" s="46">
        <v>7.3840000000000003</v>
      </c>
      <c r="AF4605" s="46">
        <v>42</v>
      </c>
      <c r="AG4605" s="46">
        <v>20900</v>
      </c>
      <c r="AH4605" s="46">
        <v>152800</v>
      </c>
      <c r="AI4605" s="46">
        <v>7.3109999999999999</v>
      </c>
      <c r="AJ4605" s="46">
        <v>42</v>
      </c>
      <c r="AK4605" s="46">
        <v>18800</v>
      </c>
      <c r="AL4605" s="46">
        <v>92037.725000000035</v>
      </c>
      <c r="AM4605" s="46">
        <v>4.8959999999999999</v>
      </c>
      <c r="AN4605" s="46" t="s">
        <v>63</v>
      </c>
      <c r="AO4605" s="46">
        <v>2100</v>
      </c>
      <c r="AP4605" s="46">
        <v>60762.275000000001</v>
      </c>
      <c r="AQ4605" s="46">
        <v>28.934000000000001</v>
      </c>
      <c r="AR4605" s="46">
        <v>-45402</v>
      </c>
      <c r="AS4605" s="46">
        <v>42</v>
      </c>
      <c r="AT4605" s="46">
        <v>20900</v>
      </c>
      <c r="AU4605" s="46">
        <v>152800</v>
      </c>
      <c r="AV4605" s="46">
        <v>7.3109999999999999</v>
      </c>
      <c r="AW4605" s="46">
        <v>63</v>
      </c>
      <c r="AX4605" s="46">
        <v>27900</v>
      </c>
      <c r="AY4605" s="46">
        <v>155380.21900000001</v>
      </c>
      <c r="AZ4605" s="46">
        <v>5.569</v>
      </c>
      <c r="BA4605" s="46" t="s">
        <v>69</v>
      </c>
      <c r="BB4605" s="46">
        <v>7000</v>
      </c>
      <c r="BC4605" s="46">
        <v>2580.2190000000001</v>
      </c>
      <c r="BD4605" s="46">
        <v>0.36899999999999999</v>
      </c>
      <c r="BE4605" s="46">
        <v>-36407.800000000003</v>
      </c>
      <c r="BF4605" s="46">
        <v>0</v>
      </c>
      <c r="BH4605" s="46">
        <v>63342.493999999977</v>
      </c>
      <c r="BI4605">
        <v>7.37</v>
      </c>
      <c r="BJ4605">
        <v>-58182.056000000004</v>
      </c>
      <c r="BK4605">
        <v>-6.77</v>
      </c>
      <c r="BL4605">
        <v>-6686.6</v>
      </c>
    </row>
    <row r="4606" spans="1:64" x14ac:dyDescent="0.25">
      <c r="A4606" s="136">
        <v>44245</v>
      </c>
      <c r="B4606" t="s">
        <v>70</v>
      </c>
      <c r="C4606" t="s">
        <v>131</v>
      </c>
      <c r="D4606">
        <v>14480</v>
      </c>
      <c r="E4606">
        <v>14480</v>
      </c>
      <c r="F4606">
        <v>7.9989999999999997</v>
      </c>
      <c r="G4606">
        <v>-21701.29</v>
      </c>
      <c r="H4606">
        <v>-18.739999999999998</v>
      </c>
      <c r="I4606">
        <v>94120</v>
      </c>
      <c r="J4606">
        <v>6.5</v>
      </c>
      <c r="K4606" s="133">
        <v>0.22570384011151476</v>
      </c>
      <c r="L4606" s="181">
        <v>2529.989999999998</v>
      </c>
      <c r="M4606" s="133">
        <v>0.27774447428463012</v>
      </c>
      <c r="P4606" s="182">
        <v>0</v>
      </c>
      <c r="Q4606" s="182">
        <v>0</v>
      </c>
      <c r="R4606" s="46">
        <v>0</v>
      </c>
      <c r="S4606" s="46">
        <v>7</v>
      </c>
      <c r="T4606" s="46">
        <v>2800</v>
      </c>
      <c r="U4606" s="46">
        <v>7.17</v>
      </c>
      <c r="V4606" s="46" t="s">
        <v>68</v>
      </c>
      <c r="W4606" s="46">
        <v>2800</v>
      </c>
      <c r="X4606" s="46">
        <v>7.17</v>
      </c>
      <c r="AF4606" s="46">
        <v>254</v>
      </c>
      <c r="AG4606" s="46">
        <v>126380</v>
      </c>
      <c r="AH4606" s="46">
        <v>1325741.0125</v>
      </c>
      <c r="AI4606" s="46">
        <v>10.49</v>
      </c>
      <c r="AJ4606" s="46">
        <v>266</v>
      </c>
      <c r="AK4606" s="46">
        <v>108700</v>
      </c>
      <c r="AL4606" s="46">
        <v>1187289.2749999997</v>
      </c>
      <c r="AM4606" s="46">
        <v>10.923</v>
      </c>
      <c r="AN4606" s="46" t="s">
        <v>63</v>
      </c>
      <c r="AO4606" s="46">
        <v>17680</v>
      </c>
      <c r="AP4606" s="46">
        <v>138451.73800000001</v>
      </c>
      <c r="AQ4606" s="46">
        <v>7.8310000000000004</v>
      </c>
      <c r="AR4606" s="46">
        <v>47067.1</v>
      </c>
      <c r="AS4606" s="46">
        <v>254</v>
      </c>
      <c r="AT4606" s="46">
        <v>126380</v>
      </c>
      <c r="AU4606" s="46">
        <v>1325741.0125</v>
      </c>
      <c r="AV4606" s="46">
        <v>10.49</v>
      </c>
      <c r="AW4606" s="46">
        <v>275</v>
      </c>
      <c r="AX4606" s="46">
        <v>111900</v>
      </c>
      <c r="AY4606" s="46">
        <v>1209915.5909999998</v>
      </c>
      <c r="AZ4606" s="46">
        <v>10.811999999999999</v>
      </c>
      <c r="BA4606" s="46" t="s">
        <v>63</v>
      </c>
      <c r="BB4606" s="46">
        <v>14480</v>
      </c>
      <c r="BC4606" s="46">
        <v>115825.42200000001</v>
      </c>
      <c r="BD4606" s="46">
        <v>7.9989999999999997</v>
      </c>
      <c r="BE4606" s="46">
        <v>36031.800000000003</v>
      </c>
      <c r="BF4606" s="46">
        <v>0</v>
      </c>
      <c r="BH4606" s="46">
        <v>22626.316000000108</v>
      </c>
      <c r="BI4606">
        <v>8.08</v>
      </c>
      <c r="BJ4606">
        <v>-22626.316000000006</v>
      </c>
      <c r="BK4606">
        <v>-8.08</v>
      </c>
      <c r="BL4606">
        <v>7241.09</v>
      </c>
    </row>
    <row r="4607" spans="1:64" x14ac:dyDescent="0.25">
      <c r="A4607" s="136">
        <v>44245</v>
      </c>
      <c r="B4607" t="s">
        <v>628</v>
      </c>
      <c r="C4607" t="s">
        <v>629</v>
      </c>
      <c r="D4607">
        <v>100</v>
      </c>
      <c r="E4607">
        <v>100</v>
      </c>
      <c r="F4607">
        <v>0.95</v>
      </c>
      <c r="G4607">
        <v>1161</v>
      </c>
      <c r="H4607">
        <v>1222.1099999999999</v>
      </c>
      <c r="I4607">
        <v>1256</v>
      </c>
      <c r="J4607">
        <v>12.56</v>
      </c>
      <c r="K4607" s="133">
        <v>3.0119424477269715E-3</v>
      </c>
      <c r="L4607" s="181">
        <v>30</v>
      </c>
      <c r="M4607" s="133">
        <v>2.2781411825960373E-4</v>
      </c>
    </row>
    <row r="4608" spans="1:64" x14ac:dyDescent="0.25">
      <c r="A4608" s="136">
        <v>44245</v>
      </c>
      <c r="B4608" t="s">
        <v>768</v>
      </c>
      <c r="C4608" t="s">
        <v>769</v>
      </c>
      <c r="D4608">
        <v>500</v>
      </c>
      <c r="E4608">
        <v>500</v>
      </c>
      <c r="F4608">
        <v>2.4140000000000001</v>
      </c>
      <c r="G4608">
        <v>133</v>
      </c>
      <c r="H4608">
        <v>11.02</v>
      </c>
      <c r="I4608">
        <v>1340</v>
      </c>
      <c r="J4608">
        <v>2.68</v>
      </c>
      <c r="K4608" s="133">
        <v>3.2133780891354631E-3</v>
      </c>
      <c r="L4608" s="181">
        <v>20</v>
      </c>
      <c r="M4608" s="133">
        <v>2.8944383235720177E-3</v>
      </c>
    </row>
    <row r="4609" spans="1:64" x14ac:dyDescent="0.25">
      <c r="A4609" s="136">
        <v>44245</v>
      </c>
      <c r="B4609" t="s">
        <v>1165</v>
      </c>
      <c r="C4609" t="s">
        <v>1166</v>
      </c>
      <c r="D4609">
        <v>10</v>
      </c>
      <c r="E4609">
        <v>10</v>
      </c>
      <c r="F4609">
        <v>100</v>
      </c>
      <c r="G4609">
        <v>-115</v>
      </c>
      <c r="H4609">
        <v>-11.5</v>
      </c>
      <c r="I4609">
        <v>885</v>
      </c>
      <c r="J4609">
        <v>88.5</v>
      </c>
      <c r="K4609" s="133">
        <v>2.1222683648394664E-3</v>
      </c>
      <c r="L4609" s="181">
        <v>22.099999999999994</v>
      </c>
      <c r="M4609" s="133">
        <v>2.3980433501010917E-3</v>
      </c>
    </row>
    <row r="4610" spans="1:64" x14ac:dyDescent="0.25">
      <c r="A4610" s="136">
        <v>44245</v>
      </c>
      <c r="B4610" t="s">
        <v>137</v>
      </c>
      <c r="C4610" t="s">
        <v>149</v>
      </c>
      <c r="D4610">
        <v>150</v>
      </c>
      <c r="E4610">
        <v>150</v>
      </c>
      <c r="F4610">
        <v>1</v>
      </c>
      <c r="G4610">
        <v>4108.5</v>
      </c>
      <c r="H4610">
        <v>2739</v>
      </c>
      <c r="I4610">
        <v>4258.5</v>
      </c>
      <c r="J4610">
        <v>28.39</v>
      </c>
      <c r="K4610" s="133">
        <v>1.0212067606405499E-2</v>
      </c>
      <c r="L4610" s="181">
        <v>118.5</v>
      </c>
      <c r="M4610" s="133">
        <v>3.5970650251516376E-4</v>
      </c>
    </row>
    <row r="4611" spans="1:64" x14ac:dyDescent="0.25">
      <c r="A4611" s="136">
        <v>44245</v>
      </c>
      <c r="B4611" t="s">
        <v>835</v>
      </c>
      <c r="C4611" t="s">
        <v>839</v>
      </c>
      <c r="I4611">
        <v>9385.9599999999991</v>
      </c>
      <c r="K4611" s="133">
        <v>2.2507938962314841E-2</v>
      </c>
      <c r="L4611" s="181">
        <v>0</v>
      </c>
      <c r="M4611" s="133">
        <v>1.2062158051008493E-5</v>
      </c>
    </row>
    <row r="4612" spans="1:64" x14ac:dyDescent="0.25">
      <c r="A4612" s="136">
        <v>44246</v>
      </c>
      <c r="B4612" t="s">
        <v>132</v>
      </c>
      <c r="C4612" t="s">
        <v>123</v>
      </c>
      <c r="D4612">
        <v>503</v>
      </c>
      <c r="E4612">
        <v>503</v>
      </c>
      <c r="F4612">
        <v>-0.59299999999999997</v>
      </c>
      <c r="G4612">
        <v>303.52999999999997</v>
      </c>
      <c r="H4612">
        <v>0</v>
      </c>
      <c r="I4612">
        <v>5.03</v>
      </c>
      <c r="J4612">
        <v>0.01</v>
      </c>
      <c r="K4612" s="133">
        <v>1.1776764429732308E-5</v>
      </c>
      <c r="L4612" s="181">
        <v>0</v>
      </c>
      <c r="M4612" s="133">
        <v>0</v>
      </c>
    </row>
    <row r="4613" spans="1:64" x14ac:dyDescent="0.25">
      <c r="A4613" s="136">
        <v>44246</v>
      </c>
      <c r="B4613" t="s">
        <v>61</v>
      </c>
      <c r="C4613" t="s">
        <v>136</v>
      </c>
      <c r="D4613">
        <v>4600</v>
      </c>
      <c r="E4613">
        <v>4600</v>
      </c>
      <c r="F4613">
        <v>4.0960000000000001</v>
      </c>
      <c r="G4613">
        <v>-3248.19</v>
      </c>
      <c r="H4613">
        <v>-17.239999999999998</v>
      </c>
      <c r="I4613">
        <v>15594</v>
      </c>
      <c r="J4613">
        <v>3.39</v>
      </c>
      <c r="K4613" s="133">
        <v>3.6510311037225768E-2</v>
      </c>
      <c r="L4613" s="181">
        <v>414</v>
      </c>
      <c r="M4613" s="133">
        <v>4.4115314705816658E-2</v>
      </c>
      <c r="P4613" s="182">
        <v>2</v>
      </c>
      <c r="Q4613" s="182">
        <v>1000</v>
      </c>
      <c r="R4613" s="46">
        <v>4.1500000000000004</v>
      </c>
      <c r="S4613" s="46">
        <v>0</v>
      </c>
      <c r="T4613" s="46">
        <v>0</v>
      </c>
      <c r="U4613" s="46">
        <v>0</v>
      </c>
      <c r="V4613" s="46" t="s">
        <v>62</v>
      </c>
      <c r="W4613" s="46">
        <v>1000</v>
      </c>
      <c r="X4613" s="46">
        <v>4.1500000000000004</v>
      </c>
      <c r="AF4613" s="46">
        <v>36</v>
      </c>
      <c r="AG4613" s="46">
        <v>17900</v>
      </c>
      <c r="AH4613" s="46">
        <v>80711</v>
      </c>
      <c r="AI4613" s="46">
        <v>4.5090000000000003</v>
      </c>
      <c r="AJ4613" s="46">
        <v>34</v>
      </c>
      <c r="AK4613" s="46">
        <v>14700</v>
      </c>
      <c r="AL4613" s="46">
        <v>67368.844999999987</v>
      </c>
      <c r="AM4613" s="46">
        <v>4.5830000000000002</v>
      </c>
      <c r="AN4613" s="46" t="s">
        <v>63</v>
      </c>
      <c r="AO4613" s="46">
        <v>3200</v>
      </c>
      <c r="AP4613" s="46">
        <v>13342.155000000001</v>
      </c>
      <c r="AQ4613" s="46">
        <v>4.1689999999999996</v>
      </c>
      <c r="AR4613" s="46">
        <v>1087.8</v>
      </c>
      <c r="AS4613" s="46">
        <v>39</v>
      </c>
      <c r="AT4613" s="46">
        <v>19300</v>
      </c>
      <c r="AU4613" s="46">
        <v>86192</v>
      </c>
      <c r="AV4613" s="46">
        <v>4.4660000000000002</v>
      </c>
      <c r="AW4613" s="46">
        <v>34</v>
      </c>
      <c r="AX4613" s="46">
        <v>14700</v>
      </c>
      <c r="AY4613" s="46">
        <v>67368.844999999987</v>
      </c>
      <c r="AZ4613" s="46">
        <v>4.5830000000000002</v>
      </c>
      <c r="BA4613" s="46" t="s">
        <v>63</v>
      </c>
      <c r="BB4613" s="46">
        <v>4600</v>
      </c>
      <c r="BC4613" s="46">
        <v>18823.154999999999</v>
      </c>
      <c r="BD4613" s="46">
        <v>4.0919999999999996</v>
      </c>
      <c r="BE4613" s="46">
        <v>1719.9</v>
      </c>
      <c r="BF4613" s="46">
        <v>5481</v>
      </c>
      <c r="BG4613" s="46">
        <v>5.48</v>
      </c>
      <c r="BH4613" s="46">
        <v>0</v>
      </c>
      <c r="BJ4613">
        <v>5480.9999999999982</v>
      </c>
      <c r="BK4613">
        <v>5.48</v>
      </c>
      <c r="BL4613">
        <v>320.88</v>
      </c>
    </row>
    <row r="4614" spans="1:64" x14ac:dyDescent="0.25">
      <c r="A4614" s="136">
        <v>44246</v>
      </c>
      <c r="B4614" t="s">
        <v>124</v>
      </c>
      <c r="C4614" t="s">
        <v>125</v>
      </c>
      <c r="D4614">
        <v>100</v>
      </c>
      <c r="E4614">
        <v>100</v>
      </c>
      <c r="F4614">
        <v>0.73699999999999999</v>
      </c>
      <c r="G4614">
        <v>450.28</v>
      </c>
      <c r="H4614">
        <v>610.96</v>
      </c>
      <c r="I4614">
        <v>524</v>
      </c>
      <c r="J4614">
        <v>5.24</v>
      </c>
      <c r="K4614" s="133">
        <v>1.2268438491410993E-3</v>
      </c>
      <c r="L4614" s="181">
        <v>0</v>
      </c>
      <c r="M4614" s="133">
        <v>1.7260100869977458E-4</v>
      </c>
      <c r="N4614" s="73">
        <v>5623.0690000000113</v>
      </c>
      <c r="O4614" s="73">
        <v>1111.8087987827732</v>
      </c>
      <c r="P4614" s="182">
        <v>0</v>
      </c>
      <c r="Q4614" s="182">
        <v>0</v>
      </c>
      <c r="R4614" s="46">
        <v>0</v>
      </c>
      <c r="S4614" s="46">
        <v>5</v>
      </c>
      <c r="T4614" s="46">
        <v>2300</v>
      </c>
      <c r="U4614" s="46">
        <v>4.99</v>
      </c>
      <c r="V4614" s="46" t="s">
        <v>68</v>
      </c>
      <c r="W4614" s="46">
        <v>2300</v>
      </c>
      <c r="X4614" s="46">
        <v>4.99</v>
      </c>
      <c r="AF4614" s="46">
        <v>50</v>
      </c>
      <c r="AG4614" s="46">
        <v>36700</v>
      </c>
      <c r="AH4614" s="46">
        <v>180101.02000000002</v>
      </c>
      <c r="AI4614" s="46">
        <v>4.907</v>
      </c>
      <c r="AJ4614" s="46">
        <v>58</v>
      </c>
      <c r="AK4614" s="46">
        <v>35300</v>
      </c>
      <c r="AL4614" s="46">
        <v>178266.546</v>
      </c>
      <c r="AM4614" s="46">
        <v>5.05</v>
      </c>
      <c r="AN4614" s="46" t="s">
        <v>63</v>
      </c>
      <c r="AO4614" s="46">
        <v>1400</v>
      </c>
      <c r="AP4614" s="46">
        <v>1834.4739999999999</v>
      </c>
      <c r="AQ4614" s="46">
        <v>1.31</v>
      </c>
      <c r="AR4614" s="46">
        <v>5047.8999999999996</v>
      </c>
      <c r="AS4614" s="46">
        <v>51</v>
      </c>
      <c r="AT4614" s="46">
        <v>37700</v>
      </c>
      <c r="AU4614" s="46">
        <v>185106.62</v>
      </c>
      <c r="AV4614" s="46">
        <v>4.91</v>
      </c>
      <c r="AW4614" s="46">
        <v>63</v>
      </c>
      <c r="AX4614" s="46">
        <v>37600</v>
      </c>
      <c r="AY4614" s="46">
        <v>189763.68900000001</v>
      </c>
      <c r="AZ4614" s="46">
        <v>5.0469999999999997</v>
      </c>
      <c r="BA4614" s="46" t="s">
        <v>63</v>
      </c>
      <c r="BB4614" s="46">
        <v>100</v>
      </c>
      <c r="BC4614" s="46">
        <v>4657.0690000000004</v>
      </c>
      <c r="BD4614" s="46">
        <v>46.570999999999998</v>
      </c>
      <c r="BE4614" s="46">
        <v>5151.2</v>
      </c>
      <c r="BF4614" s="46">
        <v>5005.5999999999767</v>
      </c>
      <c r="BH4614" s="46">
        <v>11497.143000000011</v>
      </c>
      <c r="BI4614">
        <v>5</v>
      </c>
      <c r="BJ4614">
        <v>2822.5950000000003</v>
      </c>
      <c r="BK4614">
        <v>1.23</v>
      </c>
      <c r="BL4614">
        <v>963.34</v>
      </c>
    </row>
    <row r="4615" spans="1:64" x14ac:dyDescent="0.25">
      <c r="A4615" s="136">
        <v>44246</v>
      </c>
      <c r="B4615" t="s">
        <v>71</v>
      </c>
      <c r="C4615" t="s">
        <v>126</v>
      </c>
      <c r="D4615">
        <v>5200</v>
      </c>
      <c r="E4615">
        <v>5200</v>
      </c>
      <c r="F4615">
        <v>4.0830000000000002</v>
      </c>
      <c r="G4615">
        <v>6381.79</v>
      </c>
      <c r="H4615">
        <v>30.06</v>
      </c>
      <c r="I4615">
        <v>27612</v>
      </c>
      <c r="J4615">
        <v>5.31</v>
      </c>
      <c r="K4615" s="133">
        <v>6.4648115195580225E-2</v>
      </c>
      <c r="L4615" s="181">
        <v>156</v>
      </c>
      <c r="M4615" s="133">
        <v>4.9706398004721104E-2</v>
      </c>
      <c r="P4615" s="182">
        <v>0</v>
      </c>
      <c r="Q4615" s="182">
        <v>0</v>
      </c>
      <c r="R4615" s="46">
        <v>0</v>
      </c>
      <c r="S4615" s="46">
        <v>0</v>
      </c>
      <c r="T4615" s="46">
        <v>0</v>
      </c>
      <c r="U4615" s="46">
        <v>0</v>
      </c>
      <c r="V4615" s="46" t="s">
        <v>68</v>
      </c>
      <c r="W4615" s="46">
        <v>0</v>
      </c>
      <c r="AF4615" s="46">
        <v>82</v>
      </c>
      <c r="AG4615" s="46">
        <v>43800</v>
      </c>
      <c r="AH4615" s="46">
        <v>260848.72</v>
      </c>
      <c r="AI4615" s="46">
        <v>5.9550000000000001</v>
      </c>
      <c r="AJ4615" s="46">
        <v>89</v>
      </c>
      <c r="AK4615" s="46">
        <v>38200</v>
      </c>
      <c r="AL4615" s="46">
        <v>237524.17200000002</v>
      </c>
      <c r="AM4615" s="46">
        <v>6.218</v>
      </c>
      <c r="AN4615" s="46" t="s">
        <v>63</v>
      </c>
      <c r="AO4615" s="46">
        <v>5600</v>
      </c>
      <c r="AP4615" s="46">
        <v>23324.547999999999</v>
      </c>
      <c r="AQ4615" s="46">
        <v>4.165</v>
      </c>
      <c r="AR4615" s="46">
        <v>10046.6</v>
      </c>
      <c r="AS4615" s="46">
        <v>82</v>
      </c>
      <c r="AT4615" s="46">
        <v>43800</v>
      </c>
      <c r="AU4615" s="46">
        <v>260848.72</v>
      </c>
      <c r="AV4615" s="46">
        <v>5.9550000000000001</v>
      </c>
      <c r="AW4615" s="46">
        <v>90</v>
      </c>
      <c r="AX4615" s="46">
        <v>38600</v>
      </c>
      <c r="AY4615" s="46">
        <v>239645.04400000002</v>
      </c>
      <c r="AZ4615" s="46">
        <v>6.2080000000000002</v>
      </c>
      <c r="BA4615" s="46" t="s">
        <v>63</v>
      </c>
      <c r="BB4615" s="46">
        <v>5200</v>
      </c>
      <c r="BC4615" s="46">
        <v>21203.675999999999</v>
      </c>
      <c r="BD4615" s="46">
        <v>4.0780000000000003</v>
      </c>
      <c r="BE4615" s="46">
        <v>9765.7999999999993</v>
      </c>
      <c r="BF4615" s="46">
        <v>0</v>
      </c>
      <c r="BH4615" s="46">
        <v>2120.872000000003</v>
      </c>
      <c r="BJ4615">
        <v>-2120.8719999999994</v>
      </c>
      <c r="BL4615">
        <v>1892.02</v>
      </c>
    </row>
    <row r="4616" spans="1:64" x14ac:dyDescent="0.25">
      <c r="A4616" s="136">
        <v>44246</v>
      </c>
      <c r="B4616" t="s">
        <v>79</v>
      </c>
      <c r="C4616" t="s">
        <v>143</v>
      </c>
      <c r="D4616">
        <v>12400</v>
      </c>
      <c r="E4616">
        <v>12400</v>
      </c>
      <c r="F4616">
        <v>9.0440000000000005</v>
      </c>
      <c r="G4616">
        <v>-38607.440000000002</v>
      </c>
      <c r="H4616">
        <v>-34.43</v>
      </c>
      <c r="I4616">
        <v>73532</v>
      </c>
      <c r="J4616">
        <v>5.93</v>
      </c>
      <c r="K4616" s="133">
        <v>0.1721608433493193</v>
      </c>
      <c r="L4616" s="181">
        <v>1520.5899999999965</v>
      </c>
      <c r="M4616" s="133">
        <v>0.26255263780558658</v>
      </c>
      <c r="O4616" s="73">
        <v>-6569.1735004225111</v>
      </c>
      <c r="P4616" s="182">
        <v>10</v>
      </c>
      <c r="Q4616" s="182">
        <v>7220</v>
      </c>
      <c r="R4616" s="46">
        <v>4.2720000000000002</v>
      </c>
      <c r="S4616" s="46">
        <v>0</v>
      </c>
      <c r="T4616" s="46">
        <v>0</v>
      </c>
      <c r="U4616" s="46">
        <v>0</v>
      </c>
      <c r="V4616" s="46" t="s">
        <v>62</v>
      </c>
      <c r="W4616" s="46">
        <v>7220</v>
      </c>
      <c r="X4616" s="46">
        <v>4.2720000000000002</v>
      </c>
      <c r="AF4616" s="46">
        <v>110</v>
      </c>
      <c r="AG4616" s="46">
        <v>52500</v>
      </c>
      <c r="AH4616" s="46">
        <v>514698.05490600015</v>
      </c>
      <c r="AI4616" s="46">
        <v>9.8040000000000003</v>
      </c>
      <c r="AJ4616" s="46">
        <v>112</v>
      </c>
      <c r="AK4616" s="46">
        <v>47720</v>
      </c>
      <c r="AL4616" s="46">
        <v>435660.85968400008</v>
      </c>
      <c r="AM4616" s="46">
        <v>9.1300000000000008</v>
      </c>
      <c r="AN4616" s="46" t="s">
        <v>63</v>
      </c>
      <c r="AO4616" s="46">
        <v>4780</v>
      </c>
      <c r="AP4616" s="46">
        <v>79037.195000000007</v>
      </c>
      <c r="AQ4616" s="46">
        <v>16.535</v>
      </c>
      <c r="AR4616" s="46">
        <v>-32163.279999999999</v>
      </c>
      <c r="AS4616" s="46">
        <v>121</v>
      </c>
      <c r="AT4616" s="46">
        <v>60120</v>
      </c>
      <c r="AU4616" s="46">
        <v>547788.09669000027</v>
      </c>
      <c r="AV4616" s="46">
        <v>9.1120000000000001</v>
      </c>
      <c r="AW4616" s="46">
        <v>112</v>
      </c>
      <c r="AX4616" s="46">
        <v>47720</v>
      </c>
      <c r="AY4616" s="46">
        <v>435660.85968400008</v>
      </c>
      <c r="AZ4616" s="46">
        <v>9.1300000000000008</v>
      </c>
      <c r="BA4616" s="46" t="s">
        <v>63</v>
      </c>
      <c r="BB4616" s="46">
        <v>12400</v>
      </c>
      <c r="BC4616" s="46">
        <v>112127.23699999999</v>
      </c>
      <c r="BD4616" s="46">
        <v>9.0429999999999993</v>
      </c>
      <c r="BE4616" s="46">
        <v>858.96</v>
      </c>
      <c r="BF4616" s="46">
        <v>33090.041784000117</v>
      </c>
      <c r="BG4616" s="46">
        <v>4.58</v>
      </c>
      <c r="BH4616" s="46">
        <v>0</v>
      </c>
      <c r="BJ4616">
        <v>33090.041999999987</v>
      </c>
      <c r="BK4616">
        <v>4.58</v>
      </c>
      <c r="BL4616">
        <v>-5423.82</v>
      </c>
    </row>
    <row r="4617" spans="1:64" x14ac:dyDescent="0.25">
      <c r="A4617" s="136">
        <v>44246</v>
      </c>
      <c r="B4617" t="s">
        <v>749</v>
      </c>
      <c r="C4617" t="s">
        <v>750</v>
      </c>
      <c r="D4617">
        <v>500</v>
      </c>
      <c r="E4617">
        <v>500</v>
      </c>
      <c r="F4617">
        <v>5.65</v>
      </c>
      <c r="G4617">
        <v>35</v>
      </c>
      <c r="H4617">
        <v>1.24</v>
      </c>
      <c r="I4617">
        <v>2860</v>
      </c>
      <c r="J4617">
        <v>5.72</v>
      </c>
      <c r="K4617" s="133">
        <v>6.6961324590525655E-3</v>
      </c>
      <c r="L4617" s="181">
        <v>70</v>
      </c>
      <c r="M4617" s="133">
        <v>6.6141867821061179E-3</v>
      </c>
    </row>
    <row r="4618" spans="1:64" x14ac:dyDescent="0.25">
      <c r="A4618" s="136">
        <v>44246</v>
      </c>
      <c r="B4618" t="s">
        <v>776</v>
      </c>
      <c r="C4618" t="s">
        <v>777</v>
      </c>
      <c r="D4618">
        <v>1</v>
      </c>
      <c r="E4618">
        <v>1</v>
      </c>
      <c r="F4618">
        <v>-137.5</v>
      </c>
      <c r="G4618">
        <v>198.89</v>
      </c>
      <c r="H4618">
        <v>0</v>
      </c>
      <c r="I4618">
        <v>61.39</v>
      </c>
      <c r="J4618">
        <v>61.39</v>
      </c>
      <c r="K4618" s="133">
        <v>1.4373271736406888E-4</v>
      </c>
      <c r="L4618" s="181">
        <v>3.2399999999999807</v>
      </c>
      <c r="M4618" s="133">
        <v>0</v>
      </c>
    </row>
    <row r="4619" spans="1:64" x14ac:dyDescent="0.25">
      <c r="A4619" s="136">
        <v>44246</v>
      </c>
      <c r="B4619" t="s">
        <v>65</v>
      </c>
      <c r="C4619" t="s">
        <v>127</v>
      </c>
      <c r="D4619">
        <v>28700</v>
      </c>
      <c r="E4619">
        <v>28700</v>
      </c>
      <c r="F4619">
        <v>8.016</v>
      </c>
      <c r="G4619">
        <v>-56421.88</v>
      </c>
      <c r="H4619">
        <v>-24.52</v>
      </c>
      <c r="I4619">
        <v>173635</v>
      </c>
      <c r="J4619">
        <v>6.05</v>
      </c>
      <c r="K4619" s="133">
        <v>0.4065325033313259</v>
      </c>
      <c r="L4619" s="181">
        <v>4919.6000000000058</v>
      </c>
      <c r="M4619" s="133">
        <v>0.53863333622250387</v>
      </c>
      <c r="P4619" s="182">
        <v>0</v>
      </c>
      <c r="Q4619" s="182">
        <v>0</v>
      </c>
      <c r="R4619" s="46">
        <v>0</v>
      </c>
      <c r="S4619" s="46">
        <v>20</v>
      </c>
      <c r="T4619" s="46">
        <v>8600</v>
      </c>
      <c r="U4619" s="46">
        <v>7.3840000000000003</v>
      </c>
      <c r="V4619" s="46" t="s">
        <v>68</v>
      </c>
      <c r="W4619" s="46">
        <v>8600</v>
      </c>
      <c r="X4619" s="46">
        <v>7.3840000000000003</v>
      </c>
      <c r="AF4619" s="46">
        <v>9</v>
      </c>
      <c r="AG4619" s="46">
        <v>4000</v>
      </c>
      <c r="AH4619" s="46">
        <v>22575.247999999992</v>
      </c>
      <c r="AI4619" s="46">
        <v>5.6440000000000001</v>
      </c>
      <c r="AJ4619" s="46">
        <v>1</v>
      </c>
      <c r="AK4619" s="46">
        <v>400</v>
      </c>
      <c r="AL4619" s="46">
        <v>2392.6000000000058</v>
      </c>
      <c r="AM4619" s="46">
        <v>5.9820000000000002</v>
      </c>
      <c r="AN4619" s="46" t="s">
        <v>63</v>
      </c>
      <c r="AO4619" s="46">
        <v>3600</v>
      </c>
      <c r="AP4619" s="46">
        <v>20182.648000000001</v>
      </c>
      <c r="AQ4619" s="46">
        <v>5.6059999999999999</v>
      </c>
      <c r="AR4619" s="46">
        <v>135.19999999999999</v>
      </c>
      <c r="AS4619" s="46">
        <v>9</v>
      </c>
      <c r="AT4619" s="46">
        <v>4000</v>
      </c>
      <c r="AU4619" s="46">
        <v>22575.247999999992</v>
      </c>
      <c r="AV4619" s="46">
        <v>5.6440000000000001</v>
      </c>
      <c r="AW4619" s="46">
        <v>1</v>
      </c>
      <c r="AX4619" s="46">
        <v>400</v>
      </c>
      <c r="AY4619" s="46">
        <v>2392.6000000000058</v>
      </c>
      <c r="AZ4619" s="46">
        <v>5.9820000000000002</v>
      </c>
      <c r="BA4619" s="46" t="s">
        <v>63</v>
      </c>
      <c r="BB4619" s="46">
        <v>3600</v>
      </c>
      <c r="BC4619" s="46">
        <v>20182.648000000001</v>
      </c>
      <c r="BD4619" s="46">
        <v>5.6059999999999999</v>
      </c>
      <c r="BE4619" s="46">
        <v>135.19999999999999</v>
      </c>
      <c r="BF4619" s="46">
        <v>0</v>
      </c>
      <c r="BH4619" s="46">
        <v>0</v>
      </c>
      <c r="BI4619">
        <v>0</v>
      </c>
      <c r="BJ4619">
        <v>0</v>
      </c>
      <c r="BK4619">
        <v>0</v>
      </c>
      <c r="BL4619">
        <v>22.35</v>
      </c>
    </row>
    <row r="4620" spans="1:64" x14ac:dyDescent="0.25">
      <c r="A4620" s="136">
        <v>44246</v>
      </c>
      <c r="B4620" t="s">
        <v>77</v>
      </c>
      <c r="C4620" t="s">
        <v>150</v>
      </c>
      <c r="D4620">
        <v>6900</v>
      </c>
      <c r="E4620">
        <v>6900</v>
      </c>
      <c r="F4620">
        <v>4.9400000000000004</v>
      </c>
      <c r="G4620">
        <v>-19664.419999999998</v>
      </c>
      <c r="H4620">
        <v>-57.69</v>
      </c>
      <c r="I4620">
        <v>14421</v>
      </c>
      <c r="J4620">
        <v>2.09</v>
      </c>
      <c r="K4620" s="133">
        <v>3.3763960206991975E-2</v>
      </c>
      <c r="L4620" s="181">
        <v>828</v>
      </c>
      <c r="M4620" s="133">
        <v>7.9804366168685137E-2</v>
      </c>
      <c r="P4620" s="182">
        <v>6</v>
      </c>
      <c r="Q4620" s="182">
        <v>3500</v>
      </c>
      <c r="R4620" s="46">
        <v>3.7789999999999999</v>
      </c>
      <c r="S4620" s="46">
        <v>1</v>
      </c>
      <c r="T4620" s="46">
        <v>400</v>
      </c>
      <c r="U4620" s="46">
        <v>2.77</v>
      </c>
      <c r="V4620" s="46" t="s">
        <v>62</v>
      </c>
      <c r="W4620" s="46">
        <v>3100</v>
      </c>
      <c r="X4620" s="46">
        <v>3.9089999999999998</v>
      </c>
      <c r="AF4620" s="46">
        <v>72</v>
      </c>
      <c r="AG4620" s="46">
        <v>35400</v>
      </c>
      <c r="AH4620" s="46">
        <v>210550</v>
      </c>
      <c r="AI4620" s="46">
        <v>5.9480000000000004</v>
      </c>
      <c r="AJ4620" s="46">
        <v>72</v>
      </c>
      <c r="AK4620" s="46">
        <v>32000</v>
      </c>
      <c r="AL4620" s="46">
        <v>189713.73600000006</v>
      </c>
      <c r="AM4620" s="46">
        <v>5.9290000000000003</v>
      </c>
      <c r="AN4620" s="46" t="s">
        <v>63</v>
      </c>
      <c r="AO4620" s="46">
        <v>3400</v>
      </c>
      <c r="AP4620" s="46">
        <v>20836.263999999999</v>
      </c>
      <c r="AQ4620" s="46">
        <v>6.1280000000000001</v>
      </c>
      <c r="AR4620" s="46">
        <v>-608</v>
      </c>
      <c r="AS4620" s="46">
        <v>79</v>
      </c>
      <c r="AT4620" s="46">
        <v>39300</v>
      </c>
      <c r="AU4620" s="46">
        <v>224906</v>
      </c>
      <c r="AV4620" s="46">
        <v>5.7229999999999999</v>
      </c>
      <c r="AW4620" s="46">
        <v>73</v>
      </c>
      <c r="AX4620" s="46">
        <v>32400</v>
      </c>
      <c r="AY4620" s="46">
        <v>190815.62800000006</v>
      </c>
      <c r="AZ4620" s="46">
        <v>5.8890000000000002</v>
      </c>
      <c r="BA4620" s="46" t="s">
        <v>63</v>
      </c>
      <c r="BB4620" s="46">
        <v>6900</v>
      </c>
      <c r="BC4620" s="46">
        <v>34090.372000000003</v>
      </c>
      <c r="BD4620" s="46">
        <v>4.9409999999999998</v>
      </c>
      <c r="BE4620" s="46">
        <v>5378.4</v>
      </c>
      <c r="BF4620" s="46">
        <v>14356</v>
      </c>
      <c r="BG4620" s="46">
        <v>4.0999999999999996</v>
      </c>
      <c r="BH4620" s="46">
        <v>1101.8919999999925</v>
      </c>
      <c r="BI4620">
        <v>2.75</v>
      </c>
      <c r="BJ4620">
        <v>13254.108000000004</v>
      </c>
      <c r="BK4620">
        <v>4.28</v>
      </c>
      <c r="BL4620">
        <v>-290.91000000000003</v>
      </c>
    </row>
    <row r="4621" spans="1:64" x14ac:dyDescent="0.25">
      <c r="A4621" s="136">
        <v>44246</v>
      </c>
      <c r="B4621" t="s">
        <v>72</v>
      </c>
      <c r="C4621" t="s">
        <v>130</v>
      </c>
      <c r="D4621">
        <v>100</v>
      </c>
      <c r="E4621">
        <v>100</v>
      </c>
      <c r="F4621">
        <v>1.53</v>
      </c>
      <c r="G4621">
        <v>522</v>
      </c>
      <c r="H4621">
        <v>341.18</v>
      </c>
      <c r="I4621">
        <v>675</v>
      </c>
      <c r="J4621">
        <v>6.75</v>
      </c>
      <c r="K4621" s="133">
        <v>1.5803809125386299E-3</v>
      </c>
      <c r="L4621" s="181">
        <v>-4</v>
      </c>
      <c r="M4621" s="133">
        <v>3.582196735087561E-4</v>
      </c>
      <c r="N4621" s="73">
        <v>-1498.9659999999872</v>
      </c>
      <c r="O4621" s="73">
        <v>376.42007904191922</v>
      </c>
      <c r="P4621" s="182">
        <v>0</v>
      </c>
      <c r="Q4621" s="182">
        <v>0</v>
      </c>
      <c r="R4621" s="46">
        <v>0</v>
      </c>
      <c r="S4621" s="46">
        <v>20</v>
      </c>
      <c r="T4621" s="46">
        <v>8600</v>
      </c>
      <c r="U4621" s="46">
        <v>7.3840000000000003</v>
      </c>
      <c r="V4621" s="46" t="s">
        <v>68</v>
      </c>
      <c r="W4621" s="46">
        <v>8600</v>
      </c>
      <c r="X4621" s="46">
        <v>7.3840000000000003</v>
      </c>
      <c r="AF4621" s="46">
        <v>42</v>
      </c>
      <c r="AG4621" s="46">
        <v>20900</v>
      </c>
      <c r="AH4621" s="46">
        <v>152800</v>
      </c>
      <c r="AI4621" s="46">
        <v>7.3109999999999999</v>
      </c>
      <c r="AJ4621" s="46">
        <v>42</v>
      </c>
      <c r="AK4621" s="46">
        <v>18800</v>
      </c>
      <c r="AL4621" s="46">
        <v>92037.725000000035</v>
      </c>
      <c r="AM4621" s="46">
        <v>4.8959999999999999</v>
      </c>
      <c r="AN4621" s="46" t="s">
        <v>63</v>
      </c>
      <c r="AO4621" s="46">
        <v>2100</v>
      </c>
      <c r="AP4621" s="46">
        <v>60762.275000000001</v>
      </c>
      <c r="AQ4621" s="46">
        <v>28.934000000000001</v>
      </c>
      <c r="AR4621" s="46">
        <v>-45402</v>
      </c>
      <c r="AS4621" s="46">
        <v>42</v>
      </c>
      <c r="AT4621" s="46">
        <v>20900</v>
      </c>
      <c r="AU4621" s="46">
        <v>152800</v>
      </c>
      <c r="AV4621" s="46">
        <v>7.3109999999999999</v>
      </c>
      <c r="AW4621" s="46">
        <v>63</v>
      </c>
      <c r="AX4621" s="46">
        <v>27900</v>
      </c>
      <c r="AY4621" s="46">
        <v>155380.21900000001</v>
      </c>
      <c r="AZ4621" s="46">
        <v>5.569</v>
      </c>
      <c r="BA4621" s="46" t="s">
        <v>69</v>
      </c>
      <c r="BB4621" s="46">
        <v>7000</v>
      </c>
      <c r="BC4621" s="46">
        <v>2580.2190000000001</v>
      </c>
      <c r="BD4621" s="46">
        <v>0.36899999999999999</v>
      </c>
      <c r="BE4621" s="46">
        <v>-36407.800000000003</v>
      </c>
      <c r="BF4621" s="46">
        <v>0</v>
      </c>
      <c r="BH4621" s="46">
        <v>63342.493999999977</v>
      </c>
      <c r="BI4621">
        <v>7.37</v>
      </c>
      <c r="BJ4621">
        <v>-58182.056000000004</v>
      </c>
      <c r="BK4621">
        <v>-6.77</v>
      </c>
      <c r="BL4621">
        <v>-6726.22</v>
      </c>
    </row>
    <row r="4622" spans="1:64" x14ac:dyDescent="0.25">
      <c r="A4622" s="136">
        <v>44246</v>
      </c>
      <c r="B4622" t="s">
        <v>70</v>
      </c>
      <c r="C4622" t="s">
        <v>131</v>
      </c>
      <c r="D4622">
        <v>14080</v>
      </c>
      <c r="E4622">
        <v>14080</v>
      </c>
      <c r="F4622">
        <v>8.0380000000000003</v>
      </c>
      <c r="G4622">
        <v>-19681.75</v>
      </c>
      <c r="H4622">
        <v>-17.39</v>
      </c>
      <c r="I4622">
        <v>93491.199999999997</v>
      </c>
      <c r="J4622">
        <v>6.64</v>
      </c>
      <c r="K4622" s="133">
        <v>0.218891419215306</v>
      </c>
      <c r="L4622" s="181">
        <v>2019.5400000000009</v>
      </c>
      <c r="M4622" s="133">
        <v>0.26497239999361294</v>
      </c>
      <c r="P4622" s="182">
        <v>0</v>
      </c>
      <c r="Q4622" s="182">
        <v>0</v>
      </c>
      <c r="R4622" s="46">
        <v>0</v>
      </c>
      <c r="S4622" s="46">
        <v>8</v>
      </c>
      <c r="T4622" s="46">
        <v>3200</v>
      </c>
      <c r="U4622" s="46">
        <v>7.0890000000000004</v>
      </c>
      <c r="V4622" s="46" t="s">
        <v>68</v>
      </c>
      <c r="W4622" s="46">
        <v>3200</v>
      </c>
      <c r="X4622" s="46">
        <v>7.0890000000000004</v>
      </c>
      <c r="AF4622" s="46">
        <v>254</v>
      </c>
      <c r="AG4622" s="46">
        <v>126380</v>
      </c>
      <c r="AH4622" s="46">
        <v>1325741.0125</v>
      </c>
      <c r="AI4622" s="46">
        <v>10.49</v>
      </c>
      <c r="AJ4622" s="46">
        <v>266</v>
      </c>
      <c r="AK4622" s="46">
        <v>108700</v>
      </c>
      <c r="AL4622" s="46">
        <v>1187289.2749999997</v>
      </c>
      <c r="AM4622" s="46">
        <v>10.923</v>
      </c>
      <c r="AN4622" s="46" t="s">
        <v>63</v>
      </c>
      <c r="AO4622" s="46">
        <v>17680</v>
      </c>
      <c r="AP4622" s="46">
        <v>138451.73800000001</v>
      </c>
      <c r="AQ4622" s="46">
        <v>7.8310000000000004</v>
      </c>
      <c r="AR4622" s="46">
        <v>47067.1</v>
      </c>
      <c r="AS4622" s="46">
        <v>254</v>
      </c>
      <c r="AT4622" s="46">
        <v>126380</v>
      </c>
      <c r="AU4622" s="46">
        <v>1325741.0125</v>
      </c>
      <c r="AV4622" s="46">
        <v>10.49</v>
      </c>
      <c r="AW4622" s="46">
        <v>276</v>
      </c>
      <c r="AX4622" s="46">
        <v>112300</v>
      </c>
      <c r="AY4622" s="46">
        <v>1212563.9349999998</v>
      </c>
      <c r="AZ4622" s="46">
        <v>10.798</v>
      </c>
      <c r="BA4622" s="46" t="s">
        <v>63</v>
      </c>
      <c r="BB4622" s="46">
        <v>14080</v>
      </c>
      <c r="BC4622" s="46">
        <v>113177.07799999999</v>
      </c>
      <c r="BD4622" s="46">
        <v>8.0380000000000003</v>
      </c>
      <c r="BE4622" s="46">
        <v>34588.400000000001</v>
      </c>
      <c r="BF4622" s="46">
        <v>0</v>
      </c>
      <c r="BH4622" s="46">
        <v>25274.660000000149</v>
      </c>
      <c r="BI4622">
        <v>7.9</v>
      </c>
      <c r="BJ4622">
        <v>-25274.660000000018</v>
      </c>
      <c r="BK4622">
        <v>-7.9</v>
      </c>
      <c r="BL4622">
        <v>7088.42</v>
      </c>
    </row>
    <row r="4623" spans="1:64" x14ac:dyDescent="0.25">
      <c r="A4623" s="136">
        <v>44246</v>
      </c>
      <c r="B4623" t="s">
        <v>628</v>
      </c>
      <c r="C4623" t="s">
        <v>629</v>
      </c>
      <c r="D4623">
        <v>100</v>
      </c>
      <c r="E4623">
        <v>100</v>
      </c>
      <c r="F4623">
        <v>0.95</v>
      </c>
      <c r="G4623">
        <v>1192</v>
      </c>
      <c r="H4623">
        <v>1254.74</v>
      </c>
      <c r="I4623">
        <v>1287</v>
      </c>
      <c r="J4623">
        <v>12.87</v>
      </c>
      <c r="K4623" s="133">
        <v>3.0132596065736545E-3</v>
      </c>
      <c r="L4623" s="181">
        <v>31</v>
      </c>
      <c r="M4623" s="133">
        <v>2.2242398028321457E-4</v>
      </c>
    </row>
    <row r="4624" spans="1:64" x14ac:dyDescent="0.25">
      <c r="A4624" s="136">
        <v>44246</v>
      </c>
      <c r="B4624" t="s">
        <v>768</v>
      </c>
      <c r="C4624" t="s">
        <v>769</v>
      </c>
      <c r="D4624">
        <v>500</v>
      </c>
      <c r="E4624">
        <v>500</v>
      </c>
      <c r="F4624">
        <v>2.4140000000000001</v>
      </c>
      <c r="G4624">
        <v>158</v>
      </c>
      <c r="H4624">
        <v>13.09</v>
      </c>
      <c r="I4624">
        <v>1365</v>
      </c>
      <c r="J4624">
        <v>2.73</v>
      </c>
      <c r="K4624" s="133">
        <v>3.1958814009114514E-3</v>
      </c>
      <c r="L4624" s="181">
        <v>25</v>
      </c>
      <c r="M4624" s="133">
        <v>2.8259552021246315E-3</v>
      </c>
    </row>
    <row r="4625" spans="1:64" x14ac:dyDescent="0.25">
      <c r="A4625" s="136">
        <v>44246</v>
      </c>
      <c r="B4625" t="s">
        <v>1165</v>
      </c>
      <c r="C4625" t="s">
        <v>1166</v>
      </c>
      <c r="D4625">
        <v>10</v>
      </c>
      <c r="E4625">
        <v>10</v>
      </c>
      <c r="F4625">
        <v>100</v>
      </c>
      <c r="G4625">
        <v>-92.89</v>
      </c>
      <c r="H4625">
        <v>-9.2889999999999997</v>
      </c>
      <c r="I4625">
        <v>907.11</v>
      </c>
      <c r="J4625">
        <v>90.710999999999999</v>
      </c>
      <c r="K4625" s="133">
        <v>2.1238212289969136E-3</v>
      </c>
      <c r="L4625" s="181">
        <v>22.11</v>
      </c>
      <c r="M4625" s="133">
        <v>2.3413050556127849E-3</v>
      </c>
    </row>
    <row r="4626" spans="1:64" x14ac:dyDescent="0.25">
      <c r="A4626" s="136">
        <v>44246</v>
      </c>
      <c r="B4626" t="s">
        <v>137</v>
      </c>
      <c r="C4626" t="s">
        <v>149</v>
      </c>
      <c r="D4626">
        <v>150</v>
      </c>
      <c r="E4626">
        <v>150</v>
      </c>
      <c r="F4626">
        <v>1</v>
      </c>
      <c r="G4626">
        <v>4209</v>
      </c>
      <c r="H4626">
        <v>2806</v>
      </c>
      <c r="I4626">
        <v>4359</v>
      </c>
      <c r="J4626">
        <v>29.06</v>
      </c>
      <c r="K4626" s="133">
        <v>1.020574873741613E-2</v>
      </c>
      <c r="L4626" s="181">
        <v>100.5</v>
      </c>
      <c r="M4626" s="133">
        <v>3.5119575834191775E-4</v>
      </c>
    </row>
    <row r="4627" spans="1:64" x14ac:dyDescent="0.25">
      <c r="A4627" s="136">
        <v>44246</v>
      </c>
      <c r="B4627" t="s">
        <v>835</v>
      </c>
      <c r="C4627" t="s">
        <v>839</v>
      </c>
      <c r="I4627">
        <v>16783.490000000002</v>
      </c>
      <c r="K4627" s="133">
        <v>3.9295269987826627E-2</v>
      </c>
      <c r="L4627" s="181">
        <v>0</v>
      </c>
      <c r="M4627" s="133">
        <v>1.1776764429732308E-5</v>
      </c>
    </row>
    <row r="4628" spans="1:64" x14ac:dyDescent="0.25">
      <c r="A4628" s="136">
        <v>44249</v>
      </c>
      <c r="B4628" t="s">
        <v>71</v>
      </c>
      <c r="C4628" t="s">
        <v>126</v>
      </c>
      <c r="D4628">
        <v>5200</v>
      </c>
      <c r="E4628">
        <v>5200</v>
      </c>
      <c r="F4628">
        <v>4.0830000000000002</v>
      </c>
      <c r="G4628">
        <v>6641.79</v>
      </c>
      <c r="H4628">
        <v>31.28</v>
      </c>
      <c r="I4628">
        <v>27872</v>
      </c>
      <c r="J4628">
        <v>5.36</v>
      </c>
      <c r="K4628" s="133">
        <v>6.4475351375281778E-2</v>
      </c>
      <c r="L4628" s="181">
        <v>260</v>
      </c>
      <c r="M4628" s="133">
        <v>4.9111124049979221E-2</v>
      </c>
      <c r="P4628" s="182">
        <v>0</v>
      </c>
      <c r="Q4628" s="182">
        <v>0</v>
      </c>
      <c r="R4628" s="46">
        <v>0</v>
      </c>
      <c r="S4628" s="46">
        <v>0</v>
      </c>
      <c r="T4628" s="46">
        <v>0</v>
      </c>
      <c r="U4628" s="46">
        <v>0</v>
      </c>
      <c r="V4628" s="46" t="s">
        <v>68</v>
      </c>
      <c r="W4628" s="46">
        <v>0</v>
      </c>
      <c r="AF4628" s="46">
        <v>82</v>
      </c>
      <c r="AG4628" s="46">
        <v>43800</v>
      </c>
      <c r="AH4628" s="46">
        <v>260848.72</v>
      </c>
      <c r="AI4628" s="46">
        <v>5.9550000000000001</v>
      </c>
      <c r="AJ4628" s="46">
        <v>89</v>
      </c>
      <c r="AK4628" s="46">
        <v>38200</v>
      </c>
      <c r="AL4628" s="46">
        <v>237524.17200000002</v>
      </c>
      <c r="AM4628" s="46">
        <v>6.218</v>
      </c>
      <c r="AN4628" s="46" t="s">
        <v>63</v>
      </c>
      <c r="AO4628" s="46">
        <v>5600</v>
      </c>
      <c r="AP4628" s="46">
        <v>23324.547999999999</v>
      </c>
      <c r="AQ4628" s="46">
        <v>4.165</v>
      </c>
      <c r="AR4628" s="46">
        <v>10046.6</v>
      </c>
      <c r="AS4628" s="46">
        <v>82</v>
      </c>
      <c r="AT4628" s="46">
        <v>43800</v>
      </c>
      <c r="AU4628" s="46">
        <v>260848.72</v>
      </c>
      <c r="AV4628" s="46">
        <v>5.9550000000000001</v>
      </c>
      <c r="AW4628" s="46">
        <v>90</v>
      </c>
      <c r="AX4628" s="46">
        <v>38600</v>
      </c>
      <c r="AY4628" s="46">
        <v>239645.04400000002</v>
      </c>
      <c r="AZ4628" s="46">
        <v>6.2080000000000002</v>
      </c>
      <c r="BA4628" s="46" t="s">
        <v>63</v>
      </c>
      <c r="BB4628" s="46">
        <v>5200</v>
      </c>
      <c r="BC4628" s="46">
        <v>21203.675999999999</v>
      </c>
      <c r="BD4628" s="46">
        <v>4.0780000000000003</v>
      </c>
      <c r="BE4628" s="46">
        <v>9765.7999999999993</v>
      </c>
      <c r="BF4628" s="46">
        <v>0</v>
      </c>
      <c r="BH4628" s="46">
        <v>2120.872000000003</v>
      </c>
      <c r="BJ4628">
        <v>-2120.8719999999994</v>
      </c>
      <c r="BL4628">
        <v>1874.37</v>
      </c>
    </row>
    <row r="4629" spans="1:64" x14ac:dyDescent="0.25">
      <c r="A4629" s="136">
        <v>44249</v>
      </c>
      <c r="B4629" t="s">
        <v>137</v>
      </c>
      <c r="C4629" t="s">
        <v>149</v>
      </c>
      <c r="D4629">
        <v>150</v>
      </c>
      <c r="E4629">
        <v>150</v>
      </c>
      <c r="F4629">
        <v>1</v>
      </c>
      <c r="G4629">
        <v>4176</v>
      </c>
      <c r="H4629">
        <v>2784</v>
      </c>
      <c r="I4629">
        <v>4326</v>
      </c>
      <c r="J4629">
        <v>28.84</v>
      </c>
      <c r="K4629" s="133">
        <v>1.0007188936906894E-2</v>
      </c>
      <c r="L4629" s="181">
        <v>-33</v>
      </c>
      <c r="M4629" s="133">
        <v>3.4698990765973976E-4</v>
      </c>
    </row>
    <row r="4630" spans="1:64" x14ac:dyDescent="0.25">
      <c r="A4630" s="136">
        <v>44249</v>
      </c>
      <c r="B4630" t="s">
        <v>628</v>
      </c>
      <c r="C4630" t="s">
        <v>629</v>
      </c>
      <c r="D4630">
        <v>100</v>
      </c>
      <c r="E4630">
        <v>100</v>
      </c>
      <c r="F4630">
        <v>0.95</v>
      </c>
      <c r="G4630">
        <v>1169</v>
      </c>
      <c r="H4630">
        <v>1230.53</v>
      </c>
      <c r="I4630">
        <v>1264</v>
      </c>
      <c r="J4630">
        <v>12.64</v>
      </c>
      <c r="K4630" s="133">
        <v>2.9239682885460736E-3</v>
      </c>
      <c r="L4630" s="181">
        <v>-23</v>
      </c>
      <c r="M4630" s="133">
        <v>2.1976027485116851E-4</v>
      </c>
    </row>
    <row r="4631" spans="1:64" x14ac:dyDescent="0.25">
      <c r="A4631" s="136">
        <v>44249</v>
      </c>
      <c r="B4631" t="s">
        <v>72</v>
      </c>
      <c r="C4631" t="s">
        <v>130</v>
      </c>
      <c r="D4631">
        <v>100</v>
      </c>
      <c r="E4631">
        <v>100</v>
      </c>
      <c r="F4631">
        <v>1.53</v>
      </c>
      <c r="G4631">
        <v>504</v>
      </c>
      <c r="H4631">
        <v>329.41</v>
      </c>
      <c r="I4631">
        <v>657</v>
      </c>
      <c r="J4631">
        <v>6.57</v>
      </c>
      <c r="K4631" s="133">
        <v>1.5198157955496601E-3</v>
      </c>
      <c r="L4631" s="181">
        <v>-18</v>
      </c>
      <c r="M4631" s="133">
        <v>3.5392970581293458E-4</v>
      </c>
      <c r="N4631" s="73">
        <v>-1498.9659999999872</v>
      </c>
      <c r="O4631" s="73">
        <v>376.42007904191922</v>
      </c>
      <c r="P4631" s="182">
        <v>0</v>
      </c>
      <c r="Q4631" s="182">
        <v>0</v>
      </c>
      <c r="R4631" s="46">
        <v>0</v>
      </c>
      <c r="S4631" s="46">
        <v>20</v>
      </c>
      <c r="T4631" s="46">
        <v>8600</v>
      </c>
      <c r="U4631" s="46">
        <v>7.3840000000000003</v>
      </c>
      <c r="V4631" s="46" t="s">
        <v>68</v>
      </c>
      <c r="W4631" s="46">
        <v>8600</v>
      </c>
      <c r="X4631" s="46">
        <v>7.3840000000000003</v>
      </c>
      <c r="AF4631" s="46">
        <v>42</v>
      </c>
      <c r="AG4631" s="46">
        <v>20900</v>
      </c>
      <c r="AH4631" s="46">
        <v>152800</v>
      </c>
      <c r="AI4631" s="46">
        <v>7.3109999999999999</v>
      </c>
      <c r="AJ4631" s="46">
        <v>42</v>
      </c>
      <c r="AK4631" s="46">
        <v>18800</v>
      </c>
      <c r="AL4631" s="46">
        <v>92037.725000000035</v>
      </c>
      <c r="AM4631" s="46">
        <v>4.8959999999999999</v>
      </c>
      <c r="AN4631" s="46" t="s">
        <v>63</v>
      </c>
      <c r="AO4631" s="46">
        <v>2100</v>
      </c>
      <c r="AP4631" s="46">
        <v>60762.275000000001</v>
      </c>
      <c r="AQ4631" s="46">
        <v>28.934000000000001</v>
      </c>
      <c r="AR4631" s="46">
        <v>-45402</v>
      </c>
      <c r="AS4631" s="46">
        <v>42</v>
      </c>
      <c r="AT4631" s="46">
        <v>20900</v>
      </c>
      <c r="AU4631" s="46">
        <v>152800</v>
      </c>
      <c r="AV4631" s="46">
        <v>7.3109999999999999</v>
      </c>
      <c r="AW4631" s="46">
        <v>63</v>
      </c>
      <c r="AX4631" s="46">
        <v>27900</v>
      </c>
      <c r="AY4631" s="46">
        <v>155380.21900000001</v>
      </c>
      <c r="AZ4631" s="46">
        <v>5.569</v>
      </c>
      <c r="BA4631" s="46" t="s">
        <v>69</v>
      </c>
      <c r="BB4631" s="46">
        <v>7000</v>
      </c>
      <c r="BC4631" s="46">
        <v>2580.2190000000001</v>
      </c>
      <c r="BD4631" s="46">
        <v>0.36899999999999999</v>
      </c>
      <c r="BE4631" s="46">
        <v>-36407.800000000003</v>
      </c>
      <c r="BF4631" s="46">
        <v>0</v>
      </c>
      <c r="BH4631" s="46">
        <v>63342.493999999977</v>
      </c>
      <c r="BI4631">
        <v>7.37</v>
      </c>
      <c r="BJ4631">
        <v>-58182.056000000004</v>
      </c>
      <c r="BK4631">
        <v>-6.77</v>
      </c>
      <c r="BL4631">
        <v>-6910.5</v>
      </c>
    </row>
    <row r="4632" spans="1:64" x14ac:dyDescent="0.25">
      <c r="A4632" s="136">
        <v>44249</v>
      </c>
      <c r="B4632" t="s">
        <v>124</v>
      </c>
      <c r="C4632" t="s">
        <v>125</v>
      </c>
      <c r="D4632">
        <v>100</v>
      </c>
      <c r="E4632">
        <v>100</v>
      </c>
      <c r="F4632">
        <v>0.73699999999999999</v>
      </c>
      <c r="G4632">
        <v>463.28</v>
      </c>
      <c r="H4632">
        <v>628.6</v>
      </c>
      <c r="I4632">
        <v>537</v>
      </c>
      <c r="J4632">
        <v>5.37</v>
      </c>
      <c r="K4632" s="133">
        <v>1.2422238694218685E-3</v>
      </c>
      <c r="L4632" s="181">
        <v>13</v>
      </c>
      <c r="M4632" s="133">
        <v>1.7053397328450684E-4</v>
      </c>
      <c r="N4632" s="73">
        <v>5623.0690000000113</v>
      </c>
      <c r="O4632" s="73">
        <v>1111.8087987827732</v>
      </c>
      <c r="P4632" s="182">
        <v>0</v>
      </c>
      <c r="Q4632" s="182">
        <v>0</v>
      </c>
      <c r="R4632" s="46">
        <v>0</v>
      </c>
      <c r="S4632" s="46">
        <v>5</v>
      </c>
      <c r="T4632" s="46">
        <v>2300</v>
      </c>
      <c r="U4632" s="46">
        <v>4.99</v>
      </c>
      <c r="V4632" s="46" t="s">
        <v>68</v>
      </c>
      <c r="W4632" s="46">
        <v>2300</v>
      </c>
      <c r="X4632" s="46">
        <v>4.99</v>
      </c>
      <c r="AF4632" s="46">
        <v>50</v>
      </c>
      <c r="AG4632" s="46">
        <v>36700</v>
      </c>
      <c r="AH4632" s="46">
        <v>180101.02000000002</v>
      </c>
      <c r="AI4632" s="46">
        <v>4.907</v>
      </c>
      <c r="AJ4632" s="46">
        <v>58</v>
      </c>
      <c r="AK4632" s="46">
        <v>35300</v>
      </c>
      <c r="AL4632" s="46">
        <v>178266.546</v>
      </c>
      <c r="AM4632" s="46">
        <v>5.05</v>
      </c>
      <c r="AN4632" s="46" t="s">
        <v>63</v>
      </c>
      <c r="AO4632" s="46">
        <v>1400</v>
      </c>
      <c r="AP4632" s="46">
        <v>1834.4739999999999</v>
      </c>
      <c r="AQ4632" s="46">
        <v>1.31</v>
      </c>
      <c r="AR4632" s="46">
        <v>5047.8999999999996</v>
      </c>
      <c r="AS4632" s="46">
        <v>51</v>
      </c>
      <c r="AT4632" s="46">
        <v>37700</v>
      </c>
      <c r="AU4632" s="46">
        <v>185106.62</v>
      </c>
      <c r="AV4632" s="46">
        <v>4.91</v>
      </c>
      <c r="AW4632" s="46">
        <v>63</v>
      </c>
      <c r="AX4632" s="46">
        <v>37600</v>
      </c>
      <c r="AY4632" s="46">
        <v>189763.68900000001</v>
      </c>
      <c r="AZ4632" s="46">
        <v>5.0469999999999997</v>
      </c>
      <c r="BA4632" s="46" t="s">
        <v>63</v>
      </c>
      <c r="BB4632" s="46">
        <v>100</v>
      </c>
      <c r="BC4632" s="46">
        <v>4657.0690000000004</v>
      </c>
      <c r="BD4632" s="46">
        <v>46.570999999999998</v>
      </c>
      <c r="BE4632" s="46">
        <v>5151.2</v>
      </c>
      <c r="BF4632" s="46">
        <v>5005.5999999999767</v>
      </c>
      <c r="BH4632" s="46">
        <v>11497.143000000011</v>
      </c>
      <c r="BI4632">
        <v>5</v>
      </c>
      <c r="BJ4632">
        <v>2822.5950000000003</v>
      </c>
      <c r="BK4632">
        <v>1.23</v>
      </c>
      <c r="BL4632">
        <v>940.02</v>
      </c>
    </row>
    <row r="4633" spans="1:64" x14ac:dyDescent="0.25">
      <c r="A4633" s="136">
        <v>44249</v>
      </c>
      <c r="B4633" t="s">
        <v>132</v>
      </c>
      <c r="C4633" t="s">
        <v>123</v>
      </c>
      <c r="D4633">
        <v>503</v>
      </c>
      <c r="E4633">
        <v>503</v>
      </c>
      <c r="F4633">
        <v>-0.59299999999999997</v>
      </c>
      <c r="G4633">
        <v>303.52999999999997</v>
      </c>
      <c r="H4633">
        <v>0</v>
      </c>
      <c r="I4633">
        <v>5.03</v>
      </c>
      <c r="J4633">
        <v>0.01</v>
      </c>
      <c r="K4633" s="133">
        <v>1.1635728236856607E-5</v>
      </c>
      <c r="L4633" s="181">
        <v>0</v>
      </c>
      <c r="M4633" s="133">
        <v>0</v>
      </c>
    </row>
    <row r="4634" spans="1:64" x14ac:dyDescent="0.25">
      <c r="A4634" s="136">
        <v>44249</v>
      </c>
      <c r="B4634" t="s">
        <v>776</v>
      </c>
      <c r="C4634" t="s">
        <v>777</v>
      </c>
      <c r="D4634">
        <v>1</v>
      </c>
      <c r="E4634">
        <v>1</v>
      </c>
      <c r="F4634">
        <v>-137.5</v>
      </c>
      <c r="G4634">
        <v>198.46</v>
      </c>
      <c r="H4634">
        <v>0</v>
      </c>
      <c r="I4634">
        <v>60.96</v>
      </c>
      <c r="J4634">
        <v>60.96</v>
      </c>
      <c r="K4634" s="133">
        <v>1.4101669847291825E-4</v>
      </c>
      <c r="L4634" s="181">
        <v>-0.4299999999999784</v>
      </c>
      <c r="M4634" s="133">
        <v>0</v>
      </c>
    </row>
    <row r="4635" spans="1:64" x14ac:dyDescent="0.25">
      <c r="A4635" s="136">
        <v>44249</v>
      </c>
      <c r="B4635" t="s">
        <v>768</v>
      </c>
      <c r="C4635" t="s">
        <v>769</v>
      </c>
      <c r="D4635">
        <v>500</v>
      </c>
      <c r="E4635">
        <v>500</v>
      </c>
      <c r="F4635">
        <v>2.4140000000000001</v>
      </c>
      <c r="G4635">
        <v>168</v>
      </c>
      <c r="H4635">
        <v>13.92</v>
      </c>
      <c r="I4635">
        <v>1375</v>
      </c>
      <c r="J4635">
        <v>2.75</v>
      </c>
      <c r="K4635" s="133">
        <v>3.1807408202142811E-3</v>
      </c>
      <c r="L4635" s="181">
        <v>10</v>
      </c>
      <c r="M4635" s="133">
        <v>2.7921121236353726E-3</v>
      </c>
    </row>
    <row r="4636" spans="1:64" x14ac:dyDescent="0.25">
      <c r="A4636" s="136">
        <v>44249</v>
      </c>
      <c r="B4636" t="s">
        <v>749</v>
      </c>
      <c r="C4636" t="s">
        <v>750</v>
      </c>
      <c r="D4636">
        <v>500</v>
      </c>
      <c r="E4636">
        <v>500</v>
      </c>
      <c r="F4636">
        <v>5.65</v>
      </c>
      <c r="G4636">
        <v>100</v>
      </c>
      <c r="H4636">
        <v>3.54</v>
      </c>
      <c r="I4636">
        <v>2925</v>
      </c>
      <c r="J4636">
        <v>5.85</v>
      </c>
      <c r="K4636" s="133">
        <v>6.7663031993649252E-3</v>
      </c>
      <c r="L4636" s="181">
        <v>65</v>
      </c>
      <c r="M4636" s="133">
        <v>6.534976594258432E-3</v>
      </c>
    </row>
    <row r="4637" spans="1:64" x14ac:dyDescent="0.25">
      <c r="A4637" s="136">
        <v>44249</v>
      </c>
      <c r="B4637" t="s">
        <v>1165</v>
      </c>
      <c r="C4637" t="s">
        <v>1166</v>
      </c>
      <c r="D4637">
        <v>10</v>
      </c>
      <c r="E4637">
        <v>10</v>
      </c>
      <c r="F4637">
        <v>100</v>
      </c>
      <c r="G4637">
        <v>-72</v>
      </c>
      <c r="H4637">
        <v>-7.2</v>
      </c>
      <c r="I4637">
        <v>928</v>
      </c>
      <c r="J4637">
        <v>92.8</v>
      </c>
      <c r="K4637" s="133">
        <v>2.1467108953882566E-3</v>
      </c>
      <c r="L4637" s="181">
        <v>20.89</v>
      </c>
      <c r="M4637" s="133">
        <v>2.3132660510649318E-3</v>
      </c>
    </row>
    <row r="4638" spans="1:64" x14ac:dyDescent="0.25">
      <c r="A4638" s="136">
        <v>44249</v>
      </c>
      <c r="B4638" t="s">
        <v>61</v>
      </c>
      <c r="C4638" t="s">
        <v>136</v>
      </c>
      <c r="D4638">
        <v>4200</v>
      </c>
      <c r="E4638">
        <v>4200</v>
      </c>
      <c r="F4638">
        <v>4.16</v>
      </c>
      <c r="G4638">
        <v>-3066.6</v>
      </c>
      <c r="H4638">
        <v>-17.55</v>
      </c>
      <c r="I4638">
        <v>14406</v>
      </c>
      <c r="J4638">
        <v>3.43</v>
      </c>
      <c r="K4638" s="133">
        <v>3.3324910731641406E-2</v>
      </c>
      <c r="L4638" s="181">
        <v>181.59000000000015</v>
      </c>
      <c r="M4638" s="133">
        <v>4.0418772403837122E-2</v>
      </c>
      <c r="O4638" s="73">
        <v>-873.26402165697971</v>
      </c>
      <c r="P4638" s="182">
        <v>1</v>
      </c>
      <c r="Q4638" s="182">
        <v>500</v>
      </c>
      <c r="R4638" s="46">
        <v>4.26</v>
      </c>
      <c r="S4638" s="46">
        <v>0</v>
      </c>
      <c r="T4638" s="46">
        <v>0</v>
      </c>
      <c r="U4638" s="46">
        <v>0</v>
      </c>
      <c r="V4638" s="46" t="s">
        <v>62</v>
      </c>
      <c r="W4638" s="46">
        <v>500</v>
      </c>
      <c r="X4638" s="46">
        <v>4.26</v>
      </c>
      <c r="AF4638" s="46">
        <v>37</v>
      </c>
      <c r="AG4638" s="46">
        <v>18300</v>
      </c>
      <c r="AH4638" s="46">
        <v>82032</v>
      </c>
      <c r="AI4638" s="46">
        <v>4.4829999999999997</v>
      </c>
      <c r="AJ4638" s="46">
        <v>35</v>
      </c>
      <c r="AK4638" s="46">
        <v>15100</v>
      </c>
      <c r="AL4638" s="46">
        <v>68738.468999999983</v>
      </c>
      <c r="AM4638" s="46">
        <v>4.5519999999999996</v>
      </c>
      <c r="AN4638" s="46" t="s">
        <v>63</v>
      </c>
      <c r="AO4638" s="46">
        <v>3200</v>
      </c>
      <c r="AP4638" s="46">
        <v>13293.531000000001</v>
      </c>
      <c r="AQ4638" s="46">
        <v>4.1539999999999999</v>
      </c>
      <c r="AR4638" s="46">
        <v>1041.9000000000001</v>
      </c>
      <c r="AS4638" s="46">
        <v>39</v>
      </c>
      <c r="AT4638" s="46">
        <v>19300</v>
      </c>
      <c r="AU4638" s="46">
        <v>86192</v>
      </c>
      <c r="AV4638" s="46">
        <v>4.4660000000000002</v>
      </c>
      <c r="AW4638" s="46">
        <v>35</v>
      </c>
      <c r="AX4638" s="46">
        <v>15100</v>
      </c>
      <c r="AY4638" s="46">
        <v>68738.468999999983</v>
      </c>
      <c r="AZ4638" s="46">
        <v>4.5519999999999996</v>
      </c>
      <c r="BA4638" s="46" t="s">
        <v>63</v>
      </c>
      <c r="BB4638" s="46">
        <v>4200</v>
      </c>
      <c r="BC4638" s="46">
        <v>17453.530999999999</v>
      </c>
      <c r="BD4638" s="46">
        <v>4.1559999999999997</v>
      </c>
      <c r="BE4638" s="46">
        <v>1298.5999999999999</v>
      </c>
      <c r="BF4638" s="46">
        <v>4160</v>
      </c>
      <c r="BG4638" s="46">
        <v>8.32</v>
      </c>
      <c r="BH4638" s="46">
        <v>0</v>
      </c>
      <c r="BJ4638">
        <v>4159.9999999999982</v>
      </c>
      <c r="BK4638">
        <v>8.32</v>
      </c>
      <c r="BL4638">
        <v>303.76</v>
      </c>
    </row>
    <row r="4639" spans="1:64" x14ac:dyDescent="0.25">
      <c r="A4639" s="136">
        <v>44249</v>
      </c>
      <c r="B4639" t="s">
        <v>70</v>
      </c>
      <c r="C4639" t="s">
        <v>131</v>
      </c>
      <c r="D4639">
        <v>13280</v>
      </c>
      <c r="E4639">
        <v>13280</v>
      </c>
      <c r="F4639">
        <v>8.11</v>
      </c>
      <c r="G4639">
        <v>-17392.43</v>
      </c>
      <c r="H4639">
        <v>-16.149999999999999</v>
      </c>
      <c r="I4639">
        <v>90304</v>
      </c>
      <c r="J4639">
        <v>6.8</v>
      </c>
      <c r="K4639" s="133">
        <v>0.2088971774753676</v>
      </c>
      <c r="L4639" s="181">
        <v>2289.3199999999997</v>
      </c>
      <c r="M4639" s="133">
        <v>0.24913049533989085</v>
      </c>
      <c r="O4639" s="73">
        <v>-2283.9686438222557</v>
      </c>
      <c r="P4639" s="182">
        <v>0</v>
      </c>
      <c r="Q4639" s="182">
        <v>0</v>
      </c>
      <c r="R4639" s="46">
        <v>0</v>
      </c>
      <c r="S4639" s="46">
        <v>10</v>
      </c>
      <c r="T4639" s="46">
        <v>4000</v>
      </c>
      <c r="U4639" s="46">
        <v>7.016</v>
      </c>
      <c r="V4639" s="46" t="s">
        <v>68</v>
      </c>
      <c r="W4639" s="46">
        <v>4000</v>
      </c>
      <c r="X4639" s="46">
        <v>7.016</v>
      </c>
      <c r="AF4639" s="46">
        <v>254</v>
      </c>
      <c r="AG4639" s="46">
        <v>126380</v>
      </c>
      <c r="AH4639" s="46">
        <v>1325741.0125</v>
      </c>
      <c r="AI4639" s="46">
        <v>10.49</v>
      </c>
      <c r="AJ4639" s="46">
        <v>266</v>
      </c>
      <c r="AK4639" s="46">
        <v>108700</v>
      </c>
      <c r="AL4639" s="46">
        <v>1187289.2749999997</v>
      </c>
      <c r="AM4639" s="46">
        <v>10.923</v>
      </c>
      <c r="AN4639" s="46" t="s">
        <v>63</v>
      </c>
      <c r="AO4639" s="46">
        <v>17680</v>
      </c>
      <c r="AP4639" s="46">
        <v>138451.73800000001</v>
      </c>
      <c r="AQ4639" s="46">
        <v>7.8310000000000004</v>
      </c>
      <c r="AR4639" s="46">
        <v>47067.1</v>
      </c>
      <c r="AS4639" s="46">
        <v>254</v>
      </c>
      <c r="AT4639" s="46">
        <v>126380</v>
      </c>
      <c r="AU4639" s="46">
        <v>1325741.0125</v>
      </c>
      <c r="AV4639" s="46">
        <v>10.49</v>
      </c>
      <c r="AW4639" s="46">
        <v>278</v>
      </c>
      <c r="AX4639" s="46">
        <v>113100</v>
      </c>
      <c r="AY4639" s="46">
        <v>1218040.443</v>
      </c>
      <c r="AZ4639" s="46">
        <v>10.77</v>
      </c>
      <c r="BA4639" s="46" t="s">
        <v>63</v>
      </c>
      <c r="BB4639" s="46">
        <v>13280</v>
      </c>
      <c r="BC4639" s="46">
        <v>107700.57</v>
      </c>
      <c r="BD4639" s="46">
        <v>8.11</v>
      </c>
      <c r="BE4639" s="46">
        <v>31668</v>
      </c>
      <c r="BF4639" s="46">
        <v>0</v>
      </c>
      <c r="BH4639" s="46">
        <v>30751.168000000296</v>
      </c>
      <c r="BI4639">
        <v>7.69</v>
      </c>
      <c r="BJ4639">
        <v>-30751.168000000005</v>
      </c>
      <c r="BK4639">
        <v>-7.69</v>
      </c>
      <c r="BL4639">
        <v>6921.63</v>
      </c>
    </row>
    <row r="4640" spans="1:64" x14ac:dyDescent="0.25">
      <c r="A4640" s="136">
        <v>44249</v>
      </c>
      <c r="B4640" t="s">
        <v>77</v>
      </c>
      <c r="C4640" t="s">
        <v>150</v>
      </c>
      <c r="D4640">
        <v>6500</v>
      </c>
      <c r="E4640">
        <v>6500</v>
      </c>
      <c r="F4640">
        <v>5.1029999999999998</v>
      </c>
      <c r="G4640">
        <v>-18676.34</v>
      </c>
      <c r="H4640">
        <v>-56.31</v>
      </c>
      <c r="I4640">
        <v>14495</v>
      </c>
      <c r="J4640">
        <v>2.23</v>
      </c>
      <c r="K4640" s="133">
        <v>3.3530791410186188E-2</v>
      </c>
      <c r="L4640" s="181">
        <v>988.07999999999811</v>
      </c>
      <c r="M4640" s="133">
        <v>7.6734134690332204E-2</v>
      </c>
      <c r="O4640" s="73">
        <v>-7920.5125452173843</v>
      </c>
      <c r="P4640" s="182">
        <v>7</v>
      </c>
      <c r="Q4640" s="182">
        <v>3900</v>
      </c>
      <c r="R4640" s="46">
        <v>3.6720000000000002</v>
      </c>
      <c r="S4640" s="46">
        <v>1</v>
      </c>
      <c r="T4640" s="46">
        <v>400</v>
      </c>
      <c r="U4640" s="46">
        <v>2.77</v>
      </c>
      <c r="V4640" s="46" t="s">
        <v>62</v>
      </c>
      <c r="W4640" s="46">
        <v>3500</v>
      </c>
      <c r="X4640" s="46">
        <v>3.7749999999999999</v>
      </c>
      <c r="AF4640" s="46">
        <v>72</v>
      </c>
      <c r="AG4640" s="46">
        <v>35400</v>
      </c>
      <c r="AH4640" s="46">
        <v>210550</v>
      </c>
      <c r="AI4640" s="46">
        <v>5.9480000000000004</v>
      </c>
      <c r="AJ4640" s="46">
        <v>72</v>
      </c>
      <c r="AK4640" s="46">
        <v>32000</v>
      </c>
      <c r="AL4640" s="46">
        <v>189713.73600000006</v>
      </c>
      <c r="AM4640" s="46">
        <v>5.9290000000000003</v>
      </c>
      <c r="AN4640" s="46" t="s">
        <v>63</v>
      </c>
      <c r="AO4640" s="46">
        <v>3400</v>
      </c>
      <c r="AP4640" s="46">
        <v>20836.263999999999</v>
      </c>
      <c r="AQ4640" s="46">
        <v>6.1280000000000001</v>
      </c>
      <c r="AR4640" s="46">
        <v>-608</v>
      </c>
      <c r="AS4640" s="46">
        <v>79</v>
      </c>
      <c r="AT4640" s="46">
        <v>39300</v>
      </c>
      <c r="AU4640" s="46">
        <v>224906</v>
      </c>
      <c r="AV4640" s="46">
        <v>5.7229999999999999</v>
      </c>
      <c r="AW4640" s="46">
        <v>74</v>
      </c>
      <c r="AX4640" s="46">
        <v>32800</v>
      </c>
      <c r="AY4640" s="46">
        <v>191729.70800000004</v>
      </c>
      <c r="AZ4640" s="46">
        <v>5.8449999999999998</v>
      </c>
      <c r="BA4640" s="46" t="s">
        <v>63</v>
      </c>
      <c r="BB4640" s="46">
        <v>6500</v>
      </c>
      <c r="BC4640" s="46">
        <v>33176.292000000001</v>
      </c>
      <c r="BD4640" s="46">
        <v>5.1040000000000001</v>
      </c>
      <c r="BE4640" s="46">
        <v>4001.6</v>
      </c>
      <c r="BF4640" s="46">
        <v>14356</v>
      </c>
      <c r="BG4640" s="46">
        <v>3.68</v>
      </c>
      <c r="BH4640" s="46">
        <v>2015.9719999999797</v>
      </c>
      <c r="BI4640">
        <v>5.04</v>
      </c>
      <c r="BJ4640">
        <v>12340.028000000002</v>
      </c>
      <c r="BK4640">
        <v>3.53</v>
      </c>
      <c r="BL4640">
        <v>-272.64999999999998</v>
      </c>
    </row>
    <row r="4641" spans="1:64" x14ac:dyDescent="0.25">
      <c r="A4641" s="136">
        <v>44249</v>
      </c>
      <c r="B4641" t="s">
        <v>79</v>
      </c>
      <c r="C4641" t="s">
        <v>143</v>
      </c>
      <c r="D4641">
        <v>12400</v>
      </c>
      <c r="E4641">
        <v>12000</v>
      </c>
      <c r="F4641">
        <v>9.0440000000000005</v>
      </c>
      <c r="G4641">
        <v>-38607.440000000002</v>
      </c>
      <c r="H4641">
        <v>-34.43</v>
      </c>
      <c r="I4641">
        <v>73532</v>
      </c>
      <c r="J4641">
        <v>5.93</v>
      </c>
      <c r="K4641" s="133">
        <v>0.17009907926690657</v>
      </c>
      <c r="L4641" s="181">
        <v>0</v>
      </c>
      <c r="M4641" s="133">
        <v>0.25940835953743285</v>
      </c>
      <c r="O4641" s="73">
        <v>-6569.1735004225111</v>
      </c>
      <c r="P4641" s="182">
        <v>10</v>
      </c>
      <c r="Q4641" s="182">
        <v>7220</v>
      </c>
      <c r="R4641" s="46">
        <v>4.2720000000000002</v>
      </c>
      <c r="S4641" s="46">
        <v>0</v>
      </c>
      <c r="T4641" s="46">
        <v>0</v>
      </c>
      <c r="U4641" s="46">
        <v>0</v>
      </c>
      <c r="V4641" s="46" t="s">
        <v>62</v>
      </c>
      <c r="W4641" s="46">
        <v>7220</v>
      </c>
      <c r="X4641" s="46">
        <v>4.2720000000000002</v>
      </c>
      <c r="AF4641" s="46">
        <v>110</v>
      </c>
      <c r="AG4641" s="46">
        <v>52500</v>
      </c>
      <c r="AH4641" s="46">
        <v>514698.05490600015</v>
      </c>
      <c r="AI4641" s="46">
        <v>9.8040000000000003</v>
      </c>
      <c r="AJ4641" s="46">
        <v>112</v>
      </c>
      <c r="AK4641" s="46">
        <v>47720</v>
      </c>
      <c r="AL4641" s="46">
        <v>435660.85968400008</v>
      </c>
      <c r="AM4641" s="46">
        <v>9.1300000000000008</v>
      </c>
      <c r="AN4641" s="46" t="s">
        <v>63</v>
      </c>
      <c r="AO4641" s="46">
        <v>4780</v>
      </c>
      <c r="AP4641" s="46">
        <v>79037.195000000007</v>
      </c>
      <c r="AQ4641" s="46">
        <v>16.535</v>
      </c>
      <c r="AR4641" s="46">
        <v>-32163.279999999999</v>
      </c>
      <c r="AS4641" s="46">
        <v>121</v>
      </c>
      <c r="AT4641" s="46">
        <v>60120</v>
      </c>
      <c r="AU4641" s="46">
        <v>547788.09669000027</v>
      </c>
      <c r="AV4641" s="46">
        <v>9.1120000000000001</v>
      </c>
      <c r="AW4641" s="46">
        <v>112</v>
      </c>
      <c r="AX4641" s="46">
        <v>47720</v>
      </c>
      <c r="AY4641" s="46">
        <v>435660.85968400008</v>
      </c>
      <c r="AZ4641" s="46">
        <v>9.1300000000000008</v>
      </c>
      <c r="BA4641" s="46" t="s">
        <v>63</v>
      </c>
      <c r="BB4641" s="46">
        <v>12400</v>
      </c>
      <c r="BC4641" s="46">
        <v>112127.23699999999</v>
      </c>
      <c r="BD4641" s="46">
        <v>9.0429999999999993</v>
      </c>
      <c r="BE4641" s="46">
        <v>858.96</v>
      </c>
      <c r="BF4641" s="46">
        <v>33090.041784000117</v>
      </c>
      <c r="BG4641" s="46">
        <v>4.58</v>
      </c>
      <c r="BH4641" s="46">
        <v>0</v>
      </c>
      <c r="BJ4641">
        <v>33090.041999999987</v>
      </c>
      <c r="BK4641">
        <v>4.58</v>
      </c>
      <c r="BL4641">
        <v>-5423.82</v>
      </c>
    </row>
    <row r="4642" spans="1:64" x14ac:dyDescent="0.25">
      <c r="A4642" s="136">
        <v>44249</v>
      </c>
      <c r="B4642" t="s">
        <v>65</v>
      </c>
      <c r="C4642" t="s">
        <v>127</v>
      </c>
      <c r="D4642">
        <v>28300</v>
      </c>
      <c r="E4642">
        <v>28300</v>
      </c>
      <c r="F4642">
        <v>8.0429999999999993</v>
      </c>
      <c r="G4642">
        <v>-54998.32</v>
      </c>
      <c r="H4642">
        <v>-24.16</v>
      </c>
      <c r="I4642">
        <v>172630</v>
      </c>
      <c r="J4642">
        <v>6.1</v>
      </c>
      <c r="K4642" s="133">
        <v>0.3993391183953392</v>
      </c>
      <c r="L4642" s="181">
        <v>1423.5599999999977</v>
      </c>
      <c r="M4642" s="133">
        <v>0.52656486491694465</v>
      </c>
      <c r="P4642" s="182">
        <v>0</v>
      </c>
      <c r="Q4642" s="182">
        <v>0</v>
      </c>
      <c r="R4642" s="46">
        <v>0</v>
      </c>
      <c r="S4642" s="46">
        <v>20</v>
      </c>
      <c r="T4642" s="46">
        <v>8600</v>
      </c>
      <c r="U4642" s="46">
        <v>7.3840000000000003</v>
      </c>
      <c r="V4642" s="46" t="s">
        <v>68</v>
      </c>
      <c r="W4642" s="46">
        <v>8600</v>
      </c>
      <c r="X4642" s="46">
        <v>7.3840000000000003</v>
      </c>
      <c r="AF4642" s="46">
        <v>9</v>
      </c>
      <c r="AG4642" s="46">
        <v>4000</v>
      </c>
      <c r="AH4642" s="46">
        <v>22575.247999999992</v>
      </c>
      <c r="AI4642" s="46">
        <v>5.6440000000000001</v>
      </c>
      <c r="AJ4642" s="46">
        <v>2</v>
      </c>
      <c r="AK4642" s="46">
        <v>800</v>
      </c>
      <c r="AL4642" s="46">
        <v>4821.1640000000189</v>
      </c>
      <c r="AM4642" s="46">
        <v>6.0259999999999998</v>
      </c>
      <c r="AN4642" s="46" t="s">
        <v>63</v>
      </c>
      <c r="AO4642" s="46">
        <v>3200</v>
      </c>
      <c r="AP4642" s="46">
        <v>17754.083999999999</v>
      </c>
      <c r="AQ4642" s="46">
        <v>5.548</v>
      </c>
      <c r="AR4642" s="46">
        <v>305.60000000000002</v>
      </c>
      <c r="AS4642" s="46">
        <v>9</v>
      </c>
      <c r="AT4642" s="46">
        <v>4000</v>
      </c>
      <c r="AU4642" s="46">
        <v>22575.247999999992</v>
      </c>
      <c r="AV4642" s="46">
        <v>5.6440000000000001</v>
      </c>
      <c r="AW4642" s="46">
        <v>2</v>
      </c>
      <c r="AX4642" s="46">
        <v>800</v>
      </c>
      <c r="AY4642" s="46">
        <v>4821.1640000000189</v>
      </c>
      <c r="AZ4642" s="46">
        <v>6.0259999999999998</v>
      </c>
      <c r="BA4642" s="46" t="s">
        <v>63</v>
      </c>
      <c r="BB4642" s="46">
        <v>3200</v>
      </c>
      <c r="BC4642" s="46">
        <v>17754.083999999999</v>
      </c>
      <c r="BD4642" s="46">
        <v>5.548</v>
      </c>
      <c r="BE4642" s="46">
        <v>305.60000000000002</v>
      </c>
      <c r="BF4642" s="46">
        <v>0</v>
      </c>
      <c r="BH4642" s="46">
        <v>0</v>
      </c>
      <c r="BI4642">
        <v>0</v>
      </c>
      <c r="BJ4642">
        <v>0</v>
      </c>
      <c r="BK4642">
        <v>0</v>
      </c>
      <c r="BL4642">
        <v>50.1</v>
      </c>
    </row>
    <row r="4643" spans="1:64" x14ac:dyDescent="0.25">
      <c r="A4643" s="136">
        <v>44249</v>
      </c>
      <c r="B4643" t="s">
        <v>835</v>
      </c>
      <c r="C4643" t="s">
        <v>839</v>
      </c>
      <c r="I4643">
        <v>26972.240000000002</v>
      </c>
      <c r="K4643" s="133">
        <v>6.2393967113175602E-2</v>
      </c>
      <c r="L4643" s="181">
        <v>0</v>
      </c>
      <c r="M4643" s="133">
        <v>1.1635728236856607E-5</v>
      </c>
    </row>
  </sheetData>
  <autoFilter ref="A1:J4190"/>
  <phoneticPr fontId="16" type="noConversion"/>
  <conditionalFormatting sqref="G598:G612">
    <cfRule type="colorScale" priority="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602:K3616">
    <cfRule type="dataBar" priority="6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{F3351E44-C686-4B49-9052-DD9D39F24537}</x14:id>
        </ext>
      </extLst>
    </cfRule>
  </conditionalFormatting>
  <conditionalFormatting sqref="M1:M4431 M4449:M1048576">
    <cfRule type="dataBar" priority="6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{0540F3E3-8D93-4A43-A82F-01F8BC0F77FE}</x14:id>
        </ext>
      </extLst>
    </cfRule>
  </conditionalFormatting>
  <conditionalFormatting sqref="G3604:G4431 G1:G3601 G4449:G1048576">
    <cfRule type="colorScale" priority="7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617:K4431 K1:K3601 K4449:K1048576">
    <cfRule type="dataBar" priority="7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{766D32CE-0733-4CAE-A3FA-2067D03FA59A}</x14:id>
        </ext>
      </extLst>
    </cfRule>
  </conditionalFormatting>
  <conditionalFormatting sqref="G3604:G4431 G1:G597 G613:G3601 G4449:G1048576">
    <cfRule type="colorScale" priority="7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M4432:M4448">
    <cfRule type="dataBar" priority="8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{320154A1-CFCD-4BCF-8BE0-79300AA46C7F}</x14:id>
        </ext>
      </extLst>
    </cfRule>
  </conditionalFormatting>
  <conditionalFormatting sqref="K4432:K4448">
    <cfRule type="dataBar" priority="8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{8B67F949-4D33-4908-8C3F-588F5AB0326D}</x14:id>
        </ext>
      </extLst>
    </cfRule>
  </conditionalFormatting>
  <conditionalFormatting sqref="G4432:G4448">
    <cfRule type="colorScale" priority="8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69930555555555596" right="0.69930555555555596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3351E44-C686-4B49-9052-DD9D39F2453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K3602:K3616</xm:sqref>
        </x14:conditionalFormatting>
        <x14:conditionalFormatting xmlns:xm="http://schemas.microsoft.com/office/excel/2006/main">
          <x14:cfRule type="dataBar" id="{0540F3E3-8D93-4A43-A82F-01F8BC0F77FE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M1:M4431 M4449:M1048576</xm:sqref>
        </x14:conditionalFormatting>
        <x14:conditionalFormatting xmlns:xm="http://schemas.microsoft.com/office/excel/2006/main">
          <x14:cfRule type="dataBar" id="{766D32CE-0733-4CAE-A3FA-2067D03FA59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K3617:K4431 K1:K3601 K4449:K1048576</xm:sqref>
        </x14:conditionalFormatting>
        <x14:conditionalFormatting xmlns:xm="http://schemas.microsoft.com/office/excel/2006/main">
          <x14:cfRule type="dataBar" id="{320154A1-CFCD-4BCF-8BE0-79300AA46C7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M4432:M4448</xm:sqref>
        </x14:conditionalFormatting>
        <x14:conditionalFormatting xmlns:xm="http://schemas.microsoft.com/office/excel/2006/main">
          <x14:cfRule type="dataBar" id="{8B67F949-4D33-4908-8C3F-588F5AB0326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K4432:K4448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G260"/>
  <sheetViews>
    <sheetView workbookViewId="0">
      <selection activeCell="H15" sqref="H15"/>
    </sheetView>
  </sheetViews>
  <sheetFormatPr defaultRowHeight="14.4" x14ac:dyDescent="0.25"/>
  <cols>
    <col min="1" max="1" width="11.77734375" style="9" bestFit="1" customWidth="1"/>
    <col min="2" max="2" width="13.88671875" style="1" bestFit="1" customWidth="1"/>
    <col min="4" max="5" width="9" bestFit="1" customWidth="1"/>
    <col min="6" max="6" width="14.44140625" bestFit="1" customWidth="1"/>
    <col min="7" max="7" width="15.109375" customWidth="1"/>
    <col min="8" max="8" width="14.5546875" bestFit="1" customWidth="1"/>
    <col min="9" max="10" width="14.5546875" style="1" bestFit="1" customWidth="1"/>
    <col min="11" max="11" width="11.6640625" style="1" bestFit="1" customWidth="1"/>
    <col min="12" max="12" width="15.21875" style="1" customWidth="1"/>
    <col min="13" max="14" width="12.33203125" style="1" bestFit="1" customWidth="1"/>
    <col min="15" max="15" width="12.77734375" style="1" customWidth="1"/>
    <col min="16" max="16" width="15.6640625" style="1" bestFit="1" customWidth="1"/>
    <col min="17" max="17" width="14.5546875" style="1" bestFit="1" customWidth="1"/>
    <col min="18" max="18" width="9" style="1" bestFit="1" customWidth="1"/>
    <col min="19" max="20" width="14.44140625" style="1" bestFit="1" customWidth="1"/>
    <col min="21" max="21" width="8.88671875" style="1"/>
    <col min="22" max="22" width="19.109375" style="1" bestFit="1" customWidth="1"/>
    <col min="23" max="26" width="8.88671875" style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3" ht="15" thickBot="1" x14ac:dyDescent="0.3">
      <c r="A1" s="9" t="s">
        <v>3</v>
      </c>
      <c r="B1" s="360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360" t="s">
        <v>7</v>
      </c>
      <c r="J1" s="360" t="s">
        <v>157</v>
      </c>
      <c r="K1" s="360" t="s">
        <v>5</v>
      </c>
      <c r="L1" s="360" t="s">
        <v>158</v>
      </c>
      <c r="M1" s="360" t="s">
        <v>1185</v>
      </c>
      <c r="N1" s="360" t="s">
        <v>1186</v>
      </c>
      <c r="O1" s="360" t="s">
        <v>1187</v>
      </c>
      <c r="P1" s="361" t="s">
        <v>1188</v>
      </c>
      <c r="Q1" s="360" t="s">
        <v>163</v>
      </c>
      <c r="R1" s="360" t="s">
        <v>1189</v>
      </c>
      <c r="S1" s="360" t="s">
        <v>1190</v>
      </c>
      <c r="T1" s="360" t="s">
        <v>166</v>
      </c>
      <c r="U1" s="360" t="s">
        <v>167</v>
      </c>
      <c r="V1" s="360" t="s">
        <v>17</v>
      </c>
      <c r="W1" s="361" t="s">
        <v>168</v>
      </c>
      <c r="X1" s="361" t="s">
        <v>169</v>
      </c>
      <c r="Y1" s="361" t="s">
        <v>170</v>
      </c>
      <c r="Z1" s="361" t="s">
        <v>171</v>
      </c>
      <c r="AA1" s="360" t="s">
        <v>106</v>
      </c>
      <c r="AB1" s="362" t="s">
        <v>172</v>
      </c>
      <c r="AC1" s="363" t="s">
        <v>50</v>
      </c>
      <c r="AD1" s="363" t="s">
        <v>173</v>
      </c>
    </row>
    <row r="2" spans="1:33" s="1" customFormat="1" ht="15" thickTop="1" x14ac:dyDescent="0.25">
      <c r="A2" s="372">
        <v>44168</v>
      </c>
      <c r="B2" s="374" t="s">
        <v>1191</v>
      </c>
      <c r="C2" s="374" t="s">
        <v>63</v>
      </c>
      <c r="D2" s="374">
        <v>400</v>
      </c>
      <c r="E2" s="374">
        <v>6.88</v>
      </c>
      <c r="F2" s="373">
        <v>26700</v>
      </c>
      <c r="G2" s="375">
        <v>8.1430371722846537</v>
      </c>
      <c r="H2" s="376">
        <v>217419.09250000026</v>
      </c>
      <c r="I2" s="376">
        <v>-33723.092500000261</v>
      </c>
      <c r="J2" s="377">
        <v>-0.1551063989470024</v>
      </c>
      <c r="K2" s="376">
        <v>183696</v>
      </c>
      <c r="L2" s="376">
        <v>-1583</v>
      </c>
      <c r="M2" s="378"/>
      <c r="N2" s="378"/>
      <c r="O2" s="378"/>
      <c r="P2" s="379"/>
      <c r="Q2" s="378"/>
      <c r="R2" s="378"/>
      <c r="S2" s="378"/>
      <c r="T2" s="378"/>
      <c r="U2" s="378"/>
      <c r="V2" s="378"/>
      <c r="W2" s="379"/>
      <c r="X2" s="379"/>
      <c r="Y2" s="379"/>
      <c r="Z2" s="377"/>
      <c r="AA2" s="376"/>
      <c r="AB2" s="380"/>
      <c r="AC2" s="381"/>
      <c r="AD2" s="381"/>
    </row>
    <row r="3" spans="1:33" s="1" customFormat="1" x14ac:dyDescent="0.25">
      <c r="A3" s="372">
        <v>44175</v>
      </c>
      <c r="B3" s="374"/>
      <c r="C3" s="374" t="s">
        <v>63</v>
      </c>
      <c r="D3" s="374">
        <v>400</v>
      </c>
      <c r="E3" s="374">
        <v>6.72</v>
      </c>
      <c r="F3" s="373">
        <v>27500</v>
      </c>
      <c r="G3" s="375">
        <v>8.1038942727272829</v>
      </c>
      <c r="H3" s="376">
        <v>222857.09250000026</v>
      </c>
      <c r="I3" s="376">
        <v>-38057.092500000261</v>
      </c>
      <c r="J3" s="377">
        <v>-0.17076904339492915</v>
      </c>
      <c r="K3" s="376">
        <v>184800</v>
      </c>
      <c r="L3" s="376">
        <v>-3528</v>
      </c>
      <c r="M3" s="378"/>
      <c r="N3" s="378"/>
      <c r="O3" s="378"/>
      <c r="P3" s="379"/>
      <c r="Q3" s="376">
        <v>-5438</v>
      </c>
      <c r="R3" s="376">
        <v>5</v>
      </c>
      <c r="S3" s="376"/>
      <c r="T3" s="376"/>
      <c r="U3" s="376"/>
      <c r="V3" s="376"/>
      <c r="W3" s="375"/>
      <c r="X3" s="375"/>
      <c r="Y3" s="375"/>
      <c r="Z3" s="377"/>
      <c r="AA3" s="376"/>
      <c r="AB3" s="380"/>
      <c r="AC3" s="381"/>
      <c r="AD3" s="381"/>
    </row>
    <row r="4" spans="1:33" s="1" customFormat="1" x14ac:dyDescent="0.25">
      <c r="A4" s="372">
        <v>44215</v>
      </c>
      <c r="B4" s="374"/>
      <c r="C4" s="374" t="s">
        <v>63</v>
      </c>
      <c r="D4" s="374">
        <v>400</v>
      </c>
      <c r="E4" s="374">
        <v>6.41</v>
      </c>
      <c r="F4" s="373">
        <v>27100</v>
      </c>
      <c r="G4" s="375">
        <v>8.1275710885608952</v>
      </c>
      <c r="H4" s="376">
        <v>220257.17650000026</v>
      </c>
      <c r="I4" s="376">
        <v>-46546.176500000263</v>
      </c>
      <c r="J4" s="377">
        <v>-0.21132649223804156</v>
      </c>
      <c r="K4" s="376">
        <v>173711</v>
      </c>
      <c r="L4" s="376">
        <v>3017.435999999987</v>
      </c>
      <c r="M4" s="378"/>
      <c r="N4" s="378"/>
      <c r="O4" s="378"/>
      <c r="P4" s="379"/>
      <c r="Q4" s="376">
        <v>2599.9159999999974</v>
      </c>
      <c r="R4" s="376">
        <v>7.5640000000000001</v>
      </c>
      <c r="S4" s="376"/>
      <c r="T4" s="376"/>
      <c r="U4" s="376"/>
      <c r="V4" s="376"/>
      <c r="W4" s="375"/>
      <c r="X4" s="375"/>
      <c r="Y4" s="375"/>
      <c r="Z4" s="377"/>
      <c r="AA4" s="376"/>
      <c r="AB4" s="380"/>
      <c r="AC4" s="381"/>
      <c r="AD4" s="381"/>
    </row>
    <row r="5" spans="1:33" s="1" customFormat="1" x14ac:dyDescent="0.25">
      <c r="A5" s="372">
        <v>44217</v>
      </c>
      <c r="B5" s="374"/>
      <c r="C5" s="374" t="s">
        <v>63</v>
      </c>
      <c r="D5" s="374">
        <v>400</v>
      </c>
      <c r="E5" s="374">
        <v>6.3</v>
      </c>
      <c r="F5" s="373">
        <v>27500</v>
      </c>
      <c r="G5" s="375">
        <v>8.1011700545454648</v>
      </c>
      <c r="H5" s="376">
        <v>222782.17650000026</v>
      </c>
      <c r="I5" s="376">
        <v>-49532.176500000263</v>
      </c>
      <c r="J5" s="377">
        <v>-0.22233455691191806</v>
      </c>
      <c r="K5" s="376">
        <v>173250</v>
      </c>
      <c r="L5" s="376">
        <v>-2986</v>
      </c>
      <c r="M5" s="378"/>
      <c r="N5" s="378"/>
      <c r="O5" s="378"/>
      <c r="P5" s="379"/>
      <c r="Q5" s="376">
        <v>-2525</v>
      </c>
      <c r="R5" s="376">
        <v>5</v>
      </c>
      <c r="S5" s="376"/>
      <c r="T5" s="376"/>
      <c r="U5" s="376"/>
      <c r="V5" s="376"/>
      <c r="W5" s="375"/>
      <c r="X5" s="375"/>
      <c r="Y5" s="375"/>
      <c r="Z5" s="377"/>
      <c r="AA5" s="376"/>
      <c r="AB5" s="380"/>
      <c r="AC5" s="381"/>
      <c r="AD5" s="381"/>
    </row>
    <row r="6" spans="1:33" s="1" customFormat="1" x14ac:dyDescent="0.25">
      <c r="A6" s="372">
        <v>44221</v>
      </c>
      <c r="B6" s="374"/>
      <c r="C6" s="374" t="s">
        <v>63</v>
      </c>
      <c r="D6" s="374">
        <v>400</v>
      </c>
      <c r="E6" s="374">
        <v>6.14</v>
      </c>
      <c r="F6" s="373">
        <v>27900</v>
      </c>
      <c r="G6" s="375">
        <v>8.0732321326164964</v>
      </c>
      <c r="H6" s="376">
        <v>225243.17650000026</v>
      </c>
      <c r="I6" s="376">
        <v>-53937.176500000263</v>
      </c>
      <c r="J6" s="377">
        <v>-0.23946197766395022</v>
      </c>
      <c r="K6" s="376">
        <v>171306</v>
      </c>
      <c r="L6" s="376">
        <v>-4405</v>
      </c>
      <c r="M6" s="378"/>
      <c r="N6" s="378"/>
      <c r="O6" s="378"/>
      <c r="P6" s="379"/>
      <c r="Q6" s="376">
        <v>-2461</v>
      </c>
      <c r="R6" s="376">
        <v>5</v>
      </c>
      <c r="S6" s="376"/>
      <c r="T6" s="376"/>
      <c r="U6" s="376"/>
      <c r="V6" s="376"/>
      <c r="W6" s="375"/>
      <c r="X6" s="375"/>
      <c r="Y6" s="375"/>
      <c r="Z6" s="377"/>
      <c r="AA6" s="376"/>
      <c r="AB6" s="380"/>
      <c r="AC6" s="381"/>
      <c r="AD6" s="381"/>
    </row>
    <row r="7" spans="1:33" s="1" customFormat="1" x14ac:dyDescent="0.25">
      <c r="A7" s="372">
        <v>44225</v>
      </c>
      <c r="B7" s="403"/>
      <c r="C7" s="374" t="s">
        <v>63</v>
      </c>
      <c r="D7" s="374">
        <v>400</v>
      </c>
      <c r="E7" s="374">
        <v>6.09</v>
      </c>
      <c r="F7" s="373">
        <v>28300</v>
      </c>
      <c r="G7" s="375">
        <v>8.0453772614841075</v>
      </c>
      <c r="H7" s="376">
        <v>227684.17650000026</v>
      </c>
      <c r="I7" s="376">
        <v>-55337.176500000263</v>
      </c>
      <c r="J7" s="377">
        <v>-0.2430435761968737</v>
      </c>
      <c r="K7" s="376">
        <v>172347</v>
      </c>
      <c r="L7" s="376">
        <v>-1400</v>
      </c>
      <c r="M7" s="378"/>
      <c r="N7" s="378"/>
      <c r="O7" s="378"/>
      <c r="P7" s="379"/>
      <c r="Q7" s="376">
        <v>-2441</v>
      </c>
      <c r="R7" s="376">
        <v>5</v>
      </c>
      <c r="S7" s="376"/>
      <c r="T7" s="376"/>
      <c r="U7" s="376"/>
      <c r="V7" s="376"/>
      <c r="W7" s="375"/>
      <c r="X7" s="375"/>
      <c r="Y7" s="375"/>
      <c r="Z7" s="377"/>
      <c r="AA7" s="376"/>
      <c r="AB7" s="380"/>
      <c r="AC7" s="381"/>
      <c r="AD7" s="381"/>
    </row>
    <row r="8" spans="1:33" s="1" customFormat="1" x14ac:dyDescent="0.25">
      <c r="A8" s="372">
        <v>44229</v>
      </c>
      <c r="B8" s="403" t="s">
        <v>1196</v>
      </c>
      <c r="C8" s="374" t="s">
        <v>63</v>
      </c>
      <c r="D8" s="374">
        <v>400</v>
      </c>
      <c r="E8" s="374">
        <v>5.99</v>
      </c>
      <c r="F8" s="373">
        <v>28700</v>
      </c>
      <c r="G8" s="375">
        <v>8.0169051045296253</v>
      </c>
      <c r="H8" s="376">
        <v>230085.17650000026</v>
      </c>
      <c r="I8" s="376">
        <v>-58172.176500000263</v>
      </c>
      <c r="J8" s="377">
        <v>-0.25282887574463181</v>
      </c>
      <c r="K8" s="376">
        <v>171913</v>
      </c>
      <c r="L8" s="376">
        <v>-2835</v>
      </c>
      <c r="M8" s="378"/>
      <c r="N8" s="378"/>
      <c r="O8" s="378"/>
      <c r="P8" s="379"/>
      <c r="Q8" s="376">
        <v>-2401</v>
      </c>
      <c r="R8" s="376">
        <v>5</v>
      </c>
      <c r="S8" s="376"/>
      <c r="T8" s="376"/>
      <c r="U8" s="376"/>
      <c r="V8" s="376"/>
      <c r="W8" s="375"/>
      <c r="X8" s="375"/>
      <c r="Y8" s="375"/>
      <c r="Z8" s="377"/>
      <c r="AA8" s="376"/>
      <c r="AB8" s="380"/>
      <c r="AC8" s="381"/>
      <c r="AD8" s="381"/>
    </row>
    <row r="9" spans="1:33" s="1" customFormat="1" x14ac:dyDescent="0.25">
      <c r="A9" s="372">
        <v>44231</v>
      </c>
      <c r="B9" s="374"/>
      <c r="C9" s="374" t="s">
        <v>63</v>
      </c>
      <c r="D9" s="374">
        <v>400</v>
      </c>
      <c r="E9" s="374">
        <v>5.83</v>
      </c>
      <c r="F9" s="373">
        <v>28700</v>
      </c>
      <c r="G9" s="375">
        <v>8.0183104006968726</v>
      </c>
      <c r="H9" s="376">
        <v>230125.50850000026</v>
      </c>
      <c r="I9" s="376">
        <v>-62804.508500000258</v>
      </c>
      <c r="J9" s="377">
        <v>-0.2729141541473234</v>
      </c>
      <c r="K9" s="376">
        <v>167321</v>
      </c>
      <c r="L9" s="376">
        <v>-2044.3319999999949</v>
      </c>
      <c r="M9" s="378"/>
      <c r="N9" s="378"/>
      <c r="O9" s="378"/>
      <c r="P9" s="379"/>
      <c r="Q9" s="376">
        <v>-40.331999999994878</v>
      </c>
      <c r="R9" s="376">
        <v>7.3319999999999999</v>
      </c>
      <c r="S9" s="376"/>
      <c r="T9" s="376"/>
      <c r="U9" s="376"/>
      <c r="V9" s="376"/>
      <c r="W9" s="375"/>
      <c r="X9" s="375"/>
      <c r="Y9" s="375"/>
      <c r="Z9" s="377"/>
      <c r="AA9" s="376"/>
      <c r="AB9" s="380"/>
      <c r="AC9" s="381"/>
      <c r="AD9" s="381"/>
    </row>
    <row r="10" spans="1:33" s="1" customFormat="1" x14ac:dyDescent="0.25">
      <c r="A10" s="382">
        <v>44231</v>
      </c>
      <c r="B10" s="374"/>
      <c r="C10" s="374" t="s">
        <v>63</v>
      </c>
      <c r="D10" s="374">
        <v>800</v>
      </c>
      <c r="E10" s="374">
        <v>5.83</v>
      </c>
      <c r="F10" s="373">
        <v>29100</v>
      </c>
      <c r="G10" s="383">
        <v>7.9875557560137542</v>
      </c>
      <c r="H10" s="384">
        <f>F10*G10</f>
        <v>232437.87250000026</v>
      </c>
      <c r="I10" s="384">
        <f>K10-H10</f>
        <v>-62784.87250000026</v>
      </c>
      <c r="J10" s="385">
        <v>-0.2600990615244948</v>
      </c>
      <c r="K10" s="384">
        <f t="shared" ref="K10" si="0">F10*E10</f>
        <v>169653</v>
      </c>
      <c r="L10" s="384">
        <v>-5</v>
      </c>
      <c r="M10" s="386"/>
      <c r="N10" s="386"/>
      <c r="O10" s="386"/>
      <c r="P10" s="387"/>
      <c r="Q10" s="384">
        <v>-4669</v>
      </c>
      <c r="R10" s="384">
        <v>5</v>
      </c>
      <c r="S10" s="384">
        <f>11.61</f>
        <v>11.61</v>
      </c>
      <c r="T10" s="384"/>
      <c r="U10" s="384"/>
      <c r="V10" s="384"/>
      <c r="W10" s="383"/>
      <c r="X10" s="383"/>
      <c r="Y10" s="383"/>
      <c r="Z10" s="385"/>
      <c r="AA10" s="384"/>
      <c r="AB10" s="388"/>
      <c r="AC10" s="381"/>
      <c r="AD10" s="381"/>
    </row>
    <row r="11" spans="1:33" s="70" customFormat="1" x14ac:dyDescent="0.25">
      <c r="A11" s="174">
        <v>44246</v>
      </c>
      <c r="B11" s="367" t="s">
        <v>1195</v>
      </c>
      <c r="C11" s="315" t="s">
        <v>69</v>
      </c>
      <c r="D11" s="64">
        <v>400</v>
      </c>
      <c r="E11" s="64">
        <v>6</v>
      </c>
      <c r="F11" s="16">
        <f t="shared" ref="F11" si="1">IF(C11="买",F10+D11,IF(C11="卖",F10-D11,F10))</f>
        <v>28700</v>
      </c>
      <c r="G11" s="17">
        <f t="shared" ref="G11" si="2">H11/F11</f>
        <v>8.0155147212543643</v>
      </c>
      <c r="H11" s="15">
        <f>IF(C11="买",H10+D11*E11+R11+S11,IF(C11="卖",H10-D11*E11+R11+S11,H10))</f>
        <v>230045.27250000025</v>
      </c>
      <c r="I11" s="15">
        <f t="shared" ref="I11" si="3">-H11+K11</f>
        <v>-57845.272500000254</v>
      </c>
      <c r="J11" s="33">
        <f t="shared" ref="J11" si="4">(E11-G11)/G11</f>
        <v>-0.25145168979727756</v>
      </c>
      <c r="K11" s="15">
        <f>IF(C11="买",F11*E11,IF(C11="卖",F11*E11,K10))</f>
        <v>172200</v>
      </c>
      <c r="L11" s="15">
        <f t="shared" ref="L11" si="5">I11-I10</f>
        <v>4939.6000000000058</v>
      </c>
      <c r="M11" s="15"/>
      <c r="N11" s="15"/>
      <c r="O11" s="15"/>
      <c r="P11" s="17"/>
      <c r="Q11" s="31">
        <f t="shared" ref="Q11" si="6">(H11-H10)*-1</f>
        <v>2392.6000000000058</v>
      </c>
      <c r="R11" s="34">
        <f t="shared" ref="R11" si="7">commission($B$2,C11,D11,E11)</f>
        <v>7.4</v>
      </c>
      <c r="S11" s="273"/>
      <c r="T11" s="273"/>
      <c r="U11" s="273"/>
      <c r="V11" s="22"/>
      <c r="W11" s="272"/>
      <c r="X11" s="272"/>
      <c r="Y11" s="272"/>
      <c r="Z11" s="274"/>
      <c r="AA11" s="31"/>
      <c r="AB11" s="322"/>
      <c r="AC11" s="237"/>
      <c r="AD11" s="237"/>
      <c r="AE11" s="165"/>
      <c r="AF11" s="165"/>
      <c r="AG11" s="165"/>
    </row>
    <row r="12" spans="1:33" s="70" customFormat="1" x14ac:dyDescent="0.25">
      <c r="A12" s="174">
        <v>44249</v>
      </c>
      <c r="B12" s="404" t="s">
        <v>1197</v>
      </c>
      <c r="C12" s="315" t="s">
        <v>69</v>
      </c>
      <c r="D12" s="64">
        <v>400</v>
      </c>
      <c r="E12" s="64">
        <v>6.09</v>
      </c>
      <c r="F12" s="16">
        <f t="shared" ref="F12:F24" si="8">IF(C12="买",F11+D12,IF(C12="卖",F11-D12,F11))</f>
        <v>28300</v>
      </c>
      <c r="G12" s="17">
        <f t="shared" ref="G12:G24" si="9">H12/F12</f>
        <v>8.0429932332155563</v>
      </c>
      <c r="H12" s="15">
        <f t="shared" ref="H12:H24" si="10">IF(C12="买",H11+D12*E12+R12+S12,IF(C12="卖",H11-D12*E12+R12+S12,H11))</f>
        <v>227616.70850000024</v>
      </c>
      <c r="I12" s="15">
        <f t="shared" ref="I12:I24" si="11">-H12+K12</f>
        <v>-55269.708500000241</v>
      </c>
      <c r="J12" s="33">
        <f t="shared" ref="J12:J24" si="12">(E12-G12)/G12</f>
        <v>-0.24281920630620218</v>
      </c>
      <c r="K12" s="15">
        <f t="shared" ref="K12:K24" si="13">IF(C12="买",F12*E12,IF(C12="卖",F12*E12,K11))</f>
        <v>172347</v>
      </c>
      <c r="L12" s="15">
        <f t="shared" ref="L12:L24" si="14">I12-I11</f>
        <v>2575.564000000013</v>
      </c>
      <c r="M12" s="15"/>
      <c r="N12" s="15"/>
      <c r="O12" s="15"/>
      <c r="P12" s="17"/>
      <c r="Q12" s="31">
        <f t="shared" ref="Q12:Q24" si="15">(H12-H11)*-1</f>
        <v>2428.564000000013</v>
      </c>
      <c r="R12" s="34">
        <f t="shared" ref="R12:R24" si="16">commission($B$2,C12,D12,E12)</f>
        <v>7.4359999999999999</v>
      </c>
      <c r="S12" s="273"/>
      <c r="T12" s="273"/>
      <c r="U12" s="273"/>
      <c r="V12" s="22"/>
      <c r="W12" s="272"/>
      <c r="X12" s="272"/>
      <c r="Y12" s="272"/>
      <c r="Z12" s="274"/>
      <c r="AA12" s="31"/>
      <c r="AB12" s="322"/>
      <c r="AC12" s="237"/>
      <c r="AD12" s="237"/>
      <c r="AE12" s="165"/>
      <c r="AF12" s="165"/>
      <c r="AG12" s="165"/>
    </row>
    <row r="13" spans="1:33" s="70" customFormat="1" x14ac:dyDescent="0.25">
      <c r="A13" s="174"/>
      <c r="B13" s="389"/>
      <c r="C13" s="315" t="s">
        <v>69</v>
      </c>
      <c r="D13" s="64">
        <v>400</v>
      </c>
      <c r="E13" s="64">
        <f t="shared" ref="E13:E24" si="17">E12+0.08</f>
        <v>6.17</v>
      </c>
      <c r="F13" s="16">
        <f t="shared" si="8"/>
        <v>27900</v>
      </c>
      <c r="G13" s="17">
        <f t="shared" si="9"/>
        <v>8.0701138530466032</v>
      </c>
      <c r="H13" s="15">
        <f t="shared" si="10"/>
        <v>225156.17650000023</v>
      </c>
      <c r="I13" s="15">
        <f t="shared" si="11"/>
        <v>-53013.176500000234</v>
      </c>
      <c r="J13" s="33">
        <f t="shared" si="12"/>
        <v>-0.2354506872699545</v>
      </c>
      <c r="K13" s="15">
        <f t="shared" si="13"/>
        <v>172143</v>
      </c>
      <c r="L13" s="15">
        <f t="shared" si="14"/>
        <v>2256.5320000000065</v>
      </c>
      <c r="M13" s="15"/>
      <c r="N13" s="15"/>
      <c r="O13" s="15"/>
      <c r="P13" s="17"/>
      <c r="Q13" s="31">
        <f t="shared" si="15"/>
        <v>2460.5320000000065</v>
      </c>
      <c r="R13" s="34">
        <f t="shared" si="16"/>
        <v>7.468</v>
      </c>
      <c r="S13" s="273"/>
      <c r="T13" s="273"/>
      <c r="U13" s="273"/>
      <c r="V13" s="22"/>
      <c r="W13" s="272"/>
      <c r="X13" s="272"/>
      <c r="Y13" s="272"/>
      <c r="Z13" s="274"/>
      <c r="AA13" s="31"/>
      <c r="AB13" s="322"/>
      <c r="AC13" s="237"/>
      <c r="AD13" s="237"/>
      <c r="AE13" s="165"/>
      <c r="AF13" s="165"/>
      <c r="AG13" s="165"/>
    </row>
    <row r="14" spans="1:33" s="70" customFormat="1" x14ac:dyDescent="0.25">
      <c r="A14" s="174"/>
      <c r="B14" s="389"/>
      <c r="C14" s="315" t="s">
        <v>69</v>
      </c>
      <c r="D14" s="64">
        <v>400</v>
      </c>
      <c r="E14" s="64">
        <f t="shared" si="17"/>
        <v>6.25</v>
      </c>
      <c r="F14" s="16">
        <f t="shared" si="8"/>
        <v>27500</v>
      </c>
      <c r="G14" s="17">
        <f t="shared" si="9"/>
        <v>8.096860963636372</v>
      </c>
      <c r="H14" s="15">
        <f t="shared" si="10"/>
        <v>222663.67650000023</v>
      </c>
      <c r="I14" s="15">
        <f t="shared" si="11"/>
        <v>-50788.676500000234</v>
      </c>
      <c r="J14" s="33">
        <f t="shared" si="12"/>
        <v>-0.22809592160848102</v>
      </c>
      <c r="K14" s="15">
        <f t="shared" si="13"/>
        <v>171875</v>
      </c>
      <c r="L14" s="15">
        <f t="shared" si="14"/>
        <v>2224.5</v>
      </c>
      <c r="M14" s="15"/>
      <c r="N14" s="15"/>
      <c r="O14" s="15"/>
      <c r="P14" s="17"/>
      <c r="Q14" s="31">
        <f t="shared" si="15"/>
        <v>2492.5</v>
      </c>
      <c r="R14" s="34">
        <f t="shared" si="16"/>
        <v>7.5</v>
      </c>
      <c r="S14" s="273"/>
      <c r="T14" s="273"/>
      <c r="U14" s="273"/>
      <c r="V14" s="22"/>
      <c r="W14" s="272"/>
      <c r="X14" s="272"/>
      <c r="Y14" s="272"/>
      <c r="Z14" s="274"/>
      <c r="AA14" s="31"/>
      <c r="AB14" s="322"/>
      <c r="AC14" s="237"/>
      <c r="AD14" s="237"/>
      <c r="AE14" s="165"/>
      <c r="AF14" s="165"/>
      <c r="AG14" s="165"/>
    </row>
    <row r="15" spans="1:33" s="70" customFormat="1" x14ac:dyDescent="0.25">
      <c r="A15" s="174"/>
      <c r="B15" s="389"/>
      <c r="C15" s="315" t="s">
        <v>69</v>
      </c>
      <c r="D15" s="64">
        <v>400</v>
      </c>
      <c r="E15" s="64">
        <f t="shared" si="17"/>
        <v>6.33</v>
      </c>
      <c r="F15" s="16">
        <f t="shared" si="8"/>
        <v>27100</v>
      </c>
      <c r="G15" s="17">
        <f t="shared" si="9"/>
        <v>8.1232180258302673</v>
      </c>
      <c r="H15" s="15">
        <f t="shared" si="10"/>
        <v>220139.20850000024</v>
      </c>
      <c r="I15" s="15">
        <f t="shared" si="11"/>
        <v>-48596.208500000241</v>
      </c>
      <c r="J15" s="33">
        <f t="shared" si="12"/>
        <v>-0.22075217236914971</v>
      </c>
      <c r="K15" s="15">
        <f t="shared" si="13"/>
        <v>171543</v>
      </c>
      <c r="L15" s="15">
        <f t="shared" si="14"/>
        <v>2192.4679999999935</v>
      </c>
      <c r="M15" s="15"/>
      <c r="N15" s="15"/>
      <c r="O15" s="15"/>
      <c r="P15" s="17"/>
      <c r="Q15" s="31">
        <f t="shared" si="15"/>
        <v>2524.4679999999935</v>
      </c>
      <c r="R15" s="34">
        <f t="shared" si="16"/>
        <v>7.532</v>
      </c>
      <c r="S15" s="273"/>
      <c r="T15" s="273"/>
      <c r="U15" s="273"/>
      <c r="V15" s="22"/>
      <c r="W15" s="272"/>
      <c r="X15" s="272"/>
      <c r="Y15" s="272"/>
      <c r="Z15" s="274"/>
      <c r="AA15" s="31"/>
      <c r="AB15" s="322"/>
      <c r="AC15" s="237"/>
      <c r="AD15" s="237"/>
      <c r="AE15" s="165"/>
      <c r="AF15" s="165"/>
      <c r="AG15" s="165"/>
    </row>
    <row r="16" spans="1:33" s="70" customFormat="1" x14ac:dyDescent="0.25">
      <c r="A16" s="174"/>
      <c r="B16" s="389"/>
      <c r="C16" s="315" t="s">
        <v>69</v>
      </c>
      <c r="D16" s="64">
        <v>400</v>
      </c>
      <c r="E16" s="64">
        <f t="shared" si="17"/>
        <v>6.41</v>
      </c>
      <c r="F16" s="16">
        <f t="shared" si="8"/>
        <v>26700</v>
      </c>
      <c r="G16" s="17">
        <f t="shared" si="9"/>
        <v>8.1491675093633056</v>
      </c>
      <c r="H16" s="15">
        <f t="shared" si="10"/>
        <v>217582.77250000025</v>
      </c>
      <c r="I16" s="15">
        <f t="shared" si="11"/>
        <v>-46435.772500000254</v>
      </c>
      <c r="J16" s="33">
        <f t="shared" si="12"/>
        <v>-0.21341658609483985</v>
      </c>
      <c r="K16" s="15">
        <f t="shared" si="13"/>
        <v>171147</v>
      </c>
      <c r="L16" s="15">
        <f t="shared" si="14"/>
        <v>2160.435999999987</v>
      </c>
      <c r="M16" s="15"/>
      <c r="N16" s="15"/>
      <c r="O16" s="15"/>
      <c r="P16" s="17"/>
      <c r="Q16" s="31">
        <f t="shared" si="15"/>
        <v>2556.435999999987</v>
      </c>
      <c r="R16" s="34">
        <f t="shared" si="16"/>
        <v>7.5640000000000001</v>
      </c>
      <c r="S16" s="273"/>
      <c r="T16" s="273"/>
      <c r="U16" s="273"/>
      <c r="V16" s="22"/>
      <c r="W16" s="272"/>
      <c r="X16" s="272"/>
      <c r="Y16" s="272"/>
      <c r="Z16" s="274"/>
      <c r="AA16" s="31"/>
      <c r="AB16" s="322"/>
      <c r="AC16" s="237"/>
      <c r="AD16" s="237"/>
      <c r="AE16" s="165"/>
      <c r="AF16" s="165"/>
      <c r="AG16" s="165"/>
    </row>
    <row r="17" spans="1:33" s="70" customFormat="1" x14ac:dyDescent="0.25">
      <c r="A17" s="174"/>
      <c r="B17" s="389"/>
      <c r="C17" s="315" t="s">
        <v>69</v>
      </c>
      <c r="D17" s="64">
        <v>400</v>
      </c>
      <c r="E17" s="64">
        <f t="shared" si="17"/>
        <v>6.49</v>
      </c>
      <c r="F17" s="16">
        <f t="shared" si="8"/>
        <v>26300</v>
      </c>
      <c r="G17" s="17">
        <f t="shared" si="9"/>
        <v>8.1746908174905037</v>
      </c>
      <c r="H17" s="15">
        <f t="shared" si="10"/>
        <v>214994.36850000024</v>
      </c>
      <c r="I17" s="15">
        <f t="shared" si="11"/>
        <v>-44307.368500000244</v>
      </c>
      <c r="J17" s="33">
        <f t="shared" si="12"/>
        <v>-0.20608618174108218</v>
      </c>
      <c r="K17" s="15">
        <f t="shared" si="13"/>
        <v>170687</v>
      </c>
      <c r="L17" s="15">
        <f t="shared" si="14"/>
        <v>2128.4040000000095</v>
      </c>
      <c r="M17" s="15"/>
      <c r="N17" s="15"/>
      <c r="O17" s="15"/>
      <c r="P17" s="17"/>
      <c r="Q17" s="31">
        <f t="shared" si="15"/>
        <v>2588.4040000000095</v>
      </c>
      <c r="R17" s="34">
        <f t="shared" si="16"/>
        <v>7.5960000000000001</v>
      </c>
      <c r="S17" s="273"/>
      <c r="T17" s="273"/>
      <c r="U17" s="273"/>
      <c r="V17" s="22"/>
      <c r="W17" s="272"/>
      <c r="X17" s="272"/>
      <c r="Y17" s="272"/>
      <c r="Z17" s="274"/>
      <c r="AA17" s="31"/>
      <c r="AB17" s="322"/>
      <c r="AC17" s="237"/>
      <c r="AD17" s="237"/>
      <c r="AE17" s="165"/>
      <c r="AF17" s="165"/>
      <c r="AG17" s="165"/>
    </row>
    <row r="18" spans="1:33" s="70" customFormat="1" x14ac:dyDescent="0.25">
      <c r="A18" s="174"/>
      <c r="B18" s="389"/>
      <c r="C18" s="315" t="s">
        <v>69</v>
      </c>
      <c r="D18" s="64">
        <v>400</v>
      </c>
      <c r="E18" s="64">
        <f t="shared" si="17"/>
        <v>6.57</v>
      </c>
      <c r="F18" s="16">
        <f t="shared" si="8"/>
        <v>25900</v>
      </c>
      <c r="G18" s="17">
        <f t="shared" si="9"/>
        <v>8.1997682046332141</v>
      </c>
      <c r="H18" s="15">
        <f t="shared" si="10"/>
        <v>212373.99650000024</v>
      </c>
      <c r="I18" s="15">
        <f t="shared" si="11"/>
        <v>-42210.996500000241</v>
      </c>
      <c r="J18" s="33">
        <f t="shared" si="12"/>
        <v>-0.19875783850966985</v>
      </c>
      <c r="K18" s="15">
        <f t="shared" si="13"/>
        <v>170163</v>
      </c>
      <c r="L18" s="15">
        <f t="shared" si="14"/>
        <v>2096.372000000003</v>
      </c>
      <c r="M18" s="15"/>
      <c r="N18" s="15"/>
      <c r="O18" s="15"/>
      <c r="P18" s="17"/>
      <c r="Q18" s="31">
        <f t="shared" si="15"/>
        <v>2620.372000000003</v>
      </c>
      <c r="R18" s="34">
        <f t="shared" si="16"/>
        <v>7.6280000000000001</v>
      </c>
      <c r="S18" s="273"/>
      <c r="T18" s="273"/>
      <c r="U18" s="273"/>
      <c r="V18" s="22"/>
      <c r="W18" s="272"/>
      <c r="X18" s="272"/>
      <c r="Y18" s="272"/>
      <c r="Z18" s="274"/>
      <c r="AA18" s="31"/>
      <c r="AB18" s="322"/>
      <c r="AC18" s="237"/>
      <c r="AD18" s="237"/>
      <c r="AE18" s="165"/>
      <c r="AF18" s="165"/>
      <c r="AG18" s="165"/>
    </row>
    <row r="19" spans="1:33" s="70" customFormat="1" x14ac:dyDescent="0.25">
      <c r="A19" s="174"/>
      <c r="B19" s="395"/>
      <c r="C19" s="315" t="s">
        <v>69</v>
      </c>
      <c r="D19" s="64">
        <v>400</v>
      </c>
      <c r="E19" s="64">
        <f t="shared" si="17"/>
        <v>6.65</v>
      </c>
      <c r="F19" s="16">
        <f t="shared" si="8"/>
        <v>25500</v>
      </c>
      <c r="G19" s="17">
        <f t="shared" si="9"/>
        <v>8.2243786862745196</v>
      </c>
      <c r="H19" s="15">
        <f t="shared" si="10"/>
        <v>209721.65650000024</v>
      </c>
      <c r="I19" s="15">
        <f t="shared" si="11"/>
        <v>-40146.656500000245</v>
      </c>
      <c r="J19" s="33">
        <f t="shared" si="12"/>
        <v>-0.19142828246733876</v>
      </c>
      <c r="K19" s="15">
        <f t="shared" si="13"/>
        <v>169575</v>
      </c>
      <c r="L19" s="15">
        <f t="shared" si="14"/>
        <v>2064.3399999999965</v>
      </c>
      <c r="M19" s="15"/>
      <c r="N19" s="15"/>
      <c r="O19" s="15"/>
      <c r="P19" s="17"/>
      <c r="Q19" s="31">
        <f t="shared" si="15"/>
        <v>2652.3399999999965</v>
      </c>
      <c r="R19" s="34">
        <f t="shared" si="16"/>
        <v>7.66</v>
      </c>
      <c r="S19" s="273"/>
      <c r="T19" s="273"/>
      <c r="U19" s="273"/>
      <c r="V19" s="22"/>
      <c r="W19" s="272"/>
      <c r="X19" s="272"/>
      <c r="Y19" s="272"/>
      <c r="Z19" s="274"/>
      <c r="AA19" s="31"/>
      <c r="AB19" s="322"/>
      <c r="AC19" s="237"/>
      <c r="AD19" s="237"/>
      <c r="AE19" s="165"/>
      <c r="AF19" s="165"/>
      <c r="AG19" s="165"/>
    </row>
    <row r="20" spans="1:33" s="70" customFormat="1" x14ac:dyDescent="0.25">
      <c r="A20" s="174"/>
      <c r="B20" s="389"/>
      <c r="C20" s="315" t="s">
        <v>69</v>
      </c>
      <c r="D20" s="64">
        <v>400</v>
      </c>
      <c r="E20" s="64">
        <f t="shared" si="17"/>
        <v>6.73</v>
      </c>
      <c r="F20" s="16">
        <f t="shared" si="8"/>
        <v>25100</v>
      </c>
      <c r="G20" s="17">
        <f t="shared" si="9"/>
        <v>8.2484999402390535</v>
      </c>
      <c r="H20" s="15">
        <f t="shared" si="10"/>
        <v>207037.34850000025</v>
      </c>
      <c r="I20" s="15">
        <f t="shared" si="11"/>
        <v>-38114.348500000255</v>
      </c>
      <c r="J20" s="33">
        <f t="shared" si="12"/>
        <v>-0.18409407179980469</v>
      </c>
      <c r="K20" s="15">
        <f t="shared" si="13"/>
        <v>168923</v>
      </c>
      <c r="L20" s="15">
        <f t="shared" si="14"/>
        <v>2032.30799999999</v>
      </c>
      <c r="M20" s="15"/>
      <c r="N20" s="15"/>
      <c r="O20" s="15"/>
      <c r="P20" s="17"/>
      <c r="Q20" s="31">
        <f t="shared" si="15"/>
        <v>2684.30799999999</v>
      </c>
      <c r="R20" s="34">
        <f t="shared" si="16"/>
        <v>7.6920000000000002</v>
      </c>
      <c r="S20" s="273"/>
      <c r="T20" s="273"/>
      <c r="U20" s="273"/>
      <c r="V20" s="22"/>
      <c r="W20" s="272"/>
      <c r="X20" s="272"/>
      <c r="Y20" s="272"/>
      <c r="Z20" s="274"/>
      <c r="AA20" s="31"/>
      <c r="AB20" s="322"/>
      <c r="AC20" s="237"/>
      <c r="AD20" s="237"/>
      <c r="AE20" s="165"/>
      <c r="AF20" s="165"/>
      <c r="AG20" s="165"/>
    </row>
    <row r="21" spans="1:33" s="70" customFormat="1" x14ac:dyDescent="0.25">
      <c r="A21" s="174"/>
      <c r="B21" s="389"/>
      <c r="C21" s="315" t="s">
        <v>69</v>
      </c>
      <c r="D21" s="64">
        <v>400</v>
      </c>
      <c r="E21" s="64">
        <f t="shared" si="17"/>
        <v>6.8100000000000005</v>
      </c>
      <c r="F21" s="16">
        <f t="shared" si="8"/>
        <v>24700</v>
      </c>
      <c r="G21" s="17">
        <f t="shared" si="9"/>
        <v>8.2721081983805771</v>
      </c>
      <c r="H21" s="15">
        <f t="shared" si="10"/>
        <v>204321.07250000024</v>
      </c>
      <c r="I21" s="15">
        <f t="shared" si="11"/>
        <v>-36114.072500000242</v>
      </c>
      <c r="J21" s="33">
        <f t="shared" si="12"/>
        <v>-0.1767515805301981</v>
      </c>
      <c r="K21" s="15">
        <f t="shared" si="13"/>
        <v>168207</v>
      </c>
      <c r="L21" s="15">
        <f t="shared" si="14"/>
        <v>2000.2760000000126</v>
      </c>
      <c r="M21" s="15"/>
      <c r="N21" s="15"/>
      <c r="O21" s="15"/>
      <c r="P21" s="17"/>
      <c r="Q21" s="31">
        <f t="shared" si="15"/>
        <v>2716.2760000000126</v>
      </c>
      <c r="R21" s="34">
        <f t="shared" si="16"/>
        <v>7.7240000000000002</v>
      </c>
      <c r="S21" s="273"/>
      <c r="T21" s="273"/>
      <c r="U21" s="273"/>
      <c r="V21" s="22"/>
      <c r="W21" s="272"/>
      <c r="X21" s="272"/>
      <c r="Y21" s="272"/>
      <c r="Z21" s="274"/>
      <c r="AA21" s="31"/>
      <c r="AB21" s="322"/>
      <c r="AC21" s="237"/>
      <c r="AD21" s="237"/>
      <c r="AE21" s="165"/>
      <c r="AF21" s="165"/>
      <c r="AG21" s="165"/>
    </row>
    <row r="22" spans="1:33" s="70" customFormat="1" x14ac:dyDescent="0.25">
      <c r="A22" s="174"/>
      <c r="B22" s="389"/>
      <c r="C22" s="315" t="s">
        <v>69</v>
      </c>
      <c r="D22" s="64">
        <v>400</v>
      </c>
      <c r="E22" s="64">
        <f t="shared" si="17"/>
        <v>6.8900000000000006</v>
      </c>
      <c r="F22" s="16">
        <f t="shared" si="8"/>
        <v>24300</v>
      </c>
      <c r="G22" s="17">
        <f t="shared" si="9"/>
        <v>8.2951781275720258</v>
      </c>
      <c r="H22" s="15">
        <f t="shared" si="10"/>
        <v>201572.82850000024</v>
      </c>
      <c r="I22" s="15">
        <f t="shared" si="11"/>
        <v>-34145.828500000236</v>
      </c>
      <c r="J22" s="33">
        <f t="shared" si="12"/>
        <v>-0.16939698050623014</v>
      </c>
      <c r="K22" s="15">
        <f t="shared" si="13"/>
        <v>167427</v>
      </c>
      <c r="L22" s="15">
        <f t="shared" si="14"/>
        <v>1968.2440000000061</v>
      </c>
      <c r="M22" s="15"/>
      <c r="N22" s="15"/>
      <c r="O22" s="15"/>
      <c r="P22" s="17"/>
      <c r="Q22" s="31">
        <f t="shared" si="15"/>
        <v>2748.2440000000061</v>
      </c>
      <c r="R22" s="34">
        <f t="shared" si="16"/>
        <v>7.7560000000000002</v>
      </c>
      <c r="S22" s="273"/>
      <c r="T22" s="273"/>
      <c r="U22" s="273"/>
      <c r="V22" s="22"/>
      <c r="W22" s="272"/>
      <c r="X22" s="272"/>
      <c r="Y22" s="272"/>
      <c r="Z22" s="274"/>
      <c r="AA22" s="31"/>
      <c r="AB22" s="322"/>
      <c r="AC22" s="237"/>
      <c r="AD22" s="237"/>
      <c r="AE22" s="165"/>
      <c r="AF22" s="165"/>
      <c r="AG22" s="165"/>
    </row>
    <row r="23" spans="1:33" s="70" customFormat="1" x14ac:dyDescent="0.25">
      <c r="A23" s="174"/>
      <c r="B23" s="389"/>
      <c r="C23" s="315" t="s">
        <v>69</v>
      </c>
      <c r="D23" s="64">
        <v>400</v>
      </c>
      <c r="E23" s="64">
        <f t="shared" si="17"/>
        <v>6.9700000000000006</v>
      </c>
      <c r="F23" s="16">
        <f t="shared" si="8"/>
        <v>23900</v>
      </c>
      <c r="G23" s="17">
        <f t="shared" si="9"/>
        <v>8.3176826987447789</v>
      </c>
      <c r="H23" s="15">
        <f t="shared" si="10"/>
        <v>198792.61650000024</v>
      </c>
      <c r="I23" s="15">
        <f t="shared" si="11"/>
        <v>-32209.616500000207</v>
      </c>
      <c r="J23" s="33">
        <f t="shared" si="12"/>
        <v>-0.16202622143162027</v>
      </c>
      <c r="K23" s="15">
        <f t="shared" si="13"/>
        <v>166583.00000000003</v>
      </c>
      <c r="L23" s="15">
        <f t="shared" si="14"/>
        <v>1936.2120000000286</v>
      </c>
      <c r="M23" s="15"/>
      <c r="N23" s="15"/>
      <c r="O23" s="15"/>
      <c r="P23" s="17"/>
      <c r="Q23" s="31">
        <f t="shared" si="15"/>
        <v>2780.2119999999995</v>
      </c>
      <c r="R23" s="34">
        <f t="shared" si="16"/>
        <v>7.7880000000000003</v>
      </c>
      <c r="S23" s="273"/>
      <c r="T23" s="273"/>
      <c r="U23" s="273"/>
      <c r="V23" s="22"/>
      <c r="W23" s="272"/>
      <c r="X23" s="272"/>
      <c r="Y23" s="272"/>
      <c r="Z23" s="274"/>
      <c r="AA23" s="31"/>
      <c r="AB23" s="322"/>
      <c r="AC23" s="237"/>
      <c r="AD23" s="237"/>
      <c r="AE23" s="165"/>
      <c r="AF23" s="165"/>
      <c r="AG23" s="165"/>
    </row>
    <row r="24" spans="1:33" s="70" customFormat="1" x14ac:dyDescent="0.25">
      <c r="A24" s="174"/>
      <c r="B24" s="389"/>
      <c r="C24" s="315" t="s">
        <v>69</v>
      </c>
      <c r="D24" s="64">
        <v>400</v>
      </c>
      <c r="E24" s="64">
        <f t="shared" si="17"/>
        <v>7.0500000000000007</v>
      </c>
      <c r="F24" s="16">
        <f t="shared" si="8"/>
        <v>23500</v>
      </c>
      <c r="G24" s="17">
        <f t="shared" si="9"/>
        <v>8.3395930425532026</v>
      </c>
      <c r="H24" s="15">
        <f t="shared" si="10"/>
        <v>195980.43650000024</v>
      </c>
      <c r="I24" s="15">
        <f t="shared" si="11"/>
        <v>-30305.436500000214</v>
      </c>
      <c r="J24" s="33">
        <f t="shared" si="12"/>
        <v>-0.15463500868363564</v>
      </c>
      <c r="K24" s="15">
        <f t="shared" si="13"/>
        <v>165675.00000000003</v>
      </c>
      <c r="L24" s="15">
        <f t="shared" si="14"/>
        <v>1904.179999999993</v>
      </c>
      <c r="M24" s="15"/>
      <c r="N24" s="15"/>
      <c r="O24" s="15"/>
      <c r="P24" s="17"/>
      <c r="Q24" s="31">
        <f t="shared" si="15"/>
        <v>2812.179999999993</v>
      </c>
      <c r="R24" s="34">
        <f t="shared" si="16"/>
        <v>7.82</v>
      </c>
      <c r="S24" s="273"/>
      <c r="T24" s="273"/>
      <c r="U24" s="273"/>
      <c r="V24" s="22"/>
      <c r="W24" s="272"/>
      <c r="X24" s="272"/>
      <c r="Y24" s="272"/>
      <c r="Z24" s="274"/>
      <c r="AA24" s="31"/>
      <c r="AB24" s="322"/>
      <c r="AC24" s="237"/>
      <c r="AD24" s="237"/>
      <c r="AE24" s="165"/>
      <c r="AF24" s="165"/>
      <c r="AG24" s="165"/>
    </row>
    <row r="25" spans="1:33" s="70" customFormat="1" x14ac:dyDescent="0.25">
      <c r="A25" s="174"/>
      <c r="B25" s="389"/>
      <c r="C25" s="315" t="s">
        <v>69</v>
      </c>
      <c r="D25" s="64">
        <v>400</v>
      </c>
      <c r="E25" s="64">
        <f t="shared" ref="E25:E45" si="18">E24+0.08</f>
        <v>7.1300000000000008</v>
      </c>
      <c r="F25" s="16">
        <f t="shared" ref="F25:F45" si="19">IF(C25="买",F24+D25,IF(C25="卖",F24-D25,F24))</f>
        <v>23100</v>
      </c>
      <c r="G25" s="17">
        <f t="shared" ref="G25:G45" si="20">H25/F25</f>
        <v>8.360878290043301</v>
      </c>
      <c r="H25" s="15">
        <f t="shared" ref="H25:H45" si="21">IF(C25="买",H24+D25*E25+R25+S25,IF(C25="卖",H24-D25*E25+R25+S25,H24))</f>
        <v>193136.28850000026</v>
      </c>
      <c r="I25" s="15">
        <f t="shared" ref="I25:I45" si="22">-H25+K25</f>
        <v>-28433.288500000228</v>
      </c>
      <c r="J25" s="33">
        <f t="shared" ref="J25:J45" si="23">(E25-G25)/G25</f>
        <v>-0.14721877861912105</v>
      </c>
      <c r="K25" s="15">
        <f t="shared" ref="K25:K45" si="24">IF(C25="买",F25*E25,IF(C25="卖",F25*E25,K24))</f>
        <v>164703.00000000003</v>
      </c>
      <c r="L25" s="15">
        <f t="shared" ref="L25:L45" si="25">I25-I24</f>
        <v>1872.1479999999865</v>
      </c>
      <c r="M25" s="15"/>
      <c r="N25" s="15"/>
      <c r="O25" s="15"/>
      <c r="P25" s="17"/>
      <c r="Q25" s="31">
        <f t="shared" ref="Q25:Q45" si="26">(H25-H24)*-1</f>
        <v>2844.1479999999865</v>
      </c>
      <c r="R25" s="34">
        <f t="shared" ref="R25:R45" si="27">commission($B$2,C25,D25,E25)</f>
        <v>7.8520000000000003</v>
      </c>
      <c r="S25" s="273"/>
      <c r="T25" s="273"/>
      <c r="U25" s="273"/>
      <c r="V25" s="22"/>
      <c r="W25" s="272"/>
      <c r="X25" s="272"/>
      <c r="Y25" s="272"/>
      <c r="Z25" s="274"/>
      <c r="AA25" s="31"/>
      <c r="AB25" s="322"/>
      <c r="AC25" s="237"/>
      <c r="AD25" s="237"/>
      <c r="AE25" s="165"/>
      <c r="AF25" s="165"/>
      <c r="AG25" s="165"/>
    </row>
    <row r="26" spans="1:33" s="70" customFormat="1" x14ac:dyDescent="0.25">
      <c r="A26" s="174"/>
      <c r="B26" s="389"/>
      <c r="C26" s="315" t="s">
        <v>69</v>
      </c>
      <c r="D26" s="64">
        <v>400</v>
      </c>
      <c r="E26" s="64">
        <f t="shared" si="18"/>
        <v>7.2100000000000009</v>
      </c>
      <c r="F26" s="16">
        <f t="shared" si="19"/>
        <v>22700</v>
      </c>
      <c r="G26" s="17">
        <f t="shared" si="20"/>
        <v>8.3815053964757826</v>
      </c>
      <c r="H26" s="15">
        <f t="shared" si="21"/>
        <v>190260.17250000025</v>
      </c>
      <c r="I26" s="15">
        <f t="shared" si="22"/>
        <v>-26593.172500000219</v>
      </c>
      <c r="J26" s="33">
        <f t="shared" si="23"/>
        <v>-0.13977267102498928</v>
      </c>
      <c r="K26" s="15">
        <f t="shared" si="24"/>
        <v>163667.00000000003</v>
      </c>
      <c r="L26" s="15">
        <f t="shared" si="25"/>
        <v>1840.1160000000091</v>
      </c>
      <c r="M26" s="15"/>
      <c r="N26" s="15"/>
      <c r="O26" s="15"/>
      <c r="P26" s="17"/>
      <c r="Q26" s="31">
        <f t="shared" si="26"/>
        <v>2876.1160000000091</v>
      </c>
      <c r="R26" s="34">
        <f t="shared" si="27"/>
        <v>7.8840000000000003</v>
      </c>
      <c r="S26" s="273"/>
      <c r="T26" s="273"/>
      <c r="U26" s="273"/>
      <c r="V26" s="22"/>
      <c r="W26" s="272"/>
      <c r="X26" s="272"/>
      <c r="Y26" s="272"/>
      <c r="Z26" s="274"/>
      <c r="AA26" s="31"/>
      <c r="AB26" s="322"/>
      <c r="AC26" s="237"/>
      <c r="AD26" s="237"/>
      <c r="AE26" s="165"/>
      <c r="AF26" s="165"/>
      <c r="AG26" s="165"/>
    </row>
    <row r="27" spans="1:33" s="70" customFormat="1" x14ac:dyDescent="0.25">
      <c r="A27" s="174"/>
      <c r="B27" s="389"/>
      <c r="C27" s="315" t="s">
        <v>69</v>
      </c>
      <c r="D27" s="64">
        <v>400</v>
      </c>
      <c r="E27" s="64">
        <f t="shared" si="18"/>
        <v>7.2900000000000009</v>
      </c>
      <c r="F27" s="16">
        <f t="shared" si="19"/>
        <v>22300</v>
      </c>
      <c r="G27" s="17">
        <f t="shared" si="20"/>
        <v>8.4014389461883514</v>
      </c>
      <c r="H27" s="15">
        <f t="shared" si="21"/>
        <v>187352.08850000025</v>
      </c>
      <c r="I27" s="15">
        <f t="shared" si="22"/>
        <v>-24785.088500000216</v>
      </c>
      <c r="J27" s="33">
        <f t="shared" si="23"/>
        <v>-0.13229149831441664</v>
      </c>
      <c r="K27" s="15">
        <f t="shared" si="24"/>
        <v>162567.00000000003</v>
      </c>
      <c r="L27" s="15">
        <f t="shared" si="25"/>
        <v>1808.0840000000026</v>
      </c>
      <c r="M27" s="15"/>
      <c r="N27" s="15"/>
      <c r="O27" s="15"/>
      <c r="P27" s="17"/>
      <c r="Q27" s="31">
        <f t="shared" si="26"/>
        <v>2908.0840000000026</v>
      </c>
      <c r="R27" s="34">
        <f t="shared" si="27"/>
        <v>7.9160000000000004</v>
      </c>
      <c r="S27" s="273"/>
      <c r="T27" s="273"/>
      <c r="U27" s="273"/>
      <c r="V27" s="22"/>
      <c r="W27" s="272"/>
      <c r="X27" s="272"/>
      <c r="Y27" s="272"/>
      <c r="Z27" s="274"/>
      <c r="AA27" s="31"/>
      <c r="AB27" s="322"/>
      <c r="AC27" s="237"/>
      <c r="AD27" s="237"/>
      <c r="AE27" s="165"/>
      <c r="AF27" s="165"/>
      <c r="AG27" s="165"/>
    </row>
    <row r="28" spans="1:33" s="70" customFormat="1" x14ac:dyDescent="0.25">
      <c r="A28" s="270"/>
      <c r="B28" s="389"/>
      <c r="C28" s="315" t="s">
        <v>69</v>
      </c>
      <c r="D28" s="64">
        <v>400</v>
      </c>
      <c r="E28" s="64">
        <f t="shared" si="18"/>
        <v>7.370000000000001</v>
      </c>
      <c r="F28" s="16">
        <f t="shared" si="19"/>
        <v>21900</v>
      </c>
      <c r="G28" s="17">
        <f t="shared" si="20"/>
        <v>8.4206409360730703</v>
      </c>
      <c r="H28" s="15">
        <f t="shared" si="21"/>
        <v>184412.03650000025</v>
      </c>
      <c r="I28" s="15">
        <f t="shared" si="22"/>
        <v>-23009.03650000022</v>
      </c>
      <c r="J28" s="33">
        <f t="shared" si="23"/>
        <v>-0.12476971100528023</v>
      </c>
      <c r="K28" s="15">
        <f t="shared" si="24"/>
        <v>161403.00000000003</v>
      </c>
      <c r="L28" s="15">
        <f t="shared" si="25"/>
        <v>1776.051999999996</v>
      </c>
      <c r="M28" s="15"/>
      <c r="N28" s="15"/>
      <c r="O28" s="15"/>
      <c r="P28" s="17"/>
      <c r="Q28" s="31">
        <f t="shared" si="26"/>
        <v>2940.051999999996</v>
      </c>
      <c r="R28" s="34">
        <f t="shared" si="27"/>
        <v>7.9480000000000004</v>
      </c>
      <c r="S28" s="273"/>
      <c r="T28" s="273"/>
      <c r="U28" s="273"/>
      <c r="V28" s="22"/>
      <c r="W28" s="272"/>
      <c r="X28" s="272"/>
      <c r="Y28" s="272"/>
      <c r="Z28" s="274"/>
      <c r="AA28" s="31"/>
      <c r="AB28" s="322"/>
      <c r="AC28" s="237"/>
      <c r="AD28" s="237"/>
      <c r="AE28" s="165"/>
      <c r="AF28" s="165"/>
      <c r="AG28" s="165"/>
    </row>
    <row r="29" spans="1:33" s="70" customFormat="1" x14ac:dyDescent="0.25">
      <c r="A29" s="270"/>
      <c r="B29" s="389"/>
      <c r="C29" s="315" t="s">
        <v>69</v>
      </c>
      <c r="D29" s="64">
        <v>400</v>
      </c>
      <c r="E29" s="64">
        <f t="shared" si="18"/>
        <v>7.4500000000000011</v>
      </c>
      <c r="F29" s="16">
        <f t="shared" si="19"/>
        <v>21500</v>
      </c>
      <c r="G29" s="17">
        <f t="shared" si="20"/>
        <v>8.4390705348837329</v>
      </c>
      <c r="H29" s="15">
        <f t="shared" si="21"/>
        <v>181440.01650000026</v>
      </c>
      <c r="I29" s="15">
        <f t="shared" si="22"/>
        <v>-21265.016500000231</v>
      </c>
      <c r="J29" s="33">
        <f t="shared" si="23"/>
        <v>-0.11720135894057419</v>
      </c>
      <c r="K29" s="15">
        <f t="shared" si="24"/>
        <v>160175.00000000003</v>
      </c>
      <c r="L29" s="15">
        <f t="shared" si="25"/>
        <v>1744.0199999999895</v>
      </c>
      <c r="M29" s="15"/>
      <c r="N29" s="15"/>
      <c r="O29" s="15"/>
      <c r="P29" s="17"/>
      <c r="Q29" s="31">
        <f t="shared" si="26"/>
        <v>2972.0199999999895</v>
      </c>
      <c r="R29" s="34">
        <f t="shared" si="27"/>
        <v>7.98</v>
      </c>
      <c r="S29" s="273"/>
      <c r="T29" s="273"/>
      <c r="U29" s="273"/>
      <c r="V29" s="22"/>
      <c r="W29" s="272"/>
      <c r="X29" s="272"/>
      <c r="Y29" s="272"/>
      <c r="Z29" s="274"/>
      <c r="AA29" s="31"/>
      <c r="AB29" s="322"/>
      <c r="AC29" s="237"/>
      <c r="AD29" s="237"/>
      <c r="AE29" s="165"/>
      <c r="AF29" s="165"/>
      <c r="AG29" s="165"/>
    </row>
    <row r="30" spans="1:33" s="70" customFormat="1" x14ac:dyDescent="0.25">
      <c r="A30" s="270"/>
      <c r="B30" s="389"/>
      <c r="C30" s="315" t="s">
        <v>69</v>
      </c>
      <c r="D30" s="64">
        <v>400</v>
      </c>
      <c r="E30" s="64">
        <f t="shared" si="18"/>
        <v>7.5300000000000011</v>
      </c>
      <c r="F30" s="16">
        <f t="shared" si="19"/>
        <v>21100</v>
      </c>
      <c r="G30" s="17">
        <f t="shared" si="20"/>
        <v>8.4566838151658885</v>
      </c>
      <c r="H30" s="15">
        <f t="shared" si="21"/>
        <v>178436.02850000025</v>
      </c>
      <c r="I30" s="15">
        <f t="shared" si="22"/>
        <v>-19553.028500000219</v>
      </c>
      <c r="J30" s="33">
        <f t="shared" si="23"/>
        <v>-0.10958004761913985</v>
      </c>
      <c r="K30" s="15">
        <f t="shared" si="24"/>
        <v>158883.00000000003</v>
      </c>
      <c r="L30" s="15">
        <f t="shared" si="25"/>
        <v>1711.9880000000121</v>
      </c>
      <c r="M30" s="15"/>
      <c r="N30" s="15"/>
      <c r="O30" s="15"/>
      <c r="P30" s="17"/>
      <c r="Q30" s="31">
        <f t="shared" si="26"/>
        <v>3003.9880000000121</v>
      </c>
      <c r="R30" s="34">
        <f t="shared" si="27"/>
        <v>8.0120000000000005</v>
      </c>
      <c r="S30" s="273"/>
      <c r="T30" s="273"/>
      <c r="U30" s="273"/>
      <c r="V30" s="22"/>
      <c r="W30" s="272"/>
      <c r="X30" s="272"/>
      <c r="Y30" s="272"/>
      <c r="Z30" s="274"/>
      <c r="AA30" s="31"/>
      <c r="AB30" s="322"/>
      <c r="AC30" s="237"/>
      <c r="AD30" s="237"/>
      <c r="AE30" s="165"/>
      <c r="AF30" s="165"/>
      <c r="AG30" s="165"/>
    </row>
    <row r="31" spans="1:33" s="70" customFormat="1" x14ac:dyDescent="0.25">
      <c r="A31" s="270"/>
      <c r="B31" s="389"/>
      <c r="C31" s="315" t="s">
        <v>69</v>
      </c>
      <c r="D31" s="64">
        <v>400</v>
      </c>
      <c r="E31" s="64">
        <f t="shared" si="18"/>
        <v>7.6100000000000012</v>
      </c>
      <c r="F31" s="16">
        <f t="shared" si="19"/>
        <v>20700</v>
      </c>
      <c r="G31" s="17">
        <f t="shared" si="20"/>
        <v>8.4734334541062921</v>
      </c>
      <c r="H31" s="15">
        <f t="shared" si="21"/>
        <v>175400.07250000024</v>
      </c>
      <c r="I31" s="15">
        <f t="shared" si="22"/>
        <v>-17873.072500000213</v>
      </c>
      <c r="J31" s="33">
        <f t="shared" si="23"/>
        <v>-0.10189888889584237</v>
      </c>
      <c r="K31" s="15">
        <f t="shared" si="24"/>
        <v>157527.00000000003</v>
      </c>
      <c r="L31" s="15">
        <f t="shared" si="25"/>
        <v>1679.9560000000056</v>
      </c>
      <c r="M31" s="15"/>
      <c r="N31" s="15"/>
      <c r="O31" s="15"/>
      <c r="P31" s="17"/>
      <c r="Q31" s="31">
        <f t="shared" si="26"/>
        <v>3035.9560000000056</v>
      </c>
      <c r="R31" s="34">
        <f t="shared" si="27"/>
        <v>8.0440000000000005</v>
      </c>
      <c r="S31" s="273"/>
      <c r="T31" s="273"/>
      <c r="U31" s="273"/>
      <c r="V31" s="22"/>
      <c r="W31" s="272"/>
      <c r="X31" s="272"/>
      <c r="Y31" s="272"/>
      <c r="Z31" s="274"/>
      <c r="AA31" s="31"/>
      <c r="AB31" s="322"/>
      <c r="AC31" s="237"/>
      <c r="AD31" s="237"/>
      <c r="AE31" s="165"/>
      <c r="AF31" s="165"/>
      <c r="AG31" s="165"/>
    </row>
    <row r="32" spans="1:33" s="70" customFormat="1" x14ac:dyDescent="0.25">
      <c r="A32" s="270"/>
      <c r="B32" s="389"/>
      <c r="C32" s="315" t="s">
        <v>69</v>
      </c>
      <c r="D32" s="64">
        <v>400</v>
      </c>
      <c r="E32" s="64">
        <f t="shared" si="18"/>
        <v>7.6900000000000013</v>
      </c>
      <c r="F32" s="16">
        <f t="shared" si="19"/>
        <v>20300</v>
      </c>
      <c r="G32" s="17">
        <f t="shared" si="20"/>
        <v>8.4892683990147901</v>
      </c>
      <c r="H32" s="15">
        <f t="shared" si="21"/>
        <v>172332.14850000024</v>
      </c>
      <c r="I32" s="15">
        <f t="shared" si="22"/>
        <v>-16225.148500000214</v>
      </c>
      <c r="J32" s="33">
        <f t="shared" si="23"/>
        <v>-9.4150445179415787E-2</v>
      </c>
      <c r="K32" s="15">
        <f t="shared" si="24"/>
        <v>156107.00000000003</v>
      </c>
      <c r="L32" s="15">
        <f t="shared" si="25"/>
        <v>1647.9239999999991</v>
      </c>
      <c r="M32" s="15"/>
      <c r="N32" s="15"/>
      <c r="O32" s="15"/>
      <c r="P32" s="17"/>
      <c r="Q32" s="31">
        <f t="shared" si="26"/>
        <v>3067.9239999999991</v>
      </c>
      <c r="R32" s="34">
        <f t="shared" si="27"/>
        <v>8.0760000000000005</v>
      </c>
      <c r="S32" s="273"/>
      <c r="T32" s="273"/>
      <c r="U32" s="273"/>
      <c r="V32" s="22"/>
      <c r="W32" s="272"/>
      <c r="X32" s="272"/>
      <c r="Y32" s="272"/>
      <c r="Z32" s="274"/>
      <c r="AA32" s="31"/>
      <c r="AB32" s="322"/>
      <c r="AC32" s="237"/>
      <c r="AD32" s="237"/>
      <c r="AE32" s="165"/>
      <c r="AF32" s="165"/>
      <c r="AG32" s="165"/>
    </row>
    <row r="33" spans="1:33" s="70" customFormat="1" x14ac:dyDescent="0.25">
      <c r="A33" s="270"/>
      <c r="B33" s="389"/>
      <c r="C33" s="315" t="s">
        <v>69</v>
      </c>
      <c r="D33" s="64">
        <v>400</v>
      </c>
      <c r="E33" s="64">
        <f t="shared" si="18"/>
        <v>7.7700000000000014</v>
      </c>
      <c r="F33" s="16">
        <f t="shared" si="19"/>
        <v>19900</v>
      </c>
      <c r="G33" s="17">
        <f t="shared" si="20"/>
        <v>8.5041334924623246</v>
      </c>
      <c r="H33" s="15">
        <f t="shared" si="21"/>
        <v>169232.25650000025</v>
      </c>
      <c r="I33" s="15">
        <f t="shared" si="22"/>
        <v>-14609.256500000221</v>
      </c>
      <c r="J33" s="33">
        <f t="shared" si="23"/>
        <v>-8.6326666098671387E-2</v>
      </c>
      <c r="K33" s="15">
        <f t="shared" si="24"/>
        <v>154623.00000000003</v>
      </c>
      <c r="L33" s="15">
        <f t="shared" si="25"/>
        <v>1615.8919999999925</v>
      </c>
      <c r="M33" s="15"/>
      <c r="N33" s="15"/>
      <c r="O33" s="15"/>
      <c r="P33" s="17"/>
      <c r="Q33" s="31">
        <f t="shared" si="26"/>
        <v>3099.8919999999925</v>
      </c>
      <c r="R33" s="34">
        <f t="shared" si="27"/>
        <v>8.1080000000000005</v>
      </c>
      <c r="S33" s="273"/>
      <c r="T33" s="273"/>
      <c r="U33" s="273"/>
      <c r="V33" s="22"/>
      <c r="W33" s="272"/>
      <c r="X33" s="272"/>
      <c r="Y33" s="272"/>
      <c r="Z33" s="274"/>
      <c r="AA33" s="31"/>
      <c r="AB33" s="322"/>
      <c r="AC33" s="237"/>
      <c r="AD33" s="237"/>
      <c r="AE33" s="165"/>
      <c r="AF33" s="165"/>
      <c r="AG33" s="165"/>
    </row>
    <row r="34" spans="1:33" s="70" customFormat="1" x14ac:dyDescent="0.25">
      <c r="A34" s="270"/>
      <c r="B34" s="389"/>
      <c r="C34" s="315" t="s">
        <v>69</v>
      </c>
      <c r="D34" s="64">
        <v>400</v>
      </c>
      <c r="E34" s="64">
        <f t="shared" si="18"/>
        <v>7.8500000000000014</v>
      </c>
      <c r="F34" s="16">
        <f t="shared" si="19"/>
        <v>19500</v>
      </c>
      <c r="G34" s="17">
        <f t="shared" si="20"/>
        <v>8.5179690512820656</v>
      </c>
      <c r="H34" s="15">
        <f t="shared" si="21"/>
        <v>166100.39650000026</v>
      </c>
      <c r="I34" s="15">
        <f t="shared" si="22"/>
        <v>-13025.396500000235</v>
      </c>
      <c r="J34" s="33">
        <f t="shared" si="23"/>
        <v>-7.8418816417456474E-2</v>
      </c>
      <c r="K34" s="15">
        <f t="shared" si="24"/>
        <v>153075.00000000003</v>
      </c>
      <c r="L34" s="15">
        <f t="shared" si="25"/>
        <v>1583.859999999986</v>
      </c>
      <c r="M34" s="15"/>
      <c r="N34" s="15"/>
      <c r="O34" s="15"/>
      <c r="P34" s="17"/>
      <c r="Q34" s="31">
        <f t="shared" si="26"/>
        <v>3131.859999999986</v>
      </c>
      <c r="R34" s="34">
        <f t="shared" si="27"/>
        <v>8.14</v>
      </c>
      <c r="S34" s="273"/>
      <c r="T34" s="273"/>
      <c r="U34" s="273"/>
      <c r="V34" s="22"/>
      <c r="W34" s="272"/>
      <c r="X34" s="272"/>
      <c r="Y34" s="272"/>
      <c r="Z34" s="274"/>
      <c r="AA34" s="31"/>
      <c r="AB34" s="322"/>
      <c r="AC34" s="237"/>
      <c r="AD34" s="237"/>
      <c r="AE34" s="165"/>
      <c r="AF34" s="165"/>
      <c r="AG34" s="165"/>
    </row>
    <row r="35" spans="1:33" s="70" customFormat="1" x14ac:dyDescent="0.25">
      <c r="A35" s="270"/>
      <c r="B35" s="389"/>
      <c r="C35" s="315" t="s">
        <v>69</v>
      </c>
      <c r="D35" s="64">
        <v>400</v>
      </c>
      <c r="E35" s="64">
        <f t="shared" si="18"/>
        <v>7.9300000000000015</v>
      </c>
      <c r="F35" s="16">
        <f t="shared" si="19"/>
        <v>19100</v>
      </c>
      <c r="G35" s="17">
        <f t="shared" si="20"/>
        <v>8.5307103926701711</v>
      </c>
      <c r="H35" s="15">
        <f t="shared" si="21"/>
        <v>162936.56850000026</v>
      </c>
      <c r="I35" s="15">
        <f t="shared" si="22"/>
        <v>-11473.568500000227</v>
      </c>
      <c r="J35" s="33">
        <f t="shared" si="23"/>
        <v>-7.04173937479248E-2</v>
      </c>
      <c r="K35" s="15">
        <f t="shared" si="24"/>
        <v>151463.00000000003</v>
      </c>
      <c r="L35" s="15">
        <f t="shared" si="25"/>
        <v>1551.8280000000086</v>
      </c>
      <c r="M35" s="15"/>
      <c r="N35" s="15"/>
      <c r="O35" s="15"/>
      <c r="P35" s="17"/>
      <c r="Q35" s="31">
        <f t="shared" si="26"/>
        <v>3163.8280000000086</v>
      </c>
      <c r="R35" s="34">
        <f t="shared" si="27"/>
        <v>8.1720000000000006</v>
      </c>
      <c r="S35" s="273"/>
      <c r="T35" s="273"/>
      <c r="U35" s="273"/>
      <c r="V35" s="22"/>
      <c r="W35" s="272"/>
      <c r="X35" s="272"/>
      <c r="Y35" s="272"/>
      <c r="Z35" s="274"/>
      <c r="AA35" s="31"/>
      <c r="AB35" s="322"/>
      <c r="AC35" s="237"/>
      <c r="AD35" s="237"/>
      <c r="AE35" s="165"/>
      <c r="AF35" s="165"/>
      <c r="AG35" s="165"/>
    </row>
    <row r="36" spans="1:33" s="70" customFormat="1" x14ac:dyDescent="0.25">
      <c r="A36" s="270"/>
      <c r="B36" s="389"/>
      <c r="C36" s="315" t="s">
        <v>69</v>
      </c>
      <c r="D36" s="64">
        <v>400</v>
      </c>
      <c r="E36" s="64">
        <f t="shared" si="18"/>
        <v>8.0100000000000016</v>
      </c>
      <c r="F36" s="16">
        <f t="shared" si="19"/>
        <v>18700</v>
      </c>
      <c r="G36" s="17">
        <f t="shared" si="20"/>
        <v>8.5422872994652543</v>
      </c>
      <c r="H36" s="15">
        <f t="shared" si="21"/>
        <v>159740.77250000025</v>
      </c>
      <c r="I36" s="15">
        <f t="shared" si="22"/>
        <v>-9953.7725000002247</v>
      </c>
      <c r="J36" s="33">
        <f t="shared" si="23"/>
        <v>-6.2312034330497625E-2</v>
      </c>
      <c r="K36" s="15">
        <f t="shared" si="24"/>
        <v>149787.00000000003</v>
      </c>
      <c r="L36" s="15">
        <f t="shared" si="25"/>
        <v>1519.7960000000021</v>
      </c>
      <c r="M36" s="15"/>
      <c r="N36" s="15"/>
      <c r="O36" s="15"/>
      <c r="P36" s="17"/>
      <c r="Q36" s="31">
        <f t="shared" si="26"/>
        <v>3195.7960000000021</v>
      </c>
      <c r="R36" s="34">
        <f t="shared" si="27"/>
        <v>8.2040000000000006</v>
      </c>
      <c r="S36" s="273"/>
      <c r="T36" s="273"/>
      <c r="U36" s="273"/>
      <c r="V36" s="22"/>
      <c r="W36" s="272"/>
      <c r="X36" s="272"/>
      <c r="Y36" s="272"/>
      <c r="Z36" s="274"/>
      <c r="AA36" s="31"/>
      <c r="AB36" s="322"/>
      <c r="AC36" s="237"/>
      <c r="AD36" s="237"/>
      <c r="AE36" s="165"/>
      <c r="AF36" s="165"/>
      <c r="AG36" s="165"/>
    </row>
    <row r="37" spans="1:33" s="70" customFormat="1" x14ac:dyDescent="0.25">
      <c r="A37" s="270"/>
      <c r="B37" s="389"/>
      <c r="C37" s="315" t="s">
        <v>69</v>
      </c>
      <c r="D37" s="64">
        <v>400</v>
      </c>
      <c r="E37" s="64">
        <f t="shared" si="18"/>
        <v>8.0900000000000016</v>
      </c>
      <c r="F37" s="16">
        <f t="shared" si="19"/>
        <v>18300</v>
      </c>
      <c r="G37" s="17">
        <f t="shared" si="20"/>
        <v>8.5526234153005607</v>
      </c>
      <c r="H37" s="15">
        <f t="shared" si="21"/>
        <v>156513.00850000026</v>
      </c>
      <c r="I37" s="15">
        <f t="shared" si="22"/>
        <v>-8466.0085000002291</v>
      </c>
      <c r="J37" s="33">
        <f t="shared" si="23"/>
        <v>-5.4091404804861423E-2</v>
      </c>
      <c r="K37" s="15">
        <f t="shared" si="24"/>
        <v>148047.00000000003</v>
      </c>
      <c r="L37" s="15">
        <f t="shared" si="25"/>
        <v>1487.7639999999956</v>
      </c>
      <c r="M37" s="15"/>
      <c r="N37" s="15"/>
      <c r="O37" s="15"/>
      <c r="P37" s="17"/>
      <c r="Q37" s="31">
        <f t="shared" si="26"/>
        <v>3227.7639999999956</v>
      </c>
      <c r="R37" s="34">
        <f t="shared" si="27"/>
        <v>8.2360000000000007</v>
      </c>
      <c r="S37" s="273"/>
      <c r="T37" s="273"/>
      <c r="U37" s="273"/>
      <c r="V37" s="22"/>
      <c r="W37" s="272"/>
      <c r="X37" s="272"/>
      <c r="Y37" s="272"/>
      <c r="Z37" s="274"/>
      <c r="AA37" s="31"/>
      <c r="AB37" s="322"/>
      <c r="AC37" s="237"/>
      <c r="AD37" s="237"/>
      <c r="AE37" s="165"/>
      <c r="AF37" s="165"/>
      <c r="AG37" s="165"/>
    </row>
    <row r="38" spans="1:33" s="70" customFormat="1" x14ac:dyDescent="0.25">
      <c r="A38" s="270"/>
      <c r="B38" s="389"/>
      <c r="C38" s="315" t="s">
        <v>69</v>
      </c>
      <c r="D38" s="64">
        <v>400</v>
      </c>
      <c r="E38" s="64">
        <f t="shared" si="18"/>
        <v>8.1700000000000017</v>
      </c>
      <c r="F38" s="16">
        <f t="shared" si="19"/>
        <v>17900</v>
      </c>
      <c r="G38" s="17">
        <f t="shared" si="20"/>
        <v>8.5616355586592334</v>
      </c>
      <c r="H38" s="15">
        <f t="shared" si="21"/>
        <v>153253.27650000027</v>
      </c>
      <c r="I38" s="15">
        <f t="shared" si="22"/>
        <v>-7010.27650000024</v>
      </c>
      <c r="J38" s="33">
        <f t="shared" si="23"/>
        <v>-4.5743077473454442E-2</v>
      </c>
      <c r="K38" s="15">
        <f t="shared" si="24"/>
        <v>146243.00000000003</v>
      </c>
      <c r="L38" s="15">
        <f t="shared" si="25"/>
        <v>1455.7319999999891</v>
      </c>
      <c r="M38" s="15"/>
      <c r="N38" s="15"/>
      <c r="O38" s="15"/>
      <c r="P38" s="17"/>
      <c r="Q38" s="31">
        <f t="shared" si="26"/>
        <v>3259.7319999999891</v>
      </c>
      <c r="R38" s="34">
        <f t="shared" si="27"/>
        <v>8.2680000000000007</v>
      </c>
      <c r="S38" s="273"/>
      <c r="T38" s="273"/>
      <c r="U38" s="273"/>
      <c r="V38" s="22"/>
      <c r="W38" s="272"/>
      <c r="X38" s="272"/>
      <c r="Y38" s="272"/>
      <c r="Z38" s="274"/>
      <c r="AA38" s="31"/>
      <c r="AB38" s="322"/>
      <c r="AC38" s="237"/>
      <c r="AD38" s="237"/>
      <c r="AE38" s="165"/>
      <c r="AF38" s="165"/>
      <c r="AG38" s="165"/>
    </row>
    <row r="39" spans="1:33" s="70" customFormat="1" x14ac:dyDescent="0.25">
      <c r="A39" s="270"/>
      <c r="B39" s="389"/>
      <c r="C39" s="315" t="s">
        <v>69</v>
      </c>
      <c r="D39" s="64">
        <v>400</v>
      </c>
      <c r="E39" s="64">
        <f t="shared" si="18"/>
        <v>8.2500000000000018</v>
      </c>
      <c r="F39" s="16">
        <f t="shared" si="19"/>
        <v>17500</v>
      </c>
      <c r="G39" s="17">
        <f t="shared" si="20"/>
        <v>8.5692329428571572</v>
      </c>
      <c r="H39" s="15">
        <f t="shared" si="21"/>
        <v>149961.57650000026</v>
      </c>
      <c r="I39" s="15">
        <f t="shared" si="22"/>
        <v>-5586.5765000002284</v>
      </c>
      <c r="J39" s="33">
        <f t="shared" si="23"/>
        <v>-3.7253386036523901E-2</v>
      </c>
      <c r="K39" s="15">
        <f t="shared" si="24"/>
        <v>144375.00000000003</v>
      </c>
      <c r="L39" s="15">
        <f t="shared" si="25"/>
        <v>1423.7000000000116</v>
      </c>
      <c r="M39" s="15"/>
      <c r="N39" s="15"/>
      <c r="O39" s="15"/>
      <c r="P39" s="17"/>
      <c r="Q39" s="31">
        <f t="shared" si="26"/>
        <v>3291.7000000000116</v>
      </c>
      <c r="R39" s="34">
        <f t="shared" si="27"/>
        <v>8.3000000000000007</v>
      </c>
      <c r="S39" s="273"/>
      <c r="T39" s="273"/>
      <c r="U39" s="273"/>
      <c r="V39" s="22"/>
      <c r="W39" s="272"/>
      <c r="X39" s="272"/>
      <c r="Y39" s="272"/>
      <c r="Z39" s="274"/>
      <c r="AA39" s="31"/>
      <c r="AB39" s="322"/>
      <c r="AC39" s="237"/>
      <c r="AD39" s="237"/>
      <c r="AE39" s="165"/>
      <c r="AF39" s="165"/>
      <c r="AG39" s="165"/>
    </row>
    <row r="40" spans="1:33" s="70" customFormat="1" x14ac:dyDescent="0.25">
      <c r="A40" s="270"/>
      <c r="B40" s="389"/>
      <c r="C40" s="315" t="s">
        <v>69</v>
      </c>
      <c r="D40" s="64">
        <v>400</v>
      </c>
      <c r="E40" s="64">
        <f t="shared" si="18"/>
        <v>8.3300000000000018</v>
      </c>
      <c r="F40" s="16">
        <f t="shared" si="19"/>
        <v>17100</v>
      </c>
      <c r="G40" s="17">
        <f t="shared" si="20"/>
        <v>8.5753162865497217</v>
      </c>
      <c r="H40" s="15">
        <f t="shared" si="21"/>
        <v>146637.90850000025</v>
      </c>
      <c r="I40" s="15">
        <f t="shared" si="22"/>
        <v>-4194.9085000002233</v>
      </c>
      <c r="J40" s="33">
        <f t="shared" si="23"/>
        <v>-2.8607258129300189E-2</v>
      </c>
      <c r="K40" s="15">
        <f t="shared" si="24"/>
        <v>142443.00000000003</v>
      </c>
      <c r="L40" s="15">
        <f t="shared" si="25"/>
        <v>1391.6680000000051</v>
      </c>
      <c r="M40" s="15"/>
      <c r="N40" s="15"/>
      <c r="O40" s="15"/>
      <c r="P40" s="17"/>
      <c r="Q40" s="31">
        <f t="shared" si="26"/>
        <v>3323.6680000000051</v>
      </c>
      <c r="R40" s="34">
        <f t="shared" si="27"/>
        <v>8.3320000000000007</v>
      </c>
      <c r="S40" s="273"/>
      <c r="T40" s="273"/>
      <c r="U40" s="273"/>
      <c r="V40" s="22"/>
      <c r="W40" s="272"/>
      <c r="X40" s="272"/>
      <c r="Y40" s="272"/>
      <c r="Z40" s="274"/>
      <c r="AA40" s="31"/>
      <c r="AB40" s="322"/>
      <c r="AC40" s="237"/>
      <c r="AD40" s="237"/>
      <c r="AE40" s="165"/>
      <c r="AF40" s="165"/>
      <c r="AG40" s="165"/>
    </row>
    <row r="41" spans="1:33" s="70" customFormat="1" x14ac:dyDescent="0.25">
      <c r="A41" s="270"/>
      <c r="B41" s="389"/>
      <c r="C41" s="315" t="s">
        <v>69</v>
      </c>
      <c r="D41" s="64">
        <v>400</v>
      </c>
      <c r="E41" s="64">
        <f t="shared" si="18"/>
        <v>8.4100000000000019</v>
      </c>
      <c r="F41" s="16">
        <f t="shared" si="19"/>
        <v>16700</v>
      </c>
      <c r="G41" s="17">
        <f t="shared" si="20"/>
        <v>8.5797767964072005</v>
      </c>
      <c r="H41" s="15">
        <f t="shared" si="21"/>
        <v>143282.27250000025</v>
      </c>
      <c r="I41" s="15">
        <f t="shared" si="22"/>
        <v>-2835.2725000002247</v>
      </c>
      <c r="J41" s="33">
        <f t="shared" si="23"/>
        <v>-1.9788020182330727E-2</v>
      </c>
      <c r="K41" s="15">
        <f t="shared" si="24"/>
        <v>140447.00000000003</v>
      </c>
      <c r="L41" s="15">
        <f t="shared" si="25"/>
        <v>1359.6359999999986</v>
      </c>
      <c r="M41" s="15"/>
      <c r="N41" s="15"/>
      <c r="O41" s="15"/>
      <c r="P41" s="17"/>
      <c r="Q41" s="31">
        <f t="shared" si="26"/>
        <v>3355.6359999999986</v>
      </c>
      <c r="R41" s="34">
        <f t="shared" si="27"/>
        <v>8.3640000000000008</v>
      </c>
      <c r="S41" s="273"/>
      <c r="T41" s="273"/>
      <c r="U41" s="273"/>
      <c r="V41" s="22"/>
      <c r="W41" s="272"/>
      <c r="X41" s="272"/>
      <c r="Y41" s="272"/>
      <c r="Z41" s="274"/>
      <c r="AA41" s="31"/>
      <c r="AB41" s="322"/>
      <c r="AC41" s="237"/>
      <c r="AD41" s="237"/>
      <c r="AE41" s="165"/>
      <c r="AF41" s="165"/>
      <c r="AG41" s="165"/>
    </row>
    <row r="42" spans="1:33" s="70" customFormat="1" x14ac:dyDescent="0.25">
      <c r="A42" s="270"/>
      <c r="B42" s="389"/>
      <c r="C42" s="315" t="s">
        <v>69</v>
      </c>
      <c r="D42" s="64">
        <v>400</v>
      </c>
      <c r="E42" s="64">
        <f t="shared" si="18"/>
        <v>8.490000000000002</v>
      </c>
      <c r="F42" s="16">
        <f t="shared" si="19"/>
        <v>16300</v>
      </c>
      <c r="G42" s="17">
        <f t="shared" si="20"/>
        <v>8.5824950000000158</v>
      </c>
      <c r="H42" s="15">
        <f t="shared" si="21"/>
        <v>139894.66850000026</v>
      </c>
      <c r="I42" s="15">
        <f t="shared" si="22"/>
        <v>-1507.6685000002326</v>
      </c>
      <c r="J42" s="33">
        <f t="shared" si="23"/>
        <v>-1.0777169109916591E-2</v>
      </c>
      <c r="K42" s="15">
        <f t="shared" si="24"/>
        <v>138387.00000000003</v>
      </c>
      <c r="L42" s="15">
        <f t="shared" si="25"/>
        <v>1327.6039999999921</v>
      </c>
      <c r="M42" s="15"/>
      <c r="N42" s="15"/>
      <c r="O42" s="15"/>
      <c r="P42" s="17"/>
      <c r="Q42" s="31">
        <f t="shared" si="26"/>
        <v>3387.6039999999921</v>
      </c>
      <c r="R42" s="34">
        <f t="shared" si="27"/>
        <v>8.3960000000000008</v>
      </c>
      <c r="S42" s="273"/>
      <c r="T42" s="273"/>
      <c r="U42" s="273"/>
      <c r="V42" s="22"/>
      <c r="W42" s="272"/>
      <c r="X42" s="272"/>
      <c r="Y42" s="272"/>
      <c r="Z42" s="274"/>
      <c r="AA42" s="31"/>
      <c r="AB42" s="322"/>
      <c r="AC42" s="237"/>
      <c r="AD42" s="237"/>
      <c r="AE42" s="165"/>
      <c r="AF42" s="165"/>
      <c r="AG42" s="165"/>
    </row>
    <row r="43" spans="1:33" s="70" customFormat="1" x14ac:dyDescent="0.25">
      <c r="A43" s="270"/>
      <c r="B43" s="389"/>
      <c r="C43" s="315" t="s">
        <v>69</v>
      </c>
      <c r="D43" s="64">
        <v>400</v>
      </c>
      <c r="E43" s="64">
        <f t="shared" si="18"/>
        <v>8.5700000000000021</v>
      </c>
      <c r="F43" s="16">
        <f t="shared" si="19"/>
        <v>15900</v>
      </c>
      <c r="G43" s="17">
        <f t="shared" si="20"/>
        <v>8.5833394025157403</v>
      </c>
      <c r="H43" s="15">
        <f t="shared" si="21"/>
        <v>136475.09650000028</v>
      </c>
      <c r="I43" s="15">
        <f t="shared" si="22"/>
        <v>-212.09650000024703</v>
      </c>
      <c r="J43" s="33">
        <f t="shared" si="23"/>
        <v>-1.5541040485744469E-3</v>
      </c>
      <c r="K43" s="15">
        <f t="shared" si="24"/>
        <v>136263.00000000003</v>
      </c>
      <c r="L43" s="15">
        <f t="shared" si="25"/>
        <v>1295.5719999999856</v>
      </c>
      <c r="M43" s="15"/>
      <c r="N43" s="15"/>
      <c r="O43" s="15"/>
      <c r="P43" s="17"/>
      <c r="Q43" s="31">
        <f t="shared" si="26"/>
        <v>3419.5719999999856</v>
      </c>
      <c r="R43" s="34">
        <f t="shared" si="27"/>
        <v>8.4280000000000008</v>
      </c>
      <c r="S43" s="273"/>
      <c r="T43" s="273"/>
      <c r="U43" s="273"/>
      <c r="V43" s="22"/>
      <c r="W43" s="272"/>
      <c r="X43" s="272"/>
      <c r="Y43" s="272"/>
      <c r="Z43" s="274"/>
      <c r="AA43" s="31"/>
      <c r="AB43" s="322"/>
      <c r="AC43" s="237"/>
      <c r="AD43" s="237"/>
      <c r="AE43" s="165"/>
      <c r="AF43" s="165"/>
      <c r="AG43" s="165"/>
    </row>
    <row r="44" spans="1:33" s="70" customFormat="1" x14ac:dyDescent="0.25">
      <c r="A44" s="270"/>
      <c r="B44" s="389"/>
      <c r="C44" s="315" t="s">
        <v>69</v>
      </c>
      <c r="D44" s="64">
        <v>400</v>
      </c>
      <c r="E44" s="64">
        <f t="shared" si="18"/>
        <v>8.6500000000000021</v>
      </c>
      <c r="F44" s="16">
        <f t="shared" si="19"/>
        <v>15500</v>
      </c>
      <c r="G44" s="17">
        <f t="shared" si="20"/>
        <v>8.5821649354838883</v>
      </c>
      <c r="H44" s="15">
        <f t="shared" si="21"/>
        <v>133023.55650000027</v>
      </c>
      <c r="I44" s="15">
        <f t="shared" si="22"/>
        <v>1051.4434999997611</v>
      </c>
      <c r="J44" s="33">
        <f t="shared" si="23"/>
        <v>7.9041902627205955E-3</v>
      </c>
      <c r="K44" s="15">
        <f t="shared" si="24"/>
        <v>134075.00000000003</v>
      </c>
      <c r="L44" s="15">
        <f t="shared" si="25"/>
        <v>1263.5400000000081</v>
      </c>
      <c r="M44" s="15"/>
      <c r="N44" s="15"/>
      <c r="O44" s="15"/>
      <c r="P44" s="17"/>
      <c r="Q44" s="31">
        <f t="shared" si="26"/>
        <v>3451.5400000000081</v>
      </c>
      <c r="R44" s="34">
        <f t="shared" si="27"/>
        <v>8.4600000000000009</v>
      </c>
      <c r="S44" s="273"/>
      <c r="T44" s="273"/>
      <c r="U44" s="273"/>
      <c r="V44" s="22"/>
      <c r="W44" s="272"/>
      <c r="X44" s="272"/>
      <c r="Y44" s="272"/>
      <c r="Z44" s="274"/>
      <c r="AA44" s="31"/>
      <c r="AB44" s="322"/>
      <c r="AC44" s="237"/>
      <c r="AD44" s="237"/>
      <c r="AE44" s="165"/>
      <c r="AF44" s="165"/>
      <c r="AG44" s="165"/>
    </row>
    <row r="45" spans="1:33" s="70" customFormat="1" x14ac:dyDescent="0.25">
      <c r="A45" s="270"/>
      <c r="B45" s="389"/>
      <c r="C45" s="315" t="s">
        <v>69</v>
      </c>
      <c r="D45" s="64">
        <v>400</v>
      </c>
      <c r="E45" s="64">
        <f t="shared" si="18"/>
        <v>8.7300000000000022</v>
      </c>
      <c r="F45" s="16">
        <f t="shared" si="19"/>
        <v>15100</v>
      </c>
      <c r="G45" s="17">
        <f t="shared" si="20"/>
        <v>8.5788111589404146</v>
      </c>
      <c r="H45" s="15">
        <f t="shared" si="21"/>
        <v>129540.04850000027</v>
      </c>
      <c r="I45" s="15">
        <f t="shared" si="22"/>
        <v>2282.9514999997627</v>
      </c>
      <c r="J45" s="33">
        <f t="shared" si="23"/>
        <v>1.7623518953675307E-2</v>
      </c>
      <c r="K45" s="15">
        <f t="shared" si="24"/>
        <v>131823.00000000003</v>
      </c>
      <c r="L45" s="15">
        <f t="shared" si="25"/>
        <v>1231.5080000000016</v>
      </c>
      <c r="M45" s="15"/>
      <c r="N45" s="15"/>
      <c r="O45" s="15"/>
      <c r="P45" s="17"/>
      <c r="Q45" s="31">
        <f t="shared" si="26"/>
        <v>3483.5080000000016</v>
      </c>
      <c r="R45" s="34">
        <f t="shared" si="27"/>
        <v>8.4920000000000009</v>
      </c>
      <c r="S45" s="273"/>
      <c r="T45" s="273"/>
      <c r="U45" s="273"/>
      <c r="V45" s="22"/>
      <c r="W45" s="272"/>
      <c r="X45" s="272"/>
      <c r="Y45" s="272"/>
      <c r="Z45" s="274"/>
      <c r="AA45" s="31"/>
      <c r="AB45" s="322"/>
      <c r="AC45" s="237"/>
      <c r="AD45" s="237"/>
      <c r="AE45" s="165"/>
      <c r="AF45" s="165"/>
      <c r="AG45" s="165"/>
    </row>
    <row r="46" spans="1:33" s="70" customFormat="1" x14ac:dyDescent="0.25">
      <c r="A46" s="290"/>
      <c r="B46" s="165"/>
      <c r="I46" s="165"/>
      <c r="J46" s="165"/>
      <c r="K46" s="165"/>
      <c r="L46" s="165"/>
      <c r="M46" s="165"/>
      <c r="N46" s="165"/>
      <c r="O46" s="165"/>
      <c r="P46" s="165"/>
      <c r="Q46" s="165"/>
      <c r="R46" s="165"/>
      <c r="S46" s="165"/>
      <c r="T46" s="165"/>
      <c r="U46" s="165"/>
      <c r="V46" s="165"/>
      <c r="W46" s="165"/>
      <c r="X46" s="165"/>
      <c r="Y46" s="165"/>
      <c r="Z46" s="165"/>
      <c r="AA46" s="165"/>
      <c r="AB46" s="165"/>
      <c r="AC46" s="165"/>
      <c r="AD46" s="165"/>
      <c r="AE46" s="165"/>
      <c r="AF46" s="165"/>
      <c r="AG46" s="165"/>
    </row>
    <row r="47" spans="1:33" s="70" customFormat="1" x14ac:dyDescent="0.25">
      <c r="A47" s="290"/>
      <c r="B47" s="165"/>
      <c r="I47" s="165"/>
      <c r="J47" s="165"/>
      <c r="K47" s="165"/>
      <c r="L47" s="165"/>
      <c r="M47" s="165"/>
      <c r="N47" s="165"/>
      <c r="O47" s="165"/>
      <c r="P47" s="165"/>
      <c r="Q47" s="165"/>
      <c r="R47" s="165"/>
      <c r="S47" s="165"/>
      <c r="T47" s="165"/>
      <c r="U47" s="165"/>
      <c r="V47" s="165"/>
      <c r="W47" s="165"/>
      <c r="X47" s="165"/>
      <c r="Y47" s="165"/>
      <c r="Z47" s="165"/>
      <c r="AA47" s="165"/>
      <c r="AB47" s="165"/>
      <c r="AC47" s="165"/>
      <c r="AD47" s="165"/>
      <c r="AE47" s="165"/>
      <c r="AF47" s="165"/>
      <c r="AG47" s="165"/>
    </row>
    <row r="48" spans="1:33" s="70" customFormat="1" x14ac:dyDescent="0.25">
      <c r="A48" s="290"/>
      <c r="B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</row>
    <row r="49" spans="1:33" s="70" customFormat="1" x14ac:dyDescent="0.25">
      <c r="A49" s="290"/>
      <c r="B49" s="165"/>
      <c r="I49" s="165"/>
      <c r="J49" s="165"/>
      <c r="K49" s="165"/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5"/>
      <c r="W49" s="165"/>
      <c r="X49" s="165"/>
      <c r="Y49" s="165"/>
      <c r="Z49" s="165"/>
      <c r="AA49" s="165"/>
      <c r="AB49" s="165"/>
      <c r="AC49" s="165"/>
      <c r="AD49" s="165"/>
      <c r="AE49" s="165"/>
      <c r="AF49" s="165"/>
      <c r="AG49" s="165"/>
    </row>
    <row r="50" spans="1:33" s="70" customFormat="1" x14ac:dyDescent="0.25">
      <c r="A50" s="290"/>
      <c r="B50" s="165"/>
      <c r="I50" s="165"/>
      <c r="J50" s="165"/>
      <c r="K50" s="165"/>
      <c r="L50" s="165"/>
      <c r="M50" s="165"/>
      <c r="N50" s="165"/>
      <c r="O50" s="165"/>
      <c r="P50" s="165"/>
      <c r="Q50" s="165"/>
      <c r="R50" s="165"/>
      <c r="S50" s="165"/>
      <c r="T50" s="165"/>
      <c r="U50" s="165"/>
      <c r="V50" s="165"/>
      <c r="W50" s="165"/>
      <c r="X50" s="165"/>
      <c r="Y50" s="165"/>
      <c r="Z50" s="165"/>
      <c r="AA50" s="165"/>
      <c r="AB50" s="165"/>
      <c r="AC50" s="165"/>
      <c r="AD50" s="165"/>
      <c r="AE50" s="165"/>
      <c r="AF50" s="165"/>
      <c r="AG50" s="165"/>
    </row>
    <row r="51" spans="1:33" s="70" customFormat="1" x14ac:dyDescent="0.25">
      <c r="A51" s="290"/>
      <c r="B51" s="165"/>
      <c r="I51" s="165"/>
      <c r="J51" s="165"/>
      <c r="K51" s="165"/>
      <c r="L51" s="165"/>
      <c r="M51" s="165"/>
      <c r="N51" s="165"/>
      <c r="O51" s="165"/>
      <c r="P51" s="165"/>
      <c r="Q51" s="165"/>
      <c r="R51" s="165"/>
      <c r="S51" s="165"/>
      <c r="T51" s="165"/>
      <c r="U51" s="165"/>
      <c r="V51" s="165"/>
      <c r="W51" s="165"/>
      <c r="X51" s="165"/>
      <c r="Y51" s="165"/>
      <c r="Z51" s="165"/>
      <c r="AA51" s="165"/>
      <c r="AB51" s="165"/>
      <c r="AC51" s="165"/>
      <c r="AD51" s="165"/>
      <c r="AE51" s="165"/>
      <c r="AF51" s="165"/>
      <c r="AG51" s="165"/>
    </row>
    <row r="52" spans="1:33" s="70" customFormat="1" x14ac:dyDescent="0.25">
      <c r="A52" s="290"/>
      <c r="B52" s="165"/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165"/>
      <c r="AD52" s="165"/>
      <c r="AE52" s="165"/>
      <c r="AF52" s="165"/>
      <c r="AG52" s="165"/>
    </row>
    <row r="53" spans="1:33" s="70" customFormat="1" x14ac:dyDescent="0.25">
      <c r="A53" s="290"/>
      <c r="B53" s="165"/>
      <c r="I53" s="165"/>
      <c r="J53" s="165"/>
      <c r="K53" s="165"/>
      <c r="L53" s="165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165"/>
      <c r="Y53" s="165"/>
      <c r="Z53" s="165"/>
      <c r="AA53" s="165"/>
      <c r="AB53" s="165"/>
      <c r="AC53" s="165"/>
      <c r="AD53" s="165"/>
      <c r="AE53" s="165"/>
      <c r="AF53" s="165"/>
      <c r="AG53" s="165"/>
    </row>
    <row r="54" spans="1:33" s="70" customFormat="1" x14ac:dyDescent="0.25">
      <c r="A54" s="290"/>
      <c r="B54" s="165"/>
      <c r="I54" s="165"/>
      <c r="J54" s="165"/>
      <c r="K54" s="165"/>
      <c r="L54" s="165"/>
      <c r="M54" s="165"/>
      <c r="N54" s="165"/>
      <c r="O54" s="165"/>
      <c r="P54" s="165"/>
      <c r="Q54" s="165"/>
      <c r="R54" s="165"/>
      <c r="S54" s="165"/>
      <c r="T54" s="165"/>
      <c r="U54" s="165"/>
      <c r="V54" s="165"/>
      <c r="W54" s="165"/>
      <c r="X54" s="165"/>
      <c r="Y54" s="165"/>
      <c r="Z54" s="165"/>
      <c r="AA54" s="165"/>
      <c r="AB54" s="165"/>
      <c r="AC54" s="165"/>
      <c r="AD54" s="165"/>
      <c r="AE54" s="165"/>
      <c r="AF54" s="165"/>
      <c r="AG54" s="165"/>
    </row>
    <row r="55" spans="1:33" s="70" customFormat="1" x14ac:dyDescent="0.25">
      <c r="A55" s="290"/>
      <c r="B55" s="165"/>
      <c r="I55" s="165"/>
      <c r="J55" s="165"/>
      <c r="K55" s="165"/>
      <c r="L55" s="165"/>
      <c r="M55" s="165"/>
      <c r="N55" s="165"/>
      <c r="O55" s="165"/>
      <c r="P55" s="165"/>
      <c r="Q55" s="165"/>
      <c r="R55" s="165"/>
      <c r="S55" s="165"/>
      <c r="T55" s="165"/>
      <c r="U55" s="165"/>
      <c r="V55" s="165"/>
      <c r="W55" s="165"/>
      <c r="X55" s="165"/>
      <c r="Y55" s="165"/>
      <c r="Z55" s="165"/>
      <c r="AA55" s="165"/>
      <c r="AB55" s="165"/>
      <c r="AC55" s="165"/>
      <c r="AD55" s="165"/>
      <c r="AE55" s="165"/>
      <c r="AF55" s="165"/>
      <c r="AG55" s="165"/>
    </row>
    <row r="56" spans="1:33" s="70" customFormat="1" x14ac:dyDescent="0.25">
      <c r="A56" s="290"/>
      <c r="B56" s="165"/>
      <c r="I56" s="165"/>
      <c r="J56" s="165"/>
      <c r="K56" s="165"/>
      <c r="L56" s="165"/>
      <c r="M56" s="165"/>
      <c r="N56" s="165"/>
      <c r="O56" s="165"/>
      <c r="P56" s="165"/>
      <c r="Q56" s="165"/>
      <c r="R56" s="165"/>
      <c r="S56" s="165"/>
      <c r="T56" s="165"/>
      <c r="U56" s="165"/>
      <c r="V56" s="165"/>
      <c r="W56" s="165"/>
      <c r="X56" s="165"/>
      <c r="Y56" s="165"/>
      <c r="Z56" s="165"/>
      <c r="AA56" s="165"/>
      <c r="AB56" s="165"/>
      <c r="AC56" s="165"/>
      <c r="AD56" s="165"/>
      <c r="AE56" s="165"/>
      <c r="AF56" s="165"/>
      <c r="AG56" s="165"/>
    </row>
    <row r="57" spans="1:33" s="70" customFormat="1" x14ac:dyDescent="0.25">
      <c r="A57" s="290"/>
      <c r="B57" s="165"/>
      <c r="I57" s="165"/>
      <c r="J57" s="165"/>
      <c r="K57" s="165"/>
      <c r="L57" s="165"/>
      <c r="M57" s="165"/>
      <c r="N57" s="165"/>
      <c r="O57" s="165"/>
      <c r="P57" s="165"/>
      <c r="Q57" s="165"/>
      <c r="R57" s="165"/>
      <c r="S57" s="165"/>
      <c r="T57" s="165"/>
      <c r="U57" s="165"/>
      <c r="V57" s="165"/>
      <c r="W57" s="165"/>
      <c r="X57" s="165"/>
      <c r="Y57" s="165"/>
      <c r="Z57" s="165"/>
      <c r="AA57" s="165"/>
      <c r="AB57" s="165"/>
      <c r="AC57" s="165"/>
      <c r="AD57" s="165"/>
      <c r="AE57" s="165"/>
      <c r="AF57" s="165"/>
      <c r="AG57" s="165"/>
    </row>
    <row r="58" spans="1:33" s="70" customFormat="1" x14ac:dyDescent="0.25">
      <c r="A58" s="290"/>
      <c r="B58" s="165"/>
      <c r="I58" s="165"/>
      <c r="J58" s="165"/>
      <c r="K58" s="165"/>
      <c r="L58" s="165"/>
      <c r="M58" s="165"/>
      <c r="N58" s="165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65"/>
      <c r="AC58" s="165"/>
      <c r="AD58" s="165"/>
      <c r="AE58" s="165"/>
      <c r="AF58" s="165"/>
      <c r="AG58" s="165"/>
    </row>
    <row r="59" spans="1:33" s="70" customFormat="1" x14ac:dyDescent="0.25">
      <c r="A59" s="290"/>
      <c r="B59" s="165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  <c r="AG59" s="165"/>
    </row>
    <row r="60" spans="1:33" s="70" customFormat="1" x14ac:dyDescent="0.25">
      <c r="A60" s="290"/>
      <c r="B60" s="165"/>
      <c r="I60" s="165"/>
      <c r="J60" s="165"/>
      <c r="K60" s="165"/>
      <c r="L60" s="165"/>
      <c r="M60" s="165"/>
      <c r="N60" s="165"/>
      <c r="O60" s="165"/>
      <c r="P60" s="165"/>
      <c r="Q60" s="165"/>
      <c r="R60" s="165"/>
      <c r="S60" s="165"/>
      <c r="T60" s="165"/>
      <c r="U60" s="165"/>
      <c r="V60" s="165"/>
      <c r="W60" s="165"/>
      <c r="X60" s="165"/>
      <c r="Y60" s="165"/>
      <c r="Z60" s="165"/>
      <c r="AA60" s="165"/>
      <c r="AB60" s="165"/>
      <c r="AC60" s="165"/>
      <c r="AD60" s="165"/>
      <c r="AE60" s="165"/>
      <c r="AF60" s="165"/>
      <c r="AG60" s="165"/>
    </row>
    <row r="61" spans="1:33" s="70" customFormat="1" x14ac:dyDescent="0.25">
      <c r="A61" s="290"/>
      <c r="B61" s="165"/>
      <c r="I61" s="165"/>
      <c r="J61" s="165"/>
      <c r="K61" s="165"/>
      <c r="L61" s="165"/>
      <c r="M61" s="165"/>
      <c r="N61" s="165"/>
      <c r="O61" s="165"/>
      <c r="P61" s="165"/>
      <c r="Q61" s="165"/>
      <c r="R61" s="165"/>
      <c r="S61" s="165"/>
      <c r="T61" s="165"/>
      <c r="U61" s="165"/>
      <c r="V61" s="165"/>
      <c r="W61" s="165"/>
      <c r="X61" s="165"/>
      <c r="Y61" s="165"/>
      <c r="Z61" s="165"/>
      <c r="AA61" s="165"/>
      <c r="AB61" s="165"/>
      <c r="AC61" s="165"/>
      <c r="AD61" s="165"/>
      <c r="AE61" s="165"/>
      <c r="AF61" s="165"/>
      <c r="AG61" s="165"/>
    </row>
    <row r="62" spans="1:33" s="70" customFormat="1" x14ac:dyDescent="0.25">
      <c r="A62" s="290"/>
      <c r="B62" s="165"/>
      <c r="I62" s="165"/>
      <c r="J62" s="165"/>
      <c r="K62" s="165"/>
      <c r="L62" s="165"/>
      <c r="M62" s="165"/>
      <c r="N62" s="165"/>
      <c r="O62" s="165"/>
      <c r="P62" s="165"/>
      <c r="Q62" s="165"/>
      <c r="R62" s="165"/>
      <c r="S62" s="165"/>
      <c r="T62" s="165"/>
      <c r="U62" s="165"/>
      <c r="V62" s="165"/>
      <c r="W62" s="165"/>
      <c r="X62" s="165"/>
      <c r="Y62" s="165"/>
      <c r="Z62" s="165"/>
      <c r="AA62" s="165"/>
      <c r="AB62" s="165"/>
      <c r="AC62" s="165"/>
      <c r="AD62" s="165"/>
      <c r="AE62" s="165"/>
      <c r="AF62" s="165"/>
      <c r="AG62" s="165"/>
    </row>
    <row r="63" spans="1:33" s="70" customFormat="1" x14ac:dyDescent="0.25">
      <c r="A63" s="290"/>
      <c r="B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</row>
    <row r="64" spans="1:33" s="70" customFormat="1" x14ac:dyDescent="0.25">
      <c r="A64" s="290"/>
      <c r="B64" s="165"/>
      <c r="I64" s="165"/>
      <c r="J64" s="165"/>
      <c r="K64" s="165"/>
      <c r="L64" s="165"/>
      <c r="M64" s="165"/>
      <c r="N64" s="165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</row>
    <row r="65" spans="1:33" s="70" customFormat="1" x14ac:dyDescent="0.25">
      <c r="A65" s="290"/>
      <c r="B65" s="165"/>
      <c r="I65" s="165"/>
      <c r="J65" s="165"/>
      <c r="K65" s="165"/>
      <c r="L65" s="165"/>
      <c r="M65" s="165"/>
      <c r="N65" s="165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Y65" s="165"/>
      <c r="Z65" s="165"/>
      <c r="AA65" s="165"/>
      <c r="AB65" s="165"/>
      <c r="AC65" s="165"/>
      <c r="AD65" s="165"/>
      <c r="AE65" s="165"/>
      <c r="AF65" s="165"/>
      <c r="AG65" s="165"/>
    </row>
    <row r="66" spans="1:33" s="70" customFormat="1" x14ac:dyDescent="0.25">
      <c r="A66" s="290"/>
      <c r="B66" s="165"/>
      <c r="I66" s="165"/>
      <c r="J66" s="165"/>
      <c r="K66" s="165"/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Y66" s="165"/>
      <c r="Z66" s="165"/>
      <c r="AA66" s="165"/>
      <c r="AB66" s="165"/>
      <c r="AC66" s="165"/>
      <c r="AD66" s="165"/>
      <c r="AE66" s="165"/>
      <c r="AF66" s="165"/>
      <c r="AG66" s="165"/>
    </row>
    <row r="67" spans="1:33" s="70" customFormat="1" x14ac:dyDescent="0.25">
      <c r="A67" s="290"/>
      <c r="B67" s="165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Y67" s="165"/>
      <c r="Z67" s="165"/>
      <c r="AA67" s="165"/>
      <c r="AB67" s="165"/>
      <c r="AC67" s="165"/>
      <c r="AD67" s="165"/>
      <c r="AE67" s="165"/>
      <c r="AF67" s="165"/>
      <c r="AG67" s="165"/>
    </row>
    <row r="68" spans="1:33" s="70" customFormat="1" x14ac:dyDescent="0.25">
      <c r="A68" s="290"/>
      <c r="B68" s="165"/>
      <c r="I68" s="165"/>
      <c r="J68" s="165"/>
      <c r="K68" s="165"/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5"/>
      <c r="W68" s="165"/>
      <c r="X68" s="165"/>
      <c r="Y68" s="165"/>
      <c r="Z68" s="165"/>
      <c r="AA68" s="165"/>
      <c r="AB68" s="165"/>
      <c r="AC68" s="165"/>
      <c r="AD68" s="165"/>
      <c r="AE68" s="165"/>
      <c r="AF68" s="165"/>
      <c r="AG68" s="165"/>
    </row>
    <row r="69" spans="1:33" s="70" customFormat="1" x14ac:dyDescent="0.25">
      <c r="A69" s="290"/>
      <c r="B69" s="165"/>
      <c r="I69" s="165"/>
      <c r="J69" s="165"/>
      <c r="K69" s="165"/>
      <c r="L69" s="165"/>
      <c r="M69" s="165"/>
      <c r="N69" s="165"/>
      <c r="O69" s="165"/>
      <c r="P69" s="165"/>
      <c r="Q69" s="165"/>
      <c r="R69" s="165"/>
      <c r="S69" s="165"/>
      <c r="T69" s="165"/>
      <c r="U69" s="165"/>
      <c r="V69" s="165"/>
      <c r="W69" s="165"/>
      <c r="X69" s="165"/>
      <c r="Y69" s="165"/>
      <c r="Z69" s="165"/>
      <c r="AA69" s="165"/>
      <c r="AB69" s="165"/>
      <c r="AC69" s="165"/>
      <c r="AD69" s="165"/>
      <c r="AE69" s="165"/>
      <c r="AF69" s="165"/>
      <c r="AG69" s="165"/>
    </row>
    <row r="70" spans="1:33" s="70" customFormat="1" x14ac:dyDescent="0.25">
      <c r="A70" s="290"/>
      <c r="B70" s="165"/>
      <c r="I70" s="165"/>
      <c r="J70" s="165"/>
      <c r="K70" s="165"/>
      <c r="L70" s="165"/>
      <c r="M70" s="165"/>
      <c r="N70" s="165"/>
      <c r="O70" s="165"/>
      <c r="P70" s="165"/>
      <c r="Q70" s="165"/>
      <c r="R70" s="165"/>
      <c r="S70" s="165"/>
      <c r="T70" s="165"/>
      <c r="U70" s="165"/>
      <c r="V70" s="165"/>
      <c r="W70" s="165"/>
      <c r="X70" s="165"/>
      <c r="Y70" s="165"/>
      <c r="Z70" s="165"/>
      <c r="AA70" s="165"/>
      <c r="AB70" s="165"/>
      <c r="AC70" s="165"/>
      <c r="AD70" s="165"/>
      <c r="AE70" s="165"/>
      <c r="AF70" s="165"/>
      <c r="AG70" s="165"/>
    </row>
    <row r="71" spans="1:33" s="70" customFormat="1" x14ac:dyDescent="0.25">
      <c r="A71" s="290"/>
      <c r="B71" s="165"/>
      <c r="I71" s="165"/>
      <c r="J71" s="165"/>
      <c r="K71" s="165"/>
      <c r="L71" s="165"/>
      <c r="M71" s="165"/>
      <c r="N71" s="165"/>
      <c r="O71" s="165"/>
      <c r="P71" s="165"/>
      <c r="Q71" s="165"/>
      <c r="R71" s="165"/>
      <c r="S71" s="165"/>
      <c r="T71" s="165"/>
      <c r="U71" s="165"/>
      <c r="V71" s="165"/>
      <c r="W71" s="165"/>
      <c r="X71" s="165"/>
      <c r="Y71" s="165"/>
      <c r="Z71" s="165"/>
      <c r="AA71" s="165"/>
      <c r="AB71" s="165"/>
      <c r="AC71" s="165"/>
      <c r="AD71" s="165"/>
      <c r="AE71" s="165"/>
      <c r="AF71" s="165"/>
      <c r="AG71" s="165"/>
    </row>
    <row r="72" spans="1:33" s="70" customFormat="1" x14ac:dyDescent="0.25">
      <c r="A72" s="290"/>
      <c r="B72" s="165"/>
      <c r="I72" s="165"/>
      <c r="J72" s="165"/>
      <c r="K72" s="165"/>
      <c r="L72" s="165"/>
      <c r="M72" s="165"/>
      <c r="N72" s="165"/>
      <c r="O72" s="165"/>
      <c r="P72" s="165"/>
      <c r="Q72" s="165"/>
      <c r="R72" s="165"/>
      <c r="S72" s="165"/>
      <c r="T72" s="165"/>
      <c r="U72" s="165"/>
      <c r="V72" s="165"/>
      <c r="W72" s="165"/>
      <c r="X72" s="165"/>
      <c r="Y72" s="165"/>
      <c r="Z72" s="165"/>
      <c r="AA72" s="165"/>
      <c r="AB72" s="165"/>
      <c r="AC72" s="165"/>
      <c r="AD72" s="165"/>
      <c r="AE72" s="165"/>
      <c r="AF72" s="165"/>
      <c r="AG72" s="165"/>
    </row>
    <row r="73" spans="1:33" s="70" customFormat="1" x14ac:dyDescent="0.25">
      <c r="A73" s="290"/>
      <c r="B73" s="165"/>
      <c r="I73" s="165"/>
      <c r="J73" s="165"/>
      <c r="K73" s="165"/>
      <c r="L73" s="165"/>
      <c r="M73" s="165"/>
      <c r="N73" s="165"/>
      <c r="O73" s="165"/>
      <c r="P73" s="165"/>
      <c r="Q73" s="165"/>
      <c r="R73" s="165"/>
      <c r="S73" s="165"/>
      <c r="T73" s="165"/>
      <c r="U73" s="165"/>
      <c r="V73" s="165"/>
      <c r="W73" s="165"/>
      <c r="X73" s="165"/>
      <c r="Y73" s="165"/>
      <c r="Z73" s="165"/>
      <c r="AA73" s="165"/>
      <c r="AB73" s="165"/>
      <c r="AC73" s="165"/>
      <c r="AD73" s="165"/>
      <c r="AE73" s="165"/>
      <c r="AF73" s="165"/>
      <c r="AG73" s="165"/>
    </row>
    <row r="74" spans="1:33" s="70" customFormat="1" x14ac:dyDescent="0.25">
      <c r="A74" s="290"/>
      <c r="B74" s="165"/>
      <c r="I74" s="165"/>
      <c r="J74" s="165"/>
      <c r="K74" s="165"/>
      <c r="L74" s="165"/>
      <c r="M74" s="165"/>
      <c r="N74" s="165"/>
      <c r="O74" s="165"/>
      <c r="P74" s="165"/>
      <c r="Q74" s="165"/>
      <c r="R74" s="165"/>
      <c r="S74" s="165"/>
      <c r="T74" s="165"/>
      <c r="U74" s="165"/>
      <c r="V74" s="165"/>
      <c r="W74" s="165"/>
      <c r="X74" s="165"/>
      <c r="Y74" s="165"/>
      <c r="Z74" s="165"/>
      <c r="AA74" s="165"/>
      <c r="AB74" s="165"/>
      <c r="AC74" s="165"/>
      <c r="AD74" s="165"/>
      <c r="AE74" s="165"/>
      <c r="AF74" s="165"/>
      <c r="AG74" s="165"/>
    </row>
    <row r="75" spans="1:33" s="70" customFormat="1" x14ac:dyDescent="0.25">
      <c r="A75" s="290"/>
      <c r="B75" s="165"/>
      <c r="I75" s="165"/>
      <c r="J75" s="165"/>
      <c r="K75" s="165"/>
      <c r="L75" s="165"/>
      <c r="M75" s="165"/>
      <c r="N75" s="165"/>
      <c r="O75" s="165"/>
      <c r="P75" s="165"/>
      <c r="Q75" s="165"/>
      <c r="R75" s="165"/>
      <c r="S75" s="165"/>
      <c r="T75" s="165"/>
      <c r="U75" s="165"/>
      <c r="V75" s="165"/>
      <c r="W75" s="165"/>
      <c r="X75" s="165"/>
      <c r="Y75" s="165"/>
      <c r="Z75" s="165"/>
      <c r="AA75" s="165"/>
      <c r="AB75" s="165"/>
      <c r="AC75" s="165"/>
      <c r="AD75" s="165"/>
      <c r="AE75" s="165"/>
      <c r="AF75" s="165"/>
      <c r="AG75" s="165"/>
    </row>
    <row r="76" spans="1:33" s="70" customFormat="1" x14ac:dyDescent="0.25">
      <c r="A76" s="290"/>
      <c r="B76" s="165"/>
      <c r="I76" s="165"/>
      <c r="J76" s="165"/>
      <c r="K76" s="165"/>
      <c r="L76" s="165"/>
      <c r="M76" s="165"/>
      <c r="N76" s="165"/>
      <c r="O76" s="165"/>
      <c r="P76" s="165"/>
      <c r="Q76" s="165"/>
      <c r="R76" s="165"/>
      <c r="S76" s="165"/>
      <c r="T76" s="165"/>
      <c r="U76" s="165"/>
      <c r="V76" s="165"/>
      <c r="W76" s="165"/>
      <c r="X76" s="165"/>
      <c r="Y76" s="165"/>
      <c r="Z76" s="165"/>
      <c r="AA76" s="165"/>
      <c r="AB76" s="165"/>
      <c r="AC76" s="165"/>
      <c r="AD76" s="165"/>
      <c r="AE76" s="165"/>
      <c r="AF76" s="165"/>
      <c r="AG76" s="165"/>
    </row>
    <row r="77" spans="1:33" s="70" customFormat="1" x14ac:dyDescent="0.25">
      <c r="A77" s="290"/>
      <c r="B77" s="165"/>
      <c r="I77" s="165"/>
      <c r="J77" s="165"/>
      <c r="K77" s="165"/>
      <c r="L77" s="165"/>
      <c r="M77" s="165"/>
      <c r="N77" s="165"/>
      <c r="O77" s="165"/>
      <c r="P77" s="165"/>
      <c r="Q77" s="165"/>
      <c r="R77" s="165"/>
      <c r="S77" s="165"/>
      <c r="T77" s="165"/>
      <c r="U77" s="165"/>
      <c r="V77" s="165"/>
      <c r="W77" s="165"/>
      <c r="X77" s="165"/>
      <c r="Y77" s="165"/>
      <c r="Z77" s="165"/>
      <c r="AA77" s="165"/>
      <c r="AB77" s="165"/>
      <c r="AC77" s="165"/>
      <c r="AD77" s="165"/>
      <c r="AE77" s="165"/>
      <c r="AF77" s="165"/>
      <c r="AG77" s="165"/>
    </row>
    <row r="78" spans="1:33" s="70" customFormat="1" x14ac:dyDescent="0.25">
      <c r="A78" s="290"/>
      <c r="B78" s="165"/>
      <c r="I78" s="165"/>
      <c r="J78" s="165"/>
      <c r="K78" s="165"/>
      <c r="L78" s="165"/>
      <c r="M78" s="165"/>
      <c r="N78" s="165"/>
      <c r="O78" s="165"/>
      <c r="P78" s="165"/>
      <c r="Q78" s="165"/>
      <c r="R78" s="165"/>
      <c r="S78" s="165"/>
      <c r="T78" s="165"/>
      <c r="U78" s="165"/>
      <c r="V78" s="165"/>
      <c r="W78" s="165"/>
      <c r="X78" s="165"/>
      <c r="Y78" s="165"/>
      <c r="Z78" s="165"/>
      <c r="AA78" s="165"/>
      <c r="AB78" s="165"/>
      <c r="AC78" s="165"/>
      <c r="AD78" s="165"/>
      <c r="AE78" s="165"/>
      <c r="AF78" s="165"/>
      <c r="AG78" s="165"/>
    </row>
    <row r="79" spans="1:33" s="70" customFormat="1" x14ac:dyDescent="0.25">
      <c r="A79" s="290"/>
      <c r="B79" s="165"/>
      <c r="I79" s="165"/>
      <c r="J79" s="165"/>
      <c r="K79" s="165"/>
      <c r="L79" s="165"/>
      <c r="M79" s="165"/>
      <c r="N79" s="165"/>
      <c r="O79" s="165"/>
      <c r="P79" s="165"/>
      <c r="Q79" s="165"/>
      <c r="R79" s="165"/>
      <c r="S79" s="165"/>
      <c r="T79" s="165"/>
      <c r="U79" s="165"/>
      <c r="V79" s="165"/>
      <c r="W79" s="165"/>
      <c r="X79" s="165"/>
      <c r="Y79" s="165"/>
      <c r="Z79" s="165"/>
      <c r="AA79" s="165"/>
      <c r="AB79" s="165"/>
      <c r="AC79" s="165"/>
      <c r="AD79" s="165"/>
      <c r="AE79" s="165"/>
      <c r="AF79" s="165"/>
      <c r="AG79" s="165"/>
    </row>
    <row r="80" spans="1:33" s="70" customFormat="1" x14ac:dyDescent="0.25">
      <c r="A80" s="290"/>
      <c r="B80" s="165"/>
      <c r="I80" s="165"/>
      <c r="J80" s="165"/>
      <c r="K80" s="165"/>
      <c r="L80" s="165"/>
      <c r="M80" s="165"/>
      <c r="N80" s="165"/>
      <c r="O80" s="165"/>
      <c r="P80" s="165"/>
      <c r="Q80" s="165"/>
      <c r="R80" s="165"/>
      <c r="S80" s="165"/>
      <c r="T80" s="165"/>
      <c r="U80" s="165"/>
      <c r="V80" s="165"/>
      <c r="W80" s="165"/>
      <c r="X80" s="165"/>
      <c r="Y80" s="165"/>
      <c r="Z80" s="165"/>
      <c r="AA80" s="165"/>
      <c r="AB80" s="165"/>
      <c r="AC80" s="165"/>
      <c r="AD80" s="165"/>
      <c r="AE80" s="165"/>
      <c r="AF80" s="165"/>
      <c r="AG80" s="165"/>
    </row>
    <row r="81" spans="1:33" s="70" customFormat="1" x14ac:dyDescent="0.25">
      <c r="A81" s="290"/>
      <c r="B81" s="165"/>
      <c r="I81" s="165"/>
      <c r="J81" s="165"/>
      <c r="K81" s="165"/>
      <c r="L81" s="165"/>
      <c r="M81" s="165"/>
      <c r="N81" s="165"/>
      <c r="O81" s="165"/>
      <c r="P81" s="165"/>
      <c r="Q81" s="165"/>
      <c r="R81" s="165"/>
      <c r="S81" s="165"/>
      <c r="T81" s="165"/>
      <c r="U81" s="165"/>
      <c r="V81" s="165"/>
      <c r="W81" s="165"/>
      <c r="X81" s="165"/>
      <c r="Y81" s="165"/>
      <c r="Z81" s="165"/>
      <c r="AA81" s="165"/>
      <c r="AB81" s="165"/>
      <c r="AC81" s="165"/>
      <c r="AD81" s="165"/>
      <c r="AE81" s="165"/>
      <c r="AF81" s="165"/>
      <c r="AG81" s="165"/>
    </row>
    <row r="82" spans="1:33" s="70" customFormat="1" x14ac:dyDescent="0.25">
      <c r="A82" s="290"/>
      <c r="B82" s="165"/>
      <c r="I82" s="165"/>
      <c r="J82" s="165"/>
      <c r="K82" s="165"/>
      <c r="L82" s="165"/>
      <c r="M82" s="165"/>
      <c r="N82" s="165"/>
      <c r="O82" s="165"/>
      <c r="P82" s="165"/>
      <c r="Q82" s="165"/>
      <c r="R82" s="165"/>
      <c r="S82" s="165"/>
      <c r="T82" s="165"/>
      <c r="U82" s="165"/>
      <c r="V82" s="165"/>
      <c r="W82" s="165"/>
      <c r="X82" s="165"/>
      <c r="Y82" s="165"/>
      <c r="Z82" s="165"/>
      <c r="AA82" s="165"/>
      <c r="AB82" s="165"/>
      <c r="AC82" s="165"/>
      <c r="AD82" s="165"/>
      <c r="AE82" s="165"/>
      <c r="AF82" s="165"/>
      <c r="AG82" s="165"/>
    </row>
    <row r="83" spans="1:33" s="70" customFormat="1" x14ac:dyDescent="0.25">
      <c r="A83" s="290"/>
      <c r="B83" s="165"/>
      <c r="I83" s="165"/>
      <c r="J83" s="165"/>
      <c r="K83" s="165"/>
      <c r="L83" s="165"/>
      <c r="M83" s="165"/>
      <c r="N83" s="165"/>
      <c r="O83" s="165"/>
      <c r="P83" s="165"/>
      <c r="Q83" s="165"/>
      <c r="R83" s="165"/>
      <c r="S83" s="165"/>
      <c r="T83" s="165"/>
      <c r="U83" s="165"/>
      <c r="V83" s="165"/>
      <c r="W83" s="165"/>
      <c r="X83" s="165"/>
      <c r="Y83" s="165"/>
      <c r="Z83" s="165"/>
      <c r="AA83" s="165"/>
      <c r="AB83" s="165"/>
      <c r="AC83" s="165"/>
      <c r="AD83" s="165"/>
      <c r="AE83" s="165"/>
      <c r="AF83" s="165"/>
      <c r="AG83" s="165"/>
    </row>
    <row r="84" spans="1:33" s="70" customFormat="1" x14ac:dyDescent="0.25">
      <c r="A84" s="290"/>
      <c r="B84" s="165"/>
      <c r="I84" s="165"/>
      <c r="J84" s="165"/>
      <c r="K84" s="165"/>
      <c r="L84" s="165"/>
      <c r="M84" s="165"/>
      <c r="N84" s="165"/>
      <c r="O84" s="165"/>
      <c r="P84" s="165"/>
      <c r="Q84" s="165"/>
      <c r="R84" s="165"/>
      <c r="S84" s="165"/>
      <c r="T84" s="165"/>
      <c r="U84" s="165"/>
      <c r="V84" s="165"/>
      <c r="W84" s="165"/>
      <c r="X84" s="165"/>
      <c r="Y84" s="165"/>
      <c r="Z84" s="165"/>
      <c r="AA84" s="165"/>
      <c r="AB84" s="165"/>
      <c r="AC84" s="165"/>
      <c r="AD84" s="165"/>
      <c r="AE84" s="165"/>
      <c r="AF84" s="165"/>
      <c r="AG84" s="165"/>
    </row>
    <row r="85" spans="1:33" s="70" customFormat="1" x14ac:dyDescent="0.25">
      <c r="A85" s="290"/>
      <c r="B85" s="165"/>
      <c r="I85" s="165"/>
      <c r="J85" s="165"/>
      <c r="K85" s="165"/>
      <c r="L85" s="165"/>
      <c r="M85" s="165"/>
      <c r="N85" s="165"/>
      <c r="O85" s="165"/>
      <c r="P85" s="165"/>
      <c r="Q85" s="165"/>
      <c r="R85" s="165"/>
      <c r="S85" s="165"/>
      <c r="T85" s="165"/>
      <c r="U85" s="165"/>
      <c r="V85" s="165"/>
      <c r="W85" s="165"/>
      <c r="X85" s="165"/>
      <c r="Y85" s="165"/>
      <c r="Z85" s="165"/>
      <c r="AA85" s="165"/>
      <c r="AB85" s="165"/>
      <c r="AC85" s="165"/>
      <c r="AD85" s="165"/>
      <c r="AE85" s="165"/>
      <c r="AF85" s="165"/>
      <c r="AG85" s="165"/>
    </row>
    <row r="86" spans="1:33" s="70" customFormat="1" x14ac:dyDescent="0.25">
      <c r="A86" s="290"/>
      <c r="B86" s="165"/>
      <c r="I86" s="165"/>
      <c r="J86" s="165"/>
      <c r="K86" s="165"/>
      <c r="L86" s="165"/>
      <c r="M86" s="165"/>
      <c r="N86" s="165"/>
      <c r="O86" s="165"/>
      <c r="P86" s="165"/>
      <c r="Q86" s="165"/>
      <c r="R86" s="165"/>
      <c r="S86" s="165"/>
      <c r="T86" s="165"/>
      <c r="U86" s="165"/>
      <c r="V86" s="165"/>
      <c r="W86" s="165"/>
      <c r="X86" s="165"/>
      <c r="Y86" s="165"/>
      <c r="Z86" s="165"/>
      <c r="AA86" s="165"/>
      <c r="AB86" s="165"/>
      <c r="AC86" s="165"/>
      <c r="AD86" s="165"/>
      <c r="AE86" s="165"/>
      <c r="AF86" s="165"/>
      <c r="AG86" s="165"/>
    </row>
    <row r="87" spans="1:33" s="70" customFormat="1" x14ac:dyDescent="0.25">
      <c r="A87" s="290"/>
      <c r="B87" s="165"/>
      <c r="I87" s="165"/>
      <c r="J87" s="165"/>
      <c r="K87" s="165"/>
      <c r="L87" s="165"/>
      <c r="M87" s="165"/>
      <c r="N87" s="165"/>
      <c r="O87" s="165"/>
      <c r="P87" s="165"/>
      <c r="Q87" s="165"/>
      <c r="R87" s="165"/>
      <c r="S87" s="165"/>
      <c r="T87" s="165"/>
      <c r="U87" s="165"/>
      <c r="V87" s="165"/>
      <c r="W87" s="165"/>
      <c r="X87" s="165"/>
      <c r="Y87" s="165"/>
      <c r="Z87" s="165"/>
      <c r="AA87" s="165"/>
      <c r="AB87" s="165"/>
      <c r="AC87" s="165"/>
      <c r="AD87" s="165"/>
      <c r="AE87" s="165"/>
      <c r="AF87" s="165"/>
      <c r="AG87" s="165"/>
    </row>
    <row r="88" spans="1:33" s="70" customFormat="1" x14ac:dyDescent="0.25">
      <c r="A88" s="290"/>
      <c r="B88" s="165"/>
      <c r="I88" s="165"/>
      <c r="J88" s="165"/>
      <c r="K88" s="165"/>
      <c r="L88" s="165"/>
      <c r="M88" s="165"/>
      <c r="N88" s="165"/>
      <c r="O88" s="165"/>
      <c r="P88" s="165"/>
      <c r="Q88" s="165"/>
      <c r="R88" s="165"/>
      <c r="S88" s="165"/>
      <c r="T88" s="165"/>
      <c r="U88" s="165"/>
      <c r="V88" s="165"/>
      <c r="W88" s="165"/>
      <c r="X88" s="165"/>
      <c r="Y88" s="165"/>
      <c r="Z88" s="165"/>
      <c r="AA88" s="165"/>
      <c r="AB88" s="165"/>
      <c r="AC88" s="165"/>
      <c r="AD88" s="165"/>
      <c r="AE88" s="165"/>
      <c r="AF88" s="165"/>
      <c r="AG88" s="165"/>
    </row>
    <row r="89" spans="1:33" s="70" customFormat="1" x14ac:dyDescent="0.25">
      <c r="A89" s="290"/>
      <c r="B89" s="165"/>
      <c r="I89" s="165"/>
      <c r="J89" s="165"/>
      <c r="K89" s="165"/>
      <c r="L89" s="165"/>
      <c r="M89" s="165"/>
      <c r="N89" s="165"/>
      <c r="O89" s="165"/>
      <c r="P89" s="165"/>
      <c r="Q89" s="165"/>
      <c r="R89" s="165"/>
      <c r="S89" s="165"/>
      <c r="T89" s="165"/>
      <c r="U89" s="165"/>
      <c r="V89" s="165"/>
      <c r="W89" s="165"/>
      <c r="X89" s="165"/>
      <c r="Y89" s="165"/>
      <c r="Z89" s="165"/>
      <c r="AA89" s="165"/>
      <c r="AB89" s="165"/>
      <c r="AC89" s="165"/>
      <c r="AD89" s="165"/>
      <c r="AE89" s="165"/>
      <c r="AF89" s="165"/>
      <c r="AG89" s="165"/>
    </row>
    <row r="90" spans="1:33" s="70" customFormat="1" x14ac:dyDescent="0.25">
      <c r="A90" s="290"/>
      <c r="B90" s="165"/>
      <c r="I90" s="165"/>
      <c r="J90" s="165"/>
      <c r="K90" s="165"/>
      <c r="L90" s="165"/>
      <c r="M90" s="165"/>
      <c r="N90" s="165"/>
      <c r="O90" s="165"/>
      <c r="P90" s="165"/>
      <c r="Q90" s="165"/>
      <c r="R90" s="165"/>
      <c r="S90" s="165"/>
      <c r="T90" s="165"/>
      <c r="U90" s="165"/>
      <c r="V90" s="165"/>
      <c r="W90" s="165"/>
      <c r="X90" s="165"/>
      <c r="Y90" s="165"/>
      <c r="Z90" s="165"/>
      <c r="AA90" s="165"/>
      <c r="AB90" s="165"/>
      <c r="AC90" s="165"/>
      <c r="AD90" s="165"/>
      <c r="AE90" s="165"/>
      <c r="AF90" s="165"/>
      <c r="AG90" s="165"/>
    </row>
    <row r="91" spans="1:33" s="70" customFormat="1" x14ac:dyDescent="0.25">
      <c r="A91" s="290"/>
      <c r="B91" s="165"/>
      <c r="I91" s="165"/>
      <c r="J91" s="165"/>
      <c r="K91" s="165"/>
      <c r="L91" s="165"/>
      <c r="M91" s="165"/>
      <c r="N91" s="165"/>
      <c r="O91" s="165"/>
      <c r="P91" s="165"/>
      <c r="Q91" s="165"/>
      <c r="R91" s="165"/>
      <c r="S91" s="165"/>
      <c r="T91" s="165"/>
      <c r="U91" s="165"/>
      <c r="V91" s="165"/>
      <c r="W91" s="165"/>
      <c r="X91" s="165"/>
      <c r="Y91" s="165"/>
      <c r="Z91" s="165"/>
      <c r="AA91" s="165"/>
      <c r="AB91" s="165"/>
      <c r="AC91" s="165"/>
      <c r="AD91" s="165"/>
      <c r="AE91" s="165"/>
      <c r="AF91" s="165"/>
      <c r="AG91" s="165"/>
    </row>
    <row r="92" spans="1:33" s="70" customFormat="1" x14ac:dyDescent="0.25">
      <c r="A92" s="290"/>
      <c r="B92" s="165"/>
      <c r="I92" s="165"/>
      <c r="J92" s="165"/>
      <c r="K92" s="165"/>
      <c r="L92" s="165"/>
      <c r="M92" s="165"/>
      <c r="N92" s="165"/>
      <c r="O92" s="165"/>
      <c r="P92" s="165"/>
      <c r="Q92" s="165"/>
      <c r="R92" s="165"/>
      <c r="S92" s="165"/>
      <c r="T92" s="165"/>
      <c r="U92" s="165"/>
      <c r="V92" s="165"/>
      <c r="W92" s="165"/>
      <c r="X92" s="165"/>
      <c r="Y92" s="165"/>
      <c r="Z92" s="165"/>
      <c r="AA92" s="165"/>
      <c r="AB92" s="165"/>
      <c r="AC92" s="165"/>
      <c r="AD92" s="165"/>
      <c r="AE92" s="165"/>
      <c r="AF92" s="165"/>
      <c r="AG92" s="165"/>
    </row>
    <row r="93" spans="1:33" s="70" customFormat="1" x14ac:dyDescent="0.25">
      <c r="A93" s="290"/>
      <c r="B93" s="165"/>
      <c r="I93" s="165"/>
      <c r="J93" s="165"/>
      <c r="K93" s="165"/>
      <c r="L93" s="165"/>
      <c r="M93" s="165"/>
      <c r="N93" s="165"/>
      <c r="O93" s="165"/>
      <c r="P93" s="165"/>
      <c r="Q93" s="165"/>
      <c r="R93" s="165"/>
      <c r="S93" s="165"/>
      <c r="T93" s="165"/>
      <c r="U93" s="165"/>
      <c r="V93" s="165"/>
      <c r="W93" s="165"/>
      <c r="X93" s="165"/>
      <c r="Y93" s="165"/>
      <c r="Z93" s="165"/>
      <c r="AA93" s="165"/>
      <c r="AB93" s="165"/>
      <c r="AC93" s="165"/>
      <c r="AD93" s="165"/>
      <c r="AE93" s="165"/>
      <c r="AF93" s="165"/>
      <c r="AG93" s="165"/>
    </row>
    <row r="94" spans="1:33" s="70" customFormat="1" x14ac:dyDescent="0.25">
      <c r="A94" s="290"/>
      <c r="B94" s="165"/>
      <c r="I94" s="165"/>
      <c r="J94" s="165"/>
      <c r="K94" s="165"/>
      <c r="L94" s="165"/>
      <c r="M94" s="165"/>
      <c r="N94" s="165"/>
      <c r="O94" s="165"/>
      <c r="P94" s="165"/>
      <c r="Q94" s="165"/>
      <c r="R94" s="165"/>
      <c r="S94" s="165"/>
      <c r="T94" s="165"/>
      <c r="U94" s="165"/>
      <c r="V94" s="165"/>
      <c r="W94" s="165"/>
      <c r="X94" s="165"/>
      <c r="Y94" s="165"/>
      <c r="Z94" s="165"/>
      <c r="AA94" s="165"/>
      <c r="AB94" s="165"/>
      <c r="AC94" s="165"/>
      <c r="AD94" s="165"/>
      <c r="AE94" s="165"/>
      <c r="AF94" s="165"/>
      <c r="AG94" s="165"/>
    </row>
    <row r="95" spans="1:33" s="70" customFormat="1" x14ac:dyDescent="0.25">
      <c r="A95" s="290"/>
      <c r="B95" s="165"/>
      <c r="I95" s="165"/>
      <c r="J95" s="165"/>
      <c r="K95" s="165"/>
      <c r="L95" s="165"/>
      <c r="M95" s="165"/>
      <c r="N95" s="165"/>
      <c r="O95" s="165"/>
      <c r="P95" s="165"/>
      <c r="Q95" s="165"/>
      <c r="R95" s="165"/>
      <c r="S95" s="165"/>
      <c r="T95" s="165"/>
      <c r="U95" s="165"/>
      <c r="V95" s="165"/>
      <c r="W95" s="165"/>
      <c r="X95" s="165"/>
      <c r="Y95" s="165"/>
      <c r="Z95" s="165"/>
      <c r="AA95" s="165"/>
      <c r="AB95" s="165"/>
      <c r="AC95" s="165"/>
      <c r="AD95" s="165"/>
      <c r="AE95" s="165"/>
      <c r="AF95" s="165"/>
      <c r="AG95" s="165"/>
    </row>
    <row r="96" spans="1:33" s="70" customFormat="1" x14ac:dyDescent="0.25">
      <c r="A96" s="290"/>
      <c r="B96" s="165"/>
      <c r="I96" s="165"/>
      <c r="J96" s="165"/>
      <c r="K96" s="165"/>
      <c r="L96" s="165"/>
      <c r="M96" s="165"/>
      <c r="N96" s="165"/>
      <c r="O96" s="165"/>
      <c r="P96" s="165"/>
      <c r="Q96" s="165"/>
      <c r="R96" s="165"/>
      <c r="S96" s="165"/>
      <c r="T96" s="165"/>
      <c r="U96" s="165"/>
      <c r="V96" s="165"/>
      <c r="W96" s="165"/>
      <c r="X96" s="165"/>
      <c r="Y96" s="165"/>
      <c r="Z96" s="165"/>
      <c r="AA96" s="165"/>
      <c r="AB96" s="165"/>
      <c r="AC96" s="165"/>
      <c r="AD96" s="165"/>
      <c r="AE96" s="165"/>
      <c r="AF96" s="165"/>
      <c r="AG96" s="165"/>
    </row>
    <row r="97" spans="1:33" s="70" customFormat="1" x14ac:dyDescent="0.25">
      <c r="A97" s="290"/>
      <c r="B97" s="165"/>
      <c r="I97" s="165"/>
      <c r="J97" s="165"/>
      <c r="K97" s="165"/>
      <c r="L97" s="165"/>
      <c r="M97" s="165"/>
      <c r="N97" s="165"/>
      <c r="O97" s="165"/>
      <c r="P97" s="165"/>
      <c r="Q97" s="165"/>
      <c r="R97" s="165"/>
      <c r="S97" s="165"/>
      <c r="T97" s="165"/>
      <c r="U97" s="165"/>
      <c r="V97" s="165"/>
      <c r="W97" s="165"/>
      <c r="X97" s="165"/>
      <c r="Y97" s="165"/>
      <c r="Z97" s="165"/>
      <c r="AA97" s="165"/>
      <c r="AB97" s="165"/>
      <c r="AC97" s="165"/>
      <c r="AD97" s="165"/>
      <c r="AE97" s="165"/>
      <c r="AF97" s="165"/>
      <c r="AG97" s="165"/>
    </row>
    <row r="98" spans="1:33" s="70" customFormat="1" x14ac:dyDescent="0.25">
      <c r="A98" s="290"/>
      <c r="B98" s="165"/>
      <c r="I98" s="165"/>
      <c r="J98" s="165"/>
      <c r="K98" s="165"/>
      <c r="L98" s="165"/>
      <c r="M98" s="165"/>
      <c r="N98" s="165"/>
      <c r="O98" s="165"/>
      <c r="P98" s="165"/>
      <c r="Q98" s="165"/>
      <c r="R98" s="165"/>
      <c r="S98" s="165"/>
      <c r="T98" s="165"/>
      <c r="U98" s="165"/>
      <c r="V98" s="165"/>
      <c r="W98" s="165"/>
      <c r="X98" s="165"/>
      <c r="Y98" s="165"/>
      <c r="Z98" s="165"/>
      <c r="AA98" s="165"/>
      <c r="AB98" s="165"/>
      <c r="AC98" s="165"/>
      <c r="AD98" s="165"/>
      <c r="AE98" s="165"/>
      <c r="AF98" s="165"/>
      <c r="AG98" s="165"/>
    </row>
    <row r="99" spans="1:33" s="70" customFormat="1" x14ac:dyDescent="0.25">
      <c r="A99" s="290"/>
      <c r="B99" s="165"/>
      <c r="I99" s="165"/>
      <c r="J99" s="165"/>
      <c r="K99" s="165"/>
      <c r="L99" s="165"/>
      <c r="M99" s="165"/>
      <c r="N99" s="165"/>
      <c r="O99" s="165"/>
      <c r="P99" s="165"/>
      <c r="Q99" s="165"/>
      <c r="R99" s="165"/>
      <c r="S99" s="165"/>
      <c r="T99" s="165"/>
      <c r="U99" s="165"/>
      <c r="V99" s="165"/>
      <c r="W99" s="165"/>
      <c r="X99" s="165"/>
      <c r="Y99" s="165"/>
      <c r="Z99" s="165"/>
      <c r="AA99" s="165"/>
      <c r="AB99" s="165"/>
      <c r="AC99" s="165"/>
      <c r="AD99" s="165"/>
      <c r="AE99" s="165"/>
      <c r="AF99" s="165"/>
      <c r="AG99" s="165"/>
    </row>
    <row r="100" spans="1:33" s="70" customFormat="1" x14ac:dyDescent="0.25">
      <c r="A100" s="290"/>
      <c r="B100" s="165"/>
      <c r="I100" s="165"/>
      <c r="J100" s="165"/>
      <c r="K100" s="165"/>
      <c r="L100" s="165"/>
      <c r="M100" s="165"/>
      <c r="N100" s="165"/>
      <c r="O100" s="165"/>
      <c r="P100" s="165"/>
      <c r="Q100" s="165"/>
      <c r="R100" s="165"/>
      <c r="S100" s="165"/>
      <c r="T100" s="165"/>
      <c r="U100" s="165"/>
      <c r="V100" s="165"/>
      <c r="W100" s="165"/>
      <c r="X100" s="165"/>
      <c r="Y100" s="165"/>
      <c r="Z100" s="165"/>
      <c r="AA100" s="165"/>
      <c r="AB100" s="165"/>
      <c r="AC100" s="165"/>
      <c r="AD100" s="165"/>
      <c r="AE100" s="165"/>
      <c r="AF100" s="165"/>
      <c r="AG100" s="165"/>
    </row>
    <row r="101" spans="1:33" s="70" customFormat="1" x14ac:dyDescent="0.25">
      <c r="A101" s="290"/>
      <c r="B101" s="165"/>
      <c r="I101" s="165"/>
      <c r="J101" s="165"/>
      <c r="K101" s="165"/>
      <c r="L101" s="165"/>
      <c r="M101" s="165"/>
      <c r="N101" s="165"/>
      <c r="O101" s="165"/>
      <c r="P101" s="165"/>
      <c r="Q101" s="165"/>
      <c r="R101" s="165"/>
      <c r="S101" s="165"/>
      <c r="T101" s="165"/>
      <c r="U101" s="165"/>
      <c r="V101" s="165"/>
      <c r="W101" s="165"/>
      <c r="X101" s="165"/>
      <c r="Y101" s="165"/>
      <c r="Z101" s="165"/>
      <c r="AA101" s="165"/>
      <c r="AB101" s="165"/>
      <c r="AC101" s="165"/>
      <c r="AD101" s="165"/>
      <c r="AE101" s="165"/>
      <c r="AF101" s="165"/>
      <c r="AG101" s="165"/>
    </row>
    <row r="102" spans="1:33" s="70" customFormat="1" x14ac:dyDescent="0.25">
      <c r="A102" s="290"/>
      <c r="B102" s="165"/>
      <c r="I102" s="165"/>
      <c r="J102" s="165"/>
      <c r="K102" s="165"/>
      <c r="L102" s="165"/>
      <c r="M102" s="165"/>
      <c r="N102" s="165"/>
      <c r="O102" s="165"/>
      <c r="P102" s="165"/>
      <c r="Q102" s="165"/>
      <c r="R102" s="165"/>
      <c r="S102" s="165"/>
      <c r="T102" s="165"/>
      <c r="U102" s="165"/>
      <c r="V102" s="165"/>
      <c r="W102" s="165"/>
      <c r="X102" s="165"/>
      <c r="Y102" s="165"/>
      <c r="Z102" s="165"/>
      <c r="AA102" s="165"/>
      <c r="AB102" s="165"/>
      <c r="AC102" s="165"/>
      <c r="AD102" s="165"/>
      <c r="AE102" s="165"/>
      <c r="AF102" s="165"/>
      <c r="AG102" s="165"/>
    </row>
    <row r="103" spans="1:33" s="70" customFormat="1" x14ac:dyDescent="0.25">
      <c r="A103" s="290"/>
      <c r="B103" s="165"/>
      <c r="I103" s="165"/>
      <c r="J103" s="165"/>
      <c r="K103" s="165"/>
      <c r="L103" s="165"/>
      <c r="M103" s="165"/>
      <c r="N103" s="165"/>
      <c r="O103" s="165"/>
      <c r="P103" s="165"/>
      <c r="Q103" s="165"/>
      <c r="R103" s="165"/>
      <c r="S103" s="165"/>
      <c r="T103" s="165"/>
      <c r="U103" s="165"/>
      <c r="V103" s="165"/>
      <c r="W103" s="165"/>
      <c r="X103" s="165"/>
      <c r="Y103" s="165"/>
      <c r="Z103" s="165"/>
      <c r="AA103" s="165"/>
      <c r="AB103" s="165"/>
      <c r="AC103" s="165"/>
      <c r="AD103" s="165"/>
      <c r="AE103" s="165"/>
      <c r="AF103" s="165"/>
      <c r="AG103" s="165"/>
    </row>
    <row r="104" spans="1:33" s="70" customFormat="1" x14ac:dyDescent="0.25">
      <c r="A104" s="290"/>
      <c r="B104" s="165"/>
      <c r="I104" s="165"/>
      <c r="J104" s="165"/>
      <c r="K104" s="165"/>
      <c r="L104" s="165"/>
      <c r="M104" s="165"/>
      <c r="N104" s="165"/>
      <c r="O104" s="165"/>
      <c r="P104" s="165"/>
      <c r="Q104" s="165"/>
      <c r="R104" s="165"/>
      <c r="S104" s="165"/>
      <c r="T104" s="165"/>
      <c r="U104" s="165"/>
      <c r="V104" s="165"/>
      <c r="W104" s="165"/>
      <c r="X104" s="165"/>
      <c r="Y104" s="165"/>
      <c r="Z104" s="165"/>
      <c r="AA104" s="165"/>
      <c r="AB104" s="165"/>
      <c r="AC104" s="165"/>
      <c r="AD104" s="165"/>
      <c r="AE104" s="165"/>
      <c r="AF104" s="165"/>
      <c r="AG104" s="165"/>
    </row>
    <row r="105" spans="1:33" s="70" customFormat="1" x14ac:dyDescent="0.25">
      <c r="A105" s="290"/>
      <c r="B105" s="165"/>
      <c r="I105" s="165"/>
      <c r="J105" s="165"/>
      <c r="K105" s="165"/>
      <c r="L105" s="165"/>
      <c r="M105" s="165"/>
      <c r="N105" s="165"/>
      <c r="O105" s="165"/>
      <c r="P105" s="165"/>
      <c r="Q105" s="165"/>
      <c r="R105" s="165"/>
      <c r="S105" s="165"/>
      <c r="T105" s="165"/>
      <c r="U105" s="165"/>
      <c r="V105" s="165"/>
      <c r="W105" s="165"/>
      <c r="X105" s="165"/>
      <c r="Y105" s="165"/>
      <c r="Z105" s="165"/>
      <c r="AA105" s="165"/>
      <c r="AB105" s="165"/>
      <c r="AC105" s="165"/>
      <c r="AD105" s="165"/>
      <c r="AE105" s="165"/>
      <c r="AF105" s="165"/>
      <c r="AG105" s="165"/>
    </row>
    <row r="106" spans="1:33" s="70" customFormat="1" x14ac:dyDescent="0.25">
      <c r="A106" s="290"/>
      <c r="B106" s="165"/>
      <c r="I106" s="165"/>
      <c r="J106" s="165"/>
      <c r="K106" s="165"/>
      <c r="L106" s="165"/>
      <c r="M106" s="165"/>
      <c r="N106" s="165"/>
      <c r="O106" s="165"/>
      <c r="P106" s="165"/>
      <c r="Q106" s="165"/>
      <c r="R106" s="165"/>
      <c r="S106" s="165"/>
      <c r="T106" s="165"/>
      <c r="U106" s="165"/>
      <c r="V106" s="165"/>
      <c r="W106" s="165"/>
      <c r="X106" s="165"/>
      <c r="Y106" s="165"/>
      <c r="Z106" s="165"/>
      <c r="AA106" s="165"/>
      <c r="AB106" s="165"/>
      <c r="AC106" s="165"/>
      <c r="AD106" s="165"/>
      <c r="AE106" s="165"/>
      <c r="AF106" s="165"/>
      <c r="AG106" s="165"/>
    </row>
    <row r="107" spans="1:33" s="70" customFormat="1" x14ac:dyDescent="0.25">
      <c r="A107" s="290"/>
      <c r="B107" s="165"/>
      <c r="I107" s="165"/>
      <c r="J107" s="165"/>
      <c r="K107" s="165"/>
      <c r="L107" s="165"/>
      <c r="M107" s="165"/>
      <c r="N107" s="165"/>
      <c r="O107" s="165"/>
      <c r="P107" s="165"/>
      <c r="Q107" s="165"/>
      <c r="R107" s="165"/>
      <c r="S107" s="165"/>
      <c r="T107" s="165"/>
      <c r="U107" s="165"/>
      <c r="V107" s="165"/>
      <c r="W107" s="165"/>
      <c r="X107" s="165"/>
      <c r="Y107" s="165"/>
      <c r="Z107" s="165"/>
      <c r="AA107" s="165"/>
      <c r="AB107" s="165"/>
      <c r="AC107" s="165"/>
      <c r="AD107" s="165"/>
      <c r="AE107" s="165"/>
      <c r="AF107" s="165"/>
      <c r="AG107" s="165"/>
    </row>
    <row r="108" spans="1:33" s="70" customFormat="1" x14ac:dyDescent="0.25">
      <c r="A108" s="290"/>
      <c r="B108" s="165"/>
      <c r="I108" s="165"/>
      <c r="J108" s="165"/>
      <c r="K108" s="165"/>
      <c r="L108" s="165"/>
      <c r="M108" s="165"/>
      <c r="N108" s="165"/>
      <c r="O108" s="165"/>
      <c r="P108" s="165"/>
      <c r="Q108" s="165"/>
      <c r="R108" s="165"/>
      <c r="S108" s="165"/>
      <c r="T108" s="165"/>
      <c r="U108" s="165"/>
      <c r="V108" s="165"/>
      <c r="W108" s="165"/>
      <c r="X108" s="165"/>
      <c r="Y108" s="165"/>
      <c r="Z108" s="165"/>
      <c r="AA108" s="165"/>
      <c r="AB108" s="165"/>
      <c r="AC108" s="165"/>
      <c r="AD108" s="165"/>
      <c r="AE108" s="165"/>
      <c r="AF108" s="165"/>
      <c r="AG108" s="165"/>
    </row>
    <row r="109" spans="1:33" s="70" customFormat="1" x14ac:dyDescent="0.25">
      <c r="A109" s="290"/>
      <c r="B109" s="165"/>
      <c r="I109" s="165"/>
      <c r="J109" s="165"/>
      <c r="K109" s="165"/>
      <c r="L109" s="165"/>
      <c r="M109" s="165"/>
      <c r="N109" s="165"/>
      <c r="O109" s="165"/>
      <c r="P109" s="165"/>
      <c r="Q109" s="165"/>
      <c r="R109" s="165"/>
      <c r="S109" s="165"/>
      <c r="T109" s="165"/>
      <c r="U109" s="165"/>
      <c r="V109" s="165"/>
      <c r="W109" s="165"/>
      <c r="X109" s="165"/>
      <c r="Y109" s="165"/>
      <c r="Z109" s="165"/>
      <c r="AA109" s="165"/>
      <c r="AB109" s="165"/>
      <c r="AC109" s="165"/>
      <c r="AD109" s="165"/>
      <c r="AE109" s="165"/>
      <c r="AF109" s="165"/>
      <c r="AG109" s="165"/>
    </row>
    <row r="110" spans="1:33" s="70" customFormat="1" x14ac:dyDescent="0.25">
      <c r="A110" s="290"/>
      <c r="B110" s="165"/>
      <c r="I110" s="165"/>
      <c r="J110" s="165"/>
      <c r="K110" s="165"/>
      <c r="L110" s="165"/>
      <c r="M110" s="165"/>
      <c r="N110" s="165"/>
      <c r="O110" s="165"/>
      <c r="P110" s="165"/>
      <c r="Q110" s="165"/>
      <c r="R110" s="165"/>
      <c r="S110" s="165"/>
      <c r="T110" s="165"/>
      <c r="U110" s="165"/>
      <c r="V110" s="165"/>
      <c r="W110" s="165"/>
      <c r="X110" s="165"/>
      <c r="Y110" s="165"/>
      <c r="Z110" s="165"/>
      <c r="AA110" s="165"/>
      <c r="AB110" s="165"/>
      <c r="AC110" s="165"/>
      <c r="AD110" s="165"/>
      <c r="AE110" s="165"/>
      <c r="AF110" s="165"/>
      <c r="AG110" s="165"/>
    </row>
    <row r="111" spans="1:33" s="70" customFormat="1" x14ac:dyDescent="0.25">
      <c r="A111" s="290"/>
      <c r="B111" s="165"/>
      <c r="I111" s="165"/>
      <c r="J111" s="165"/>
      <c r="K111" s="165"/>
      <c r="L111" s="165"/>
      <c r="M111" s="165"/>
      <c r="N111" s="165"/>
      <c r="O111" s="165"/>
      <c r="P111" s="165"/>
      <c r="Q111" s="165"/>
      <c r="R111" s="165"/>
      <c r="S111" s="165"/>
      <c r="T111" s="165"/>
      <c r="U111" s="165"/>
      <c r="V111" s="165"/>
      <c r="W111" s="165"/>
      <c r="X111" s="165"/>
      <c r="Y111" s="165"/>
      <c r="Z111" s="165"/>
      <c r="AA111" s="165"/>
      <c r="AB111" s="165"/>
      <c r="AC111" s="165"/>
      <c r="AD111" s="165"/>
      <c r="AE111" s="165"/>
      <c r="AF111" s="165"/>
      <c r="AG111" s="165"/>
    </row>
    <row r="112" spans="1:33" s="70" customFormat="1" x14ac:dyDescent="0.25">
      <c r="A112" s="290"/>
      <c r="B112" s="165"/>
      <c r="I112" s="165"/>
      <c r="J112" s="165"/>
      <c r="K112" s="165"/>
      <c r="L112" s="165"/>
      <c r="M112" s="165"/>
      <c r="N112" s="165"/>
      <c r="O112" s="165"/>
      <c r="P112" s="165"/>
      <c r="Q112" s="165"/>
      <c r="R112" s="165"/>
      <c r="S112" s="165"/>
      <c r="T112" s="165"/>
      <c r="U112" s="165"/>
      <c r="V112" s="165"/>
      <c r="W112" s="165"/>
      <c r="X112" s="165"/>
      <c r="Y112" s="165"/>
      <c r="Z112" s="165"/>
      <c r="AA112" s="165"/>
      <c r="AB112" s="165"/>
      <c r="AC112" s="165"/>
      <c r="AD112" s="165"/>
      <c r="AE112" s="165"/>
      <c r="AF112" s="165"/>
      <c r="AG112" s="165"/>
    </row>
    <row r="113" spans="1:33" s="70" customFormat="1" x14ac:dyDescent="0.25">
      <c r="A113" s="290"/>
      <c r="B113" s="165"/>
      <c r="I113" s="165"/>
      <c r="J113" s="165"/>
      <c r="K113" s="165"/>
      <c r="L113" s="165"/>
      <c r="M113" s="165"/>
      <c r="N113" s="165"/>
      <c r="O113" s="165"/>
      <c r="P113" s="165"/>
      <c r="Q113" s="165"/>
      <c r="R113" s="165"/>
      <c r="S113" s="165"/>
      <c r="T113" s="165"/>
      <c r="U113" s="165"/>
      <c r="V113" s="165"/>
      <c r="W113" s="165"/>
      <c r="X113" s="165"/>
      <c r="Y113" s="165"/>
      <c r="Z113" s="165"/>
      <c r="AA113" s="165"/>
      <c r="AB113" s="165"/>
      <c r="AC113" s="165"/>
      <c r="AD113" s="165"/>
      <c r="AE113" s="165"/>
      <c r="AF113" s="165"/>
      <c r="AG113" s="165"/>
    </row>
    <row r="114" spans="1:33" s="70" customFormat="1" x14ac:dyDescent="0.25">
      <c r="A114" s="290"/>
      <c r="B114" s="165"/>
      <c r="I114" s="165"/>
      <c r="J114" s="165"/>
      <c r="K114" s="165"/>
      <c r="L114" s="165"/>
      <c r="M114" s="165"/>
      <c r="N114" s="165"/>
      <c r="O114" s="165"/>
      <c r="P114" s="165"/>
      <c r="Q114" s="165"/>
      <c r="R114" s="165"/>
      <c r="S114" s="165"/>
      <c r="T114" s="165"/>
      <c r="U114" s="165"/>
      <c r="V114" s="165"/>
      <c r="W114" s="165"/>
      <c r="X114" s="165"/>
      <c r="Y114" s="165"/>
      <c r="Z114" s="165"/>
      <c r="AA114" s="165"/>
      <c r="AB114" s="165"/>
      <c r="AC114" s="165"/>
      <c r="AD114" s="165"/>
      <c r="AE114" s="165"/>
      <c r="AF114" s="165"/>
      <c r="AG114" s="165"/>
    </row>
    <row r="115" spans="1:33" s="70" customFormat="1" x14ac:dyDescent="0.25">
      <c r="A115" s="290"/>
      <c r="B115" s="165"/>
      <c r="I115" s="165"/>
      <c r="J115" s="165"/>
      <c r="K115" s="165"/>
      <c r="L115" s="165"/>
      <c r="M115" s="165"/>
      <c r="N115" s="165"/>
      <c r="O115" s="165"/>
      <c r="P115" s="165"/>
      <c r="Q115" s="165"/>
      <c r="R115" s="165"/>
      <c r="S115" s="165"/>
      <c r="T115" s="165"/>
      <c r="U115" s="165"/>
      <c r="V115" s="165"/>
      <c r="W115" s="165"/>
      <c r="X115" s="165"/>
      <c r="Y115" s="165"/>
      <c r="Z115" s="165"/>
      <c r="AA115" s="165"/>
      <c r="AB115" s="165"/>
      <c r="AC115" s="165"/>
      <c r="AD115" s="165"/>
      <c r="AE115" s="165"/>
      <c r="AF115" s="165"/>
      <c r="AG115" s="165"/>
    </row>
    <row r="116" spans="1:33" s="70" customFormat="1" x14ac:dyDescent="0.25">
      <c r="A116" s="290"/>
      <c r="B116" s="165"/>
      <c r="I116" s="165"/>
      <c r="J116" s="165"/>
      <c r="K116" s="165"/>
      <c r="L116" s="165"/>
      <c r="M116" s="165"/>
      <c r="N116" s="165"/>
      <c r="O116" s="165"/>
      <c r="P116" s="165"/>
      <c r="Q116" s="165"/>
      <c r="R116" s="165"/>
      <c r="S116" s="165"/>
      <c r="T116" s="165"/>
      <c r="U116" s="165"/>
      <c r="V116" s="165"/>
      <c r="W116" s="165"/>
      <c r="X116" s="165"/>
      <c r="Y116" s="165"/>
      <c r="Z116" s="165"/>
      <c r="AA116" s="165"/>
      <c r="AB116" s="165"/>
      <c r="AC116" s="165"/>
      <c r="AD116" s="165"/>
      <c r="AE116" s="165"/>
      <c r="AF116" s="165"/>
      <c r="AG116" s="165"/>
    </row>
    <row r="117" spans="1:33" s="70" customFormat="1" x14ac:dyDescent="0.25">
      <c r="A117" s="290"/>
      <c r="B117" s="165"/>
      <c r="I117" s="165"/>
      <c r="J117" s="165"/>
      <c r="K117" s="165"/>
      <c r="L117" s="165"/>
      <c r="M117" s="165"/>
      <c r="N117" s="165"/>
      <c r="O117" s="165"/>
      <c r="P117" s="165"/>
      <c r="Q117" s="165"/>
      <c r="R117" s="165"/>
      <c r="S117" s="165"/>
      <c r="T117" s="165"/>
      <c r="U117" s="165"/>
      <c r="V117" s="165"/>
      <c r="W117" s="165"/>
      <c r="X117" s="165"/>
      <c r="Y117" s="165"/>
      <c r="Z117" s="165"/>
      <c r="AA117" s="165"/>
      <c r="AB117" s="165"/>
      <c r="AC117" s="165"/>
      <c r="AD117" s="165"/>
      <c r="AE117" s="165"/>
      <c r="AF117" s="165"/>
      <c r="AG117" s="165"/>
    </row>
    <row r="118" spans="1:33" s="70" customFormat="1" x14ac:dyDescent="0.25">
      <c r="A118" s="290"/>
      <c r="B118" s="165"/>
      <c r="I118" s="165"/>
      <c r="J118" s="165"/>
      <c r="K118" s="165"/>
      <c r="L118" s="165"/>
      <c r="M118" s="165"/>
      <c r="N118" s="165"/>
      <c r="O118" s="165"/>
      <c r="P118" s="165"/>
      <c r="Q118" s="165"/>
      <c r="R118" s="165"/>
      <c r="S118" s="165"/>
      <c r="T118" s="165"/>
      <c r="U118" s="165"/>
      <c r="V118" s="165"/>
      <c r="W118" s="165"/>
      <c r="X118" s="165"/>
      <c r="Y118" s="165"/>
      <c r="Z118" s="165"/>
      <c r="AA118" s="165"/>
      <c r="AB118" s="165"/>
      <c r="AC118" s="165"/>
      <c r="AD118" s="165"/>
      <c r="AE118" s="165"/>
      <c r="AF118" s="165"/>
      <c r="AG118" s="165"/>
    </row>
    <row r="119" spans="1:33" s="70" customFormat="1" x14ac:dyDescent="0.25">
      <c r="A119" s="290"/>
      <c r="B119" s="165"/>
      <c r="I119" s="165"/>
      <c r="J119" s="165"/>
      <c r="K119" s="165"/>
      <c r="L119" s="165"/>
      <c r="M119" s="165"/>
      <c r="N119" s="165"/>
      <c r="O119" s="165"/>
      <c r="P119" s="165"/>
      <c r="Q119" s="165"/>
      <c r="R119" s="165"/>
      <c r="S119" s="165"/>
      <c r="T119" s="165"/>
      <c r="U119" s="165"/>
      <c r="V119" s="165"/>
      <c r="W119" s="165"/>
      <c r="X119" s="165"/>
      <c r="Y119" s="165"/>
      <c r="Z119" s="165"/>
      <c r="AA119" s="165"/>
      <c r="AB119" s="165"/>
      <c r="AC119" s="165"/>
      <c r="AD119" s="165"/>
      <c r="AE119" s="165"/>
      <c r="AF119" s="165"/>
      <c r="AG119" s="165"/>
    </row>
    <row r="120" spans="1:33" s="70" customFormat="1" x14ac:dyDescent="0.25">
      <c r="A120" s="290"/>
      <c r="B120" s="165"/>
      <c r="I120" s="165"/>
      <c r="J120" s="165"/>
      <c r="K120" s="165"/>
      <c r="L120" s="165"/>
      <c r="M120" s="165"/>
      <c r="N120" s="165"/>
      <c r="O120" s="165"/>
      <c r="P120" s="165"/>
      <c r="Q120" s="165"/>
      <c r="R120" s="165"/>
      <c r="S120" s="165"/>
      <c r="T120" s="165"/>
      <c r="U120" s="165"/>
      <c r="V120" s="165"/>
      <c r="W120" s="165"/>
      <c r="X120" s="165"/>
      <c r="Y120" s="165"/>
      <c r="Z120" s="165"/>
      <c r="AA120" s="165"/>
      <c r="AB120" s="165"/>
      <c r="AC120" s="165"/>
      <c r="AD120" s="165"/>
      <c r="AE120" s="165"/>
      <c r="AF120" s="165"/>
      <c r="AG120" s="165"/>
    </row>
    <row r="121" spans="1:33" s="70" customFormat="1" x14ac:dyDescent="0.25">
      <c r="A121" s="290"/>
      <c r="B121" s="165"/>
      <c r="I121" s="165"/>
      <c r="J121" s="165"/>
      <c r="K121" s="165"/>
      <c r="L121" s="165"/>
      <c r="M121" s="165"/>
      <c r="N121" s="165"/>
      <c r="O121" s="165"/>
      <c r="P121" s="165"/>
      <c r="Q121" s="165"/>
      <c r="R121" s="165"/>
      <c r="S121" s="165"/>
      <c r="T121" s="165"/>
      <c r="U121" s="165"/>
      <c r="V121" s="165"/>
      <c r="W121" s="165"/>
      <c r="X121" s="165"/>
      <c r="Y121" s="165"/>
      <c r="Z121" s="165"/>
      <c r="AA121" s="165"/>
      <c r="AB121" s="165"/>
      <c r="AC121" s="165"/>
      <c r="AD121" s="165"/>
      <c r="AE121" s="165"/>
      <c r="AF121" s="165"/>
      <c r="AG121" s="165"/>
    </row>
    <row r="122" spans="1:33" s="70" customFormat="1" x14ac:dyDescent="0.25">
      <c r="A122" s="290"/>
      <c r="B122" s="165"/>
      <c r="I122" s="165"/>
      <c r="J122" s="165"/>
      <c r="K122" s="165"/>
      <c r="L122" s="165"/>
      <c r="M122" s="165"/>
      <c r="N122" s="165"/>
      <c r="O122" s="165"/>
      <c r="P122" s="165"/>
      <c r="Q122" s="165"/>
      <c r="R122" s="165"/>
      <c r="S122" s="165"/>
      <c r="T122" s="165"/>
      <c r="U122" s="165"/>
      <c r="V122" s="165"/>
      <c r="W122" s="165"/>
      <c r="X122" s="165"/>
      <c r="Y122" s="165"/>
      <c r="Z122" s="165"/>
      <c r="AA122" s="165"/>
      <c r="AB122" s="165"/>
      <c r="AC122" s="165"/>
      <c r="AD122" s="165"/>
      <c r="AE122" s="165"/>
      <c r="AF122" s="165"/>
      <c r="AG122" s="165"/>
    </row>
    <row r="123" spans="1:33" s="70" customFormat="1" x14ac:dyDescent="0.25">
      <c r="A123" s="290"/>
      <c r="B123" s="165"/>
      <c r="I123" s="165"/>
      <c r="J123" s="165"/>
      <c r="K123" s="165"/>
      <c r="L123" s="165"/>
      <c r="M123" s="165"/>
      <c r="N123" s="165"/>
      <c r="O123" s="165"/>
      <c r="P123" s="165"/>
      <c r="Q123" s="165"/>
      <c r="R123" s="165"/>
      <c r="S123" s="165"/>
      <c r="T123" s="165"/>
      <c r="U123" s="165"/>
      <c r="V123" s="165"/>
      <c r="W123" s="165"/>
      <c r="X123" s="165"/>
      <c r="Y123" s="165"/>
      <c r="Z123" s="165"/>
      <c r="AA123" s="165"/>
      <c r="AB123" s="165"/>
      <c r="AC123" s="165"/>
      <c r="AD123" s="165"/>
      <c r="AE123" s="165"/>
      <c r="AF123" s="165"/>
      <c r="AG123" s="165"/>
    </row>
    <row r="124" spans="1:33" s="70" customFormat="1" x14ac:dyDescent="0.25">
      <c r="A124" s="290"/>
      <c r="B124" s="165"/>
      <c r="I124" s="165"/>
      <c r="J124" s="165"/>
      <c r="K124" s="165"/>
      <c r="L124" s="165"/>
      <c r="M124" s="165"/>
      <c r="N124" s="165"/>
      <c r="O124" s="165"/>
      <c r="P124" s="165"/>
      <c r="Q124" s="165"/>
      <c r="R124" s="165"/>
      <c r="S124" s="165"/>
      <c r="T124" s="165"/>
      <c r="U124" s="165"/>
      <c r="V124" s="165"/>
      <c r="W124" s="165"/>
      <c r="X124" s="165"/>
      <c r="Y124" s="165"/>
      <c r="Z124" s="165"/>
      <c r="AA124" s="165"/>
      <c r="AB124" s="165"/>
      <c r="AC124" s="165"/>
      <c r="AD124" s="165"/>
      <c r="AE124" s="165"/>
      <c r="AF124" s="165"/>
      <c r="AG124" s="165"/>
    </row>
    <row r="125" spans="1:33" s="70" customFormat="1" x14ac:dyDescent="0.25">
      <c r="A125" s="290"/>
      <c r="B125" s="165"/>
      <c r="I125" s="165"/>
      <c r="J125" s="165"/>
      <c r="K125" s="165"/>
      <c r="L125" s="165"/>
      <c r="M125" s="165"/>
      <c r="N125" s="165"/>
      <c r="O125" s="165"/>
      <c r="P125" s="165"/>
      <c r="Q125" s="165"/>
      <c r="R125" s="165"/>
      <c r="S125" s="165"/>
      <c r="T125" s="165"/>
      <c r="U125" s="165"/>
      <c r="V125" s="165"/>
      <c r="W125" s="165"/>
      <c r="X125" s="165"/>
      <c r="Y125" s="165"/>
      <c r="Z125" s="165"/>
      <c r="AA125" s="165"/>
      <c r="AB125" s="165"/>
      <c r="AC125" s="165"/>
      <c r="AD125" s="165"/>
      <c r="AE125" s="165"/>
      <c r="AF125" s="165"/>
      <c r="AG125" s="165"/>
    </row>
    <row r="126" spans="1:33" s="70" customFormat="1" x14ac:dyDescent="0.25">
      <c r="A126" s="290"/>
      <c r="B126" s="165"/>
      <c r="I126" s="165"/>
      <c r="J126" s="165"/>
      <c r="K126" s="165"/>
      <c r="L126" s="165"/>
      <c r="M126" s="165"/>
      <c r="N126" s="165"/>
      <c r="O126" s="165"/>
      <c r="P126" s="165"/>
      <c r="Q126" s="165"/>
      <c r="R126" s="165"/>
      <c r="S126" s="165"/>
      <c r="T126" s="165"/>
      <c r="U126" s="165"/>
      <c r="V126" s="165"/>
      <c r="W126" s="165"/>
      <c r="X126" s="165"/>
      <c r="Y126" s="165"/>
      <c r="Z126" s="165"/>
      <c r="AA126" s="165"/>
      <c r="AB126" s="165"/>
      <c r="AC126" s="165"/>
      <c r="AD126" s="165"/>
      <c r="AE126" s="165"/>
      <c r="AF126" s="165"/>
      <c r="AG126" s="165"/>
    </row>
    <row r="127" spans="1:33" s="70" customFormat="1" x14ac:dyDescent="0.25">
      <c r="A127" s="290"/>
      <c r="B127" s="165"/>
      <c r="I127" s="165"/>
      <c r="J127" s="165"/>
      <c r="K127" s="165"/>
      <c r="L127" s="165"/>
      <c r="M127" s="165"/>
      <c r="N127" s="165"/>
      <c r="O127" s="165"/>
      <c r="P127" s="165"/>
      <c r="Q127" s="165"/>
      <c r="R127" s="165"/>
      <c r="S127" s="165"/>
      <c r="T127" s="165"/>
      <c r="U127" s="165"/>
      <c r="V127" s="165"/>
      <c r="W127" s="165"/>
      <c r="X127" s="165"/>
      <c r="Y127" s="165"/>
      <c r="Z127" s="165"/>
      <c r="AA127" s="165"/>
      <c r="AB127" s="165"/>
      <c r="AC127" s="165"/>
      <c r="AD127" s="165"/>
      <c r="AE127" s="165"/>
      <c r="AF127" s="165"/>
      <c r="AG127" s="165"/>
    </row>
    <row r="128" spans="1:33" s="70" customFormat="1" x14ac:dyDescent="0.25">
      <c r="A128" s="290"/>
      <c r="B128" s="165"/>
      <c r="I128" s="165"/>
      <c r="J128" s="165"/>
      <c r="K128" s="165"/>
      <c r="L128" s="165"/>
      <c r="M128" s="165"/>
      <c r="N128" s="165"/>
      <c r="O128" s="165"/>
      <c r="P128" s="165"/>
      <c r="Q128" s="165"/>
      <c r="R128" s="165"/>
      <c r="S128" s="165"/>
      <c r="T128" s="165"/>
      <c r="U128" s="165"/>
      <c r="V128" s="165"/>
      <c r="W128" s="165"/>
      <c r="X128" s="165"/>
      <c r="Y128" s="165"/>
      <c r="Z128" s="165"/>
      <c r="AA128" s="165"/>
      <c r="AB128" s="165"/>
      <c r="AC128" s="165"/>
      <c r="AD128" s="165"/>
      <c r="AE128" s="165"/>
      <c r="AF128" s="165"/>
      <c r="AG128" s="165"/>
    </row>
    <row r="129" spans="1:33" s="70" customFormat="1" x14ac:dyDescent="0.25">
      <c r="A129" s="290"/>
      <c r="B129" s="165"/>
      <c r="I129" s="165"/>
      <c r="J129" s="165"/>
      <c r="K129" s="165"/>
      <c r="L129" s="165"/>
      <c r="M129" s="165"/>
      <c r="N129" s="165"/>
      <c r="O129" s="165"/>
      <c r="P129" s="165"/>
      <c r="Q129" s="165"/>
      <c r="R129" s="165"/>
      <c r="S129" s="165"/>
      <c r="T129" s="165"/>
      <c r="U129" s="165"/>
      <c r="V129" s="165"/>
      <c r="W129" s="165"/>
      <c r="X129" s="165"/>
      <c r="Y129" s="165"/>
      <c r="Z129" s="165"/>
      <c r="AA129" s="165"/>
      <c r="AB129" s="165"/>
      <c r="AC129" s="165"/>
      <c r="AD129" s="165"/>
      <c r="AE129" s="165"/>
      <c r="AF129" s="165"/>
      <c r="AG129" s="165"/>
    </row>
    <row r="130" spans="1:33" s="70" customFormat="1" x14ac:dyDescent="0.25">
      <c r="A130" s="290"/>
      <c r="B130" s="165"/>
      <c r="I130" s="165"/>
      <c r="J130" s="165"/>
      <c r="K130" s="165"/>
      <c r="L130" s="165"/>
      <c r="M130" s="165"/>
      <c r="N130" s="165"/>
      <c r="O130" s="165"/>
      <c r="P130" s="165"/>
      <c r="Q130" s="165"/>
      <c r="R130" s="165"/>
      <c r="S130" s="165"/>
      <c r="T130" s="165"/>
      <c r="U130" s="165"/>
      <c r="V130" s="165"/>
      <c r="W130" s="165"/>
      <c r="X130" s="165"/>
      <c r="Y130" s="165"/>
      <c r="Z130" s="165"/>
      <c r="AA130" s="165"/>
      <c r="AB130" s="165"/>
      <c r="AC130" s="165"/>
      <c r="AD130" s="165"/>
      <c r="AE130" s="165"/>
      <c r="AF130" s="165"/>
      <c r="AG130" s="165"/>
    </row>
    <row r="131" spans="1:33" s="70" customFormat="1" x14ac:dyDescent="0.25">
      <c r="A131" s="290"/>
      <c r="B131" s="165"/>
      <c r="I131" s="165"/>
      <c r="J131" s="165"/>
      <c r="K131" s="165"/>
      <c r="L131" s="165"/>
      <c r="M131" s="165"/>
      <c r="N131" s="165"/>
      <c r="O131" s="165"/>
      <c r="P131" s="165"/>
      <c r="Q131" s="165"/>
      <c r="R131" s="165"/>
      <c r="S131" s="165"/>
      <c r="T131" s="165"/>
      <c r="U131" s="165"/>
      <c r="V131" s="165"/>
      <c r="W131" s="165"/>
      <c r="X131" s="165"/>
      <c r="Y131" s="165"/>
      <c r="Z131" s="165"/>
      <c r="AA131" s="165"/>
      <c r="AB131" s="165"/>
      <c r="AC131" s="165"/>
      <c r="AD131" s="165"/>
      <c r="AE131" s="165"/>
      <c r="AF131" s="165"/>
      <c r="AG131" s="165"/>
    </row>
    <row r="132" spans="1:33" s="70" customFormat="1" x14ac:dyDescent="0.25">
      <c r="A132" s="290"/>
      <c r="B132" s="165"/>
      <c r="I132" s="165"/>
      <c r="J132" s="165"/>
      <c r="K132" s="165"/>
      <c r="L132" s="165"/>
      <c r="M132" s="165"/>
      <c r="N132" s="165"/>
      <c r="O132" s="165"/>
      <c r="P132" s="165"/>
      <c r="Q132" s="165"/>
      <c r="R132" s="165"/>
      <c r="S132" s="165"/>
      <c r="T132" s="165"/>
      <c r="U132" s="165"/>
      <c r="V132" s="165"/>
      <c r="W132" s="165"/>
      <c r="X132" s="165"/>
      <c r="Y132" s="165"/>
      <c r="Z132" s="165"/>
      <c r="AA132" s="165"/>
      <c r="AB132" s="165"/>
      <c r="AC132" s="165"/>
      <c r="AD132" s="165"/>
      <c r="AE132" s="165"/>
      <c r="AF132" s="165"/>
      <c r="AG132" s="165"/>
    </row>
    <row r="133" spans="1:33" s="70" customFormat="1" x14ac:dyDescent="0.25">
      <c r="A133" s="290"/>
      <c r="B133" s="165"/>
      <c r="I133" s="165"/>
      <c r="J133" s="165"/>
      <c r="K133" s="165"/>
      <c r="L133" s="165"/>
      <c r="M133" s="165"/>
      <c r="N133" s="165"/>
      <c r="O133" s="165"/>
      <c r="P133" s="165"/>
      <c r="Q133" s="165"/>
      <c r="R133" s="165"/>
      <c r="S133" s="165"/>
      <c r="T133" s="165"/>
      <c r="U133" s="165"/>
      <c r="V133" s="165"/>
      <c r="W133" s="165"/>
      <c r="X133" s="165"/>
      <c r="Y133" s="165"/>
      <c r="Z133" s="165"/>
      <c r="AA133" s="165"/>
      <c r="AB133" s="165"/>
      <c r="AC133" s="165"/>
      <c r="AD133" s="165"/>
      <c r="AE133" s="165"/>
      <c r="AF133" s="165"/>
      <c r="AG133" s="165"/>
    </row>
    <row r="134" spans="1:33" s="70" customFormat="1" x14ac:dyDescent="0.25">
      <c r="A134" s="290"/>
      <c r="B134" s="165"/>
      <c r="I134" s="165"/>
      <c r="J134" s="165"/>
      <c r="K134" s="165"/>
      <c r="L134" s="165"/>
      <c r="M134" s="165"/>
      <c r="N134" s="165"/>
      <c r="O134" s="165"/>
      <c r="P134" s="165"/>
      <c r="Q134" s="165"/>
      <c r="R134" s="165"/>
      <c r="S134" s="165"/>
      <c r="T134" s="165"/>
      <c r="U134" s="165"/>
      <c r="V134" s="165"/>
      <c r="W134" s="165"/>
      <c r="X134" s="165"/>
      <c r="Y134" s="165"/>
      <c r="Z134" s="165"/>
      <c r="AA134" s="165"/>
      <c r="AB134" s="165"/>
      <c r="AC134" s="165"/>
      <c r="AD134" s="165"/>
      <c r="AE134" s="165"/>
      <c r="AF134" s="165"/>
      <c r="AG134" s="165"/>
    </row>
    <row r="135" spans="1:33" s="70" customFormat="1" x14ac:dyDescent="0.25">
      <c r="A135" s="290"/>
      <c r="B135" s="165"/>
      <c r="I135" s="165"/>
      <c r="J135" s="165"/>
      <c r="K135" s="165"/>
      <c r="L135" s="165"/>
      <c r="M135" s="165"/>
      <c r="N135" s="165"/>
      <c r="O135" s="165"/>
      <c r="P135" s="165"/>
      <c r="Q135" s="165"/>
      <c r="R135" s="165"/>
      <c r="S135" s="165"/>
      <c r="T135" s="165"/>
      <c r="U135" s="165"/>
      <c r="V135" s="165"/>
      <c r="W135" s="165"/>
      <c r="X135" s="165"/>
      <c r="Y135" s="165"/>
      <c r="Z135" s="165"/>
      <c r="AA135" s="165"/>
      <c r="AB135" s="165"/>
      <c r="AC135" s="165"/>
      <c r="AD135" s="165"/>
      <c r="AE135" s="165"/>
      <c r="AF135" s="165"/>
      <c r="AG135" s="165"/>
    </row>
    <row r="136" spans="1:33" s="70" customFormat="1" x14ac:dyDescent="0.25">
      <c r="A136" s="290"/>
      <c r="B136" s="165"/>
      <c r="I136" s="165"/>
      <c r="J136" s="165"/>
      <c r="K136" s="165"/>
      <c r="L136" s="165"/>
      <c r="M136" s="165"/>
      <c r="N136" s="165"/>
      <c r="O136" s="165"/>
      <c r="P136" s="165"/>
      <c r="Q136" s="165"/>
      <c r="R136" s="165"/>
      <c r="S136" s="165"/>
      <c r="T136" s="165"/>
      <c r="U136" s="165"/>
      <c r="V136" s="165"/>
      <c r="W136" s="165"/>
      <c r="X136" s="165"/>
      <c r="Y136" s="165"/>
      <c r="Z136" s="165"/>
      <c r="AA136" s="165"/>
      <c r="AB136" s="165"/>
      <c r="AC136" s="165"/>
      <c r="AD136" s="165"/>
      <c r="AE136" s="165"/>
      <c r="AF136" s="165"/>
      <c r="AG136" s="165"/>
    </row>
    <row r="137" spans="1:33" s="70" customFormat="1" x14ac:dyDescent="0.25">
      <c r="A137" s="290"/>
      <c r="B137" s="165"/>
      <c r="I137" s="165"/>
      <c r="J137" s="165"/>
      <c r="K137" s="165"/>
      <c r="L137" s="165"/>
      <c r="M137" s="165"/>
      <c r="N137" s="165"/>
      <c r="O137" s="165"/>
      <c r="P137" s="165"/>
      <c r="Q137" s="165"/>
      <c r="R137" s="165"/>
      <c r="S137" s="165"/>
      <c r="T137" s="165"/>
      <c r="U137" s="165"/>
      <c r="V137" s="165"/>
      <c r="W137" s="165"/>
      <c r="X137" s="165"/>
      <c r="Y137" s="165"/>
      <c r="Z137" s="165"/>
      <c r="AA137" s="165"/>
      <c r="AB137" s="165"/>
      <c r="AC137" s="165"/>
      <c r="AD137" s="165"/>
      <c r="AE137" s="165"/>
      <c r="AF137" s="165"/>
      <c r="AG137" s="165"/>
    </row>
    <row r="138" spans="1:33" s="70" customFormat="1" x14ac:dyDescent="0.25">
      <c r="A138" s="290"/>
      <c r="B138" s="165"/>
      <c r="I138" s="165"/>
      <c r="J138" s="165"/>
      <c r="K138" s="165"/>
      <c r="L138" s="165"/>
      <c r="M138" s="165"/>
      <c r="N138" s="165"/>
      <c r="O138" s="165"/>
      <c r="P138" s="165"/>
      <c r="Q138" s="165"/>
      <c r="R138" s="165"/>
      <c r="S138" s="165"/>
      <c r="T138" s="165"/>
      <c r="U138" s="165"/>
      <c r="V138" s="165"/>
      <c r="W138" s="165"/>
      <c r="X138" s="165"/>
      <c r="Y138" s="165"/>
      <c r="Z138" s="165"/>
      <c r="AA138" s="165"/>
      <c r="AB138" s="165"/>
      <c r="AC138" s="165"/>
      <c r="AD138" s="165"/>
      <c r="AE138" s="165"/>
      <c r="AF138" s="165"/>
      <c r="AG138" s="165"/>
    </row>
    <row r="139" spans="1:33" s="70" customFormat="1" x14ac:dyDescent="0.25">
      <c r="A139" s="290"/>
      <c r="B139" s="165"/>
      <c r="I139" s="165"/>
      <c r="J139" s="165"/>
      <c r="K139" s="165"/>
      <c r="L139" s="165"/>
      <c r="M139" s="165"/>
      <c r="N139" s="165"/>
      <c r="O139" s="165"/>
      <c r="P139" s="165"/>
      <c r="Q139" s="165"/>
      <c r="R139" s="165"/>
      <c r="S139" s="165"/>
      <c r="T139" s="165"/>
      <c r="U139" s="165"/>
      <c r="V139" s="165"/>
      <c r="W139" s="165"/>
      <c r="X139" s="165"/>
      <c r="Y139" s="165"/>
      <c r="Z139" s="165"/>
      <c r="AA139" s="165"/>
      <c r="AB139" s="165"/>
      <c r="AC139" s="165"/>
      <c r="AD139" s="165"/>
      <c r="AE139" s="165"/>
      <c r="AF139" s="165"/>
      <c r="AG139" s="165"/>
    </row>
    <row r="140" spans="1:33" s="70" customFormat="1" x14ac:dyDescent="0.25">
      <c r="A140" s="290"/>
      <c r="B140" s="165"/>
      <c r="I140" s="165"/>
      <c r="J140" s="165"/>
      <c r="K140" s="165"/>
      <c r="L140" s="165"/>
      <c r="M140" s="165"/>
      <c r="N140" s="165"/>
      <c r="O140" s="165"/>
      <c r="P140" s="165"/>
      <c r="Q140" s="165"/>
      <c r="R140" s="165"/>
      <c r="S140" s="165"/>
      <c r="T140" s="165"/>
      <c r="U140" s="165"/>
      <c r="V140" s="165"/>
      <c r="W140" s="165"/>
      <c r="X140" s="165"/>
      <c r="Y140" s="165"/>
      <c r="Z140" s="165"/>
      <c r="AA140" s="165"/>
      <c r="AB140" s="165"/>
      <c r="AC140" s="165"/>
      <c r="AD140" s="165"/>
      <c r="AE140" s="165"/>
      <c r="AF140" s="165"/>
      <c r="AG140" s="165"/>
    </row>
    <row r="141" spans="1:33" s="70" customFormat="1" x14ac:dyDescent="0.25">
      <c r="A141" s="290"/>
      <c r="B141" s="165"/>
      <c r="I141" s="165"/>
      <c r="J141" s="165"/>
      <c r="K141" s="165"/>
      <c r="L141" s="165"/>
      <c r="M141" s="165"/>
      <c r="N141" s="165"/>
      <c r="O141" s="165"/>
      <c r="P141" s="165"/>
      <c r="Q141" s="165"/>
      <c r="R141" s="165"/>
      <c r="S141" s="165"/>
      <c r="T141" s="165"/>
      <c r="U141" s="165"/>
      <c r="V141" s="165"/>
      <c r="W141" s="165"/>
      <c r="X141" s="165"/>
      <c r="Y141" s="165"/>
      <c r="Z141" s="165"/>
      <c r="AA141" s="165"/>
      <c r="AB141" s="165"/>
      <c r="AC141" s="165"/>
      <c r="AD141" s="165"/>
      <c r="AE141" s="165"/>
      <c r="AF141" s="165"/>
      <c r="AG141" s="165"/>
    </row>
    <row r="142" spans="1:33" s="70" customFormat="1" x14ac:dyDescent="0.25">
      <c r="A142" s="290"/>
      <c r="B142" s="165"/>
      <c r="I142" s="165"/>
      <c r="J142" s="165"/>
      <c r="K142" s="165"/>
      <c r="L142" s="165"/>
      <c r="M142" s="165"/>
      <c r="N142" s="165"/>
      <c r="O142" s="165"/>
      <c r="P142" s="165"/>
      <c r="Q142" s="165"/>
      <c r="R142" s="165"/>
      <c r="S142" s="165"/>
      <c r="T142" s="165"/>
      <c r="U142" s="165"/>
      <c r="V142" s="165"/>
      <c r="W142" s="165"/>
      <c r="X142" s="165"/>
      <c r="Y142" s="165"/>
      <c r="Z142" s="165"/>
      <c r="AA142" s="165"/>
      <c r="AB142" s="165"/>
      <c r="AC142" s="165"/>
      <c r="AD142" s="165"/>
      <c r="AE142" s="165"/>
      <c r="AF142" s="165"/>
      <c r="AG142" s="165"/>
    </row>
    <row r="143" spans="1:33" s="70" customFormat="1" x14ac:dyDescent="0.25">
      <c r="A143" s="290"/>
      <c r="B143" s="165"/>
      <c r="I143" s="165"/>
      <c r="J143" s="165"/>
      <c r="K143" s="165"/>
      <c r="L143" s="165"/>
      <c r="M143" s="165"/>
      <c r="N143" s="165"/>
      <c r="O143" s="165"/>
      <c r="P143" s="165"/>
      <c r="Q143" s="165"/>
      <c r="R143" s="165"/>
      <c r="S143" s="165"/>
      <c r="T143" s="165"/>
      <c r="U143" s="165"/>
      <c r="V143" s="165"/>
      <c r="W143" s="165"/>
      <c r="X143" s="165"/>
      <c r="Y143" s="165"/>
      <c r="Z143" s="165"/>
      <c r="AA143" s="165"/>
      <c r="AB143" s="165"/>
      <c r="AC143" s="165"/>
      <c r="AD143" s="165"/>
      <c r="AE143" s="165"/>
      <c r="AF143" s="165"/>
      <c r="AG143" s="165"/>
    </row>
    <row r="144" spans="1:33" s="70" customFormat="1" x14ac:dyDescent="0.25">
      <c r="A144" s="290"/>
      <c r="B144" s="165"/>
      <c r="I144" s="165"/>
      <c r="J144" s="165"/>
      <c r="K144" s="165"/>
      <c r="L144" s="165"/>
      <c r="M144" s="165"/>
      <c r="N144" s="165"/>
      <c r="O144" s="165"/>
      <c r="P144" s="165"/>
      <c r="Q144" s="165"/>
      <c r="R144" s="165"/>
      <c r="S144" s="165"/>
      <c r="T144" s="165"/>
      <c r="U144" s="165"/>
      <c r="V144" s="165"/>
      <c r="W144" s="165"/>
      <c r="X144" s="165"/>
      <c r="Y144" s="165"/>
      <c r="Z144" s="165"/>
      <c r="AA144" s="165"/>
      <c r="AB144" s="165"/>
      <c r="AC144" s="165"/>
      <c r="AD144" s="165"/>
      <c r="AE144" s="165"/>
      <c r="AF144" s="165"/>
      <c r="AG144" s="165"/>
    </row>
    <row r="145" spans="1:33" s="70" customFormat="1" x14ac:dyDescent="0.25">
      <c r="A145" s="290"/>
      <c r="B145" s="165"/>
      <c r="I145" s="165"/>
      <c r="J145" s="165"/>
      <c r="K145" s="165"/>
      <c r="L145" s="165"/>
      <c r="M145" s="165"/>
      <c r="N145" s="165"/>
      <c r="O145" s="165"/>
      <c r="P145" s="165"/>
      <c r="Q145" s="165"/>
      <c r="R145" s="165"/>
      <c r="S145" s="165"/>
      <c r="T145" s="165"/>
      <c r="U145" s="165"/>
      <c r="V145" s="165"/>
      <c r="W145" s="165"/>
      <c r="X145" s="165"/>
      <c r="Y145" s="165"/>
      <c r="Z145" s="165"/>
      <c r="AA145" s="165"/>
      <c r="AB145" s="165"/>
      <c r="AC145" s="165"/>
      <c r="AD145" s="165"/>
      <c r="AE145" s="165"/>
      <c r="AF145" s="165"/>
      <c r="AG145" s="165"/>
    </row>
    <row r="146" spans="1:33" s="70" customFormat="1" x14ac:dyDescent="0.25">
      <c r="A146" s="290"/>
      <c r="B146" s="165"/>
      <c r="I146" s="165"/>
      <c r="J146" s="165"/>
      <c r="K146" s="165"/>
      <c r="L146" s="165"/>
      <c r="M146" s="165"/>
      <c r="N146" s="165"/>
      <c r="O146" s="165"/>
      <c r="P146" s="165"/>
      <c r="Q146" s="165"/>
      <c r="R146" s="165"/>
      <c r="S146" s="165"/>
      <c r="T146" s="165"/>
      <c r="U146" s="165"/>
      <c r="V146" s="165"/>
      <c r="W146" s="165"/>
      <c r="X146" s="165"/>
      <c r="Y146" s="165"/>
      <c r="Z146" s="165"/>
      <c r="AA146" s="165"/>
      <c r="AB146" s="165"/>
      <c r="AC146" s="165"/>
      <c r="AD146" s="165"/>
      <c r="AE146" s="165"/>
      <c r="AF146" s="165"/>
      <c r="AG146" s="165"/>
    </row>
    <row r="147" spans="1:33" s="70" customFormat="1" x14ac:dyDescent="0.25">
      <c r="A147" s="290"/>
      <c r="B147" s="165"/>
      <c r="I147" s="165"/>
      <c r="J147" s="165"/>
      <c r="K147" s="165"/>
      <c r="L147" s="165"/>
      <c r="M147" s="165"/>
      <c r="N147" s="165"/>
      <c r="O147" s="165"/>
      <c r="P147" s="165"/>
      <c r="Q147" s="165"/>
      <c r="R147" s="165"/>
      <c r="S147" s="165"/>
      <c r="T147" s="165"/>
      <c r="U147" s="165"/>
      <c r="V147" s="165"/>
      <c r="W147" s="165"/>
      <c r="X147" s="165"/>
      <c r="Y147" s="165"/>
      <c r="Z147" s="165"/>
      <c r="AA147" s="165"/>
      <c r="AB147" s="165"/>
      <c r="AC147" s="165"/>
      <c r="AD147" s="165"/>
      <c r="AE147" s="165"/>
      <c r="AF147" s="165"/>
      <c r="AG147" s="165"/>
    </row>
    <row r="148" spans="1:33" s="70" customFormat="1" x14ac:dyDescent="0.25">
      <c r="A148" s="290"/>
      <c r="B148" s="165"/>
      <c r="I148" s="165"/>
      <c r="J148" s="165"/>
      <c r="K148" s="165"/>
      <c r="L148" s="165"/>
      <c r="M148" s="165"/>
      <c r="N148" s="165"/>
      <c r="O148" s="165"/>
      <c r="P148" s="165"/>
      <c r="Q148" s="165"/>
      <c r="R148" s="165"/>
      <c r="S148" s="165"/>
      <c r="T148" s="165"/>
      <c r="U148" s="165"/>
      <c r="V148" s="165"/>
      <c r="W148" s="165"/>
      <c r="X148" s="165"/>
      <c r="Y148" s="165"/>
      <c r="Z148" s="165"/>
      <c r="AA148" s="165"/>
      <c r="AB148" s="165"/>
      <c r="AC148" s="165"/>
      <c r="AD148" s="165"/>
      <c r="AE148" s="165"/>
      <c r="AF148" s="165"/>
      <c r="AG148" s="165"/>
    </row>
    <row r="149" spans="1:33" s="70" customFormat="1" x14ac:dyDescent="0.25">
      <c r="A149" s="290"/>
      <c r="B149" s="165"/>
      <c r="I149" s="165"/>
      <c r="J149" s="165"/>
      <c r="K149" s="165"/>
      <c r="L149" s="165"/>
      <c r="M149" s="165"/>
      <c r="N149" s="165"/>
      <c r="O149" s="165"/>
      <c r="P149" s="165"/>
      <c r="Q149" s="165"/>
      <c r="R149" s="165"/>
      <c r="S149" s="165"/>
      <c r="T149" s="165"/>
      <c r="U149" s="165"/>
      <c r="V149" s="165"/>
      <c r="W149" s="165"/>
      <c r="X149" s="165"/>
      <c r="Y149" s="165"/>
      <c r="Z149" s="165"/>
      <c r="AA149" s="165"/>
      <c r="AB149" s="165"/>
      <c r="AC149" s="165"/>
      <c r="AD149" s="165"/>
      <c r="AE149" s="165"/>
      <c r="AF149" s="165"/>
      <c r="AG149" s="165"/>
    </row>
    <row r="150" spans="1:33" s="70" customFormat="1" x14ac:dyDescent="0.25">
      <c r="A150" s="290"/>
      <c r="B150" s="165"/>
      <c r="I150" s="165"/>
      <c r="J150" s="165"/>
      <c r="K150" s="165"/>
      <c r="L150" s="165"/>
      <c r="M150" s="165"/>
      <c r="N150" s="165"/>
      <c r="O150" s="165"/>
      <c r="P150" s="165"/>
      <c r="Q150" s="165"/>
      <c r="R150" s="165"/>
      <c r="S150" s="165"/>
      <c r="T150" s="165"/>
      <c r="U150" s="165"/>
      <c r="V150" s="165"/>
      <c r="W150" s="165"/>
      <c r="X150" s="165"/>
      <c r="Y150" s="165"/>
      <c r="Z150" s="165"/>
      <c r="AA150" s="165"/>
      <c r="AB150" s="165"/>
      <c r="AC150" s="165"/>
      <c r="AD150" s="165"/>
      <c r="AE150" s="165"/>
      <c r="AF150" s="165"/>
      <c r="AG150" s="165"/>
    </row>
    <row r="151" spans="1:33" s="70" customFormat="1" x14ac:dyDescent="0.25">
      <c r="A151" s="290"/>
      <c r="B151" s="165"/>
      <c r="I151" s="165"/>
      <c r="J151" s="165"/>
      <c r="K151" s="165"/>
      <c r="L151" s="165"/>
      <c r="M151" s="165"/>
      <c r="N151" s="165"/>
      <c r="O151" s="165"/>
      <c r="P151" s="165"/>
      <c r="Q151" s="165"/>
      <c r="R151" s="165"/>
      <c r="S151" s="165"/>
      <c r="T151" s="165"/>
      <c r="U151" s="165"/>
      <c r="V151" s="165"/>
      <c r="W151" s="165"/>
      <c r="X151" s="165"/>
      <c r="Y151" s="165"/>
      <c r="Z151" s="165"/>
      <c r="AA151" s="165"/>
      <c r="AB151" s="165"/>
      <c r="AC151" s="165"/>
      <c r="AD151" s="165"/>
      <c r="AE151" s="165"/>
      <c r="AF151" s="165"/>
      <c r="AG151" s="165"/>
    </row>
    <row r="152" spans="1:33" s="70" customFormat="1" x14ac:dyDescent="0.25">
      <c r="A152" s="290"/>
      <c r="B152" s="165"/>
      <c r="I152" s="165"/>
      <c r="J152" s="165"/>
      <c r="K152" s="165"/>
      <c r="L152" s="165"/>
      <c r="M152" s="165"/>
      <c r="N152" s="165"/>
      <c r="O152" s="165"/>
      <c r="P152" s="165"/>
      <c r="Q152" s="165"/>
      <c r="R152" s="165"/>
      <c r="S152" s="165"/>
      <c r="T152" s="165"/>
      <c r="U152" s="165"/>
      <c r="V152" s="165"/>
      <c r="W152" s="165"/>
      <c r="X152" s="165"/>
      <c r="Y152" s="165"/>
      <c r="Z152" s="165"/>
      <c r="AA152" s="165"/>
      <c r="AB152" s="165"/>
      <c r="AC152" s="165"/>
      <c r="AD152" s="165"/>
      <c r="AE152" s="165"/>
      <c r="AF152" s="165"/>
      <c r="AG152" s="165"/>
    </row>
    <row r="153" spans="1:33" s="70" customFormat="1" x14ac:dyDescent="0.25">
      <c r="A153" s="290"/>
      <c r="B153" s="165"/>
      <c r="I153" s="165"/>
      <c r="J153" s="165"/>
      <c r="K153" s="165"/>
      <c r="L153" s="165"/>
      <c r="M153" s="165"/>
      <c r="N153" s="165"/>
      <c r="O153" s="165"/>
      <c r="P153" s="165"/>
      <c r="Q153" s="165"/>
      <c r="R153" s="165"/>
      <c r="S153" s="165"/>
      <c r="T153" s="165"/>
      <c r="U153" s="165"/>
      <c r="V153" s="165"/>
      <c r="W153" s="165"/>
      <c r="X153" s="165"/>
      <c r="Y153" s="165"/>
      <c r="Z153" s="165"/>
      <c r="AA153" s="165"/>
      <c r="AB153" s="165"/>
      <c r="AC153" s="165"/>
      <c r="AD153" s="165"/>
      <c r="AE153" s="165"/>
      <c r="AF153" s="165"/>
      <c r="AG153" s="165"/>
    </row>
    <row r="154" spans="1:33" s="70" customFormat="1" x14ac:dyDescent="0.25">
      <c r="A154" s="290"/>
      <c r="B154" s="165"/>
      <c r="I154" s="165"/>
      <c r="J154" s="165"/>
      <c r="K154" s="165"/>
      <c r="L154" s="165"/>
      <c r="M154" s="165"/>
      <c r="N154" s="165"/>
      <c r="O154" s="165"/>
      <c r="P154" s="165"/>
      <c r="Q154" s="165"/>
      <c r="R154" s="165"/>
      <c r="S154" s="165"/>
      <c r="T154" s="165"/>
      <c r="U154" s="165"/>
      <c r="V154" s="165"/>
      <c r="W154" s="165"/>
      <c r="X154" s="165"/>
      <c r="Y154" s="165"/>
      <c r="Z154" s="165"/>
      <c r="AA154" s="165"/>
      <c r="AB154" s="165"/>
      <c r="AC154" s="165"/>
      <c r="AD154" s="165"/>
      <c r="AE154" s="165"/>
      <c r="AF154" s="165"/>
      <c r="AG154" s="165"/>
    </row>
    <row r="155" spans="1:33" s="70" customFormat="1" x14ac:dyDescent="0.25">
      <c r="A155" s="290"/>
      <c r="B155" s="165"/>
      <c r="I155" s="165"/>
      <c r="J155" s="165"/>
      <c r="K155" s="165"/>
      <c r="L155" s="165"/>
      <c r="M155" s="165"/>
      <c r="N155" s="165"/>
      <c r="O155" s="165"/>
      <c r="P155" s="165"/>
      <c r="Q155" s="165"/>
      <c r="R155" s="165"/>
      <c r="S155" s="165"/>
      <c r="T155" s="165"/>
      <c r="U155" s="165"/>
      <c r="V155" s="165"/>
      <c r="W155" s="165"/>
      <c r="X155" s="165"/>
      <c r="Y155" s="165"/>
      <c r="Z155" s="165"/>
      <c r="AA155" s="165"/>
      <c r="AB155" s="165"/>
      <c r="AC155" s="165"/>
      <c r="AD155" s="165"/>
      <c r="AE155" s="165"/>
      <c r="AF155" s="165"/>
      <c r="AG155" s="165"/>
    </row>
    <row r="156" spans="1:33" s="70" customFormat="1" x14ac:dyDescent="0.25">
      <c r="A156" s="290"/>
      <c r="B156" s="165"/>
      <c r="I156" s="165"/>
      <c r="J156" s="165"/>
      <c r="K156" s="165"/>
      <c r="L156" s="165"/>
      <c r="M156" s="165"/>
      <c r="N156" s="165"/>
      <c r="O156" s="165"/>
      <c r="P156" s="165"/>
      <c r="Q156" s="165"/>
      <c r="R156" s="165"/>
      <c r="S156" s="165"/>
      <c r="T156" s="165"/>
      <c r="U156" s="165"/>
      <c r="V156" s="165"/>
      <c r="W156" s="165"/>
      <c r="X156" s="165"/>
      <c r="Y156" s="165"/>
      <c r="Z156" s="165"/>
      <c r="AA156" s="165"/>
      <c r="AB156" s="165"/>
      <c r="AC156" s="165"/>
      <c r="AD156" s="165"/>
      <c r="AE156" s="165"/>
      <c r="AF156" s="165"/>
      <c r="AG156" s="165"/>
    </row>
    <row r="157" spans="1:33" s="70" customFormat="1" x14ac:dyDescent="0.25">
      <c r="A157" s="290"/>
      <c r="B157" s="165"/>
      <c r="I157" s="165"/>
      <c r="J157" s="165"/>
      <c r="K157" s="165"/>
      <c r="L157" s="165"/>
      <c r="M157" s="165"/>
      <c r="N157" s="165"/>
      <c r="O157" s="165"/>
      <c r="P157" s="165"/>
      <c r="Q157" s="165"/>
      <c r="R157" s="165"/>
      <c r="S157" s="165"/>
      <c r="T157" s="165"/>
      <c r="U157" s="165"/>
      <c r="V157" s="165"/>
      <c r="W157" s="165"/>
      <c r="X157" s="165"/>
      <c r="Y157" s="165"/>
      <c r="Z157" s="165"/>
      <c r="AA157" s="165"/>
      <c r="AB157" s="165"/>
      <c r="AC157" s="165"/>
      <c r="AD157" s="165"/>
      <c r="AE157" s="165"/>
      <c r="AF157" s="165"/>
      <c r="AG157" s="165"/>
    </row>
    <row r="158" spans="1:33" s="70" customFormat="1" x14ac:dyDescent="0.25">
      <c r="A158" s="290"/>
      <c r="B158" s="165"/>
      <c r="I158" s="165"/>
      <c r="J158" s="165"/>
      <c r="K158" s="165"/>
      <c r="L158" s="165"/>
      <c r="M158" s="165"/>
      <c r="N158" s="165"/>
      <c r="O158" s="165"/>
      <c r="P158" s="165"/>
      <c r="Q158" s="165"/>
      <c r="R158" s="165"/>
      <c r="S158" s="165"/>
      <c r="T158" s="165"/>
      <c r="U158" s="165"/>
      <c r="V158" s="165"/>
      <c r="W158" s="165"/>
      <c r="X158" s="165"/>
      <c r="Y158" s="165"/>
      <c r="Z158" s="165"/>
      <c r="AA158" s="165"/>
      <c r="AB158" s="165"/>
      <c r="AC158" s="165"/>
      <c r="AD158" s="165"/>
      <c r="AE158" s="165"/>
      <c r="AF158" s="165"/>
      <c r="AG158" s="165"/>
    </row>
    <row r="159" spans="1:33" s="70" customFormat="1" x14ac:dyDescent="0.25">
      <c r="A159" s="290"/>
      <c r="B159" s="165"/>
      <c r="I159" s="165"/>
      <c r="J159" s="165"/>
      <c r="K159" s="165"/>
      <c r="L159" s="165"/>
      <c r="M159" s="165"/>
      <c r="N159" s="165"/>
      <c r="O159" s="165"/>
      <c r="P159" s="165"/>
      <c r="Q159" s="165"/>
      <c r="R159" s="165"/>
      <c r="S159" s="165"/>
      <c r="T159" s="165"/>
      <c r="U159" s="165"/>
      <c r="V159" s="165"/>
      <c r="W159" s="165"/>
      <c r="X159" s="165"/>
      <c r="Y159" s="165"/>
      <c r="Z159" s="165"/>
      <c r="AA159" s="165"/>
      <c r="AB159" s="165"/>
      <c r="AC159" s="165"/>
      <c r="AD159" s="165"/>
      <c r="AE159" s="165"/>
      <c r="AF159" s="165"/>
      <c r="AG159" s="165"/>
    </row>
    <row r="160" spans="1:33" s="70" customFormat="1" x14ac:dyDescent="0.25">
      <c r="A160" s="290"/>
      <c r="B160" s="165"/>
      <c r="I160" s="165"/>
      <c r="J160" s="165"/>
      <c r="K160" s="165"/>
      <c r="L160" s="165"/>
      <c r="M160" s="165"/>
      <c r="N160" s="165"/>
      <c r="O160" s="165"/>
      <c r="P160" s="165"/>
      <c r="Q160" s="165"/>
      <c r="R160" s="165"/>
      <c r="S160" s="165"/>
      <c r="T160" s="165"/>
      <c r="U160" s="165"/>
      <c r="V160" s="165"/>
      <c r="W160" s="165"/>
      <c r="X160" s="165"/>
      <c r="Y160" s="165"/>
      <c r="Z160" s="165"/>
      <c r="AA160" s="165"/>
      <c r="AB160" s="165"/>
      <c r="AC160" s="165"/>
      <c r="AD160" s="165"/>
      <c r="AE160" s="165"/>
      <c r="AF160" s="165"/>
      <c r="AG160" s="165"/>
    </row>
    <row r="161" spans="1:33" s="70" customFormat="1" x14ac:dyDescent="0.25">
      <c r="A161" s="290"/>
      <c r="B161" s="165"/>
      <c r="I161" s="165"/>
      <c r="J161" s="165"/>
      <c r="K161" s="165"/>
      <c r="L161" s="165"/>
      <c r="M161" s="165"/>
      <c r="N161" s="165"/>
      <c r="O161" s="165"/>
      <c r="P161" s="165"/>
      <c r="Q161" s="165"/>
      <c r="R161" s="165"/>
      <c r="S161" s="165"/>
      <c r="T161" s="165"/>
      <c r="U161" s="165"/>
      <c r="V161" s="165"/>
      <c r="W161" s="165"/>
      <c r="X161" s="165"/>
      <c r="Y161" s="165"/>
      <c r="Z161" s="165"/>
      <c r="AA161" s="165"/>
      <c r="AB161" s="165"/>
      <c r="AC161" s="165"/>
      <c r="AD161" s="165"/>
      <c r="AE161" s="165"/>
      <c r="AF161" s="165"/>
      <c r="AG161" s="165"/>
    </row>
    <row r="162" spans="1:33" s="70" customFormat="1" x14ac:dyDescent="0.25">
      <c r="A162" s="290"/>
      <c r="B162" s="165"/>
      <c r="I162" s="165"/>
      <c r="J162" s="165"/>
      <c r="K162" s="165"/>
      <c r="L162" s="165"/>
      <c r="M162" s="165"/>
      <c r="N162" s="165"/>
      <c r="O162" s="165"/>
      <c r="P162" s="165"/>
      <c r="Q162" s="165"/>
      <c r="R162" s="165"/>
      <c r="S162" s="165"/>
      <c r="T162" s="165"/>
      <c r="U162" s="165"/>
      <c r="V162" s="165"/>
      <c r="W162" s="165"/>
      <c r="X162" s="165"/>
      <c r="Y162" s="165"/>
      <c r="Z162" s="165"/>
      <c r="AA162" s="165"/>
      <c r="AB162" s="165"/>
      <c r="AC162" s="165"/>
      <c r="AD162" s="165"/>
      <c r="AE162" s="165"/>
      <c r="AF162" s="165"/>
      <c r="AG162" s="165"/>
    </row>
    <row r="163" spans="1:33" s="70" customFormat="1" x14ac:dyDescent="0.25">
      <c r="A163" s="290"/>
      <c r="B163" s="165"/>
      <c r="I163" s="165"/>
      <c r="J163" s="165"/>
      <c r="K163" s="165"/>
      <c r="L163" s="165"/>
      <c r="M163" s="165"/>
      <c r="N163" s="165"/>
      <c r="O163" s="165"/>
      <c r="P163" s="165"/>
      <c r="Q163" s="165"/>
      <c r="R163" s="165"/>
      <c r="S163" s="165"/>
      <c r="T163" s="165"/>
      <c r="U163" s="165"/>
      <c r="V163" s="165"/>
      <c r="W163" s="165"/>
      <c r="X163" s="165"/>
      <c r="Y163" s="165"/>
      <c r="Z163" s="165"/>
      <c r="AA163" s="165"/>
      <c r="AB163" s="165"/>
      <c r="AC163" s="165"/>
      <c r="AD163" s="165"/>
      <c r="AE163" s="165"/>
      <c r="AF163" s="165"/>
      <c r="AG163" s="165"/>
    </row>
    <row r="164" spans="1:33" s="70" customFormat="1" x14ac:dyDescent="0.25">
      <c r="A164" s="290"/>
      <c r="B164" s="165"/>
      <c r="I164" s="165"/>
      <c r="J164" s="165"/>
      <c r="K164" s="165"/>
      <c r="L164" s="165"/>
      <c r="M164" s="165"/>
      <c r="N164" s="165"/>
      <c r="O164" s="165"/>
      <c r="P164" s="165"/>
      <c r="Q164" s="165"/>
      <c r="R164" s="165"/>
      <c r="S164" s="165"/>
      <c r="T164" s="165"/>
      <c r="U164" s="165"/>
      <c r="V164" s="165"/>
      <c r="W164" s="165"/>
      <c r="X164" s="165"/>
      <c r="Y164" s="165"/>
      <c r="Z164" s="165"/>
      <c r="AA164" s="165"/>
      <c r="AB164" s="165"/>
      <c r="AC164" s="165"/>
      <c r="AD164" s="165"/>
      <c r="AE164" s="165"/>
      <c r="AF164" s="165"/>
      <c r="AG164" s="165"/>
    </row>
    <row r="165" spans="1:33" s="70" customFormat="1" x14ac:dyDescent="0.25">
      <c r="A165" s="290"/>
      <c r="B165" s="165"/>
      <c r="I165" s="165"/>
      <c r="J165" s="165"/>
      <c r="K165" s="165"/>
      <c r="L165" s="165"/>
      <c r="M165" s="165"/>
      <c r="N165" s="165"/>
      <c r="O165" s="165"/>
      <c r="P165" s="165"/>
      <c r="Q165" s="165"/>
      <c r="R165" s="165"/>
      <c r="S165" s="165"/>
      <c r="T165" s="165"/>
      <c r="U165" s="165"/>
      <c r="V165" s="165"/>
      <c r="W165" s="165"/>
      <c r="X165" s="165"/>
      <c r="Y165" s="165"/>
      <c r="Z165" s="165"/>
      <c r="AA165" s="165"/>
      <c r="AB165" s="165"/>
      <c r="AC165" s="165"/>
      <c r="AD165" s="165"/>
      <c r="AE165" s="165"/>
      <c r="AF165" s="165"/>
      <c r="AG165" s="165"/>
    </row>
    <row r="166" spans="1:33" s="70" customFormat="1" x14ac:dyDescent="0.25">
      <c r="A166" s="290"/>
      <c r="B166" s="165"/>
      <c r="I166" s="165"/>
      <c r="J166" s="165"/>
      <c r="K166" s="165"/>
      <c r="L166" s="165"/>
      <c r="M166" s="165"/>
      <c r="N166" s="165"/>
      <c r="O166" s="165"/>
      <c r="P166" s="165"/>
      <c r="Q166" s="165"/>
      <c r="R166" s="165"/>
      <c r="S166" s="165"/>
      <c r="T166" s="165"/>
      <c r="U166" s="165"/>
      <c r="V166" s="165"/>
      <c r="W166" s="165"/>
      <c r="X166" s="165"/>
      <c r="Y166" s="165"/>
      <c r="Z166" s="165"/>
      <c r="AA166" s="165"/>
      <c r="AB166" s="165"/>
      <c r="AC166" s="165"/>
      <c r="AD166" s="165"/>
      <c r="AE166" s="165"/>
      <c r="AF166" s="165"/>
      <c r="AG166" s="165"/>
    </row>
    <row r="167" spans="1:33" s="70" customFormat="1" x14ac:dyDescent="0.25">
      <c r="A167" s="290"/>
      <c r="B167" s="165"/>
      <c r="I167" s="165"/>
      <c r="J167" s="165"/>
      <c r="K167" s="165"/>
      <c r="L167" s="165"/>
      <c r="M167" s="165"/>
      <c r="N167" s="165"/>
      <c r="O167" s="165"/>
      <c r="P167" s="165"/>
      <c r="Q167" s="165"/>
      <c r="R167" s="165"/>
      <c r="S167" s="165"/>
      <c r="T167" s="165"/>
      <c r="U167" s="165"/>
      <c r="V167" s="165"/>
      <c r="W167" s="165"/>
      <c r="X167" s="165"/>
      <c r="Y167" s="165"/>
      <c r="Z167" s="165"/>
      <c r="AA167" s="165"/>
      <c r="AB167" s="165"/>
      <c r="AC167" s="165"/>
      <c r="AD167" s="165"/>
      <c r="AE167" s="165"/>
      <c r="AF167" s="165"/>
      <c r="AG167" s="165"/>
    </row>
    <row r="168" spans="1:33" s="70" customFormat="1" x14ac:dyDescent="0.25">
      <c r="A168" s="290"/>
      <c r="B168" s="165"/>
      <c r="I168" s="165"/>
      <c r="J168" s="165"/>
      <c r="K168" s="165"/>
      <c r="L168" s="165"/>
      <c r="M168" s="165"/>
      <c r="N168" s="165"/>
      <c r="O168" s="165"/>
      <c r="P168" s="165"/>
      <c r="Q168" s="165"/>
      <c r="R168" s="165"/>
      <c r="S168" s="165"/>
      <c r="T168" s="165"/>
      <c r="U168" s="165"/>
      <c r="V168" s="165"/>
      <c r="W168" s="165"/>
      <c r="X168" s="165"/>
      <c r="Y168" s="165"/>
      <c r="Z168" s="165"/>
      <c r="AA168" s="165"/>
      <c r="AB168" s="165"/>
      <c r="AC168" s="165"/>
      <c r="AD168" s="165"/>
      <c r="AE168" s="165"/>
      <c r="AF168" s="165"/>
      <c r="AG168" s="165"/>
    </row>
    <row r="169" spans="1:33" s="70" customFormat="1" x14ac:dyDescent="0.25">
      <c r="A169" s="290"/>
      <c r="B169" s="165"/>
      <c r="I169" s="165"/>
      <c r="J169" s="165"/>
      <c r="K169" s="165"/>
      <c r="L169" s="165"/>
      <c r="M169" s="165"/>
      <c r="N169" s="165"/>
      <c r="O169" s="165"/>
      <c r="P169" s="165"/>
      <c r="Q169" s="165"/>
      <c r="R169" s="165"/>
      <c r="S169" s="165"/>
      <c r="T169" s="165"/>
      <c r="U169" s="165"/>
      <c r="V169" s="165"/>
      <c r="W169" s="165"/>
      <c r="X169" s="165"/>
      <c r="Y169" s="165"/>
      <c r="Z169" s="165"/>
      <c r="AA169" s="165"/>
      <c r="AB169" s="165"/>
      <c r="AC169" s="165"/>
      <c r="AD169" s="165"/>
      <c r="AE169" s="165"/>
      <c r="AF169" s="165"/>
      <c r="AG169" s="165"/>
    </row>
    <row r="170" spans="1:33" s="70" customFormat="1" x14ac:dyDescent="0.25">
      <c r="A170" s="290"/>
      <c r="B170" s="165"/>
      <c r="I170" s="165"/>
      <c r="J170" s="165"/>
      <c r="K170" s="165"/>
      <c r="L170" s="165"/>
      <c r="M170" s="165"/>
      <c r="N170" s="165"/>
      <c r="O170" s="165"/>
      <c r="P170" s="165"/>
      <c r="Q170" s="165"/>
      <c r="R170" s="165"/>
      <c r="S170" s="165"/>
      <c r="T170" s="165"/>
      <c r="U170" s="165"/>
      <c r="V170" s="165"/>
      <c r="W170" s="165"/>
      <c r="X170" s="165"/>
      <c r="Y170" s="165"/>
      <c r="Z170" s="165"/>
      <c r="AA170" s="165"/>
      <c r="AB170" s="165"/>
      <c r="AC170" s="165"/>
      <c r="AD170" s="165"/>
      <c r="AE170" s="165"/>
      <c r="AF170" s="165"/>
      <c r="AG170" s="165"/>
    </row>
    <row r="171" spans="1:33" s="70" customFormat="1" x14ac:dyDescent="0.25">
      <c r="A171" s="290"/>
      <c r="B171" s="165"/>
      <c r="I171" s="165"/>
      <c r="J171" s="165"/>
      <c r="K171" s="165"/>
      <c r="L171" s="165"/>
      <c r="M171" s="165"/>
      <c r="N171" s="165"/>
      <c r="O171" s="165"/>
      <c r="P171" s="165"/>
      <c r="Q171" s="165"/>
      <c r="R171" s="165"/>
      <c r="S171" s="165"/>
      <c r="T171" s="165"/>
      <c r="U171" s="165"/>
      <c r="V171" s="165"/>
      <c r="W171" s="165"/>
      <c r="X171" s="165"/>
      <c r="Y171" s="165"/>
      <c r="Z171" s="165"/>
      <c r="AA171" s="165"/>
      <c r="AB171" s="165"/>
      <c r="AC171" s="165"/>
      <c r="AD171" s="165"/>
      <c r="AE171" s="165"/>
      <c r="AF171" s="165"/>
      <c r="AG171" s="165"/>
    </row>
    <row r="172" spans="1:33" s="70" customFormat="1" x14ac:dyDescent="0.25">
      <c r="A172" s="290"/>
      <c r="B172" s="165"/>
      <c r="I172" s="165"/>
      <c r="J172" s="165"/>
      <c r="K172" s="165"/>
      <c r="L172" s="165"/>
      <c r="M172" s="165"/>
      <c r="N172" s="165"/>
      <c r="O172" s="165"/>
      <c r="P172" s="165"/>
      <c r="Q172" s="165"/>
      <c r="R172" s="165"/>
      <c r="S172" s="165"/>
      <c r="T172" s="165"/>
      <c r="U172" s="165"/>
      <c r="V172" s="165"/>
      <c r="W172" s="165"/>
      <c r="X172" s="165"/>
      <c r="Y172" s="165"/>
      <c r="Z172" s="165"/>
      <c r="AA172" s="165"/>
      <c r="AB172" s="165"/>
      <c r="AC172" s="165"/>
      <c r="AD172" s="165"/>
      <c r="AE172" s="165"/>
      <c r="AF172" s="165"/>
      <c r="AG172" s="165"/>
    </row>
    <row r="173" spans="1:33" s="70" customFormat="1" x14ac:dyDescent="0.25">
      <c r="A173" s="290"/>
      <c r="B173" s="165"/>
      <c r="I173" s="165"/>
      <c r="J173" s="165"/>
      <c r="K173" s="165"/>
      <c r="L173" s="165"/>
      <c r="M173" s="165"/>
      <c r="N173" s="165"/>
      <c r="O173" s="165"/>
      <c r="P173" s="165"/>
      <c r="Q173" s="165"/>
      <c r="R173" s="165"/>
      <c r="S173" s="165"/>
      <c r="T173" s="165"/>
      <c r="U173" s="165"/>
      <c r="V173" s="165"/>
      <c r="W173" s="165"/>
      <c r="X173" s="165"/>
      <c r="Y173" s="165"/>
      <c r="Z173" s="165"/>
      <c r="AA173" s="165"/>
      <c r="AB173" s="165"/>
      <c r="AC173" s="165"/>
      <c r="AD173" s="165"/>
      <c r="AE173" s="165"/>
      <c r="AF173" s="165"/>
      <c r="AG173" s="165"/>
    </row>
    <row r="174" spans="1:33" s="70" customFormat="1" x14ac:dyDescent="0.25">
      <c r="A174" s="290"/>
      <c r="B174" s="165"/>
      <c r="I174" s="165"/>
      <c r="J174" s="165"/>
      <c r="K174" s="165"/>
      <c r="L174" s="165"/>
      <c r="M174" s="165"/>
      <c r="N174" s="165"/>
      <c r="O174" s="165"/>
      <c r="P174" s="165"/>
      <c r="Q174" s="165"/>
      <c r="R174" s="165"/>
      <c r="S174" s="165"/>
      <c r="T174" s="165"/>
      <c r="U174" s="165"/>
      <c r="V174" s="165"/>
      <c r="W174" s="165"/>
      <c r="X174" s="165"/>
      <c r="Y174" s="165"/>
      <c r="Z174" s="165"/>
      <c r="AA174" s="165"/>
      <c r="AB174" s="165"/>
      <c r="AC174" s="165"/>
      <c r="AD174" s="165"/>
      <c r="AE174" s="165"/>
      <c r="AF174" s="165"/>
      <c r="AG174" s="165"/>
    </row>
    <row r="175" spans="1:33" s="70" customFormat="1" x14ac:dyDescent="0.25">
      <c r="A175" s="290"/>
      <c r="B175" s="165"/>
      <c r="I175" s="165"/>
      <c r="J175" s="165"/>
      <c r="K175" s="165"/>
      <c r="L175" s="165"/>
      <c r="M175" s="165"/>
      <c r="N175" s="165"/>
      <c r="O175" s="165"/>
      <c r="P175" s="165"/>
      <c r="Q175" s="165"/>
      <c r="R175" s="165"/>
      <c r="S175" s="165"/>
      <c r="T175" s="165"/>
      <c r="U175" s="165"/>
      <c r="V175" s="165"/>
      <c r="W175" s="165"/>
      <c r="X175" s="165"/>
      <c r="Y175" s="165"/>
      <c r="Z175" s="165"/>
      <c r="AA175" s="165"/>
      <c r="AB175" s="165"/>
      <c r="AC175" s="165"/>
      <c r="AD175" s="165"/>
      <c r="AE175" s="165"/>
      <c r="AF175" s="165"/>
      <c r="AG175" s="165"/>
    </row>
    <row r="176" spans="1:33" s="70" customFormat="1" x14ac:dyDescent="0.25">
      <c r="A176" s="290"/>
      <c r="B176" s="165"/>
      <c r="I176" s="165"/>
      <c r="J176" s="165"/>
      <c r="K176" s="165"/>
      <c r="L176" s="165"/>
      <c r="M176" s="165"/>
      <c r="N176" s="165"/>
      <c r="O176" s="165"/>
      <c r="P176" s="165"/>
      <c r="Q176" s="165"/>
      <c r="R176" s="165"/>
      <c r="S176" s="165"/>
      <c r="T176" s="165"/>
      <c r="U176" s="165"/>
      <c r="V176" s="165"/>
      <c r="W176" s="165"/>
      <c r="X176" s="165"/>
      <c r="Y176" s="165"/>
      <c r="Z176" s="165"/>
      <c r="AA176" s="165"/>
      <c r="AB176" s="165"/>
      <c r="AC176" s="165"/>
      <c r="AD176" s="165"/>
      <c r="AE176" s="165"/>
      <c r="AF176" s="165"/>
      <c r="AG176" s="165"/>
    </row>
    <row r="177" spans="1:33" s="70" customFormat="1" x14ac:dyDescent="0.25">
      <c r="A177" s="290"/>
      <c r="B177" s="165"/>
      <c r="I177" s="165"/>
      <c r="J177" s="165"/>
      <c r="K177" s="165"/>
      <c r="L177" s="165"/>
      <c r="M177" s="165"/>
      <c r="N177" s="165"/>
      <c r="O177" s="165"/>
      <c r="P177" s="165"/>
      <c r="Q177" s="165"/>
      <c r="R177" s="165"/>
      <c r="S177" s="165"/>
      <c r="T177" s="165"/>
      <c r="U177" s="165"/>
      <c r="V177" s="165"/>
      <c r="W177" s="165"/>
      <c r="X177" s="165"/>
      <c r="Y177" s="165"/>
      <c r="Z177" s="165"/>
      <c r="AA177" s="165"/>
      <c r="AB177" s="165"/>
      <c r="AC177" s="165"/>
      <c r="AD177" s="165"/>
      <c r="AE177" s="165"/>
      <c r="AF177" s="165"/>
      <c r="AG177" s="165"/>
    </row>
    <row r="178" spans="1:33" s="70" customFormat="1" x14ac:dyDescent="0.25">
      <c r="A178" s="290"/>
      <c r="B178" s="165"/>
      <c r="I178" s="165"/>
      <c r="J178" s="165"/>
      <c r="K178" s="165"/>
      <c r="L178" s="165"/>
      <c r="M178" s="165"/>
      <c r="N178" s="165"/>
      <c r="O178" s="165"/>
      <c r="P178" s="165"/>
      <c r="Q178" s="165"/>
      <c r="R178" s="165"/>
      <c r="S178" s="165"/>
      <c r="T178" s="165"/>
      <c r="U178" s="165"/>
      <c r="V178" s="165"/>
      <c r="W178" s="165"/>
      <c r="X178" s="165"/>
      <c r="Y178" s="165"/>
      <c r="Z178" s="165"/>
      <c r="AA178" s="165"/>
      <c r="AB178" s="165"/>
      <c r="AC178" s="165"/>
      <c r="AD178" s="165"/>
      <c r="AE178" s="165"/>
      <c r="AF178" s="165"/>
      <c r="AG178" s="165"/>
    </row>
    <row r="179" spans="1:33" s="70" customFormat="1" x14ac:dyDescent="0.25">
      <c r="A179" s="290"/>
      <c r="B179" s="165"/>
      <c r="I179" s="165"/>
      <c r="J179" s="165"/>
      <c r="K179" s="165"/>
      <c r="L179" s="165"/>
      <c r="M179" s="165"/>
      <c r="N179" s="165"/>
      <c r="O179" s="165"/>
      <c r="P179" s="165"/>
      <c r="Q179" s="165"/>
      <c r="R179" s="165"/>
      <c r="S179" s="165"/>
      <c r="T179" s="165"/>
      <c r="U179" s="165"/>
      <c r="V179" s="165"/>
      <c r="W179" s="165"/>
      <c r="X179" s="165"/>
      <c r="Y179" s="165"/>
      <c r="Z179" s="165"/>
      <c r="AA179" s="165"/>
      <c r="AB179" s="165"/>
      <c r="AC179" s="165"/>
      <c r="AD179" s="165"/>
      <c r="AE179" s="165"/>
      <c r="AF179" s="165"/>
      <c r="AG179" s="165"/>
    </row>
    <row r="180" spans="1:33" s="70" customFormat="1" x14ac:dyDescent="0.25">
      <c r="A180" s="290"/>
      <c r="B180" s="165"/>
      <c r="I180" s="165"/>
      <c r="J180" s="165"/>
      <c r="K180" s="165"/>
      <c r="L180" s="165"/>
      <c r="M180" s="165"/>
      <c r="N180" s="165"/>
      <c r="O180" s="165"/>
      <c r="P180" s="165"/>
      <c r="Q180" s="165"/>
      <c r="R180" s="165"/>
      <c r="S180" s="165"/>
      <c r="T180" s="165"/>
      <c r="U180" s="165"/>
      <c r="V180" s="165"/>
      <c r="W180" s="165"/>
      <c r="X180" s="165"/>
      <c r="Y180" s="165"/>
      <c r="Z180" s="165"/>
      <c r="AA180" s="165"/>
      <c r="AB180" s="165"/>
      <c r="AC180" s="165"/>
      <c r="AD180" s="165"/>
      <c r="AE180" s="165"/>
      <c r="AF180" s="165"/>
      <c r="AG180" s="165"/>
    </row>
    <row r="181" spans="1:33" s="70" customFormat="1" x14ac:dyDescent="0.25">
      <c r="A181" s="290"/>
      <c r="B181" s="165"/>
      <c r="I181" s="165"/>
      <c r="J181" s="165"/>
      <c r="K181" s="165"/>
      <c r="L181" s="165"/>
      <c r="M181" s="165"/>
      <c r="N181" s="165"/>
      <c r="O181" s="165"/>
      <c r="P181" s="165"/>
      <c r="Q181" s="165"/>
      <c r="R181" s="165"/>
      <c r="S181" s="165"/>
      <c r="T181" s="165"/>
      <c r="U181" s="165"/>
      <c r="V181" s="165"/>
      <c r="W181" s="165"/>
      <c r="X181" s="165"/>
      <c r="Y181" s="165"/>
      <c r="Z181" s="165"/>
      <c r="AA181" s="165"/>
      <c r="AB181" s="165"/>
      <c r="AC181" s="165"/>
      <c r="AD181" s="165"/>
      <c r="AE181" s="165"/>
      <c r="AF181" s="165"/>
      <c r="AG181" s="165"/>
    </row>
    <row r="182" spans="1:33" s="70" customFormat="1" x14ac:dyDescent="0.25">
      <c r="A182" s="290"/>
      <c r="B182" s="165"/>
      <c r="I182" s="165"/>
      <c r="J182" s="165"/>
      <c r="K182" s="165"/>
      <c r="L182" s="165"/>
      <c r="M182" s="165"/>
      <c r="N182" s="165"/>
      <c r="O182" s="165"/>
      <c r="P182" s="165"/>
      <c r="Q182" s="165"/>
      <c r="R182" s="165"/>
      <c r="S182" s="165"/>
      <c r="T182" s="165"/>
      <c r="U182" s="165"/>
      <c r="V182" s="165"/>
      <c r="W182" s="165"/>
      <c r="X182" s="165"/>
      <c r="Y182" s="165"/>
      <c r="Z182" s="165"/>
      <c r="AA182" s="165"/>
      <c r="AB182" s="165"/>
      <c r="AC182" s="165"/>
      <c r="AD182" s="165"/>
      <c r="AE182" s="165"/>
      <c r="AF182" s="165"/>
      <c r="AG182" s="165"/>
    </row>
    <row r="183" spans="1:33" s="70" customFormat="1" x14ac:dyDescent="0.25">
      <c r="A183" s="290"/>
      <c r="B183" s="165"/>
      <c r="I183" s="165"/>
      <c r="J183" s="165"/>
      <c r="K183" s="165"/>
      <c r="L183" s="165"/>
      <c r="M183" s="165"/>
      <c r="N183" s="165"/>
      <c r="O183" s="165"/>
      <c r="P183" s="165"/>
      <c r="Q183" s="165"/>
      <c r="R183" s="165"/>
      <c r="S183" s="165"/>
      <c r="T183" s="165"/>
      <c r="U183" s="165"/>
      <c r="V183" s="165"/>
      <c r="W183" s="165"/>
      <c r="X183" s="165"/>
      <c r="Y183" s="165"/>
      <c r="Z183" s="165"/>
      <c r="AA183" s="165"/>
      <c r="AB183" s="165"/>
      <c r="AC183" s="165"/>
      <c r="AD183" s="165"/>
      <c r="AE183" s="165"/>
      <c r="AF183" s="165"/>
      <c r="AG183" s="165"/>
    </row>
    <row r="184" spans="1:33" s="70" customFormat="1" x14ac:dyDescent="0.25">
      <c r="A184" s="290"/>
      <c r="B184" s="165"/>
      <c r="I184" s="165"/>
      <c r="J184" s="165"/>
      <c r="K184" s="165"/>
      <c r="L184" s="165"/>
      <c r="M184" s="165"/>
      <c r="N184" s="165"/>
      <c r="O184" s="165"/>
      <c r="P184" s="165"/>
      <c r="Q184" s="165"/>
      <c r="R184" s="165"/>
      <c r="S184" s="165"/>
      <c r="T184" s="165"/>
      <c r="U184" s="165"/>
      <c r="V184" s="165"/>
      <c r="W184" s="165"/>
      <c r="X184" s="165"/>
      <c r="Y184" s="165"/>
      <c r="Z184" s="165"/>
      <c r="AA184" s="165"/>
      <c r="AB184" s="165"/>
      <c r="AC184" s="165"/>
      <c r="AD184" s="165"/>
      <c r="AE184" s="165"/>
      <c r="AF184" s="165"/>
      <c r="AG184" s="165"/>
    </row>
    <row r="185" spans="1:33" s="70" customFormat="1" x14ac:dyDescent="0.25">
      <c r="A185" s="290"/>
      <c r="B185" s="165"/>
      <c r="I185" s="165"/>
      <c r="J185" s="165"/>
      <c r="K185" s="165"/>
      <c r="L185" s="165"/>
      <c r="M185" s="165"/>
      <c r="N185" s="165"/>
      <c r="O185" s="165"/>
      <c r="P185" s="165"/>
      <c r="Q185" s="165"/>
      <c r="R185" s="165"/>
      <c r="S185" s="165"/>
      <c r="T185" s="165"/>
      <c r="U185" s="165"/>
      <c r="V185" s="165"/>
      <c r="W185" s="165"/>
      <c r="X185" s="165"/>
      <c r="Y185" s="165"/>
      <c r="Z185" s="165"/>
      <c r="AA185" s="165"/>
      <c r="AB185" s="165"/>
      <c r="AC185" s="165"/>
      <c r="AD185" s="165"/>
      <c r="AE185" s="165"/>
      <c r="AF185" s="165"/>
      <c r="AG185" s="165"/>
    </row>
    <row r="186" spans="1:33" s="70" customFormat="1" x14ac:dyDescent="0.25">
      <c r="A186" s="290"/>
      <c r="B186" s="165"/>
      <c r="I186" s="165"/>
      <c r="J186" s="165"/>
      <c r="K186" s="165"/>
      <c r="L186" s="165"/>
      <c r="M186" s="165"/>
      <c r="N186" s="165"/>
      <c r="O186" s="165"/>
      <c r="P186" s="165"/>
      <c r="Q186" s="165"/>
      <c r="R186" s="165"/>
      <c r="S186" s="165"/>
      <c r="T186" s="165"/>
      <c r="U186" s="165"/>
      <c r="V186" s="165"/>
      <c r="W186" s="165"/>
      <c r="X186" s="165"/>
      <c r="Y186" s="165"/>
      <c r="Z186" s="165"/>
      <c r="AA186" s="165"/>
      <c r="AB186" s="165"/>
      <c r="AC186" s="165"/>
      <c r="AD186" s="165"/>
      <c r="AE186" s="165"/>
      <c r="AF186" s="165"/>
      <c r="AG186" s="165"/>
    </row>
    <row r="187" spans="1:33" s="70" customFormat="1" x14ac:dyDescent="0.25">
      <c r="A187" s="290"/>
      <c r="B187" s="165"/>
      <c r="I187" s="165"/>
      <c r="J187" s="165"/>
      <c r="K187" s="165"/>
      <c r="L187" s="165"/>
      <c r="M187" s="165"/>
      <c r="N187" s="165"/>
      <c r="O187" s="165"/>
      <c r="P187" s="165"/>
      <c r="Q187" s="165"/>
      <c r="R187" s="165"/>
      <c r="S187" s="165"/>
      <c r="T187" s="165"/>
      <c r="U187" s="165"/>
      <c r="V187" s="165"/>
      <c r="W187" s="165"/>
      <c r="X187" s="165"/>
      <c r="Y187" s="165"/>
      <c r="Z187" s="165"/>
      <c r="AA187" s="165"/>
      <c r="AB187" s="165"/>
      <c r="AC187" s="165"/>
      <c r="AD187" s="165"/>
      <c r="AE187" s="165"/>
      <c r="AF187" s="165"/>
      <c r="AG187" s="165"/>
    </row>
    <row r="188" spans="1:33" s="70" customFormat="1" x14ac:dyDescent="0.25">
      <c r="A188" s="290"/>
      <c r="B188" s="165"/>
      <c r="I188" s="165"/>
      <c r="J188" s="165"/>
      <c r="K188" s="165"/>
      <c r="L188" s="165"/>
      <c r="M188" s="165"/>
      <c r="N188" s="165"/>
      <c r="O188" s="165"/>
      <c r="P188" s="165"/>
      <c r="Q188" s="165"/>
      <c r="R188" s="165"/>
      <c r="S188" s="165"/>
      <c r="T188" s="165"/>
      <c r="U188" s="165"/>
      <c r="V188" s="165"/>
      <c r="W188" s="165"/>
      <c r="X188" s="165"/>
      <c r="Y188" s="165"/>
      <c r="Z188" s="165"/>
      <c r="AA188" s="165"/>
      <c r="AB188" s="165"/>
      <c r="AC188" s="165"/>
      <c r="AD188" s="165"/>
      <c r="AE188" s="165"/>
      <c r="AF188" s="165"/>
      <c r="AG188" s="165"/>
    </row>
    <row r="189" spans="1:33" s="70" customFormat="1" x14ac:dyDescent="0.25">
      <c r="A189" s="290"/>
      <c r="B189" s="165"/>
      <c r="I189" s="165"/>
      <c r="J189" s="165"/>
      <c r="K189" s="165"/>
      <c r="L189" s="165"/>
      <c r="M189" s="165"/>
      <c r="N189" s="165"/>
      <c r="O189" s="165"/>
      <c r="P189" s="165"/>
      <c r="Q189" s="165"/>
      <c r="R189" s="165"/>
      <c r="S189" s="165"/>
      <c r="T189" s="165"/>
      <c r="U189" s="165"/>
      <c r="V189" s="165"/>
      <c r="W189" s="165"/>
      <c r="X189" s="165"/>
      <c r="Y189" s="165"/>
      <c r="Z189" s="165"/>
      <c r="AA189" s="165"/>
      <c r="AB189" s="165"/>
      <c r="AC189" s="165"/>
      <c r="AD189" s="165"/>
      <c r="AE189" s="165"/>
      <c r="AF189" s="165"/>
      <c r="AG189" s="165"/>
    </row>
    <row r="190" spans="1:33" s="70" customFormat="1" x14ac:dyDescent="0.25">
      <c r="A190" s="290"/>
      <c r="B190" s="165"/>
      <c r="I190" s="165"/>
      <c r="J190" s="165"/>
      <c r="K190" s="165"/>
      <c r="L190" s="165"/>
      <c r="M190" s="165"/>
      <c r="N190" s="165"/>
      <c r="O190" s="165"/>
      <c r="P190" s="165"/>
      <c r="Q190" s="165"/>
      <c r="R190" s="165"/>
      <c r="S190" s="165"/>
      <c r="T190" s="165"/>
      <c r="U190" s="165"/>
      <c r="V190" s="165"/>
      <c r="W190" s="165"/>
      <c r="X190" s="165"/>
      <c r="Y190" s="165"/>
      <c r="Z190" s="165"/>
      <c r="AA190" s="165"/>
      <c r="AB190" s="165"/>
      <c r="AC190" s="165"/>
      <c r="AD190" s="165"/>
      <c r="AE190" s="165"/>
      <c r="AF190" s="165"/>
      <c r="AG190" s="165"/>
    </row>
    <row r="191" spans="1:33" s="70" customFormat="1" x14ac:dyDescent="0.25">
      <c r="A191" s="290"/>
      <c r="B191" s="165"/>
      <c r="I191" s="165"/>
      <c r="J191" s="165"/>
      <c r="K191" s="165"/>
      <c r="L191" s="165"/>
      <c r="M191" s="165"/>
      <c r="N191" s="165"/>
      <c r="O191" s="165"/>
      <c r="P191" s="165"/>
      <c r="Q191" s="165"/>
      <c r="R191" s="165"/>
      <c r="S191" s="165"/>
      <c r="T191" s="165"/>
      <c r="U191" s="165"/>
      <c r="V191" s="165"/>
      <c r="W191" s="165"/>
      <c r="X191" s="165"/>
      <c r="Y191" s="165"/>
      <c r="Z191" s="165"/>
      <c r="AA191" s="165"/>
      <c r="AB191" s="165"/>
      <c r="AC191" s="165"/>
      <c r="AD191" s="165"/>
      <c r="AE191" s="165"/>
      <c r="AF191" s="165"/>
      <c r="AG191" s="165"/>
    </row>
    <row r="192" spans="1:33" s="70" customFormat="1" x14ac:dyDescent="0.25">
      <c r="A192" s="290"/>
      <c r="B192" s="165"/>
      <c r="I192" s="165"/>
      <c r="J192" s="165"/>
      <c r="K192" s="165"/>
      <c r="L192" s="165"/>
      <c r="M192" s="165"/>
      <c r="N192" s="165"/>
      <c r="O192" s="165"/>
      <c r="P192" s="165"/>
      <c r="Q192" s="165"/>
      <c r="R192" s="165"/>
      <c r="S192" s="165"/>
      <c r="T192" s="165"/>
      <c r="U192" s="165"/>
      <c r="V192" s="165"/>
      <c r="W192" s="165"/>
      <c r="X192" s="165"/>
      <c r="Y192" s="165"/>
      <c r="Z192" s="165"/>
      <c r="AA192" s="165"/>
      <c r="AB192" s="165"/>
      <c r="AC192" s="165"/>
      <c r="AD192" s="165"/>
      <c r="AE192" s="165"/>
      <c r="AF192" s="165"/>
      <c r="AG192" s="165"/>
    </row>
    <row r="193" spans="1:33" s="70" customFormat="1" x14ac:dyDescent="0.25">
      <c r="A193" s="290"/>
      <c r="B193" s="165"/>
      <c r="I193" s="165"/>
      <c r="J193" s="165"/>
      <c r="K193" s="165"/>
      <c r="L193" s="165"/>
      <c r="M193" s="165"/>
      <c r="N193" s="165"/>
      <c r="O193" s="165"/>
      <c r="P193" s="165"/>
      <c r="Q193" s="165"/>
      <c r="R193" s="165"/>
      <c r="S193" s="165"/>
      <c r="T193" s="165"/>
      <c r="U193" s="165"/>
      <c r="V193" s="165"/>
      <c r="W193" s="165"/>
      <c r="X193" s="165"/>
      <c r="Y193" s="165"/>
      <c r="Z193" s="165"/>
      <c r="AA193" s="165"/>
      <c r="AB193" s="165"/>
      <c r="AC193" s="165"/>
      <c r="AD193" s="165"/>
      <c r="AE193" s="165"/>
      <c r="AF193" s="165"/>
      <c r="AG193" s="165"/>
    </row>
    <row r="194" spans="1:33" s="70" customFormat="1" x14ac:dyDescent="0.25">
      <c r="A194" s="290"/>
      <c r="B194" s="165"/>
      <c r="I194" s="165"/>
      <c r="J194" s="165"/>
      <c r="K194" s="165"/>
      <c r="L194" s="165"/>
      <c r="M194" s="165"/>
      <c r="N194" s="165"/>
      <c r="O194" s="165"/>
      <c r="P194" s="165"/>
      <c r="Q194" s="165"/>
      <c r="R194" s="165"/>
      <c r="S194" s="165"/>
      <c r="T194" s="165"/>
      <c r="U194" s="165"/>
      <c r="V194" s="165"/>
      <c r="W194" s="165"/>
      <c r="X194" s="165"/>
      <c r="Y194" s="165"/>
      <c r="Z194" s="165"/>
      <c r="AA194" s="165"/>
      <c r="AB194" s="165"/>
      <c r="AC194" s="165"/>
      <c r="AD194" s="165"/>
      <c r="AE194" s="165"/>
      <c r="AF194" s="165"/>
      <c r="AG194" s="165"/>
    </row>
    <row r="195" spans="1:33" s="70" customFormat="1" x14ac:dyDescent="0.25">
      <c r="A195" s="290"/>
      <c r="B195" s="165"/>
      <c r="I195" s="165"/>
      <c r="J195" s="165"/>
      <c r="K195" s="165"/>
      <c r="L195" s="165"/>
      <c r="M195" s="165"/>
      <c r="N195" s="165"/>
      <c r="O195" s="165"/>
      <c r="P195" s="165"/>
      <c r="Q195" s="165"/>
      <c r="R195" s="165"/>
      <c r="S195" s="165"/>
      <c r="T195" s="165"/>
      <c r="U195" s="165"/>
      <c r="V195" s="165"/>
      <c r="W195" s="165"/>
      <c r="X195" s="165"/>
      <c r="Y195" s="165"/>
      <c r="Z195" s="165"/>
      <c r="AA195" s="165"/>
      <c r="AB195" s="165"/>
      <c r="AC195" s="165"/>
      <c r="AD195" s="165"/>
      <c r="AE195" s="165"/>
      <c r="AF195" s="165"/>
      <c r="AG195" s="165"/>
    </row>
    <row r="196" spans="1:33" s="70" customFormat="1" x14ac:dyDescent="0.25">
      <c r="A196" s="290"/>
      <c r="B196" s="165"/>
      <c r="I196" s="165"/>
      <c r="J196" s="165"/>
      <c r="K196" s="165"/>
      <c r="L196" s="165"/>
      <c r="M196" s="165"/>
      <c r="N196" s="165"/>
      <c r="O196" s="165"/>
      <c r="P196" s="165"/>
      <c r="Q196" s="165"/>
      <c r="R196" s="165"/>
      <c r="S196" s="165"/>
      <c r="T196" s="165"/>
      <c r="U196" s="165"/>
      <c r="V196" s="165"/>
      <c r="W196" s="165"/>
      <c r="X196" s="165"/>
      <c r="Y196" s="165"/>
      <c r="Z196" s="165"/>
      <c r="AA196" s="165"/>
      <c r="AB196" s="165"/>
      <c r="AC196" s="165"/>
      <c r="AD196" s="165"/>
      <c r="AE196" s="165"/>
      <c r="AF196" s="165"/>
      <c r="AG196" s="165"/>
    </row>
    <row r="197" spans="1:33" s="70" customFormat="1" x14ac:dyDescent="0.25">
      <c r="A197" s="290"/>
      <c r="B197" s="165"/>
      <c r="I197" s="165"/>
      <c r="J197" s="165"/>
      <c r="K197" s="165"/>
      <c r="L197" s="165"/>
      <c r="M197" s="165"/>
      <c r="N197" s="165"/>
      <c r="O197" s="165"/>
      <c r="P197" s="165"/>
      <c r="Q197" s="165"/>
      <c r="R197" s="165"/>
      <c r="S197" s="165"/>
      <c r="T197" s="165"/>
      <c r="U197" s="165"/>
      <c r="V197" s="165"/>
      <c r="W197" s="165"/>
      <c r="X197" s="165"/>
      <c r="Y197" s="165"/>
      <c r="Z197" s="165"/>
      <c r="AA197" s="165"/>
      <c r="AB197" s="165"/>
      <c r="AC197" s="165"/>
      <c r="AD197" s="165"/>
      <c r="AE197" s="165"/>
      <c r="AF197" s="165"/>
      <c r="AG197" s="165"/>
    </row>
    <row r="198" spans="1:33" s="70" customFormat="1" x14ac:dyDescent="0.25">
      <c r="A198" s="290"/>
      <c r="B198" s="165"/>
      <c r="I198" s="165"/>
      <c r="J198" s="165"/>
      <c r="K198" s="165"/>
      <c r="L198" s="165"/>
      <c r="M198" s="165"/>
      <c r="N198" s="165"/>
      <c r="O198" s="165"/>
      <c r="P198" s="165"/>
      <c r="Q198" s="165"/>
      <c r="R198" s="165"/>
      <c r="S198" s="165"/>
      <c r="T198" s="165"/>
      <c r="U198" s="165"/>
      <c r="V198" s="165"/>
      <c r="W198" s="165"/>
      <c r="X198" s="165"/>
      <c r="Y198" s="165"/>
      <c r="Z198" s="165"/>
      <c r="AA198" s="165"/>
      <c r="AB198" s="165"/>
      <c r="AC198" s="165"/>
      <c r="AD198" s="165"/>
      <c r="AE198" s="165"/>
      <c r="AF198" s="165"/>
      <c r="AG198" s="165"/>
    </row>
    <row r="199" spans="1:33" s="70" customFormat="1" x14ac:dyDescent="0.25">
      <c r="A199" s="290"/>
      <c r="B199" s="165"/>
      <c r="I199" s="165"/>
      <c r="J199" s="165"/>
      <c r="K199" s="165"/>
      <c r="L199" s="165"/>
      <c r="M199" s="165"/>
      <c r="N199" s="165"/>
      <c r="O199" s="165"/>
      <c r="P199" s="165"/>
      <c r="Q199" s="165"/>
      <c r="R199" s="165"/>
      <c r="S199" s="165"/>
      <c r="T199" s="165"/>
      <c r="U199" s="165"/>
      <c r="V199" s="165"/>
      <c r="W199" s="165"/>
      <c r="X199" s="165"/>
      <c r="Y199" s="165"/>
      <c r="Z199" s="165"/>
      <c r="AA199" s="165"/>
      <c r="AB199" s="165"/>
      <c r="AC199" s="165"/>
      <c r="AD199" s="165"/>
      <c r="AE199" s="165"/>
      <c r="AF199" s="165"/>
      <c r="AG199" s="165"/>
    </row>
    <row r="200" spans="1:33" s="70" customFormat="1" x14ac:dyDescent="0.25">
      <c r="A200" s="290"/>
      <c r="B200" s="165"/>
      <c r="I200" s="165"/>
      <c r="J200" s="165"/>
      <c r="K200" s="165"/>
      <c r="L200" s="165"/>
      <c r="M200" s="165"/>
      <c r="N200" s="165"/>
      <c r="O200" s="165"/>
      <c r="P200" s="165"/>
      <c r="Q200" s="165"/>
      <c r="R200" s="165"/>
      <c r="S200" s="165"/>
      <c r="T200" s="165"/>
      <c r="U200" s="165"/>
      <c r="V200" s="165"/>
      <c r="W200" s="165"/>
      <c r="X200" s="165"/>
      <c r="Y200" s="165"/>
      <c r="Z200" s="165"/>
      <c r="AA200" s="165"/>
      <c r="AB200" s="165"/>
      <c r="AC200" s="165"/>
      <c r="AD200" s="165"/>
      <c r="AE200" s="165"/>
      <c r="AF200" s="165"/>
      <c r="AG200" s="165"/>
    </row>
    <row r="201" spans="1:33" s="70" customFormat="1" x14ac:dyDescent="0.25">
      <c r="A201" s="290"/>
      <c r="B201" s="165"/>
      <c r="I201" s="165"/>
      <c r="J201" s="165"/>
      <c r="K201" s="165"/>
      <c r="L201" s="165"/>
      <c r="M201" s="165"/>
      <c r="N201" s="165"/>
      <c r="O201" s="165"/>
      <c r="P201" s="165"/>
      <c r="Q201" s="165"/>
      <c r="R201" s="165"/>
      <c r="S201" s="165"/>
      <c r="T201" s="165"/>
      <c r="U201" s="165"/>
      <c r="V201" s="165"/>
      <c r="W201" s="165"/>
      <c r="X201" s="165"/>
      <c r="Y201" s="165"/>
      <c r="Z201" s="165"/>
      <c r="AA201" s="165"/>
      <c r="AB201" s="165"/>
      <c r="AC201" s="165"/>
      <c r="AD201" s="165"/>
      <c r="AE201" s="165"/>
      <c r="AF201" s="165"/>
      <c r="AG201" s="165"/>
    </row>
    <row r="202" spans="1:33" s="70" customFormat="1" x14ac:dyDescent="0.25">
      <c r="A202" s="290"/>
      <c r="B202" s="165"/>
      <c r="I202" s="165"/>
      <c r="J202" s="165"/>
      <c r="K202" s="165"/>
      <c r="L202" s="165"/>
      <c r="M202" s="165"/>
      <c r="N202" s="165"/>
      <c r="O202" s="165"/>
      <c r="P202" s="165"/>
      <c r="Q202" s="165"/>
      <c r="R202" s="165"/>
      <c r="S202" s="165"/>
      <c r="T202" s="165"/>
      <c r="U202" s="165"/>
      <c r="V202" s="165"/>
      <c r="W202" s="165"/>
      <c r="X202" s="165"/>
      <c r="Y202" s="165"/>
      <c r="Z202" s="165"/>
      <c r="AA202" s="165"/>
      <c r="AB202" s="165"/>
      <c r="AC202" s="165"/>
      <c r="AD202" s="165"/>
      <c r="AE202" s="165"/>
      <c r="AF202" s="165"/>
      <c r="AG202" s="165"/>
    </row>
    <row r="203" spans="1:33" s="70" customFormat="1" x14ac:dyDescent="0.25">
      <c r="A203" s="290"/>
      <c r="B203" s="165"/>
      <c r="I203" s="165"/>
      <c r="J203" s="165"/>
      <c r="K203" s="165"/>
      <c r="L203" s="165"/>
      <c r="M203" s="165"/>
      <c r="N203" s="165"/>
      <c r="O203" s="165"/>
      <c r="P203" s="165"/>
      <c r="Q203" s="165"/>
      <c r="R203" s="165"/>
      <c r="S203" s="165"/>
      <c r="T203" s="165"/>
      <c r="U203" s="165"/>
      <c r="V203" s="165"/>
      <c r="W203" s="165"/>
      <c r="X203" s="165"/>
      <c r="Y203" s="165"/>
      <c r="Z203" s="165"/>
      <c r="AA203" s="165"/>
      <c r="AB203" s="165"/>
      <c r="AC203" s="165"/>
      <c r="AD203" s="165"/>
      <c r="AE203" s="165"/>
      <c r="AF203" s="165"/>
      <c r="AG203" s="165"/>
    </row>
    <row r="204" spans="1:33" s="70" customFormat="1" x14ac:dyDescent="0.25">
      <c r="A204" s="290"/>
      <c r="B204" s="165"/>
      <c r="I204" s="165"/>
      <c r="J204" s="165"/>
      <c r="K204" s="165"/>
      <c r="L204" s="165"/>
      <c r="M204" s="165"/>
      <c r="N204" s="165"/>
      <c r="O204" s="165"/>
      <c r="P204" s="165"/>
      <c r="Q204" s="165"/>
      <c r="R204" s="165"/>
      <c r="S204" s="165"/>
      <c r="T204" s="165"/>
      <c r="U204" s="165"/>
      <c r="V204" s="165"/>
      <c r="W204" s="165"/>
      <c r="X204" s="165"/>
      <c r="Y204" s="165"/>
      <c r="Z204" s="165"/>
      <c r="AA204" s="165"/>
      <c r="AB204" s="165"/>
      <c r="AC204" s="165"/>
      <c r="AD204" s="165"/>
      <c r="AE204" s="165"/>
      <c r="AF204" s="165"/>
      <c r="AG204" s="165"/>
    </row>
    <row r="205" spans="1:33" s="70" customFormat="1" x14ac:dyDescent="0.25">
      <c r="A205" s="290"/>
      <c r="B205" s="165"/>
      <c r="I205" s="165"/>
      <c r="J205" s="165"/>
      <c r="K205" s="165"/>
      <c r="L205" s="165"/>
      <c r="M205" s="165"/>
      <c r="N205" s="165"/>
      <c r="O205" s="165"/>
      <c r="P205" s="165"/>
      <c r="Q205" s="165"/>
      <c r="R205" s="165"/>
      <c r="S205" s="165"/>
      <c r="T205" s="165"/>
      <c r="U205" s="165"/>
      <c r="V205" s="165"/>
      <c r="W205" s="165"/>
      <c r="X205" s="165"/>
      <c r="Y205" s="165"/>
      <c r="Z205" s="165"/>
      <c r="AA205" s="165"/>
      <c r="AB205" s="165"/>
      <c r="AC205" s="165"/>
      <c r="AD205" s="165"/>
      <c r="AE205" s="165"/>
      <c r="AF205" s="165"/>
      <c r="AG205" s="165"/>
    </row>
    <row r="206" spans="1:33" s="70" customFormat="1" x14ac:dyDescent="0.25">
      <c r="A206" s="290"/>
      <c r="B206" s="165"/>
      <c r="I206" s="165"/>
      <c r="J206" s="165"/>
      <c r="K206" s="165"/>
      <c r="L206" s="165"/>
      <c r="M206" s="165"/>
      <c r="N206" s="165"/>
      <c r="O206" s="165"/>
      <c r="P206" s="165"/>
      <c r="Q206" s="165"/>
      <c r="R206" s="165"/>
      <c r="S206" s="165"/>
      <c r="T206" s="165"/>
      <c r="U206" s="165"/>
      <c r="V206" s="165"/>
      <c r="W206" s="165"/>
      <c r="X206" s="165"/>
      <c r="Y206" s="165"/>
      <c r="Z206" s="165"/>
      <c r="AA206" s="165"/>
      <c r="AB206" s="165"/>
      <c r="AC206" s="165"/>
      <c r="AD206" s="165"/>
      <c r="AE206" s="165"/>
      <c r="AF206" s="165"/>
      <c r="AG206" s="165"/>
    </row>
    <row r="207" spans="1:33" s="70" customFormat="1" x14ac:dyDescent="0.25">
      <c r="A207" s="290"/>
      <c r="B207" s="165"/>
      <c r="I207" s="165"/>
      <c r="J207" s="165"/>
      <c r="K207" s="165"/>
      <c r="L207" s="165"/>
      <c r="M207" s="165"/>
      <c r="N207" s="165"/>
      <c r="O207" s="165"/>
      <c r="P207" s="165"/>
      <c r="Q207" s="165"/>
      <c r="R207" s="165"/>
      <c r="S207" s="165"/>
      <c r="T207" s="165"/>
      <c r="U207" s="165"/>
      <c r="V207" s="165"/>
      <c r="W207" s="165"/>
      <c r="X207" s="165"/>
      <c r="Y207" s="165"/>
      <c r="Z207" s="165"/>
      <c r="AA207" s="165"/>
      <c r="AB207" s="165"/>
      <c r="AC207" s="165"/>
      <c r="AD207" s="165"/>
      <c r="AE207" s="165"/>
      <c r="AF207" s="165"/>
      <c r="AG207" s="165"/>
    </row>
    <row r="208" spans="1:33" s="70" customFormat="1" x14ac:dyDescent="0.25">
      <c r="A208" s="290"/>
      <c r="B208" s="165"/>
      <c r="I208" s="165"/>
      <c r="J208" s="165"/>
      <c r="K208" s="165"/>
      <c r="L208" s="165"/>
      <c r="M208" s="165"/>
      <c r="N208" s="165"/>
      <c r="O208" s="165"/>
      <c r="P208" s="165"/>
      <c r="Q208" s="165"/>
      <c r="R208" s="165"/>
      <c r="S208" s="165"/>
      <c r="T208" s="165"/>
      <c r="U208" s="165"/>
      <c r="V208" s="165"/>
      <c r="W208" s="165"/>
      <c r="X208" s="165"/>
      <c r="Y208" s="165"/>
      <c r="Z208" s="165"/>
      <c r="AA208" s="165"/>
      <c r="AB208" s="165"/>
      <c r="AC208" s="165"/>
      <c r="AD208" s="165"/>
      <c r="AE208" s="165"/>
      <c r="AF208" s="165"/>
      <c r="AG208" s="165"/>
    </row>
    <row r="209" spans="1:33" s="70" customFormat="1" x14ac:dyDescent="0.25">
      <c r="A209" s="290"/>
      <c r="B209" s="165"/>
      <c r="I209" s="165"/>
      <c r="J209" s="165"/>
      <c r="K209" s="165"/>
      <c r="L209" s="165"/>
      <c r="M209" s="165"/>
      <c r="N209" s="165"/>
      <c r="O209" s="165"/>
      <c r="P209" s="165"/>
      <c r="Q209" s="165"/>
      <c r="R209" s="165"/>
      <c r="S209" s="165"/>
      <c r="T209" s="165"/>
      <c r="U209" s="165"/>
      <c r="V209" s="165"/>
      <c r="W209" s="165"/>
      <c r="X209" s="165"/>
      <c r="Y209" s="165"/>
      <c r="Z209" s="165"/>
      <c r="AA209" s="165"/>
      <c r="AB209" s="165"/>
      <c r="AC209" s="165"/>
      <c r="AD209" s="165"/>
      <c r="AE209" s="165"/>
      <c r="AF209" s="165"/>
      <c r="AG209" s="165"/>
    </row>
    <row r="210" spans="1:33" s="70" customFormat="1" x14ac:dyDescent="0.25">
      <c r="A210" s="290"/>
      <c r="B210" s="165"/>
      <c r="I210" s="165"/>
      <c r="J210" s="165"/>
      <c r="K210" s="165"/>
      <c r="L210" s="165"/>
      <c r="M210" s="165"/>
      <c r="N210" s="165"/>
      <c r="O210" s="165"/>
      <c r="P210" s="165"/>
      <c r="Q210" s="165"/>
      <c r="R210" s="165"/>
      <c r="S210" s="165"/>
      <c r="T210" s="165"/>
      <c r="U210" s="165"/>
      <c r="V210" s="165"/>
      <c r="W210" s="165"/>
      <c r="X210" s="165"/>
      <c r="Y210" s="165"/>
      <c r="Z210" s="165"/>
      <c r="AA210" s="165"/>
      <c r="AB210" s="165"/>
      <c r="AC210" s="165"/>
      <c r="AD210" s="165"/>
      <c r="AE210" s="165"/>
      <c r="AF210" s="165"/>
      <c r="AG210" s="165"/>
    </row>
    <row r="211" spans="1:33" s="70" customFormat="1" x14ac:dyDescent="0.25">
      <c r="A211" s="290"/>
      <c r="B211" s="165"/>
      <c r="I211" s="165"/>
      <c r="J211" s="165"/>
      <c r="K211" s="165"/>
      <c r="L211" s="165"/>
      <c r="M211" s="165"/>
      <c r="N211" s="165"/>
      <c r="O211" s="165"/>
      <c r="P211" s="165"/>
      <c r="Q211" s="165"/>
      <c r="R211" s="165"/>
      <c r="S211" s="165"/>
      <c r="T211" s="165"/>
      <c r="U211" s="165"/>
      <c r="V211" s="165"/>
      <c r="W211" s="165"/>
      <c r="X211" s="165"/>
      <c r="Y211" s="165"/>
      <c r="Z211" s="165"/>
      <c r="AA211" s="165"/>
      <c r="AB211" s="165"/>
      <c r="AC211" s="165"/>
      <c r="AD211" s="165"/>
      <c r="AE211" s="165"/>
      <c r="AF211" s="165"/>
      <c r="AG211" s="165"/>
    </row>
    <row r="212" spans="1:33" s="70" customFormat="1" x14ac:dyDescent="0.25">
      <c r="A212" s="290"/>
      <c r="B212" s="165"/>
      <c r="I212" s="165"/>
      <c r="J212" s="165"/>
      <c r="K212" s="165"/>
      <c r="L212" s="165"/>
      <c r="M212" s="165"/>
      <c r="N212" s="165"/>
      <c r="O212" s="165"/>
      <c r="P212" s="165"/>
      <c r="Q212" s="165"/>
      <c r="R212" s="165"/>
      <c r="S212" s="165"/>
      <c r="T212" s="165"/>
      <c r="U212" s="165"/>
      <c r="V212" s="165"/>
      <c r="W212" s="165"/>
      <c r="X212" s="165"/>
      <c r="Y212" s="165"/>
      <c r="Z212" s="165"/>
      <c r="AA212" s="165"/>
      <c r="AB212" s="165"/>
      <c r="AC212" s="165"/>
      <c r="AD212" s="165"/>
      <c r="AE212" s="165"/>
      <c r="AF212" s="165"/>
      <c r="AG212" s="165"/>
    </row>
    <row r="213" spans="1:33" s="70" customFormat="1" x14ac:dyDescent="0.25">
      <c r="A213" s="290"/>
      <c r="B213" s="165"/>
      <c r="I213" s="165"/>
      <c r="J213" s="165"/>
      <c r="K213" s="165"/>
      <c r="L213" s="165"/>
      <c r="M213" s="165"/>
      <c r="N213" s="165"/>
      <c r="O213" s="165"/>
      <c r="P213" s="165"/>
      <c r="Q213" s="165"/>
      <c r="R213" s="165"/>
      <c r="S213" s="165"/>
      <c r="T213" s="165"/>
      <c r="U213" s="165"/>
      <c r="V213" s="165"/>
      <c r="W213" s="165"/>
      <c r="X213" s="165"/>
      <c r="Y213" s="165"/>
      <c r="Z213" s="165"/>
      <c r="AA213" s="165"/>
      <c r="AB213" s="165"/>
      <c r="AC213" s="165"/>
      <c r="AD213" s="165"/>
      <c r="AE213" s="165"/>
      <c r="AF213" s="165"/>
      <c r="AG213" s="165"/>
    </row>
    <row r="214" spans="1:33" s="70" customFormat="1" x14ac:dyDescent="0.25">
      <c r="A214" s="290"/>
      <c r="B214" s="165"/>
      <c r="I214" s="165"/>
      <c r="J214" s="165"/>
      <c r="K214" s="165"/>
      <c r="L214" s="165"/>
      <c r="M214" s="165"/>
      <c r="N214" s="165"/>
      <c r="O214" s="165"/>
      <c r="P214" s="165"/>
      <c r="Q214" s="165"/>
      <c r="R214" s="165"/>
      <c r="S214" s="165"/>
      <c r="T214" s="165"/>
      <c r="U214" s="165"/>
      <c r="V214" s="165"/>
      <c r="W214" s="165"/>
      <c r="X214" s="165"/>
      <c r="Y214" s="165"/>
      <c r="Z214" s="165"/>
      <c r="AA214" s="165"/>
      <c r="AB214" s="165"/>
      <c r="AC214" s="165"/>
      <c r="AD214" s="165"/>
      <c r="AE214" s="165"/>
      <c r="AF214" s="165"/>
      <c r="AG214" s="165"/>
    </row>
    <row r="215" spans="1:33" s="70" customFormat="1" x14ac:dyDescent="0.25">
      <c r="A215" s="290"/>
      <c r="B215" s="165"/>
      <c r="I215" s="165"/>
      <c r="J215" s="165"/>
      <c r="K215" s="165"/>
      <c r="L215" s="165"/>
      <c r="M215" s="165"/>
      <c r="N215" s="165"/>
      <c r="O215" s="165"/>
      <c r="P215" s="165"/>
      <c r="Q215" s="165"/>
      <c r="R215" s="165"/>
      <c r="S215" s="165"/>
      <c r="T215" s="165"/>
      <c r="U215" s="165"/>
      <c r="V215" s="165"/>
      <c r="W215" s="165"/>
      <c r="X215" s="165"/>
      <c r="Y215" s="165"/>
      <c r="Z215" s="165"/>
      <c r="AA215" s="165"/>
      <c r="AB215" s="165"/>
      <c r="AC215" s="165"/>
      <c r="AD215" s="165"/>
      <c r="AE215" s="165"/>
      <c r="AF215" s="165"/>
      <c r="AG215" s="165"/>
    </row>
    <row r="216" spans="1:33" s="70" customFormat="1" x14ac:dyDescent="0.25">
      <c r="A216" s="290"/>
      <c r="B216" s="165"/>
      <c r="I216" s="165"/>
      <c r="J216" s="165"/>
      <c r="K216" s="165"/>
      <c r="L216" s="165"/>
      <c r="M216" s="165"/>
      <c r="N216" s="165"/>
      <c r="O216" s="165"/>
      <c r="P216" s="165"/>
      <c r="Q216" s="165"/>
      <c r="R216" s="165"/>
      <c r="S216" s="165"/>
      <c r="T216" s="165"/>
      <c r="U216" s="165"/>
      <c r="V216" s="165"/>
      <c r="W216" s="165"/>
      <c r="X216" s="165"/>
      <c r="Y216" s="165"/>
      <c r="Z216" s="165"/>
      <c r="AA216" s="165"/>
      <c r="AB216" s="165"/>
      <c r="AC216" s="165"/>
      <c r="AD216" s="165"/>
      <c r="AE216" s="165"/>
      <c r="AF216" s="165"/>
      <c r="AG216" s="165"/>
    </row>
    <row r="217" spans="1:33" s="70" customFormat="1" x14ac:dyDescent="0.25">
      <c r="A217" s="290"/>
      <c r="B217" s="165"/>
      <c r="I217" s="165"/>
      <c r="J217" s="165"/>
      <c r="K217" s="165"/>
      <c r="L217" s="165"/>
      <c r="M217" s="165"/>
      <c r="N217" s="165"/>
      <c r="O217" s="165"/>
      <c r="P217" s="165"/>
      <c r="Q217" s="165"/>
      <c r="R217" s="165"/>
      <c r="S217" s="165"/>
      <c r="T217" s="165"/>
      <c r="U217" s="165"/>
      <c r="V217" s="165"/>
      <c r="W217" s="165"/>
      <c r="X217" s="165"/>
      <c r="Y217" s="165"/>
      <c r="Z217" s="165"/>
      <c r="AA217" s="165"/>
      <c r="AB217" s="165"/>
      <c r="AC217" s="165"/>
      <c r="AD217" s="165"/>
      <c r="AE217" s="165"/>
      <c r="AF217" s="165"/>
      <c r="AG217" s="165"/>
    </row>
    <row r="218" spans="1:33" s="70" customFormat="1" x14ac:dyDescent="0.25">
      <c r="A218" s="290"/>
      <c r="B218" s="165"/>
      <c r="I218" s="165"/>
      <c r="J218" s="165"/>
      <c r="K218" s="165"/>
      <c r="L218" s="165"/>
      <c r="M218" s="165"/>
      <c r="N218" s="165"/>
      <c r="O218" s="165"/>
      <c r="P218" s="165"/>
      <c r="Q218" s="165"/>
      <c r="R218" s="165"/>
      <c r="S218" s="165"/>
      <c r="T218" s="165"/>
      <c r="U218" s="165"/>
      <c r="V218" s="165"/>
      <c r="W218" s="165"/>
      <c r="X218" s="165"/>
      <c r="Y218" s="165"/>
      <c r="Z218" s="165"/>
      <c r="AA218" s="165"/>
      <c r="AB218" s="165"/>
      <c r="AC218" s="165"/>
      <c r="AD218" s="165"/>
      <c r="AE218" s="165"/>
      <c r="AF218" s="165"/>
      <c r="AG218" s="165"/>
    </row>
    <row r="219" spans="1:33" s="70" customFormat="1" x14ac:dyDescent="0.25">
      <c r="A219" s="290"/>
      <c r="B219" s="165"/>
      <c r="I219" s="165"/>
      <c r="J219" s="165"/>
      <c r="K219" s="165"/>
      <c r="L219" s="165"/>
      <c r="M219" s="165"/>
      <c r="N219" s="165"/>
      <c r="O219" s="165"/>
      <c r="P219" s="165"/>
      <c r="Q219" s="165"/>
      <c r="R219" s="165"/>
      <c r="S219" s="165"/>
      <c r="T219" s="165"/>
      <c r="U219" s="165"/>
      <c r="V219" s="165"/>
      <c r="W219" s="165"/>
      <c r="X219" s="165"/>
      <c r="Y219" s="165"/>
      <c r="Z219" s="165"/>
      <c r="AA219" s="165"/>
      <c r="AB219" s="165"/>
      <c r="AC219" s="165"/>
      <c r="AD219" s="165"/>
      <c r="AE219" s="165"/>
      <c r="AF219" s="165"/>
      <c r="AG219" s="165"/>
    </row>
    <row r="220" spans="1:33" s="70" customFormat="1" x14ac:dyDescent="0.25">
      <c r="A220" s="290"/>
      <c r="B220" s="165"/>
      <c r="I220" s="165"/>
      <c r="J220" s="165"/>
      <c r="K220" s="165"/>
      <c r="L220" s="165"/>
      <c r="M220" s="165"/>
      <c r="N220" s="165"/>
      <c r="O220" s="165"/>
      <c r="P220" s="165"/>
      <c r="Q220" s="165"/>
      <c r="R220" s="165"/>
      <c r="S220" s="165"/>
      <c r="T220" s="165"/>
      <c r="U220" s="165"/>
      <c r="V220" s="165"/>
      <c r="W220" s="165"/>
      <c r="X220" s="165"/>
      <c r="Y220" s="165"/>
      <c r="Z220" s="165"/>
      <c r="AA220" s="165"/>
      <c r="AB220" s="165"/>
      <c r="AC220" s="165"/>
      <c r="AD220" s="165"/>
      <c r="AE220" s="165"/>
      <c r="AF220" s="165"/>
      <c r="AG220" s="165"/>
    </row>
    <row r="221" spans="1:33" s="70" customFormat="1" x14ac:dyDescent="0.25">
      <c r="A221" s="290"/>
      <c r="B221" s="165"/>
      <c r="I221" s="165"/>
      <c r="J221" s="165"/>
      <c r="K221" s="165"/>
      <c r="L221" s="165"/>
      <c r="M221" s="165"/>
      <c r="N221" s="165"/>
      <c r="O221" s="165"/>
      <c r="P221" s="165"/>
      <c r="Q221" s="165"/>
      <c r="R221" s="165"/>
      <c r="S221" s="165"/>
      <c r="T221" s="165"/>
      <c r="U221" s="165"/>
      <c r="V221" s="165"/>
      <c r="W221" s="165"/>
      <c r="X221" s="165"/>
      <c r="Y221" s="165"/>
      <c r="Z221" s="165"/>
      <c r="AA221" s="165"/>
      <c r="AB221" s="165"/>
      <c r="AC221" s="165"/>
      <c r="AD221" s="165"/>
      <c r="AE221" s="165"/>
      <c r="AF221" s="165"/>
      <c r="AG221" s="165"/>
    </row>
    <row r="222" spans="1:33" s="70" customFormat="1" x14ac:dyDescent="0.25">
      <c r="A222" s="290"/>
      <c r="B222" s="165"/>
      <c r="I222" s="165"/>
      <c r="J222" s="165"/>
      <c r="K222" s="165"/>
      <c r="L222" s="165"/>
      <c r="M222" s="165"/>
      <c r="N222" s="165"/>
      <c r="O222" s="165"/>
      <c r="P222" s="165"/>
      <c r="Q222" s="165"/>
      <c r="R222" s="165"/>
      <c r="S222" s="165"/>
      <c r="T222" s="165"/>
      <c r="U222" s="165"/>
      <c r="V222" s="165"/>
      <c r="W222" s="165"/>
      <c r="X222" s="165"/>
      <c r="Y222" s="165"/>
      <c r="Z222" s="165"/>
      <c r="AA222" s="165"/>
      <c r="AB222" s="165"/>
      <c r="AC222" s="165"/>
      <c r="AD222" s="165"/>
      <c r="AE222" s="165"/>
      <c r="AF222" s="165"/>
      <c r="AG222" s="165"/>
    </row>
    <row r="223" spans="1:33" s="70" customFormat="1" x14ac:dyDescent="0.25">
      <c r="A223" s="290"/>
      <c r="B223" s="165"/>
      <c r="I223" s="165"/>
      <c r="J223" s="165"/>
      <c r="K223" s="165"/>
      <c r="L223" s="165"/>
      <c r="M223" s="165"/>
      <c r="N223" s="165"/>
      <c r="O223" s="165"/>
      <c r="P223" s="165"/>
      <c r="Q223" s="165"/>
      <c r="R223" s="165"/>
      <c r="S223" s="165"/>
      <c r="T223" s="165"/>
      <c r="U223" s="165"/>
      <c r="V223" s="165"/>
      <c r="W223" s="165"/>
      <c r="X223" s="165"/>
      <c r="Y223" s="165"/>
      <c r="Z223" s="165"/>
      <c r="AA223" s="165"/>
      <c r="AB223" s="165"/>
      <c r="AC223" s="165"/>
      <c r="AD223" s="165"/>
      <c r="AE223" s="165"/>
      <c r="AF223" s="165"/>
      <c r="AG223" s="165"/>
    </row>
    <row r="224" spans="1:33" s="70" customFormat="1" x14ac:dyDescent="0.25">
      <c r="A224" s="290"/>
      <c r="B224" s="165"/>
      <c r="I224" s="165"/>
      <c r="J224" s="165"/>
      <c r="K224" s="165"/>
      <c r="L224" s="165"/>
      <c r="M224" s="165"/>
      <c r="N224" s="165"/>
      <c r="O224" s="165"/>
      <c r="P224" s="165"/>
      <c r="Q224" s="165"/>
      <c r="R224" s="165"/>
      <c r="S224" s="165"/>
      <c r="T224" s="165"/>
      <c r="U224" s="165"/>
      <c r="V224" s="165"/>
      <c r="W224" s="165"/>
      <c r="X224" s="165"/>
      <c r="Y224" s="165"/>
      <c r="Z224" s="165"/>
      <c r="AA224" s="165"/>
      <c r="AB224" s="165"/>
      <c r="AC224" s="165"/>
      <c r="AD224" s="165"/>
      <c r="AE224" s="165"/>
      <c r="AF224" s="165"/>
      <c r="AG224" s="165"/>
    </row>
    <row r="225" spans="1:33" s="70" customFormat="1" x14ac:dyDescent="0.25">
      <c r="A225" s="290"/>
      <c r="B225" s="165"/>
      <c r="I225" s="165"/>
      <c r="J225" s="165"/>
      <c r="K225" s="165"/>
      <c r="L225" s="165"/>
      <c r="M225" s="165"/>
      <c r="N225" s="165"/>
      <c r="O225" s="165"/>
      <c r="P225" s="165"/>
      <c r="Q225" s="165"/>
      <c r="R225" s="165"/>
      <c r="S225" s="165"/>
      <c r="T225" s="165"/>
      <c r="U225" s="165"/>
      <c r="V225" s="165"/>
      <c r="W225" s="165"/>
      <c r="X225" s="165"/>
      <c r="Y225" s="165"/>
      <c r="Z225" s="165"/>
      <c r="AA225" s="165"/>
      <c r="AB225" s="165"/>
      <c r="AC225" s="165"/>
      <c r="AD225" s="165"/>
      <c r="AE225" s="165"/>
      <c r="AF225" s="165"/>
      <c r="AG225" s="165"/>
    </row>
    <row r="226" spans="1:33" s="70" customFormat="1" x14ac:dyDescent="0.25">
      <c r="A226" s="290"/>
      <c r="B226" s="165"/>
      <c r="I226" s="165"/>
      <c r="J226" s="165"/>
      <c r="K226" s="165"/>
      <c r="L226" s="165"/>
      <c r="M226" s="165"/>
      <c r="N226" s="165"/>
      <c r="O226" s="165"/>
      <c r="P226" s="165"/>
      <c r="Q226" s="165"/>
      <c r="R226" s="165"/>
      <c r="S226" s="165"/>
      <c r="T226" s="165"/>
      <c r="U226" s="165"/>
      <c r="V226" s="165"/>
      <c r="W226" s="165"/>
      <c r="X226" s="165"/>
      <c r="Y226" s="165"/>
      <c r="Z226" s="165"/>
      <c r="AA226" s="165"/>
      <c r="AB226" s="165"/>
      <c r="AC226" s="165"/>
      <c r="AD226" s="165"/>
      <c r="AE226" s="165"/>
      <c r="AF226" s="165"/>
      <c r="AG226" s="165"/>
    </row>
    <row r="227" spans="1:33" s="70" customFormat="1" x14ac:dyDescent="0.25">
      <c r="A227" s="290"/>
      <c r="B227" s="165"/>
      <c r="I227" s="165"/>
      <c r="J227" s="165"/>
      <c r="K227" s="165"/>
      <c r="L227" s="165"/>
      <c r="M227" s="165"/>
      <c r="N227" s="165"/>
      <c r="O227" s="165"/>
      <c r="P227" s="165"/>
      <c r="Q227" s="165"/>
      <c r="R227" s="165"/>
      <c r="S227" s="165"/>
      <c r="T227" s="165"/>
      <c r="U227" s="165"/>
      <c r="V227" s="165"/>
      <c r="W227" s="165"/>
      <c r="X227" s="165"/>
      <c r="Y227" s="165"/>
      <c r="Z227" s="165"/>
      <c r="AA227" s="165"/>
      <c r="AB227" s="165"/>
      <c r="AC227" s="165"/>
      <c r="AD227" s="165"/>
      <c r="AE227" s="165"/>
      <c r="AF227" s="165"/>
      <c r="AG227" s="165"/>
    </row>
    <row r="228" spans="1:33" s="70" customFormat="1" x14ac:dyDescent="0.25">
      <c r="A228" s="290"/>
      <c r="B228" s="165"/>
      <c r="I228" s="165"/>
      <c r="J228" s="165"/>
      <c r="K228" s="165"/>
      <c r="L228" s="165"/>
      <c r="M228" s="165"/>
      <c r="N228" s="165"/>
      <c r="O228" s="165"/>
      <c r="P228" s="165"/>
      <c r="Q228" s="165"/>
      <c r="R228" s="165"/>
      <c r="S228" s="165"/>
      <c r="T228" s="165"/>
      <c r="U228" s="165"/>
      <c r="V228" s="165"/>
      <c r="W228" s="165"/>
      <c r="X228" s="165"/>
      <c r="Y228" s="165"/>
      <c r="Z228" s="165"/>
      <c r="AA228" s="165"/>
      <c r="AB228" s="165"/>
      <c r="AC228" s="165"/>
      <c r="AD228" s="165"/>
      <c r="AE228" s="165"/>
      <c r="AF228" s="165"/>
      <c r="AG228" s="165"/>
    </row>
    <row r="229" spans="1:33" s="70" customFormat="1" x14ac:dyDescent="0.25">
      <c r="A229" s="290"/>
      <c r="B229" s="165"/>
      <c r="I229" s="165"/>
      <c r="J229" s="165"/>
      <c r="K229" s="165"/>
      <c r="L229" s="165"/>
      <c r="M229" s="165"/>
      <c r="N229" s="165"/>
      <c r="O229" s="165"/>
      <c r="P229" s="165"/>
      <c r="Q229" s="165"/>
      <c r="R229" s="165"/>
      <c r="S229" s="165"/>
      <c r="T229" s="165"/>
      <c r="U229" s="165"/>
      <c r="V229" s="165"/>
      <c r="W229" s="165"/>
      <c r="X229" s="165"/>
      <c r="Y229" s="165"/>
      <c r="Z229" s="165"/>
      <c r="AA229" s="165"/>
      <c r="AB229" s="165"/>
      <c r="AC229" s="165"/>
      <c r="AD229" s="165"/>
      <c r="AE229" s="165"/>
      <c r="AF229" s="165"/>
      <c r="AG229" s="165"/>
    </row>
    <row r="230" spans="1:33" s="70" customFormat="1" x14ac:dyDescent="0.25">
      <c r="A230" s="290"/>
      <c r="B230" s="165"/>
      <c r="I230" s="165"/>
      <c r="J230" s="165"/>
      <c r="K230" s="165"/>
      <c r="L230" s="165"/>
      <c r="M230" s="165"/>
      <c r="N230" s="165"/>
      <c r="O230" s="165"/>
      <c r="P230" s="165"/>
      <c r="Q230" s="165"/>
      <c r="R230" s="165"/>
      <c r="S230" s="165"/>
      <c r="T230" s="165"/>
      <c r="U230" s="165"/>
      <c r="V230" s="165"/>
      <c r="W230" s="165"/>
      <c r="X230" s="165"/>
      <c r="Y230" s="165"/>
      <c r="Z230" s="165"/>
      <c r="AA230" s="165"/>
      <c r="AB230" s="165"/>
      <c r="AC230" s="165"/>
      <c r="AD230" s="165"/>
      <c r="AE230" s="165"/>
      <c r="AF230" s="165"/>
      <c r="AG230" s="165"/>
    </row>
    <row r="231" spans="1:33" s="70" customFormat="1" x14ac:dyDescent="0.25">
      <c r="A231" s="290"/>
      <c r="B231" s="165"/>
      <c r="I231" s="165"/>
      <c r="J231" s="165"/>
      <c r="K231" s="165"/>
      <c r="L231" s="165"/>
      <c r="M231" s="165"/>
      <c r="N231" s="165"/>
      <c r="O231" s="165"/>
      <c r="P231" s="165"/>
      <c r="Q231" s="165"/>
      <c r="R231" s="165"/>
      <c r="S231" s="165"/>
      <c r="T231" s="165"/>
      <c r="U231" s="165"/>
      <c r="V231" s="165"/>
      <c r="W231" s="165"/>
      <c r="X231" s="165"/>
      <c r="Y231" s="165"/>
      <c r="Z231" s="165"/>
      <c r="AA231" s="165"/>
      <c r="AB231" s="165"/>
      <c r="AC231" s="165"/>
      <c r="AD231" s="165"/>
      <c r="AE231" s="165"/>
      <c r="AF231" s="165"/>
      <c r="AG231" s="165"/>
    </row>
    <row r="232" spans="1:33" s="70" customFormat="1" x14ac:dyDescent="0.25">
      <c r="A232" s="290"/>
      <c r="B232" s="165"/>
      <c r="I232" s="165"/>
      <c r="J232" s="165"/>
      <c r="K232" s="165"/>
      <c r="L232" s="165"/>
      <c r="M232" s="165"/>
      <c r="N232" s="165"/>
      <c r="O232" s="165"/>
      <c r="P232" s="165"/>
      <c r="Q232" s="165"/>
      <c r="R232" s="165"/>
      <c r="S232" s="165"/>
      <c r="T232" s="165"/>
      <c r="U232" s="165"/>
      <c r="V232" s="165"/>
      <c r="W232" s="165"/>
      <c r="X232" s="165"/>
      <c r="Y232" s="165"/>
      <c r="Z232" s="165"/>
      <c r="AA232" s="165"/>
      <c r="AB232" s="165"/>
      <c r="AC232" s="165"/>
      <c r="AD232" s="165"/>
      <c r="AE232" s="165"/>
      <c r="AF232" s="165"/>
      <c r="AG232" s="165"/>
    </row>
    <row r="233" spans="1:33" s="70" customFormat="1" x14ac:dyDescent="0.25">
      <c r="A233" s="290"/>
      <c r="B233" s="165"/>
      <c r="I233" s="165"/>
      <c r="J233" s="165"/>
      <c r="K233" s="165"/>
      <c r="L233" s="165"/>
      <c r="M233" s="165"/>
      <c r="N233" s="165"/>
      <c r="O233" s="165"/>
      <c r="P233" s="165"/>
      <c r="Q233" s="165"/>
      <c r="R233" s="165"/>
      <c r="S233" s="165"/>
      <c r="T233" s="165"/>
      <c r="U233" s="165"/>
      <c r="V233" s="165"/>
      <c r="W233" s="165"/>
      <c r="X233" s="165"/>
      <c r="Y233" s="165"/>
      <c r="Z233" s="165"/>
      <c r="AA233" s="165"/>
      <c r="AB233" s="165"/>
      <c r="AC233" s="165"/>
      <c r="AD233" s="165"/>
      <c r="AE233" s="165"/>
      <c r="AF233" s="165"/>
      <c r="AG233" s="165"/>
    </row>
    <row r="234" spans="1:33" s="70" customFormat="1" x14ac:dyDescent="0.25">
      <c r="A234" s="290"/>
      <c r="B234" s="165"/>
      <c r="I234" s="165"/>
      <c r="J234" s="165"/>
      <c r="K234" s="165"/>
      <c r="L234" s="165"/>
      <c r="M234" s="165"/>
      <c r="N234" s="165"/>
      <c r="O234" s="165"/>
      <c r="P234" s="165"/>
      <c r="Q234" s="165"/>
      <c r="R234" s="165"/>
      <c r="S234" s="165"/>
      <c r="T234" s="165"/>
      <c r="U234" s="165"/>
      <c r="V234" s="165"/>
      <c r="W234" s="165"/>
      <c r="X234" s="165"/>
      <c r="Y234" s="165"/>
      <c r="Z234" s="165"/>
      <c r="AA234" s="165"/>
      <c r="AB234" s="165"/>
      <c r="AC234" s="165"/>
      <c r="AD234" s="165"/>
      <c r="AE234" s="165"/>
      <c r="AF234" s="165"/>
      <c r="AG234" s="165"/>
    </row>
    <row r="235" spans="1:33" s="70" customFormat="1" x14ac:dyDescent="0.25">
      <c r="A235" s="290"/>
      <c r="B235" s="165"/>
      <c r="I235" s="165"/>
      <c r="J235" s="165"/>
      <c r="K235" s="165"/>
      <c r="L235" s="165"/>
      <c r="M235" s="165"/>
      <c r="N235" s="165"/>
      <c r="O235" s="165"/>
      <c r="P235" s="165"/>
      <c r="Q235" s="165"/>
      <c r="R235" s="165"/>
      <c r="S235" s="165"/>
      <c r="T235" s="165"/>
      <c r="U235" s="165"/>
      <c r="V235" s="165"/>
      <c r="W235" s="165"/>
      <c r="X235" s="165"/>
      <c r="Y235" s="165"/>
      <c r="Z235" s="165"/>
      <c r="AA235" s="165"/>
      <c r="AB235" s="165"/>
      <c r="AC235" s="165"/>
      <c r="AD235" s="165"/>
      <c r="AE235" s="165"/>
      <c r="AF235" s="165"/>
      <c r="AG235" s="165"/>
    </row>
    <row r="236" spans="1:33" s="70" customFormat="1" x14ac:dyDescent="0.25">
      <c r="A236" s="290"/>
      <c r="B236" s="165"/>
      <c r="I236" s="165"/>
      <c r="J236" s="165"/>
      <c r="K236" s="165"/>
      <c r="L236" s="165"/>
      <c r="M236" s="165"/>
      <c r="N236" s="165"/>
      <c r="O236" s="165"/>
      <c r="P236" s="165"/>
      <c r="Q236" s="165"/>
      <c r="R236" s="165"/>
      <c r="S236" s="165"/>
      <c r="T236" s="165"/>
      <c r="U236" s="165"/>
      <c r="V236" s="165"/>
      <c r="W236" s="165"/>
      <c r="X236" s="165"/>
      <c r="Y236" s="165"/>
      <c r="Z236" s="165"/>
      <c r="AA236" s="165"/>
      <c r="AB236" s="165"/>
      <c r="AC236" s="165"/>
      <c r="AD236" s="165"/>
      <c r="AE236" s="165"/>
      <c r="AF236" s="165"/>
      <c r="AG236" s="165"/>
    </row>
    <row r="237" spans="1:33" s="70" customFormat="1" x14ac:dyDescent="0.25">
      <c r="A237" s="290"/>
      <c r="B237" s="165"/>
      <c r="I237" s="165"/>
      <c r="J237" s="165"/>
      <c r="K237" s="165"/>
      <c r="L237" s="165"/>
      <c r="M237" s="165"/>
      <c r="N237" s="165"/>
      <c r="O237" s="165"/>
      <c r="P237" s="165"/>
      <c r="Q237" s="165"/>
      <c r="R237" s="165"/>
      <c r="S237" s="165"/>
      <c r="T237" s="165"/>
      <c r="U237" s="165"/>
      <c r="V237" s="165"/>
      <c r="W237" s="165"/>
      <c r="X237" s="165"/>
      <c r="Y237" s="165"/>
      <c r="Z237" s="165"/>
      <c r="AA237" s="165"/>
      <c r="AB237" s="165"/>
      <c r="AC237" s="165"/>
      <c r="AD237" s="165"/>
      <c r="AE237" s="165"/>
      <c r="AF237" s="165"/>
      <c r="AG237" s="165"/>
    </row>
    <row r="238" spans="1:33" s="70" customFormat="1" x14ac:dyDescent="0.25">
      <c r="A238" s="290"/>
      <c r="B238" s="165"/>
      <c r="I238" s="165"/>
      <c r="J238" s="165"/>
      <c r="K238" s="165"/>
      <c r="L238" s="165"/>
      <c r="M238" s="165"/>
      <c r="N238" s="165"/>
      <c r="O238" s="165"/>
      <c r="P238" s="165"/>
      <c r="Q238" s="165"/>
      <c r="R238" s="165"/>
      <c r="S238" s="165"/>
      <c r="T238" s="165"/>
      <c r="U238" s="165"/>
      <c r="V238" s="165"/>
      <c r="W238" s="165"/>
      <c r="X238" s="165"/>
      <c r="Y238" s="165"/>
      <c r="Z238" s="165"/>
      <c r="AA238" s="165"/>
      <c r="AB238" s="165"/>
      <c r="AC238" s="165"/>
      <c r="AD238" s="165"/>
      <c r="AE238" s="165"/>
      <c r="AF238" s="165"/>
      <c r="AG238" s="165"/>
    </row>
    <row r="239" spans="1:33" s="70" customFormat="1" x14ac:dyDescent="0.25">
      <c r="A239" s="290"/>
      <c r="B239" s="165"/>
      <c r="I239" s="165"/>
      <c r="J239" s="165"/>
      <c r="K239" s="165"/>
      <c r="L239" s="165"/>
      <c r="M239" s="165"/>
      <c r="N239" s="165"/>
      <c r="O239" s="165"/>
      <c r="P239" s="165"/>
      <c r="Q239" s="165"/>
      <c r="R239" s="165"/>
      <c r="S239" s="165"/>
      <c r="T239" s="165"/>
      <c r="U239" s="165"/>
      <c r="V239" s="165"/>
      <c r="W239" s="165"/>
      <c r="X239" s="165"/>
      <c r="Y239" s="165"/>
      <c r="Z239" s="165"/>
      <c r="AA239" s="165"/>
      <c r="AB239" s="165"/>
      <c r="AC239" s="165"/>
      <c r="AD239" s="165"/>
      <c r="AE239" s="165"/>
      <c r="AF239" s="165"/>
      <c r="AG239" s="165"/>
    </row>
    <row r="240" spans="1:33" s="70" customFormat="1" x14ac:dyDescent="0.25">
      <c r="A240" s="290"/>
      <c r="B240" s="165"/>
      <c r="I240" s="165"/>
      <c r="J240" s="165"/>
      <c r="K240" s="165"/>
      <c r="L240" s="165"/>
      <c r="M240" s="165"/>
      <c r="N240" s="165"/>
      <c r="O240" s="165"/>
      <c r="P240" s="165"/>
      <c r="Q240" s="165"/>
      <c r="R240" s="165"/>
      <c r="S240" s="165"/>
      <c r="T240" s="165"/>
      <c r="U240" s="165"/>
      <c r="V240" s="165"/>
      <c r="W240" s="165"/>
      <c r="X240" s="165"/>
      <c r="Y240" s="165"/>
      <c r="Z240" s="165"/>
      <c r="AA240" s="165"/>
      <c r="AB240" s="165"/>
      <c r="AC240" s="165"/>
      <c r="AD240" s="165"/>
      <c r="AE240" s="165"/>
      <c r="AF240" s="165"/>
      <c r="AG240" s="165"/>
    </row>
    <row r="241" spans="1:33" s="70" customFormat="1" x14ac:dyDescent="0.25">
      <c r="A241" s="290"/>
      <c r="B241" s="165"/>
      <c r="I241" s="165"/>
      <c r="J241" s="165"/>
      <c r="K241" s="165"/>
      <c r="L241" s="165"/>
      <c r="M241" s="165"/>
      <c r="N241" s="165"/>
      <c r="O241" s="165"/>
      <c r="P241" s="165"/>
      <c r="Q241" s="165"/>
      <c r="R241" s="165"/>
      <c r="S241" s="165"/>
      <c r="T241" s="165"/>
      <c r="U241" s="165"/>
      <c r="V241" s="165"/>
      <c r="W241" s="165"/>
      <c r="X241" s="165"/>
      <c r="Y241" s="165"/>
      <c r="Z241" s="165"/>
      <c r="AA241" s="165"/>
      <c r="AB241" s="165"/>
      <c r="AC241" s="165"/>
      <c r="AD241" s="165"/>
      <c r="AE241" s="165"/>
      <c r="AF241" s="165"/>
      <c r="AG241" s="165"/>
    </row>
    <row r="242" spans="1:33" s="70" customFormat="1" x14ac:dyDescent="0.25">
      <c r="A242" s="290"/>
      <c r="B242" s="165"/>
      <c r="I242" s="165"/>
      <c r="J242" s="165"/>
      <c r="K242" s="165"/>
      <c r="L242" s="165"/>
      <c r="M242" s="165"/>
      <c r="N242" s="165"/>
      <c r="O242" s="165"/>
      <c r="P242" s="165"/>
      <c r="Q242" s="165"/>
      <c r="R242" s="165"/>
      <c r="S242" s="165"/>
      <c r="T242" s="165"/>
      <c r="U242" s="165"/>
      <c r="V242" s="165"/>
      <c r="W242" s="165"/>
      <c r="X242" s="165"/>
      <c r="Y242" s="165"/>
      <c r="Z242" s="165"/>
      <c r="AA242" s="165"/>
      <c r="AB242" s="165"/>
      <c r="AC242" s="165"/>
      <c r="AD242" s="165"/>
      <c r="AE242" s="165"/>
      <c r="AF242" s="165"/>
      <c r="AG242" s="165"/>
    </row>
    <row r="243" spans="1:33" s="70" customFormat="1" x14ac:dyDescent="0.25">
      <c r="A243" s="290"/>
      <c r="B243" s="165"/>
      <c r="I243" s="165"/>
      <c r="J243" s="165"/>
      <c r="K243" s="165"/>
      <c r="L243" s="165"/>
      <c r="M243" s="165"/>
      <c r="N243" s="165"/>
      <c r="O243" s="165"/>
      <c r="P243" s="165"/>
      <c r="Q243" s="165"/>
      <c r="R243" s="165"/>
      <c r="S243" s="165"/>
      <c r="T243" s="165"/>
      <c r="U243" s="165"/>
      <c r="V243" s="165"/>
      <c r="W243" s="165"/>
      <c r="X243" s="165"/>
      <c r="Y243" s="165"/>
      <c r="Z243" s="165"/>
      <c r="AA243" s="165"/>
      <c r="AB243" s="165"/>
      <c r="AC243" s="165"/>
      <c r="AD243" s="165"/>
      <c r="AE243" s="165"/>
      <c r="AF243" s="165"/>
      <c r="AG243" s="165"/>
    </row>
    <row r="244" spans="1:33" s="70" customFormat="1" x14ac:dyDescent="0.25">
      <c r="A244" s="290"/>
      <c r="B244" s="165"/>
      <c r="I244" s="165"/>
      <c r="J244" s="165"/>
      <c r="K244" s="165"/>
      <c r="L244" s="165"/>
      <c r="M244" s="165"/>
      <c r="N244" s="165"/>
      <c r="O244" s="165"/>
      <c r="P244" s="165"/>
      <c r="Q244" s="165"/>
      <c r="R244" s="165"/>
      <c r="S244" s="165"/>
      <c r="T244" s="165"/>
      <c r="U244" s="165"/>
      <c r="V244" s="165"/>
      <c r="W244" s="165"/>
      <c r="X244" s="165"/>
      <c r="Y244" s="165"/>
      <c r="Z244" s="165"/>
      <c r="AA244" s="165"/>
      <c r="AB244" s="165"/>
      <c r="AC244" s="165"/>
      <c r="AD244" s="165"/>
      <c r="AE244" s="165"/>
      <c r="AF244" s="165"/>
      <c r="AG244" s="165"/>
    </row>
    <row r="245" spans="1:33" s="70" customFormat="1" x14ac:dyDescent="0.25">
      <c r="A245" s="290"/>
      <c r="B245" s="165"/>
      <c r="I245" s="165"/>
      <c r="J245" s="165"/>
      <c r="K245" s="165"/>
      <c r="L245" s="165"/>
      <c r="M245" s="165"/>
      <c r="N245" s="165"/>
      <c r="O245" s="165"/>
      <c r="P245" s="165"/>
      <c r="Q245" s="165"/>
      <c r="R245" s="165"/>
      <c r="S245" s="165"/>
      <c r="T245" s="165"/>
      <c r="U245" s="165"/>
      <c r="V245" s="165"/>
      <c r="W245" s="165"/>
      <c r="X245" s="165"/>
      <c r="Y245" s="165"/>
      <c r="Z245" s="165"/>
      <c r="AA245" s="165"/>
      <c r="AB245" s="165"/>
      <c r="AC245" s="165"/>
      <c r="AD245" s="165"/>
      <c r="AE245" s="165"/>
      <c r="AF245" s="165"/>
      <c r="AG245" s="165"/>
    </row>
    <row r="246" spans="1:33" s="70" customFormat="1" x14ac:dyDescent="0.25">
      <c r="A246" s="290"/>
      <c r="B246" s="165"/>
      <c r="I246" s="165"/>
      <c r="J246" s="165"/>
      <c r="K246" s="165"/>
      <c r="L246" s="165"/>
      <c r="M246" s="165"/>
      <c r="N246" s="165"/>
      <c r="O246" s="165"/>
      <c r="P246" s="165"/>
      <c r="Q246" s="165"/>
      <c r="R246" s="165"/>
      <c r="S246" s="165"/>
      <c r="T246" s="165"/>
      <c r="U246" s="165"/>
      <c r="V246" s="165"/>
      <c r="W246" s="165"/>
      <c r="X246" s="165"/>
      <c r="Y246" s="165"/>
      <c r="Z246" s="165"/>
      <c r="AA246" s="165"/>
      <c r="AB246" s="165"/>
      <c r="AC246" s="165"/>
      <c r="AD246" s="165"/>
      <c r="AE246" s="165"/>
      <c r="AF246" s="165"/>
      <c r="AG246" s="165"/>
    </row>
    <row r="247" spans="1:33" s="70" customFormat="1" x14ac:dyDescent="0.25">
      <c r="A247" s="290"/>
      <c r="B247" s="165"/>
      <c r="I247" s="165"/>
      <c r="J247" s="165"/>
      <c r="K247" s="165"/>
      <c r="L247" s="165"/>
      <c r="M247" s="165"/>
      <c r="N247" s="165"/>
      <c r="O247" s="165"/>
      <c r="P247" s="165"/>
      <c r="Q247" s="165"/>
      <c r="R247" s="165"/>
      <c r="S247" s="165"/>
      <c r="T247" s="165"/>
      <c r="U247" s="165"/>
      <c r="V247" s="165"/>
      <c r="W247" s="165"/>
      <c r="X247" s="165"/>
      <c r="Y247" s="165"/>
      <c r="Z247" s="165"/>
      <c r="AA247" s="165"/>
      <c r="AB247" s="165"/>
      <c r="AC247" s="165"/>
      <c r="AD247" s="165"/>
      <c r="AE247" s="165"/>
      <c r="AF247" s="165"/>
      <c r="AG247" s="165"/>
    </row>
    <row r="248" spans="1:33" s="70" customFormat="1" x14ac:dyDescent="0.25">
      <c r="A248" s="290"/>
      <c r="B248" s="165"/>
      <c r="I248" s="165"/>
      <c r="J248" s="165"/>
      <c r="K248" s="165"/>
      <c r="L248" s="165"/>
      <c r="M248" s="165"/>
      <c r="N248" s="165"/>
      <c r="O248" s="165"/>
      <c r="P248" s="165"/>
      <c r="Q248" s="165"/>
      <c r="R248" s="165"/>
      <c r="S248" s="165"/>
      <c r="T248" s="165"/>
      <c r="U248" s="165"/>
      <c r="V248" s="165"/>
      <c r="W248" s="165"/>
      <c r="X248" s="165"/>
      <c r="Y248" s="165"/>
      <c r="Z248" s="165"/>
      <c r="AA248" s="165"/>
      <c r="AB248" s="165"/>
      <c r="AC248" s="165"/>
      <c r="AD248" s="165"/>
      <c r="AE248" s="165"/>
      <c r="AF248" s="165"/>
      <c r="AG248" s="165"/>
    </row>
    <row r="249" spans="1:33" s="70" customFormat="1" x14ac:dyDescent="0.25">
      <c r="A249" s="290"/>
      <c r="B249" s="165"/>
      <c r="I249" s="165"/>
      <c r="J249" s="165"/>
      <c r="K249" s="165"/>
      <c r="L249" s="165"/>
      <c r="M249" s="165"/>
      <c r="N249" s="165"/>
      <c r="O249" s="165"/>
      <c r="P249" s="165"/>
      <c r="Q249" s="165"/>
      <c r="R249" s="165"/>
      <c r="S249" s="165"/>
      <c r="T249" s="165"/>
      <c r="U249" s="165"/>
      <c r="V249" s="165"/>
      <c r="W249" s="165"/>
      <c r="X249" s="165"/>
      <c r="Y249" s="165"/>
      <c r="Z249" s="165"/>
      <c r="AA249" s="165"/>
      <c r="AB249" s="165"/>
      <c r="AC249" s="165"/>
      <c r="AD249" s="165"/>
      <c r="AE249" s="165"/>
      <c r="AF249" s="165"/>
      <c r="AG249" s="165"/>
    </row>
    <row r="250" spans="1:33" s="70" customFormat="1" x14ac:dyDescent="0.25">
      <c r="A250" s="290"/>
      <c r="B250" s="165"/>
      <c r="I250" s="165"/>
      <c r="J250" s="165"/>
      <c r="K250" s="165"/>
      <c r="L250" s="165"/>
      <c r="M250" s="165"/>
      <c r="N250" s="165"/>
      <c r="O250" s="165"/>
      <c r="P250" s="165"/>
      <c r="Q250" s="165"/>
      <c r="R250" s="165"/>
      <c r="S250" s="165"/>
      <c r="T250" s="165"/>
      <c r="U250" s="165"/>
      <c r="V250" s="165"/>
      <c r="W250" s="165"/>
      <c r="X250" s="165"/>
      <c r="Y250" s="165"/>
      <c r="Z250" s="165"/>
      <c r="AA250" s="165"/>
      <c r="AB250" s="165"/>
      <c r="AC250" s="165"/>
      <c r="AD250" s="165"/>
      <c r="AE250" s="165"/>
      <c r="AF250" s="165"/>
      <c r="AG250" s="165"/>
    </row>
    <row r="251" spans="1:33" s="70" customFormat="1" x14ac:dyDescent="0.25">
      <c r="A251" s="290"/>
      <c r="B251" s="165"/>
      <c r="I251" s="165"/>
      <c r="J251" s="165"/>
      <c r="K251" s="165"/>
      <c r="L251" s="165"/>
      <c r="M251" s="165"/>
      <c r="N251" s="165"/>
      <c r="O251" s="165"/>
      <c r="P251" s="165"/>
      <c r="Q251" s="165"/>
      <c r="R251" s="165"/>
      <c r="S251" s="165"/>
      <c r="T251" s="165"/>
      <c r="U251" s="165"/>
      <c r="V251" s="165"/>
      <c r="W251" s="165"/>
      <c r="X251" s="165"/>
      <c r="Y251" s="165"/>
      <c r="Z251" s="165"/>
      <c r="AA251" s="165"/>
      <c r="AB251" s="165"/>
      <c r="AC251" s="165"/>
      <c r="AD251" s="165"/>
      <c r="AE251" s="165"/>
      <c r="AF251" s="165"/>
      <c r="AG251" s="165"/>
    </row>
    <row r="252" spans="1:33" s="70" customFormat="1" x14ac:dyDescent="0.25">
      <c r="A252" s="290"/>
      <c r="B252" s="165"/>
      <c r="I252" s="165"/>
      <c r="J252" s="165"/>
      <c r="K252" s="165"/>
      <c r="L252" s="165"/>
      <c r="M252" s="165"/>
      <c r="N252" s="165"/>
      <c r="O252" s="165"/>
      <c r="P252" s="165"/>
      <c r="Q252" s="165"/>
      <c r="R252" s="165"/>
      <c r="S252" s="165"/>
      <c r="T252" s="165"/>
      <c r="U252" s="165"/>
      <c r="V252" s="165"/>
      <c r="W252" s="165"/>
      <c r="X252" s="165"/>
      <c r="Y252" s="165"/>
      <c r="Z252" s="165"/>
      <c r="AA252" s="165"/>
      <c r="AB252" s="165"/>
      <c r="AC252" s="165"/>
      <c r="AD252" s="165"/>
      <c r="AE252" s="165"/>
      <c r="AF252" s="165"/>
      <c r="AG252" s="165"/>
    </row>
    <row r="253" spans="1:33" s="70" customFormat="1" x14ac:dyDescent="0.25">
      <c r="A253" s="290"/>
      <c r="B253" s="165"/>
      <c r="I253" s="165"/>
      <c r="J253" s="165"/>
      <c r="K253" s="165"/>
      <c r="L253" s="165"/>
      <c r="M253" s="165"/>
      <c r="N253" s="165"/>
      <c r="O253" s="165"/>
      <c r="P253" s="165"/>
      <c r="Q253" s="165"/>
      <c r="R253" s="165"/>
      <c r="S253" s="165"/>
      <c r="T253" s="165"/>
      <c r="U253" s="165"/>
      <c r="V253" s="165"/>
      <c r="W253" s="165"/>
      <c r="X253" s="165"/>
      <c r="Y253" s="165"/>
      <c r="Z253" s="165"/>
      <c r="AA253" s="165"/>
      <c r="AB253" s="165"/>
      <c r="AC253" s="165"/>
      <c r="AD253" s="165"/>
      <c r="AE253" s="165"/>
      <c r="AF253" s="165"/>
      <c r="AG253" s="165"/>
    </row>
    <row r="254" spans="1:33" s="70" customFormat="1" x14ac:dyDescent="0.25">
      <c r="A254" s="290"/>
      <c r="B254" s="165"/>
      <c r="I254" s="165"/>
      <c r="J254" s="165"/>
      <c r="K254" s="165"/>
      <c r="L254" s="165"/>
      <c r="M254" s="165"/>
      <c r="N254" s="165"/>
      <c r="O254" s="165"/>
      <c r="P254" s="165"/>
      <c r="Q254" s="165"/>
      <c r="R254" s="165"/>
      <c r="S254" s="165"/>
      <c r="T254" s="165"/>
      <c r="U254" s="165"/>
      <c r="V254" s="165"/>
      <c r="W254" s="165"/>
      <c r="X254" s="165"/>
      <c r="Y254" s="165"/>
      <c r="Z254" s="165"/>
      <c r="AA254" s="165"/>
      <c r="AB254" s="165"/>
      <c r="AC254" s="165"/>
      <c r="AD254" s="165"/>
      <c r="AE254" s="165"/>
      <c r="AF254" s="165"/>
      <c r="AG254" s="165"/>
    </row>
    <row r="255" spans="1:33" s="70" customFormat="1" x14ac:dyDescent="0.25">
      <c r="A255" s="290"/>
      <c r="B255" s="165"/>
      <c r="I255" s="165"/>
      <c r="J255" s="165"/>
      <c r="K255" s="165"/>
      <c r="L255" s="165"/>
      <c r="M255" s="165"/>
      <c r="N255" s="165"/>
      <c r="O255" s="165"/>
      <c r="P255" s="165"/>
      <c r="Q255" s="165"/>
      <c r="R255" s="165"/>
      <c r="S255" s="165"/>
      <c r="T255" s="165"/>
      <c r="U255" s="165"/>
      <c r="V255" s="165"/>
      <c r="W255" s="165"/>
      <c r="X255" s="165"/>
      <c r="Y255" s="165"/>
      <c r="Z255" s="165"/>
      <c r="AA255" s="165"/>
      <c r="AB255" s="165"/>
      <c r="AC255" s="165"/>
      <c r="AD255" s="165"/>
      <c r="AE255" s="165"/>
      <c r="AF255" s="165"/>
      <c r="AG255" s="165"/>
    </row>
    <row r="256" spans="1:33" s="70" customFormat="1" x14ac:dyDescent="0.25">
      <c r="A256" s="290"/>
      <c r="B256" s="165"/>
      <c r="I256" s="165"/>
      <c r="J256" s="165"/>
      <c r="K256" s="165"/>
      <c r="L256" s="165"/>
      <c r="M256" s="165"/>
      <c r="N256" s="165"/>
      <c r="O256" s="165"/>
      <c r="P256" s="165"/>
      <c r="Q256" s="165"/>
      <c r="R256" s="165"/>
      <c r="S256" s="165"/>
      <c r="T256" s="165"/>
      <c r="U256" s="165"/>
      <c r="V256" s="165"/>
      <c r="W256" s="165"/>
      <c r="X256" s="165"/>
      <c r="Y256" s="165"/>
      <c r="Z256" s="165"/>
      <c r="AA256" s="165"/>
      <c r="AB256" s="165"/>
      <c r="AC256" s="165"/>
      <c r="AD256" s="165"/>
      <c r="AE256" s="165"/>
      <c r="AF256" s="165"/>
      <c r="AG256" s="165"/>
    </row>
    <row r="257" spans="1:33" s="70" customFormat="1" x14ac:dyDescent="0.25">
      <c r="A257" s="290"/>
      <c r="B257" s="165"/>
      <c r="I257" s="165"/>
      <c r="J257" s="165"/>
      <c r="K257" s="165"/>
      <c r="L257" s="165"/>
      <c r="M257" s="165"/>
      <c r="N257" s="165"/>
      <c r="O257" s="165"/>
      <c r="P257" s="165"/>
      <c r="Q257" s="165"/>
      <c r="R257" s="165"/>
      <c r="S257" s="165"/>
      <c r="T257" s="165"/>
      <c r="U257" s="165"/>
      <c r="V257" s="165"/>
      <c r="W257" s="165"/>
      <c r="X257" s="165"/>
      <c r="Y257" s="165"/>
      <c r="Z257" s="165"/>
      <c r="AA257" s="165"/>
      <c r="AB257" s="165"/>
      <c r="AC257" s="165"/>
      <c r="AD257" s="165"/>
      <c r="AE257" s="165"/>
      <c r="AF257" s="165"/>
      <c r="AG257" s="165"/>
    </row>
    <row r="258" spans="1:33" s="70" customFormat="1" x14ac:dyDescent="0.25">
      <c r="A258" s="290"/>
      <c r="B258" s="165"/>
      <c r="I258" s="165"/>
      <c r="J258" s="165"/>
      <c r="K258" s="165"/>
      <c r="L258" s="165"/>
      <c r="M258" s="165"/>
      <c r="N258" s="165"/>
      <c r="O258" s="165"/>
      <c r="P258" s="165"/>
      <c r="Q258" s="165"/>
      <c r="R258" s="165"/>
      <c r="S258" s="165"/>
      <c r="T258" s="165"/>
      <c r="U258" s="165"/>
      <c r="V258" s="165"/>
      <c r="W258" s="165"/>
      <c r="X258" s="165"/>
      <c r="Y258" s="165"/>
      <c r="Z258" s="165"/>
      <c r="AA258" s="165"/>
      <c r="AB258" s="165"/>
      <c r="AC258" s="165"/>
      <c r="AD258" s="165"/>
      <c r="AE258" s="165"/>
      <c r="AF258" s="165"/>
      <c r="AG258" s="165"/>
    </row>
    <row r="259" spans="1:33" s="70" customFormat="1" x14ac:dyDescent="0.25">
      <c r="A259" s="290"/>
      <c r="B259" s="165"/>
      <c r="I259" s="165"/>
      <c r="J259" s="165"/>
      <c r="K259" s="165"/>
      <c r="L259" s="165"/>
      <c r="M259" s="165"/>
      <c r="N259" s="165"/>
      <c r="O259" s="165"/>
      <c r="P259" s="165"/>
      <c r="Q259" s="165"/>
      <c r="R259" s="165"/>
      <c r="S259" s="165"/>
      <c r="T259" s="165"/>
      <c r="U259" s="165"/>
      <c r="V259" s="165"/>
      <c r="W259" s="165"/>
      <c r="X259" s="165"/>
      <c r="Y259" s="165"/>
      <c r="Z259" s="165"/>
      <c r="AA259" s="165"/>
      <c r="AB259" s="165"/>
      <c r="AC259" s="165"/>
      <c r="AD259" s="165"/>
      <c r="AE259" s="165"/>
      <c r="AF259" s="165"/>
      <c r="AG259" s="165"/>
    </row>
    <row r="260" spans="1:33" s="70" customFormat="1" x14ac:dyDescent="0.25">
      <c r="A260" s="290"/>
      <c r="B260" s="165"/>
      <c r="I260" s="165"/>
      <c r="J260" s="165"/>
      <c r="K260" s="165"/>
      <c r="L260" s="165"/>
      <c r="M260" s="165"/>
      <c r="N260" s="165"/>
      <c r="O260" s="165"/>
      <c r="P260" s="165"/>
      <c r="Q260" s="165"/>
      <c r="R260" s="165"/>
      <c r="S260" s="165"/>
      <c r="T260" s="165"/>
      <c r="U260" s="165"/>
      <c r="V260" s="165"/>
      <c r="W260" s="165"/>
      <c r="X260" s="165"/>
      <c r="Y260" s="165"/>
      <c r="Z260" s="165"/>
      <c r="AA260" s="165"/>
      <c r="AB260" s="165"/>
      <c r="AC260" s="165"/>
      <c r="AD260" s="165"/>
      <c r="AE260" s="165"/>
      <c r="AF260" s="165"/>
      <c r="AG260" s="165"/>
    </row>
  </sheetData>
  <phoneticPr fontId="16" type="noConversion"/>
  <conditionalFormatting sqref="Y1">
    <cfRule type="top10" dxfId="324" priority="2" bottom="1" rank="10"/>
  </conditionalFormatting>
  <conditionalFormatting sqref="I2:I10">
    <cfRule type="top10" dxfId="323" priority="1" percent="1" rank="10"/>
  </conditionalFormatting>
  <dataValidations count="1">
    <dataValidation type="list" allowBlank="1" showInputMessage="1" showErrorMessage="1" sqref="C2:C45">
      <formula1>"买,卖,转买,转卖"</formula1>
    </dataValidation>
  </dataValidations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G553"/>
  <sheetViews>
    <sheetView tabSelected="1" workbookViewId="0">
      <pane ySplit="1" topLeftCell="A521" activePane="bottomLeft" state="frozen"/>
      <selection pane="bottomLeft" activeCell="B534" sqref="B534"/>
    </sheetView>
  </sheetViews>
  <sheetFormatPr defaultRowHeight="14.4" x14ac:dyDescent="0.25"/>
  <cols>
    <col min="1" max="1" width="11.6640625" style="162" bestFit="1" customWidth="1"/>
    <col min="2" max="2" width="13.88671875" style="1" bestFit="1" customWidth="1"/>
    <col min="7" max="7" width="15.109375" customWidth="1"/>
    <col min="8" max="8" width="14.44140625" bestFit="1" customWidth="1"/>
    <col min="9" max="10" width="14.44140625" style="1" bestFit="1" customWidth="1"/>
    <col min="11" max="11" width="11.6640625" style="1" bestFit="1" customWidth="1"/>
    <col min="12" max="12" width="15.21875" style="1" customWidth="1"/>
    <col min="13" max="14" width="12.33203125" style="1" bestFit="1" customWidth="1"/>
    <col min="15" max="15" width="15" style="1" bestFit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1" width="8.88671875" style="1"/>
    <col min="22" max="22" width="19.109375" style="1" bestFit="1" customWidth="1"/>
    <col min="23" max="26" width="8.88671875" style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162" t="s">
        <v>3</v>
      </c>
      <c r="B1" s="360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360" t="s">
        <v>7</v>
      </c>
      <c r="J1" s="360" t="s">
        <v>157</v>
      </c>
      <c r="K1" s="360" t="s">
        <v>5</v>
      </c>
      <c r="L1" s="360" t="s">
        <v>158</v>
      </c>
      <c r="M1" s="360" t="s">
        <v>1185</v>
      </c>
      <c r="N1" s="360" t="s">
        <v>1186</v>
      </c>
      <c r="O1" s="360" t="s">
        <v>1187</v>
      </c>
      <c r="P1" s="361" t="s">
        <v>1188</v>
      </c>
      <c r="Q1" s="360" t="s">
        <v>163</v>
      </c>
      <c r="R1" s="360" t="s">
        <v>1189</v>
      </c>
      <c r="S1" s="360" t="s">
        <v>1190</v>
      </c>
      <c r="T1" s="360" t="s">
        <v>166</v>
      </c>
      <c r="U1" s="360" t="s">
        <v>167</v>
      </c>
      <c r="V1" s="360" t="s">
        <v>17</v>
      </c>
      <c r="W1" s="361" t="s">
        <v>168</v>
      </c>
      <c r="X1" s="361" t="s">
        <v>169</v>
      </c>
      <c r="Y1" s="361" t="s">
        <v>170</v>
      </c>
      <c r="Z1" s="361" t="s">
        <v>171</v>
      </c>
      <c r="AA1" s="360" t="s">
        <v>106</v>
      </c>
      <c r="AB1" s="362" t="s">
        <v>172</v>
      </c>
      <c r="AC1" s="363" t="s">
        <v>50</v>
      </c>
      <c r="AD1" s="363" t="s">
        <v>173</v>
      </c>
    </row>
    <row r="2" spans="1:30" s="1" customFormat="1" ht="15" thickTop="1" x14ac:dyDescent="0.25">
      <c r="A2" s="162">
        <v>42696</v>
      </c>
      <c r="B2" s="266" t="s">
        <v>70</v>
      </c>
      <c r="C2" s="62"/>
      <c r="D2" s="16"/>
      <c r="E2" s="76">
        <v>15.73</v>
      </c>
      <c r="F2" s="12">
        <v>0</v>
      </c>
      <c r="G2" s="13">
        <v>0</v>
      </c>
      <c r="H2" s="12">
        <v>0</v>
      </c>
      <c r="I2" s="15">
        <v>0</v>
      </c>
      <c r="J2" s="33" t="e">
        <v>#DIV/0!</v>
      </c>
      <c r="K2" s="15">
        <v>0</v>
      </c>
      <c r="L2" s="15" t="e">
        <f t="shared" ref="L2:L65" si="0">I2-I1</f>
        <v>#VALUE!</v>
      </c>
      <c r="M2" s="15"/>
      <c r="N2" s="15"/>
      <c r="O2" s="15"/>
      <c r="P2" s="17"/>
      <c r="Q2" s="10" t="e">
        <f t="shared" ref="Q2:Q65" si="1">(H2-H1)*-1</f>
        <v>#VALUE!</v>
      </c>
      <c r="R2" s="10"/>
      <c r="S2" s="15"/>
      <c r="T2" s="10"/>
      <c r="U2" s="10"/>
      <c r="V2" s="10"/>
      <c r="W2" s="28"/>
      <c r="X2" s="28"/>
      <c r="Y2" s="28"/>
      <c r="Z2" s="38"/>
      <c r="AA2" s="31"/>
      <c r="AB2" s="39"/>
      <c r="AC2" s="40"/>
      <c r="AD2" s="40"/>
    </row>
    <row r="3" spans="1:30" s="1" customFormat="1" x14ac:dyDescent="0.25">
      <c r="A3" s="162">
        <v>42696</v>
      </c>
      <c r="B3" s="14"/>
      <c r="C3" s="62" t="s">
        <v>63</v>
      </c>
      <c r="D3" s="16">
        <v>600</v>
      </c>
      <c r="E3" s="15">
        <v>15.72</v>
      </c>
      <c r="F3" s="16">
        <f>IF(C3="买",F2+D3,IF(C3="卖",F2-D3,F2))</f>
        <v>600</v>
      </c>
      <c r="G3" s="17">
        <f t="shared" ref="G3:G66" si="2">H3/F3</f>
        <v>15.728333333333333</v>
      </c>
      <c r="H3" s="15">
        <f>IF(C3="买",H2+D3*E3+R3+S3,IF(C3="卖",H2-D3*E3+R3+S3,H2))</f>
        <v>9437</v>
      </c>
      <c r="I3" s="15">
        <f t="shared" ref="I3:I66" si="3">-H3+K3</f>
        <v>-5</v>
      </c>
      <c r="J3" s="33">
        <f t="shared" ref="J3:J66" si="4">(E3-G3)/G3</f>
        <v>-5.298293949348009E-4</v>
      </c>
      <c r="K3" s="15">
        <f t="shared" ref="K3:K66" si="5">F3*E3</f>
        <v>9432</v>
      </c>
      <c r="L3" s="15">
        <f t="shared" si="0"/>
        <v>-5</v>
      </c>
      <c r="M3" s="15"/>
      <c r="N3" s="15"/>
      <c r="O3" s="15"/>
      <c r="P3" s="17"/>
      <c r="Q3" s="31">
        <f t="shared" si="1"/>
        <v>-9437</v>
      </c>
      <c r="R3" s="34">
        <f>commission($B$2,C3,D3,E3)</f>
        <v>5</v>
      </c>
      <c r="S3" s="31"/>
      <c r="T3" s="34"/>
      <c r="U3" s="34"/>
      <c r="V3" s="31"/>
      <c r="W3" s="32"/>
      <c r="X3" s="32"/>
      <c r="Y3" s="32"/>
      <c r="Z3" s="38"/>
      <c r="AA3" s="31"/>
      <c r="AB3" s="39"/>
      <c r="AC3" s="40"/>
      <c r="AD3" s="40"/>
    </row>
    <row r="4" spans="1:30" s="1" customFormat="1" x14ac:dyDescent="0.25">
      <c r="A4" s="162">
        <v>42697</v>
      </c>
      <c r="B4" s="14" t="s">
        <v>500</v>
      </c>
      <c r="C4" s="62" t="s">
        <v>69</v>
      </c>
      <c r="D4" s="16">
        <v>500</v>
      </c>
      <c r="E4" s="15">
        <v>16.29</v>
      </c>
      <c r="F4" s="16">
        <f t="shared" ref="F4:F67" si="6">IF(C4="买",F3+D4,IF(C4="卖",F3-D4,F3))</f>
        <v>100</v>
      </c>
      <c r="G4" s="17">
        <f t="shared" si="2"/>
        <v>13.051449999999999</v>
      </c>
      <c r="H4" s="15">
        <f t="shared" ref="H4:H67" si="7">IF(C4="买",H3+D4*E4+R4+S4,IF(C4="卖",H3-D4*E4+R4+S4,H3))</f>
        <v>1305.145</v>
      </c>
      <c r="I4" s="15">
        <f t="shared" si="3"/>
        <v>323.85500000000002</v>
      </c>
      <c r="J4" s="33">
        <f t="shared" si="4"/>
        <v>0.24813718016005887</v>
      </c>
      <c r="K4" s="15">
        <f t="shared" si="5"/>
        <v>1629</v>
      </c>
      <c r="L4" s="15">
        <f t="shared" si="0"/>
        <v>328.85500000000002</v>
      </c>
      <c r="M4" s="15"/>
      <c r="N4" s="15"/>
      <c r="O4" s="15"/>
      <c r="P4" s="17"/>
      <c r="Q4" s="31">
        <f t="shared" si="1"/>
        <v>8131.8549999999996</v>
      </c>
      <c r="R4" s="34">
        <f t="shared" ref="R4:R67" si="8">commission($B$2,C4,D4,E4)</f>
        <v>13.145</v>
      </c>
      <c r="S4" s="31"/>
      <c r="T4" s="34"/>
      <c r="U4" s="34"/>
      <c r="V4" s="31"/>
      <c r="W4" s="32"/>
      <c r="X4" s="32"/>
      <c r="Y4" s="32"/>
      <c r="Z4" s="38"/>
      <c r="AA4" s="31"/>
      <c r="AB4" s="39"/>
      <c r="AC4" s="40"/>
      <c r="AD4" s="40"/>
    </row>
    <row r="5" spans="1:30" s="1" customFormat="1" x14ac:dyDescent="0.25">
      <c r="A5" s="162">
        <v>42698</v>
      </c>
      <c r="B5" s="63"/>
      <c r="C5" s="62" t="s">
        <v>63</v>
      </c>
      <c r="D5" s="16">
        <v>500</v>
      </c>
      <c r="E5" s="15">
        <v>15.92</v>
      </c>
      <c r="F5" s="16">
        <f t="shared" si="6"/>
        <v>600</v>
      </c>
      <c r="G5" s="17">
        <f t="shared" si="2"/>
        <v>15.450241666666667</v>
      </c>
      <c r="H5" s="15">
        <f t="shared" si="7"/>
        <v>9270.1450000000004</v>
      </c>
      <c r="I5" s="15">
        <f t="shared" si="3"/>
        <v>281.85499999999956</v>
      </c>
      <c r="J5" s="33">
        <f t="shared" si="4"/>
        <v>3.0404594534389682E-2</v>
      </c>
      <c r="K5" s="15">
        <f t="shared" si="5"/>
        <v>9552</v>
      </c>
      <c r="L5" s="15">
        <f t="shared" si="0"/>
        <v>-42.000000000000455</v>
      </c>
      <c r="M5" s="15"/>
      <c r="N5" s="15"/>
      <c r="O5" s="15"/>
      <c r="P5" s="17"/>
      <c r="Q5" s="31">
        <f t="shared" si="1"/>
        <v>-7965</v>
      </c>
      <c r="R5" s="34">
        <f t="shared" si="8"/>
        <v>5</v>
      </c>
      <c r="S5" s="31"/>
      <c r="T5" s="34"/>
      <c r="U5" s="34"/>
      <c r="V5" s="31"/>
      <c r="W5" s="32"/>
      <c r="X5" s="32"/>
      <c r="Y5" s="32"/>
      <c r="Z5" s="38"/>
      <c r="AA5" s="31"/>
      <c r="AB5" s="39"/>
      <c r="AC5" s="40"/>
      <c r="AD5" s="40"/>
    </row>
    <row r="6" spans="1:30" s="1" customFormat="1" x14ac:dyDescent="0.25">
      <c r="A6" s="162">
        <v>42699</v>
      </c>
      <c r="B6" s="63"/>
      <c r="C6" s="62" t="s">
        <v>63</v>
      </c>
      <c r="D6" s="16">
        <v>500</v>
      </c>
      <c r="E6" s="15">
        <v>15.65</v>
      </c>
      <c r="F6" s="16">
        <f t="shared" si="6"/>
        <v>1100</v>
      </c>
      <c r="G6" s="17">
        <f t="shared" si="2"/>
        <v>15.545586363636364</v>
      </c>
      <c r="H6" s="15">
        <f t="shared" si="7"/>
        <v>17100.145</v>
      </c>
      <c r="I6" s="15">
        <f t="shared" si="3"/>
        <v>114.85499999999956</v>
      </c>
      <c r="J6" s="33">
        <f t="shared" si="4"/>
        <v>6.7166097129585855E-3</v>
      </c>
      <c r="K6" s="15">
        <f t="shared" si="5"/>
        <v>17215</v>
      </c>
      <c r="L6" s="15">
        <f t="shared" si="0"/>
        <v>-167</v>
      </c>
      <c r="M6" s="15"/>
      <c r="N6" s="15"/>
      <c r="O6" s="15"/>
      <c r="P6" s="17"/>
      <c r="Q6" s="31">
        <f t="shared" si="1"/>
        <v>-7830</v>
      </c>
      <c r="R6" s="34">
        <f t="shared" si="8"/>
        <v>5</v>
      </c>
      <c r="S6" s="31"/>
      <c r="T6" s="34"/>
      <c r="U6" s="34"/>
      <c r="V6" s="31"/>
      <c r="W6" s="32"/>
      <c r="X6" s="32"/>
      <c r="Y6" s="32"/>
      <c r="Z6" s="38"/>
      <c r="AA6" s="31"/>
      <c r="AB6" s="39"/>
      <c r="AC6" s="40"/>
      <c r="AD6" s="40"/>
    </row>
    <row r="7" spans="1:30" s="1" customFormat="1" x14ac:dyDescent="0.25">
      <c r="A7" s="162">
        <v>42699</v>
      </c>
      <c r="B7" s="63" t="s">
        <v>501</v>
      </c>
      <c r="C7" s="62" t="s">
        <v>69</v>
      </c>
      <c r="D7" s="16">
        <v>400</v>
      </c>
      <c r="E7" s="15">
        <v>15.88</v>
      </c>
      <c r="F7" s="16">
        <f t="shared" si="6"/>
        <v>700</v>
      </c>
      <c r="G7" s="17">
        <f t="shared" si="2"/>
        <v>15.370710000000003</v>
      </c>
      <c r="H7" s="15">
        <f t="shared" si="7"/>
        <v>10759.497000000001</v>
      </c>
      <c r="I7" s="15">
        <f t="shared" si="3"/>
        <v>356.50299999999879</v>
      </c>
      <c r="J7" s="33">
        <f t="shared" si="4"/>
        <v>3.3133797983307095E-2</v>
      </c>
      <c r="K7" s="15">
        <f t="shared" si="5"/>
        <v>11116</v>
      </c>
      <c r="L7" s="15">
        <f t="shared" si="0"/>
        <v>241.64799999999923</v>
      </c>
      <c r="M7" s="15"/>
      <c r="N7" s="15"/>
      <c r="O7" s="15"/>
      <c r="P7" s="17"/>
      <c r="Q7" s="31">
        <f t="shared" si="1"/>
        <v>6340.6479999999992</v>
      </c>
      <c r="R7" s="34">
        <f t="shared" si="8"/>
        <v>11.352</v>
      </c>
      <c r="S7" s="31"/>
      <c r="T7" s="34"/>
      <c r="U7" s="34"/>
      <c r="V7" s="31"/>
      <c r="W7" s="32"/>
      <c r="X7" s="32"/>
      <c r="Y7" s="32"/>
      <c r="Z7" s="38"/>
      <c r="AA7" s="31"/>
      <c r="AB7" s="39"/>
      <c r="AC7" s="40"/>
      <c r="AD7" s="40"/>
    </row>
    <row r="8" spans="1:30" s="1" customFormat="1" x14ac:dyDescent="0.25">
      <c r="A8" s="162">
        <v>42702</v>
      </c>
      <c r="B8" s="63" t="s">
        <v>502</v>
      </c>
      <c r="C8" s="62" t="s">
        <v>69</v>
      </c>
      <c r="D8" s="16">
        <v>400</v>
      </c>
      <c r="E8" s="15">
        <v>16.23</v>
      </c>
      <c r="F8" s="16">
        <f t="shared" si="6"/>
        <v>300</v>
      </c>
      <c r="G8" s="17">
        <f t="shared" si="2"/>
        <v>14.263296666666671</v>
      </c>
      <c r="H8" s="15">
        <f t="shared" si="7"/>
        <v>4278.9890000000014</v>
      </c>
      <c r="I8" s="15">
        <f t="shared" si="3"/>
        <v>590.0109999999986</v>
      </c>
      <c r="J8" s="33">
        <f t="shared" si="4"/>
        <v>0.13788560802563379</v>
      </c>
      <c r="K8" s="15">
        <f t="shared" si="5"/>
        <v>4869</v>
      </c>
      <c r="L8" s="15">
        <f t="shared" si="0"/>
        <v>233.50799999999981</v>
      </c>
      <c r="M8" s="15"/>
      <c r="N8" s="15"/>
      <c r="O8" s="15"/>
      <c r="P8" s="17"/>
      <c r="Q8" s="31">
        <f t="shared" si="1"/>
        <v>6480.5079999999998</v>
      </c>
      <c r="R8" s="34">
        <f t="shared" si="8"/>
        <v>11.492000000000001</v>
      </c>
      <c r="S8" s="31"/>
      <c r="T8" s="34"/>
      <c r="U8" s="34"/>
      <c r="V8" s="31"/>
      <c r="W8" s="32"/>
      <c r="X8" s="32"/>
      <c r="Y8" s="32"/>
      <c r="Z8" s="38"/>
      <c r="AA8" s="31"/>
      <c r="AB8" s="39"/>
      <c r="AC8" s="40"/>
      <c r="AD8" s="40"/>
    </row>
    <row r="9" spans="1:30" s="1" customFormat="1" x14ac:dyDescent="0.25">
      <c r="A9" s="162">
        <v>42703</v>
      </c>
      <c r="B9" s="63"/>
      <c r="C9" s="62" t="s">
        <v>63</v>
      </c>
      <c r="D9" s="16">
        <v>600</v>
      </c>
      <c r="E9" s="15">
        <v>15.87</v>
      </c>
      <c r="F9" s="16">
        <f t="shared" si="6"/>
        <v>900</v>
      </c>
      <c r="G9" s="17">
        <f t="shared" si="2"/>
        <v>15.339987777777779</v>
      </c>
      <c r="H9" s="15">
        <f t="shared" si="7"/>
        <v>13805.989000000001</v>
      </c>
      <c r="I9" s="15">
        <f t="shared" si="3"/>
        <v>477.0109999999986</v>
      </c>
      <c r="J9" s="33">
        <f t="shared" si="4"/>
        <v>3.4551019850877634E-2</v>
      </c>
      <c r="K9" s="15">
        <f t="shared" si="5"/>
        <v>14283</v>
      </c>
      <c r="L9" s="15">
        <f t="shared" si="0"/>
        <v>-113</v>
      </c>
      <c r="M9" s="15"/>
      <c r="N9" s="15"/>
      <c r="O9" s="15"/>
      <c r="P9" s="17"/>
      <c r="Q9" s="31">
        <f t="shared" si="1"/>
        <v>-9527</v>
      </c>
      <c r="R9" s="34">
        <f t="shared" si="8"/>
        <v>5</v>
      </c>
      <c r="S9" s="31"/>
      <c r="T9" s="34"/>
      <c r="U9" s="34"/>
      <c r="V9" s="31"/>
      <c r="W9" s="32"/>
      <c r="X9" s="32"/>
      <c r="Y9" s="32"/>
      <c r="Z9" s="38"/>
      <c r="AA9" s="31"/>
      <c r="AB9" s="39"/>
      <c r="AC9" s="40"/>
      <c r="AD9" s="40"/>
    </row>
    <row r="10" spans="1:30" s="1" customFormat="1" x14ac:dyDescent="0.25">
      <c r="A10" s="162">
        <v>42706</v>
      </c>
      <c r="B10" s="63"/>
      <c r="C10" s="62" t="s">
        <v>63</v>
      </c>
      <c r="D10" s="16">
        <v>500</v>
      </c>
      <c r="E10" s="15">
        <v>15.79</v>
      </c>
      <c r="F10" s="16">
        <f t="shared" si="6"/>
        <v>1400</v>
      </c>
      <c r="G10" s="17">
        <f t="shared" si="2"/>
        <v>15.504277857142858</v>
      </c>
      <c r="H10" s="15">
        <f t="shared" si="7"/>
        <v>21705.989000000001</v>
      </c>
      <c r="I10" s="15">
        <f t="shared" si="3"/>
        <v>400.0109999999986</v>
      </c>
      <c r="J10" s="33">
        <f t="shared" si="4"/>
        <v>1.8428600512052109E-2</v>
      </c>
      <c r="K10" s="15">
        <f t="shared" si="5"/>
        <v>22106</v>
      </c>
      <c r="L10" s="15">
        <f t="shared" si="0"/>
        <v>-77</v>
      </c>
      <c r="M10" s="15"/>
      <c r="N10" s="15"/>
      <c r="O10" s="15"/>
      <c r="P10" s="17"/>
      <c r="Q10" s="31">
        <f t="shared" si="1"/>
        <v>-7900</v>
      </c>
      <c r="R10" s="34">
        <f t="shared" si="8"/>
        <v>5</v>
      </c>
      <c r="S10" s="31"/>
      <c r="T10" s="34"/>
      <c r="U10" s="34"/>
      <c r="V10" s="31"/>
      <c r="W10" s="32"/>
      <c r="X10" s="32"/>
      <c r="Y10" s="32"/>
      <c r="Z10" s="38"/>
      <c r="AA10" s="31"/>
      <c r="AB10" s="39"/>
      <c r="AC10" s="40"/>
      <c r="AD10" s="40"/>
    </row>
    <row r="11" spans="1:30" s="1" customFormat="1" x14ac:dyDescent="0.25">
      <c r="A11" s="162">
        <v>42709</v>
      </c>
      <c r="B11" s="63"/>
      <c r="C11" s="62" t="s">
        <v>63</v>
      </c>
      <c r="D11" s="16">
        <v>600</v>
      </c>
      <c r="E11" s="15">
        <v>15.28</v>
      </c>
      <c r="F11" s="16">
        <f t="shared" si="6"/>
        <v>2000</v>
      </c>
      <c r="G11" s="17">
        <f t="shared" si="2"/>
        <v>15.4394945</v>
      </c>
      <c r="H11" s="15">
        <f t="shared" si="7"/>
        <v>30878.989000000001</v>
      </c>
      <c r="I11" s="15">
        <f t="shared" si="3"/>
        <v>-318.9890000000014</v>
      </c>
      <c r="J11" s="33">
        <f t="shared" si="4"/>
        <v>-1.033029287325443E-2</v>
      </c>
      <c r="K11" s="15">
        <f t="shared" si="5"/>
        <v>30560</v>
      </c>
      <c r="L11" s="15">
        <f t="shared" si="0"/>
        <v>-719</v>
      </c>
      <c r="M11" s="15"/>
      <c r="N11" s="15"/>
      <c r="O11" s="15"/>
      <c r="P11" s="17"/>
      <c r="Q11" s="31">
        <f t="shared" si="1"/>
        <v>-9173</v>
      </c>
      <c r="R11" s="34">
        <f t="shared" si="8"/>
        <v>5</v>
      </c>
      <c r="S11" s="31"/>
      <c r="T11" s="34"/>
      <c r="U11" s="34"/>
      <c r="V11" s="31"/>
      <c r="W11" s="32"/>
      <c r="X11" s="32"/>
      <c r="Y11" s="32"/>
      <c r="Z11" s="38"/>
      <c r="AA11" s="31"/>
      <c r="AB11" s="39"/>
      <c r="AC11" s="40"/>
      <c r="AD11" s="40"/>
    </row>
    <row r="12" spans="1:30" s="1" customFormat="1" x14ac:dyDescent="0.25">
      <c r="A12" s="162">
        <v>42709</v>
      </c>
      <c r="B12" s="63"/>
      <c r="C12" s="62" t="s">
        <v>63</v>
      </c>
      <c r="D12" s="16">
        <v>500</v>
      </c>
      <c r="E12" s="15">
        <v>15.18</v>
      </c>
      <c r="F12" s="16">
        <f t="shared" si="6"/>
        <v>2500</v>
      </c>
      <c r="G12" s="17">
        <f t="shared" si="2"/>
        <v>15.3895956</v>
      </c>
      <c r="H12" s="15">
        <f t="shared" si="7"/>
        <v>38473.989000000001</v>
      </c>
      <c r="I12" s="15">
        <f t="shared" si="3"/>
        <v>-523.9890000000014</v>
      </c>
      <c r="J12" s="33">
        <f t="shared" si="4"/>
        <v>-1.3619305240223473E-2</v>
      </c>
      <c r="K12" s="15">
        <f t="shared" si="5"/>
        <v>37950</v>
      </c>
      <c r="L12" s="15">
        <f t="shared" si="0"/>
        <v>-205</v>
      </c>
      <c r="M12" s="15"/>
      <c r="N12" s="15"/>
      <c r="O12" s="15"/>
      <c r="P12" s="17"/>
      <c r="Q12" s="31">
        <f t="shared" si="1"/>
        <v>-7595</v>
      </c>
      <c r="R12" s="34">
        <f t="shared" si="8"/>
        <v>5</v>
      </c>
      <c r="S12" s="31"/>
      <c r="T12" s="34"/>
      <c r="U12" s="34"/>
      <c r="V12" s="31"/>
      <c r="W12" s="32"/>
      <c r="X12" s="32"/>
      <c r="Y12" s="32"/>
      <c r="Z12" s="38"/>
      <c r="AA12" s="31"/>
      <c r="AB12" s="39"/>
      <c r="AC12" s="40"/>
      <c r="AD12" s="40"/>
    </row>
    <row r="13" spans="1:30" s="1" customFormat="1" x14ac:dyDescent="0.25">
      <c r="A13" s="162">
        <v>42709</v>
      </c>
      <c r="B13" s="63"/>
      <c r="C13" s="62" t="s">
        <v>63</v>
      </c>
      <c r="D13" s="16">
        <v>500</v>
      </c>
      <c r="E13" s="15">
        <v>14.94</v>
      </c>
      <c r="F13" s="16">
        <f t="shared" si="6"/>
        <v>3000</v>
      </c>
      <c r="G13" s="17">
        <f t="shared" si="2"/>
        <v>15.316329666666666</v>
      </c>
      <c r="H13" s="15">
        <f t="shared" si="7"/>
        <v>45948.989000000001</v>
      </c>
      <c r="I13" s="15">
        <f t="shared" si="3"/>
        <v>-1128.9890000000014</v>
      </c>
      <c r="J13" s="33">
        <f t="shared" si="4"/>
        <v>-2.4570486197204484E-2</v>
      </c>
      <c r="K13" s="15">
        <f t="shared" si="5"/>
        <v>44820</v>
      </c>
      <c r="L13" s="15">
        <f t="shared" si="0"/>
        <v>-605</v>
      </c>
      <c r="M13" s="15"/>
      <c r="N13" s="15"/>
      <c r="O13" s="15"/>
      <c r="P13" s="17"/>
      <c r="Q13" s="31">
        <f t="shared" si="1"/>
        <v>-7475</v>
      </c>
      <c r="R13" s="34">
        <f t="shared" si="8"/>
        <v>5</v>
      </c>
      <c r="S13" s="31"/>
      <c r="T13" s="34"/>
      <c r="U13" s="34"/>
      <c r="V13" s="31"/>
      <c r="W13" s="32"/>
      <c r="X13" s="32"/>
      <c r="Y13" s="32"/>
      <c r="Z13" s="38"/>
      <c r="AA13" s="31"/>
      <c r="AB13" s="39"/>
      <c r="AC13" s="40"/>
      <c r="AD13" s="40"/>
    </row>
    <row r="14" spans="1:30" s="1" customFormat="1" x14ac:dyDescent="0.25">
      <c r="A14" s="162">
        <v>42709</v>
      </c>
      <c r="B14" s="63"/>
      <c r="C14" s="62" t="s">
        <v>63</v>
      </c>
      <c r="D14" s="16">
        <v>500</v>
      </c>
      <c r="E14" s="15">
        <v>14.68</v>
      </c>
      <c r="F14" s="16">
        <f t="shared" si="6"/>
        <v>3500</v>
      </c>
      <c r="G14" s="17">
        <f t="shared" si="2"/>
        <v>15.226854000000001</v>
      </c>
      <c r="H14" s="15">
        <f t="shared" si="7"/>
        <v>53293.989000000001</v>
      </c>
      <c r="I14" s="15">
        <f t="shared" si="3"/>
        <v>-1913.9890000000014</v>
      </c>
      <c r="J14" s="33">
        <f t="shared" si="4"/>
        <v>-3.5913787575555758E-2</v>
      </c>
      <c r="K14" s="15">
        <f t="shared" si="5"/>
        <v>51380</v>
      </c>
      <c r="L14" s="15">
        <f t="shared" si="0"/>
        <v>-785</v>
      </c>
      <c r="M14" s="15"/>
      <c r="N14" s="15"/>
      <c r="O14" s="15"/>
      <c r="P14" s="17"/>
      <c r="Q14" s="31">
        <f t="shared" si="1"/>
        <v>-7345</v>
      </c>
      <c r="R14" s="34">
        <f t="shared" si="8"/>
        <v>5</v>
      </c>
      <c r="S14" s="31"/>
      <c r="T14" s="34"/>
      <c r="U14" s="34"/>
      <c r="V14" s="31"/>
      <c r="W14" s="32"/>
      <c r="X14" s="32"/>
      <c r="Y14" s="32"/>
      <c r="Z14" s="38"/>
      <c r="AA14" s="31"/>
      <c r="AB14" s="41"/>
      <c r="AC14" s="40"/>
      <c r="AD14" s="40"/>
    </row>
    <row r="15" spans="1:30" s="1" customFormat="1" x14ac:dyDescent="0.25">
      <c r="A15" s="162">
        <v>42716</v>
      </c>
      <c r="B15" s="63"/>
      <c r="C15" s="62" t="s">
        <v>63</v>
      </c>
      <c r="D15" s="16">
        <v>500</v>
      </c>
      <c r="E15" s="15">
        <v>14.27</v>
      </c>
      <c r="F15" s="16">
        <f t="shared" si="6"/>
        <v>4000</v>
      </c>
      <c r="G15" s="17">
        <f t="shared" si="2"/>
        <v>15.108497250000001</v>
      </c>
      <c r="H15" s="15">
        <f t="shared" si="7"/>
        <v>60433.989000000001</v>
      </c>
      <c r="I15" s="15">
        <f t="shared" si="3"/>
        <v>-3353.9890000000014</v>
      </c>
      <c r="J15" s="33">
        <f t="shared" si="4"/>
        <v>-5.5498388497903152E-2</v>
      </c>
      <c r="K15" s="15">
        <f t="shared" si="5"/>
        <v>57080</v>
      </c>
      <c r="L15" s="15">
        <f t="shared" si="0"/>
        <v>-1440</v>
      </c>
      <c r="M15" s="15"/>
      <c r="N15" s="15"/>
      <c r="O15" s="15"/>
      <c r="P15" s="17"/>
      <c r="Q15" s="31">
        <f t="shared" si="1"/>
        <v>-7140</v>
      </c>
      <c r="R15" s="34">
        <f t="shared" si="8"/>
        <v>5</v>
      </c>
      <c r="S15" s="31"/>
      <c r="T15" s="34"/>
      <c r="U15" s="34"/>
      <c r="V15" s="31"/>
      <c r="W15" s="32"/>
      <c r="X15" s="32"/>
      <c r="Y15" s="32"/>
      <c r="Z15" s="38"/>
      <c r="AA15" s="31"/>
      <c r="AB15" s="41"/>
      <c r="AC15" s="40"/>
      <c r="AD15" s="40"/>
    </row>
    <row r="16" spans="1:30" s="1" customFormat="1" x14ac:dyDescent="0.25">
      <c r="A16" s="162">
        <v>42716</v>
      </c>
      <c r="B16" s="63"/>
      <c r="C16" s="62" t="s">
        <v>63</v>
      </c>
      <c r="D16" s="16">
        <v>400</v>
      </c>
      <c r="E16" s="15">
        <v>14.04</v>
      </c>
      <c r="F16" s="16">
        <f t="shared" si="6"/>
        <v>4400</v>
      </c>
      <c r="G16" s="17">
        <f t="shared" si="2"/>
        <v>15.0124975</v>
      </c>
      <c r="H16" s="15">
        <f t="shared" si="7"/>
        <v>66054.989000000001</v>
      </c>
      <c r="I16" s="15">
        <f t="shared" si="3"/>
        <v>-4278.9890000000087</v>
      </c>
      <c r="J16" s="33">
        <f t="shared" si="4"/>
        <v>-6.477919480086515E-2</v>
      </c>
      <c r="K16" s="15">
        <f t="shared" si="5"/>
        <v>61775.999999999993</v>
      </c>
      <c r="L16" s="15">
        <f t="shared" si="0"/>
        <v>-925.00000000000728</v>
      </c>
      <c r="M16" s="15"/>
      <c r="N16" s="15"/>
      <c r="O16" s="15"/>
      <c r="P16" s="17"/>
      <c r="Q16" s="31">
        <f t="shared" si="1"/>
        <v>-5621</v>
      </c>
      <c r="R16" s="34">
        <f t="shared" si="8"/>
        <v>5</v>
      </c>
      <c r="S16" s="22"/>
      <c r="T16" s="34"/>
      <c r="U16" s="34"/>
      <c r="V16" s="31"/>
      <c r="W16" s="32"/>
      <c r="X16" s="32"/>
      <c r="Y16" s="32"/>
      <c r="Z16" s="38"/>
      <c r="AA16" s="31"/>
      <c r="AB16" s="41"/>
      <c r="AC16" s="40"/>
      <c r="AD16" s="40"/>
    </row>
    <row r="17" spans="1:30" s="1" customFormat="1" x14ac:dyDescent="0.25">
      <c r="A17" s="162">
        <v>42718</v>
      </c>
      <c r="B17" s="63" t="s">
        <v>503</v>
      </c>
      <c r="C17" s="62" t="s">
        <v>69</v>
      </c>
      <c r="D17" s="16">
        <v>400</v>
      </c>
      <c r="E17" s="15">
        <v>14.32</v>
      </c>
      <c r="F17" s="16">
        <f t="shared" si="6"/>
        <v>4000</v>
      </c>
      <c r="G17" s="17">
        <f t="shared" si="2"/>
        <v>15.084429250000001</v>
      </c>
      <c r="H17" s="15">
        <f t="shared" si="7"/>
        <v>60337.717000000004</v>
      </c>
      <c r="I17" s="15">
        <f t="shared" si="3"/>
        <v>-3057.7170000000042</v>
      </c>
      <c r="J17" s="33">
        <f t="shared" si="4"/>
        <v>-5.0676710224220177E-2</v>
      </c>
      <c r="K17" s="15">
        <f t="shared" si="5"/>
        <v>57280</v>
      </c>
      <c r="L17" s="15">
        <f t="shared" si="0"/>
        <v>1221.2720000000045</v>
      </c>
      <c r="M17" s="15"/>
      <c r="N17" s="15"/>
      <c r="O17" s="15"/>
      <c r="P17" s="17"/>
      <c r="Q17" s="31">
        <f t="shared" si="1"/>
        <v>5717.2719999999972</v>
      </c>
      <c r="R17" s="34">
        <f t="shared" si="8"/>
        <v>10.728</v>
      </c>
      <c r="S17" s="22"/>
      <c r="T17" s="34"/>
      <c r="U17" s="34"/>
      <c r="V17" s="31"/>
      <c r="W17" s="32"/>
      <c r="X17" s="32"/>
      <c r="Y17" s="32"/>
      <c r="Z17" s="38"/>
      <c r="AA17" s="31"/>
      <c r="AB17" s="41"/>
      <c r="AC17" s="40"/>
      <c r="AD17" s="40"/>
    </row>
    <row r="18" spans="1:30" s="1" customFormat="1" x14ac:dyDescent="0.25">
      <c r="A18" s="162">
        <v>42727</v>
      </c>
      <c r="B18" s="63"/>
      <c r="C18" s="62" t="s">
        <v>63</v>
      </c>
      <c r="D18" s="16">
        <v>500</v>
      </c>
      <c r="E18" s="15">
        <v>13.9</v>
      </c>
      <c r="F18" s="16">
        <f t="shared" si="6"/>
        <v>4500</v>
      </c>
      <c r="G18" s="17">
        <f t="shared" si="2"/>
        <v>14.953937111111111</v>
      </c>
      <c r="H18" s="15">
        <f t="shared" si="7"/>
        <v>67292.717000000004</v>
      </c>
      <c r="I18" s="15">
        <f t="shared" si="3"/>
        <v>-4742.7170000000042</v>
      </c>
      <c r="J18" s="33">
        <f t="shared" si="4"/>
        <v>-7.0478904871681708E-2</v>
      </c>
      <c r="K18" s="15">
        <f t="shared" si="5"/>
        <v>62550</v>
      </c>
      <c r="L18" s="15">
        <f t="shared" si="0"/>
        <v>-1685</v>
      </c>
      <c r="M18" s="15"/>
      <c r="N18" s="15"/>
      <c r="O18" s="15"/>
      <c r="P18" s="17"/>
      <c r="Q18" s="31">
        <f t="shared" si="1"/>
        <v>-6955</v>
      </c>
      <c r="R18" s="34">
        <f t="shared" si="8"/>
        <v>5</v>
      </c>
      <c r="S18" s="22"/>
      <c r="T18" s="34"/>
      <c r="U18" s="34"/>
      <c r="V18" s="31"/>
      <c r="W18" s="32"/>
      <c r="X18" s="32"/>
      <c r="Y18" s="32"/>
      <c r="Z18" s="38"/>
      <c r="AA18" s="31"/>
      <c r="AB18" s="41"/>
      <c r="AC18" s="40"/>
      <c r="AD18" s="40"/>
    </row>
    <row r="19" spans="1:30" s="1" customFormat="1" x14ac:dyDescent="0.25">
      <c r="A19" s="162">
        <v>42727</v>
      </c>
      <c r="B19" s="63"/>
      <c r="C19" s="62" t="s">
        <v>63</v>
      </c>
      <c r="D19" s="16">
        <v>500</v>
      </c>
      <c r="E19" s="15">
        <v>13.69</v>
      </c>
      <c r="F19" s="16">
        <f t="shared" si="6"/>
        <v>5000</v>
      </c>
      <c r="G19" s="17">
        <f t="shared" si="2"/>
        <v>14.828543400000001</v>
      </c>
      <c r="H19" s="15">
        <f t="shared" si="7"/>
        <v>74142.717000000004</v>
      </c>
      <c r="I19" s="15">
        <f t="shared" si="3"/>
        <v>-5692.7170000000042</v>
      </c>
      <c r="J19" s="33">
        <f t="shared" si="4"/>
        <v>-7.6780528558186054E-2</v>
      </c>
      <c r="K19" s="15">
        <f t="shared" si="5"/>
        <v>68450</v>
      </c>
      <c r="L19" s="15">
        <f t="shared" si="0"/>
        <v>-950</v>
      </c>
      <c r="M19" s="15"/>
      <c r="N19" s="15"/>
      <c r="O19" s="15"/>
      <c r="P19" s="17"/>
      <c r="Q19" s="31">
        <f t="shared" si="1"/>
        <v>-6850</v>
      </c>
      <c r="R19" s="34">
        <f t="shared" si="8"/>
        <v>5</v>
      </c>
      <c r="S19" s="22"/>
      <c r="T19" s="34"/>
      <c r="U19" s="34"/>
      <c r="V19" s="31"/>
      <c r="W19" s="32"/>
      <c r="X19" s="32"/>
      <c r="Y19" s="32"/>
      <c r="Z19" s="38"/>
      <c r="AA19" s="31"/>
      <c r="AB19" s="41"/>
      <c r="AC19" s="40"/>
      <c r="AD19" s="40"/>
    </row>
    <row r="20" spans="1:30" s="1" customFormat="1" x14ac:dyDescent="0.25">
      <c r="A20" s="162">
        <v>42730</v>
      </c>
      <c r="B20" s="63"/>
      <c r="C20" s="62" t="s">
        <v>63</v>
      </c>
      <c r="D20" s="16">
        <v>500</v>
      </c>
      <c r="E20" s="15">
        <v>13.33</v>
      </c>
      <c r="F20" s="16">
        <f t="shared" si="6"/>
        <v>5500</v>
      </c>
      <c r="G20" s="17">
        <f t="shared" si="2"/>
        <v>14.693221272727273</v>
      </c>
      <c r="H20" s="15">
        <f t="shared" si="7"/>
        <v>80812.717000000004</v>
      </c>
      <c r="I20" s="15">
        <f t="shared" si="3"/>
        <v>-7497.7170000000042</v>
      </c>
      <c r="J20" s="33">
        <f t="shared" si="4"/>
        <v>-9.2778924881340166E-2</v>
      </c>
      <c r="K20" s="15">
        <f t="shared" si="5"/>
        <v>73315</v>
      </c>
      <c r="L20" s="15">
        <f t="shared" si="0"/>
        <v>-1805</v>
      </c>
      <c r="M20" s="15"/>
      <c r="N20" s="15"/>
      <c r="O20" s="15"/>
      <c r="P20" s="17"/>
      <c r="Q20" s="31">
        <f t="shared" si="1"/>
        <v>-6670</v>
      </c>
      <c r="R20" s="34">
        <f t="shared" si="8"/>
        <v>5</v>
      </c>
      <c r="S20" s="15"/>
      <c r="T20" s="34"/>
      <c r="U20" s="34"/>
      <c r="V20" s="31"/>
      <c r="W20" s="32"/>
      <c r="X20" s="32"/>
      <c r="Y20" s="32"/>
      <c r="Z20" s="38"/>
      <c r="AA20" s="31"/>
      <c r="AB20" s="41"/>
      <c r="AC20" s="40"/>
      <c r="AD20" s="40"/>
    </row>
    <row r="21" spans="1:30" s="1" customFormat="1" x14ac:dyDescent="0.25">
      <c r="A21" s="162">
        <v>42734</v>
      </c>
      <c r="B21" s="63" t="s">
        <v>504</v>
      </c>
      <c r="C21" s="62" t="s">
        <v>69</v>
      </c>
      <c r="D21" s="16">
        <v>400</v>
      </c>
      <c r="E21" s="15">
        <v>13.64</v>
      </c>
      <c r="F21" s="16">
        <f t="shared" si="6"/>
        <v>5100</v>
      </c>
      <c r="G21" s="17">
        <f t="shared" si="2"/>
        <v>14.777877058823531</v>
      </c>
      <c r="H21" s="15">
        <f t="shared" si="7"/>
        <v>75367.17300000001</v>
      </c>
      <c r="I21" s="15">
        <f t="shared" si="3"/>
        <v>-5803.1730000000098</v>
      </c>
      <c r="J21" s="33">
        <f t="shared" si="4"/>
        <v>-7.6998682171613431E-2</v>
      </c>
      <c r="K21" s="15">
        <f t="shared" si="5"/>
        <v>69564</v>
      </c>
      <c r="L21" s="15">
        <f t="shared" si="0"/>
        <v>1694.5439999999944</v>
      </c>
      <c r="M21" s="15"/>
      <c r="N21" s="15"/>
      <c r="O21" s="15"/>
      <c r="P21" s="17"/>
      <c r="Q21" s="31">
        <f t="shared" si="1"/>
        <v>5445.5439999999944</v>
      </c>
      <c r="R21" s="34">
        <f t="shared" si="8"/>
        <v>10.456</v>
      </c>
      <c r="S21" s="15"/>
      <c r="T21" s="34"/>
      <c r="U21" s="34"/>
      <c r="V21" s="31"/>
      <c r="W21" s="32"/>
      <c r="X21" s="32"/>
      <c r="Y21" s="32"/>
      <c r="Z21" s="38"/>
      <c r="AA21" s="31"/>
      <c r="AB21" s="41"/>
      <c r="AC21" s="40"/>
      <c r="AD21" s="40"/>
    </row>
    <row r="22" spans="1:30" s="1" customFormat="1" x14ac:dyDescent="0.25">
      <c r="A22" s="162">
        <v>42738</v>
      </c>
      <c r="B22" s="63" t="s">
        <v>505</v>
      </c>
      <c r="C22" s="62" t="s">
        <v>69</v>
      </c>
      <c r="D22" s="16">
        <v>400</v>
      </c>
      <c r="E22" s="15">
        <v>14</v>
      </c>
      <c r="F22" s="16">
        <f t="shared" si="6"/>
        <v>4700</v>
      </c>
      <c r="G22" s="17">
        <f t="shared" si="2"/>
        <v>14.846334680851067</v>
      </c>
      <c r="H22" s="15">
        <f t="shared" si="7"/>
        <v>69777.773000000016</v>
      </c>
      <c r="I22" s="15">
        <f t="shared" si="3"/>
        <v>-3977.7730000000156</v>
      </c>
      <c r="J22" s="33">
        <f t="shared" si="4"/>
        <v>-5.7006304858712144E-2</v>
      </c>
      <c r="K22" s="15">
        <f t="shared" si="5"/>
        <v>65800</v>
      </c>
      <c r="L22" s="15">
        <f t="shared" si="0"/>
        <v>1825.3999999999942</v>
      </c>
      <c r="M22" s="15"/>
      <c r="N22" s="15"/>
      <c r="O22" s="15"/>
      <c r="P22" s="17"/>
      <c r="Q22" s="31">
        <f t="shared" si="1"/>
        <v>5589.3999999999942</v>
      </c>
      <c r="R22" s="34">
        <f t="shared" si="8"/>
        <v>10.6</v>
      </c>
      <c r="S22" s="15"/>
      <c r="T22" s="34"/>
      <c r="U22" s="34"/>
      <c r="V22" s="31"/>
      <c r="W22" s="32"/>
      <c r="X22" s="32"/>
      <c r="Y22" s="32"/>
      <c r="Z22" s="38"/>
      <c r="AA22" s="31"/>
      <c r="AB22" s="41"/>
      <c r="AC22" s="40"/>
      <c r="AD22" s="40"/>
    </row>
    <row r="23" spans="1:30" s="1" customFormat="1" x14ac:dyDescent="0.25">
      <c r="A23" s="162">
        <v>42738</v>
      </c>
      <c r="B23" s="63" t="s">
        <v>506</v>
      </c>
      <c r="C23" s="62" t="s">
        <v>69</v>
      </c>
      <c r="D23" s="16">
        <v>400</v>
      </c>
      <c r="E23" s="15">
        <v>14.87</v>
      </c>
      <c r="F23" s="16">
        <f t="shared" si="6"/>
        <v>4300</v>
      </c>
      <c r="G23" s="17">
        <f t="shared" si="2"/>
        <v>14.846679302325585</v>
      </c>
      <c r="H23" s="15">
        <f t="shared" si="7"/>
        <v>63840.721000000012</v>
      </c>
      <c r="I23" s="15">
        <f t="shared" si="3"/>
        <v>100.27899999998772</v>
      </c>
      <c r="J23" s="33">
        <f t="shared" si="4"/>
        <v>1.5707686008117176E-3</v>
      </c>
      <c r="K23" s="15">
        <f t="shared" si="5"/>
        <v>63941</v>
      </c>
      <c r="L23" s="15">
        <f t="shared" si="0"/>
        <v>4078.0520000000033</v>
      </c>
      <c r="M23" s="15"/>
      <c r="N23" s="15"/>
      <c r="O23" s="15"/>
      <c r="P23" s="17"/>
      <c r="Q23" s="31">
        <f t="shared" si="1"/>
        <v>5937.0520000000033</v>
      </c>
      <c r="R23" s="34">
        <f t="shared" si="8"/>
        <v>10.948</v>
      </c>
      <c r="S23" s="15"/>
      <c r="T23" s="34"/>
      <c r="U23" s="34"/>
      <c r="V23" s="31"/>
      <c r="W23" s="32"/>
      <c r="X23" s="32"/>
      <c r="Y23" s="32"/>
      <c r="Z23" s="38"/>
      <c r="AA23" s="31"/>
      <c r="AB23" s="41"/>
      <c r="AC23" s="40"/>
      <c r="AD23" s="40"/>
    </row>
    <row r="24" spans="1:30" s="1" customFormat="1" x14ac:dyDescent="0.25">
      <c r="A24" s="162">
        <v>42739</v>
      </c>
      <c r="B24" s="63" t="s">
        <v>507</v>
      </c>
      <c r="C24" s="62" t="s">
        <v>69</v>
      </c>
      <c r="D24" s="16">
        <v>400</v>
      </c>
      <c r="E24" s="15">
        <v>15.32</v>
      </c>
      <c r="F24" s="16">
        <f t="shared" si="6"/>
        <v>3900</v>
      </c>
      <c r="G24" s="17">
        <f t="shared" si="2"/>
        <v>14.800986923076925</v>
      </c>
      <c r="H24" s="15">
        <f t="shared" si="7"/>
        <v>57723.849000000009</v>
      </c>
      <c r="I24" s="15">
        <f t="shared" si="3"/>
        <v>2024.1509999999907</v>
      </c>
      <c r="J24" s="33">
        <f t="shared" si="4"/>
        <v>3.5066112795077008E-2</v>
      </c>
      <c r="K24" s="15">
        <f t="shared" si="5"/>
        <v>59748</v>
      </c>
      <c r="L24" s="15">
        <f t="shared" si="0"/>
        <v>1923.872000000003</v>
      </c>
      <c r="M24" s="15"/>
      <c r="N24" s="15"/>
      <c r="O24" s="15"/>
      <c r="P24" s="17"/>
      <c r="Q24" s="31">
        <f t="shared" si="1"/>
        <v>6116.872000000003</v>
      </c>
      <c r="R24" s="34">
        <f t="shared" si="8"/>
        <v>11.128</v>
      </c>
      <c r="S24" s="15"/>
      <c r="T24" s="34"/>
      <c r="U24" s="34"/>
      <c r="V24" s="31"/>
      <c r="W24" s="32"/>
      <c r="X24" s="32"/>
      <c r="Y24" s="32"/>
      <c r="Z24" s="38"/>
      <c r="AA24" s="31"/>
      <c r="AB24" s="41"/>
      <c r="AC24" s="40"/>
      <c r="AD24" s="40"/>
    </row>
    <row r="25" spans="1:30" s="1" customFormat="1" x14ac:dyDescent="0.25">
      <c r="A25" s="162">
        <v>42739</v>
      </c>
      <c r="B25" s="63" t="s">
        <v>508</v>
      </c>
      <c r="C25" s="62" t="s">
        <v>69</v>
      </c>
      <c r="D25" s="16">
        <v>400</v>
      </c>
      <c r="E25" s="15">
        <v>15.96</v>
      </c>
      <c r="F25" s="16">
        <f t="shared" si="6"/>
        <v>3500</v>
      </c>
      <c r="G25" s="17">
        <f t="shared" si="2"/>
        <v>14.67178085714286</v>
      </c>
      <c r="H25" s="15">
        <f t="shared" si="7"/>
        <v>51351.233000000007</v>
      </c>
      <c r="I25" s="15">
        <f t="shared" si="3"/>
        <v>4508.7669999999925</v>
      </c>
      <c r="J25" s="33">
        <f t="shared" si="4"/>
        <v>8.7802507098514906E-2</v>
      </c>
      <c r="K25" s="15">
        <f t="shared" si="5"/>
        <v>55860</v>
      </c>
      <c r="L25" s="15">
        <f t="shared" si="0"/>
        <v>2484.6160000000018</v>
      </c>
      <c r="M25" s="15"/>
      <c r="N25" s="15"/>
      <c r="O25" s="15"/>
      <c r="P25" s="17"/>
      <c r="Q25" s="31">
        <f t="shared" si="1"/>
        <v>6372.6160000000018</v>
      </c>
      <c r="R25" s="34">
        <f t="shared" si="8"/>
        <v>11.384</v>
      </c>
      <c r="S25" s="15"/>
      <c r="T25" s="34"/>
      <c r="U25" s="34"/>
      <c r="V25" s="31"/>
      <c r="W25" s="32"/>
      <c r="X25" s="32"/>
      <c r="Y25" s="32"/>
      <c r="Z25" s="38"/>
      <c r="AA25" s="31"/>
      <c r="AB25" s="42"/>
      <c r="AC25" s="40"/>
      <c r="AD25" s="40"/>
    </row>
    <row r="26" spans="1:30" s="1" customFormat="1" x14ac:dyDescent="0.25">
      <c r="A26" s="162">
        <v>42740</v>
      </c>
      <c r="B26" s="63"/>
      <c r="C26" s="62" t="s">
        <v>63</v>
      </c>
      <c r="D26" s="16">
        <v>500</v>
      </c>
      <c r="E26" s="15">
        <v>15.36</v>
      </c>
      <c r="F26" s="16">
        <f t="shared" si="6"/>
        <v>4000</v>
      </c>
      <c r="G26" s="17">
        <f t="shared" si="2"/>
        <v>14.759058250000002</v>
      </c>
      <c r="H26" s="15">
        <f t="shared" si="7"/>
        <v>59036.233000000007</v>
      </c>
      <c r="I26" s="15">
        <f t="shared" si="3"/>
        <v>2403.7669999999925</v>
      </c>
      <c r="J26" s="33">
        <f t="shared" si="4"/>
        <v>4.071680860802869E-2</v>
      </c>
      <c r="K26" s="15">
        <f t="shared" si="5"/>
        <v>61440</v>
      </c>
      <c r="L26" s="15">
        <f t="shared" si="0"/>
        <v>-2105</v>
      </c>
      <c r="M26" s="15"/>
      <c r="N26" s="15"/>
      <c r="O26" s="15"/>
      <c r="P26" s="17"/>
      <c r="Q26" s="31">
        <f t="shared" si="1"/>
        <v>-7685</v>
      </c>
      <c r="R26" s="34">
        <f t="shared" si="8"/>
        <v>5</v>
      </c>
      <c r="S26" s="15"/>
      <c r="T26" s="34"/>
      <c r="U26" s="34"/>
      <c r="V26" s="31"/>
      <c r="W26" s="32"/>
      <c r="X26" s="32"/>
      <c r="Y26" s="32"/>
      <c r="Z26" s="38"/>
      <c r="AA26" s="31"/>
      <c r="AB26" s="43"/>
      <c r="AC26" s="40"/>
      <c r="AD26" s="40"/>
    </row>
    <row r="27" spans="1:30" s="1" customFormat="1" x14ac:dyDescent="0.25">
      <c r="A27" s="162">
        <v>42744</v>
      </c>
      <c r="B27" s="63" t="s">
        <v>509</v>
      </c>
      <c r="C27" s="62" t="s">
        <v>69</v>
      </c>
      <c r="D27" s="16">
        <v>400</v>
      </c>
      <c r="E27" s="15">
        <v>15.61</v>
      </c>
      <c r="F27" s="16">
        <f t="shared" si="6"/>
        <v>3600</v>
      </c>
      <c r="G27" s="17">
        <f t="shared" si="2"/>
        <v>14.667632500000002</v>
      </c>
      <c r="H27" s="15">
        <f t="shared" si="7"/>
        <v>52803.477000000006</v>
      </c>
      <c r="I27" s="15">
        <f t="shared" si="3"/>
        <v>3392.5229999999938</v>
      </c>
      <c r="J27" s="33">
        <f t="shared" si="4"/>
        <v>6.4248098662139083E-2</v>
      </c>
      <c r="K27" s="15">
        <f t="shared" si="5"/>
        <v>56196</v>
      </c>
      <c r="L27" s="15">
        <f t="shared" si="0"/>
        <v>988.75600000000122</v>
      </c>
      <c r="M27" s="15"/>
      <c r="N27" s="15"/>
      <c r="O27" s="15"/>
      <c r="P27" s="17"/>
      <c r="Q27" s="31">
        <f t="shared" si="1"/>
        <v>6232.7560000000012</v>
      </c>
      <c r="R27" s="34">
        <f t="shared" si="8"/>
        <v>11.244</v>
      </c>
      <c r="S27" s="15"/>
      <c r="T27" s="34"/>
      <c r="U27" s="34"/>
      <c r="V27" s="31"/>
      <c r="W27" s="32"/>
      <c r="X27" s="32"/>
      <c r="Y27" s="32"/>
      <c r="Z27" s="38"/>
      <c r="AA27" s="31"/>
      <c r="AB27" s="43"/>
      <c r="AC27" s="40"/>
      <c r="AD27" s="40"/>
    </row>
    <row r="28" spans="1:30" s="1" customFormat="1" x14ac:dyDescent="0.25">
      <c r="A28" s="162">
        <v>42745</v>
      </c>
      <c r="B28" s="63" t="s">
        <v>510</v>
      </c>
      <c r="C28" s="62" t="s">
        <v>69</v>
      </c>
      <c r="D28" s="16">
        <v>400</v>
      </c>
      <c r="E28" s="15">
        <v>15.91</v>
      </c>
      <c r="F28" s="16">
        <f t="shared" si="6"/>
        <v>3200</v>
      </c>
      <c r="G28" s="17">
        <f t="shared" si="2"/>
        <v>14.515887812500003</v>
      </c>
      <c r="H28" s="15">
        <f t="shared" si="7"/>
        <v>46450.841000000008</v>
      </c>
      <c r="I28" s="15">
        <f t="shared" si="3"/>
        <v>4461.1589999999924</v>
      </c>
      <c r="J28" s="33">
        <f t="shared" si="4"/>
        <v>9.6040435521931478E-2</v>
      </c>
      <c r="K28" s="15">
        <f t="shared" si="5"/>
        <v>50912</v>
      </c>
      <c r="L28" s="15">
        <f t="shared" si="0"/>
        <v>1068.6359999999986</v>
      </c>
      <c r="M28" s="15"/>
      <c r="N28" s="15"/>
      <c r="O28" s="15"/>
      <c r="P28" s="17"/>
      <c r="Q28" s="31">
        <f t="shared" si="1"/>
        <v>6352.6359999999986</v>
      </c>
      <c r="R28" s="34">
        <f t="shared" si="8"/>
        <v>11.364000000000001</v>
      </c>
      <c r="S28" s="15"/>
      <c r="T28" s="34"/>
      <c r="U28" s="34"/>
      <c r="V28" s="31"/>
      <c r="W28" s="32"/>
      <c r="X28" s="32"/>
      <c r="Y28" s="32"/>
      <c r="Z28" s="38"/>
      <c r="AA28" s="31"/>
      <c r="AB28" s="43"/>
      <c r="AC28" s="40"/>
      <c r="AD28" s="40"/>
    </row>
    <row r="29" spans="1:30" s="1" customFormat="1" x14ac:dyDescent="0.25">
      <c r="A29" s="162">
        <v>42745</v>
      </c>
      <c r="B29" s="63"/>
      <c r="C29" s="62" t="s">
        <v>63</v>
      </c>
      <c r="D29" s="16">
        <v>500</v>
      </c>
      <c r="E29" s="15">
        <v>15.59</v>
      </c>
      <c r="F29" s="16">
        <f t="shared" si="6"/>
        <v>3700</v>
      </c>
      <c r="G29" s="17">
        <f t="shared" si="2"/>
        <v>14.662389459459462</v>
      </c>
      <c r="H29" s="15">
        <f t="shared" si="7"/>
        <v>54250.841000000008</v>
      </c>
      <c r="I29" s="15">
        <f t="shared" si="3"/>
        <v>3432.1589999999924</v>
      </c>
      <c r="J29" s="33">
        <f t="shared" si="4"/>
        <v>6.3264622939209189E-2</v>
      </c>
      <c r="K29" s="15">
        <f t="shared" si="5"/>
        <v>57683</v>
      </c>
      <c r="L29" s="15">
        <f t="shared" si="0"/>
        <v>-1029</v>
      </c>
      <c r="M29" s="15"/>
      <c r="N29" s="15"/>
      <c r="O29" s="15"/>
      <c r="P29" s="17"/>
      <c r="Q29" s="31">
        <f t="shared" si="1"/>
        <v>-7800</v>
      </c>
      <c r="R29" s="34">
        <f t="shared" si="8"/>
        <v>5</v>
      </c>
      <c r="S29" s="15"/>
      <c r="T29" s="34"/>
      <c r="U29" s="34"/>
      <c r="V29" s="31"/>
      <c r="W29" s="32"/>
      <c r="X29" s="32"/>
      <c r="Y29" s="32"/>
      <c r="Z29" s="38"/>
      <c r="AA29" s="31"/>
      <c r="AB29" s="43"/>
      <c r="AC29" s="40"/>
      <c r="AD29" s="40"/>
    </row>
    <row r="30" spans="1:30" s="1" customFormat="1" x14ac:dyDescent="0.25">
      <c r="A30" s="162">
        <v>42746</v>
      </c>
      <c r="B30" s="63" t="s">
        <v>511</v>
      </c>
      <c r="C30" s="62" t="s">
        <v>69</v>
      </c>
      <c r="D30" s="16">
        <v>400</v>
      </c>
      <c r="E30" s="15">
        <v>15.9</v>
      </c>
      <c r="F30" s="16">
        <f t="shared" si="6"/>
        <v>3300</v>
      </c>
      <c r="G30" s="17">
        <f t="shared" si="2"/>
        <v>14.515818484848488</v>
      </c>
      <c r="H30" s="15">
        <f t="shared" si="7"/>
        <v>47902.201000000008</v>
      </c>
      <c r="I30" s="15">
        <f t="shared" si="3"/>
        <v>4567.7989999999918</v>
      </c>
      <c r="J30" s="33">
        <f t="shared" si="4"/>
        <v>9.5356766591998349E-2</v>
      </c>
      <c r="K30" s="15">
        <f t="shared" si="5"/>
        <v>52470</v>
      </c>
      <c r="L30" s="15">
        <f t="shared" si="0"/>
        <v>1135.6399999999994</v>
      </c>
      <c r="M30" s="15"/>
      <c r="N30" s="15"/>
      <c r="O30" s="15"/>
      <c r="P30" s="17"/>
      <c r="Q30" s="31">
        <f t="shared" si="1"/>
        <v>6348.6399999999994</v>
      </c>
      <c r="R30" s="34">
        <f t="shared" si="8"/>
        <v>11.36</v>
      </c>
      <c r="S30" s="15"/>
      <c r="T30" s="34"/>
      <c r="U30" s="34"/>
      <c r="V30" s="31"/>
      <c r="W30" s="32"/>
      <c r="X30" s="32"/>
      <c r="Y30" s="32"/>
      <c r="Z30" s="38"/>
      <c r="AA30" s="31"/>
      <c r="AB30" s="43"/>
      <c r="AC30" s="40"/>
      <c r="AD30" s="40"/>
    </row>
    <row r="31" spans="1:30" s="1" customFormat="1" x14ac:dyDescent="0.25">
      <c r="A31" s="162">
        <v>42748</v>
      </c>
      <c r="B31" s="63"/>
      <c r="C31" s="62" t="s">
        <v>63</v>
      </c>
      <c r="D31" s="16">
        <v>500</v>
      </c>
      <c r="E31" s="15">
        <v>15.09</v>
      </c>
      <c r="F31" s="16">
        <f t="shared" si="6"/>
        <v>3800</v>
      </c>
      <c r="G31" s="17">
        <f t="shared" si="2"/>
        <v>14.592684473684212</v>
      </c>
      <c r="H31" s="15">
        <f t="shared" si="7"/>
        <v>55452.201000000008</v>
      </c>
      <c r="I31" s="15">
        <f t="shared" si="3"/>
        <v>1889.7989999999918</v>
      </c>
      <c r="J31" s="33">
        <f t="shared" si="4"/>
        <v>3.407978341563022E-2</v>
      </c>
      <c r="K31" s="15">
        <f t="shared" si="5"/>
        <v>57342</v>
      </c>
      <c r="L31" s="15">
        <f t="shared" si="0"/>
        <v>-2678</v>
      </c>
      <c r="M31" s="15"/>
      <c r="N31" s="15"/>
      <c r="O31" s="15"/>
      <c r="P31" s="17"/>
      <c r="Q31" s="31">
        <f t="shared" si="1"/>
        <v>-7550</v>
      </c>
      <c r="R31" s="34">
        <f t="shared" si="8"/>
        <v>5</v>
      </c>
      <c r="S31" s="15"/>
      <c r="T31" s="34"/>
      <c r="U31" s="34"/>
      <c r="V31" s="31"/>
      <c r="W31" s="32"/>
      <c r="X31" s="32"/>
      <c r="Y31" s="32"/>
      <c r="Z31" s="38"/>
      <c r="AA31" s="31"/>
      <c r="AB31" s="43"/>
      <c r="AC31" s="40"/>
      <c r="AD31" s="40"/>
    </row>
    <row r="32" spans="1:30" s="1" customFormat="1" x14ac:dyDescent="0.25">
      <c r="A32" s="162">
        <v>42748</v>
      </c>
      <c r="B32" s="63"/>
      <c r="C32" s="62" t="s">
        <v>63</v>
      </c>
      <c r="D32" s="16">
        <v>500</v>
      </c>
      <c r="E32" s="15">
        <v>14.73</v>
      </c>
      <c r="F32" s="16">
        <f t="shared" si="6"/>
        <v>4300</v>
      </c>
      <c r="G32" s="17">
        <f t="shared" si="2"/>
        <v>14.609814186046513</v>
      </c>
      <c r="H32" s="15">
        <f t="shared" si="7"/>
        <v>62822.201000000008</v>
      </c>
      <c r="I32" s="15">
        <f t="shared" si="3"/>
        <v>516.79899999999179</v>
      </c>
      <c r="J32" s="33">
        <f t="shared" si="4"/>
        <v>8.2263752586445391E-3</v>
      </c>
      <c r="K32" s="15">
        <f t="shared" si="5"/>
        <v>63339</v>
      </c>
      <c r="L32" s="15">
        <f t="shared" si="0"/>
        <v>-1373</v>
      </c>
      <c r="M32" s="15"/>
      <c r="N32" s="15"/>
      <c r="O32" s="15"/>
      <c r="P32" s="17"/>
      <c r="Q32" s="31">
        <f t="shared" si="1"/>
        <v>-7370</v>
      </c>
      <c r="R32" s="34">
        <f t="shared" si="8"/>
        <v>5</v>
      </c>
      <c r="S32" s="15"/>
      <c r="T32" s="34"/>
      <c r="U32" s="34"/>
      <c r="V32" s="31"/>
      <c r="W32" s="32"/>
      <c r="X32" s="32"/>
      <c r="Y32" s="32"/>
      <c r="Z32" s="38"/>
      <c r="AA32" s="31"/>
      <c r="AB32" s="43"/>
      <c r="AC32" s="40"/>
      <c r="AD32" s="40"/>
    </row>
    <row r="33" spans="1:30" s="1" customFormat="1" x14ac:dyDescent="0.25">
      <c r="A33" s="162">
        <v>42748</v>
      </c>
      <c r="B33" s="63" t="s">
        <v>512</v>
      </c>
      <c r="C33" s="62" t="s">
        <v>69</v>
      </c>
      <c r="D33" s="16">
        <v>400</v>
      </c>
      <c r="E33" s="15">
        <v>14.99</v>
      </c>
      <c r="F33" s="16">
        <f t="shared" si="6"/>
        <v>3900</v>
      </c>
      <c r="G33" s="17">
        <f t="shared" si="2"/>
        <v>14.573640256410258</v>
      </c>
      <c r="H33" s="15">
        <f t="shared" si="7"/>
        <v>56837.197000000007</v>
      </c>
      <c r="I33" s="15">
        <f t="shared" si="3"/>
        <v>1623.8029999999926</v>
      </c>
      <c r="J33" s="33">
        <f t="shared" si="4"/>
        <v>2.856937156841137E-2</v>
      </c>
      <c r="K33" s="15">
        <f t="shared" si="5"/>
        <v>58461</v>
      </c>
      <c r="L33" s="15">
        <f t="shared" si="0"/>
        <v>1107.0040000000008</v>
      </c>
      <c r="M33" s="15"/>
      <c r="N33" s="15"/>
      <c r="O33" s="15"/>
      <c r="P33" s="17"/>
      <c r="Q33" s="31">
        <f t="shared" si="1"/>
        <v>5985.0040000000008</v>
      </c>
      <c r="R33" s="34">
        <f t="shared" si="8"/>
        <v>10.996</v>
      </c>
      <c r="S33" s="15"/>
      <c r="T33" s="34"/>
      <c r="U33" s="34"/>
      <c r="V33" s="31"/>
      <c r="W33" s="32"/>
      <c r="X33" s="32"/>
      <c r="Y33" s="32"/>
      <c r="Z33" s="38"/>
      <c r="AA33" s="31"/>
      <c r="AB33" s="43"/>
      <c r="AC33" s="40"/>
      <c r="AD33" s="40"/>
    </row>
    <row r="34" spans="1:30" s="1" customFormat="1" x14ac:dyDescent="0.25">
      <c r="A34" s="162">
        <v>42748</v>
      </c>
      <c r="B34" s="63" t="s">
        <v>513</v>
      </c>
      <c r="C34" s="62" t="s">
        <v>69</v>
      </c>
      <c r="D34" s="16">
        <v>400</v>
      </c>
      <c r="E34" s="15">
        <v>15.07</v>
      </c>
      <c r="F34" s="16">
        <f t="shared" si="6"/>
        <v>3500</v>
      </c>
      <c r="G34" s="17">
        <f t="shared" si="2"/>
        <v>14.520064285714287</v>
      </c>
      <c r="H34" s="15">
        <f t="shared" si="7"/>
        <v>50820.225000000006</v>
      </c>
      <c r="I34" s="15">
        <f t="shared" si="3"/>
        <v>1924.7749999999942</v>
      </c>
      <c r="J34" s="33">
        <f t="shared" si="4"/>
        <v>3.7874192804144308E-2</v>
      </c>
      <c r="K34" s="15">
        <f t="shared" si="5"/>
        <v>52745</v>
      </c>
      <c r="L34" s="15">
        <f t="shared" si="0"/>
        <v>300.97200000000157</v>
      </c>
      <c r="M34" s="15"/>
      <c r="N34" s="15"/>
      <c r="O34" s="15"/>
      <c r="P34" s="17"/>
      <c r="Q34" s="31">
        <f t="shared" si="1"/>
        <v>6016.9720000000016</v>
      </c>
      <c r="R34" s="34">
        <f t="shared" si="8"/>
        <v>11.028</v>
      </c>
      <c r="S34" s="15"/>
      <c r="T34" s="34"/>
      <c r="U34" s="34"/>
      <c r="V34" s="31"/>
      <c r="W34" s="32"/>
      <c r="X34" s="32"/>
      <c r="Y34" s="32"/>
      <c r="Z34" s="38"/>
      <c r="AA34" s="31"/>
      <c r="AB34" s="43"/>
      <c r="AC34" s="40"/>
      <c r="AD34" s="40"/>
    </row>
    <row r="35" spans="1:30" s="1" customFormat="1" x14ac:dyDescent="0.25">
      <c r="A35" s="162">
        <v>42751</v>
      </c>
      <c r="B35" s="63"/>
      <c r="C35" s="62" t="s">
        <v>63</v>
      </c>
      <c r="D35" s="16">
        <v>500</v>
      </c>
      <c r="E35" s="15">
        <v>14.5</v>
      </c>
      <c r="F35" s="16">
        <f t="shared" si="6"/>
        <v>4000</v>
      </c>
      <c r="G35" s="17">
        <f t="shared" si="2"/>
        <v>14.518806250000001</v>
      </c>
      <c r="H35" s="15">
        <f t="shared" si="7"/>
        <v>58075.225000000006</v>
      </c>
      <c r="I35" s="15">
        <f t="shared" si="3"/>
        <v>-75.225000000005821</v>
      </c>
      <c r="J35" s="33">
        <f t="shared" si="4"/>
        <v>-1.2953027732566375E-3</v>
      </c>
      <c r="K35" s="15">
        <f t="shared" si="5"/>
        <v>58000</v>
      </c>
      <c r="L35" s="15">
        <f t="shared" si="0"/>
        <v>-2000</v>
      </c>
      <c r="M35" s="15"/>
      <c r="N35" s="15"/>
      <c r="O35" s="15"/>
      <c r="P35" s="17"/>
      <c r="Q35" s="31">
        <f t="shared" si="1"/>
        <v>-7255</v>
      </c>
      <c r="R35" s="34">
        <f t="shared" si="8"/>
        <v>5</v>
      </c>
      <c r="S35" s="15"/>
      <c r="T35" s="34"/>
      <c r="U35" s="34"/>
      <c r="V35" s="31"/>
      <c r="W35" s="32"/>
      <c r="X35" s="32"/>
      <c r="Y35" s="32"/>
      <c r="Z35" s="38"/>
      <c r="AA35" s="31"/>
      <c r="AB35" s="43"/>
      <c r="AC35" s="40"/>
      <c r="AD35" s="40"/>
    </row>
    <row r="36" spans="1:30" s="1" customFormat="1" x14ac:dyDescent="0.25">
      <c r="A36" s="162">
        <v>42751</v>
      </c>
      <c r="B36" s="63"/>
      <c r="C36" s="62" t="s">
        <v>63</v>
      </c>
      <c r="D36" s="16">
        <v>500</v>
      </c>
      <c r="E36" s="15">
        <v>13.93</v>
      </c>
      <c r="F36" s="16">
        <f t="shared" si="6"/>
        <v>4500</v>
      </c>
      <c r="G36" s="17">
        <f t="shared" si="2"/>
        <v>14.454494444444446</v>
      </c>
      <c r="H36" s="15">
        <f t="shared" si="7"/>
        <v>65045.225000000006</v>
      </c>
      <c r="I36" s="15">
        <f t="shared" si="3"/>
        <v>-2360.2250000000058</v>
      </c>
      <c r="J36" s="33">
        <f t="shared" si="4"/>
        <v>-3.6285907228393914E-2</v>
      </c>
      <c r="K36" s="15">
        <f t="shared" si="5"/>
        <v>62685</v>
      </c>
      <c r="L36" s="15">
        <f t="shared" si="0"/>
        <v>-2285</v>
      </c>
      <c r="M36" s="15"/>
      <c r="N36" s="15"/>
      <c r="O36" s="15"/>
      <c r="P36" s="17"/>
      <c r="Q36" s="31">
        <f t="shared" si="1"/>
        <v>-6970</v>
      </c>
      <c r="R36" s="34">
        <f t="shared" si="8"/>
        <v>5</v>
      </c>
      <c r="S36" s="15"/>
      <c r="T36" s="34"/>
      <c r="U36" s="34"/>
      <c r="V36" s="31"/>
      <c r="W36" s="32"/>
      <c r="X36" s="32"/>
      <c r="Y36" s="32"/>
      <c r="Z36" s="38"/>
      <c r="AA36" s="31"/>
      <c r="AB36" s="43"/>
      <c r="AC36" s="40"/>
      <c r="AD36" s="40"/>
    </row>
    <row r="37" spans="1:30" s="1" customFormat="1" x14ac:dyDescent="0.25">
      <c r="A37" s="162">
        <v>42751</v>
      </c>
      <c r="B37" s="63"/>
      <c r="C37" s="62" t="s">
        <v>63</v>
      </c>
      <c r="D37" s="16">
        <v>500</v>
      </c>
      <c r="E37" s="15">
        <v>13.62</v>
      </c>
      <c r="F37" s="16">
        <f t="shared" si="6"/>
        <v>5000</v>
      </c>
      <c r="G37" s="17">
        <f t="shared" si="2"/>
        <v>14.372045000000002</v>
      </c>
      <c r="H37" s="15">
        <f t="shared" si="7"/>
        <v>71860.225000000006</v>
      </c>
      <c r="I37" s="15">
        <f t="shared" si="3"/>
        <v>-3760.2250000000058</v>
      </c>
      <c r="J37" s="33">
        <f t="shared" si="4"/>
        <v>-5.2326930509889333E-2</v>
      </c>
      <c r="K37" s="15">
        <f t="shared" si="5"/>
        <v>68100</v>
      </c>
      <c r="L37" s="15">
        <f t="shared" si="0"/>
        <v>-1400</v>
      </c>
      <c r="M37" s="15"/>
      <c r="N37" s="15"/>
      <c r="O37" s="15"/>
      <c r="P37" s="17"/>
      <c r="Q37" s="31">
        <f t="shared" si="1"/>
        <v>-6815</v>
      </c>
      <c r="R37" s="34">
        <f t="shared" si="8"/>
        <v>5</v>
      </c>
      <c r="S37" s="15"/>
      <c r="T37" s="34"/>
      <c r="U37" s="34"/>
      <c r="V37" s="31"/>
      <c r="W37" s="32"/>
      <c r="X37" s="32"/>
      <c r="Y37" s="32"/>
      <c r="Z37" s="38"/>
      <c r="AA37" s="31"/>
      <c r="AB37" s="43"/>
      <c r="AC37" s="40"/>
      <c r="AD37" s="40"/>
    </row>
    <row r="38" spans="1:30" s="1" customFormat="1" x14ac:dyDescent="0.25">
      <c r="A38" s="162">
        <v>42751</v>
      </c>
      <c r="B38" s="63"/>
      <c r="C38" s="62" t="s">
        <v>63</v>
      </c>
      <c r="D38" s="16">
        <v>500</v>
      </c>
      <c r="E38" s="15">
        <v>13.34</v>
      </c>
      <c r="F38" s="16">
        <f t="shared" si="6"/>
        <v>5500</v>
      </c>
      <c r="G38" s="17">
        <f t="shared" si="2"/>
        <v>14.279131818181819</v>
      </c>
      <c r="H38" s="15">
        <f t="shared" si="7"/>
        <v>78535.225000000006</v>
      </c>
      <c r="I38" s="15">
        <f t="shared" si="3"/>
        <v>-5165.2250000000058</v>
      </c>
      <c r="J38" s="33">
        <f t="shared" si="4"/>
        <v>-6.5769532079394996E-2</v>
      </c>
      <c r="K38" s="15">
        <f t="shared" si="5"/>
        <v>73370</v>
      </c>
      <c r="L38" s="15">
        <f t="shared" si="0"/>
        <v>-1405</v>
      </c>
      <c r="M38" s="15"/>
      <c r="N38" s="15"/>
      <c r="O38" s="15"/>
      <c r="P38" s="17"/>
      <c r="Q38" s="31">
        <f t="shared" si="1"/>
        <v>-6675</v>
      </c>
      <c r="R38" s="34">
        <f t="shared" si="8"/>
        <v>5</v>
      </c>
      <c r="S38" s="15"/>
      <c r="T38" s="34"/>
      <c r="U38" s="34"/>
      <c r="V38" s="31"/>
      <c r="W38" s="32"/>
      <c r="X38" s="32"/>
      <c r="Y38" s="32"/>
      <c r="Z38" s="38"/>
      <c r="AA38" s="31"/>
      <c r="AB38" s="43"/>
      <c r="AC38" s="40"/>
      <c r="AD38" s="40"/>
    </row>
    <row r="39" spans="1:30" s="1" customFormat="1" x14ac:dyDescent="0.25">
      <c r="A39" s="162">
        <v>42751</v>
      </c>
      <c r="B39" s="63" t="s">
        <v>514</v>
      </c>
      <c r="C39" s="62" t="s">
        <v>69</v>
      </c>
      <c r="D39" s="16">
        <v>400</v>
      </c>
      <c r="E39" s="15">
        <v>13.7</v>
      </c>
      <c r="F39" s="16">
        <f t="shared" si="6"/>
        <v>5100</v>
      </c>
      <c r="G39" s="17">
        <f t="shared" si="2"/>
        <v>14.326608823529412</v>
      </c>
      <c r="H39" s="15">
        <f t="shared" si="7"/>
        <v>73065.705000000002</v>
      </c>
      <c r="I39" s="15">
        <f t="shared" si="3"/>
        <v>-3195.7050000000017</v>
      </c>
      <c r="J39" s="33">
        <f t="shared" si="4"/>
        <v>-4.3737414153466457E-2</v>
      </c>
      <c r="K39" s="15">
        <f t="shared" si="5"/>
        <v>69870</v>
      </c>
      <c r="L39" s="15">
        <f t="shared" si="0"/>
        <v>1969.5200000000041</v>
      </c>
      <c r="M39" s="15"/>
      <c r="N39" s="15"/>
      <c r="O39" s="15"/>
      <c r="P39" s="17"/>
      <c r="Q39" s="31">
        <f t="shared" si="1"/>
        <v>5469.5200000000041</v>
      </c>
      <c r="R39" s="34">
        <f t="shared" si="8"/>
        <v>10.48</v>
      </c>
      <c r="S39" s="15"/>
      <c r="T39" s="34"/>
      <c r="U39" s="34"/>
      <c r="V39" s="31"/>
      <c r="W39" s="32"/>
      <c r="X39" s="32"/>
      <c r="Y39" s="32"/>
      <c r="Z39" s="38"/>
      <c r="AA39" s="31"/>
      <c r="AB39" s="43"/>
      <c r="AC39" s="40"/>
      <c r="AD39" s="40"/>
    </row>
    <row r="40" spans="1:30" s="1" customFormat="1" x14ac:dyDescent="0.25">
      <c r="A40" s="162">
        <v>42752</v>
      </c>
      <c r="B40" s="63" t="s">
        <v>515</v>
      </c>
      <c r="C40" s="62" t="s">
        <v>69</v>
      </c>
      <c r="D40" s="16">
        <v>400</v>
      </c>
      <c r="E40" s="15">
        <v>14.1</v>
      </c>
      <c r="F40" s="16">
        <f t="shared" si="6"/>
        <v>4700</v>
      </c>
      <c r="G40" s="17">
        <f t="shared" si="2"/>
        <v>14.348158510638298</v>
      </c>
      <c r="H40" s="15">
        <f t="shared" si="7"/>
        <v>67436.345000000001</v>
      </c>
      <c r="I40" s="15">
        <f t="shared" si="3"/>
        <v>-1166.3450000000012</v>
      </c>
      <c r="J40" s="33">
        <f t="shared" si="4"/>
        <v>-1.729549547799485E-2</v>
      </c>
      <c r="K40" s="15">
        <f t="shared" si="5"/>
        <v>66270</v>
      </c>
      <c r="L40" s="15">
        <f t="shared" si="0"/>
        <v>2029.3600000000006</v>
      </c>
      <c r="M40" s="15"/>
      <c r="N40" s="15"/>
      <c r="O40" s="15"/>
      <c r="P40" s="17"/>
      <c r="Q40" s="31">
        <f t="shared" si="1"/>
        <v>5629.3600000000006</v>
      </c>
      <c r="R40" s="34">
        <f t="shared" si="8"/>
        <v>10.64</v>
      </c>
      <c r="S40" s="15"/>
      <c r="T40" s="34"/>
      <c r="U40" s="34"/>
      <c r="V40" s="31"/>
      <c r="W40" s="32"/>
      <c r="X40" s="32"/>
      <c r="Y40" s="32"/>
      <c r="Z40" s="38"/>
      <c r="AA40" s="31"/>
      <c r="AB40" s="43"/>
      <c r="AC40" s="40"/>
      <c r="AD40" s="40"/>
    </row>
    <row r="41" spans="1:30" s="1" customFormat="1" x14ac:dyDescent="0.25">
      <c r="A41" s="162">
        <v>42752</v>
      </c>
      <c r="B41" s="63"/>
      <c r="C41" s="62" t="s">
        <v>63</v>
      </c>
      <c r="D41" s="16">
        <v>500</v>
      </c>
      <c r="E41" s="15">
        <v>13.61</v>
      </c>
      <c r="F41" s="16">
        <f t="shared" si="6"/>
        <v>5200</v>
      </c>
      <c r="G41" s="17">
        <f t="shared" si="2"/>
        <v>14.278143269230769</v>
      </c>
      <c r="H41" s="15">
        <f t="shared" si="7"/>
        <v>74246.345000000001</v>
      </c>
      <c r="I41" s="15">
        <f t="shared" si="3"/>
        <v>-3474.3450000000012</v>
      </c>
      <c r="J41" s="33">
        <f t="shared" si="4"/>
        <v>-4.6794828755543499E-2</v>
      </c>
      <c r="K41" s="15">
        <f t="shared" si="5"/>
        <v>70772</v>
      </c>
      <c r="L41" s="15">
        <f t="shared" si="0"/>
        <v>-2308</v>
      </c>
      <c r="M41" s="15"/>
      <c r="N41" s="15"/>
      <c r="O41" s="15"/>
      <c r="P41" s="17"/>
      <c r="Q41" s="31">
        <f t="shared" si="1"/>
        <v>-6810</v>
      </c>
      <c r="R41" s="34">
        <f t="shared" si="8"/>
        <v>5</v>
      </c>
      <c r="S41" s="15"/>
      <c r="T41" s="34"/>
      <c r="U41" s="34"/>
      <c r="V41" s="31"/>
      <c r="W41" s="32"/>
      <c r="X41" s="32"/>
      <c r="Y41" s="32"/>
      <c r="Z41" s="38"/>
      <c r="AA41" s="31"/>
      <c r="AB41" s="43"/>
      <c r="AC41" s="40"/>
      <c r="AD41" s="40"/>
    </row>
    <row r="42" spans="1:30" s="1" customFormat="1" x14ac:dyDescent="0.25">
      <c r="A42" s="162">
        <v>42752</v>
      </c>
      <c r="B42" s="63" t="s">
        <v>516</v>
      </c>
      <c r="C42" s="62" t="s">
        <v>69</v>
      </c>
      <c r="D42" s="16">
        <v>400</v>
      </c>
      <c r="E42" s="15">
        <v>13.93</v>
      </c>
      <c r="F42" s="16">
        <f t="shared" si="6"/>
        <v>4800</v>
      </c>
      <c r="G42" s="17">
        <f t="shared" si="2"/>
        <v>14.309357708333334</v>
      </c>
      <c r="H42" s="15">
        <f t="shared" si="7"/>
        <v>68684.917000000001</v>
      </c>
      <c r="I42" s="15">
        <f t="shared" si="3"/>
        <v>-1820.9170000000013</v>
      </c>
      <c r="J42" s="33">
        <f t="shared" si="4"/>
        <v>-2.6511162559896561E-2</v>
      </c>
      <c r="K42" s="15">
        <f t="shared" si="5"/>
        <v>66864</v>
      </c>
      <c r="L42" s="15">
        <f t="shared" si="0"/>
        <v>1653.4279999999999</v>
      </c>
      <c r="M42" s="15"/>
      <c r="N42" s="15"/>
      <c r="O42" s="15"/>
      <c r="P42" s="17"/>
      <c r="Q42" s="31">
        <f t="shared" si="1"/>
        <v>5561.4279999999999</v>
      </c>
      <c r="R42" s="34">
        <f t="shared" si="8"/>
        <v>10.571999999999999</v>
      </c>
      <c r="S42" s="15"/>
      <c r="T42" s="34"/>
      <c r="U42" s="34"/>
      <c r="V42" s="31"/>
      <c r="W42" s="32"/>
      <c r="X42" s="32"/>
      <c r="Y42" s="32"/>
      <c r="Z42" s="38"/>
      <c r="AA42" s="31"/>
      <c r="AB42" s="44"/>
      <c r="AC42" s="40"/>
      <c r="AD42" s="40"/>
    </row>
    <row r="43" spans="1:30" s="1" customFormat="1" x14ac:dyDescent="0.25">
      <c r="A43" s="162">
        <v>42753</v>
      </c>
      <c r="B43" s="63" t="s">
        <v>517</v>
      </c>
      <c r="C43" s="62" t="s">
        <v>69</v>
      </c>
      <c r="D43" s="16">
        <v>400</v>
      </c>
      <c r="E43" s="15">
        <v>14.46</v>
      </c>
      <c r="F43" s="16">
        <f t="shared" si="6"/>
        <v>4400</v>
      </c>
      <c r="G43" s="17">
        <f t="shared" si="2"/>
        <v>14.298113863636363</v>
      </c>
      <c r="H43" s="15">
        <f t="shared" si="7"/>
        <v>62911.701000000001</v>
      </c>
      <c r="I43" s="15">
        <f t="shared" si="3"/>
        <v>712.29900000000634</v>
      </c>
      <c r="J43" s="33">
        <f t="shared" si="4"/>
        <v>1.1322202208457309E-2</v>
      </c>
      <c r="K43" s="15">
        <f t="shared" si="5"/>
        <v>63624.000000000007</v>
      </c>
      <c r="L43" s="15">
        <f t="shared" si="0"/>
        <v>2533.2160000000076</v>
      </c>
      <c r="M43" s="15"/>
      <c r="N43" s="15"/>
      <c r="O43" s="15"/>
      <c r="P43" s="17"/>
      <c r="Q43" s="31">
        <f t="shared" si="1"/>
        <v>5773.2160000000003</v>
      </c>
      <c r="R43" s="34">
        <f t="shared" si="8"/>
        <v>10.784000000000001</v>
      </c>
      <c r="S43" s="15"/>
      <c r="T43" s="273"/>
      <c r="U43" s="273"/>
      <c r="V43" s="22"/>
      <c r="W43" s="272"/>
      <c r="X43" s="272"/>
      <c r="Y43" s="272"/>
      <c r="Z43" s="274"/>
      <c r="AA43" s="22"/>
      <c r="AB43" s="275"/>
      <c r="AC43" s="40"/>
      <c r="AD43" s="40"/>
    </row>
    <row r="44" spans="1:30" s="1" customFormat="1" x14ac:dyDescent="0.25">
      <c r="A44" s="162">
        <v>42754</v>
      </c>
      <c r="B44" s="63"/>
      <c r="C44" s="62" t="s">
        <v>63</v>
      </c>
      <c r="D44" s="16">
        <v>500</v>
      </c>
      <c r="E44" s="15">
        <v>13.96</v>
      </c>
      <c r="F44" s="16">
        <f t="shared" si="6"/>
        <v>4900</v>
      </c>
      <c r="G44" s="17">
        <f t="shared" si="2"/>
        <v>14.264632857142857</v>
      </c>
      <c r="H44" s="15">
        <f t="shared" si="7"/>
        <v>69896.701000000001</v>
      </c>
      <c r="I44" s="15">
        <f t="shared" si="3"/>
        <v>-1492.7010000000009</v>
      </c>
      <c r="J44" s="33">
        <f t="shared" si="4"/>
        <v>-2.1355814775864665E-2</v>
      </c>
      <c r="K44" s="15">
        <f t="shared" si="5"/>
        <v>68404</v>
      </c>
      <c r="L44" s="15">
        <f t="shared" si="0"/>
        <v>-2205.0000000000073</v>
      </c>
      <c r="M44" s="15"/>
      <c r="N44" s="15"/>
      <c r="O44" s="15"/>
      <c r="P44" s="17"/>
      <c r="Q44" s="31">
        <f t="shared" si="1"/>
        <v>-6985</v>
      </c>
      <c r="R44" s="34">
        <f t="shared" si="8"/>
        <v>5</v>
      </c>
      <c r="S44" s="15"/>
      <c r="T44" s="273"/>
      <c r="U44" s="273"/>
      <c r="V44" s="22"/>
      <c r="W44" s="272"/>
      <c r="X44" s="272"/>
      <c r="Y44" s="272"/>
      <c r="Z44" s="274"/>
      <c r="AA44" s="22"/>
      <c r="AB44" s="275"/>
      <c r="AC44" s="40"/>
      <c r="AD44" s="40"/>
    </row>
    <row r="45" spans="1:30" s="1" customFormat="1" x14ac:dyDescent="0.25">
      <c r="A45" s="162">
        <v>42754</v>
      </c>
      <c r="B45" s="63"/>
      <c r="C45" s="62" t="s">
        <v>63</v>
      </c>
      <c r="D45" s="16">
        <v>500</v>
      </c>
      <c r="E45" s="15">
        <v>13.81</v>
      </c>
      <c r="F45" s="16">
        <f t="shared" si="6"/>
        <v>5400</v>
      </c>
      <c r="G45" s="17">
        <f t="shared" si="2"/>
        <v>14.223463148148149</v>
      </c>
      <c r="H45" s="15">
        <f t="shared" si="7"/>
        <v>76806.701000000001</v>
      </c>
      <c r="I45" s="15">
        <f t="shared" si="3"/>
        <v>-2232.7010000000009</v>
      </c>
      <c r="J45" s="33">
        <f t="shared" si="4"/>
        <v>-2.9069091250254319E-2</v>
      </c>
      <c r="K45" s="15">
        <f t="shared" si="5"/>
        <v>74574</v>
      </c>
      <c r="L45" s="15">
        <f t="shared" si="0"/>
        <v>-740</v>
      </c>
      <c r="M45" s="15"/>
      <c r="N45" s="15"/>
      <c r="O45" s="15"/>
      <c r="P45" s="17"/>
      <c r="Q45" s="31">
        <f t="shared" si="1"/>
        <v>-6910</v>
      </c>
      <c r="R45" s="34">
        <f t="shared" si="8"/>
        <v>5</v>
      </c>
      <c r="S45" s="15"/>
      <c r="T45" s="273"/>
      <c r="U45" s="273"/>
      <c r="V45" s="22"/>
      <c r="W45" s="272"/>
      <c r="X45" s="272"/>
      <c r="Y45" s="272"/>
      <c r="Z45" s="274"/>
      <c r="AA45" s="22"/>
      <c r="AB45" s="275"/>
      <c r="AC45" s="40"/>
      <c r="AD45" s="40"/>
    </row>
    <row r="46" spans="1:30" s="1" customFormat="1" x14ac:dyDescent="0.25">
      <c r="A46" s="162">
        <v>42758</v>
      </c>
      <c r="B46" s="63" t="s">
        <v>518</v>
      </c>
      <c r="C46" s="62" t="s">
        <v>69</v>
      </c>
      <c r="D46" s="16">
        <v>400</v>
      </c>
      <c r="E46" s="15">
        <v>14.1</v>
      </c>
      <c r="F46" s="16">
        <f t="shared" si="6"/>
        <v>5000</v>
      </c>
      <c r="G46" s="17">
        <f t="shared" si="2"/>
        <v>14.2354682</v>
      </c>
      <c r="H46" s="15">
        <f t="shared" si="7"/>
        <v>71177.341</v>
      </c>
      <c r="I46" s="15">
        <f t="shared" si="3"/>
        <v>-677.34100000000035</v>
      </c>
      <c r="J46" s="33">
        <f t="shared" si="4"/>
        <v>-9.516244783575158E-3</v>
      </c>
      <c r="K46" s="15">
        <f t="shared" si="5"/>
        <v>70500</v>
      </c>
      <c r="L46" s="15">
        <f t="shared" si="0"/>
        <v>1555.3600000000006</v>
      </c>
      <c r="M46" s="15"/>
      <c r="N46" s="15"/>
      <c r="O46" s="15"/>
      <c r="P46" s="17"/>
      <c r="Q46" s="31">
        <f t="shared" si="1"/>
        <v>5629.3600000000006</v>
      </c>
      <c r="R46" s="34">
        <f t="shared" si="8"/>
        <v>10.64</v>
      </c>
      <c r="S46" s="15"/>
      <c r="T46" s="273"/>
      <c r="U46" s="273"/>
      <c r="V46" s="22"/>
      <c r="W46" s="272"/>
      <c r="X46" s="272"/>
      <c r="Y46" s="272"/>
      <c r="Z46" s="274"/>
      <c r="AA46" s="22"/>
      <c r="AB46" s="275"/>
      <c r="AC46" s="40"/>
      <c r="AD46" s="40"/>
    </row>
    <row r="47" spans="1:30" s="1" customFormat="1" x14ac:dyDescent="0.25">
      <c r="A47" s="162">
        <v>42769</v>
      </c>
      <c r="B47" s="63"/>
      <c r="C47" s="62" t="s">
        <v>63</v>
      </c>
      <c r="D47" s="16">
        <v>500</v>
      </c>
      <c r="E47" s="15">
        <v>13.68</v>
      </c>
      <c r="F47" s="16">
        <f t="shared" si="6"/>
        <v>5500</v>
      </c>
      <c r="G47" s="17">
        <f t="shared" si="2"/>
        <v>14.185880181818181</v>
      </c>
      <c r="H47" s="15">
        <f t="shared" si="7"/>
        <v>78022.341</v>
      </c>
      <c r="I47" s="15">
        <f t="shared" si="3"/>
        <v>-2782.3410000000003</v>
      </c>
      <c r="J47" s="33">
        <f t="shared" si="4"/>
        <v>-3.5660824378494327E-2</v>
      </c>
      <c r="K47" s="15">
        <f t="shared" si="5"/>
        <v>75240</v>
      </c>
      <c r="L47" s="15">
        <f t="shared" si="0"/>
        <v>-2105</v>
      </c>
      <c r="M47" s="15"/>
      <c r="N47" s="15"/>
      <c r="O47" s="15"/>
      <c r="P47" s="17"/>
      <c r="Q47" s="31">
        <f t="shared" si="1"/>
        <v>-6845</v>
      </c>
      <c r="R47" s="34">
        <f t="shared" si="8"/>
        <v>5</v>
      </c>
      <c r="S47" s="15"/>
      <c r="T47" s="273"/>
      <c r="U47" s="273"/>
      <c r="V47" s="22"/>
      <c r="W47" s="272"/>
      <c r="X47" s="272"/>
      <c r="Y47" s="272"/>
      <c r="Z47" s="274"/>
      <c r="AA47" s="22"/>
      <c r="AB47" s="275"/>
      <c r="AC47" s="40"/>
      <c r="AD47" s="40"/>
    </row>
    <row r="48" spans="1:30" s="1" customFormat="1" x14ac:dyDescent="0.25">
      <c r="A48" s="162">
        <v>42773</v>
      </c>
      <c r="B48" s="63" t="s">
        <v>519</v>
      </c>
      <c r="C48" s="62" t="s">
        <v>69</v>
      </c>
      <c r="D48" s="16">
        <v>400</v>
      </c>
      <c r="E48" s="15">
        <v>14.12</v>
      </c>
      <c r="F48" s="16">
        <f t="shared" si="6"/>
        <v>5100</v>
      </c>
      <c r="G48" s="17">
        <f t="shared" si="2"/>
        <v>14.193135098039216</v>
      </c>
      <c r="H48" s="15">
        <f t="shared" si="7"/>
        <v>72384.989000000001</v>
      </c>
      <c r="I48" s="15">
        <f t="shared" si="3"/>
        <v>-372.9890000000014</v>
      </c>
      <c r="J48" s="33">
        <f t="shared" si="4"/>
        <v>-5.1528501302943348E-3</v>
      </c>
      <c r="K48" s="15">
        <f t="shared" si="5"/>
        <v>72012</v>
      </c>
      <c r="L48" s="15">
        <f t="shared" si="0"/>
        <v>2409.351999999999</v>
      </c>
      <c r="M48" s="15"/>
      <c r="N48" s="15"/>
      <c r="O48" s="15"/>
      <c r="P48" s="17"/>
      <c r="Q48" s="31">
        <f t="shared" si="1"/>
        <v>5637.351999999999</v>
      </c>
      <c r="R48" s="34">
        <f t="shared" si="8"/>
        <v>10.648</v>
      </c>
      <c r="S48" s="15"/>
      <c r="T48" s="273"/>
      <c r="U48" s="273"/>
      <c r="V48" s="22"/>
      <c r="W48" s="272"/>
      <c r="X48" s="272"/>
      <c r="Y48" s="272"/>
      <c r="Z48" s="274"/>
      <c r="AA48" s="22"/>
      <c r="AB48" s="275"/>
      <c r="AC48" s="40"/>
      <c r="AD48" s="40"/>
    </row>
    <row r="49" spans="1:30" s="1" customFormat="1" x14ac:dyDescent="0.25">
      <c r="A49" s="162">
        <v>42773</v>
      </c>
      <c r="B49" s="63" t="s">
        <v>397</v>
      </c>
      <c r="C49" s="62" t="s">
        <v>69</v>
      </c>
      <c r="D49" s="16">
        <v>500</v>
      </c>
      <c r="E49" s="15">
        <v>14.49</v>
      </c>
      <c r="F49" s="16">
        <f t="shared" si="6"/>
        <v>4600</v>
      </c>
      <c r="G49" s="17">
        <f t="shared" si="2"/>
        <v>14.163529130434783</v>
      </c>
      <c r="H49" s="15">
        <f t="shared" si="7"/>
        <v>65152.234000000004</v>
      </c>
      <c r="I49" s="15">
        <f t="shared" si="3"/>
        <v>1501.765999999996</v>
      </c>
      <c r="J49" s="33">
        <f t="shared" si="4"/>
        <v>2.3050107537371581E-2</v>
      </c>
      <c r="K49" s="15">
        <f t="shared" si="5"/>
        <v>66654</v>
      </c>
      <c r="L49" s="15">
        <f t="shared" si="0"/>
        <v>1874.7549999999974</v>
      </c>
      <c r="M49" s="15"/>
      <c r="N49" s="15"/>
      <c r="O49" s="15"/>
      <c r="P49" s="17"/>
      <c r="Q49" s="31">
        <f t="shared" si="1"/>
        <v>7232.7549999999974</v>
      </c>
      <c r="R49" s="34">
        <f t="shared" si="8"/>
        <v>12.245000000000001</v>
      </c>
      <c r="S49" s="15"/>
      <c r="T49" s="273"/>
      <c r="U49" s="273"/>
      <c r="V49" s="22"/>
      <c r="W49" s="272"/>
      <c r="X49" s="272"/>
      <c r="Y49" s="272"/>
      <c r="Z49" s="274"/>
      <c r="AA49" s="22"/>
      <c r="AB49" s="275"/>
      <c r="AC49" s="40"/>
      <c r="AD49" s="40"/>
    </row>
    <row r="50" spans="1:30" s="1" customFormat="1" x14ac:dyDescent="0.25">
      <c r="A50" s="162">
        <v>42776</v>
      </c>
      <c r="B50" s="63"/>
      <c r="C50" s="62" t="s">
        <v>69</v>
      </c>
      <c r="D50" s="16">
        <v>400</v>
      </c>
      <c r="E50" s="15">
        <v>14.62</v>
      </c>
      <c r="F50" s="16">
        <f t="shared" si="6"/>
        <v>4200</v>
      </c>
      <c r="G50" s="17">
        <f t="shared" si="2"/>
        <v>14.122638571428572</v>
      </c>
      <c r="H50" s="15">
        <f t="shared" si="7"/>
        <v>59315.082000000002</v>
      </c>
      <c r="I50" s="15">
        <f t="shared" si="3"/>
        <v>2088.9179999999978</v>
      </c>
      <c r="J50" s="33">
        <f t="shared" si="4"/>
        <v>3.5217316229959744E-2</v>
      </c>
      <c r="K50" s="15">
        <f t="shared" si="5"/>
        <v>61404</v>
      </c>
      <c r="L50" s="15">
        <f t="shared" si="0"/>
        <v>587.15200000000186</v>
      </c>
      <c r="M50" s="15"/>
      <c r="N50" s="15"/>
      <c r="O50" s="15"/>
      <c r="P50" s="17"/>
      <c r="Q50" s="31">
        <f t="shared" si="1"/>
        <v>5837.1520000000019</v>
      </c>
      <c r="R50" s="34">
        <f t="shared" si="8"/>
        <v>10.847999999999999</v>
      </c>
      <c r="S50" s="15"/>
      <c r="T50" s="273"/>
      <c r="U50" s="273"/>
      <c r="V50" s="22"/>
      <c r="W50" s="272"/>
      <c r="X50" s="272"/>
      <c r="Y50" s="272"/>
      <c r="Z50" s="274"/>
      <c r="AA50" s="22"/>
      <c r="AB50" s="275"/>
      <c r="AC50" s="40"/>
      <c r="AD50" s="40"/>
    </row>
    <row r="51" spans="1:30" s="1" customFormat="1" x14ac:dyDescent="0.25">
      <c r="A51" s="162">
        <v>42780</v>
      </c>
      <c r="B51" s="63"/>
      <c r="C51" s="62" t="s">
        <v>69</v>
      </c>
      <c r="D51" s="16">
        <v>400</v>
      </c>
      <c r="E51" s="15">
        <v>14.74</v>
      </c>
      <c r="F51" s="16">
        <f t="shared" si="6"/>
        <v>3800</v>
      </c>
      <c r="G51" s="17">
        <f t="shared" si="2"/>
        <v>14.06052052631579</v>
      </c>
      <c r="H51" s="15">
        <f t="shared" si="7"/>
        <v>53429.978000000003</v>
      </c>
      <c r="I51" s="15">
        <f t="shared" si="3"/>
        <v>2582.0219999999972</v>
      </c>
      <c r="J51" s="33">
        <f t="shared" si="4"/>
        <v>4.8325342750468674E-2</v>
      </c>
      <c r="K51" s="15">
        <f t="shared" si="5"/>
        <v>56012</v>
      </c>
      <c r="L51" s="15">
        <f t="shared" si="0"/>
        <v>493.10399999999936</v>
      </c>
      <c r="M51" s="15"/>
      <c r="N51" s="15"/>
      <c r="O51" s="15"/>
      <c r="P51" s="17"/>
      <c r="Q51" s="31">
        <f t="shared" si="1"/>
        <v>5885.1039999999994</v>
      </c>
      <c r="R51" s="34">
        <f t="shared" si="8"/>
        <v>10.896000000000001</v>
      </c>
      <c r="S51" s="15"/>
      <c r="T51" s="273"/>
      <c r="U51" s="273"/>
      <c r="V51" s="22"/>
      <c r="W51" s="272"/>
      <c r="X51" s="272"/>
      <c r="Y51" s="272"/>
      <c r="Z51" s="274"/>
      <c r="AA51" s="22"/>
      <c r="AB51" s="275"/>
      <c r="AC51" s="40"/>
      <c r="AD51" s="40"/>
    </row>
    <row r="52" spans="1:30" s="1" customFormat="1" x14ac:dyDescent="0.25">
      <c r="A52" s="162">
        <v>42781</v>
      </c>
      <c r="B52" s="63" t="s">
        <v>520</v>
      </c>
      <c r="C52" s="62" t="s">
        <v>63</v>
      </c>
      <c r="D52" s="16">
        <v>500</v>
      </c>
      <c r="E52" s="15">
        <v>14.34</v>
      </c>
      <c r="F52" s="16">
        <f t="shared" si="6"/>
        <v>4300</v>
      </c>
      <c r="G52" s="17">
        <f t="shared" si="2"/>
        <v>14.094180930232559</v>
      </c>
      <c r="H52" s="15">
        <f t="shared" si="7"/>
        <v>60604.978000000003</v>
      </c>
      <c r="I52" s="15">
        <f t="shared" si="3"/>
        <v>1057.0219999999972</v>
      </c>
      <c r="J52" s="33">
        <f t="shared" si="4"/>
        <v>1.7441174551700935E-2</v>
      </c>
      <c r="K52" s="15">
        <f t="shared" si="5"/>
        <v>61662</v>
      </c>
      <c r="L52" s="15">
        <f t="shared" si="0"/>
        <v>-1525</v>
      </c>
      <c r="M52" s="15"/>
      <c r="N52" s="15"/>
      <c r="O52" s="15"/>
      <c r="P52" s="17"/>
      <c r="Q52" s="31">
        <f t="shared" si="1"/>
        <v>-7175</v>
      </c>
      <c r="R52" s="34">
        <f t="shared" si="8"/>
        <v>5</v>
      </c>
      <c r="S52" s="15"/>
      <c r="T52" s="273"/>
      <c r="U52" s="273"/>
      <c r="V52" s="22"/>
      <c r="W52" s="272"/>
      <c r="X52" s="272"/>
      <c r="Y52" s="272"/>
      <c r="Z52" s="274"/>
      <c r="AA52" s="22"/>
      <c r="AB52" s="275"/>
      <c r="AC52" s="237"/>
      <c r="AD52" s="237"/>
    </row>
    <row r="53" spans="1:30" s="1" customFormat="1" x14ac:dyDescent="0.25">
      <c r="A53" s="162">
        <v>42782</v>
      </c>
      <c r="B53" s="63"/>
      <c r="C53" s="62" t="s">
        <v>69</v>
      </c>
      <c r="D53" s="16">
        <v>400</v>
      </c>
      <c r="E53" s="15">
        <v>14.63</v>
      </c>
      <c r="F53" s="16">
        <f t="shared" si="6"/>
        <v>3900</v>
      </c>
      <c r="G53" s="17">
        <f t="shared" si="2"/>
        <v>14.042007692307692</v>
      </c>
      <c r="H53" s="15">
        <f t="shared" si="7"/>
        <v>54763.83</v>
      </c>
      <c r="I53" s="15">
        <f t="shared" si="3"/>
        <v>2293.1699999999983</v>
      </c>
      <c r="J53" s="33">
        <f t="shared" si="4"/>
        <v>4.1873806123494367E-2</v>
      </c>
      <c r="K53" s="15">
        <f t="shared" si="5"/>
        <v>57057</v>
      </c>
      <c r="L53" s="15">
        <f t="shared" si="0"/>
        <v>1236.148000000001</v>
      </c>
      <c r="M53" s="15"/>
      <c r="N53" s="15"/>
      <c r="O53" s="15"/>
      <c r="P53" s="17"/>
      <c r="Q53" s="31">
        <f t="shared" si="1"/>
        <v>5841.148000000001</v>
      </c>
      <c r="R53" s="34">
        <f t="shared" si="8"/>
        <v>10.852</v>
      </c>
      <c r="S53" s="15"/>
      <c r="T53" s="273"/>
      <c r="U53" s="273"/>
      <c r="V53" s="22"/>
      <c r="W53" s="272"/>
      <c r="X53" s="272"/>
      <c r="Y53" s="272"/>
      <c r="Z53" s="274"/>
      <c r="AA53" s="22"/>
      <c r="AB53" s="275"/>
      <c r="AC53" s="40"/>
      <c r="AD53" s="40"/>
    </row>
    <row r="54" spans="1:30" s="1" customFormat="1" x14ac:dyDescent="0.25">
      <c r="A54" s="162">
        <v>42783</v>
      </c>
      <c r="B54" s="63"/>
      <c r="C54" s="62" t="s">
        <v>69</v>
      </c>
      <c r="D54" s="16">
        <v>400</v>
      </c>
      <c r="E54" s="15">
        <v>14.91</v>
      </c>
      <c r="F54" s="16">
        <f t="shared" si="6"/>
        <v>3500</v>
      </c>
      <c r="G54" s="17">
        <f t="shared" si="2"/>
        <v>13.945941142857142</v>
      </c>
      <c r="H54" s="15">
        <f t="shared" si="7"/>
        <v>48810.794000000002</v>
      </c>
      <c r="I54" s="15">
        <f t="shared" si="3"/>
        <v>3374.2059999999983</v>
      </c>
      <c r="J54" s="33">
        <f t="shared" si="4"/>
        <v>6.9128275192573224E-2</v>
      </c>
      <c r="K54" s="15">
        <f t="shared" si="5"/>
        <v>52185</v>
      </c>
      <c r="L54" s="15">
        <f t="shared" si="0"/>
        <v>1081.0360000000001</v>
      </c>
      <c r="M54" s="15"/>
      <c r="N54" s="15"/>
      <c r="O54" s="15"/>
      <c r="P54" s="17"/>
      <c r="Q54" s="31">
        <f t="shared" si="1"/>
        <v>5953.0360000000001</v>
      </c>
      <c r="R54" s="34">
        <f t="shared" si="8"/>
        <v>10.964</v>
      </c>
      <c r="S54" s="15"/>
      <c r="T54" s="273"/>
      <c r="U54" s="273"/>
      <c r="V54" s="22"/>
      <c r="W54" s="272"/>
      <c r="X54" s="272"/>
      <c r="Y54" s="272"/>
      <c r="Z54" s="274"/>
      <c r="AA54" s="22"/>
      <c r="AB54" s="275"/>
      <c r="AC54" s="40"/>
      <c r="AD54" s="40"/>
    </row>
    <row r="55" spans="1:30" s="1" customFormat="1" x14ac:dyDescent="0.25">
      <c r="A55" s="162">
        <v>42783</v>
      </c>
      <c r="B55" s="63" t="s">
        <v>521</v>
      </c>
      <c r="C55" s="62" t="s">
        <v>69</v>
      </c>
      <c r="D55" s="16">
        <v>400</v>
      </c>
      <c r="E55" s="15">
        <v>15.09</v>
      </c>
      <c r="F55" s="16">
        <f t="shared" si="6"/>
        <v>3100</v>
      </c>
      <c r="G55" s="17">
        <f t="shared" si="2"/>
        <v>13.80188064516129</v>
      </c>
      <c r="H55" s="15">
        <f t="shared" si="7"/>
        <v>42785.83</v>
      </c>
      <c r="I55" s="15">
        <f t="shared" si="3"/>
        <v>3993.1699999999983</v>
      </c>
      <c r="J55" s="33">
        <f t="shared" si="4"/>
        <v>9.3329263450072128E-2</v>
      </c>
      <c r="K55" s="15">
        <f t="shared" si="5"/>
        <v>46779</v>
      </c>
      <c r="L55" s="15">
        <f t="shared" si="0"/>
        <v>618.96399999999994</v>
      </c>
      <c r="M55" s="15"/>
      <c r="N55" s="15"/>
      <c r="O55" s="15"/>
      <c r="P55" s="17"/>
      <c r="Q55" s="31">
        <f t="shared" si="1"/>
        <v>6024.9639999999999</v>
      </c>
      <c r="R55" s="34">
        <f t="shared" si="8"/>
        <v>11.036</v>
      </c>
      <c r="S55" s="15"/>
      <c r="T55" s="273"/>
      <c r="U55" s="273"/>
      <c r="V55" s="22"/>
      <c r="W55" s="272"/>
      <c r="X55" s="272"/>
      <c r="Y55" s="272"/>
      <c r="Z55" s="274"/>
      <c r="AA55" s="22"/>
      <c r="AB55" s="275"/>
      <c r="AC55" s="40"/>
      <c r="AD55" s="40"/>
    </row>
    <row r="56" spans="1:30" s="1" customFormat="1" x14ac:dyDescent="0.25">
      <c r="A56" s="162">
        <v>42783</v>
      </c>
      <c r="B56" s="63"/>
      <c r="C56" s="62" t="s">
        <v>69</v>
      </c>
      <c r="D56" s="16">
        <v>400</v>
      </c>
      <c r="E56" s="15">
        <v>15.06</v>
      </c>
      <c r="F56" s="16">
        <f t="shared" si="6"/>
        <v>2700</v>
      </c>
      <c r="G56" s="17">
        <f t="shared" si="2"/>
        <v>13.619575555555555</v>
      </c>
      <c r="H56" s="15">
        <f t="shared" si="7"/>
        <v>36772.853999999999</v>
      </c>
      <c r="I56" s="15">
        <f t="shared" si="3"/>
        <v>3889.1460000000006</v>
      </c>
      <c r="J56" s="33">
        <f t="shared" si="4"/>
        <v>0.10576133144302599</v>
      </c>
      <c r="K56" s="15">
        <f t="shared" si="5"/>
        <v>40662</v>
      </c>
      <c r="L56" s="15">
        <f t="shared" si="0"/>
        <v>-104.02399999999761</v>
      </c>
      <c r="M56" s="15" t="str">
        <f>Uncovered((0))</f>
        <v>0@0</v>
      </c>
      <c r="N56" s="15"/>
      <c r="O56" s="15"/>
      <c r="P56" s="17" t="str">
        <f>Covered(1)</f>
        <v>0@0</v>
      </c>
      <c r="Q56" s="31">
        <f t="shared" si="1"/>
        <v>6012.9760000000024</v>
      </c>
      <c r="R56" s="34">
        <f t="shared" si="8"/>
        <v>11.024000000000001</v>
      </c>
      <c r="S56" s="15"/>
      <c r="T56" s="273"/>
      <c r="U56" s="273"/>
      <c r="V56" s="22"/>
      <c r="W56" s="272"/>
      <c r="X56" s="272"/>
      <c r="Y56" s="272"/>
      <c r="Z56" s="274"/>
      <c r="AA56" s="22"/>
      <c r="AB56" s="275"/>
      <c r="AC56" s="40"/>
      <c r="AD56" s="40"/>
    </row>
    <row r="57" spans="1:30" s="1" customFormat="1" x14ac:dyDescent="0.25">
      <c r="A57" s="162">
        <v>42786</v>
      </c>
      <c r="B57" s="63"/>
      <c r="C57" s="62" t="s">
        <v>69</v>
      </c>
      <c r="D57" s="16">
        <v>400</v>
      </c>
      <c r="E57" s="15">
        <v>15.08</v>
      </c>
      <c r="F57" s="16">
        <f t="shared" si="6"/>
        <v>2300</v>
      </c>
      <c r="G57" s="17">
        <f t="shared" si="2"/>
        <v>13.370385217391304</v>
      </c>
      <c r="H57" s="15">
        <f t="shared" si="7"/>
        <v>30751.885999999999</v>
      </c>
      <c r="I57" s="15">
        <f t="shared" si="3"/>
        <v>3932.1140000000014</v>
      </c>
      <c r="J57" s="33">
        <f t="shared" si="4"/>
        <v>0.12786578358153389</v>
      </c>
      <c r="K57" s="15">
        <f t="shared" si="5"/>
        <v>34684</v>
      </c>
      <c r="L57" s="15">
        <f t="shared" si="0"/>
        <v>42.968000000000757</v>
      </c>
      <c r="M57" s="15"/>
      <c r="N57" s="15"/>
      <c r="O57" s="15"/>
      <c r="P57" s="17"/>
      <c r="Q57" s="31">
        <f t="shared" si="1"/>
        <v>6020.9680000000008</v>
      </c>
      <c r="R57" s="34">
        <f t="shared" si="8"/>
        <v>11.032</v>
      </c>
      <c r="S57" s="15"/>
      <c r="T57" s="273"/>
      <c r="U57" s="273"/>
      <c r="V57" s="22"/>
      <c r="W57" s="272"/>
      <c r="X57" s="272"/>
      <c r="Y57" s="272"/>
      <c r="Z57" s="274"/>
      <c r="AA57" s="22"/>
      <c r="AB57" s="275"/>
      <c r="AC57" s="40"/>
      <c r="AD57" s="40"/>
    </row>
    <row r="58" spans="1:30" s="1" customFormat="1" x14ac:dyDescent="0.25">
      <c r="A58" s="162">
        <v>42786</v>
      </c>
      <c r="B58" s="63" t="s">
        <v>522</v>
      </c>
      <c r="C58" s="62" t="s">
        <v>69</v>
      </c>
      <c r="D58" s="16">
        <v>400</v>
      </c>
      <c r="E58" s="15">
        <v>15.18</v>
      </c>
      <c r="F58" s="16">
        <f t="shared" si="6"/>
        <v>1900</v>
      </c>
      <c r="G58" s="17">
        <f t="shared" si="2"/>
        <v>12.995241052631579</v>
      </c>
      <c r="H58" s="15">
        <f t="shared" si="7"/>
        <v>24690.957999999999</v>
      </c>
      <c r="I58" s="15">
        <f t="shared" si="3"/>
        <v>4151.0420000000013</v>
      </c>
      <c r="J58" s="33">
        <f t="shared" si="4"/>
        <v>0.1681199247109002</v>
      </c>
      <c r="K58" s="15">
        <f t="shared" si="5"/>
        <v>28842</v>
      </c>
      <c r="L58" s="15">
        <f t="shared" si="0"/>
        <v>218.92799999999988</v>
      </c>
      <c r="M58" s="15"/>
      <c r="N58" s="15"/>
      <c r="O58" s="15"/>
      <c r="P58" s="17"/>
      <c r="Q58" s="31">
        <f t="shared" si="1"/>
        <v>6060.9279999999999</v>
      </c>
      <c r="R58" s="34">
        <f t="shared" si="8"/>
        <v>11.071999999999999</v>
      </c>
      <c r="S58" s="15"/>
      <c r="T58" s="273"/>
      <c r="U58" s="273"/>
      <c r="V58" s="22"/>
      <c r="W58" s="272"/>
      <c r="X58" s="272"/>
      <c r="Y58" s="272"/>
      <c r="Z58" s="274"/>
      <c r="AA58" s="22"/>
      <c r="AB58" s="275"/>
      <c r="AC58" s="40"/>
      <c r="AD58" s="40"/>
    </row>
    <row r="59" spans="1:30" s="1" customFormat="1" x14ac:dyDescent="0.25">
      <c r="A59" s="162">
        <v>42787</v>
      </c>
      <c r="B59" s="63" t="s">
        <v>523</v>
      </c>
      <c r="C59" s="62" t="s">
        <v>63</v>
      </c>
      <c r="D59" s="16">
        <v>500</v>
      </c>
      <c r="E59" s="15">
        <v>14.83</v>
      </c>
      <c r="F59" s="16">
        <f t="shared" si="6"/>
        <v>2400</v>
      </c>
      <c r="G59" s="17">
        <f t="shared" si="2"/>
        <v>13.379565833333332</v>
      </c>
      <c r="H59" s="15">
        <f t="shared" si="7"/>
        <v>32110.957999999999</v>
      </c>
      <c r="I59" s="15">
        <f t="shared" si="3"/>
        <v>3481.0420000000013</v>
      </c>
      <c r="J59" s="33">
        <f t="shared" si="4"/>
        <v>0.10840666915013879</v>
      </c>
      <c r="K59" s="15">
        <f t="shared" si="5"/>
        <v>35592</v>
      </c>
      <c r="L59" s="15">
        <f t="shared" si="0"/>
        <v>-670</v>
      </c>
      <c r="M59" s="15"/>
      <c r="N59" s="15"/>
      <c r="O59" s="15"/>
      <c r="P59" s="17"/>
      <c r="Q59" s="31">
        <f t="shared" si="1"/>
        <v>-7420</v>
      </c>
      <c r="R59" s="34">
        <f t="shared" si="8"/>
        <v>5</v>
      </c>
      <c r="S59" s="15"/>
      <c r="T59" s="273"/>
      <c r="U59" s="273"/>
      <c r="V59" s="22"/>
      <c r="W59" s="272"/>
      <c r="X59" s="272"/>
      <c r="Y59" s="272"/>
      <c r="Z59" s="274"/>
      <c r="AA59" s="22"/>
      <c r="AB59" s="275"/>
      <c r="AC59" s="40"/>
      <c r="AD59" s="40"/>
    </row>
    <row r="60" spans="1:30" s="1" customFormat="1" x14ac:dyDescent="0.25">
      <c r="A60" s="162">
        <v>42788</v>
      </c>
      <c r="B60" s="63"/>
      <c r="C60" s="62" t="s">
        <v>69</v>
      </c>
      <c r="D60" s="16">
        <v>400</v>
      </c>
      <c r="E60" s="15">
        <v>15.01</v>
      </c>
      <c r="F60" s="16">
        <f t="shared" si="6"/>
        <v>2000</v>
      </c>
      <c r="G60" s="17">
        <f t="shared" si="2"/>
        <v>13.058980999999999</v>
      </c>
      <c r="H60" s="15">
        <f t="shared" si="7"/>
        <v>26117.962</v>
      </c>
      <c r="I60" s="15">
        <f t="shared" si="3"/>
        <v>3902.0380000000005</v>
      </c>
      <c r="J60" s="33">
        <f t="shared" si="4"/>
        <v>0.14940055430052318</v>
      </c>
      <c r="K60" s="15">
        <f t="shared" si="5"/>
        <v>30020</v>
      </c>
      <c r="L60" s="15">
        <f t="shared" si="0"/>
        <v>420.99599999999919</v>
      </c>
      <c r="M60" s="15"/>
      <c r="N60" s="15"/>
      <c r="O60" s="15"/>
      <c r="P60" s="17"/>
      <c r="Q60" s="31">
        <f t="shared" si="1"/>
        <v>5992.9959999999992</v>
      </c>
      <c r="R60" s="34">
        <f t="shared" si="8"/>
        <v>11.004</v>
      </c>
      <c r="S60" s="15"/>
      <c r="T60" s="273"/>
      <c r="U60" s="273"/>
      <c r="V60" s="22"/>
      <c r="W60" s="272"/>
      <c r="X60" s="272"/>
      <c r="Y60" s="272"/>
      <c r="Z60" s="274"/>
      <c r="AA60" s="22"/>
      <c r="AB60" s="275"/>
      <c r="AC60" s="40"/>
      <c r="AD60" s="40"/>
    </row>
    <row r="61" spans="1:30" s="1" customFormat="1" x14ac:dyDescent="0.25">
      <c r="A61" s="162">
        <v>42788</v>
      </c>
      <c r="B61" s="63"/>
      <c r="C61" s="62" t="s">
        <v>69</v>
      </c>
      <c r="D61" s="16">
        <v>400</v>
      </c>
      <c r="E61" s="15">
        <v>15.12</v>
      </c>
      <c r="F61" s="16">
        <f t="shared" si="6"/>
        <v>1600</v>
      </c>
      <c r="G61" s="17">
        <f t="shared" si="2"/>
        <v>12.550631249999999</v>
      </c>
      <c r="H61" s="15">
        <f t="shared" si="7"/>
        <v>20081.009999999998</v>
      </c>
      <c r="I61" s="15">
        <f t="shared" si="3"/>
        <v>4110.9900000000016</v>
      </c>
      <c r="J61" s="33">
        <f t="shared" si="4"/>
        <v>0.20472028050381935</v>
      </c>
      <c r="K61" s="15">
        <f t="shared" si="5"/>
        <v>24192</v>
      </c>
      <c r="L61" s="15">
        <f t="shared" si="0"/>
        <v>208.95200000000114</v>
      </c>
      <c r="M61" s="15"/>
      <c r="N61" s="15"/>
      <c r="O61" s="15"/>
      <c r="P61" s="17"/>
      <c r="Q61" s="31">
        <f t="shared" si="1"/>
        <v>6036.9520000000011</v>
      </c>
      <c r="R61" s="34">
        <f t="shared" si="8"/>
        <v>11.048</v>
      </c>
      <c r="S61" s="15"/>
      <c r="T61" s="273"/>
      <c r="U61" s="273"/>
      <c r="V61" s="22"/>
      <c r="W61" s="272"/>
      <c r="X61" s="272"/>
      <c r="Y61" s="272"/>
      <c r="Z61" s="274"/>
      <c r="AA61" s="22"/>
      <c r="AB61" s="275"/>
      <c r="AC61" s="40"/>
      <c r="AD61" s="40"/>
    </row>
    <row r="62" spans="1:30" s="1" customFormat="1" x14ac:dyDescent="0.25">
      <c r="A62" s="162">
        <v>42788</v>
      </c>
      <c r="B62" s="63"/>
      <c r="C62" s="62" t="s">
        <v>69</v>
      </c>
      <c r="D62" s="16">
        <v>400</v>
      </c>
      <c r="E62" s="15">
        <v>15.38</v>
      </c>
      <c r="F62" s="16">
        <f t="shared" si="6"/>
        <v>1200</v>
      </c>
      <c r="G62" s="17">
        <f t="shared" si="2"/>
        <v>11.616801666666666</v>
      </c>
      <c r="H62" s="15">
        <f t="shared" si="7"/>
        <v>13940.161999999998</v>
      </c>
      <c r="I62" s="15">
        <f t="shared" si="3"/>
        <v>4515.8380000000016</v>
      </c>
      <c r="J62" s="33">
        <f t="shared" si="4"/>
        <v>0.32394444196559569</v>
      </c>
      <c r="K62" s="15">
        <f t="shared" si="5"/>
        <v>18456</v>
      </c>
      <c r="L62" s="15">
        <f t="shared" si="0"/>
        <v>404.84799999999996</v>
      </c>
      <c r="M62" s="15"/>
      <c r="N62" s="15"/>
      <c r="O62" s="15"/>
      <c r="P62" s="17"/>
      <c r="Q62" s="31">
        <f t="shared" si="1"/>
        <v>6140.848</v>
      </c>
      <c r="R62" s="34">
        <f t="shared" si="8"/>
        <v>11.152000000000001</v>
      </c>
      <c r="S62" s="15"/>
      <c r="T62" s="273"/>
      <c r="U62" s="273"/>
      <c r="V62" s="22"/>
      <c r="W62" s="272"/>
      <c r="X62" s="272"/>
      <c r="Y62" s="272"/>
      <c r="Z62" s="274"/>
      <c r="AA62" s="22"/>
      <c r="AB62" s="275"/>
      <c r="AC62" s="40"/>
      <c r="AD62" s="40"/>
    </row>
    <row r="63" spans="1:30" s="1" customFormat="1" x14ac:dyDescent="0.25">
      <c r="A63" s="162">
        <v>42788</v>
      </c>
      <c r="B63" s="63"/>
      <c r="C63" s="62" t="s">
        <v>69</v>
      </c>
      <c r="D63" s="16">
        <v>400</v>
      </c>
      <c r="E63" s="15">
        <v>15.49</v>
      </c>
      <c r="F63" s="16">
        <f t="shared" si="6"/>
        <v>800</v>
      </c>
      <c r="G63" s="17">
        <f t="shared" si="2"/>
        <v>9.6941974999999978</v>
      </c>
      <c r="H63" s="15">
        <f t="shared" si="7"/>
        <v>7755.3579999999984</v>
      </c>
      <c r="I63" s="15">
        <f t="shared" si="3"/>
        <v>4636.6420000000016</v>
      </c>
      <c r="J63" s="33">
        <f t="shared" si="4"/>
        <v>0.59786305158317676</v>
      </c>
      <c r="K63" s="15">
        <f t="shared" si="5"/>
        <v>12392</v>
      </c>
      <c r="L63" s="15">
        <f t="shared" si="0"/>
        <v>120.80400000000009</v>
      </c>
      <c r="M63" s="15"/>
      <c r="N63" s="15"/>
      <c r="O63" s="15"/>
      <c r="P63" s="17"/>
      <c r="Q63" s="31">
        <f t="shared" si="1"/>
        <v>6184.8040000000001</v>
      </c>
      <c r="R63" s="34">
        <f t="shared" si="8"/>
        <v>11.196</v>
      </c>
      <c r="S63" s="15"/>
      <c r="T63" s="320"/>
      <c r="U63" s="320"/>
      <c r="V63" s="15"/>
      <c r="W63" s="17"/>
      <c r="X63" s="17"/>
      <c r="Y63" s="17"/>
      <c r="Z63" s="321"/>
      <c r="AA63" s="15"/>
      <c r="AB63" s="322"/>
      <c r="AC63" s="40"/>
      <c r="AD63" s="40"/>
    </row>
    <row r="64" spans="1:30" s="1" customFormat="1" x14ac:dyDescent="0.25">
      <c r="A64" s="162">
        <v>42793</v>
      </c>
      <c r="B64" s="63" t="s">
        <v>524</v>
      </c>
      <c r="C64" s="62" t="s">
        <v>63</v>
      </c>
      <c r="D64" s="16">
        <v>500</v>
      </c>
      <c r="E64" s="15">
        <v>15.15</v>
      </c>
      <c r="F64" s="16">
        <f t="shared" si="6"/>
        <v>1300</v>
      </c>
      <c r="G64" s="17">
        <f t="shared" si="2"/>
        <v>11.796429230769229</v>
      </c>
      <c r="H64" s="15">
        <f t="shared" si="7"/>
        <v>15335.357999999998</v>
      </c>
      <c r="I64" s="15">
        <f t="shared" si="3"/>
        <v>4359.6420000000016</v>
      </c>
      <c r="J64" s="33">
        <f t="shared" si="4"/>
        <v>0.28428694002448479</v>
      </c>
      <c r="K64" s="15">
        <f t="shared" si="5"/>
        <v>19695</v>
      </c>
      <c r="L64" s="15">
        <f t="shared" si="0"/>
        <v>-277</v>
      </c>
      <c r="M64" s="15"/>
      <c r="N64" s="15"/>
      <c r="O64" s="15"/>
      <c r="P64" s="17"/>
      <c r="Q64" s="31">
        <f t="shared" si="1"/>
        <v>-7580</v>
      </c>
      <c r="R64" s="34">
        <f t="shared" si="8"/>
        <v>5</v>
      </c>
      <c r="S64" s="15"/>
      <c r="T64" s="273"/>
      <c r="U64" s="273"/>
      <c r="V64" s="22"/>
      <c r="W64" s="272"/>
      <c r="X64" s="272"/>
      <c r="Y64" s="272"/>
      <c r="Z64" s="274"/>
      <c r="AA64" s="22"/>
      <c r="AB64" s="275"/>
      <c r="AC64" s="40"/>
      <c r="AD64" s="40"/>
    </row>
    <row r="65" spans="1:30" s="1" customFormat="1" x14ac:dyDescent="0.25">
      <c r="A65" s="162">
        <v>42793</v>
      </c>
      <c r="B65" s="63" t="s">
        <v>525</v>
      </c>
      <c r="C65" s="62" t="s">
        <v>63</v>
      </c>
      <c r="D65" s="16">
        <v>500</v>
      </c>
      <c r="E65" s="15">
        <v>15.03</v>
      </c>
      <c r="F65" s="16">
        <f t="shared" si="6"/>
        <v>1800</v>
      </c>
      <c r="G65" s="17">
        <f t="shared" si="2"/>
        <v>12.697421111111112</v>
      </c>
      <c r="H65" s="15">
        <f t="shared" si="7"/>
        <v>22855.358</v>
      </c>
      <c r="I65" s="15">
        <f t="shared" si="3"/>
        <v>4198.6419999999998</v>
      </c>
      <c r="J65" s="33">
        <f t="shared" si="4"/>
        <v>0.18370493255892109</v>
      </c>
      <c r="K65" s="15">
        <f t="shared" si="5"/>
        <v>27054</v>
      </c>
      <c r="L65" s="15">
        <f t="shared" si="0"/>
        <v>-161.00000000000182</v>
      </c>
      <c r="M65" s="15"/>
      <c r="N65" s="15"/>
      <c r="O65" s="15"/>
      <c r="P65" s="17"/>
      <c r="Q65" s="31">
        <f t="shared" si="1"/>
        <v>-7520.0000000000018</v>
      </c>
      <c r="R65" s="34">
        <f t="shared" si="8"/>
        <v>5</v>
      </c>
      <c r="S65" s="15"/>
      <c r="T65" s="273"/>
      <c r="U65" s="273"/>
      <c r="V65" s="22"/>
      <c r="W65" s="272"/>
      <c r="X65" s="272"/>
      <c r="Y65" s="272"/>
      <c r="Z65" s="274"/>
      <c r="AA65" s="22"/>
      <c r="AB65" s="275"/>
      <c r="AC65" s="40"/>
      <c r="AD65" s="40"/>
    </row>
    <row r="66" spans="1:30" s="1" customFormat="1" x14ac:dyDescent="0.25">
      <c r="A66" s="162">
        <v>42795</v>
      </c>
      <c r="B66" s="63" t="s">
        <v>526</v>
      </c>
      <c r="C66" s="62" t="s">
        <v>69</v>
      </c>
      <c r="D66" s="16">
        <v>400</v>
      </c>
      <c r="E66" s="15">
        <v>15.24</v>
      </c>
      <c r="F66" s="16">
        <f t="shared" si="6"/>
        <v>1400</v>
      </c>
      <c r="G66" s="17">
        <f t="shared" si="2"/>
        <v>11.978895714285715</v>
      </c>
      <c r="H66" s="15">
        <f t="shared" si="7"/>
        <v>16770.454000000002</v>
      </c>
      <c r="I66" s="15">
        <f t="shared" si="3"/>
        <v>4565.5459999999985</v>
      </c>
      <c r="J66" s="33">
        <f t="shared" si="4"/>
        <v>0.27223747192532771</v>
      </c>
      <c r="K66" s="15">
        <f t="shared" si="5"/>
        <v>21336</v>
      </c>
      <c r="L66" s="15">
        <f t="shared" ref="L66:L129" si="9">I66-I65</f>
        <v>366.90399999999863</v>
      </c>
      <c r="M66" s="15"/>
      <c r="N66" s="15"/>
      <c r="O66" s="15"/>
      <c r="P66" s="17"/>
      <c r="Q66" s="31">
        <f t="shared" ref="Q66:Q129" si="10">(H66-H65)*-1</f>
        <v>6084.9039999999986</v>
      </c>
      <c r="R66" s="34">
        <f t="shared" si="8"/>
        <v>11.096</v>
      </c>
      <c r="S66" s="15"/>
      <c r="T66" s="273"/>
      <c r="U66" s="273"/>
      <c r="V66" s="22"/>
      <c r="W66" s="272"/>
      <c r="X66" s="272"/>
      <c r="Y66" s="272"/>
      <c r="Z66" s="274"/>
      <c r="AA66" s="22"/>
      <c r="AB66" s="275"/>
      <c r="AC66" s="40"/>
      <c r="AD66" s="40"/>
    </row>
    <row r="67" spans="1:30" s="1" customFormat="1" x14ac:dyDescent="0.25">
      <c r="A67" s="162">
        <v>42795</v>
      </c>
      <c r="B67" s="135" t="s">
        <v>527</v>
      </c>
      <c r="C67" s="62" t="s">
        <v>69</v>
      </c>
      <c r="D67" s="16">
        <v>400</v>
      </c>
      <c r="E67" s="15">
        <v>15.4</v>
      </c>
      <c r="F67" s="16">
        <f t="shared" si="6"/>
        <v>1000</v>
      </c>
      <c r="G67" s="17">
        <f t="shared" ref="G67:G75" si="11">H67/F67</f>
        <v>10.621614000000001</v>
      </c>
      <c r="H67" s="15">
        <f t="shared" si="7"/>
        <v>10621.614000000001</v>
      </c>
      <c r="I67" s="15">
        <f t="shared" ref="I67:I75" si="12">-H67+K67</f>
        <v>4778.3859999999986</v>
      </c>
      <c r="J67" s="33">
        <f t="shared" ref="J67:J75" si="13">(E67-G67)/G67</f>
        <v>0.44987381390436509</v>
      </c>
      <c r="K67" s="15">
        <f t="shared" ref="K67:K75" si="14">F67*E67</f>
        <v>15400</v>
      </c>
      <c r="L67" s="15">
        <f t="shared" si="9"/>
        <v>212.84000000000015</v>
      </c>
      <c r="M67" s="15"/>
      <c r="N67" s="15"/>
      <c r="O67" s="15"/>
      <c r="P67" s="17"/>
      <c r="Q67" s="31">
        <f t="shared" si="10"/>
        <v>6148.84</v>
      </c>
      <c r="R67" s="34">
        <f t="shared" si="8"/>
        <v>11.16</v>
      </c>
      <c r="S67" s="15"/>
      <c r="T67" s="273"/>
      <c r="U67" s="273"/>
      <c r="V67" s="22"/>
      <c r="W67" s="272"/>
      <c r="X67" s="272"/>
      <c r="Y67" s="272"/>
      <c r="Z67" s="274"/>
      <c r="AA67" s="22"/>
      <c r="AB67" s="275"/>
      <c r="AC67" s="40"/>
      <c r="AD67" s="40"/>
    </row>
    <row r="68" spans="1:30" s="1" customFormat="1" x14ac:dyDescent="0.25">
      <c r="A68" s="162">
        <v>42795</v>
      </c>
      <c r="B68" s="63" t="s">
        <v>528</v>
      </c>
      <c r="C68" s="62" t="s">
        <v>69</v>
      </c>
      <c r="D68" s="16">
        <v>400</v>
      </c>
      <c r="E68" s="15">
        <v>15.57</v>
      </c>
      <c r="F68" s="16">
        <f t="shared" ref="F68:F75" si="15">IF(C68="买",F67+D68,IF(C68="卖",F67-D68,F67))</f>
        <v>600</v>
      </c>
      <c r="G68" s="17">
        <f t="shared" si="11"/>
        <v>7.3414033333333357</v>
      </c>
      <c r="H68" s="15">
        <f t="shared" ref="H68:H75" si="16">IF(C68="买",H67+D68*E68+R68+S68,IF(C68="卖",H67-D68*E68+R68+S68,H67))</f>
        <v>4404.8420000000015</v>
      </c>
      <c r="I68" s="15">
        <f t="shared" si="12"/>
        <v>4937.1579999999985</v>
      </c>
      <c r="J68" s="33">
        <f t="shared" si="13"/>
        <v>1.120847921446444</v>
      </c>
      <c r="K68" s="15">
        <f t="shared" si="14"/>
        <v>9342</v>
      </c>
      <c r="L68" s="15">
        <f t="shared" si="9"/>
        <v>158.77199999999993</v>
      </c>
      <c r="M68" s="15"/>
      <c r="N68" s="15"/>
      <c r="O68" s="15"/>
      <c r="P68" s="17"/>
      <c r="Q68" s="31">
        <f t="shared" si="10"/>
        <v>6216.7719999999999</v>
      </c>
      <c r="R68" s="34">
        <f t="shared" ref="R68:R131" si="17">commission($B$2,C68,D68,E68)</f>
        <v>11.228</v>
      </c>
      <c r="S68" s="15"/>
      <c r="T68" s="273"/>
      <c r="U68" s="273"/>
      <c r="V68" s="22"/>
      <c r="W68" s="272"/>
      <c r="X68" s="272"/>
      <c r="Y68" s="272"/>
      <c r="Z68" s="274"/>
      <c r="AA68" s="22"/>
      <c r="AB68" s="275"/>
      <c r="AC68" s="40"/>
      <c r="AD68" s="40"/>
    </row>
    <row r="69" spans="1:30" s="1" customFormat="1" x14ac:dyDescent="0.25">
      <c r="A69" s="162">
        <v>42795</v>
      </c>
      <c r="B69" s="63" t="s">
        <v>529</v>
      </c>
      <c r="C69" s="62" t="s">
        <v>63</v>
      </c>
      <c r="D69" s="16">
        <v>500</v>
      </c>
      <c r="E69" s="15">
        <v>15.3</v>
      </c>
      <c r="F69" s="16">
        <f t="shared" si="15"/>
        <v>1100</v>
      </c>
      <c r="G69" s="17">
        <f t="shared" si="11"/>
        <v>10.963492727272728</v>
      </c>
      <c r="H69" s="15">
        <f t="shared" si="16"/>
        <v>12059.842000000001</v>
      </c>
      <c r="I69" s="15">
        <f t="shared" si="12"/>
        <v>4770.1579999999994</v>
      </c>
      <c r="J69" s="33">
        <f t="shared" si="13"/>
        <v>0.39554067126252568</v>
      </c>
      <c r="K69" s="15">
        <f t="shared" si="14"/>
        <v>16830</v>
      </c>
      <c r="L69" s="15">
        <f t="shared" si="9"/>
        <v>-166.99999999999909</v>
      </c>
      <c r="M69" s="15"/>
      <c r="N69" s="15"/>
      <c r="O69" s="15"/>
      <c r="P69" s="17"/>
      <c r="Q69" s="31">
        <f t="shared" si="10"/>
        <v>-7654.9999999999991</v>
      </c>
      <c r="R69" s="34">
        <f t="shared" si="17"/>
        <v>5</v>
      </c>
      <c r="S69" s="15"/>
      <c r="T69" s="273"/>
      <c r="U69" s="273"/>
      <c r="V69" s="22"/>
      <c r="W69" s="272"/>
      <c r="X69" s="272"/>
      <c r="Y69" s="272"/>
      <c r="Z69" s="274"/>
      <c r="AA69" s="22"/>
      <c r="AB69" s="275"/>
      <c r="AC69" s="40"/>
      <c r="AD69" s="40"/>
    </row>
    <row r="70" spans="1:30" s="1" customFormat="1" x14ac:dyDescent="0.25">
      <c r="A70" s="162">
        <v>42797</v>
      </c>
      <c r="B70" s="63" t="s">
        <v>530</v>
      </c>
      <c r="C70" s="46" t="s">
        <v>63</v>
      </c>
      <c r="D70" s="16">
        <v>500</v>
      </c>
      <c r="E70" s="15">
        <v>15.07</v>
      </c>
      <c r="F70" s="16">
        <f t="shared" si="15"/>
        <v>1600</v>
      </c>
      <c r="G70" s="17">
        <f t="shared" si="11"/>
        <v>12.249901250000001</v>
      </c>
      <c r="H70" s="15">
        <f t="shared" si="16"/>
        <v>19599.842000000001</v>
      </c>
      <c r="I70" s="15">
        <f t="shared" si="12"/>
        <v>4512.1579999999994</v>
      </c>
      <c r="J70" s="33">
        <f t="shared" si="13"/>
        <v>0.23021399866386674</v>
      </c>
      <c r="K70" s="15">
        <f t="shared" si="14"/>
        <v>24112</v>
      </c>
      <c r="L70" s="15">
        <f t="shared" si="9"/>
        <v>-258</v>
      </c>
      <c r="M70" s="15"/>
      <c r="N70" s="15"/>
      <c r="O70" s="15"/>
      <c r="P70" s="17"/>
      <c r="Q70" s="31">
        <f t="shared" si="10"/>
        <v>-7540</v>
      </c>
      <c r="R70" s="34">
        <f t="shared" si="17"/>
        <v>5</v>
      </c>
      <c r="S70" s="15"/>
      <c r="T70" s="273"/>
      <c r="U70" s="273"/>
      <c r="V70" s="22"/>
      <c r="W70" s="272"/>
      <c r="X70" s="272"/>
      <c r="Y70" s="272"/>
      <c r="Z70" s="274"/>
      <c r="AA70" s="22"/>
      <c r="AB70" s="275"/>
      <c r="AC70" s="40"/>
      <c r="AD70" s="40"/>
    </row>
    <row r="71" spans="1:30" s="1" customFormat="1" x14ac:dyDescent="0.25">
      <c r="A71" s="162">
        <v>42800</v>
      </c>
      <c r="B71" s="63" t="s">
        <v>531</v>
      </c>
      <c r="C71" s="46" t="s">
        <v>63</v>
      </c>
      <c r="D71" s="16">
        <v>500</v>
      </c>
      <c r="E71" s="15">
        <v>14.99</v>
      </c>
      <c r="F71" s="16">
        <f t="shared" si="15"/>
        <v>2100</v>
      </c>
      <c r="G71" s="17">
        <f t="shared" si="11"/>
        <v>12.904686666666667</v>
      </c>
      <c r="H71" s="15">
        <f t="shared" si="16"/>
        <v>27099.842000000001</v>
      </c>
      <c r="I71" s="15">
        <f t="shared" si="12"/>
        <v>4379.1579999999994</v>
      </c>
      <c r="J71" s="33">
        <f t="shared" si="13"/>
        <v>0.16159348825723782</v>
      </c>
      <c r="K71" s="15">
        <f t="shared" si="14"/>
        <v>31479</v>
      </c>
      <c r="L71" s="15">
        <f t="shared" si="9"/>
        <v>-133</v>
      </c>
      <c r="M71" s="15"/>
      <c r="N71" s="15"/>
      <c r="O71" s="15"/>
      <c r="P71" s="17"/>
      <c r="Q71" s="31">
        <f t="shared" si="10"/>
        <v>-7500</v>
      </c>
      <c r="R71" s="34">
        <f t="shared" si="17"/>
        <v>5</v>
      </c>
      <c r="S71" s="15"/>
      <c r="T71" s="273"/>
      <c r="U71" s="273"/>
      <c r="V71" s="22"/>
      <c r="W71" s="272"/>
      <c r="X71" s="272"/>
      <c r="Y71" s="272"/>
      <c r="Z71" s="274"/>
      <c r="AA71" s="22"/>
      <c r="AB71" s="275"/>
      <c r="AC71" s="40"/>
      <c r="AD71" s="40"/>
    </row>
    <row r="72" spans="1:30" s="1" customFormat="1" x14ac:dyDescent="0.25">
      <c r="A72" s="162">
        <v>42802</v>
      </c>
      <c r="B72" s="135" t="s">
        <v>532</v>
      </c>
      <c r="C72" s="46" t="s">
        <v>63</v>
      </c>
      <c r="D72" s="16">
        <v>500</v>
      </c>
      <c r="E72" s="15">
        <v>14.89</v>
      </c>
      <c r="F72" s="16">
        <f t="shared" si="15"/>
        <v>2600</v>
      </c>
      <c r="G72" s="17">
        <f t="shared" si="11"/>
        <v>13.288400769230771</v>
      </c>
      <c r="H72" s="15">
        <f t="shared" si="16"/>
        <v>34549.842000000004</v>
      </c>
      <c r="I72" s="15">
        <f t="shared" si="12"/>
        <v>4164.1579999999958</v>
      </c>
      <c r="J72" s="33">
        <f t="shared" si="13"/>
        <v>0.12052610833936656</v>
      </c>
      <c r="K72" s="15">
        <f t="shared" si="14"/>
        <v>38714</v>
      </c>
      <c r="L72" s="15">
        <f t="shared" si="9"/>
        <v>-215.00000000000364</v>
      </c>
      <c r="M72" s="15"/>
      <c r="N72" s="15"/>
      <c r="O72" s="15"/>
      <c r="P72" s="17"/>
      <c r="Q72" s="31">
        <f t="shared" si="10"/>
        <v>-7450.0000000000036</v>
      </c>
      <c r="R72" s="34">
        <f t="shared" si="17"/>
        <v>5</v>
      </c>
      <c r="S72" s="15"/>
      <c r="T72" s="273"/>
      <c r="U72" s="273"/>
      <c r="V72" s="22"/>
      <c r="W72" s="272"/>
      <c r="X72" s="272"/>
      <c r="Y72" s="272"/>
      <c r="Z72" s="274"/>
      <c r="AA72" s="22"/>
      <c r="AB72" s="275"/>
      <c r="AC72" s="40"/>
      <c r="AD72" s="40"/>
    </row>
    <row r="73" spans="1:30" s="1" customFormat="1" x14ac:dyDescent="0.25">
      <c r="A73" s="162">
        <v>42803</v>
      </c>
      <c r="B73" s="63" t="s">
        <v>533</v>
      </c>
      <c r="C73" s="46" t="s">
        <v>63</v>
      </c>
      <c r="D73" s="16">
        <v>500</v>
      </c>
      <c r="E73" s="15">
        <v>14.61</v>
      </c>
      <c r="F73" s="16">
        <f t="shared" si="15"/>
        <v>3100</v>
      </c>
      <c r="G73" s="17">
        <f t="shared" si="11"/>
        <v>13.503174838709679</v>
      </c>
      <c r="H73" s="15">
        <f t="shared" si="16"/>
        <v>41859.842000000004</v>
      </c>
      <c r="I73" s="15">
        <f t="shared" si="12"/>
        <v>3431.1579999999958</v>
      </c>
      <c r="J73" s="33">
        <f t="shared" si="13"/>
        <v>8.196777235805125E-2</v>
      </c>
      <c r="K73" s="15">
        <f t="shared" si="14"/>
        <v>45291</v>
      </c>
      <c r="L73" s="15">
        <f t="shared" si="9"/>
        <v>-733</v>
      </c>
      <c r="M73" s="15"/>
      <c r="N73" s="15"/>
      <c r="O73" s="15"/>
      <c r="P73" s="17"/>
      <c r="Q73" s="31">
        <f t="shared" si="10"/>
        <v>-7310</v>
      </c>
      <c r="R73" s="34">
        <f t="shared" si="17"/>
        <v>5</v>
      </c>
      <c r="S73" s="15"/>
      <c r="T73" s="273"/>
      <c r="U73" s="273"/>
      <c r="V73" s="22"/>
      <c r="W73" s="272"/>
      <c r="X73" s="272"/>
      <c r="Y73" s="272"/>
      <c r="Z73" s="274"/>
      <c r="AA73" s="22"/>
      <c r="AB73" s="275"/>
      <c r="AC73" s="40"/>
      <c r="AD73" s="40"/>
    </row>
    <row r="74" spans="1:30" s="1" customFormat="1" x14ac:dyDescent="0.25">
      <c r="A74" s="162">
        <v>42804</v>
      </c>
      <c r="B74" s="63" t="s">
        <v>534</v>
      </c>
      <c r="C74" s="46" t="s">
        <v>63</v>
      </c>
      <c r="D74" s="16">
        <v>500</v>
      </c>
      <c r="E74" s="15">
        <v>14.44</v>
      </c>
      <c r="F74" s="16">
        <f t="shared" si="15"/>
        <v>3600</v>
      </c>
      <c r="G74" s="17">
        <f t="shared" si="11"/>
        <v>13.634678333333335</v>
      </c>
      <c r="H74" s="15">
        <f t="shared" si="16"/>
        <v>49084.842000000004</v>
      </c>
      <c r="I74" s="15">
        <f t="shared" si="12"/>
        <v>2899.1579999999958</v>
      </c>
      <c r="J74" s="33">
        <f t="shared" si="13"/>
        <v>5.906422190378021E-2</v>
      </c>
      <c r="K74" s="15">
        <f t="shared" si="14"/>
        <v>51984</v>
      </c>
      <c r="L74" s="15">
        <f t="shared" si="9"/>
        <v>-532</v>
      </c>
      <c r="M74" s="15"/>
      <c r="N74" s="15"/>
      <c r="O74" s="15"/>
      <c r="P74" s="17"/>
      <c r="Q74" s="31">
        <f t="shared" si="10"/>
        <v>-7225</v>
      </c>
      <c r="R74" s="34">
        <f t="shared" si="17"/>
        <v>5</v>
      </c>
      <c r="S74" s="15"/>
      <c r="T74" s="273"/>
      <c r="U74" s="273"/>
      <c r="V74" s="22"/>
      <c r="W74" s="272"/>
      <c r="X74" s="272"/>
      <c r="Y74" s="272"/>
      <c r="Z74" s="274"/>
      <c r="AA74" s="22"/>
      <c r="AB74" s="275"/>
      <c r="AC74" s="40"/>
      <c r="AD74" s="40"/>
    </row>
    <row r="75" spans="1:30" s="1" customFormat="1" x14ac:dyDescent="0.25">
      <c r="A75" s="162">
        <v>42808</v>
      </c>
      <c r="B75" s="63"/>
      <c r="C75" s="46" t="s">
        <v>69</v>
      </c>
      <c r="D75" s="16">
        <v>400</v>
      </c>
      <c r="E75" s="15">
        <v>14.66</v>
      </c>
      <c r="F75" s="16">
        <f t="shared" si="15"/>
        <v>3200</v>
      </c>
      <c r="G75" s="17">
        <f t="shared" si="11"/>
        <v>13.509908125000003</v>
      </c>
      <c r="H75" s="15">
        <f t="shared" si="16"/>
        <v>43231.706000000006</v>
      </c>
      <c r="I75" s="15">
        <f t="shared" si="12"/>
        <v>3680.2939999999944</v>
      </c>
      <c r="J75" s="33">
        <f t="shared" si="13"/>
        <v>8.5129511197175323E-2</v>
      </c>
      <c r="K75" s="15">
        <f t="shared" si="14"/>
        <v>46912</v>
      </c>
      <c r="L75" s="15">
        <f t="shared" si="9"/>
        <v>781.1359999999986</v>
      </c>
      <c r="M75" s="15" t="str">
        <f>Uncovered(0)</f>
        <v>0@0</v>
      </c>
      <c r="N75" s="15"/>
      <c r="O75" s="15" t="str">
        <f>Covered(0)</f>
        <v>0@0</v>
      </c>
      <c r="P75" s="17"/>
      <c r="Q75" s="31">
        <f t="shared" si="10"/>
        <v>5853.1359999999986</v>
      </c>
      <c r="R75" s="34">
        <f t="shared" si="17"/>
        <v>10.864000000000001</v>
      </c>
      <c r="S75" s="15"/>
      <c r="T75" s="273"/>
      <c r="U75" s="273"/>
      <c r="V75" s="22"/>
      <c r="W75" s="272"/>
      <c r="X75" s="272"/>
      <c r="Y75" s="272"/>
      <c r="Z75" s="274"/>
      <c r="AA75" s="22"/>
      <c r="AB75" s="275"/>
      <c r="AC75" s="40"/>
      <c r="AD75" s="40"/>
    </row>
    <row r="76" spans="1:30" s="1" customFormat="1" x14ac:dyDescent="0.25">
      <c r="A76" s="162">
        <v>42809</v>
      </c>
      <c r="B76" s="63" t="s">
        <v>535</v>
      </c>
      <c r="C76" s="46" t="s">
        <v>63</v>
      </c>
      <c r="D76" s="16">
        <v>500</v>
      </c>
      <c r="E76" s="15">
        <v>14.37</v>
      </c>
      <c r="F76" s="16">
        <f t="shared" ref="F76:F139" si="18">IF(C76="买",F75+D76,IF(C76="卖",F75-D76,F75))</f>
        <v>3700</v>
      </c>
      <c r="G76" s="17">
        <f t="shared" ref="G76:G139" si="19">H76/F76</f>
        <v>13.627488108108109</v>
      </c>
      <c r="H76" s="15">
        <f t="shared" ref="H76:H139" si="20">IF(C76="买",H75+D76*E76+R76+S76,IF(C76="卖",H75-D76*E76+R76+S76,H75))</f>
        <v>50421.706000000006</v>
      </c>
      <c r="I76" s="15">
        <f t="shared" ref="I76:I139" si="21">-H76+K76</f>
        <v>2747.2939999999944</v>
      </c>
      <c r="J76" s="33">
        <f t="shared" ref="J76:J139" si="22">(E76-G76)/G76</f>
        <v>5.4486335706292736E-2</v>
      </c>
      <c r="K76" s="15">
        <f t="shared" ref="K76:K139" si="23">F76*E76</f>
        <v>53169</v>
      </c>
      <c r="L76" s="15">
        <f t="shared" si="9"/>
        <v>-933</v>
      </c>
      <c r="M76" s="15"/>
      <c r="N76" s="15"/>
      <c r="O76" s="15"/>
      <c r="P76" s="17"/>
      <c r="Q76" s="31">
        <f t="shared" si="10"/>
        <v>-7190</v>
      </c>
      <c r="R76" s="34">
        <f t="shared" si="17"/>
        <v>5</v>
      </c>
      <c r="S76" s="15"/>
      <c r="T76" s="273"/>
      <c r="U76" s="273"/>
      <c r="V76" s="22"/>
      <c r="W76" s="272"/>
      <c r="X76" s="272"/>
      <c r="Y76" s="272"/>
      <c r="Z76" s="274"/>
      <c r="AA76" s="22"/>
      <c r="AB76" s="275"/>
      <c r="AC76" s="40"/>
      <c r="AD76" s="40"/>
    </row>
    <row r="77" spans="1:30" s="1" customFormat="1" x14ac:dyDescent="0.25">
      <c r="A77" s="162">
        <v>42809</v>
      </c>
      <c r="B77" s="63"/>
      <c r="C77" s="46" t="s">
        <v>63</v>
      </c>
      <c r="D77" s="16">
        <v>500</v>
      </c>
      <c r="E77" s="15">
        <v>14.18</v>
      </c>
      <c r="F77" s="16">
        <f t="shared" si="18"/>
        <v>4200</v>
      </c>
      <c r="G77" s="17">
        <f t="shared" si="19"/>
        <v>13.694453809523811</v>
      </c>
      <c r="H77" s="15">
        <f t="shared" si="20"/>
        <v>57516.706000000006</v>
      </c>
      <c r="I77" s="15">
        <f t="shared" si="21"/>
        <v>2039.2939999999944</v>
      </c>
      <c r="J77" s="33">
        <f t="shared" si="22"/>
        <v>3.545568134586833E-2</v>
      </c>
      <c r="K77" s="15">
        <f t="shared" si="23"/>
        <v>59556</v>
      </c>
      <c r="L77" s="15">
        <f t="shared" si="9"/>
        <v>-708</v>
      </c>
      <c r="M77" s="15"/>
      <c r="N77" s="15"/>
      <c r="O77" s="15"/>
      <c r="P77" s="17"/>
      <c r="Q77" s="31">
        <f t="shared" si="10"/>
        <v>-7095</v>
      </c>
      <c r="R77" s="34">
        <f t="shared" si="17"/>
        <v>5</v>
      </c>
      <c r="S77" s="15"/>
      <c r="T77" s="273"/>
      <c r="U77" s="273"/>
      <c r="V77" s="22"/>
      <c r="W77" s="272"/>
      <c r="X77" s="272"/>
      <c r="Y77" s="272"/>
      <c r="Z77" s="274"/>
      <c r="AA77" s="22"/>
      <c r="AB77" s="275"/>
      <c r="AC77" s="40"/>
      <c r="AD77" s="40"/>
    </row>
    <row r="78" spans="1:30" s="1" customFormat="1" x14ac:dyDescent="0.25">
      <c r="A78" s="162">
        <v>42810</v>
      </c>
      <c r="B78" s="63" t="s">
        <v>536</v>
      </c>
      <c r="C78" s="46" t="s">
        <v>69</v>
      </c>
      <c r="D78" s="16">
        <v>400</v>
      </c>
      <c r="E78" s="15">
        <v>14.43</v>
      </c>
      <c r="F78" s="16">
        <f t="shared" si="18"/>
        <v>3800</v>
      </c>
      <c r="G78" s="17">
        <f t="shared" si="19"/>
        <v>13.619862631578949</v>
      </c>
      <c r="H78" s="15">
        <f t="shared" si="20"/>
        <v>51755.478000000003</v>
      </c>
      <c r="I78" s="15">
        <f t="shared" si="21"/>
        <v>3078.5219999999972</v>
      </c>
      <c r="J78" s="33">
        <f t="shared" si="22"/>
        <v>5.9482051349230972E-2</v>
      </c>
      <c r="K78" s="15">
        <f t="shared" si="23"/>
        <v>54834</v>
      </c>
      <c r="L78" s="15">
        <f t="shared" si="9"/>
        <v>1039.2280000000028</v>
      </c>
      <c r="M78" s="15"/>
      <c r="N78" s="15"/>
      <c r="O78" s="15"/>
      <c r="P78" s="17"/>
      <c r="Q78" s="31">
        <f t="shared" si="10"/>
        <v>5761.2280000000028</v>
      </c>
      <c r="R78" s="34">
        <f t="shared" si="17"/>
        <v>10.772</v>
      </c>
      <c r="S78" s="15"/>
      <c r="T78" s="273"/>
      <c r="U78" s="273"/>
      <c r="V78" s="22"/>
      <c r="W78" s="272"/>
      <c r="X78" s="272"/>
      <c r="Y78" s="272"/>
      <c r="Z78" s="274"/>
      <c r="AA78" s="22"/>
      <c r="AB78" s="275"/>
      <c r="AC78" s="40"/>
      <c r="AD78" s="40"/>
    </row>
    <row r="79" spans="1:30" s="1" customFormat="1" x14ac:dyDescent="0.25">
      <c r="A79" s="162">
        <v>42815</v>
      </c>
      <c r="B79" s="63"/>
      <c r="C79" s="46" t="s">
        <v>69</v>
      </c>
      <c r="D79" s="16">
        <v>400</v>
      </c>
      <c r="E79" s="15">
        <v>14.66</v>
      </c>
      <c r="F79" s="16">
        <f t="shared" si="18"/>
        <v>3400</v>
      </c>
      <c r="G79" s="17">
        <f t="shared" si="19"/>
        <v>13.500688823529414</v>
      </c>
      <c r="H79" s="15">
        <f t="shared" si="20"/>
        <v>45902.342000000004</v>
      </c>
      <c r="I79" s="15">
        <f t="shared" si="21"/>
        <v>3941.6579999999958</v>
      </c>
      <c r="J79" s="33">
        <f t="shared" si="22"/>
        <v>8.5870520506339157E-2</v>
      </c>
      <c r="K79" s="15">
        <f t="shared" si="23"/>
        <v>49844</v>
      </c>
      <c r="L79" s="15">
        <f t="shared" si="9"/>
        <v>863.1359999999986</v>
      </c>
      <c r="M79" s="15"/>
      <c r="N79" s="15"/>
      <c r="O79" s="15"/>
      <c r="P79" s="17"/>
      <c r="Q79" s="31">
        <f t="shared" si="10"/>
        <v>5853.1359999999986</v>
      </c>
      <c r="R79" s="34">
        <f t="shared" si="17"/>
        <v>10.864000000000001</v>
      </c>
      <c r="S79" s="15"/>
      <c r="T79" s="273"/>
      <c r="U79" s="273"/>
      <c r="V79" s="22"/>
      <c r="W79" s="272"/>
      <c r="X79" s="272"/>
      <c r="Y79" s="272"/>
      <c r="Z79" s="274"/>
      <c r="AA79" s="22"/>
      <c r="AB79" s="275"/>
      <c r="AC79" s="40"/>
      <c r="AD79" s="40"/>
    </row>
    <row r="80" spans="1:30" s="1" customFormat="1" x14ac:dyDescent="0.25">
      <c r="A80" s="162">
        <v>42817</v>
      </c>
      <c r="B80" s="63" t="s">
        <v>537</v>
      </c>
      <c r="C80" s="46" t="s">
        <v>63</v>
      </c>
      <c r="D80" s="16">
        <v>500</v>
      </c>
      <c r="E80" s="15">
        <v>14.43</v>
      </c>
      <c r="F80" s="16">
        <f t="shared" si="18"/>
        <v>3900</v>
      </c>
      <c r="G80" s="17">
        <f t="shared" si="19"/>
        <v>13.621113333333334</v>
      </c>
      <c r="H80" s="15">
        <f t="shared" si="20"/>
        <v>53122.342000000004</v>
      </c>
      <c r="I80" s="15">
        <f t="shared" si="21"/>
        <v>3154.6579999999958</v>
      </c>
      <c r="J80" s="33">
        <f t="shared" si="22"/>
        <v>5.9384768841705016E-2</v>
      </c>
      <c r="K80" s="15">
        <f t="shared" si="23"/>
        <v>56277</v>
      </c>
      <c r="L80" s="15">
        <f t="shared" si="9"/>
        <v>-787</v>
      </c>
      <c r="M80" s="15"/>
      <c r="N80" s="15"/>
      <c r="O80" s="15"/>
      <c r="P80" s="17"/>
      <c r="Q80" s="31">
        <f t="shared" si="10"/>
        <v>-7220</v>
      </c>
      <c r="R80" s="34">
        <f t="shared" si="17"/>
        <v>5</v>
      </c>
      <c r="S80" s="15"/>
      <c r="T80" s="273"/>
      <c r="U80" s="273"/>
      <c r="V80" s="22"/>
      <c r="W80" s="272"/>
      <c r="X80" s="272"/>
      <c r="Y80" s="272"/>
      <c r="Z80" s="274"/>
      <c r="AA80" s="22"/>
      <c r="AB80" s="275"/>
      <c r="AC80" s="40"/>
      <c r="AD80" s="40"/>
    </row>
    <row r="81" spans="1:30" s="1" customFormat="1" x14ac:dyDescent="0.25">
      <c r="A81" s="162">
        <v>42818</v>
      </c>
      <c r="B81" s="63"/>
      <c r="C81" s="46" t="s">
        <v>69</v>
      </c>
      <c r="D81" s="16">
        <v>400</v>
      </c>
      <c r="E81" s="15">
        <v>14.63</v>
      </c>
      <c r="F81" s="16">
        <f t="shared" si="18"/>
        <v>3500</v>
      </c>
      <c r="G81" s="17">
        <f t="shared" si="19"/>
        <v>13.508912571428572</v>
      </c>
      <c r="H81" s="15">
        <f t="shared" si="20"/>
        <v>47281.194000000003</v>
      </c>
      <c r="I81" s="15">
        <f t="shared" si="21"/>
        <v>3923.8059999999969</v>
      </c>
      <c r="J81" s="33">
        <f t="shared" si="22"/>
        <v>8.29887248617283E-2</v>
      </c>
      <c r="K81" s="15">
        <f t="shared" si="23"/>
        <v>51205</v>
      </c>
      <c r="L81" s="15">
        <f t="shared" si="9"/>
        <v>769.14800000000105</v>
      </c>
      <c r="M81" s="15"/>
      <c r="N81" s="15"/>
      <c r="O81" s="15"/>
      <c r="P81" s="17"/>
      <c r="Q81" s="31">
        <f t="shared" si="10"/>
        <v>5841.148000000001</v>
      </c>
      <c r="R81" s="34">
        <f t="shared" si="17"/>
        <v>10.852</v>
      </c>
      <c r="S81" s="15"/>
      <c r="T81" s="273"/>
      <c r="U81" s="273"/>
      <c r="V81" s="22"/>
      <c r="W81" s="272"/>
      <c r="X81" s="272"/>
      <c r="Y81" s="272"/>
      <c r="Z81" s="274"/>
      <c r="AA81" s="22"/>
      <c r="AB81" s="275"/>
      <c r="AC81" s="40"/>
      <c r="AD81" s="40"/>
    </row>
    <row r="82" spans="1:30" s="1" customFormat="1" x14ac:dyDescent="0.25">
      <c r="A82" s="162">
        <v>42818</v>
      </c>
      <c r="B82" s="63"/>
      <c r="C82" s="46" t="s">
        <v>69</v>
      </c>
      <c r="D82" s="16">
        <v>400</v>
      </c>
      <c r="E82" s="15">
        <v>14.74</v>
      </c>
      <c r="F82" s="16">
        <f t="shared" si="18"/>
        <v>3100</v>
      </c>
      <c r="G82" s="17">
        <f t="shared" si="19"/>
        <v>13.35357741935484</v>
      </c>
      <c r="H82" s="15">
        <f t="shared" si="20"/>
        <v>41396.090000000004</v>
      </c>
      <c r="I82" s="15">
        <f t="shared" si="21"/>
        <v>4297.9099999999962</v>
      </c>
      <c r="J82" s="33">
        <f t="shared" si="22"/>
        <v>0.10382405681309505</v>
      </c>
      <c r="K82" s="15">
        <f t="shared" si="23"/>
        <v>45694</v>
      </c>
      <c r="L82" s="15">
        <f t="shared" si="9"/>
        <v>374.10399999999936</v>
      </c>
      <c r="M82" s="15"/>
      <c r="N82" s="15"/>
      <c r="O82" s="15"/>
      <c r="P82" s="17"/>
      <c r="Q82" s="31">
        <f t="shared" si="10"/>
        <v>5885.1039999999994</v>
      </c>
      <c r="R82" s="34">
        <f t="shared" si="17"/>
        <v>10.896000000000001</v>
      </c>
      <c r="S82" s="15"/>
      <c r="T82" s="273"/>
      <c r="U82" s="273"/>
      <c r="V82" s="22"/>
      <c r="W82" s="272"/>
      <c r="X82" s="272"/>
      <c r="Y82" s="272"/>
      <c r="Z82" s="274"/>
      <c r="AA82" s="22"/>
      <c r="AB82" s="275"/>
      <c r="AC82" s="40"/>
      <c r="AD82" s="40"/>
    </row>
    <row r="83" spans="1:30" s="1" customFormat="1" x14ac:dyDescent="0.25">
      <c r="A83" s="162">
        <v>42821</v>
      </c>
      <c r="B83" s="63"/>
      <c r="C83" s="46" t="s">
        <v>69</v>
      </c>
      <c r="D83" s="16">
        <v>400</v>
      </c>
      <c r="E83" s="15">
        <v>15</v>
      </c>
      <c r="F83" s="16">
        <f t="shared" si="18"/>
        <v>2700</v>
      </c>
      <c r="G83" s="17">
        <f t="shared" si="19"/>
        <v>13.113737037037039</v>
      </c>
      <c r="H83" s="15">
        <f t="shared" si="20"/>
        <v>35407.090000000004</v>
      </c>
      <c r="I83" s="15">
        <f t="shared" si="21"/>
        <v>5092.9099999999962</v>
      </c>
      <c r="J83" s="33">
        <f t="shared" si="22"/>
        <v>0.14383870575074073</v>
      </c>
      <c r="K83" s="15">
        <f t="shared" si="23"/>
        <v>40500</v>
      </c>
      <c r="L83" s="15">
        <f t="shared" si="9"/>
        <v>795</v>
      </c>
      <c r="M83" s="15"/>
      <c r="N83" s="15"/>
      <c r="O83" s="15"/>
      <c r="P83" s="17"/>
      <c r="Q83" s="31">
        <f t="shared" si="10"/>
        <v>5989</v>
      </c>
      <c r="R83" s="34">
        <f t="shared" si="17"/>
        <v>11</v>
      </c>
      <c r="S83" s="15"/>
      <c r="T83" s="273"/>
      <c r="U83" s="273"/>
      <c r="V83" s="22"/>
      <c r="W83" s="272"/>
      <c r="X83" s="272"/>
      <c r="Y83" s="272"/>
      <c r="Z83" s="274"/>
      <c r="AA83" s="22"/>
      <c r="AB83" s="275"/>
      <c r="AC83" s="40"/>
      <c r="AD83" s="40"/>
    </row>
    <row r="84" spans="1:30" s="1" customFormat="1" x14ac:dyDescent="0.25">
      <c r="A84" s="162">
        <v>42821</v>
      </c>
      <c r="B84" s="63" t="s">
        <v>538</v>
      </c>
      <c r="C84" s="46" t="s">
        <v>63</v>
      </c>
      <c r="D84" s="16">
        <v>500</v>
      </c>
      <c r="E84" s="15">
        <v>14.86</v>
      </c>
      <c r="F84" s="16">
        <f t="shared" si="18"/>
        <v>3200</v>
      </c>
      <c r="G84" s="17">
        <f t="shared" si="19"/>
        <v>13.388153125000001</v>
      </c>
      <c r="H84" s="15">
        <f t="shared" si="20"/>
        <v>42842.090000000004</v>
      </c>
      <c r="I84" s="15">
        <f t="shared" si="21"/>
        <v>4709.9099999999962</v>
      </c>
      <c r="J84" s="33">
        <f t="shared" si="22"/>
        <v>0.10993651336804522</v>
      </c>
      <c r="K84" s="15">
        <f t="shared" si="23"/>
        <v>47552</v>
      </c>
      <c r="L84" s="15">
        <f t="shared" si="9"/>
        <v>-383</v>
      </c>
      <c r="M84" s="15"/>
      <c r="N84" s="15"/>
      <c r="O84" s="15"/>
      <c r="P84" s="17"/>
      <c r="Q84" s="31">
        <f t="shared" si="10"/>
        <v>-7435</v>
      </c>
      <c r="R84" s="34">
        <f t="shared" si="17"/>
        <v>5</v>
      </c>
      <c r="S84" s="273"/>
      <c r="T84" s="273"/>
      <c r="U84" s="273"/>
      <c r="V84" s="22"/>
      <c r="W84" s="272"/>
      <c r="X84" s="272"/>
      <c r="Y84" s="272"/>
      <c r="Z84" s="274"/>
      <c r="AA84" s="22"/>
      <c r="AB84" s="275"/>
      <c r="AC84" s="40"/>
      <c r="AD84" s="40"/>
    </row>
    <row r="85" spans="1:30" s="1" customFormat="1" x14ac:dyDescent="0.25">
      <c r="A85" s="162">
        <v>42822</v>
      </c>
      <c r="B85" s="63" t="s">
        <v>539</v>
      </c>
      <c r="C85" s="46" t="s">
        <v>63</v>
      </c>
      <c r="D85" s="16">
        <v>500</v>
      </c>
      <c r="E85" s="15">
        <v>14.65</v>
      </c>
      <c r="F85" s="16">
        <f t="shared" si="18"/>
        <v>3700</v>
      </c>
      <c r="G85" s="17">
        <f t="shared" si="19"/>
        <v>13.560024324324326</v>
      </c>
      <c r="H85" s="15">
        <f t="shared" si="20"/>
        <v>50172.090000000004</v>
      </c>
      <c r="I85" s="15">
        <f t="shared" si="21"/>
        <v>4032.9099999999962</v>
      </c>
      <c r="J85" s="33">
        <f t="shared" si="22"/>
        <v>8.0381542805970305E-2</v>
      </c>
      <c r="K85" s="15">
        <f t="shared" si="23"/>
        <v>54205</v>
      </c>
      <c r="L85" s="15">
        <f t="shared" si="9"/>
        <v>-677</v>
      </c>
      <c r="M85" s="15"/>
      <c r="N85" s="15"/>
      <c r="O85" s="15"/>
      <c r="P85" s="17"/>
      <c r="Q85" s="31">
        <f t="shared" si="10"/>
        <v>-7330</v>
      </c>
      <c r="R85" s="34">
        <f t="shared" si="17"/>
        <v>5</v>
      </c>
      <c r="S85" s="273"/>
      <c r="T85" s="273"/>
      <c r="U85" s="273"/>
      <c r="V85" s="22"/>
      <c r="W85" s="272"/>
      <c r="X85" s="272"/>
      <c r="Y85" s="272"/>
      <c r="Z85" s="274"/>
      <c r="AA85" s="22"/>
      <c r="AB85" s="275"/>
      <c r="AC85" s="40"/>
      <c r="AD85" s="40"/>
    </row>
    <row r="86" spans="1:30" s="1" customFormat="1" x14ac:dyDescent="0.25">
      <c r="A86" s="162">
        <v>42823</v>
      </c>
      <c r="B86" s="63"/>
      <c r="C86" s="46" t="s">
        <v>69</v>
      </c>
      <c r="D86" s="16">
        <v>400</v>
      </c>
      <c r="E86" s="15">
        <v>15.04</v>
      </c>
      <c r="F86" s="16">
        <f t="shared" si="18"/>
        <v>3300</v>
      </c>
      <c r="G86" s="17">
        <f t="shared" si="19"/>
        <v>13.383971515151517</v>
      </c>
      <c r="H86" s="15">
        <f t="shared" si="20"/>
        <v>44167.106000000007</v>
      </c>
      <c r="I86" s="15">
        <f t="shared" si="21"/>
        <v>5464.893999999993</v>
      </c>
      <c r="J86" s="33">
        <f t="shared" si="22"/>
        <v>0.12373221827121729</v>
      </c>
      <c r="K86" s="15">
        <f t="shared" si="23"/>
        <v>49632</v>
      </c>
      <c r="L86" s="15">
        <f t="shared" si="9"/>
        <v>1431.9839999999967</v>
      </c>
      <c r="M86" s="15"/>
      <c r="N86" s="15"/>
      <c r="O86" s="15"/>
      <c r="P86" s="17"/>
      <c r="Q86" s="31">
        <f t="shared" si="10"/>
        <v>6004.9839999999967</v>
      </c>
      <c r="R86" s="34">
        <f t="shared" si="17"/>
        <v>11.016</v>
      </c>
      <c r="S86" s="273"/>
      <c r="T86" s="273"/>
      <c r="U86" s="273"/>
      <c r="V86" s="22"/>
      <c r="W86" s="272"/>
      <c r="X86" s="272"/>
      <c r="Y86" s="272"/>
      <c r="Z86" s="274"/>
      <c r="AA86" s="22"/>
      <c r="AB86" s="275"/>
      <c r="AC86" s="40"/>
      <c r="AD86" s="40"/>
    </row>
    <row r="87" spans="1:30" s="1" customFormat="1" x14ac:dyDescent="0.25">
      <c r="A87" s="162">
        <v>42824</v>
      </c>
      <c r="B87" s="63" t="s">
        <v>540</v>
      </c>
      <c r="C87" s="46" t="s">
        <v>63</v>
      </c>
      <c r="D87" s="16">
        <v>500</v>
      </c>
      <c r="E87" s="15">
        <v>14.59</v>
      </c>
      <c r="F87" s="16">
        <f t="shared" si="18"/>
        <v>3800</v>
      </c>
      <c r="G87" s="17">
        <f t="shared" si="19"/>
        <v>13.543975263157897</v>
      </c>
      <c r="H87" s="15">
        <f t="shared" si="20"/>
        <v>51467.106000000007</v>
      </c>
      <c r="I87" s="15">
        <f t="shared" si="21"/>
        <v>3974.893999999993</v>
      </c>
      <c r="J87" s="33">
        <f t="shared" si="22"/>
        <v>7.723173710214036E-2</v>
      </c>
      <c r="K87" s="15">
        <f t="shared" si="23"/>
        <v>55442</v>
      </c>
      <c r="L87" s="15">
        <f t="shared" si="9"/>
        <v>-1490</v>
      </c>
      <c r="M87" s="15"/>
      <c r="N87" s="15"/>
      <c r="O87" s="15"/>
      <c r="P87" s="17"/>
      <c r="Q87" s="31">
        <f t="shared" si="10"/>
        <v>-7300</v>
      </c>
      <c r="R87" s="34">
        <f t="shared" si="17"/>
        <v>5</v>
      </c>
      <c r="S87" s="273"/>
      <c r="T87" s="273"/>
      <c r="U87" s="273"/>
      <c r="V87" s="22"/>
      <c r="W87" s="272"/>
      <c r="X87" s="272"/>
      <c r="Y87" s="272"/>
      <c r="Z87" s="274"/>
      <c r="AA87" s="22"/>
      <c r="AB87" s="275"/>
      <c r="AC87" s="40"/>
      <c r="AD87" s="40"/>
    </row>
    <row r="88" spans="1:30" s="1" customFormat="1" x14ac:dyDescent="0.25">
      <c r="A88" s="162">
        <v>42824</v>
      </c>
      <c r="B88" s="63" t="s">
        <v>541</v>
      </c>
      <c r="C88" s="46" t="s">
        <v>63</v>
      </c>
      <c r="D88" s="16">
        <v>500</v>
      </c>
      <c r="E88" s="15">
        <v>14.32</v>
      </c>
      <c r="F88" s="16">
        <f t="shared" si="18"/>
        <v>4300</v>
      </c>
      <c r="G88" s="17">
        <f t="shared" si="19"/>
        <v>13.635373488372094</v>
      </c>
      <c r="H88" s="15">
        <f t="shared" si="20"/>
        <v>58632.106000000007</v>
      </c>
      <c r="I88" s="15">
        <f t="shared" si="21"/>
        <v>2943.893999999993</v>
      </c>
      <c r="J88" s="33">
        <f t="shared" si="22"/>
        <v>5.0209589947186876E-2</v>
      </c>
      <c r="K88" s="15">
        <f t="shared" si="23"/>
        <v>61576</v>
      </c>
      <c r="L88" s="15">
        <f t="shared" si="9"/>
        <v>-1031</v>
      </c>
      <c r="M88" s="15"/>
      <c r="N88" s="15"/>
      <c r="O88" s="15"/>
      <c r="P88" s="17"/>
      <c r="Q88" s="31">
        <f t="shared" si="10"/>
        <v>-7165</v>
      </c>
      <c r="R88" s="34">
        <f t="shared" si="17"/>
        <v>5</v>
      </c>
      <c r="S88" s="273"/>
      <c r="T88" s="273"/>
      <c r="U88" s="273"/>
      <c r="V88" s="22"/>
      <c r="W88" s="272"/>
      <c r="X88" s="272"/>
      <c r="Y88" s="272"/>
      <c r="Z88" s="274"/>
      <c r="AA88" s="22"/>
      <c r="AB88" s="275"/>
      <c r="AC88" s="40"/>
      <c r="AD88" s="40"/>
    </row>
    <row r="89" spans="1:30" s="1" customFormat="1" x14ac:dyDescent="0.25">
      <c r="A89" s="162">
        <v>42825</v>
      </c>
      <c r="B89" s="63"/>
      <c r="C89" s="46" t="s">
        <v>69</v>
      </c>
      <c r="D89" s="16">
        <v>400</v>
      </c>
      <c r="E89" s="15">
        <v>14.76</v>
      </c>
      <c r="F89" s="16">
        <f t="shared" si="18"/>
        <v>3900</v>
      </c>
      <c r="G89" s="17">
        <f t="shared" si="19"/>
        <v>13.52282307692308</v>
      </c>
      <c r="H89" s="15">
        <f t="shared" si="20"/>
        <v>52739.010000000009</v>
      </c>
      <c r="I89" s="15">
        <f t="shared" si="21"/>
        <v>4824.9899999999907</v>
      </c>
      <c r="J89" s="33">
        <f t="shared" si="22"/>
        <v>9.1488065475631514E-2</v>
      </c>
      <c r="K89" s="15">
        <f t="shared" si="23"/>
        <v>57564</v>
      </c>
      <c r="L89" s="15">
        <f t="shared" si="9"/>
        <v>1881.0959999999977</v>
      </c>
      <c r="M89" s="15"/>
      <c r="N89" s="15"/>
      <c r="O89" s="15"/>
      <c r="P89" s="17"/>
      <c r="Q89" s="31">
        <f t="shared" si="10"/>
        <v>5893.0959999999977</v>
      </c>
      <c r="R89" s="34">
        <f t="shared" si="17"/>
        <v>10.904</v>
      </c>
      <c r="S89" s="273"/>
      <c r="T89" s="273"/>
      <c r="U89" s="273"/>
      <c r="V89" s="22"/>
      <c r="W89" s="272"/>
      <c r="X89" s="272"/>
      <c r="Y89" s="272"/>
      <c r="Z89" s="274"/>
      <c r="AA89" s="22"/>
      <c r="AB89" s="275"/>
      <c r="AC89" s="40"/>
      <c r="AD89" s="40"/>
    </row>
    <row r="90" spans="1:30" s="1" customFormat="1" x14ac:dyDescent="0.25">
      <c r="A90" s="162">
        <v>42825</v>
      </c>
      <c r="B90" s="63" t="s">
        <v>542</v>
      </c>
      <c r="C90" s="46" t="s">
        <v>63</v>
      </c>
      <c r="D90" s="16">
        <v>500</v>
      </c>
      <c r="E90" s="15">
        <v>14.52</v>
      </c>
      <c r="F90" s="16">
        <f t="shared" si="18"/>
        <v>4400</v>
      </c>
      <c r="G90" s="17">
        <f t="shared" si="19"/>
        <v>13.637275000000002</v>
      </c>
      <c r="H90" s="15">
        <f t="shared" si="20"/>
        <v>60004.010000000009</v>
      </c>
      <c r="I90" s="15">
        <f t="shared" si="21"/>
        <v>3883.9899999999907</v>
      </c>
      <c r="J90" s="33">
        <f t="shared" si="22"/>
        <v>6.4728840622484837E-2</v>
      </c>
      <c r="K90" s="15">
        <f t="shared" si="23"/>
        <v>63888</v>
      </c>
      <c r="L90" s="15">
        <f t="shared" si="9"/>
        <v>-941</v>
      </c>
      <c r="M90" s="15"/>
      <c r="N90" s="15"/>
      <c r="O90" s="15"/>
      <c r="P90" s="17"/>
      <c r="Q90" s="31">
        <f t="shared" si="10"/>
        <v>-7265</v>
      </c>
      <c r="R90" s="34">
        <f t="shared" si="17"/>
        <v>5</v>
      </c>
      <c r="S90" s="273"/>
      <c r="T90" s="273"/>
      <c r="U90" s="273"/>
      <c r="V90" s="22"/>
      <c r="W90" s="272"/>
      <c r="X90" s="272"/>
      <c r="Y90" s="272"/>
      <c r="Z90" s="274"/>
      <c r="AA90" s="22"/>
      <c r="AB90" s="275"/>
      <c r="AC90" s="40"/>
      <c r="AD90" s="40"/>
    </row>
    <row r="91" spans="1:30" s="1" customFormat="1" x14ac:dyDescent="0.25">
      <c r="A91" s="162">
        <v>42830</v>
      </c>
      <c r="B91" s="63"/>
      <c r="C91" s="46" t="s">
        <v>69</v>
      </c>
      <c r="D91" s="16">
        <v>400</v>
      </c>
      <c r="E91" s="15">
        <v>14.73</v>
      </c>
      <c r="F91" s="16">
        <f t="shared" si="18"/>
        <v>4000</v>
      </c>
      <c r="G91" s="17">
        <f t="shared" si="19"/>
        <v>13.530725500000003</v>
      </c>
      <c r="H91" s="15">
        <f t="shared" si="20"/>
        <v>54122.902000000009</v>
      </c>
      <c r="I91" s="15">
        <f t="shared" si="21"/>
        <v>4797.0979999999909</v>
      </c>
      <c r="J91" s="33">
        <f t="shared" si="22"/>
        <v>8.8633421762934858E-2</v>
      </c>
      <c r="K91" s="15">
        <f t="shared" si="23"/>
        <v>58920</v>
      </c>
      <c r="L91" s="15">
        <f t="shared" si="9"/>
        <v>913.10800000000017</v>
      </c>
      <c r="M91" s="15"/>
      <c r="N91" s="15"/>
      <c r="O91" s="15"/>
      <c r="P91" s="17"/>
      <c r="Q91" s="31">
        <f t="shared" si="10"/>
        <v>5881.1080000000002</v>
      </c>
      <c r="R91" s="34">
        <f t="shared" si="17"/>
        <v>10.891999999999999</v>
      </c>
      <c r="S91" s="273"/>
      <c r="T91" s="273"/>
      <c r="U91" s="273"/>
      <c r="V91" s="22"/>
      <c r="W91" s="272"/>
      <c r="X91" s="272"/>
      <c r="Y91" s="272"/>
      <c r="Z91" s="274"/>
      <c r="AA91" s="22"/>
      <c r="AB91" s="275"/>
      <c r="AC91" s="40"/>
      <c r="AD91" s="40"/>
    </row>
    <row r="92" spans="1:30" s="1" customFormat="1" x14ac:dyDescent="0.25">
      <c r="A92" s="162">
        <v>42830</v>
      </c>
      <c r="B92" s="63"/>
      <c r="C92" s="46" t="s">
        <v>69</v>
      </c>
      <c r="D92" s="16">
        <v>400</v>
      </c>
      <c r="E92" s="15">
        <v>14.9</v>
      </c>
      <c r="F92" s="16">
        <f t="shared" si="18"/>
        <v>3600</v>
      </c>
      <c r="G92" s="17">
        <f t="shared" si="19"/>
        <v>13.381628333333335</v>
      </c>
      <c r="H92" s="15">
        <f t="shared" si="20"/>
        <v>48173.862000000008</v>
      </c>
      <c r="I92" s="15">
        <f t="shared" si="21"/>
        <v>5466.1379999999917</v>
      </c>
      <c r="J92" s="33">
        <f t="shared" si="22"/>
        <v>0.11346688376364747</v>
      </c>
      <c r="K92" s="15">
        <f t="shared" si="23"/>
        <v>53640</v>
      </c>
      <c r="L92" s="15">
        <f t="shared" si="9"/>
        <v>669.04000000000087</v>
      </c>
      <c r="M92" s="15"/>
      <c r="N92" s="15"/>
      <c r="O92" s="15"/>
      <c r="P92" s="17"/>
      <c r="Q92" s="31">
        <f t="shared" si="10"/>
        <v>5949.0400000000009</v>
      </c>
      <c r="R92" s="34">
        <f t="shared" si="17"/>
        <v>10.96</v>
      </c>
      <c r="S92" s="273"/>
      <c r="T92" s="273"/>
      <c r="U92" s="273"/>
      <c r="V92" s="22"/>
      <c r="W92" s="272"/>
      <c r="X92" s="272"/>
      <c r="Y92" s="272"/>
      <c r="Z92" s="274"/>
      <c r="AA92" s="22"/>
      <c r="AB92" s="275"/>
      <c r="AC92" s="40"/>
      <c r="AD92" s="40"/>
    </row>
    <row r="93" spans="1:30" s="1" customFormat="1" x14ac:dyDescent="0.25">
      <c r="A93" s="162">
        <v>42831</v>
      </c>
      <c r="B93" s="63"/>
      <c r="C93" s="46" t="s">
        <v>69</v>
      </c>
      <c r="D93" s="16">
        <v>400</v>
      </c>
      <c r="E93" s="15">
        <v>14.92</v>
      </c>
      <c r="F93" s="16">
        <f t="shared" si="18"/>
        <v>3200</v>
      </c>
      <c r="G93" s="17">
        <f t="shared" si="19"/>
        <v>13.192759375000003</v>
      </c>
      <c r="H93" s="15">
        <f t="shared" si="20"/>
        <v>42216.830000000009</v>
      </c>
      <c r="I93" s="15">
        <f t="shared" si="21"/>
        <v>5527.169999999991</v>
      </c>
      <c r="J93" s="33">
        <f t="shared" si="22"/>
        <v>0.13092337818827204</v>
      </c>
      <c r="K93" s="15">
        <f t="shared" si="23"/>
        <v>47744</v>
      </c>
      <c r="L93" s="15">
        <f t="shared" si="9"/>
        <v>61.031999999999243</v>
      </c>
      <c r="M93" s="15"/>
      <c r="N93" s="15"/>
      <c r="O93" s="15"/>
      <c r="P93" s="17"/>
      <c r="Q93" s="31">
        <f t="shared" si="10"/>
        <v>5957.0319999999992</v>
      </c>
      <c r="R93" s="34">
        <f t="shared" si="17"/>
        <v>10.968</v>
      </c>
      <c r="S93" s="273"/>
      <c r="T93" s="273"/>
      <c r="U93" s="273"/>
      <c r="V93" s="22"/>
      <c r="W93" s="272"/>
      <c r="X93" s="272"/>
      <c r="Y93" s="272"/>
      <c r="Z93" s="274"/>
      <c r="AA93" s="22"/>
      <c r="AB93" s="275"/>
      <c r="AC93" s="40"/>
      <c r="AD93" s="40"/>
    </row>
    <row r="94" spans="1:30" s="1" customFormat="1" x14ac:dyDescent="0.25">
      <c r="A94" s="162">
        <v>42831</v>
      </c>
      <c r="B94" s="63"/>
      <c r="C94" s="46" t="s">
        <v>69</v>
      </c>
      <c r="D94" s="16">
        <v>400</v>
      </c>
      <c r="E94" s="15">
        <v>15</v>
      </c>
      <c r="F94" s="16">
        <f t="shared" si="18"/>
        <v>2800</v>
      </c>
      <c r="G94" s="17">
        <f t="shared" si="19"/>
        <v>12.938510714285718</v>
      </c>
      <c r="H94" s="15">
        <f t="shared" si="20"/>
        <v>36227.830000000009</v>
      </c>
      <c r="I94" s="15">
        <f t="shared" si="21"/>
        <v>5772.169999999991</v>
      </c>
      <c r="J94" s="33">
        <f t="shared" si="22"/>
        <v>0.15932971972099871</v>
      </c>
      <c r="K94" s="15">
        <f t="shared" si="23"/>
        <v>42000</v>
      </c>
      <c r="L94" s="15">
        <f t="shared" si="9"/>
        <v>245</v>
      </c>
      <c r="M94" s="15"/>
      <c r="N94" s="15"/>
      <c r="O94" s="15"/>
      <c r="P94" s="17"/>
      <c r="Q94" s="31">
        <f t="shared" si="10"/>
        <v>5989</v>
      </c>
      <c r="R94" s="34">
        <f t="shared" si="17"/>
        <v>11</v>
      </c>
      <c r="S94" s="273"/>
      <c r="T94" s="273"/>
      <c r="U94" s="273"/>
      <c r="V94" s="22"/>
      <c r="W94" s="272"/>
      <c r="X94" s="272"/>
      <c r="Y94" s="272"/>
      <c r="Z94" s="274"/>
      <c r="AA94" s="22"/>
      <c r="AB94" s="275"/>
      <c r="AC94" s="40"/>
      <c r="AD94" s="40"/>
    </row>
    <row r="95" spans="1:30" s="1" customFormat="1" x14ac:dyDescent="0.25">
      <c r="A95" s="162">
        <v>42832</v>
      </c>
      <c r="B95" s="63" t="s">
        <v>232</v>
      </c>
      <c r="C95" s="46" t="s">
        <v>63</v>
      </c>
      <c r="D95" s="16">
        <v>400</v>
      </c>
      <c r="E95" s="15">
        <v>14.75</v>
      </c>
      <c r="F95" s="16">
        <f t="shared" si="18"/>
        <v>3200</v>
      </c>
      <c r="G95" s="17">
        <f t="shared" si="19"/>
        <v>13.166509375000002</v>
      </c>
      <c r="H95" s="15">
        <f t="shared" si="20"/>
        <v>42132.830000000009</v>
      </c>
      <c r="I95" s="15">
        <f t="shared" si="21"/>
        <v>5067.169999999991</v>
      </c>
      <c r="J95" s="33">
        <f t="shared" si="22"/>
        <v>0.12026654748802756</v>
      </c>
      <c r="K95" s="15">
        <f t="shared" si="23"/>
        <v>47200</v>
      </c>
      <c r="L95" s="15">
        <f t="shared" si="9"/>
        <v>-705</v>
      </c>
      <c r="M95" s="15"/>
      <c r="N95" s="15"/>
      <c r="O95" s="15"/>
      <c r="P95" s="17"/>
      <c r="Q95" s="31">
        <f t="shared" si="10"/>
        <v>-5905</v>
      </c>
      <c r="R95" s="34">
        <f t="shared" si="17"/>
        <v>5</v>
      </c>
      <c r="S95" s="273"/>
      <c r="T95" s="273"/>
      <c r="U95" s="273"/>
      <c r="V95" s="22"/>
      <c r="W95" s="272"/>
      <c r="X95" s="272"/>
      <c r="Y95" s="272"/>
      <c r="Z95" s="274"/>
      <c r="AA95" s="22"/>
      <c r="AB95" s="275"/>
      <c r="AC95" s="40"/>
      <c r="AD95" s="40"/>
    </row>
    <row r="96" spans="1:30" s="1" customFormat="1" x14ac:dyDescent="0.25">
      <c r="A96" s="162">
        <v>42835</v>
      </c>
      <c r="B96" s="63" t="s">
        <v>543</v>
      </c>
      <c r="C96" s="46" t="s">
        <v>63</v>
      </c>
      <c r="D96" s="16">
        <v>500</v>
      </c>
      <c r="E96" s="15">
        <v>14.68</v>
      </c>
      <c r="F96" s="16">
        <f t="shared" si="18"/>
        <v>3700</v>
      </c>
      <c r="G96" s="17">
        <f t="shared" si="19"/>
        <v>13.372386486486489</v>
      </c>
      <c r="H96" s="15">
        <f t="shared" si="20"/>
        <v>49477.830000000009</v>
      </c>
      <c r="I96" s="15">
        <f t="shared" si="21"/>
        <v>4838.169999999991</v>
      </c>
      <c r="J96" s="33">
        <f t="shared" si="22"/>
        <v>9.7784603730599925E-2</v>
      </c>
      <c r="K96" s="15">
        <f t="shared" si="23"/>
        <v>54316</v>
      </c>
      <c r="L96" s="15">
        <f t="shared" si="9"/>
        <v>-229</v>
      </c>
      <c r="M96" s="15"/>
      <c r="N96" s="15"/>
      <c r="O96" s="15"/>
      <c r="P96" s="17"/>
      <c r="Q96" s="31">
        <f t="shared" si="10"/>
        <v>-7345</v>
      </c>
      <c r="R96" s="34">
        <f t="shared" si="17"/>
        <v>5</v>
      </c>
      <c r="S96" s="273"/>
      <c r="T96" s="273"/>
      <c r="U96" s="273"/>
      <c r="V96" s="22"/>
      <c r="W96" s="272"/>
      <c r="X96" s="272"/>
      <c r="Y96" s="272"/>
      <c r="Z96" s="274"/>
      <c r="AA96" s="22"/>
      <c r="AB96" s="275"/>
      <c r="AC96" s="40"/>
      <c r="AD96" s="40"/>
    </row>
    <row r="97" spans="1:30" s="1" customFormat="1" x14ac:dyDescent="0.25">
      <c r="A97" s="162">
        <v>42835</v>
      </c>
      <c r="B97" s="63"/>
      <c r="C97" s="46" t="s">
        <v>69</v>
      </c>
      <c r="D97" s="16">
        <v>400</v>
      </c>
      <c r="E97" s="15">
        <v>14.91</v>
      </c>
      <c r="F97" s="16">
        <f t="shared" si="18"/>
        <v>3300</v>
      </c>
      <c r="G97" s="17">
        <f t="shared" si="19"/>
        <v>13.189331515151517</v>
      </c>
      <c r="H97" s="15">
        <f t="shared" si="20"/>
        <v>43524.794000000009</v>
      </c>
      <c r="I97" s="15">
        <f t="shared" si="21"/>
        <v>5678.205999999991</v>
      </c>
      <c r="J97" s="33">
        <f t="shared" si="22"/>
        <v>0.13045911256926324</v>
      </c>
      <c r="K97" s="15">
        <f t="shared" si="23"/>
        <v>49203</v>
      </c>
      <c r="L97" s="15">
        <f t="shared" si="9"/>
        <v>840.03600000000006</v>
      </c>
      <c r="M97" s="15"/>
      <c r="N97" s="15"/>
      <c r="O97" s="15"/>
      <c r="P97" s="17"/>
      <c r="Q97" s="31">
        <f t="shared" si="10"/>
        <v>5953.0360000000001</v>
      </c>
      <c r="R97" s="34">
        <f t="shared" si="17"/>
        <v>10.964</v>
      </c>
      <c r="S97" s="273"/>
      <c r="T97" s="273"/>
      <c r="U97" s="273"/>
      <c r="V97" s="22"/>
      <c r="W97" s="272"/>
      <c r="X97" s="272"/>
      <c r="Y97" s="272"/>
      <c r="Z97" s="274"/>
      <c r="AA97" s="22"/>
      <c r="AB97" s="275"/>
      <c r="AC97" s="40"/>
      <c r="AD97" s="40"/>
    </row>
    <row r="98" spans="1:30" s="1" customFormat="1" x14ac:dyDescent="0.25">
      <c r="A98" s="162">
        <v>42835</v>
      </c>
      <c r="B98" s="63"/>
      <c r="C98" s="46" t="s">
        <v>69</v>
      </c>
      <c r="D98" s="16">
        <v>400</v>
      </c>
      <c r="E98" s="15">
        <v>15.03</v>
      </c>
      <c r="F98" s="16">
        <f t="shared" si="18"/>
        <v>2900</v>
      </c>
      <c r="G98" s="17">
        <f t="shared" si="19"/>
        <v>12.939243448275866</v>
      </c>
      <c r="H98" s="15">
        <f t="shared" si="20"/>
        <v>37523.806000000011</v>
      </c>
      <c r="I98" s="15">
        <f t="shared" si="21"/>
        <v>6063.1939999999886</v>
      </c>
      <c r="J98" s="33">
        <f t="shared" si="22"/>
        <v>0.1615825963922739</v>
      </c>
      <c r="K98" s="15">
        <f t="shared" si="23"/>
        <v>43587</v>
      </c>
      <c r="L98" s="15">
        <f t="shared" si="9"/>
        <v>384.98799999999756</v>
      </c>
      <c r="M98" s="15"/>
      <c r="N98" s="15"/>
      <c r="O98" s="15"/>
      <c r="P98" s="17"/>
      <c r="Q98" s="31">
        <f t="shared" si="10"/>
        <v>6000.9879999999976</v>
      </c>
      <c r="R98" s="34">
        <f t="shared" si="17"/>
        <v>11.012</v>
      </c>
      <c r="S98" s="273"/>
      <c r="T98" s="273"/>
      <c r="U98" s="273"/>
      <c r="V98" s="22"/>
      <c r="W98" s="272"/>
      <c r="X98" s="272"/>
      <c r="Y98" s="272"/>
      <c r="Z98" s="274"/>
      <c r="AA98" s="22"/>
      <c r="AB98" s="275"/>
      <c r="AC98" s="40"/>
      <c r="AD98" s="40"/>
    </row>
    <row r="99" spans="1:30" s="1" customFormat="1" x14ac:dyDescent="0.25">
      <c r="A99" s="162">
        <v>42836</v>
      </c>
      <c r="B99" s="63" t="s">
        <v>402</v>
      </c>
      <c r="C99" s="46" t="s">
        <v>63</v>
      </c>
      <c r="D99" s="16">
        <v>400</v>
      </c>
      <c r="E99" s="15">
        <v>14.72</v>
      </c>
      <c r="F99" s="16">
        <f t="shared" si="18"/>
        <v>3300</v>
      </c>
      <c r="G99" s="17">
        <f t="shared" si="19"/>
        <v>13.156607878787883</v>
      </c>
      <c r="H99" s="15">
        <f t="shared" si="20"/>
        <v>43416.806000000011</v>
      </c>
      <c r="I99" s="15">
        <f t="shared" si="21"/>
        <v>5159.1939999999886</v>
      </c>
      <c r="J99" s="33">
        <f t="shared" si="22"/>
        <v>0.11882942287371365</v>
      </c>
      <c r="K99" s="15">
        <f t="shared" si="23"/>
        <v>48576</v>
      </c>
      <c r="L99" s="15">
        <f t="shared" si="9"/>
        <v>-904</v>
      </c>
      <c r="M99" s="15"/>
      <c r="N99" s="15"/>
      <c r="O99" s="15"/>
      <c r="P99" s="17"/>
      <c r="Q99" s="31">
        <f t="shared" si="10"/>
        <v>-5893</v>
      </c>
      <c r="R99" s="34">
        <f t="shared" si="17"/>
        <v>5</v>
      </c>
      <c r="S99" s="273"/>
      <c r="T99" s="273"/>
      <c r="U99" s="273"/>
      <c r="V99" s="22"/>
      <c r="W99" s="272"/>
      <c r="X99" s="272"/>
      <c r="Y99" s="272"/>
      <c r="Z99" s="274"/>
      <c r="AA99" s="22"/>
      <c r="AB99" s="275"/>
      <c r="AC99" s="40"/>
      <c r="AD99" s="40"/>
    </row>
    <row r="100" spans="1:30" s="1" customFormat="1" x14ac:dyDescent="0.25">
      <c r="A100" s="162">
        <v>42836</v>
      </c>
      <c r="B100" s="63"/>
      <c r="C100" s="46" t="s">
        <v>69</v>
      </c>
      <c r="D100" s="16">
        <v>400</v>
      </c>
      <c r="E100" s="15">
        <v>15</v>
      </c>
      <c r="F100" s="16">
        <f t="shared" si="18"/>
        <v>2900</v>
      </c>
      <c r="G100" s="17">
        <f t="shared" si="19"/>
        <v>12.906140000000004</v>
      </c>
      <c r="H100" s="15">
        <f t="shared" si="20"/>
        <v>37427.806000000011</v>
      </c>
      <c r="I100" s="15">
        <f t="shared" si="21"/>
        <v>6072.1939999999886</v>
      </c>
      <c r="J100" s="33">
        <f t="shared" si="22"/>
        <v>0.16223750865866907</v>
      </c>
      <c r="K100" s="15">
        <f t="shared" si="23"/>
        <v>43500</v>
      </c>
      <c r="L100" s="15">
        <f t="shared" si="9"/>
        <v>913</v>
      </c>
      <c r="M100" s="15"/>
      <c r="N100" s="15"/>
      <c r="O100" s="15"/>
      <c r="P100" s="17"/>
      <c r="Q100" s="31">
        <f t="shared" si="10"/>
        <v>5989</v>
      </c>
      <c r="R100" s="34">
        <f t="shared" si="17"/>
        <v>11</v>
      </c>
      <c r="S100" s="273"/>
      <c r="T100" s="273"/>
      <c r="U100" s="273"/>
      <c r="V100" s="22"/>
      <c r="W100" s="272"/>
      <c r="X100" s="272"/>
      <c r="Y100" s="272"/>
      <c r="Z100" s="274"/>
      <c r="AA100" s="22"/>
      <c r="AB100" s="275"/>
      <c r="AC100" s="40"/>
      <c r="AD100" s="40"/>
    </row>
    <row r="101" spans="1:30" s="1" customFormat="1" x14ac:dyDescent="0.25">
      <c r="A101" s="162">
        <v>42837</v>
      </c>
      <c r="B101" s="135" t="s">
        <v>406</v>
      </c>
      <c r="C101" s="46" t="s">
        <v>63</v>
      </c>
      <c r="D101" s="16">
        <v>400</v>
      </c>
      <c r="E101" s="15">
        <v>14.81</v>
      </c>
      <c r="F101" s="16">
        <f t="shared" si="18"/>
        <v>3300</v>
      </c>
      <c r="G101" s="17">
        <f t="shared" si="19"/>
        <v>13.138426060606063</v>
      </c>
      <c r="H101" s="15">
        <f t="shared" si="20"/>
        <v>43356.806000000011</v>
      </c>
      <c r="I101" s="15">
        <f t="shared" si="21"/>
        <v>5516.1939999999886</v>
      </c>
      <c r="J101" s="33">
        <f t="shared" si="22"/>
        <v>0.12722786821519999</v>
      </c>
      <c r="K101" s="15">
        <f t="shared" si="23"/>
        <v>48873</v>
      </c>
      <c r="L101" s="15">
        <f t="shared" si="9"/>
        <v>-556</v>
      </c>
      <c r="M101" s="15"/>
      <c r="N101" s="15"/>
      <c r="O101" s="15"/>
      <c r="P101" s="17"/>
      <c r="Q101" s="31">
        <f t="shared" si="10"/>
        <v>-5929</v>
      </c>
      <c r="R101" s="34">
        <f t="shared" si="17"/>
        <v>5</v>
      </c>
      <c r="S101" s="273"/>
      <c r="T101" s="273"/>
      <c r="U101" s="273"/>
      <c r="V101" s="22"/>
      <c r="W101" s="272"/>
      <c r="X101" s="272"/>
      <c r="Y101" s="272"/>
      <c r="Z101" s="274"/>
      <c r="AA101" s="22"/>
      <c r="AB101" s="275"/>
      <c r="AC101" s="40"/>
      <c r="AD101" s="40"/>
    </row>
    <row r="102" spans="1:30" s="1" customFormat="1" x14ac:dyDescent="0.25">
      <c r="A102" s="162">
        <v>42837</v>
      </c>
      <c r="B102" s="63" t="s">
        <v>404</v>
      </c>
      <c r="C102" s="46" t="s">
        <v>63</v>
      </c>
      <c r="D102" s="16">
        <v>400</v>
      </c>
      <c r="E102" s="15">
        <v>14.7</v>
      </c>
      <c r="F102" s="16">
        <f t="shared" si="18"/>
        <v>3700</v>
      </c>
      <c r="G102" s="17">
        <f t="shared" si="19"/>
        <v>13.30859621621622</v>
      </c>
      <c r="H102" s="15">
        <f t="shared" si="20"/>
        <v>49241.806000000011</v>
      </c>
      <c r="I102" s="15">
        <f t="shared" si="21"/>
        <v>5148.1939999999886</v>
      </c>
      <c r="J102" s="33">
        <f t="shared" si="22"/>
        <v>0.10454925231621243</v>
      </c>
      <c r="K102" s="15">
        <f t="shared" si="23"/>
        <v>54390</v>
      </c>
      <c r="L102" s="15">
        <f t="shared" si="9"/>
        <v>-368</v>
      </c>
      <c r="M102" s="15"/>
      <c r="N102" s="15"/>
      <c r="O102" s="15"/>
      <c r="P102" s="17"/>
      <c r="Q102" s="31">
        <f t="shared" si="10"/>
        <v>-5885</v>
      </c>
      <c r="R102" s="34">
        <f t="shared" si="17"/>
        <v>5</v>
      </c>
      <c r="S102" s="273"/>
      <c r="T102" s="273"/>
      <c r="U102" s="273"/>
      <c r="V102" s="22"/>
      <c r="W102" s="272"/>
      <c r="X102" s="272"/>
      <c r="Y102" s="272"/>
      <c r="Z102" s="274"/>
      <c r="AA102" s="22"/>
      <c r="AB102" s="275"/>
      <c r="AC102" s="40"/>
      <c r="AD102" s="40"/>
    </row>
    <row r="103" spans="1:30" s="1" customFormat="1" x14ac:dyDescent="0.25">
      <c r="A103" s="162">
        <v>42838</v>
      </c>
      <c r="B103" s="63" t="s">
        <v>544</v>
      </c>
      <c r="C103" s="46" t="s">
        <v>63</v>
      </c>
      <c r="D103" s="16">
        <v>500</v>
      </c>
      <c r="E103" s="15">
        <v>14.49</v>
      </c>
      <c r="F103" s="16">
        <f t="shared" si="18"/>
        <v>4200</v>
      </c>
      <c r="G103" s="17">
        <f t="shared" si="19"/>
        <v>13.450430000000003</v>
      </c>
      <c r="H103" s="15">
        <f t="shared" si="20"/>
        <v>56491.806000000011</v>
      </c>
      <c r="I103" s="15">
        <f t="shared" si="21"/>
        <v>4366.1939999999886</v>
      </c>
      <c r="J103" s="33">
        <f t="shared" si="22"/>
        <v>7.7288978865359501E-2</v>
      </c>
      <c r="K103" s="15">
        <f t="shared" si="23"/>
        <v>60858</v>
      </c>
      <c r="L103" s="15">
        <f t="shared" si="9"/>
        <v>-782</v>
      </c>
      <c r="M103" s="15"/>
      <c r="N103" s="15"/>
      <c r="O103" s="15"/>
      <c r="P103" s="17"/>
      <c r="Q103" s="31">
        <f t="shared" si="10"/>
        <v>-7250</v>
      </c>
      <c r="R103" s="34">
        <f t="shared" si="17"/>
        <v>5</v>
      </c>
      <c r="S103" s="273"/>
      <c r="T103" s="273"/>
      <c r="U103" s="273"/>
      <c r="V103" s="22"/>
      <c r="W103" s="272"/>
      <c r="X103" s="272"/>
      <c r="Y103" s="272"/>
      <c r="Z103" s="274"/>
      <c r="AA103" s="22"/>
      <c r="AB103" s="275"/>
      <c r="AC103" s="40"/>
      <c r="AD103" s="40"/>
    </row>
    <row r="104" spans="1:30" s="1" customFormat="1" x14ac:dyDescent="0.25">
      <c r="A104" s="162">
        <v>42839</v>
      </c>
      <c r="B104" s="63" t="s">
        <v>545</v>
      </c>
      <c r="C104" s="46" t="s">
        <v>63</v>
      </c>
      <c r="D104" s="16">
        <v>500</v>
      </c>
      <c r="E104" s="15">
        <v>14.18</v>
      </c>
      <c r="F104" s="16">
        <f t="shared" si="18"/>
        <v>4700</v>
      </c>
      <c r="G104" s="17">
        <f t="shared" si="19"/>
        <v>13.529107659574471</v>
      </c>
      <c r="H104" s="15">
        <f t="shared" si="20"/>
        <v>63586.806000000011</v>
      </c>
      <c r="I104" s="15">
        <f t="shared" si="21"/>
        <v>3059.1939999999886</v>
      </c>
      <c r="J104" s="33">
        <f t="shared" si="22"/>
        <v>4.8110515253745927E-2</v>
      </c>
      <c r="K104" s="15">
        <f t="shared" si="23"/>
        <v>66646</v>
      </c>
      <c r="L104" s="15">
        <f t="shared" si="9"/>
        <v>-1307</v>
      </c>
      <c r="M104" s="15"/>
      <c r="N104" s="15"/>
      <c r="O104" s="15"/>
      <c r="P104" s="17"/>
      <c r="Q104" s="31">
        <f t="shared" si="10"/>
        <v>-7095</v>
      </c>
      <c r="R104" s="34">
        <f t="shared" si="17"/>
        <v>5</v>
      </c>
      <c r="S104" s="273"/>
      <c r="T104" s="273"/>
      <c r="U104" s="273"/>
      <c r="V104" s="22"/>
      <c r="W104" s="272"/>
      <c r="X104" s="272"/>
      <c r="Y104" s="272"/>
      <c r="Z104" s="274"/>
      <c r="AA104" s="22"/>
      <c r="AB104" s="275"/>
      <c r="AC104" s="40"/>
      <c r="AD104" s="40"/>
    </row>
    <row r="105" spans="1:30" s="1" customFormat="1" x14ac:dyDescent="0.25">
      <c r="A105" s="162">
        <v>42839</v>
      </c>
      <c r="B105" s="63"/>
      <c r="C105" s="46" t="s">
        <v>63</v>
      </c>
      <c r="D105" s="16">
        <v>500</v>
      </c>
      <c r="E105" s="15">
        <v>14</v>
      </c>
      <c r="F105" s="16">
        <f t="shared" si="18"/>
        <v>5200</v>
      </c>
      <c r="G105" s="17">
        <f t="shared" si="19"/>
        <v>13.57534730769231</v>
      </c>
      <c r="H105" s="15">
        <f t="shared" si="20"/>
        <v>70591.806000000011</v>
      </c>
      <c r="I105" s="15">
        <f t="shared" si="21"/>
        <v>2208.1939999999886</v>
      </c>
      <c r="J105" s="33">
        <f t="shared" si="22"/>
        <v>3.1281165975552305E-2</v>
      </c>
      <c r="K105" s="15">
        <f t="shared" si="23"/>
        <v>72800</v>
      </c>
      <c r="L105" s="15">
        <f t="shared" si="9"/>
        <v>-851</v>
      </c>
      <c r="M105" s="15"/>
      <c r="N105" s="15"/>
      <c r="O105" s="15"/>
      <c r="P105" s="17"/>
      <c r="Q105" s="31">
        <f t="shared" si="10"/>
        <v>-7005</v>
      </c>
      <c r="R105" s="34">
        <f t="shared" si="17"/>
        <v>5</v>
      </c>
      <c r="S105" s="273"/>
      <c r="T105" s="273"/>
      <c r="U105" s="273"/>
      <c r="V105" s="22"/>
      <c r="W105" s="272"/>
      <c r="X105" s="272"/>
      <c r="Y105" s="272"/>
      <c r="Z105" s="274"/>
      <c r="AA105" s="22"/>
      <c r="AB105" s="275"/>
      <c r="AC105" s="40"/>
      <c r="AD105" s="40"/>
    </row>
    <row r="106" spans="1:30" s="1" customFormat="1" x14ac:dyDescent="0.25">
      <c r="A106" s="162">
        <v>42842</v>
      </c>
      <c r="B106" s="63"/>
      <c r="C106" s="46" t="s">
        <v>63</v>
      </c>
      <c r="D106" s="16">
        <v>500</v>
      </c>
      <c r="E106" s="15">
        <v>13.77</v>
      </c>
      <c r="F106" s="16">
        <f t="shared" si="18"/>
        <v>5700</v>
      </c>
      <c r="G106" s="17">
        <f t="shared" si="19"/>
        <v>13.593299298245617</v>
      </c>
      <c r="H106" s="15">
        <f t="shared" si="20"/>
        <v>77481.806000000011</v>
      </c>
      <c r="I106" s="15">
        <f t="shared" si="21"/>
        <v>1007.1939999999886</v>
      </c>
      <c r="J106" s="33">
        <f t="shared" si="22"/>
        <v>1.2999103299166547E-2</v>
      </c>
      <c r="K106" s="15">
        <f t="shared" si="23"/>
        <v>78489</v>
      </c>
      <c r="L106" s="15">
        <f t="shared" si="9"/>
        <v>-1201</v>
      </c>
      <c r="M106" s="15"/>
      <c r="N106" s="15"/>
      <c r="O106" s="15"/>
      <c r="P106" s="17"/>
      <c r="Q106" s="31">
        <f t="shared" si="10"/>
        <v>-6890</v>
      </c>
      <c r="R106" s="34">
        <f t="shared" si="17"/>
        <v>5</v>
      </c>
      <c r="S106" s="273"/>
      <c r="T106" s="273"/>
      <c r="U106" s="273"/>
      <c r="V106" s="22"/>
      <c r="W106" s="272"/>
      <c r="X106" s="272"/>
      <c r="Y106" s="272"/>
      <c r="Z106" s="274"/>
      <c r="AA106" s="22"/>
      <c r="AB106" s="275"/>
      <c r="AC106" s="40"/>
      <c r="AD106" s="40"/>
    </row>
    <row r="107" spans="1:30" s="1" customFormat="1" x14ac:dyDescent="0.25">
      <c r="A107" s="162">
        <v>42844</v>
      </c>
      <c r="B107" s="63"/>
      <c r="C107" s="46" t="s">
        <v>63</v>
      </c>
      <c r="D107" s="16">
        <v>500</v>
      </c>
      <c r="E107" s="15">
        <v>13.23</v>
      </c>
      <c r="F107" s="16">
        <f t="shared" si="18"/>
        <v>6200</v>
      </c>
      <c r="G107" s="17">
        <f t="shared" si="19"/>
        <v>13.564807419354841</v>
      </c>
      <c r="H107" s="15">
        <f t="shared" si="20"/>
        <v>84101.806000000011</v>
      </c>
      <c r="I107" s="15">
        <f t="shared" si="21"/>
        <v>-2075.8060000000114</v>
      </c>
      <c r="J107" s="33">
        <f t="shared" si="22"/>
        <v>-2.4682062118856395E-2</v>
      </c>
      <c r="K107" s="15">
        <f t="shared" si="23"/>
        <v>82026</v>
      </c>
      <c r="L107" s="15">
        <f t="shared" si="9"/>
        <v>-3083</v>
      </c>
      <c r="M107" s="15"/>
      <c r="N107" s="15"/>
      <c r="O107" s="15"/>
      <c r="P107" s="17"/>
      <c r="Q107" s="31">
        <f t="shared" si="10"/>
        <v>-6620</v>
      </c>
      <c r="R107" s="34">
        <f t="shared" si="17"/>
        <v>5</v>
      </c>
      <c r="S107" s="273"/>
      <c r="T107" s="273"/>
      <c r="U107" s="273"/>
      <c r="V107" s="22"/>
      <c r="W107" s="272"/>
      <c r="X107" s="272"/>
      <c r="Y107" s="272"/>
      <c r="Z107" s="274"/>
      <c r="AA107" s="22"/>
      <c r="AB107" s="275"/>
      <c r="AC107" s="40"/>
      <c r="AD107" s="40"/>
    </row>
    <row r="108" spans="1:30" s="1" customFormat="1" x14ac:dyDescent="0.25">
      <c r="A108" s="162">
        <v>42844</v>
      </c>
      <c r="B108" s="63" t="s">
        <v>546</v>
      </c>
      <c r="C108" s="46" t="s">
        <v>69</v>
      </c>
      <c r="D108" s="16">
        <v>400</v>
      </c>
      <c r="E108" s="15">
        <v>13.41</v>
      </c>
      <c r="F108" s="16">
        <f t="shared" si="18"/>
        <v>5800</v>
      </c>
      <c r="G108" s="17">
        <f t="shared" si="19"/>
        <v>13.577270689655174</v>
      </c>
      <c r="H108" s="15">
        <f t="shared" si="20"/>
        <v>78748.170000000013</v>
      </c>
      <c r="I108" s="15">
        <f t="shared" si="21"/>
        <v>-970.17000000001281</v>
      </c>
      <c r="J108" s="33">
        <f t="shared" si="22"/>
        <v>-1.2319905338752758E-2</v>
      </c>
      <c r="K108" s="15">
        <f t="shared" si="23"/>
        <v>77778</v>
      </c>
      <c r="L108" s="15">
        <f t="shared" si="9"/>
        <v>1105.6359999999986</v>
      </c>
      <c r="M108" s="15"/>
      <c r="N108" s="15"/>
      <c r="O108" s="15"/>
      <c r="P108" s="17"/>
      <c r="Q108" s="31">
        <f t="shared" si="10"/>
        <v>5353.6359999999986</v>
      </c>
      <c r="R108" s="34">
        <f t="shared" si="17"/>
        <v>10.364000000000001</v>
      </c>
      <c r="S108" s="273"/>
      <c r="T108" s="273"/>
      <c r="U108" s="273"/>
      <c r="V108" s="22"/>
      <c r="W108" s="272"/>
      <c r="X108" s="272"/>
      <c r="Y108" s="272"/>
      <c r="Z108" s="274"/>
      <c r="AA108" s="22"/>
      <c r="AB108" s="275"/>
      <c r="AC108" s="40"/>
      <c r="AD108" s="40"/>
    </row>
    <row r="109" spans="1:30" s="1" customFormat="1" x14ac:dyDescent="0.25">
      <c r="A109" s="162">
        <v>42849</v>
      </c>
      <c r="B109" s="63"/>
      <c r="C109" s="46" t="s">
        <v>63</v>
      </c>
      <c r="D109" s="16">
        <v>500</v>
      </c>
      <c r="E109" s="15">
        <v>13.14</v>
      </c>
      <c r="F109" s="16">
        <f t="shared" si="18"/>
        <v>6300</v>
      </c>
      <c r="G109" s="17">
        <f t="shared" si="19"/>
        <v>13.543360317460319</v>
      </c>
      <c r="H109" s="15">
        <f t="shared" si="20"/>
        <v>85323.170000000013</v>
      </c>
      <c r="I109" s="15">
        <f t="shared" si="21"/>
        <v>-2541.1700000000128</v>
      </c>
      <c r="J109" s="33">
        <f t="shared" si="22"/>
        <v>-2.9782883125416076E-2</v>
      </c>
      <c r="K109" s="15">
        <f t="shared" si="23"/>
        <v>82782</v>
      </c>
      <c r="L109" s="15">
        <f t="shared" si="9"/>
        <v>-1571</v>
      </c>
      <c r="M109" s="15"/>
      <c r="N109" s="15"/>
      <c r="O109" s="15"/>
      <c r="P109" s="17"/>
      <c r="Q109" s="31">
        <f t="shared" si="10"/>
        <v>-6575</v>
      </c>
      <c r="R109" s="34">
        <f t="shared" si="17"/>
        <v>5</v>
      </c>
      <c r="S109" s="273"/>
      <c r="T109" s="273"/>
      <c r="U109" s="273"/>
      <c r="V109" s="22"/>
      <c r="W109" s="272"/>
      <c r="X109" s="272"/>
      <c r="Y109" s="272"/>
      <c r="Z109" s="274"/>
      <c r="AA109" s="22"/>
      <c r="AB109" s="275"/>
      <c r="AC109" s="40"/>
      <c r="AD109" s="40"/>
    </row>
    <row r="110" spans="1:30" s="1" customFormat="1" x14ac:dyDescent="0.25">
      <c r="A110" s="162">
        <v>42851</v>
      </c>
      <c r="B110" s="135"/>
      <c r="C110" s="46" t="s">
        <v>63</v>
      </c>
      <c r="D110" s="16">
        <v>500</v>
      </c>
      <c r="E110" s="15">
        <v>13.06</v>
      </c>
      <c r="F110" s="16">
        <f t="shared" si="18"/>
        <v>6800</v>
      </c>
      <c r="G110" s="17">
        <f t="shared" si="19"/>
        <v>13.508554411764708</v>
      </c>
      <c r="H110" s="15">
        <f t="shared" si="20"/>
        <v>91858.170000000013</v>
      </c>
      <c r="I110" s="15">
        <f t="shared" si="21"/>
        <v>-3050.1700000000128</v>
      </c>
      <c r="J110" s="33">
        <f t="shared" si="22"/>
        <v>-3.3205211904395758E-2</v>
      </c>
      <c r="K110" s="15">
        <f t="shared" si="23"/>
        <v>88808</v>
      </c>
      <c r="L110" s="15">
        <f t="shared" si="9"/>
        <v>-509</v>
      </c>
      <c r="M110" s="15"/>
      <c r="N110" s="15"/>
      <c r="O110" s="15"/>
      <c r="P110" s="17"/>
      <c r="Q110" s="31">
        <f t="shared" si="10"/>
        <v>-6535</v>
      </c>
      <c r="R110" s="34">
        <f t="shared" si="17"/>
        <v>5</v>
      </c>
      <c r="S110" s="273"/>
      <c r="T110" s="273"/>
      <c r="U110" s="273"/>
      <c r="V110" s="22"/>
      <c r="W110" s="272"/>
      <c r="X110" s="272"/>
      <c r="Y110" s="272"/>
      <c r="Z110" s="274"/>
      <c r="AA110" s="22"/>
      <c r="AB110" s="275"/>
      <c r="AC110" s="40"/>
      <c r="AD110" s="40"/>
    </row>
    <row r="111" spans="1:30" s="1" customFormat="1" x14ac:dyDescent="0.25">
      <c r="A111" s="162">
        <v>42852</v>
      </c>
      <c r="B111" s="63" t="s">
        <v>547</v>
      </c>
      <c r="C111" s="46" t="s">
        <v>69</v>
      </c>
      <c r="D111" s="16">
        <v>400</v>
      </c>
      <c r="E111" s="15">
        <v>13.8</v>
      </c>
      <c r="F111" s="16">
        <f t="shared" si="18"/>
        <v>6400</v>
      </c>
      <c r="G111" s="17">
        <f t="shared" si="19"/>
        <v>13.491982812500003</v>
      </c>
      <c r="H111" s="15">
        <f t="shared" si="20"/>
        <v>86348.690000000017</v>
      </c>
      <c r="I111" s="15">
        <f t="shared" si="21"/>
        <v>1971.3099999999831</v>
      </c>
      <c r="J111" s="33">
        <f t="shared" si="22"/>
        <v>2.2829645707421645E-2</v>
      </c>
      <c r="K111" s="15">
        <f t="shared" si="23"/>
        <v>88320</v>
      </c>
      <c r="L111" s="15">
        <f t="shared" si="9"/>
        <v>5021.4799999999959</v>
      </c>
      <c r="M111" s="15"/>
      <c r="N111" s="15"/>
      <c r="O111" s="15"/>
      <c r="P111" s="17"/>
      <c r="Q111" s="31">
        <f t="shared" si="10"/>
        <v>5509.4799999999959</v>
      </c>
      <c r="R111" s="34">
        <f t="shared" si="17"/>
        <v>10.52</v>
      </c>
      <c r="S111" s="273"/>
      <c r="T111" s="273"/>
      <c r="U111" s="273"/>
      <c r="V111" s="22"/>
      <c r="W111" s="272"/>
      <c r="X111" s="272"/>
      <c r="Y111" s="272"/>
      <c r="Z111" s="274"/>
      <c r="AA111" s="22"/>
      <c r="AB111" s="275"/>
      <c r="AC111" s="40"/>
      <c r="AD111" s="40"/>
    </row>
    <row r="112" spans="1:30" s="1" customFormat="1" x14ac:dyDescent="0.25">
      <c r="A112" s="162">
        <v>42865</v>
      </c>
      <c r="B112" s="63"/>
      <c r="C112" s="46" t="s">
        <v>63</v>
      </c>
      <c r="D112" s="16">
        <v>500</v>
      </c>
      <c r="E112" s="15">
        <v>12.96</v>
      </c>
      <c r="F112" s="16">
        <f t="shared" si="18"/>
        <v>6900</v>
      </c>
      <c r="G112" s="17">
        <f t="shared" si="19"/>
        <v>13.454157971014496</v>
      </c>
      <c r="H112" s="15">
        <f t="shared" si="20"/>
        <v>92833.690000000017</v>
      </c>
      <c r="I112" s="15">
        <f t="shared" si="21"/>
        <v>-3409.6900000000169</v>
      </c>
      <c r="J112" s="33">
        <f t="shared" si="22"/>
        <v>-3.6729015080624441E-2</v>
      </c>
      <c r="K112" s="15">
        <f t="shared" si="23"/>
        <v>89424</v>
      </c>
      <c r="L112" s="15">
        <f t="shared" si="9"/>
        <v>-5381</v>
      </c>
      <c r="M112" s="15"/>
      <c r="N112" s="15"/>
      <c r="O112" s="15"/>
      <c r="P112" s="17"/>
      <c r="Q112" s="31">
        <f t="shared" si="10"/>
        <v>-6485</v>
      </c>
      <c r="R112" s="34">
        <f t="shared" si="17"/>
        <v>5</v>
      </c>
      <c r="S112" s="273"/>
      <c r="T112" s="273"/>
      <c r="U112" s="273"/>
      <c r="V112" s="22"/>
      <c r="W112" s="272"/>
      <c r="X112" s="272"/>
      <c r="Y112" s="272"/>
      <c r="Z112" s="274"/>
      <c r="AA112" s="22"/>
      <c r="AB112" s="275"/>
      <c r="AC112" s="40"/>
      <c r="AD112" s="40"/>
    </row>
    <row r="113" spans="1:30" s="1" customFormat="1" x14ac:dyDescent="0.25">
      <c r="A113" s="162">
        <v>42866</v>
      </c>
      <c r="B113" s="63"/>
      <c r="C113" s="46" t="s">
        <v>63</v>
      </c>
      <c r="D113" s="16">
        <v>500</v>
      </c>
      <c r="E113" s="15">
        <v>12.36</v>
      </c>
      <c r="F113" s="16">
        <f t="shared" si="18"/>
        <v>7400</v>
      </c>
      <c r="G113" s="17">
        <f t="shared" si="19"/>
        <v>13.380904054054056</v>
      </c>
      <c r="H113" s="15">
        <f t="shared" si="20"/>
        <v>99018.690000000017</v>
      </c>
      <c r="I113" s="15">
        <f t="shared" si="21"/>
        <v>-7554.6900000000169</v>
      </c>
      <c r="J113" s="33">
        <f t="shared" si="22"/>
        <v>-7.6295596316210815E-2</v>
      </c>
      <c r="K113" s="15">
        <f t="shared" si="23"/>
        <v>91464</v>
      </c>
      <c r="L113" s="15">
        <f t="shared" si="9"/>
        <v>-4145</v>
      </c>
      <c r="M113" s="15"/>
      <c r="N113" s="15"/>
      <c r="O113" s="15"/>
      <c r="P113" s="17"/>
      <c r="Q113" s="31">
        <f t="shared" si="10"/>
        <v>-6185</v>
      </c>
      <c r="R113" s="34">
        <f t="shared" si="17"/>
        <v>5</v>
      </c>
      <c r="S113" s="273"/>
      <c r="T113" s="273"/>
      <c r="U113" s="273"/>
      <c r="V113" s="22"/>
      <c r="W113" s="272"/>
      <c r="X113" s="272"/>
      <c r="Y113" s="272"/>
      <c r="Z113" s="274"/>
      <c r="AA113" s="22"/>
      <c r="AB113" s="275"/>
      <c r="AC113" s="40"/>
      <c r="AD113" s="40"/>
    </row>
    <row r="114" spans="1:30" s="1" customFormat="1" x14ac:dyDescent="0.25">
      <c r="A114" s="162">
        <v>42866</v>
      </c>
      <c r="B114" s="63"/>
      <c r="C114" s="46" t="s">
        <v>63</v>
      </c>
      <c r="D114" s="16">
        <v>500</v>
      </c>
      <c r="E114" s="15">
        <v>12.02</v>
      </c>
      <c r="F114" s="16">
        <f t="shared" si="18"/>
        <v>7900</v>
      </c>
      <c r="G114" s="17">
        <f t="shared" si="19"/>
        <v>13.295403797468357</v>
      </c>
      <c r="H114" s="15">
        <f t="shared" si="20"/>
        <v>105033.69000000002</v>
      </c>
      <c r="I114" s="15">
        <f t="shared" si="21"/>
        <v>-10075.690000000017</v>
      </c>
      <c r="J114" s="33">
        <f t="shared" si="22"/>
        <v>-9.5928173141398898E-2</v>
      </c>
      <c r="K114" s="15">
        <f t="shared" si="23"/>
        <v>94958</v>
      </c>
      <c r="L114" s="15">
        <f t="shared" si="9"/>
        <v>-2521</v>
      </c>
      <c r="M114" s="15"/>
      <c r="N114" s="15"/>
      <c r="O114" s="15"/>
      <c r="P114" s="17"/>
      <c r="Q114" s="31">
        <f t="shared" si="10"/>
        <v>-6015</v>
      </c>
      <c r="R114" s="34">
        <f t="shared" si="17"/>
        <v>5</v>
      </c>
      <c r="S114" s="273"/>
      <c r="T114" s="273"/>
      <c r="U114" s="273"/>
      <c r="V114" s="22"/>
      <c r="W114" s="272"/>
      <c r="X114" s="272"/>
      <c r="Y114" s="272"/>
      <c r="Z114" s="274"/>
      <c r="AA114" s="22"/>
      <c r="AB114" s="275"/>
      <c r="AC114" s="40"/>
      <c r="AD114" s="40"/>
    </row>
    <row r="115" spans="1:30" s="1" customFormat="1" x14ac:dyDescent="0.25">
      <c r="A115" s="162">
        <v>42866</v>
      </c>
      <c r="B115" s="63"/>
      <c r="C115" s="46" t="s">
        <v>63</v>
      </c>
      <c r="D115" s="16">
        <v>500</v>
      </c>
      <c r="E115" s="15">
        <v>11.78</v>
      </c>
      <c r="F115" s="16">
        <f t="shared" si="18"/>
        <v>8400</v>
      </c>
      <c r="G115" s="17">
        <f t="shared" si="19"/>
        <v>13.20579642857143</v>
      </c>
      <c r="H115" s="15">
        <f t="shared" si="20"/>
        <v>110928.69000000002</v>
      </c>
      <c r="I115" s="15">
        <f t="shared" si="21"/>
        <v>-11976.690000000017</v>
      </c>
      <c r="J115" s="33">
        <f t="shared" si="22"/>
        <v>-0.10796746991242769</v>
      </c>
      <c r="K115" s="15">
        <f t="shared" si="23"/>
        <v>98952</v>
      </c>
      <c r="L115" s="15">
        <f t="shared" si="9"/>
        <v>-1901</v>
      </c>
      <c r="M115" s="15"/>
      <c r="N115" s="15"/>
      <c r="O115" s="15"/>
      <c r="P115" s="17"/>
      <c r="Q115" s="31">
        <f t="shared" si="10"/>
        <v>-5895</v>
      </c>
      <c r="R115" s="34">
        <f t="shared" si="17"/>
        <v>5</v>
      </c>
      <c r="S115" s="273"/>
      <c r="T115" s="273"/>
      <c r="U115" s="273"/>
      <c r="V115" s="22"/>
      <c r="W115" s="272"/>
      <c r="X115" s="272"/>
      <c r="Y115" s="272"/>
      <c r="Z115" s="274"/>
      <c r="AA115" s="22"/>
      <c r="AB115" s="275"/>
      <c r="AC115" s="40"/>
      <c r="AD115" s="40"/>
    </row>
    <row r="116" spans="1:30" s="1" customFormat="1" x14ac:dyDescent="0.25">
      <c r="A116" s="162">
        <v>42866</v>
      </c>
      <c r="B116" s="63" t="s">
        <v>548</v>
      </c>
      <c r="C116" s="46" t="s">
        <v>69</v>
      </c>
      <c r="D116" s="16">
        <v>400</v>
      </c>
      <c r="E116" s="15">
        <v>12.1</v>
      </c>
      <c r="F116" s="16">
        <f t="shared" si="18"/>
        <v>8000</v>
      </c>
      <c r="G116" s="17">
        <f t="shared" si="19"/>
        <v>13.262316250000001</v>
      </c>
      <c r="H116" s="15">
        <f t="shared" si="20"/>
        <v>106098.53000000001</v>
      </c>
      <c r="I116" s="15">
        <f t="shared" si="21"/>
        <v>-9298.5300000000134</v>
      </c>
      <c r="J116" s="33">
        <f t="shared" si="22"/>
        <v>-8.7640516791326076E-2</v>
      </c>
      <c r="K116" s="15">
        <f t="shared" si="23"/>
        <v>96800</v>
      </c>
      <c r="L116" s="15">
        <f t="shared" si="9"/>
        <v>2678.1600000000035</v>
      </c>
      <c r="M116" s="15"/>
      <c r="N116" s="15"/>
      <c r="O116" s="15"/>
      <c r="P116" s="17"/>
      <c r="Q116" s="31">
        <f t="shared" si="10"/>
        <v>4830.1600000000035</v>
      </c>
      <c r="R116" s="34">
        <f t="shared" si="17"/>
        <v>9.84</v>
      </c>
      <c r="S116" s="273"/>
      <c r="T116" s="273"/>
      <c r="U116" s="273"/>
      <c r="V116" s="22"/>
      <c r="W116" s="272"/>
      <c r="X116" s="272"/>
      <c r="Y116" s="272"/>
      <c r="Z116" s="274"/>
      <c r="AA116" s="22"/>
      <c r="AB116" s="275"/>
      <c r="AC116" s="40"/>
      <c r="AD116" s="40"/>
    </row>
    <row r="117" spans="1:30" s="1" customFormat="1" x14ac:dyDescent="0.25">
      <c r="A117" s="162">
        <v>42871</v>
      </c>
      <c r="B117" s="63" t="s">
        <v>549</v>
      </c>
      <c r="C117" s="46" t="s">
        <v>69</v>
      </c>
      <c r="D117" s="16">
        <v>400</v>
      </c>
      <c r="E117" s="15">
        <v>11.98</v>
      </c>
      <c r="F117" s="16">
        <f t="shared" si="18"/>
        <v>7600</v>
      </c>
      <c r="G117" s="17">
        <f t="shared" si="19"/>
        <v>13.331095000000001</v>
      </c>
      <c r="H117" s="15">
        <f t="shared" si="20"/>
        <v>101316.32200000001</v>
      </c>
      <c r="I117" s="15">
        <f t="shared" si="21"/>
        <v>-10268.322000000015</v>
      </c>
      <c r="J117" s="33">
        <f t="shared" si="22"/>
        <v>-0.10134913898670744</v>
      </c>
      <c r="K117" s="15">
        <f t="shared" si="23"/>
        <v>91048</v>
      </c>
      <c r="L117" s="15">
        <f t="shared" si="9"/>
        <v>-969.79200000000128</v>
      </c>
      <c r="M117" s="15"/>
      <c r="N117" s="15"/>
      <c r="O117" s="15"/>
      <c r="P117" s="17"/>
      <c r="Q117" s="31">
        <f t="shared" si="10"/>
        <v>4782.2079999999987</v>
      </c>
      <c r="R117" s="34">
        <f t="shared" si="17"/>
        <v>9.7919999999999998</v>
      </c>
      <c r="S117" s="273"/>
      <c r="T117" s="273"/>
      <c r="U117" s="273"/>
      <c r="V117" s="22"/>
      <c r="W117" s="272"/>
      <c r="X117" s="272"/>
      <c r="Y117" s="272"/>
      <c r="Z117" s="274"/>
      <c r="AA117" s="22"/>
      <c r="AB117" s="275"/>
      <c r="AC117" s="40"/>
      <c r="AD117" s="40"/>
    </row>
    <row r="118" spans="1:30" s="1" customFormat="1" x14ac:dyDescent="0.25">
      <c r="A118" s="162">
        <v>42872</v>
      </c>
      <c r="B118" s="63"/>
      <c r="C118" s="46" t="s">
        <v>69</v>
      </c>
      <c r="D118" s="16">
        <v>400</v>
      </c>
      <c r="E118" s="15">
        <v>12.16</v>
      </c>
      <c r="F118" s="16">
        <f t="shared" si="18"/>
        <v>7200</v>
      </c>
      <c r="G118" s="17">
        <f t="shared" si="19"/>
        <v>13.397525833333335</v>
      </c>
      <c r="H118" s="15">
        <f t="shared" si="20"/>
        <v>96462.186000000016</v>
      </c>
      <c r="I118" s="15">
        <f t="shared" si="21"/>
        <v>-8910.1860000000161</v>
      </c>
      <c r="J118" s="33">
        <f t="shared" si="22"/>
        <v>-9.2369729211817866E-2</v>
      </c>
      <c r="K118" s="15">
        <f t="shared" si="23"/>
        <v>87552</v>
      </c>
      <c r="L118" s="15">
        <f t="shared" si="9"/>
        <v>1358.1359999999986</v>
      </c>
      <c r="M118" s="15"/>
      <c r="N118" s="15"/>
      <c r="O118" s="15"/>
      <c r="P118" s="17"/>
      <c r="Q118" s="31">
        <f t="shared" si="10"/>
        <v>4854.1359999999986</v>
      </c>
      <c r="R118" s="34">
        <f t="shared" si="17"/>
        <v>9.8640000000000008</v>
      </c>
      <c r="S118" s="273"/>
      <c r="T118" s="273"/>
      <c r="U118" s="273"/>
      <c r="V118" s="22"/>
      <c r="W118" s="272"/>
      <c r="X118" s="272"/>
      <c r="Y118" s="272"/>
      <c r="Z118" s="274"/>
      <c r="AA118" s="22"/>
      <c r="AB118" s="275"/>
      <c r="AC118" s="40"/>
      <c r="AD118" s="40"/>
    </row>
    <row r="119" spans="1:30" s="1" customFormat="1" x14ac:dyDescent="0.25">
      <c r="A119" s="162">
        <v>42877</v>
      </c>
      <c r="B119" s="63" t="s">
        <v>418</v>
      </c>
      <c r="C119" s="46" t="s">
        <v>69</v>
      </c>
      <c r="D119" s="16">
        <v>400</v>
      </c>
      <c r="E119" s="15">
        <v>12.48</v>
      </c>
      <c r="F119" s="16">
        <f t="shared" si="18"/>
        <v>6800</v>
      </c>
      <c r="G119" s="17">
        <f t="shared" si="19"/>
        <v>13.452967352941178</v>
      </c>
      <c r="H119" s="15">
        <f t="shared" si="20"/>
        <v>91480.178000000014</v>
      </c>
      <c r="I119" s="15">
        <f t="shared" si="21"/>
        <v>-6616.1780000000144</v>
      </c>
      <c r="J119" s="33">
        <f t="shared" si="22"/>
        <v>-7.2323624031426836E-2</v>
      </c>
      <c r="K119" s="15">
        <f t="shared" si="23"/>
        <v>84864</v>
      </c>
      <c r="L119" s="15">
        <f t="shared" si="9"/>
        <v>2294.0080000000016</v>
      </c>
      <c r="M119" s="15"/>
      <c r="N119" s="15"/>
      <c r="O119" s="15"/>
      <c r="P119" s="17"/>
      <c r="Q119" s="31">
        <f t="shared" si="10"/>
        <v>4982.0080000000016</v>
      </c>
      <c r="R119" s="34">
        <f t="shared" si="17"/>
        <v>9.9920000000000009</v>
      </c>
      <c r="S119" s="273"/>
      <c r="T119" s="273"/>
      <c r="U119" s="273"/>
      <c r="V119" s="22"/>
      <c r="W119" s="272"/>
      <c r="X119" s="272"/>
      <c r="Y119" s="272"/>
      <c r="Z119" s="274"/>
      <c r="AA119" s="22"/>
      <c r="AB119" s="275"/>
      <c r="AC119" s="40"/>
      <c r="AD119" s="40"/>
    </row>
    <row r="120" spans="1:30" s="1" customFormat="1" x14ac:dyDescent="0.25">
      <c r="A120" s="162">
        <v>42878</v>
      </c>
      <c r="B120" s="63"/>
      <c r="C120" s="46" t="s">
        <v>69</v>
      </c>
      <c r="D120" s="16">
        <v>400</v>
      </c>
      <c r="E120" s="15">
        <v>12.9</v>
      </c>
      <c r="F120" s="16">
        <f t="shared" si="18"/>
        <v>6400</v>
      </c>
      <c r="G120" s="17">
        <f t="shared" si="19"/>
        <v>13.489115312500003</v>
      </c>
      <c r="H120" s="15">
        <f t="shared" si="20"/>
        <v>86330.338000000018</v>
      </c>
      <c r="I120" s="15">
        <f t="shared" si="21"/>
        <v>-3770.3380000000179</v>
      </c>
      <c r="J120" s="33">
        <f t="shared" si="22"/>
        <v>-4.3673383973082722E-2</v>
      </c>
      <c r="K120" s="15">
        <f t="shared" si="23"/>
        <v>82560</v>
      </c>
      <c r="L120" s="15">
        <f t="shared" si="9"/>
        <v>2845.8399999999965</v>
      </c>
      <c r="M120" s="15"/>
      <c r="N120" s="15"/>
      <c r="O120" s="15"/>
      <c r="P120" s="17"/>
      <c r="Q120" s="31">
        <f t="shared" si="10"/>
        <v>5149.8399999999965</v>
      </c>
      <c r="R120" s="34">
        <f t="shared" si="17"/>
        <v>10.16</v>
      </c>
      <c r="S120" s="273"/>
      <c r="T120" s="273"/>
      <c r="U120" s="273"/>
      <c r="V120" s="22"/>
      <c r="W120" s="272"/>
      <c r="X120" s="272"/>
      <c r="Y120" s="272"/>
      <c r="Z120" s="274"/>
      <c r="AA120" s="22"/>
      <c r="AB120" s="275"/>
      <c r="AC120" s="40"/>
      <c r="AD120" s="40"/>
    </row>
    <row r="121" spans="1:30" s="1" customFormat="1" x14ac:dyDescent="0.25">
      <c r="A121" s="162">
        <v>42878</v>
      </c>
      <c r="B121" s="63" t="s">
        <v>419</v>
      </c>
      <c r="C121" s="46" t="s">
        <v>69</v>
      </c>
      <c r="D121" s="16">
        <v>400</v>
      </c>
      <c r="E121" s="15">
        <v>13.09</v>
      </c>
      <c r="F121" s="16">
        <f t="shared" si="18"/>
        <v>6000</v>
      </c>
      <c r="G121" s="17">
        <f t="shared" si="19"/>
        <v>13.517429000000003</v>
      </c>
      <c r="H121" s="15">
        <f t="shared" si="20"/>
        <v>81104.574000000022</v>
      </c>
      <c r="I121" s="15">
        <f t="shared" si="21"/>
        <v>-2564.5740000000224</v>
      </c>
      <c r="J121" s="33">
        <f t="shared" si="22"/>
        <v>-3.1620584062250559E-2</v>
      </c>
      <c r="K121" s="15">
        <f t="shared" si="23"/>
        <v>78540</v>
      </c>
      <c r="L121" s="15">
        <f t="shared" si="9"/>
        <v>1205.7639999999956</v>
      </c>
      <c r="M121" s="15"/>
      <c r="N121" s="15"/>
      <c r="O121" s="15"/>
      <c r="P121" s="17"/>
      <c r="Q121" s="31">
        <f t="shared" si="10"/>
        <v>5225.7639999999956</v>
      </c>
      <c r="R121" s="34">
        <f t="shared" si="17"/>
        <v>10.236000000000001</v>
      </c>
      <c r="S121" s="273"/>
      <c r="T121" s="273"/>
      <c r="U121" s="273"/>
      <c r="V121" s="22"/>
      <c r="W121" s="272"/>
      <c r="X121" s="272"/>
      <c r="Y121" s="272"/>
      <c r="Z121" s="274"/>
      <c r="AA121" s="22"/>
      <c r="AB121" s="275"/>
      <c r="AC121" s="40"/>
      <c r="AD121" s="40"/>
    </row>
    <row r="122" spans="1:30" s="1" customFormat="1" x14ac:dyDescent="0.25">
      <c r="A122" s="162">
        <v>42879</v>
      </c>
      <c r="B122" s="63" t="s">
        <v>410</v>
      </c>
      <c r="C122" s="46" t="s">
        <v>63</v>
      </c>
      <c r="D122" s="16">
        <v>500</v>
      </c>
      <c r="E122" s="15">
        <v>11.98</v>
      </c>
      <c r="F122" s="16">
        <f t="shared" si="18"/>
        <v>6500</v>
      </c>
      <c r="G122" s="17">
        <f t="shared" si="19"/>
        <v>13.399934461538464</v>
      </c>
      <c r="H122" s="15">
        <f t="shared" si="20"/>
        <v>87099.574000000022</v>
      </c>
      <c r="I122" s="15">
        <f t="shared" si="21"/>
        <v>-9229.5740000000224</v>
      </c>
      <c r="J122" s="33">
        <f t="shared" si="22"/>
        <v>-0.10596577659495801</v>
      </c>
      <c r="K122" s="15">
        <f t="shared" si="23"/>
        <v>77870</v>
      </c>
      <c r="L122" s="15">
        <f t="shared" si="9"/>
        <v>-6665</v>
      </c>
      <c r="M122" s="15"/>
      <c r="N122" s="15"/>
      <c r="O122" s="15"/>
      <c r="P122" s="17"/>
      <c r="Q122" s="31">
        <f t="shared" si="10"/>
        <v>-5995</v>
      </c>
      <c r="R122" s="34">
        <f t="shared" si="17"/>
        <v>5</v>
      </c>
      <c r="S122" s="273"/>
      <c r="T122" s="273"/>
      <c r="U122" s="273"/>
      <c r="V122" s="22"/>
      <c r="W122" s="272"/>
      <c r="X122" s="272"/>
      <c r="Y122" s="272"/>
      <c r="Z122" s="274"/>
      <c r="AA122" s="22"/>
      <c r="AB122" s="275"/>
      <c r="AC122" s="40"/>
      <c r="AD122" s="40"/>
    </row>
    <row r="123" spans="1:30" s="1" customFormat="1" x14ac:dyDescent="0.25">
      <c r="A123" s="162">
        <v>42879</v>
      </c>
      <c r="B123" s="63" t="s">
        <v>550</v>
      </c>
      <c r="C123" s="46" t="s">
        <v>63</v>
      </c>
      <c r="D123" s="16">
        <v>500</v>
      </c>
      <c r="E123" s="15">
        <v>11.36</v>
      </c>
      <c r="F123" s="16">
        <f t="shared" si="18"/>
        <v>7000</v>
      </c>
      <c r="G123" s="17">
        <f t="shared" si="19"/>
        <v>13.254939142857147</v>
      </c>
      <c r="H123" s="15">
        <f t="shared" si="20"/>
        <v>92784.574000000022</v>
      </c>
      <c r="I123" s="15">
        <f t="shared" si="21"/>
        <v>-13264.574000000022</v>
      </c>
      <c r="J123" s="33">
        <f t="shared" si="22"/>
        <v>-0.1429609840101225</v>
      </c>
      <c r="K123" s="15">
        <f t="shared" si="23"/>
        <v>79520</v>
      </c>
      <c r="L123" s="15">
        <f t="shared" si="9"/>
        <v>-4035</v>
      </c>
      <c r="M123" s="15"/>
      <c r="N123" s="15"/>
      <c r="O123" s="15"/>
      <c r="P123" s="17"/>
      <c r="Q123" s="31">
        <f t="shared" si="10"/>
        <v>-5685</v>
      </c>
      <c r="R123" s="34">
        <f t="shared" si="17"/>
        <v>5</v>
      </c>
      <c r="S123" s="273"/>
      <c r="T123" s="273"/>
      <c r="U123" s="273"/>
      <c r="V123" s="22"/>
      <c r="W123" s="272"/>
      <c r="X123" s="272"/>
      <c r="Y123" s="272"/>
      <c r="Z123" s="274"/>
      <c r="AA123" s="22"/>
      <c r="AB123" s="275"/>
      <c r="AC123" s="40"/>
      <c r="AD123" s="40"/>
    </row>
    <row r="124" spans="1:30" s="1" customFormat="1" x14ac:dyDescent="0.25">
      <c r="A124" s="162">
        <v>42879</v>
      </c>
      <c r="B124" s="63"/>
      <c r="C124" s="46" t="s">
        <v>69</v>
      </c>
      <c r="D124" s="16">
        <v>400</v>
      </c>
      <c r="E124" s="15">
        <v>12.04</v>
      </c>
      <c r="F124" s="16">
        <f t="shared" si="18"/>
        <v>6600</v>
      </c>
      <c r="G124" s="17">
        <f t="shared" si="19"/>
        <v>13.330059090909096</v>
      </c>
      <c r="H124" s="15">
        <f t="shared" si="20"/>
        <v>87978.390000000029</v>
      </c>
      <c r="I124" s="15">
        <f t="shared" si="21"/>
        <v>-8514.3900000000285</v>
      </c>
      <c r="J124" s="33">
        <f t="shared" si="22"/>
        <v>-9.6778197464173127E-2</v>
      </c>
      <c r="K124" s="15">
        <f t="shared" si="23"/>
        <v>79464</v>
      </c>
      <c r="L124" s="15">
        <f t="shared" si="9"/>
        <v>4750.1839999999938</v>
      </c>
      <c r="M124" s="15"/>
      <c r="N124" s="15"/>
      <c r="O124" s="15"/>
      <c r="P124" s="17"/>
      <c r="Q124" s="31">
        <f t="shared" si="10"/>
        <v>4806.1839999999938</v>
      </c>
      <c r="R124" s="34">
        <f t="shared" si="17"/>
        <v>9.8159999999999989</v>
      </c>
      <c r="S124" s="273"/>
      <c r="T124" s="273"/>
      <c r="U124" s="273"/>
      <c r="V124" s="22"/>
      <c r="W124" s="272"/>
      <c r="X124" s="272"/>
      <c r="Y124" s="272"/>
      <c r="Z124" s="274"/>
      <c r="AA124" s="22"/>
      <c r="AB124" s="275"/>
      <c r="AC124" s="40"/>
      <c r="AD124" s="40"/>
    </row>
    <row r="125" spans="1:30" s="1" customFormat="1" x14ac:dyDescent="0.25">
      <c r="A125" s="162">
        <v>42880</v>
      </c>
      <c r="B125" s="63"/>
      <c r="C125" s="46" t="s">
        <v>69</v>
      </c>
      <c r="D125" s="16">
        <v>400</v>
      </c>
      <c r="E125" s="15">
        <v>12.29</v>
      </c>
      <c r="F125" s="16">
        <f t="shared" si="18"/>
        <v>6200</v>
      </c>
      <c r="G125" s="17">
        <f t="shared" si="19"/>
        <v>13.398759032258068</v>
      </c>
      <c r="H125" s="15">
        <f t="shared" si="20"/>
        <v>83072.306000000026</v>
      </c>
      <c r="I125" s="15">
        <f t="shared" si="21"/>
        <v>-6874.306000000026</v>
      </c>
      <c r="J125" s="33">
        <f t="shared" si="22"/>
        <v>-8.2750874882419015E-2</v>
      </c>
      <c r="K125" s="15">
        <f t="shared" si="23"/>
        <v>76198</v>
      </c>
      <c r="L125" s="15">
        <f t="shared" si="9"/>
        <v>1640.0840000000026</v>
      </c>
      <c r="M125" s="15"/>
      <c r="N125" s="15"/>
      <c r="O125" s="15"/>
      <c r="P125" s="17"/>
      <c r="Q125" s="31">
        <f t="shared" si="10"/>
        <v>4906.0840000000026</v>
      </c>
      <c r="R125" s="34">
        <f t="shared" si="17"/>
        <v>9.9160000000000004</v>
      </c>
      <c r="S125" s="273"/>
      <c r="T125" s="273"/>
      <c r="U125" s="273"/>
      <c r="V125" s="22"/>
      <c r="W125" s="272"/>
      <c r="X125" s="272"/>
      <c r="Y125" s="272"/>
      <c r="Z125" s="274"/>
      <c r="AA125" s="22"/>
      <c r="AB125" s="275"/>
      <c r="AC125" s="40"/>
      <c r="AD125" s="40"/>
    </row>
    <row r="126" spans="1:30" s="1" customFormat="1" x14ac:dyDescent="0.25">
      <c r="A126" s="162">
        <v>42881</v>
      </c>
      <c r="B126" s="63" t="s">
        <v>551</v>
      </c>
      <c r="C126" s="46" t="s">
        <v>69</v>
      </c>
      <c r="D126" s="16">
        <v>400</v>
      </c>
      <c r="E126" s="15">
        <v>13.61</v>
      </c>
      <c r="F126" s="16">
        <f t="shared" si="18"/>
        <v>5800</v>
      </c>
      <c r="G126" s="17">
        <f t="shared" si="19"/>
        <v>13.385991379310349</v>
      </c>
      <c r="H126" s="15">
        <f t="shared" si="20"/>
        <v>77638.750000000029</v>
      </c>
      <c r="I126" s="15">
        <f t="shared" si="21"/>
        <v>1299.2499999999709</v>
      </c>
      <c r="J126" s="33">
        <f t="shared" si="22"/>
        <v>1.673455587577043E-2</v>
      </c>
      <c r="K126" s="15">
        <f t="shared" si="23"/>
        <v>78938</v>
      </c>
      <c r="L126" s="15">
        <f t="shared" si="9"/>
        <v>8173.5559999999969</v>
      </c>
      <c r="M126" s="15"/>
      <c r="N126" s="15"/>
      <c r="O126" s="15"/>
      <c r="P126" s="17"/>
      <c r="Q126" s="31">
        <f t="shared" si="10"/>
        <v>5433.5559999999969</v>
      </c>
      <c r="R126" s="34">
        <f t="shared" si="17"/>
        <v>10.443999999999999</v>
      </c>
      <c r="S126" s="273"/>
      <c r="T126" s="273"/>
      <c r="U126" s="273"/>
      <c r="V126" s="22"/>
      <c r="W126" s="272"/>
      <c r="X126" s="272"/>
      <c r="Y126" s="272"/>
      <c r="Z126" s="274"/>
      <c r="AA126" s="22"/>
      <c r="AB126" s="275"/>
      <c r="AC126" s="40"/>
      <c r="AD126" s="40"/>
    </row>
    <row r="127" spans="1:30" s="1" customFormat="1" x14ac:dyDescent="0.25">
      <c r="A127" s="162">
        <v>42886</v>
      </c>
      <c r="B127" s="63"/>
      <c r="C127" s="46" t="s">
        <v>69</v>
      </c>
      <c r="D127" s="16">
        <v>400</v>
      </c>
      <c r="E127" s="15">
        <v>14.52</v>
      </c>
      <c r="F127" s="16">
        <f t="shared" si="18"/>
        <v>5400</v>
      </c>
      <c r="G127" s="17">
        <f t="shared" si="19"/>
        <v>13.303992222222229</v>
      </c>
      <c r="H127" s="15">
        <f t="shared" si="20"/>
        <v>71841.558000000034</v>
      </c>
      <c r="I127" s="15">
        <f t="shared" si="21"/>
        <v>6566.4419999999664</v>
      </c>
      <c r="J127" s="33">
        <f t="shared" si="22"/>
        <v>9.1401720435962105E-2</v>
      </c>
      <c r="K127" s="15">
        <f t="shared" si="23"/>
        <v>78408</v>
      </c>
      <c r="L127" s="15">
        <f t="shared" si="9"/>
        <v>5267.1919999999955</v>
      </c>
      <c r="M127" s="15"/>
      <c r="N127" s="15"/>
      <c r="O127" s="15"/>
      <c r="P127" s="17"/>
      <c r="Q127" s="31">
        <f t="shared" si="10"/>
        <v>5797.1919999999955</v>
      </c>
      <c r="R127" s="34">
        <f t="shared" si="17"/>
        <v>10.808</v>
      </c>
      <c r="S127" s="273"/>
      <c r="T127" s="273"/>
      <c r="U127" s="273"/>
      <c r="V127" s="22"/>
      <c r="W127" s="272"/>
      <c r="X127" s="272"/>
      <c r="Y127" s="272"/>
      <c r="Z127" s="274"/>
      <c r="AA127" s="22"/>
      <c r="AB127" s="275"/>
      <c r="AC127" s="40"/>
      <c r="AD127" s="40"/>
    </row>
    <row r="128" spans="1:30" s="1" customFormat="1" x14ac:dyDescent="0.25">
      <c r="A128" s="162">
        <v>42886</v>
      </c>
      <c r="B128" s="63" t="s">
        <v>552</v>
      </c>
      <c r="C128" s="46" t="s">
        <v>69</v>
      </c>
      <c r="D128" s="16">
        <v>400</v>
      </c>
      <c r="E128" s="15">
        <v>14.88</v>
      </c>
      <c r="F128" s="16">
        <f t="shared" si="18"/>
        <v>5000</v>
      </c>
      <c r="G128" s="17">
        <f t="shared" si="19"/>
        <v>13.180102000000007</v>
      </c>
      <c r="H128" s="15">
        <f t="shared" si="20"/>
        <v>65900.510000000038</v>
      </c>
      <c r="I128" s="15">
        <f t="shared" si="21"/>
        <v>8499.4899999999616</v>
      </c>
      <c r="J128" s="33">
        <f t="shared" si="22"/>
        <v>0.12897457090999698</v>
      </c>
      <c r="K128" s="15">
        <f t="shared" si="23"/>
        <v>74400</v>
      </c>
      <c r="L128" s="15">
        <f t="shared" si="9"/>
        <v>1933.0479999999952</v>
      </c>
      <c r="M128" s="15"/>
      <c r="N128" s="15"/>
      <c r="O128" s="15"/>
      <c r="P128" s="17"/>
      <c r="Q128" s="31">
        <f t="shared" si="10"/>
        <v>5941.0479999999952</v>
      </c>
      <c r="R128" s="34">
        <f t="shared" si="17"/>
        <v>10.952</v>
      </c>
      <c r="S128" s="273"/>
      <c r="T128" s="273"/>
      <c r="U128" s="273"/>
      <c r="V128" s="22"/>
      <c r="W128" s="272"/>
      <c r="X128" s="272"/>
      <c r="Y128" s="272"/>
      <c r="Z128" s="274"/>
      <c r="AA128" s="22"/>
      <c r="AB128" s="275"/>
      <c r="AC128" s="40"/>
      <c r="AD128" s="40"/>
    </row>
    <row r="129" spans="1:30" s="1" customFormat="1" x14ac:dyDescent="0.25">
      <c r="A129" s="162">
        <v>42886</v>
      </c>
      <c r="B129" s="63" t="s">
        <v>213</v>
      </c>
      <c r="C129" s="46" t="s">
        <v>69</v>
      </c>
      <c r="D129" s="16">
        <v>400</v>
      </c>
      <c r="E129" s="15">
        <v>14.97</v>
      </c>
      <c r="F129" s="16">
        <f t="shared" si="18"/>
        <v>4600</v>
      </c>
      <c r="G129" s="17">
        <f t="shared" si="19"/>
        <v>13.026847391304356</v>
      </c>
      <c r="H129" s="15">
        <f t="shared" si="20"/>
        <v>59923.498000000036</v>
      </c>
      <c r="I129" s="15">
        <f t="shared" si="21"/>
        <v>8938.501999999964</v>
      </c>
      <c r="J129" s="33">
        <f t="shared" si="22"/>
        <v>0.14916522396606352</v>
      </c>
      <c r="K129" s="15">
        <f t="shared" si="23"/>
        <v>68862</v>
      </c>
      <c r="L129" s="15">
        <f t="shared" si="9"/>
        <v>439.01200000000244</v>
      </c>
      <c r="M129" s="15"/>
      <c r="N129" s="15"/>
      <c r="O129" s="15"/>
      <c r="P129" s="17"/>
      <c r="Q129" s="31">
        <f t="shared" si="10"/>
        <v>5977.0120000000024</v>
      </c>
      <c r="R129" s="34">
        <f t="shared" si="17"/>
        <v>10.988</v>
      </c>
      <c r="S129" s="273"/>
      <c r="T129" s="273"/>
      <c r="U129" s="273"/>
      <c r="V129" s="22"/>
      <c r="W129" s="272"/>
      <c r="X129" s="272"/>
      <c r="Y129" s="272"/>
      <c r="Z129" s="274"/>
      <c r="AA129" s="22"/>
      <c r="AB129" s="275"/>
      <c r="AC129" s="40"/>
      <c r="AD129" s="40"/>
    </row>
    <row r="130" spans="1:30" s="1" customFormat="1" x14ac:dyDescent="0.25">
      <c r="A130" s="162">
        <v>42887</v>
      </c>
      <c r="B130" s="63"/>
      <c r="C130" s="46" t="s">
        <v>69</v>
      </c>
      <c r="D130" s="16">
        <v>400</v>
      </c>
      <c r="E130" s="15">
        <v>15.4</v>
      </c>
      <c r="F130" s="16">
        <f t="shared" si="18"/>
        <v>4200</v>
      </c>
      <c r="G130" s="17">
        <f t="shared" si="19"/>
        <v>12.803490000000009</v>
      </c>
      <c r="H130" s="15">
        <f t="shared" si="20"/>
        <v>53774.658000000039</v>
      </c>
      <c r="I130" s="15">
        <f t="shared" si="21"/>
        <v>10905.341999999961</v>
      </c>
      <c r="J130" s="33">
        <f t="shared" si="22"/>
        <v>0.20279704986687141</v>
      </c>
      <c r="K130" s="15">
        <f t="shared" si="23"/>
        <v>64680</v>
      </c>
      <c r="L130" s="15">
        <f t="shared" ref="L130:L193" si="24">I130-I129</f>
        <v>1966.8399999999965</v>
      </c>
      <c r="M130" s="15"/>
      <c r="N130" s="15"/>
      <c r="O130" s="15"/>
      <c r="P130" s="17"/>
      <c r="Q130" s="31">
        <f t="shared" ref="Q130:Q193" si="25">(H130-H129)*-1</f>
        <v>6148.8399999999965</v>
      </c>
      <c r="R130" s="34">
        <f t="shared" si="17"/>
        <v>11.16</v>
      </c>
      <c r="S130" s="273"/>
      <c r="T130" s="273"/>
      <c r="U130" s="273"/>
      <c r="V130" s="22"/>
      <c r="W130" s="272"/>
      <c r="X130" s="272"/>
      <c r="Y130" s="272"/>
      <c r="Z130" s="274"/>
      <c r="AA130" s="22"/>
      <c r="AB130" s="275"/>
      <c r="AC130" s="40"/>
      <c r="AD130" s="40"/>
    </row>
    <row r="131" spans="1:30" s="1" customFormat="1" x14ac:dyDescent="0.25">
      <c r="A131" s="162">
        <v>42888</v>
      </c>
      <c r="B131" s="63"/>
      <c r="C131" s="46" t="s">
        <v>69</v>
      </c>
      <c r="D131" s="16">
        <v>400</v>
      </c>
      <c r="E131" s="15">
        <v>15.47</v>
      </c>
      <c r="F131" s="16">
        <f t="shared" si="18"/>
        <v>3800</v>
      </c>
      <c r="G131" s="17">
        <f t="shared" si="19"/>
        <v>12.525748947368433</v>
      </c>
      <c r="H131" s="15">
        <f t="shared" si="20"/>
        <v>47597.846000000041</v>
      </c>
      <c r="I131" s="15">
        <f t="shared" si="21"/>
        <v>11188.153999999959</v>
      </c>
      <c r="J131" s="33">
        <f t="shared" si="22"/>
        <v>0.23505588887362566</v>
      </c>
      <c r="K131" s="15">
        <f t="shared" si="23"/>
        <v>58786</v>
      </c>
      <c r="L131" s="15">
        <f t="shared" si="24"/>
        <v>282.81199999999808</v>
      </c>
      <c r="M131" s="15"/>
      <c r="N131" s="15"/>
      <c r="O131" s="15"/>
      <c r="P131" s="17"/>
      <c r="Q131" s="31">
        <f t="shared" si="25"/>
        <v>6176.8119999999981</v>
      </c>
      <c r="R131" s="34">
        <f t="shared" si="17"/>
        <v>11.188000000000001</v>
      </c>
      <c r="S131" s="273"/>
      <c r="T131" s="273"/>
      <c r="U131" s="273"/>
      <c r="V131" s="22"/>
      <c r="W131" s="272"/>
      <c r="X131" s="272"/>
      <c r="Y131" s="272"/>
      <c r="Z131" s="274"/>
      <c r="AA131" s="22"/>
      <c r="AB131" s="275"/>
      <c r="AC131" s="40"/>
      <c r="AD131" s="40"/>
    </row>
    <row r="132" spans="1:30" s="1" customFormat="1" x14ac:dyDescent="0.25">
      <c r="A132" s="162">
        <v>42888</v>
      </c>
      <c r="B132" s="63"/>
      <c r="C132" s="46" t="s">
        <v>69</v>
      </c>
      <c r="D132" s="16">
        <v>400</v>
      </c>
      <c r="E132" s="15">
        <v>16.29</v>
      </c>
      <c r="F132" s="16">
        <f t="shared" si="18"/>
        <v>3400</v>
      </c>
      <c r="G132" s="17">
        <f t="shared" si="19"/>
        <v>12.086282941176483</v>
      </c>
      <c r="H132" s="15">
        <f t="shared" si="20"/>
        <v>41093.362000000045</v>
      </c>
      <c r="I132" s="15">
        <f t="shared" si="21"/>
        <v>14292.637999999955</v>
      </c>
      <c r="J132" s="33">
        <f t="shared" si="22"/>
        <v>0.3478089234947469</v>
      </c>
      <c r="K132" s="15">
        <f t="shared" si="23"/>
        <v>55386</v>
      </c>
      <c r="L132" s="15">
        <f t="shared" si="24"/>
        <v>3104.4839999999967</v>
      </c>
      <c r="M132" s="15"/>
      <c r="N132" s="15"/>
      <c r="O132" s="15"/>
      <c r="P132" s="17"/>
      <c r="Q132" s="31">
        <f t="shared" si="25"/>
        <v>6504.4839999999967</v>
      </c>
      <c r="R132" s="34">
        <f t="shared" ref="R132:R195" si="26">commission($B$2,C132,D132,E132)</f>
        <v>11.516</v>
      </c>
      <c r="S132" s="273"/>
      <c r="T132" s="273"/>
      <c r="U132" s="273"/>
      <c r="V132" s="22"/>
      <c r="W132" s="272"/>
      <c r="X132" s="272"/>
      <c r="Y132" s="272"/>
      <c r="Z132" s="274"/>
      <c r="AA132" s="22"/>
      <c r="AB132" s="275"/>
      <c r="AC132" s="40"/>
      <c r="AD132" s="40"/>
    </row>
    <row r="133" spans="1:30" s="1" customFormat="1" x14ac:dyDescent="0.25">
      <c r="A133" s="162">
        <v>42892</v>
      </c>
      <c r="B133" s="63" t="s">
        <v>553</v>
      </c>
      <c r="C133" s="46" t="s">
        <v>63</v>
      </c>
      <c r="D133" s="16">
        <v>500</v>
      </c>
      <c r="E133" s="15">
        <v>15.34</v>
      </c>
      <c r="F133" s="16">
        <f t="shared" si="18"/>
        <v>3900</v>
      </c>
      <c r="G133" s="17">
        <f t="shared" si="19"/>
        <v>12.504708205128217</v>
      </c>
      <c r="H133" s="15">
        <f t="shared" si="20"/>
        <v>48768.362000000045</v>
      </c>
      <c r="I133" s="15">
        <f t="shared" si="21"/>
        <v>11057.637999999955</v>
      </c>
      <c r="J133" s="33">
        <f t="shared" si="22"/>
        <v>0.22673794129070687</v>
      </c>
      <c r="K133" s="15">
        <f t="shared" si="23"/>
        <v>59826</v>
      </c>
      <c r="L133" s="15">
        <f t="shared" si="24"/>
        <v>-3235</v>
      </c>
      <c r="M133" s="15"/>
      <c r="N133" s="15"/>
      <c r="O133" s="15"/>
      <c r="P133" s="17"/>
      <c r="Q133" s="31">
        <f t="shared" si="25"/>
        <v>-7675</v>
      </c>
      <c r="R133" s="34">
        <f t="shared" si="26"/>
        <v>5</v>
      </c>
      <c r="S133" s="273"/>
      <c r="T133" s="273"/>
      <c r="U133" s="273"/>
      <c r="V133" s="22"/>
      <c r="W133" s="272"/>
      <c r="X133" s="272"/>
      <c r="Y133" s="272"/>
      <c r="Z133" s="274"/>
      <c r="AA133" s="22"/>
      <c r="AB133" s="275"/>
      <c r="AC133" s="40"/>
      <c r="AD133" s="40"/>
    </row>
    <row r="134" spans="1:30" s="1" customFormat="1" x14ac:dyDescent="0.25">
      <c r="A134" s="162">
        <v>42893</v>
      </c>
      <c r="B134" s="63"/>
      <c r="C134" s="46" t="s">
        <v>69</v>
      </c>
      <c r="D134" s="16">
        <v>400</v>
      </c>
      <c r="E134" s="15">
        <v>15.61</v>
      </c>
      <c r="F134" s="16">
        <f t="shared" si="18"/>
        <v>3500</v>
      </c>
      <c r="G134" s="17">
        <f t="shared" si="19"/>
        <v>12.153030285714298</v>
      </c>
      <c r="H134" s="15">
        <f t="shared" si="20"/>
        <v>42535.606000000043</v>
      </c>
      <c r="I134" s="15">
        <f t="shared" si="21"/>
        <v>12099.393999999957</v>
      </c>
      <c r="J134" s="33">
        <f t="shared" si="22"/>
        <v>0.28445331189121753</v>
      </c>
      <c r="K134" s="15">
        <f t="shared" si="23"/>
        <v>54635</v>
      </c>
      <c r="L134" s="15">
        <f t="shared" si="24"/>
        <v>1041.7560000000012</v>
      </c>
      <c r="M134" s="15"/>
      <c r="N134" s="15"/>
      <c r="O134" s="15"/>
      <c r="P134" s="17"/>
      <c r="Q134" s="31">
        <f t="shared" si="25"/>
        <v>6232.7560000000012</v>
      </c>
      <c r="R134" s="34">
        <f t="shared" si="26"/>
        <v>11.244</v>
      </c>
      <c r="S134" s="273"/>
      <c r="T134" s="273"/>
      <c r="U134" s="273"/>
      <c r="V134" s="22"/>
      <c r="W134" s="272"/>
      <c r="X134" s="272"/>
      <c r="Y134" s="272"/>
      <c r="Z134" s="274"/>
      <c r="AA134" s="22"/>
      <c r="AB134" s="275"/>
      <c r="AC134" s="40"/>
      <c r="AD134" s="40"/>
    </row>
    <row r="135" spans="1:30" s="1" customFormat="1" x14ac:dyDescent="0.25">
      <c r="A135" s="162">
        <v>42894</v>
      </c>
      <c r="B135" s="63" t="s">
        <v>241</v>
      </c>
      <c r="C135" s="46" t="s">
        <v>63</v>
      </c>
      <c r="D135" s="16">
        <v>500</v>
      </c>
      <c r="E135" s="15">
        <v>15.19</v>
      </c>
      <c r="F135" s="16">
        <f t="shared" si="18"/>
        <v>4000</v>
      </c>
      <c r="G135" s="17">
        <f t="shared" si="19"/>
        <v>12.533901500000011</v>
      </c>
      <c r="H135" s="15">
        <f t="shared" si="20"/>
        <v>50135.606000000043</v>
      </c>
      <c r="I135" s="15">
        <f t="shared" si="21"/>
        <v>10624.393999999957</v>
      </c>
      <c r="J135" s="33">
        <f t="shared" si="22"/>
        <v>0.2119131461181489</v>
      </c>
      <c r="K135" s="15">
        <f t="shared" si="23"/>
        <v>60760</v>
      </c>
      <c r="L135" s="15">
        <f t="shared" si="24"/>
        <v>-1475</v>
      </c>
      <c r="M135" s="15"/>
      <c r="N135" s="15"/>
      <c r="O135" s="15"/>
      <c r="P135" s="17"/>
      <c r="Q135" s="31">
        <f t="shared" si="25"/>
        <v>-7600</v>
      </c>
      <c r="R135" s="34">
        <f t="shared" si="26"/>
        <v>5</v>
      </c>
      <c r="S135" s="273"/>
      <c r="T135" s="273"/>
      <c r="U135" s="273"/>
      <c r="V135" s="22"/>
      <c r="W135" s="272"/>
      <c r="X135" s="272"/>
      <c r="Y135" s="272"/>
      <c r="Z135" s="274"/>
      <c r="AA135" s="22"/>
      <c r="AB135" s="275"/>
      <c r="AC135" s="40"/>
      <c r="AD135" s="40"/>
    </row>
    <row r="136" spans="1:30" s="1" customFormat="1" x14ac:dyDescent="0.25">
      <c r="A136" s="162">
        <v>42898</v>
      </c>
      <c r="B136" s="63" t="s">
        <v>554</v>
      </c>
      <c r="C136" s="46" t="s">
        <v>63</v>
      </c>
      <c r="D136" s="16">
        <v>500</v>
      </c>
      <c r="E136" s="15">
        <v>14.62</v>
      </c>
      <c r="F136" s="16">
        <f t="shared" si="18"/>
        <v>4500</v>
      </c>
      <c r="G136" s="17">
        <f t="shared" si="19"/>
        <v>12.766801333333342</v>
      </c>
      <c r="H136" s="15">
        <f t="shared" si="20"/>
        <v>57450.606000000043</v>
      </c>
      <c r="I136" s="15">
        <f t="shared" si="21"/>
        <v>8339.3939999999566</v>
      </c>
      <c r="J136" s="33">
        <f t="shared" si="22"/>
        <v>0.14515763332418025</v>
      </c>
      <c r="K136" s="15">
        <f t="shared" si="23"/>
        <v>65790</v>
      </c>
      <c r="L136" s="15">
        <f t="shared" si="24"/>
        <v>-2285</v>
      </c>
      <c r="M136" s="15"/>
      <c r="N136" s="15"/>
      <c r="O136" s="15"/>
      <c r="P136" s="17"/>
      <c r="Q136" s="31">
        <f t="shared" si="25"/>
        <v>-7315</v>
      </c>
      <c r="R136" s="34">
        <f t="shared" si="26"/>
        <v>5</v>
      </c>
      <c r="S136" s="273"/>
      <c r="T136" s="273"/>
      <c r="U136" s="273"/>
      <c r="V136" s="22"/>
      <c r="W136" s="272"/>
      <c r="X136" s="272"/>
      <c r="Y136" s="272"/>
      <c r="Z136" s="274"/>
      <c r="AA136" s="22"/>
      <c r="AB136" s="275"/>
      <c r="AC136" s="40"/>
      <c r="AD136" s="40"/>
    </row>
    <row r="137" spans="1:30" s="1" customFormat="1" x14ac:dyDescent="0.25">
      <c r="A137" s="162">
        <v>42898</v>
      </c>
      <c r="B137" s="63" t="s">
        <v>421</v>
      </c>
      <c r="C137" s="46" t="s">
        <v>63</v>
      </c>
      <c r="D137" s="16">
        <v>500</v>
      </c>
      <c r="E137" s="15">
        <v>14.35</v>
      </c>
      <c r="F137" s="16">
        <f t="shared" si="18"/>
        <v>5000</v>
      </c>
      <c r="G137" s="17">
        <f t="shared" si="19"/>
        <v>12.926121200000008</v>
      </c>
      <c r="H137" s="15">
        <f t="shared" si="20"/>
        <v>64630.606000000043</v>
      </c>
      <c r="I137" s="15">
        <f t="shared" si="21"/>
        <v>7119.3939999999566</v>
      </c>
      <c r="J137" s="33">
        <f t="shared" si="22"/>
        <v>0.11015514847563018</v>
      </c>
      <c r="K137" s="15">
        <f t="shared" si="23"/>
        <v>71750</v>
      </c>
      <c r="L137" s="15">
        <f t="shared" si="24"/>
        <v>-1220</v>
      </c>
      <c r="M137" s="15"/>
      <c r="N137" s="15"/>
      <c r="O137" s="15"/>
      <c r="P137" s="17"/>
      <c r="Q137" s="31">
        <f t="shared" si="25"/>
        <v>-7180</v>
      </c>
      <c r="R137" s="34">
        <f t="shared" si="26"/>
        <v>5</v>
      </c>
      <c r="S137" s="273"/>
      <c r="T137" s="273"/>
      <c r="U137" s="273"/>
      <c r="V137" s="22"/>
      <c r="W137" s="272"/>
      <c r="X137" s="272"/>
      <c r="Y137" s="272"/>
      <c r="Z137" s="274"/>
      <c r="AA137" s="22"/>
      <c r="AB137" s="275"/>
      <c r="AC137" s="40"/>
      <c r="AD137" s="40"/>
    </row>
    <row r="138" spans="1:30" s="1" customFormat="1" x14ac:dyDescent="0.25">
      <c r="A138" s="162">
        <v>42900</v>
      </c>
      <c r="B138" s="63" t="s">
        <v>415</v>
      </c>
      <c r="C138" s="46" t="s">
        <v>63</v>
      </c>
      <c r="D138" s="16">
        <v>500</v>
      </c>
      <c r="E138" s="15">
        <v>14.11</v>
      </c>
      <c r="F138" s="16">
        <f t="shared" si="18"/>
        <v>5500</v>
      </c>
      <c r="G138" s="17">
        <f t="shared" si="19"/>
        <v>13.034655636363643</v>
      </c>
      <c r="H138" s="15">
        <f t="shared" si="20"/>
        <v>71690.606000000043</v>
      </c>
      <c r="I138" s="15">
        <f t="shared" si="21"/>
        <v>5914.3939999999566</v>
      </c>
      <c r="J138" s="33">
        <f t="shared" si="22"/>
        <v>8.2498870214599035E-2</v>
      </c>
      <c r="K138" s="15">
        <f t="shared" si="23"/>
        <v>77605</v>
      </c>
      <c r="L138" s="15">
        <f t="shared" si="24"/>
        <v>-1205</v>
      </c>
      <c r="M138" s="15"/>
      <c r="N138" s="15"/>
      <c r="O138" s="15"/>
      <c r="P138" s="17"/>
      <c r="Q138" s="31">
        <f t="shared" si="25"/>
        <v>-7060</v>
      </c>
      <c r="R138" s="34">
        <f t="shared" si="26"/>
        <v>5</v>
      </c>
      <c r="S138" s="273"/>
      <c r="T138" s="273"/>
      <c r="U138" s="273"/>
      <c r="V138" s="22"/>
      <c r="W138" s="272"/>
      <c r="X138" s="272"/>
      <c r="Y138" s="272"/>
      <c r="Z138" s="274"/>
      <c r="AA138" s="22"/>
      <c r="AB138" s="275"/>
      <c r="AC138" s="40"/>
      <c r="AD138" s="40"/>
    </row>
    <row r="139" spans="1:30" s="1" customFormat="1" x14ac:dyDescent="0.25">
      <c r="A139" s="162">
        <v>42905</v>
      </c>
      <c r="B139" s="63"/>
      <c r="C139" s="46" t="s">
        <v>63</v>
      </c>
      <c r="D139" s="16">
        <v>500</v>
      </c>
      <c r="E139" s="15">
        <v>13.84</v>
      </c>
      <c r="F139" s="16">
        <f t="shared" si="18"/>
        <v>6000</v>
      </c>
      <c r="G139" s="17">
        <f t="shared" si="19"/>
        <v>13.102601000000007</v>
      </c>
      <c r="H139" s="15">
        <f t="shared" si="20"/>
        <v>78615.606000000043</v>
      </c>
      <c r="I139" s="15">
        <f t="shared" si="21"/>
        <v>4424.3939999999566</v>
      </c>
      <c r="J139" s="33">
        <f t="shared" si="22"/>
        <v>5.6278825860605265E-2</v>
      </c>
      <c r="K139" s="15">
        <f t="shared" si="23"/>
        <v>83040</v>
      </c>
      <c r="L139" s="15">
        <f t="shared" si="24"/>
        <v>-1490</v>
      </c>
      <c r="M139" s="15"/>
      <c r="N139" s="15"/>
      <c r="O139" s="15"/>
      <c r="P139" s="17"/>
      <c r="Q139" s="31">
        <f t="shared" si="25"/>
        <v>-6925</v>
      </c>
      <c r="R139" s="34">
        <f t="shared" si="26"/>
        <v>5</v>
      </c>
      <c r="S139" s="273"/>
      <c r="T139" s="273"/>
      <c r="U139" s="273"/>
      <c r="V139" s="22"/>
      <c r="W139" s="272"/>
      <c r="X139" s="272"/>
      <c r="Y139" s="272"/>
      <c r="Z139" s="274"/>
      <c r="AA139" s="22"/>
      <c r="AB139" s="275"/>
      <c r="AC139" s="40"/>
      <c r="AD139" s="40"/>
    </row>
    <row r="140" spans="1:30" s="1" customFormat="1" x14ac:dyDescent="0.25">
      <c r="A140" s="162">
        <v>42906</v>
      </c>
      <c r="B140" s="63" t="s">
        <v>555</v>
      </c>
      <c r="C140" s="46" t="s">
        <v>69</v>
      </c>
      <c r="D140" s="16">
        <v>400</v>
      </c>
      <c r="E140" s="15">
        <v>14.12</v>
      </c>
      <c r="F140" s="16">
        <f t="shared" ref="F140:F203" si="27">IF(C140="买",F139+D140,IF(C140="卖",F139-D140,F139))</f>
        <v>5600</v>
      </c>
      <c r="G140" s="17">
        <f t="shared" ref="G140:G203" si="28">H140/F140</f>
        <v>13.031831071428579</v>
      </c>
      <c r="H140" s="15">
        <f t="shared" ref="H140:H203" si="29">IF(C140="买",H139+D140*E140+R140+S140,IF(C140="卖",H139-D140*E140+R140+S140,H139))</f>
        <v>72978.254000000044</v>
      </c>
      <c r="I140" s="15">
        <f t="shared" ref="I140:I203" si="30">-H140+K140</f>
        <v>6093.7459999999555</v>
      </c>
      <c r="J140" s="33">
        <f t="shared" ref="J140:J203" si="31">(E140-G140)/G140</f>
        <v>8.3500846704279194E-2</v>
      </c>
      <c r="K140" s="15">
        <f t="shared" ref="K140:K203" si="32">F140*E140</f>
        <v>79072</v>
      </c>
      <c r="L140" s="15">
        <f t="shared" si="24"/>
        <v>1669.351999999999</v>
      </c>
      <c r="M140" s="15"/>
      <c r="N140" s="15"/>
      <c r="O140" s="15"/>
      <c r="P140" s="17"/>
      <c r="Q140" s="31">
        <f t="shared" si="25"/>
        <v>5637.351999999999</v>
      </c>
      <c r="R140" s="34">
        <f t="shared" si="26"/>
        <v>10.648</v>
      </c>
      <c r="S140" s="273"/>
      <c r="T140" s="273"/>
      <c r="U140" s="273"/>
      <c r="V140" s="22"/>
      <c r="W140" s="272"/>
      <c r="X140" s="272"/>
      <c r="Y140" s="272"/>
      <c r="Z140" s="274"/>
      <c r="AA140" s="22"/>
      <c r="AB140" s="275"/>
      <c r="AC140" s="40"/>
      <c r="AD140" s="40"/>
    </row>
    <row r="141" spans="1:30" s="1" customFormat="1" x14ac:dyDescent="0.25">
      <c r="A141" s="162">
        <v>42907</v>
      </c>
      <c r="B141" s="63"/>
      <c r="C141" s="46" t="s">
        <v>69</v>
      </c>
      <c r="D141" s="16">
        <v>400</v>
      </c>
      <c r="E141" s="15">
        <v>14.52</v>
      </c>
      <c r="F141" s="16">
        <f t="shared" si="27"/>
        <v>5200</v>
      </c>
      <c r="G141" s="17">
        <f t="shared" si="28"/>
        <v>12.919435000000009</v>
      </c>
      <c r="H141" s="15">
        <f t="shared" si="29"/>
        <v>67181.062000000049</v>
      </c>
      <c r="I141" s="15">
        <f t="shared" si="30"/>
        <v>8322.937999999951</v>
      </c>
      <c r="J141" s="33">
        <f t="shared" si="31"/>
        <v>0.12388815764776011</v>
      </c>
      <c r="K141" s="15">
        <f t="shared" si="32"/>
        <v>75504</v>
      </c>
      <c r="L141" s="15">
        <f t="shared" si="24"/>
        <v>2229.1919999999955</v>
      </c>
      <c r="M141" s="15"/>
      <c r="N141" s="15"/>
      <c r="O141" s="15"/>
      <c r="P141" s="17"/>
      <c r="Q141" s="31">
        <f t="shared" si="25"/>
        <v>5797.1919999999955</v>
      </c>
      <c r="R141" s="34">
        <f t="shared" si="26"/>
        <v>10.808</v>
      </c>
      <c r="S141" s="273"/>
      <c r="T141" s="273"/>
      <c r="U141" s="273"/>
      <c r="V141" s="22"/>
      <c r="W141" s="272"/>
      <c r="X141" s="272"/>
      <c r="Y141" s="272"/>
      <c r="Z141" s="274"/>
      <c r="AA141" s="22"/>
      <c r="AB141" s="275"/>
      <c r="AC141" s="40"/>
      <c r="AD141" s="40"/>
    </row>
    <row r="142" spans="1:30" s="1" customFormat="1" x14ac:dyDescent="0.25">
      <c r="A142" s="162">
        <v>42907</v>
      </c>
      <c r="B142" s="63"/>
      <c r="C142" s="46" t="s">
        <v>69</v>
      </c>
      <c r="D142" s="16">
        <v>400</v>
      </c>
      <c r="E142" s="15">
        <v>14.69</v>
      </c>
      <c r="F142" s="16">
        <f t="shared" si="27"/>
        <v>4800</v>
      </c>
      <c r="G142" s="17">
        <f t="shared" si="28"/>
        <v>12.774153750000009</v>
      </c>
      <c r="H142" s="15">
        <f t="shared" si="29"/>
        <v>61315.938000000046</v>
      </c>
      <c r="I142" s="15">
        <f t="shared" si="30"/>
        <v>9196.0619999999544</v>
      </c>
      <c r="J142" s="33">
        <f t="shared" si="31"/>
        <v>0.1499783302670824</v>
      </c>
      <c r="K142" s="15">
        <f t="shared" si="32"/>
        <v>70512</v>
      </c>
      <c r="L142" s="15">
        <f t="shared" si="24"/>
        <v>873.12400000000343</v>
      </c>
      <c r="M142" s="15"/>
      <c r="N142" s="15"/>
      <c r="O142" s="15"/>
      <c r="P142" s="17"/>
      <c r="Q142" s="31">
        <f t="shared" si="25"/>
        <v>5865.1240000000034</v>
      </c>
      <c r="R142" s="34">
        <f t="shared" si="26"/>
        <v>10.875999999999999</v>
      </c>
      <c r="S142" s="273"/>
      <c r="T142" s="273"/>
      <c r="U142" s="273"/>
      <c r="V142" s="22"/>
      <c r="W142" s="272"/>
      <c r="X142" s="272"/>
      <c r="Y142" s="272"/>
      <c r="Z142" s="274"/>
      <c r="AA142" s="22"/>
      <c r="AB142" s="275"/>
      <c r="AC142" s="40"/>
      <c r="AD142" s="40"/>
    </row>
    <row r="143" spans="1:30" s="1" customFormat="1" x14ac:dyDescent="0.25">
      <c r="A143" s="162">
        <v>42908</v>
      </c>
      <c r="B143" s="63" t="s">
        <v>556</v>
      </c>
      <c r="C143" s="46" t="s">
        <v>63</v>
      </c>
      <c r="D143" s="16">
        <v>500</v>
      </c>
      <c r="E143" s="15">
        <v>14.43</v>
      </c>
      <c r="F143" s="16">
        <f t="shared" si="27"/>
        <v>5300</v>
      </c>
      <c r="G143" s="17">
        <f t="shared" si="28"/>
        <v>12.931309056603784</v>
      </c>
      <c r="H143" s="15">
        <f t="shared" si="29"/>
        <v>68535.938000000053</v>
      </c>
      <c r="I143" s="15">
        <f t="shared" si="30"/>
        <v>7943.0619999999471</v>
      </c>
      <c r="J143" s="33">
        <f t="shared" si="31"/>
        <v>0.11589630538068858</v>
      </c>
      <c r="K143" s="15">
        <f t="shared" si="32"/>
        <v>76479</v>
      </c>
      <c r="L143" s="15">
        <f t="shared" si="24"/>
        <v>-1253.0000000000073</v>
      </c>
      <c r="M143" s="15"/>
      <c r="N143" s="15"/>
      <c r="O143" s="15"/>
      <c r="P143" s="17"/>
      <c r="Q143" s="31">
        <f t="shared" si="25"/>
        <v>-7220.0000000000073</v>
      </c>
      <c r="R143" s="34">
        <f t="shared" si="26"/>
        <v>5</v>
      </c>
      <c r="S143" s="273"/>
      <c r="T143" s="273"/>
      <c r="U143" s="273"/>
      <c r="V143" s="22"/>
      <c r="W143" s="272"/>
      <c r="X143" s="272"/>
      <c r="Y143" s="272"/>
      <c r="Z143" s="274"/>
      <c r="AA143" s="22"/>
      <c r="AB143" s="275"/>
      <c r="AC143" s="40"/>
      <c r="AD143" s="40"/>
    </row>
    <row r="144" spans="1:30" s="1" customFormat="1" x14ac:dyDescent="0.25">
      <c r="A144" s="162">
        <v>42908</v>
      </c>
      <c r="B144" s="63" t="s">
        <v>557</v>
      </c>
      <c r="C144" s="46" t="s">
        <v>63</v>
      </c>
      <c r="D144" s="16">
        <v>500</v>
      </c>
      <c r="E144" s="15">
        <v>14.23</v>
      </c>
      <c r="F144" s="16">
        <f t="shared" si="27"/>
        <v>5800</v>
      </c>
      <c r="G144" s="17">
        <f t="shared" si="28"/>
        <v>13.04412724137932</v>
      </c>
      <c r="H144" s="15">
        <f t="shared" si="29"/>
        <v>75655.938000000053</v>
      </c>
      <c r="I144" s="15">
        <f t="shared" si="30"/>
        <v>6878.0619999999471</v>
      </c>
      <c r="J144" s="33">
        <f t="shared" si="31"/>
        <v>9.0912388132706037E-2</v>
      </c>
      <c r="K144" s="15">
        <f t="shared" si="32"/>
        <v>82534</v>
      </c>
      <c r="L144" s="15">
        <f t="shared" si="24"/>
        <v>-1065</v>
      </c>
      <c r="M144" s="15"/>
      <c r="N144" s="15"/>
      <c r="O144" s="15"/>
      <c r="P144" s="17"/>
      <c r="Q144" s="31">
        <f t="shared" si="25"/>
        <v>-7120</v>
      </c>
      <c r="R144" s="34">
        <f t="shared" si="26"/>
        <v>5</v>
      </c>
      <c r="S144" s="273"/>
      <c r="T144" s="273"/>
      <c r="U144" s="273"/>
      <c r="V144" s="22"/>
      <c r="W144" s="272"/>
      <c r="X144" s="272"/>
      <c r="Y144" s="272"/>
      <c r="Z144" s="274"/>
      <c r="AA144" s="22"/>
      <c r="AB144" s="275"/>
      <c r="AC144" s="40"/>
      <c r="AD144" s="40"/>
    </row>
    <row r="145" spans="1:30" s="1" customFormat="1" x14ac:dyDescent="0.25">
      <c r="A145" s="162">
        <v>42908</v>
      </c>
      <c r="B145" s="63"/>
      <c r="C145" s="46" t="s">
        <v>63</v>
      </c>
      <c r="D145" s="16">
        <v>500</v>
      </c>
      <c r="E145" s="15">
        <v>13.94</v>
      </c>
      <c r="F145" s="16">
        <f t="shared" si="27"/>
        <v>6300</v>
      </c>
      <c r="G145" s="17">
        <f t="shared" si="28"/>
        <v>13.116021904761913</v>
      </c>
      <c r="H145" s="15">
        <f t="shared" si="29"/>
        <v>82630.938000000053</v>
      </c>
      <c r="I145" s="15">
        <f t="shared" si="30"/>
        <v>5191.0619999999471</v>
      </c>
      <c r="J145" s="33">
        <f t="shared" si="31"/>
        <v>6.2822256719389291E-2</v>
      </c>
      <c r="K145" s="15">
        <f t="shared" si="32"/>
        <v>87822</v>
      </c>
      <c r="L145" s="15">
        <f t="shared" si="24"/>
        <v>-1687</v>
      </c>
      <c r="M145" s="15"/>
      <c r="N145" s="15"/>
      <c r="O145" s="15"/>
      <c r="P145" s="17"/>
      <c r="Q145" s="31">
        <f t="shared" si="25"/>
        <v>-6975</v>
      </c>
      <c r="R145" s="34">
        <f t="shared" si="26"/>
        <v>5</v>
      </c>
      <c r="S145" s="273"/>
      <c r="T145" s="273"/>
      <c r="U145" s="273"/>
      <c r="V145" s="22"/>
      <c r="W145" s="272"/>
      <c r="X145" s="272"/>
      <c r="Y145" s="272"/>
      <c r="Z145" s="274"/>
      <c r="AA145" s="22"/>
      <c r="AB145" s="275"/>
      <c r="AC145" s="40"/>
      <c r="AD145" s="40"/>
    </row>
    <row r="146" spans="1:30" s="1" customFormat="1" x14ac:dyDescent="0.25">
      <c r="A146" s="162">
        <v>42909</v>
      </c>
      <c r="B146" s="63"/>
      <c r="C146" s="46" t="s">
        <v>63</v>
      </c>
      <c r="D146" s="16">
        <v>500</v>
      </c>
      <c r="E146" s="15">
        <v>13.11</v>
      </c>
      <c r="F146" s="16">
        <f t="shared" si="27"/>
        <v>6800</v>
      </c>
      <c r="G146" s="17">
        <f t="shared" si="28"/>
        <v>13.116314411764714</v>
      </c>
      <c r="H146" s="15">
        <f t="shared" si="29"/>
        <v>89190.938000000053</v>
      </c>
      <c r="I146" s="15">
        <f t="shared" si="30"/>
        <v>-42.938000000052853</v>
      </c>
      <c r="J146" s="33">
        <f t="shared" si="31"/>
        <v>-4.8141662104796368E-4</v>
      </c>
      <c r="K146" s="15">
        <f t="shared" si="32"/>
        <v>89148</v>
      </c>
      <c r="L146" s="15">
        <f t="shared" si="24"/>
        <v>-5234</v>
      </c>
      <c r="M146" s="15"/>
      <c r="N146" s="15"/>
      <c r="O146" s="15"/>
      <c r="P146" s="17"/>
      <c r="Q146" s="31">
        <f t="shared" si="25"/>
        <v>-6560</v>
      </c>
      <c r="R146" s="34">
        <f t="shared" si="26"/>
        <v>5</v>
      </c>
      <c r="S146" s="273"/>
      <c r="T146" s="273"/>
      <c r="U146" s="273"/>
      <c r="V146" s="22"/>
      <c r="W146" s="272"/>
      <c r="X146" s="272"/>
      <c r="Y146" s="272"/>
      <c r="Z146" s="274"/>
      <c r="AA146" s="22"/>
      <c r="AB146" s="275"/>
      <c r="AC146" s="40"/>
      <c r="AD146" s="40"/>
    </row>
    <row r="147" spans="1:30" s="1" customFormat="1" x14ac:dyDescent="0.25">
      <c r="A147" s="162">
        <v>42909</v>
      </c>
      <c r="B147" s="63" t="s">
        <v>558</v>
      </c>
      <c r="C147" s="46" t="s">
        <v>69</v>
      </c>
      <c r="D147" s="16">
        <v>400</v>
      </c>
      <c r="E147" s="15">
        <v>13.34</v>
      </c>
      <c r="F147" s="16">
        <f t="shared" si="27"/>
        <v>6400</v>
      </c>
      <c r="G147" s="17">
        <f t="shared" si="28"/>
        <v>13.103949062500007</v>
      </c>
      <c r="H147" s="15">
        <f t="shared" si="29"/>
        <v>83865.274000000049</v>
      </c>
      <c r="I147" s="15">
        <f t="shared" si="30"/>
        <v>1510.7259999999515</v>
      </c>
      <c r="J147" s="33">
        <f t="shared" si="31"/>
        <v>1.8013725204069009E-2</v>
      </c>
      <c r="K147" s="15">
        <f t="shared" si="32"/>
        <v>85376</v>
      </c>
      <c r="L147" s="15">
        <f t="shared" si="24"/>
        <v>1553.6640000000043</v>
      </c>
      <c r="M147" s="15"/>
      <c r="N147" s="15"/>
      <c r="O147" s="15"/>
      <c r="P147" s="17"/>
      <c r="Q147" s="31">
        <f t="shared" si="25"/>
        <v>5325.6640000000043</v>
      </c>
      <c r="R147" s="34">
        <f t="shared" si="26"/>
        <v>10.336</v>
      </c>
      <c r="S147" s="273"/>
      <c r="T147" s="273"/>
      <c r="U147" s="273"/>
      <c r="V147" s="22"/>
      <c r="W147" s="272"/>
      <c r="X147" s="272"/>
      <c r="Y147" s="272"/>
      <c r="Z147" s="274"/>
      <c r="AA147" s="22"/>
      <c r="AB147" s="275"/>
      <c r="AC147" s="40"/>
      <c r="AD147" s="40"/>
    </row>
    <row r="148" spans="1:30" s="1" customFormat="1" x14ac:dyDescent="0.25">
      <c r="A148" s="162">
        <v>42921</v>
      </c>
      <c r="B148" s="63"/>
      <c r="C148" s="46" t="s">
        <v>63</v>
      </c>
      <c r="D148" s="16">
        <v>500</v>
      </c>
      <c r="E148" s="15">
        <v>13.08</v>
      </c>
      <c r="F148" s="16">
        <f t="shared" si="27"/>
        <v>6900</v>
      </c>
      <c r="G148" s="17">
        <f t="shared" si="28"/>
        <v>13.102938260869573</v>
      </c>
      <c r="H148" s="15">
        <f t="shared" si="29"/>
        <v>90410.274000000049</v>
      </c>
      <c r="I148" s="15">
        <f t="shared" si="30"/>
        <v>-158.27400000004855</v>
      </c>
      <c r="J148" s="33">
        <f t="shared" si="31"/>
        <v>-1.7506196253763517E-3</v>
      </c>
      <c r="K148" s="15">
        <f t="shared" si="32"/>
        <v>90252</v>
      </c>
      <c r="L148" s="15">
        <f t="shared" si="24"/>
        <v>-1669</v>
      </c>
      <c r="M148" s="15"/>
      <c r="N148" s="15"/>
      <c r="O148" s="15"/>
      <c r="P148" s="17"/>
      <c r="Q148" s="31">
        <f t="shared" si="25"/>
        <v>-6545</v>
      </c>
      <c r="R148" s="34">
        <f t="shared" si="26"/>
        <v>5</v>
      </c>
      <c r="S148" s="273"/>
      <c r="T148" s="273"/>
      <c r="U148" s="273"/>
      <c r="V148" s="22"/>
      <c r="W148" s="272"/>
      <c r="X148" s="272"/>
      <c r="Y148" s="272"/>
      <c r="Z148" s="274"/>
      <c r="AA148" s="22"/>
      <c r="AB148" s="275"/>
      <c r="AC148" s="40"/>
      <c r="AD148" s="40"/>
    </row>
    <row r="149" spans="1:30" s="1" customFormat="1" x14ac:dyDescent="0.25">
      <c r="A149" s="162">
        <v>42923</v>
      </c>
      <c r="B149" s="63"/>
      <c r="C149" s="46" t="s">
        <v>63</v>
      </c>
      <c r="D149" s="16">
        <v>500</v>
      </c>
      <c r="E149" s="15">
        <v>12.94</v>
      </c>
      <c r="F149" s="16">
        <f t="shared" si="27"/>
        <v>7400</v>
      </c>
      <c r="G149" s="17">
        <f t="shared" si="28"/>
        <v>13.092604594594601</v>
      </c>
      <c r="H149" s="15">
        <f t="shared" si="29"/>
        <v>96885.274000000049</v>
      </c>
      <c r="I149" s="15">
        <f t="shared" si="30"/>
        <v>-1129.2740000000485</v>
      </c>
      <c r="J149" s="33">
        <f t="shared" si="31"/>
        <v>-1.1655785790522191E-2</v>
      </c>
      <c r="K149" s="15">
        <f t="shared" si="32"/>
        <v>95756</v>
      </c>
      <c r="L149" s="15">
        <f t="shared" si="24"/>
        <v>-971</v>
      </c>
      <c r="M149" s="15"/>
      <c r="N149" s="15"/>
      <c r="O149" s="15"/>
      <c r="P149" s="17"/>
      <c r="Q149" s="31">
        <f t="shared" si="25"/>
        <v>-6475</v>
      </c>
      <c r="R149" s="34">
        <f t="shared" si="26"/>
        <v>5</v>
      </c>
      <c r="S149" s="273"/>
      <c r="T149" s="273"/>
      <c r="U149" s="273"/>
      <c r="V149" s="22"/>
      <c r="W149" s="272"/>
      <c r="X149" s="272"/>
      <c r="Y149" s="272"/>
      <c r="Z149" s="274"/>
      <c r="AA149" s="22"/>
      <c r="AB149" s="275"/>
      <c r="AC149" s="40"/>
      <c r="AD149" s="40"/>
    </row>
    <row r="150" spans="1:30" s="1" customFormat="1" x14ac:dyDescent="0.25">
      <c r="A150" s="162">
        <v>42923</v>
      </c>
      <c r="B150" s="63"/>
      <c r="C150" s="46" t="s">
        <v>63</v>
      </c>
      <c r="D150" s="16">
        <v>500</v>
      </c>
      <c r="E150" s="15">
        <v>12.76</v>
      </c>
      <c r="F150" s="16">
        <f t="shared" si="27"/>
        <v>7900</v>
      </c>
      <c r="G150" s="17">
        <f t="shared" si="28"/>
        <v>13.072186582278487</v>
      </c>
      <c r="H150" s="15">
        <f t="shared" si="29"/>
        <v>103270.27400000005</v>
      </c>
      <c r="I150" s="15">
        <f t="shared" si="30"/>
        <v>-2466.2740000000485</v>
      </c>
      <c r="J150" s="33">
        <f t="shared" si="31"/>
        <v>-2.3881741613274391E-2</v>
      </c>
      <c r="K150" s="15">
        <f t="shared" si="32"/>
        <v>100804</v>
      </c>
      <c r="L150" s="15">
        <f t="shared" si="24"/>
        <v>-1337</v>
      </c>
      <c r="M150" s="15"/>
      <c r="N150" s="15"/>
      <c r="O150" s="15"/>
      <c r="P150" s="17"/>
      <c r="Q150" s="31">
        <f t="shared" si="25"/>
        <v>-6385</v>
      </c>
      <c r="R150" s="34">
        <f t="shared" si="26"/>
        <v>5</v>
      </c>
      <c r="S150" s="273"/>
      <c r="T150" s="273"/>
      <c r="U150" s="273"/>
      <c r="V150" s="22"/>
      <c r="W150" s="272"/>
      <c r="X150" s="272"/>
      <c r="Y150" s="272"/>
      <c r="Z150" s="274"/>
      <c r="AA150" s="22"/>
      <c r="AB150" s="275"/>
      <c r="AC150" s="40"/>
      <c r="AD150" s="40"/>
    </row>
    <row r="151" spans="1:30" s="1" customFormat="1" x14ac:dyDescent="0.25">
      <c r="A151" s="162">
        <v>42926</v>
      </c>
      <c r="B151" s="63" t="s">
        <v>559</v>
      </c>
      <c r="C151" s="46" t="s">
        <v>69</v>
      </c>
      <c r="D151" s="16">
        <v>400</v>
      </c>
      <c r="E151" s="15">
        <v>12.89</v>
      </c>
      <c r="F151" s="16">
        <f t="shared" si="27"/>
        <v>7500</v>
      </c>
      <c r="G151" s="17">
        <f t="shared" si="28"/>
        <v>13.083257333333339</v>
      </c>
      <c r="H151" s="15">
        <f t="shared" si="29"/>
        <v>98124.430000000051</v>
      </c>
      <c r="I151" s="15">
        <f t="shared" si="30"/>
        <v>-1449.4300000000512</v>
      </c>
      <c r="J151" s="33">
        <f t="shared" si="31"/>
        <v>-1.477134695202856E-2</v>
      </c>
      <c r="K151" s="15">
        <f t="shared" si="32"/>
        <v>96675</v>
      </c>
      <c r="L151" s="15">
        <f t="shared" si="24"/>
        <v>1016.8439999999973</v>
      </c>
      <c r="M151" s="15"/>
      <c r="N151" s="15"/>
      <c r="O151" s="15"/>
      <c r="P151" s="17"/>
      <c r="Q151" s="31">
        <f t="shared" si="25"/>
        <v>5145.8439999999973</v>
      </c>
      <c r="R151" s="34">
        <f t="shared" si="26"/>
        <v>10.156000000000001</v>
      </c>
      <c r="S151" s="273"/>
      <c r="T151" s="273"/>
      <c r="U151" s="273"/>
      <c r="V151" s="22"/>
      <c r="W151" s="272"/>
      <c r="X151" s="272"/>
      <c r="Y151" s="272"/>
      <c r="Z151" s="274"/>
      <c r="AA151" s="22"/>
      <c r="AB151" s="275"/>
      <c r="AC151" s="40"/>
      <c r="AD151" s="40"/>
    </row>
    <row r="152" spans="1:30" s="1" customFormat="1" x14ac:dyDescent="0.25">
      <c r="A152" s="162">
        <v>42928</v>
      </c>
      <c r="B152" s="63"/>
      <c r="C152" s="46" t="s">
        <v>63</v>
      </c>
      <c r="D152" s="16">
        <v>500</v>
      </c>
      <c r="E152" s="15">
        <v>12.61</v>
      </c>
      <c r="F152" s="16">
        <f t="shared" si="27"/>
        <v>8000</v>
      </c>
      <c r="G152" s="17">
        <f t="shared" si="28"/>
        <v>13.054303750000006</v>
      </c>
      <c r="H152" s="15">
        <f t="shared" si="29"/>
        <v>104434.43000000005</v>
      </c>
      <c r="I152" s="15">
        <f t="shared" si="30"/>
        <v>-3554.4300000000512</v>
      </c>
      <c r="J152" s="33">
        <f t="shared" si="31"/>
        <v>-3.4035039976759114E-2</v>
      </c>
      <c r="K152" s="15">
        <f t="shared" si="32"/>
        <v>100880</v>
      </c>
      <c r="L152" s="15">
        <f t="shared" si="24"/>
        <v>-2105</v>
      </c>
      <c r="M152" s="15"/>
      <c r="N152" s="15"/>
      <c r="O152" s="15"/>
      <c r="P152" s="17"/>
      <c r="Q152" s="31">
        <f t="shared" si="25"/>
        <v>-6310</v>
      </c>
      <c r="R152" s="34">
        <f t="shared" si="26"/>
        <v>5</v>
      </c>
      <c r="S152" s="273"/>
      <c r="T152" s="273"/>
      <c r="U152" s="273"/>
      <c r="V152" s="22"/>
      <c r="W152" s="272"/>
      <c r="X152" s="272"/>
      <c r="Y152" s="272"/>
      <c r="Z152" s="274"/>
      <c r="AA152" s="22"/>
      <c r="AB152" s="275"/>
      <c r="AC152" s="40"/>
      <c r="AD152" s="40"/>
    </row>
    <row r="153" spans="1:30" s="1" customFormat="1" x14ac:dyDescent="0.25">
      <c r="A153" s="162">
        <v>42928</v>
      </c>
      <c r="B153" s="63"/>
      <c r="C153" s="46" t="s">
        <v>63</v>
      </c>
      <c r="D153" s="16">
        <v>500</v>
      </c>
      <c r="E153" s="15">
        <v>12.45</v>
      </c>
      <c r="F153" s="16">
        <f t="shared" si="27"/>
        <v>8500</v>
      </c>
      <c r="G153" s="17">
        <f t="shared" si="28"/>
        <v>13.019344705882359</v>
      </c>
      <c r="H153" s="15">
        <f t="shared" si="29"/>
        <v>110664.43000000005</v>
      </c>
      <c r="I153" s="15">
        <f t="shared" si="30"/>
        <v>-4839.4300000000512</v>
      </c>
      <c r="J153" s="33">
        <f t="shared" si="31"/>
        <v>-4.3730672990409433E-2</v>
      </c>
      <c r="K153" s="15">
        <f t="shared" si="32"/>
        <v>105825</v>
      </c>
      <c r="L153" s="15">
        <f t="shared" si="24"/>
        <v>-1285</v>
      </c>
      <c r="M153" s="15"/>
      <c r="N153" s="15"/>
      <c r="O153" s="15"/>
      <c r="P153" s="17"/>
      <c r="Q153" s="31">
        <f t="shared" si="25"/>
        <v>-6230</v>
      </c>
      <c r="R153" s="34">
        <f t="shared" si="26"/>
        <v>5</v>
      </c>
      <c r="S153" s="273"/>
      <c r="T153" s="273"/>
      <c r="U153" s="273"/>
      <c r="V153" s="22"/>
      <c r="W153" s="272"/>
      <c r="X153" s="272"/>
      <c r="Y153" s="272"/>
      <c r="Z153" s="274"/>
      <c r="AA153" s="22"/>
      <c r="AB153" s="275"/>
      <c r="AC153" s="40"/>
      <c r="AD153" s="40"/>
    </row>
    <row r="154" spans="1:30" s="1" customFormat="1" x14ac:dyDescent="0.25">
      <c r="A154" s="162">
        <v>42928</v>
      </c>
      <c r="B154" s="63" t="s">
        <v>424</v>
      </c>
      <c r="C154" s="46" t="s">
        <v>69</v>
      </c>
      <c r="D154" s="16">
        <v>400</v>
      </c>
      <c r="E154" s="15">
        <v>12.66</v>
      </c>
      <c r="F154" s="16">
        <f t="shared" si="27"/>
        <v>8100</v>
      </c>
      <c r="G154" s="17">
        <f t="shared" si="28"/>
        <v>13.038332592592599</v>
      </c>
      <c r="H154" s="15">
        <f t="shared" si="29"/>
        <v>105610.49400000005</v>
      </c>
      <c r="I154" s="15">
        <f t="shared" si="30"/>
        <v>-3064.4940000000497</v>
      </c>
      <c r="J154" s="33">
        <f t="shared" si="31"/>
        <v>-2.9016945986447645E-2</v>
      </c>
      <c r="K154" s="15">
        <f t="shared" si="32"/>
        <v>102546</v>
      </c>
      <c r="L154" s="15">
        <f t="shared" si="24"/>
        <v>1774.9360000000015</v>
      </c>
      <c r="M154" s="15"/>
      <c r="N154" s="15"/>
      <c r="O154" s="15"/>
      <c r="P154" s="17"/>
      <c r="Q154" s="31">
        <f t="shared" si="25"/>
        <v>5053.9360000000015</v>
      </c>
      <c r="R154" s="34">
        <f t="shared" si="26"/>
        <v>10.064</v>
      </c>
      <c r="S154" s="273"/>
      <c r="T154" s="273"/>
      <c r="U154" s="273"/>
      <c r="V154" s="22"/>
      <c r="W154" s="272"/>
      <c r="X154" s="272"/>
      <c r="Y154" s="272"/>
      <c r="Z154" s="274"/>
      <c r="AA154" s="22"/>
      <c r="AB154" s="275"/>
      <c r="AC154" s="40"/>
      <c r="AD154" s="40"/>
    </row>
    <row r="155" spans="1:30" s="1" customFormat="1" x14ac:dyDescent="0.25">
      <c r="A155" s="162">
        <v>42928</v>
      </c>
      <c r="B155" s="63" t="s">
        <v>560</v>
      </c>
      <c r="C155" s="46" t="s">
        <v>69</v>
      </c>
      <c r="D155" s="16">
        <v>400</v>
      </c>
      <c r="E155" s="15">
        <v>12.82</v>
      </c>
      <c r="F155" s="16">
        <f t="shared" si="27"/>
        <v>7700</v>
      </c>
      <c r="G155" s="17">
        <f t="shared" si="28"/>
        <v>13.050989870129877</v>
      </c>
      <c r="H155" s="15">
        <f t="shared" si="29"/>
        <v>100492.62200000005</v>
      </c>
      <c r="I155" s="15">
        <f t="shared" si="30"/>
        <v>-1778.6220000000467</v>
      </c>
      <c r="J155" s="33">
        <f t="shared" si="31"/>
        <v>-1.7699030681078753E-2</v>
      </c>
      <c r="K155" s="15">
        <f t="shared" si="32"/>
        <v>98714</v>
      </c>
      <c r="L155" s="15">
        <f t="shared" si="24"/>
        <v>1285.872000000003</v>
      </c>
      <c r="M155" s="15"/>
      <c r="N155" s="15"/>
      <c r="O155" s="15"/>
      <c r="P155" s="17"/>
      <c r="Q155" s="31">
        <f t="shared" si="25"/>
        <v>5117.872000000003</v>
      </c>
      <c r="R155" s="34">
        <f t="shared" si="26"/>
        <v>10.128</v>
      </c>
      <c r="S155" s="273"/>
      <c r="T155" s="273"/>
      <c r="U155" s="273"/>
      <c r="V155" s="22"/>
      <c r="W155" s="272"/>
      <c r="X155" s="272"/>
      <c r="Y155" s="272"/>
      <c r="Z155" s="274"/>
      <c r="AA155" s="22"/>
      <c r="AB155" s="275"/>
      <c r="AC155" s="40"/>
      <c r="AD155" s="40"/>
    </row>
    <row r="156" spans="1:30" s="1" customFormat="1" x14ac:dyDescent="0.25">
      <c r="A156" s="162">
        <v>42928</v>
      </c>
      <c r="B156" s="63" t="s">
        <v>233</v>
      </c>
      <c r="C156" s="46" t="s">
        <v>69</v>
      </c>
      <c r="D156" s="16">
        <v>400</v>
      </c>
      <c r="E156" s="15">
        <v>12.93</v>
      </c>
      <c r="F156" s="16">
        <f t="shared" si="27"/>
        <v>7300</v>
      </c>
      <c r="G156" s="17">
        <f t="shared" si="28"/>
        <v>13.059012876712336</v>
      </c>
      <c r="H156" s="15">
        <f t="shared" si="29"/>
        <v>95330.794000000053</v>
      </c>
      <c r="I156" s="15">
        <f t="shared" si="30"/>
        <v>-941.79400000005262</v>
      </c>
      <c r="J156" s="33">
        <f t="shared" si="31"/>
        <v>-9.8792211884866088E-3</v>
      </c>
      <c r="K156" s="15">
        <f t="shared" si="32"/>
        <v>94389</v>
      </c>
      <c r="L156" s="15">
        <f t="shared" si="24"/>
        <v>836.82799999999406</v>
      </c>
      <c r="M156" s="15"/>
      <c r="N156" s="15"/>
      <c r="O156" s="15"/>
      <c r="P156" s="17"/>
      <c r="Q156" s="31">
        <f t="shared" si="25"/>
        <v>5161.8279999999941</v>
      </c>
      <c r="R156" s="34">
        <f t="shared" si="26"/>
        <v>10.172000000000001</v>
      </c>
      <c r="S156" s="273"/>
      <c r="T156" s="273"/>
      <c r="U156" s="273"/>
      <c r="V156" s="22"/>
      <c r="W156" s="272"/>
      <c r="X156" s="272"/>
      <c r="Y156" s="272"/>
      <c r="Z156" s="274"/>
      <c r="AA156" s="22"/>
      <c r="AB156" s="275"/>
      <c r="AC156" s="40"/>
      <c r="AD156" s="40"/>
    </row>
    <row r="157" spans="1:30" s="1" customFormat="1" x14ac:dyDescent="0.25">
      <c r="A157" s="162">
        <v>42930</v>
      </c>
      <c r="B157" s="63"/>
      <c r="C157" s="46" t="s">
        <v>63</v>
      </c>
      <c r="D157" s="46">
        <v>500</v>
      </c>
      <c r="E157" s="15">
        <v>12.64</v>
      </c>
      <c r="F157" s="16">
        <f t="shared" si="27"/>
        <v>7800</v>
      </c>
      <c r="G157" s="17">
        <f t="shared" si="28"/>
        <v>13.032794102564109</v>
      </c>
      <c r="H157" s="15">
        <f t="shared" si="29"/>
        <v>101655.79400000005</v>
      </c>
      <c r="I157" s="15">
        <f t="shared" si="30"/>
        <v>-3063.7940000000526</v>
      </c>
      <c r="J157" s="33">
        <f t="shared" si="31"/>
        <v>-3.0138901871152035E-2</v>
      </c>
      <c r="K157" s="15">
        <f t="shared" si="32"/>
        <v>98592</v>
      </c>
      <c r="L157" s="15">
        <f t="shared" si="24"/>
        <v>-2122</v>
      </c>
      <c r="M157" s="15"/>
      <c r="N157" s="15"/>
      <c r="O157" s="15"/>
      <c r="P157" s="17"/>
      <c r="Q157" s="31">
        <f t="shared" si="25"/>
        <v>-6325</v>
      </c>
      <c r="R157" s="34">
        <f t="shared" si="26"/>
        <v>5</v>
      </c>
      <c r="S157" s="273"/>
      <c r="T157" s="273"/>
      <c r="U157" s="273"/>
      <c r="V157" s="22"/>
      <c r="W157" s="272"/>
      <c r="X157" s="272"/>
      <c r="Y157" s="272"/>
      <c r="Z157" s="274"/>
      <c r="AA157" s="22"/>
      <c r="AB157" s="275"/>
      <c r="AC157" s="40"/>
      <c r="AD157" s="40"/>
    </row>
    <row r="158" spans="1:30" s="1" customFormat="1" x14ac:dyDescent="0.25">
      <c r="A158" s="162">
        <v>42933</v>
      </c>
      <c r="B158" s="63" t="s">
        <v>224</v>
      </c>
      <c r="C158" s="46" t="s">
        <v>63</v>
      </c>
      <c r="D158" s="46">
        <v>500</v>
      </c>
      <c r="E158" s="46">
        <v>11.98</v>
      </c>
      <c r="F158" s="16">
        <f t="shared" si="27"/>
        <v>8300</v>
      </c>
      <c r="G158" s="17">
        <f t="shared" si="28"/>
        <v>12.969975180722898</v>
      </c>
      <c r="H158" s="15">
        <f t="shared" si="29"/>
        <v>107650.79400000005</v>
      </c>
      <c r="I158" s="15">
        <f t="shared" si="30"/>
        <v>-8216.7940000000526</v>
      </c>
      <c r="J158" s="33">
        <f t="shared" si="31"/>
        <v>-7.6328224759773203E-2</v>
      </c>
      <c r="K158" s="15">
        <f t="shared" si="32"/>
        <v>99434</v>
      </c>
      <c r="L158" s="15">
        <f t="shared" si="24"/>
        <v>-5153</v>
      </c>
      <c r="M158" s="15"/>
      <c r="N158" s="15"/>
      <c r="O158" s="15"/>
      <c r="P158" s="17"/>
      <c r="Q158" s="31">
        <f t="shared" si="25"/>
        <v>-5995</v>
      </c>
      <c r="R158" s="34">
        <f t="shared" si="26"/>
        <v>5</v>
      </c>
      <c r="S158" s="273"/>
      <c r="T158" s="273"/>
      <c r="U158" s="273"/>
      <c r="V158" s="22"/>
      <c r="W158" s="272"/>
      <c r="X158" s="272"/>
      <c r="Y158" s="272"/>
      <c r="Z158" s="274"/>
      <c r="AA158" s="22"/>
      <c r="AB158" s="275"/>
      <c r="AC158" s="40"/>
      <c r="AD158" s="40"/>
    </row>
    <row r="159" spans="1:30" s="1" customFormat="1" x14ac:dyDescent="0.25">
      <c r="A159" s="162">
        <v>42933</v>
      </c>
      <c r="B159" s="63" t="s">
        <v>561</v>
      </c>
      <c r="C159" s="46" t="s">
        <v>63</v>
      </c>
      <c r="D159" s="46">
        <v>500</v>
      </c>
      <c r="E159" s="46">
        <v>11.82</v>
      </c>
      <c r="F159" s="16">
        <f t="shared" si="27"/>
        <v>8800</v>
      </c>
      <c r="G159" s="17">
        <f t="shared" si="28"/>
        <v>12.90520386363637</v>
      </c>
      <c r="H159" s="15">
        <f t="shared" si="29"/>
        <v>113565.79400000005</v>
      </c>
      <c r="I159" s="15">
        <f t="shared" si="30"/>
        <v>-9549.7940000000526</v>
      </c>
      <c r="J159" s="33">
        <f t="shared" si="31"/>
        <v>-8.4090408419986454E-2</v>
      </c>
      <c r="K159" s="15">
        <f t="shared" si="32"/>
        <v>104016</v>
      </c>
      <c r="L159" s="15">
        <f t="shared" si="24"/>
        <v>-1333</v>
      </c>
      <c r="M159" s="15"/>
      <c r="N159" s="15"/>
      <c r="O159" s="15"/>
      <c r="P159" s="17"/>
      <c r="Q159" s="31">
        <f t="shared" si="25"/>
        <v>-5915</v>
      </c>
      <c r="R159" s="34">
        <f t="shared" si="26"/>
        <v>5</v>
      </c>
      <c r="S159" s="273"/>
      <c r="T159" s="273"/>
      <c r="U159" s="273"/>
      <c r="V159" s="22"/>
      <c r="W159" s="272"/>
      <c r="X159" s="272"/>
      <c r="Y159" s="272"/>
      <c r="Z159" s="274"/>
      <c r="AA159" s="22"/>
      <c r="AB159" s="275"/>
      <c r="AC159" s="40"/>
      <c r="AD159" s="40"/>
    </row>
    <row r="160" spans="1:30" s="1" customFormat="1" x14ac:dyDescent="0.25">
      <c r="A160" s="162">
        <v>42933</v>
      </c>
      <c r="B160" s="63"/>
      <c r="C160" s="46" t="s">
        <v>63</v>
      </c>
      <c r="D160" s="46">
        <v>500</v>
      </c>
      <c r="E160" s="46">
        <v>11.61</v>
      </c>
      <c r="F160" s="16">
        <f t="shared" si="27"/>
        <v>9300</v>
      </c>
      <c r="G160" s="17">
        <f t="shared" si="28"/>
        <v>12.836106881720436</v>
      </c>
      <c r="H160" s="15">
        <f t="shared" si="29"/>
        <v>119375.79400000005</v>
      </c>
      <c r="I160" s="15">
        <f t="shared" si="30"/>
        <v>-11402.794000000053</v>
      </c>
      <c r="J160" s="33">
        <f t="shared" si="31"/>
        <v>-9.5520152100517605E-2</v>
      </c>
      <c r="K160" s="15">
        <f t="shared" si="32"/>
        <v>107973</v>
      </c>
      <c r="L160" s="15">
        <f t="shared" si="24"/>
        <v>-1853</v>
      </c>
      <c r="M160" s="15"/>
      <c r="N160" s="15"/>
      <c r="O160" s="15"/>
      <c r="P160" s="17"/>
      <c r="Q160" s="31">
        <f t="shared" si="25"/>
        <v>-5810</v>
      </c>
      <c r="R160" s="34">
        <f t="shared" si="26"/>
        <v>5</v>
      </c>
      <c r="S160" s="273"/>
      <c r="T160" s="273"/>
      <c r="U160" s="273"/>
      <c r="V160" s="22"/>
      <c r="W160" s="272"/>
      <c r="X160" s="272"/>
      <c r="Y160" s="272"/>
      <c r="Z160" s="274"/>
      <c r="AA160" s="22"/>
      <c r="AB160" s="275"/>
      <c r="AC160" s="40"/>
      <c r="AD160" s="40"/>
    </row>
    <row r="161" spans="1:30" s="1" customFormat="1" x14ac:dyDescent="0.25">
      <c r="A161" s="162">
        <v>42934</v>
      </c>
      <c r="B161" s="63" t="s">
        <v>242</v>
      </c>
      <c r="C161" s="46" t="s">
        <v>69</v>
      </c>
      <c r="D161" s="46">
        <v>400</v>
      </c>
      <c r="E161" s="46">
        <v>11.8</v>
      </c>
      <c r="F161" s="16">
        <f t="shared" si="27"/>
        <v>8900</v>
      </c>
      <c r="G161" s="17">
        <f t="shared" si="28"/>
        <v>12.883765617977534</v>
      </c>
      <c r="H161" s="15">
        <f t="shared" si="29"/>
        <v>114665.51400000005</v>
      </c>
      <c r="I161" s="15">
        <f t="shared" si="30"/>
        <v>-9645.5140000000538</v>
      </c>
      <c r="J161" s="33">
        <f t="shared" si="31"/>
        <v>-8.411870023972548E-2</v>
      </c>
      <c r="K161" s="15">
        <f t="shared" si="32"/>
        <v>105020</v>
      </c>
      <c r="L161" s="15">
        <f t="shared" si="24"/>
        <v>1757.2799999999988</v>
      </c>
      <c r="M161" s="15"/>
      <c r="N161" s="15"/>
      <c r="O161" s="15"/>
      <c r="P161" s="17"/>
      <c r="Q161" s="31">
        <f t="shared" si="25"/>
        <v>4710.2799999999988</v>
      </c>
      <c r="R161" s="34">
        <f t="shared" si="26"/>
        <v>9.7200000000000006</v>
      </c>
      <c r="S161" s="273"/>
      <c r="T161" s="273"/>
      <c r="U161" s="273"/>
      <c r="V161" s="22"/>
      <c r="W161" s="272"/>
      <c r="X161" s="272"/>
      <c r="Y161" s="272"/>
      <c r="Z161" s="274"/>
      <c r="AA161" s="22"/>
      <c r="AB161" s="275"/>
      <c r="AC161" s="40"/>
      <c r="AD161" s="40"/>
    </row>
    <row r="162" spans="1:30" s="1" customFormat="1" x14ac:dyDescent="0.25">
      <c r="A162" s="162">
        <v>42936</v>
      </c>
      <c r="B162" s="63"/>
      <c r="C162" s="46" t="s">
        <v>69</v>
      </c>
      <c r="D162" s="46">
        <v>400</v>
      </c>
      <c r="E162" s="46">
        <v>12.27</v>
      </c>
      <c r="F162" s="16">
        <f t="shared" si="27"/>
        <v>8500</v>
      </c>
      <c r="G162" s="17">
        <f t="shared" si="28"/>
        <v>12.913814352941182</v>
      </c>
      <c r="H162" s="15">
        <f t="shared" si="29"/>
        <v>109767.42200000005</v>
      </c>
      <c r="I162" s="15">
        <f t="shared" si="30"/>
        <v>-5472.4220000000496</v>
      </c>
      <c r="J162" s="33">
        <f t="shared" si="31"/>
        <v>-4.9854700969473906E-2</v>
      </c>
      <c r="K162" s="15">
        <f t="shared" si="32"/>
        <v>104295</v>
      </c>
      <c r="L162" s="15">
        <f t="shared" si="24"/>
        <v>4173.0920000000042</v>
      </c>
      <c r="M162" s="15"/>
      <c r="N162" s="15"/>
      <c r="O162" s="15"/>
      <c r="P162" s="17"/>
      <c r="Q162" s="31">
        <f t="shared" si="25"/>
        <v>4898.0920000000042</v>
      </c>
      <c r="R162" s="34">
        <f t="shared" si="26"/>
        <v>9.9079999999999995</v>
      </c>
      <c r="S162" s="273"/>
      <c r="T162" s="273"/>
      <c r="U162" s="273"/>
      <c r="V162" s="22"/>
      <c r="W162" s="272"/>
      <c r="X162" s="272"/>
      <c r="Y162" s="272"/>
      <c r="Z162" s="274"/>
      <c r="AA162" s="22"/>
      <c r="AB162" s="275"/>
      <c r="AC162" s="40"/>
      <c r="AD162" s="40"/>
    </row>
    <row r="163" spans="1:30" s="1" customFormat="1" x14ac:dyDescent="0.25">
      <c r="A163" s="162">
        <v>42936</v>
      </c>
      <c r="B163" s="63"/>
      <c r="C163" s="46" t="s">
        <v>69</v>
      </c>
      <c r="D163" s="46">
        <v>400</v>
      </c>
      <c r="E163" s="46">
        <v>12.54</v>
      </c>
      <c r="F163" s="16">
        <f t="shared" si="27"/>
        <v>8100</v>
      </c>
      <c r="G163" s="17">
        <f t="shared" si="28"/>
        <v>12.88289358024692</v>
      </c>
      <c r="H163" s="15">
        <f t="shared" si="29"/>
        <v>104351.43800000005</v>
      </c>
      <c r="I163" s="15">
        <f t="shared" si="30"/>
        <v>-2777.4380000000529</v>
      </c>
      <c r="J163" s="33">
        <f t="shared" si="31"/>
        <v>-2.6616192869331208E-2</v>
      </c>
      <c r="K163" s="15">
        <f t="shared" si="32"/>
        <v>101574</v>
      </c>
      <c r="L163" s="15">
        <f t="shared" si="24"/>
        <v>2694.9839999999967</v>
      </c>
      <c r="M163" s="15"/>
      <c r="N163" s="15"/>
      <c r="O163" s="15"/>
      <c r="P163" s="17"/>
      <c r="Q163" s="31">
        <f t="shared" si="25"/>
        <v>5415.9839999999967</v>
      </c>
      <c r="R163" s="34">
        <f t="shared" si="26"/>
        <v>10.016</v>
      </c>
      <c r="S163" s="273">
        <v>-410</v>
      </c>
      <c r="T163" s="273"/>
      <c r="U163" s="273"/>
      <c r="V163" s="22"/>
      <c r="W163" s="272"/>
      <c r="X163" s="272"/>
      <c r="Y163" s="272"/>
      <c r="Z163" s="274"/>
      <c r="AA163" s="22"/>
      <c r="AB163" s="275"/>
      <c r="AC163" s="40"/>
      <c r="AD163" s="40"/>
    </row>
    <row r="164" spans="1:30" s="1" customFormat="1" x14ac:dyDescent="0.25">
      <c r="A164" s="162">
        <v>42937</v>
      </c>
      <c r="B164" s="137" t="s">
        <v>562</v>
      </c>
      <c r="C164" s="46" t="s">
        <v>69</v>
      </c>
      <c r="D164"/>
      <c r="E164" s="46">
        <v>12.54</v>
      </c>
      <c r="F164" s="16">
        <f t="shared" si="27"/>
        <v>8100</v>
      </c>
      <c r="G164" s="17">
        <f t="shared" si="28"/>
        <v>12.883510864197538</v>
      </c>
      <c r="H164" s="15">
        <f t="shared" si="29"/>
        <v>104356.43800000005</v>
      </c>
      <c r="I164" s="15">
        <f t="shared" si="30"/>
        <v>-2782.4380000000529</v>
      </c>
      <c r="J164" s="33">
        <f t="shared" si="31"/>
        <v>-2.6662830327727947E-2</v>
      </c>
      <c r="K164" s="15">
        <f t="shared" si="32"/>
        <v>101574</v>
      </c>
      <c r="L164" s="15">
        <f t="shared" si="24"/>
        <v>-5</v>
      </c>
      <c r="M164" s="15"/>
      <c r="N164" s="15"/>
      <c r="O164" s="15"/>
      <c r="P164" s="17"/>
      <c r="Q164" s="31">
        <f t="shared" si="25"/>
        <v>-5</v>
      </c>
      <c r="R164" s="34">
        <f t="shared" si="26"/>
        <v>5</v>
      </c>
      <c r="S164" s="273"/>
      <c r="T164" s="273"/>
      <c r="U164" s="273"/>
      <c r="V164" s="22"/>
      <c r="W164" s="272"/>
      <c r="X164" s="272"/>
      <c r="Y164" s="272"/>
      <c r="Z164" s="274"/>
      <c r="AA164" s="22"/>
      <c r="AB164" s="275"/>
      <c r="AC164" s="40"/>
      <c r="AD164" s="40"/>
    </row>
    <row r="165" spans="1:30" s="1" customFormat="1" x14ac:dyDescent="0.25">
      <c r="A165" s="162">
        <v>42937</v>
      </c>
      <c r="B165" s="63" t="s">
        <v>428</v>
      </c>
      <c r="C165" s="46" t="s">
        <v>63</v>
      </c>
      <c r="D165" s="46">
        <v>500</v>
      </c>
      <c r="E165" s="46">
        <v>12.26</v>
      </c>
      <c r="F165" s="16">
        <f t="shared" si="27"/>
        <v>8600</v>
      </c>
      <c r="G165" s="17">
        <f t="shared" si="28"/>
        <v>12.847841627906982</v>
      </c>
      <c r="H165" s="15">
        <f t="shared" si="29"/>
        <v>110491.43800000005</v>
      </c>
      <c r="I165" s="15">
        <f t="shared" si="30"/>
        <v>-5055.4380000000529</v>
      </c>
      <c r="J165" s="33">
        <f t="shared" si="31"/>
        <v>-4.5754115355074364E-2</v>
      </c>
      <c r="K165" s="15">
        <f t="shared" si="32"/>
        <v>105436</v>
      </c>
      <c r="L165" s="15">
        <f t="shared" si="24"/>
        <v>-2273</v>
      </c>
      <c r="M165" s="15"/>
      <c r="N165" s="15"/>
      <c r="O165" s="15"/>
      <c r="P165" s="17"/>
      <c r="Q165" s="31">
        <f t="shared" si="25"/>
        <v>-6135</v>
      </c>
      <c r="R165" s="34">
        <f t="shared" si="26"/>
        <v>5</v>
      </c>
      <c r="S165" s="273"/>
      <c r="T165" s="273"/>
      <c r="U165" s="273"/>
      <c r="V165" s="22"/>
      <c r="W165" s="272"/>
      <c r="X165" s="272"/>
      <c r="Y165" s="272"/>
      <c r="Z165" s="274"/>
      <c r="AA165" s="22"/>
      <c r="AB165" s="275"/>
      <c r="AC165" s="40"/>
      <c r="AD165" s="40"/>
    </row>
    <row r="166" spans="1:30" s="1" customFormat="1" x14ac:dyDescent="0.25">
      <c r="A166" s="162">
        <v>42942</v>
      </c>
      <c r="B166" s="63"/>
      <c r="C166" s="46" t="s">
        <v>69</v>
      </c>
      <c r="D166" s="46">
        <v>400</v>
      </c>
      <c r="E166" s="46">
        <v>12.35</v>
      </c>
      <c r="F166" s="16">
        <f t="shared" si="27"/>
        <v>8200</v>
      </c>
      <c r="G166" s="17">
        <f t="shared" si="28"/>
        <v>12.873338780487812</v>
      </c>
      <c r="H166" s="15">
        <f t="shared" si="29"/>
        <v>105561.37800000006</v>
      </c>
      <c r="I166" s="15">
        <f t="shared" si="30"/>
        <v>-4291.3780000000552</v>
      </c>
      <c r="J166" s="33">
        <f t="shared" si="31"/>
        <v>-4.0652917585066541E-2</v>
      </c>
      <c r="K166" s="15">
        <f t="shared" si="32"/>
        <v>101270</v>
      </c>
      <c r="L166" s="15">
        <f t="shared" si="24"/>
        <v>764.05999999999767</v>
      </c>
      <c r="M166" s="15"/>
      <c r="N166" s="15"/>
      <c r="O166" s="15"/>
      <c r="P166" s="17"/>
      <c r="Q166" s="31">
        <f t="shared" si="25"/>
        <v>4930.0599999999977</v>
      </c>
      <c r="R166" s="34">
        <f t="shared" si="26"/>
        <v>9.94</v>
      </c>
      <c r="S166" s="273"/>
      <c r="T166" s="273"/>
      <c r="U166" s="273"/>
      <c r="V166" s="22"/>
      <c r="W166" s="272"/>
      <c r="X166" s="272"/>
      <c r="Y166" s="272"/>
      <c r="Z166" s="274"/>
      <c r="AA166" s="22"/>
      <c r="AB166" s="275"/>
      <c r="AC166" s="40"/>
      <c r="AD166" s="40"/>
    </row>
    <row r="167" spans="1:30" s="1" customFormat="1" x14ac:dyDescent="0.25">
      <c r="A167" s="162">
        <v>42942</v>
      </c>
      <c r="B167" s="63" t="s">
        <v>563</v>
      </c>
      <c r="C167" s="46" t="s">
        <v>63</v>
      </c>
      <c r="D167" s="46">
        <v>400</v>
      </c>
      <c r="E167" s="46">
        <v>12.24</v>
      </c>
      <c r="F167" s="16">
        <f t="shared" si="27"/>
        <v>8600</v>
      </c>
      <c r="G167" s="17">
        <f t="shared" si="28"/>
        <v>12.844462558139542</v>
      </c>
      <c r="H167" s="15">
        <f t="shared" si="29"/>
        <v>110462.37800000006</v>
      </c>
      <c r="I167" s="15">
        <f t="shared" si="30"/>
        <v>-5198.3780000000552</v>
      </c>
      <c r="J167" s="33">
        <f t="shared" si="31"/>
        <v>-4.706016739925746E-2</v>
      </c>
      <c r="K167" s="15">
        <f t="shared" si="32"/>
        <v>105264</v>
      </c>
      <c r="L167" s="15">
        <f t="shared" si="24"/>
        <v>-907</v>
      </c>
      <c r="M167" s="15"/>
      <c r="N167" s="15"/>
      <c r="O167" s="15"/>
      <c r="P167" s="17"/>
      <c r="Q167" s="31">
        <f t="shared" si="25"/>
        <v>-4901</v>
      </c>
      <c r="R167" s="34">
        <f t="shared" si="26"/>
        <v>5</v>
      </c>
      <c r="S167" s="273"/>
      <c r="T167" s="273"/>
      <c r="U167" s="273"/>
      <c r="V167" s="22"/>
      <c r="W167" s="272"/>
      <c r="X167" s="272"/>
      <c r="Y167" s="272"/>
      <c r="Z167" s="274"/>
      <c r="AA167" s="22"/>
      <c r="AB167" s="275"/>
      <c r="AC167" s="40"/>
      <c r="AD167" s="40"/>
    </row>
    <row r="168" spans="1:30" s="1" customFormat="1" x14ac:dyDescent="0.25">
      <c r="A168" s="162">
        <v>42943</v>
      </c>
      <c r="B168" s="63"/>
      <c r="C168" s="46" t="s">
        <v>69</v>
      </c>
      <c r="D168" s="46">
        <v>400</v>
      </c>
      <c r="E168" s="46">
        <v>12.36</v>
      </c>
      <c r="F168" s="16">
        <f t="shared" si="27"/>
        <v>8200</v>
      </c>
      <c r="G168" s="17">
        <f t="shared" si="28"/>
        <v>12.869307560975617</v>
      </c>
      <c r="H168" s="15">
        <f t="shared" si="29"/>
        <v>105528.32200000006</v>
      </c>
      <c r="I168" s="15">
        <f t="shared" si="30"/>
        <v>-4176.3220000000583</v>
      </c>
      <c r="J168" s="33">
        <f t="shared" si="31"/>
        <v>-3.95753663173007E-2</v>
      </c>
      <c r="K168" s="15">
        <f t="shared" si="32"/>
        <v>101352</v>
      </c>
      <c r="L168" s="15">
        <f t="shared" si="24"/>
        <v>1022.0559999999969</v>
      </c>
      <c r="M168" s="15"/>
      <c r="N168" s="15"/>
      <c r="O168" s="15"/>
      <c r="P168" s="17"/>
      <c r="Q168" s="31">
        <f t="shared" si="25"/>
        <v>4934.0559999999969</v>
      </c>
      <c r="R168" s="34">
        <f t="shared" si="26"/>
        <v>9.9439999999999991</v>
      </c>
      <c r="S168" s="273"/>
      <c r="T168" s="273"/>
      <c r="U168" s="273"/>
      <c r="V168" s="22"/>
      <c r="W168" s="272"/>
      <c r="X168" s="272"/>
      <c r="Y168" s="272"/>
      <c r="Z168" s="274"/>
      <c r="AA168" s="22"/>
      <c r="AB168" s="275"/>
      <c r="AC168" s="40"/>
      <c r="AD168" s="40"/>
    </row>
    <row r="169" spans="1:30" s="1" customFormat="1" x14ac:dyDescent="0.25">
      <c r="A169" s="162">
        <v>42943</v>
      </c>
      <c r="B169" s="63"/>
      <c r="C169" s="46" t="s">
        <v>69</v>
      </c>
      <c r="D169" s="46">
        <v>400</v>
      </c>
      <c r="E169" s="46">
        <v>12.47</v>
      </c>
      <c r="F169" s="16">
        <f t="shared" si="27"/>
        <v>7800</v>
      </c>
      <c r="G169" s="17">
        <f t="shared" si="28"/>
        <v>12.891065384615391</v>
      </c>
      <c r="H169" s="15">
        <f t="shared" si="29"/>
        <v>100550.31000000006</v>
      </c>
      <c r="I169" s="15">
        <f t="shared" si="30"/>
        <v>-3284.3100000000559</v>
      </c>
      <c r="J169" s="33">
        <f t="shared" si="31"/>
        <v>-3.2663350316871675E-2</v>
      </c>
      <c r="K169" s="15">
        <f t="shared" si="32"/>
        <v>97266</v>
      </c>
      <c r="L169" s="15">
        <f t="shared" si="24"/>
        <v>892.01200000000244</v>
      </c>
      <c r="M169" s="15"/>
      <c r="N169" s="15"/>
      <c r="O169" s="15"/>
      <c r="P169" s="17"/>
      <c r="Q169" s="31">
        <f t="shared" si="25"/>
        <v>4978.0120000000024</v>
      </c>
      <c r="R169" s="34">
        <f t="shared" si="26"/>
        <v>9.9879999999999995</v>
      </c>
      <c r="S169" s="273"/>
      <c r="T169" s="273"/>
      <c r="U169" s="273"/>
      <c r="V169" s="22"/>
      <c r="W169" s="272"/>
      <c r="X169" s="272"/>
      <c r="Y169" s="272"/>
      <c r="Z169" s="274"/>
      <c r="AA169" s="22"/>
      <c r="AB169" s="275"/>
      <c r="AC169" s="40"/>
      <c r="AD169" s="40"/>
    </row>
    <row r="170" spans="1:30" s="1" customFormat="1" x14ac:dyDescent="0.25">
      <c r="A170" s="162">
        <v>42948</v>
      </c>
      <c r="B170" s="63" t="s">
        <v>239</v>
      </c>
      <c r="C170" s="46" t="s">
        <v>69</v>
      </c>
      <c r="D170" s="46">
        <v>400</v>
      </c>
      <c r="E170" s="46">
        <v>12.66</v>
      </c>
      <c r="F170" s="16">
        <f t="shared" si="27"/>
        <v>7400</v>
      </c>
      <c r="G170" s="17">
        <f t="shared" si="28"/>
        <v>12.904915405405413</v>
      </c>
      <c r="H170" s="15">
        <f t="shared" si="29"/>
        <v>95496.374000000054</v>
      </c>
      <c r="I170" s="15">
        <f t="shared" si="30"/>
        <v>-1812.3740000000544</v>
      </c>
      <c r="J170" s="33">
        <f t="shared" si="31"/>
        <v>-1.897845880514851E-2</v>
      </c>
      <c r="K170" s="15">
        <f t="shared" si="32"/>
        <v>93684</v>
      </c>
      <c r="L170" s="15">
        <f t="shared" si="24"/>
        <v>1471.9360000000015</v>
      </c>
      <c r="M170" s="15"/>
      <c r="N170" s="15"/>
      <c r="O170" s="15"/>
      <c r="P170" s="17"/>
      <c r="Q170" s="31">
        <f t="shared" si="25"/>
        <v>5053.9360000000015</v>
      </c>
      <c r="R170" s="34">
        <f t="shared" si="26"/>
        <v>10.064</v>
      </c>
      <c r="S170" s="273"/>
      <c r="T170" s="273"/>
      <c r="U170" s="273"/>
      <c r="V170" s="22"/>
      <c r="W170" s="272"/>
      <c r="X170" s="272"/>
      <c r="Y170" s="272"/>
      <c r="Z170" s="274"/>
      <c r="AA170" s="22"/>
      <c r="AB170" s="275"/>
      <c r="AC170" s="40"/>
      <c r="AD170" s="40"/>
    </row>
    <row r="171" spans="1:30" s="1" customFormat="1" x14ac:dyDescent="0.25">
      <c r="A171" s="162">
        <v>42948</v>
      </c>
      <c r="B171" s="63"/>
      <c r="C171" s="46" t="s">
        <v>63</v>
      </c>
      <c r="D171" s="46">
        <v>500</v>
      </c>
      <c r="E171" s="46">
        <v>12.46</v>
      </c>
      <c r="F171" s="16">
        <f t="shared" si="27"/>
        <v>7900</v>
      </c>
      <c r="G171" s="17">
        <f t="shared" si="28"/>
        <v>12.877389113924057</v>
      </c>
      <c r="H171" s="15">
        <f t="shared" si="29"/>
        <v>101731.37400000005</v>
      </c>
      <c r="I171" s="15">
        <f t="shared" si="30"/>
        <v>-3297.3740000000544</v>
      </c>
      <c r="J171" s="33">
        <f t="shared" si="31"/>
        <v>-3.2412557408298057E-2</v>
      </c>
      <c r="K171" s="15">
        <f t="shared" si="32"/>
        <v>98434</v>
      </c>
      <c r="L171" s="15">
        <f t="shared" si="24"/>
        <v>-1485</v>
      </c>
      <c r="M171" s="15"/>
      <c r="N171" s="15"/>
      <c r="O171" s="15"/>
      <c r="P171" s="17"/>
      <c r="Q171" s="31">
        <f t="shared" si="25"/>
        <v>-6235</v>
      </c>
      <c r="R171" s="34">
        <f t="shared" si="26"/>
        <v>5</v>
      </c>
      <c r="S171" s="273"/>
      <c r="T171" s="273"/>
      <c r="U171" s="273"/>
      <c r="V171" s="22"/>
      <c r="W171" s="272"/>
      <c r="X171" s="272"/>
      <c r="Y171" s="272"/>
      <c r="Z171" s="274"/>
      <c r="AA171" s="22"/>
      <c r="AB171" s="275"/>
      <c r="AC171" s="40"/>
      <c r="AD171" s="40"/>
    </row>
    <row r="172" spans="1:30" s="1" customFormat="1" x14ac:dyDescent="0.25">
      <c r="A172" s="162">
        <v>42949</v>
      </c>
      <c r="B172" s="63" t="s">
        <v>263</v>
      </c>
      <c r="C172" s="46" t="s">
        <v>63</v>
      </c>
      <c r="D172" s="46">
        <v>500</v>
      </c>
      <c r="E172" s="46">
        <v>12.28</v>
      </c>
      <c r="F172" s="16">
        <f t="shared" si="27"/>
        <v>8400</v>
      </c>
      <c r="G172" s="17">
        <f t="shared" si="28"/>
        <v>12.842425476190483</v>
      </c>
      <c r="H172" s="15">
        <f t="shared" si="29"/>
        <v>107876.37400000005</v>
      </c>
      <c r="I172" s="15">
        <f t="shared" si="30"/>
        <v>-4724.3740000000544</v>
      </c>
      <c r="J172" s="33">
        <f t="shared" si="31"/>
        <v>-4.3794334429520777E-2</v>
      </c>
      <c r="K172" s="15">
        <f t="shared" si="32"/>
        <v>103152</v>
      </c>
      <c r="L172" s="15">
        <f t="shared" si="24"/>
        <v>-1427</v>
      </c>
      <c r="M172" s="15"/>
      <c r="N172" s="15"/>
      <c r="O172" s="15"/>
      <c r="P172" s="17"/>
      <c r="Q172" s="31">
        <f t="shared" si="25"/>
        <v>-6145</v>
      </c>
      <c r="R172" s="34">
        <f t="shared" si="26"/>
        <v>5</v>
      </c>
      <c r="S172" s="273"/>
      <c r="T172" s="273"/>
      <c r="U172" s="273"/>
      <c r="V172" s="22"/>
      <c r="W172" s="272"/>
      <c r="X172" s="272"/>
      <c r="Y172" s="272"/>
      <c r="Z172" s="274"/>
      <c r="AA172" s="22"/>
      <c r="AB172" s="275"/>
      <c r="AC172" s="40"/>
      <c r="AD172" s="40"/>
    </row>
    <row r="173" spans="1:30" s="1" customFormat="1" x14ac:dyDescent="0.25">
      <c r="A173" s="162">
        <v>42951</v>
      </c>
      <c r="B173" s="63"/>
      <c r="C173" s="46" t="s">
        <v>69</v>
      </c>
      <c r="D173" s="46">
        <v>400</v>
      </c>
      <c r="E173" s="46">
        <v>12.45</v>
      </c>
      <c r="F173" s="16">
        <f t="shared" si="27"/>
        <v>8000</v>
      </c>
      <c r="G173" s="17">
        <f t="shared" si="28"/>
        <v>12.863294250000006</v>
      </c>
      <c r="H173" s="15">
        <f t="shared" si="29"/>
        <v>102906.35400000005</v>
      </c>
      <c r="I173" s="15">
        <f t="shared" si="30"/>
        <v>-3306.3540000000503</v>
      </c>
      <c r="J173" s="33">
        <f t="shared" si="31"/>
        <v>-3.212973612883082E-2</v>
      </c>
      <c r="K173" s="15">
        <f t="shared" si="32"/>
        <v>99600</v>
      </c>
      <c r="L173" s="15">
        <f t="shared" si="24"/>
        <v>1418.0200000000041</v>
      </c>
      <c r="M173" s="15"/>
      <c r="N173" s="15"/>
      <c r="O173" s="15"/>
      <c r="P173" s="17"/>
      <c r="Q173" s="31">
        <f t="shared" si="25"/>
        <v>4970.0200000000041</v>
      </c>
      <c r="R173" s="34">
        <f t="shared" si="26"/>
        <v>9.98</v>
      </c>
      <c r="S173" s="273"/>
      <c r="T173" s="273"/>
      <c r="U173" s="273"/>
      <c r="V173" s="22"/>
      <c r="W173" s="272"/>
      <c r="X173" s="272"/>
      <c r="Y173" s="272"/>
      <c r="Z173" s="274"/>
      <c r="AA173" s="22"/>
      <c r="AB173" s="275"/>
      <c r="AC173" s="40"/>
      <c r="AD173" s="40"/>
    </row>
    <row r="174" spans="1:30" s="1" customFormat="1" x14ac:dyDescent="0.25">
      <c r="A174" s="162">
        <v>42957</v>
      </c>
      <c r="B174" s="63" t="s">
        <v>430</v>
      </c>
      <c r="C174" s="46" t="s">
        <v>63</v>
      </c>
      <c r="D174" s="46">
        <v>500</v>
      </c>
      <c r="E174" s="46">
        <v>12.22</v>
      </c>
      <c r="F174" s="16">
        <f t="shared" si="27"/>
        <v>8500</v>
      </c>
      <c r="G174" s="17">
        <f t="shared" si="28"/>
        <v>12.82604164705883</v>
      </c>
      <c r="H174" s="15">
        <f t="shared" si="29"/>
        <v>109021.35400000005</v>
      </c>
      <c r="I174" s="15">
        <f t="shared" si="30"/>
        <v>-5151.3540000000503</v>
      </c>
      <c r="J174" s="33">
        <f t="shared" si="31"/>
        <v>-4.7250871604475247E-2</v>
      </c>
      <c r="K174" s="15">
        <f t="shared" si="32"/>
        <v>103870</v>
      </c>
      <c r="L174" s="15">
        <f t="shared" si="24"/>
        <v>-1845</v>
      </c>
      <c r="M174" s="15"/>
      <c r="N174" s="15"/>
      <c r="O174" s="15"/>
      <c r="P174" s="17"/>
      <c r="Q174" s="31">
        <f t="shared" si="25"/>
        <v>-6115</v>
      </c>
      <c r="R174" s="34">
        <f t="shared" si="26"/>
        <v>5</v>
      </c>
      <c r="S174" s="273"/>
      <c r="T174" s="273"/>
      <c r="U174" s="273"/>
      <c r="V174" s="22"/>
      <c r="W174" s="272"/>
      <c r="X174" s="272"/>
      <c r="Y174" s="272"/>
      <c r="Z174" s="274"/>
      <c r="AA174" s="22"/>
      <c r="AB174" s="275"/>
      <c r="AC174" s="40"/>
      <c r="AD174" s="40"/>
    </row>
    <row r="175" spans="1:30" s="1" customFormat="1" x14ac:dyDescent="0.25">
      <c r="A175" s="162">
        <v>42958</v>
      </c>
      <c r="B175" s="63" t="s">
        <v>240</v>
      </c>
      <c r="C175" s="46" t="s">
        <v>63</v>
      </c>
      <c r="D175" s="46">
        <v>400</v>
      </c>
      <c r="E175" s="46">
        <v>12.08</v>
      </c>
      <c r="F175" s="16">
        <f t="shared" si="27"/>
        <v>8900</v>
      </c>
      <c r="G175" s="17">
        <f t="shared" si="28"/>
        <v>12.793073483146074</v>
      </c>
      <c r="H175" s="15">
        <f t="shared" si="29"/>
        <v>113858.35400000005</v>
      </c>
      <c r="I175" s="15">
        <f t="shared" si="30"/>
        <v>-6346.3540000000503</v>
      </c>
      <c r="J175" s="33">
        <f t="shared" si="31"/>
        <v>-5.5739028161254242E-2</v>
      </c>
      <c r="K175" s="15">
        <f t="shared" si="32"/>
        <v>107512</v>
      </c>
      <c r="L175" s="15">
        <f t="shared" si="24"/>
        <v>-1195</v>
      </c>
      <c r="M175" s="15"/>
      <c r="N175" s="15"/>
      <c r="O175" s="15"/>
      <c r="P175" s="17"/>
      <c r="Q175" s="31">
        <f t="shared" si="25"/>
        <v>-4837</v>
      </c>
      <c r="R175" s="34">
        <f t="shared" si="26"/>
        <v>5</v>
      </c>
      <c r="S175" s="273"/>
      <c r="T175" s="273"/>
      <c r="U175" s="273"/>
      <c r="V175" s="22"/>
      <c r="W175" s="272"/>
      <c r="X175" s="272"/>
      <c r="Y175" s="272"/>
      <c r="Z175" s="274"/>
      <c r="AA175" s="22"/>
      <c r="AB175" s="275"/>
      <c r="AC175" s="40"/>
      <c r="AD175" s="40"/>
    </row>
    <row r="176" spans="1:30" s="1" customFormat="1" x14ac:dyDescent="0.25">
      <c r="A176" s="162">
        <v>42962</v>
      </c>
      <c r="B176" s="63"/>
      <c r="C176" s="46" t="s">
        <v>69</v>
      </c>
      <c r="D176" s="46">
        <v>400</v>
      </c>
      <c r="E176" s="46">
        <v>12.42</v>
      </c>
      <c r="F176" s="16">
        <f t="shared" si="27"/>
        <v>8500</v>
      </c>
      <c r="G176" s="17">
        <f t="shared" si="28"/>
        <v>12.811802588235299</v>
      </c>
      <c r="H176" s="15">
        <f t="shared" si="29"/>
        <v>108900.32200000004</v>
      </c>
      <c r="I176" s="15">
        <f t="shared" si="30"/>
        <v>-3330.3220000000438</v>
      </c>
      <c r="J176" s="33">
        <f t="shared" si="31"/>
        <v>-3.0581378813554282E-2</v>
      </c>
      <c r="K176" s="15">
        <f t="shared" si="32"/>
        <v>105570</v>
      </c>
      <c r="L176" s="15">
        <f t="shared" si="24"/>
        <v>3016.0320000000065</v>
      </c>
      <c r="M176" s="15"/>
      <c r="N176" s="15"/>
      <c r="O176" s="15"/>
      <c r="P176" s="17"/>
      <c r="Q176" s="31">
        <f t="shared" si="25"/>
        <v>4958.0320000000065</v>
      </c>
      <c r="R176" s="34">
        <f t="shared" si="26"/>
        <v>9.968</v>
      </c>
      <c r="S176" s="273"/>
      <c r="T176" s="273"/>
      <c r="U176" s="273"/>
      <c r="V176" s="22"/>
      <c r="W176" s="272"/>
      <c r="X176" s="272"/>
      <c r="Y176" s="272"/>
      <c r="Z176" s="274"/>
      <c r="AA176" s="22"/>
      <c r="AB176" s="275"/>
      <c r="AC176" s="40"/>
      <c r="AD176" s="40"/>
    </row>
    <row r="177" spans="1:30" s="1" customFormat="1" x14ac:dyDescent="0.25">
      <c r="A177" s="162">
        <v>42962</v>
      </c>
      <c r="B177" s="63"/>
      <c r="C177" s="46" t="s">
        <v>69</v>
      </c>
      <c r="D177" s="46">
        <v>400</v>
      </c>
      <c r="E177" s="46">
        <v>12.62</v>
      </c>
      <c r="F177" s="16">
        <f t="shared" si="27"/>
        <v>8100</v>
      </c>
      <c r="G177" s="17">
        <f t="shared" si="28"/>
        <v>12.82251481481482</v>
      </c>
      <c r="H177" s="15">
        <f t="shared" si="29"/>
        <v>103862.37000000004</v>
      </c>
      <c r="I177" s="15">
        <f t="shared" si="30"/>
        <v>-1640.370000000039</v>
      </c>
      <c r="J177" s="33">
        <f t="shared" si="31"/>
        <v>-1.5793689283231722E-2</v>
      </c>
      <c r="K177" s="15">
        <f t="shared" si="32"/>
        <v>102222</v>
      </c>
      <c r="L177" s="15">
        <f t="shared" si="24"/>
        <v>1689.9520000000048</v>
      </c>
      <c r="M177" s="15"/>
      <c r="N177" s="15"/>
      <c r="O177" s="15"/>
      <c r="P177" s="17"/>
      <c r="Q177" s="31">
        <f t="shared" si="25"/>
        <v>5037.9520000000048</v>
      </c>
      <c r="R177" s="34">
        <f t="shared" si="26"/>
        <v>10.048</v>
      </c>
      <c r="S177" s="273"/>
      <c r="T177" s="273"/>
      <c r="U177" s="273"/>
      <c r="V177" s="22"/>
      <c r="W177" s="272"/>
      <c r="X177" s="272"/>
      <c r="Y177" s="272"/>
      <c r="Z177" s="274"/>
      <c r="AA177" s="22"/>
      <c r="AB177" s="275"/>
      <c r="AC177" s="40"/>
      <c r="AD177" s="40"/>
    </row>
    <row r="178" spans="1:30" s="1" customFormat="1" x14ac:dyDescent="0.25">
      <c r="A178" s="162">
        <v>42962</v>
      </c>
      <c r="B178" s="63"/>
      <c r="C178" s="46" t="s">
        <v>69</v>
      </c>
      <c r="D178" s="46">
        <v>400</v>
      </c>
      <c r="E178" s="46">
        <v>12.87</v>
      </c>
      <c r="F178" s="16">
        <f t="shared" si="27"/>
        <v>7700</v>
      </c>
      <c r="G178" s="17">
        <f t="shared" si="28"/>
        <v>12.82136597402598</v>
      </c>
      <c r="H178" s="15">
        <f t="shared" si="29"/>
        <v>98724.51800000004</v>
      </c>
      <c r="I178" s="15">
        <f t="shared" si="30"/>
        <v>374.48199999995995</v>
      </c>
      <c r="J178" s="33">
        <f t="shared" si="31"/>
        <v>3.793201603678104E-3</v>
      </c>
      <c r="K178" s="15">
        <f t="shared" si="32"/>
        <v>99099</v>
      </c>
      <c r="L178" s="15">
        <f t="shared" si="24"/>
        <v>2014.851999999999</v>
      </c>
      <c r="M178" s="15"/>
      <c r="N178" s="15"/>
      <c r="O178" s="15"/>
      <c r="P178" s="17"/>
      <c r="Q178" s="31">
        <f t="shared" si="25"/>
        <v>5137.851999999999</v>
      </c>
      <c r="R178" s="34">
        <f t="shared" si="26"/>
        <v>10.148</v>
      </c>
      <c r="S178" s="273"/>
      <c r="T178" s="273"/>
      <c r="U178" s="273"/>
      <c r="V178" s="22"/>
      <c r="W178" s="272"/>
      <c r="X178" s="272"/>
      <c r="Y178" s="272"/>
      <c r="Z178" s="274"/>
      <c r="AA178" s="22"/>
      <c r="AB178" s="275"/>
      <c r="AC178" s="40"/>
      <c r="AD178" s="40"/>
    </row>
    <row r="179" spans="1:30" s="1" customFormat="1" x14ac:dyDescent="0.25">
      <c r="A179" s="162">
        <v>42962</v>
      </c>
      <c r="B179" s="63" t="s">
        <v>564</v>
      </c>
      <c r="C179" s="46" t="s">
        <v>63</v>
      </c>
      <c r="D179" s="46">
        <v>500</v>
      </c>
      <c r="E179" s="46">
        <v>12.7</v>
      </c>
      <c r="F179" s="16">
        <f t="shared" si="27"/>
        <v>8200</v>
      </c>
      <c r="G179" s="17">
        <f t="shared" si="28"/>
        <v>12.814575365853663</v>
      </c>
      <c r="H179" s="15">
        <f t="shared" si="29"/>
        <v>105079.51800000004</v>
      </c>
      <c r="I179" s="15">
        <f t="shared" si="30"/>
        <v>-939.51800000004005</v>
      </c>
      <c r="J179" s="33">
        <f t="shared" si="31"/>
        <v>-8.941019314535165E-3</v>
      </c>
      <c r="K179" s="15">
        <f t="shared" si="32"/>
        <v>104140</v>
      </c>
      <c r="L179" s="15">
        <f t="shared" si="24"/>
        <v>-1314</v>
      </c>
      <c r="M179" s="15"/>
      <c r="N179" s="15"/>
      <c r="O179" s="15"/>
      <c r="P179" s="17"/>
      <c r="Q179" s="31">
        <f t="shared" si="25"/>
        <v>-6355</v>
      </c>
      <c r="R179" s="34">
        <f t="shared" si="26"/>
        <v>5</v>
      </c>
      <c r="S179" s="273"/>
      <c r="T179" s="273"/>
      <c r="U179" s="273"/>
      <c r="V179" s="22"/>
      <c r="W179" s="272"/>
      <c r="X179" s="272"/>
      <c r="Y179" s="272"/>
      <c r="Z179" s="274"/>
      <c r="AA179" s="22"/>
      <c r="AB179" s="275"/>
      <c r="AC179" s="40"/>
      <c r="AD179" s="40"/>
    </row>
    <row r="180" spans="1:30" s="1" customFormat="1" x14ac:dyDescent="0.25">
      <c r="A180" s="162">
        <v>42963</v>
      </c>
      <c r="B180" s="63"/>
      <c r="C180" s="46" t="s">
        <v>69</v>
      </c>
      <c r="D180" s="46">
        <v>400</v>
      </c>
      <c r="E180" s="46">
        <v>12.88</v>
      </c>
      <c r="F180" s="16">
        <f t="shared" si="27"/>
        <v>7800</v>
      </c>
      <c r="G180" s="17">
        <f t="shared" si="28"/>
        <v>12.812521794871801</v>
      </c>
      <c r="H180" s="15">
        <f t="shared" si="29"/>
        <v>99937.670000000042</v>
      </c>
      <c r="I180" s="15">
        <f t="shared" si="30"/>
        <v>526.32999999995809</v>
      </c>
      <c r="J180" s="33">
        <f t="shared" si="31"/>
        <v>5.2665826609721916E-3</v>
      </c>
      <c r="K180" s="15">
        <f t="shared" si="32"/>
        <v>100464</v>
      </c>
      <c r="L180" s="15">
        <f t="shared" si="24"/>
        <v>1465.8479999999981</v>
      </c>
      <c r="M180" s="15"/>
      <c r="N180" s="15"/>
      <c r="O180" s="15"/>
      <c r="P180" s="17"/>
      <c r="Q180" s="31">
        <f t="shared" si="25"/>
        <v>5141.8479999999981</v>
      </c>
      <c r="R180" s="34">
        <f t="shared" si="26"/>
        <v>10.152000000000001</v>
      </c>
      <c r="S180" s="273"/>
      <c r="T180" s="273"/>
      <c r="U180" s="273"/>
      <c r="V180" s="22"/>
      <c r="W180" s="272"/>
      <c r="X180" s="272"/>
      <c r="Y180" s="272"/>
      <c r="Z180" s="274"/>
      <c r="AA180" s="22"/>
      <c r="AB180" s="275"/>
      <c r="AC180" s="40"/>
      <c r="AD180" s="40"/>
    </row>
    <row r="181" spans="1:30" s="1" customFormat="1" x14ac:dyDescent="0.25">
      <c r="A181" s="162">
        <v>42963</v>
      </c>
      <c r="B181" s="63"/>
      <c r="C181" s="46" t="s">
        <v>69</v>
      </c>
      <c r="D181" s="46">
        <v>400</v>
      </c>
      <c r="E181" s="46">
        <v>13.04</v>
      </c>
      <c r="F181" s="16">
        <f t="shared" si="27"/>
        <v>7400</v>
      </c>
      <c r="G181" s="17">
        <f t="shared" si="28"/>
        <v>12.801606216216221</v>
      </c>
      <c r="H181" s="15">
        <f t="shared" si="29"/>
        <v>94731.886000000042</v>
      </c>
      <c r="I181" s="15">
        <f t="shared" si="30"/>
        <v>1764.1139999999577</v>
      </c>
      <c r="J181" s="33">
        <f t="shared" si="31"/>
        <v>1.8622177542205319E-2</v>
      </c>
      <c r="K181" s="15">
        <f t="shared" si="32"/>
        <v>96496</v>
      </c>
      <c r="L181" s="15">
        <f t="shared" si="24"/>
        <v>1237.7839999999997</v>
      </c>
      <c r="M181" s="15"/>
      <c r="N181" s="15"/>
      <c r="O181" s="15"/>
      <c r="P181" s="17"/>
      <c r="Q181" s="31">
        <f t="shared" si="25"/>
        <v>5205.7839999999997</v>
      </c>
      <c r="R181" s="34">
        <f t="shared" si="26"/>
        <v>10.215999999999999</v>
      </c>
      <c r="S181" s="273"/>
      <c r="T181" s="273"/>
      <c r="U181" s="273"/>
      <c r="V181" s="22"/>
      <c r="W181" s="272"/>
      <c r="X181" s="272"/>
      <c r="Y181" s="272"/>
      <c r="Z181" s="274"/>
      <c r="AA181" s="22"/>
      <c r="AB181" s="275"/>
      <c r="AC181" s="40"/>
      <c r="AD181" s="40"/>
    </row>
    <row r="182" spans="1:30" s="1" customFormat="1" x14ac:dyDescent="0.25">
      <c r="A182" s="162">
        <v>42963</v>
      </c>
      <c r="B182" s="63" t="s">
        <v>445</v>
      </c>
      <c r="C182" s="46" t="s">
        <v>63</v>
      </c>
      <c r="D182" s="46">
        <v>500</v>
      </c>
      <c r="E182" s="46">
        <v>12.73</v>
      </c>
      <c r="F182" s="16">
        <f t="shared" si="27"/>
        <v>7900</v>
      </c>
      <c r="G182" s="17">
        <f t="shared" si="28"/>
        <v>12.7977070886076</v>
      </c>
      <c r="H182" s="15">
        <f t="shared" si="29"/>
        <v>101101.88600000004</v>
      </c>
      <c r="I182" s="15">
        <f t="shared" si="30"/>
        <v>-534.88600000004226</v>
      </c>
      <c r="J182" s="33">
        <f t="shared" si="31"/>
        <v>-5.2905640157893683E-3</v>
      </c>
      <c r="K182" s="15">
        <f t="shared" si="32"/>
        <v>100567</v>
      </c>
      <c r="L182" s="15">
        <f t="shared" si="24"/>
        <v>-2299</v>
      </c>
      <c r="M182" s="15"/>
      <c r="N182" s="15"/>
      <c r="O182" s="15"/>
      <c r="P182" s="17"/>
      <c r="Q182" s="31">
        <f t="shared" si="25"/>
        <v>-6370</v>
      </c>
      <c r="R182" s="34">
        <f t="shared" si="26"/>
        <v>5</v>
      </c>
      <c r="S182" s="273"/>
      <c r="T182" s="273"/>
      <c r="U182" s="273"/>
      <c r="V182" s="22"/>
      <c r="W182" s="272"/>
      <c r="X182" s="272"/>
      <c r="Y182" s="272"/>
      <c r="Z182" s="274"/>
      <c r="AA182" s="22"/>
      <c r="AB182" s="275"/>
      <c r="AC182" s="40"/>
      <c r="AD182" s="40"/>
    </row>
    <row r="183" spans="1:30" s="1" customFormat="1" x14ac:dyDescent="0.25">
      <c r="A183" s="162">
        <v>42964</v>
      </c>
      <c r="B183" s="63" t="s">
        <v>565</v>
      </c>
      <c r="C183" s="46" t="s">
        <v>69</v>
      </c>
      <c r="D183" s="46">
        <v>400</v>
      </c>
      <c r="E183" s="46">
        <v>13.07</v>
      </c>
      <c r="F183" s="16">
        <f t="shared" si="27"/>
        <v>7500</v>
      </c>
      <c r="G183" s="17">
        <f t="shared" si="28"/>
        <v>12.784548533333339</v>
      </c>
      <c r="H183" s="15">
        <f t="shared" si="29"/>
        <v>95884.114000000045</v>
      </c>
      <c r="I183" s="15">
        <f t="shared" si="30"/>
        <v>2140.8859999999549</v>
      </c>
      <c r="J183" s="33">
        <f t="shared" si="31"/>
        <v>2.2327848802982695E-2</v>
      </c>
      <c r="K183" s="15">
        <f t="shared" si="32"/>
        <v>98025</v>
      </c>
      <c r="L183" s="15">
        <f t="shared" si="24"/>
        <v>2675.7719999999972</v>
      </c>
      <c r="M183" s="15"/>
      <c r="N183" s="15"/>
      <c r="O183" s="15"/>
      <c r="P183" s="17"/>
      <c r="Q183" s="31">
        <f t="shared" si="25"/>
        <v>5217.7719999999972</v>
      </c>
      <c r="R183" s="34">
        <f t="shared" si="26"/>
        <v>10.228</v>
      </c>
      <c r="S183" s="273"/>
      <c r="T183" s="273"/>
      <c r="U183" s="273"/>
      <c r="V183" s="22"/>
      <c r="W183" s="272"/>
      <c r="X183" s="272"/>
      <c r="Y183" s="272"/>
      <c r="Z183" s="274"/>
      <c r="AA183" s="22"/>
      <c r="AB183" s="275"/>
      <c r="AC183" s="40"/>
      <c r="AD183" s="40"/>
    </row>
    <row r="184" spans="1:30" s="1" customFormat="1" x14ac:dyDescent="0.25">
      <c r="A184" s="162">
        <v>42969</v>
      </c>
      <c r="B184" s="63"/>
      <c r="C184" s="46" t="s">
        <v>69</v>
      </c>
      <c r="D184" s="46">
        <v>400</v>
      </c>
      <c r="E184" s="46">
        <v>12.93</v>
      </c>
      <c r="F184" s="16">
        <f t="shared" si="27"/>
        <v>7100</v>
      </c>
      <c r="G184" s="17">
        <f t="shared" si="28"/>
        <v>12.777786760563387</v>
      </c>
      <c r="H184" s="15">
        <f t="shared" si="29"/>
        <v>90722.286000000051</v>
      </c>
      <c r="I184" s="15">
        <f t="shared" si="30"/>
        <v>1080.713999999949</v>
      </c>
      <c r="J184" s="33">
        <f t="shared" si="31"/>
        <v>1.1912332103271162E-2</v>
      </c>
      <c r="K184" s="15">
        <f t="shared" si="32"/>
        <v>91803</v>
      </c>
      <c r="L184" s="15">
        <f t="shared" si="24"/>
        <v>-1060.1720000000059</v>
      </c>
      <c r="M184" s="15"/>
      <c r="N184" s="15"/>
      <c r="O184" s="15"/>
      <c r="P184" s="17"/>
      <c r="Q184" s="31">
        <f t="shared" si="25"/>
        <v>5161.8279999999941</v>
      </c>
      <c r="R184" s="34">
        <f t="shared" si="26"/>
        <v>10.172000000000001</v>
      </c>
      <c r="S184" s="273"/>
      <c r="T184" s="273"/>
      <c r="U184" s="273"/>
      <c r="V184" s="22"/>
      <c r="W184" s="272"/>
      <c r="X184" s="272"/>
      <c r="Y184" s="272"/>
      <c r="Z184" s="274"/>
      <c r="AA184" s="22"/>
      <c r="AB184" s="275"/>
      <c r="AC184" s="40"/>
      <c r="AD184" s="40"/>
    </row>
    <row r="185" spans="1:30" s="1" customFormat="1" x14ac:dyDescent="0.25">
      <c r="A185" s="162">
        <v>42969</v>
      </c>
      <c r="B185" s="63" t="s">
        <v>566</v>
      </c>
      <c r="C185" s="46" t="s">
        <v>63</v>
      </c>
      <c r="D185" s="46">
        <v>500</v>
      </c>
      <c r="E185" s="46">
        <v>12.72</v>
      </c>
      <c r="F185" s="16">
        <f t="shared" si="27"/>
        <v>7600</v>
      </c>
      <c r="G185" s="17">
        <f t="shared" si="28"/>
        <v>12.774642894736848</v>
      </c>
      <c r="H185" s="15">
        <f t="shared" si="29"/>
        <v>97087.286000000051</v>
      </c>
      <c r="I185" s="15">
        <f t="shared" si="30"/>
        <v>-415.28600000005099</v>
      </c>
      <c r="J185" s="33">
        <f t="shared" si="31"/>
        <v>-4.2774498815431033E-3</v>
      </c>
      <c r="K185" s="15">
        <f t="shared" si="32"/>
        <v>96672</v>
      </c>
      <c r="L185" s="15">
        <f t="shared" si="24"/>
        <v>-1496</v>
      </c>
      <c r="M185" s="15"/>
      <c r="N185" s="15"/>
      <c r="O185" s="15"/>
      <c r="P185" s="17"/>
      <c r="Q185" s="31">
        <f t="shared" si="25"/>
        <v>-6365</v>
      </c>
      <c r="R185" s="34">
        <f t="shared" si="26"/>
        <v>5</v>
      </c>
      <c r="S185" s="273"/>
      <c r="T185" s="273"/>
      <c r="U185" s="273"/>
      <c r="V185" s="22"/>
      <c r="W185" s="272"/>
      <c r="X185" s="272"/>
      <c r="Y185" s="272"/>
      <c r="Z185" s="274"/>
      <c r="AA185" s="22"/>
      <c r="AB185" s="275"/>
      <c r="AC185" s="40"/>
      <c r="AD185" s="40"/>
    </row>
    <row r="186" spans="1:30" s="1" customFormat="1" x14ac:dyDescent="0.25">
      <c r="A186" s="162">
        <v>42969</v>
      </c>
      <c r="B186" s="63" t="s">
        <v>259</v>
      </c>
      <c r="C186" s="46" t="s">
        <v>63</v>
      </c>
      <c r="D186" s="46">
        <v>500</v>
      </c>
      <c r="E186" s="46">
        <v>12.54</v>
      </c>
      <c r="F186" s="16">
        <f t="shared" si="27"/>
        <v>8100</v>
      </c>
      <c r="G186" s="17">
        <f t="shared" si="28"/>
        <v>12.760776049382722</v>
      </c>
      <c r="H186" s="15">
        <f t="shared" si="29"/>
        <v>103362.28600000005</v>
      </c>
      <c r="I186" s="15">
        <f t="shared" si="30"/>
        <v>-1788.286000000051</v>
      </c>
      <c r="J186" s="33">
        <f t="shared" si="31"/>
        <v>-1.7301145990521658E-2</v>
      </c>
      <c r="K186" s="15">
        <f t="shared" si="32"/>
        <v>101574</v>
      </c>
      <c r="L186" s="15">
        <f t="shared" si="24"/>
        <v>-1373</v>
      </c>
      <c r="M186" s="15"/>
      <c r="N186" s="15"/>
      <c r="O186" s="15"/>
      <c r="P186" s="17"/>
      <c r="Q186" s="31">
        <f t="shared" si="25"/>
        <v>-6275</v>
      </c>
      <c r="R186" s="34">
        <f t="shared" si="26"/>
        <v>5</v>
      </c>
      <c r="S186" s="273"/>
      <c r="T186" s="273"/>
      <c r="U186" s="273"/>
      <c r="V186" s="22"/>
      <c r="W186" s="272"/>
      <c r="X186" s="272"/>
      <c r="Y186" s="272"/>
      <c r="Z186" s="274"/>
      <c r="AA186" s="22"/>
      <c r="AB186" s="275"/>
      <c r="AC186" s="40"/>
      <c r="AD186" s="40"/>
    </row>
    <row r="187" spans="1:30" s="1" customFormat="1" x14ac:dyDescent="0.25">
      <c r="A187" s="162">
        <v>42970</v>
      </c>
      <c r="B187" s="63"/>
      <c r="C187" s="46" t="s">
        <v>69</v>
      </c>
      <c r="D187" s="46">
        <v>400</v>
      </c>
      <c r="E187" s="46">
        <v>12.64</v>
      </c>
      <c r="F187" s="16">
        <f t="shared" si="27"/>
        <v>7700</v>
      </c>
      <c r="G187" s="17">
        <f t="shared" si="28"/>
        <v>12.76835610389611</v>
      </c>
      <c r="H187" s="15">
        <f t="shared" si="29"/>
        <v>98316.342000000048</v>
      </c>
      <c r="I187" s="15">
        <f t="shared" si="30"/>
        <v>-988.34200000004785</v>
      </c>
      <c r="J187" s="33">
        <f t="shared" si="31"/>
        <v>-1.0052672626896998E-2</v>
      </c>
      <c r="K187" s="15">
        <f t="shared" si="32"/>
        <v>97328</v>
      </c>
      <c r="L187" s="15">
        <f t="shared" si="24"/>
        <v>799.94400000000314</v>
      </c>
      <c r="M187" s="15"/>
      <c r="N187" s="15"/>
      <c r="O187" s="15"/>
      <c r="P187" s="17"/>
      <c r="Q187" s="31">
        <f t="shared" si="25"/>
        <v>5045.9440000000031</v>
      </c>
      <c r="R187" s="34">
        <f t="shared" si="26"/>
        <v>10.056000000000001</v>
      </c>
      <c r="S187" s="273"/>
      <c r="T187" s="273"/>
      <c r="U187" s="273"/>
      <c r="V187" s="22"/>
      <c r="W187" s="272"/>
      <c r="X187" s="272"/>
      <c r="Y187" s="272"/>
      <c r="Z187" s="274"/>
      <c r="AA187" s="22"/>
      <c r="AB187" s="275"/>
      <c r="AC187" s="40"/>
      <c r="AD187" s="40"/>
    </row>
    <row r="188" spans="1:30" s="1" customFormat="1" x14ac:dyDescent="0.25">
      <c r="A188" s="162">
        <v>42971</v>
      </c>
      <c r="B188" s="63"/>
      <c r="C188" s="46" t="s">
        <v>69</v>
      </c>
      <c r="D188" s="46">
        <v>400</v>
      </c>
      <c r="E188" s="46">
        <v>12.8</v>
      </c>
      <c r="F188" s="16">
        <f t="shared" si="27"/>
        <v>7300</v>
      </c>
      <c r="G188" s="17">
        <f t="shared" si="28"/>
        <v>12.76800849315069</v>
      </c>
      <c r="H188" s="15">
        <f t="shared" si="29"/>
        <v>93206.462000000043</v>
      </c>
      <c r="I188" s="15">
        <f t="shared" si="30"/>
        <v>233.53799999995681</v>
      </c>
      <c r="J188" s="33">
        <f t="shared" si="31"/>
        <v>2.5055988070866531E-3</v>
      </c>
      <c r="K188" s="15">
        <f t="shared" si="32"/>
        <v>93440</v>
      </c>
      <c r="L188" s="15">
        <f t="shared" si="24"/>
        <v>1221.8800000000047</v>
      </c>
      <c r="M188" s="15"/>
      <c r="N188" s="15"/>
      <c r="O188" s="15"/>
      <c r="P188" s="17"/>
      <c r="Q188" s="31">
        <f t="shared" si="25"/>
        <v>5109.8800000000047</v>
      </c>
      <c r="R188" s="34">
        <f t="shared" si="26"/>
        <v>10.120000000000001</v>
      </c>
      <c r="S188" s="273"/>
      <c r="T188" s="273"/>
      <c r="U188" s="273"/>
      <c r="V188" s="22"/>
      <c r="W188" s="272"/>
      <c r="X188" s="272"/>
      <c r="Y188" s="272"/>
      <c r="Z188" s="274"/>
      <c r="AA188" s="22"/>
      <c r="AB188" s="275"/>
      <c r="AC188" s="40"/>
      <c r="AD188" s="40"/>
    </row>
    <row r="189" spans="1:30" s="1" customFormat="1" x14ac:dyDescent="0.25">
      <c r="A189" s="162">
        <v>42972</v>
      </c>
      <c r="B189" s="63" t="s">
        <v>254</v>
      </c>
      <c r="C189" s="46" t="s">
        <v>63</v>
      </c>
      <c r="D189" s="46">
        <v>500</v>
      </c>
      <c r="E189" s="46">
        <v>12.63</v>
      </c>
      <c r="F189" s="16">
        <f t="shared" si="27"/>
        <v>7800</v>
      </c>
      <c r="G189" s="17">
        <f t="shared" si="28"/>
        <v>12.759802820512826</v>
      </c>
      <c r="H189" s="15">
        <f t="shared" si="29"/>
        <v>99526.462000000043</v>
      </c>
      <c r="I189" s="15">
        <f t="shared" si="30"/>
        <v>-1012.4620000000432</v>
      </c>
      <c r="J189" s="33">
        <f t="shared" si="31"/>
        <v>-1.0172792035951584E-2</v>
      </c>
      <c r="K189" s="15">
        <f t="shared" si="32"/>
        <v>98514</v>
      </c>
      <c r="L189" s="15">
        <f t="shared" si="24"/>
        <v>-1246</v>
      </c>
      <c r="M189" s="15"/>
      <c r="N189" s="15"/>
      <c r="O189" s="15"/>
      <c r="P189" s="17"/>
      <c r="Q189" s="31">
        <f t="shared" si="25"/>
        <v>-6320</v>
      </c>
      <c r="R189" s="34">
        <f t="shared" si="26"/>
        <v>5</v>
      </c>
      <c r="S189" s="273"/>
      <c r="T189" s="273"/>
      <c r="U189" s="273"/>
      <c r="V189" s="22"/>
      <c r="W189" s="272"/>
      <c r="X189" s="272"/>
      <c r="Y189" s="272"/>
      <c r="Z189" s="274"/>
      <c r="AA189" s="22"/>
      <c r="AB189" s="275"/>
      <c r="AC189" s="40"/>
      <c r="AD189" s="40"/>
    </row>
    <row r="190" spans="1:30" s="1" customFormat="1" x14ac:dyDescent="0.25">
      <c r="A190" s="162">
        <v>42972</v>
      </c>
      <c r="B190" s="63"/>
      <c r="C190" s="46" t="s">
        <v>69</v>
      </c>
      <c r="D190" s="46">
        <v>400</v>
      </c>
      <c r="E190" s="46">
        <v>12.8</v>
      </c>
      <c r="F190" s="16">
        <f t="shared" si="27"/>
        <v>7400</v>
      </c>
      <c r="G190" s="17">
        <f t="shared" si="28"/>
        <v>12.758997567567572</v>
      </c>
      <c r="H190" s="15">
        <f t="shared" si="29"/>
        <v>94416.582000000039</v>
      </c>
      <c r="I190" s="15">
        <f t="shared" si="30"/>
        <v>303.41799999996147</v>
      </c>
      <c r="J190" s="33">
        <f t="shared" si="31"/>
        <v>3.2136092365636498E-3</v>
      </c>
      <c r="K190" s="15">
        <f t="shared" si="32"/>
        <v>94720</v>
      </c>
      <c r="L190" s="15">
        <f t="shared" si="24"/>
        <v>1315.8800000000047</v>
      </c>
      <c r="M190" s="15"/>
      <c r="N190" s="15"/>
      <c r="O190" s="15"/>
      <c r="P190" s="17"/>
      <c r="Q190" s="31">
        <f t="shared" si="25"/>
        <v>5109.8800000000047</v>
      </c>
      <c r="R190" s="34">
        <f t="shared" si="26"/>
        <v>10.120000000000001</v>
      </c>
      <c r="S190" s="273"/>
      <c r="T190" s="273"/>
      <c r="U190" s="273"/>
      <c r="V190" s="22"/>
      <c r="W190" s="272"/>
      <c r="X190" s="272"/>
      <c r="Y190" s="272"/>
      <c r="Z190" s="274"/>
      <c r="AA190" s="22"/>
      <c r="AB190" s="275"/>
      <c r="AC190" s="40"/>
      <c r="AD190" s="40"/>
    </row>
    <row r="191" spans="1:30" s="1" customFormat="1" x14ac:dyDescent="0.25">
      <c r="A191" s="162">
        <v>42975</v>
      </c>
      <c r="B191" s="63"/>
      <c r="C191" s="46" t="s">
        <v>69</v>
      </c>
      <c r="D191" s="46">
        <v>400</v>
      </c>
      <c r="E191" s="46">
        <v>12.86</v>
      </c>
      <c r="F191" s="16">
        <f t="shared" si="27"/>
        <v>7000</v>
      </c>
      <c r="G191" s="17">
        <f t="shared" si="28"/>
        <v>12.754675142857149</v>
      </c>
      <c r="H191" s="15">
        <f t="shared" si="29"/>
        <v>89282.726000000039</v>
      </c>
      <c r="I191" s="15">
        <f t="shared" si="30"/>
        <v>737.27399999996123</v>
      </c>
      <c r="J191" s="33">
        <f t="shared" si="31"/>
        <v>8.2577451768212455E-3</v>
      </c>
      <c r="K191" s="15">
        <f t="shared" si="32"/>
        <v>90020</v>
      </c>
      <c r="L191" s="15">
        <f t="shared" si="24"/>
        <v>433.85599999999977</v>
      </c>
      <c r="M191" s="15"/>
      <c r="N191" s="15"/>
      <c r="O191" s="15"/>
      <c r="P191" s="17"/>
      <c r="Q191" s="31">
        <f t="shared" si="25"/>
        <v>5133.8559999999998</v>
      </c>
      <c r="R191" s="34">
        <f t="shared" si="26"/>
        <v>10.144</v>
      </c>
      <c r="S191" s="273"/>
      <c r="T191" s="273"/>
      <c r="U191" s="273"/>
      <c r="V191" s="22"/>
      <c r="W191" s="272"/>
      <c r="X191" s="272"/>
      <c r="Y191" s="272"/>
      <c r="Z191" s="274"/>
      <c r="AA191" s="22"/>
      <c r="AB191" s="275"/>
      <c r="AC191" s="40"/>
      <c r="AD191" s="40"/>
    </row>
    <row r="192" spans="1:30" s="1" customFormat="1" x14ac:dyDescent="0.25">
      <c r="A192" s="162">
        <v>42976</v>
      </c>
      <c r="B192" s="63"/>
      <c r="C192" s="46" t="s">
        <v>69</v>
      </c>
      <c r="D192" s="46">
        <v>400</v>
      </c>
      <c r="E192" s="46">
        <v>13.03</v>
      </c>
      <c r="F192" s="16">
        <f t="shared" si="27"/>
        <v>6600</v>
      </c>
      <c r="G192" s="17">
        <f t="shared" si="28"/>
        <v>12.739536060606067</v>
      </c>
      <c r="H192" s="15">
        <f t="shared" si="29"/>
        <v>84080.938000000038</v>
      </c>
      <c r="I192" s="15">
        <f t="shared" si="30"/>
        <v>1917.0619999999617</v>
      </c>
      <c r="J192" s="33">
        <f t="shared" si="31"/>
        <v>2.2800197590563898E-2</v>
      </c>
      <c r="K192" s="15">
        <f t="shared" si="32"/>
        <v>85998</v>
      </c>
      <c r="L192" s="15">
        <f t="shared" si="24"/>
        <v>1179.7880000000005</v>
      </c>
      <c r="M192" s="15"/>
      <c r="N192" s="15"/>
      <c r="O192" s="15"/>
      <c r="P192" s="17"/>
      <c r="Q192" s="31">
        <f t="shared" si="25"/>
        <v>5201.7880000000005</v>
      </c>
      <c r="R192" s="34">
        <f t="shared" si="26"/>
        <v>10.212</v>
      </c>
      <c r="S192" s="273"/>
      <c r="T192" s="273"/>
      <c r="U192" s="273"/>
      <c r="V192" s="22"/>
      <c r="W192" s="272"/>
      <c r="X192" s="272"/>
      <c r="Y192" s="272"/>
      <c r="Z192" s="274"/>
      <c r="AA192" s="22"/>
      <c r="AB192" s="275"/>
      <c r="AC192" s="40"/>
      <c r="AD192" s="40"/>
    </row>
    <row r="193" spans="1:30" s="1" customFormat="1" x14ac:dyDescent="0.25">
      <c r="A193" s="162">
        <v>42977</v>
      </c>
      <c r="B193" s="63" t="s">
        <v>289</v>
      </c>
      <c r="C193" s="46" t="s">
        <v>63</v>
      </c>
      <c r="D193" s="46">
        <v>500</v>
      </c>
      <c r="E193" s="46">
        <v>12.79</v>
      </c>
      <c r="F193" s="16">
        <f t="shared" si="27"/>
        <v>7100</v>
      </c>
      <c r="G193" s="17">
        <f t="shared" si="28"/>
        <v>12.743794084507048</v>
      </c>
      <c r="H193" s="15">
        <f t="shared" si="29"/>
        <v>90480.938000000038</v>
      </c>
      <c r="I193" s="15">
        <f t="shared" si="30"/>
        <v>328.0619999999617</v>
      </c>
      <c r="J193" s="33">
        <f t="shared" si="31"/>
        <v>3.6257581679795797E-3</v>
      </c>
      <c r="K193" s="15">
        <f t="shared" si="32"/>
        <v>90809</v>
      </c>
      <c r="L193" s="15">
        <f t="shared" si="24"/>
        <v>-1589</v>
      </c>
      <c r="M193" s="15"/>
      <c r="N193" s="15"/>
      <c r="O193" s="15"/>
      <c r="P193" s="17"/>
      <c r="Q193" s="31">
        <f t="shared" si="25"/>
        <v>-6400</v>
      </c>
      <c r="R193" s="34">
        <f t="shared" si="26"/>
        <v>5</v>
      </c>
      <c r="S193" s="273"/>
      <c r="T193" s="273"/>
      <c r="U193" s="273"/>
      <c r="V193" s="22"/>
      <c r="W193" s="272"/>
      <c r="X193" s="272"/>
      <c r="Y193" s="272"/>
      <c r="Z193" s="274"/>
      <c r="AA193" s="22"/>
      <c r="AB193" s="275"/>
      <c r="AC193" s="40"/>
      <c r="AD193" s="40"/>
    </row>
    <row r="194" spans="1:30" s="1" customFormat="1" x14ac:dyDescent="0.25">
      <c r="A194" s="162">
        <v>42978</v>
      </c>
      <c r="B194" s="63"/>
      <c r="C194" s="46" t="s">
        <v>69</v>
      </c>
      <c r="D194" s="46">
        <v>400</v>
      </c>
      <c r="E194" s="46">
        <v>12.86</v>
      </c>
      <c r="F194" s="16">
        <f t="shared" si="27"/>
        <v>6700</v>
      </c>
      <c r="G194" s="17">
        <f t="shared" si="28"/>
        <v>12.7383704477612</v>
      </c>
      <c r="H194" s="15">
        <f t="shared" si="29"/>
        <v>85347.082000000039</v>
      </c>
      <c r="I194" s="15">
        <f t="shared" si="30"/>
        <v>814.91799999996147</v>
      </c>
      <c r="J194" s="33">
        <f t="shared" si="31"/>
        <v>9.5482819201710232E-3</v>
      </c>
      <c r="K194" s="15">
        <f t="shared" si="32"/>
        <v>86162</v>
      </c>
      <c r="L194" s="15">
        <f t="shared" ref="L194:L257" si="33">I194-I193</f>
        <v>486.85599999999977</v>
      </c>
      <c r="M194" s="15"/>
      <c r="N194" s="15"/>
      <c r="O194" s="15"/>
      <c r="P194" s="17"/>
      <c r="Q194" s="31">
        <f t="shared" ref="Q194:Q257" si="34">(H194-H193)*-1</f>
        <v>5133.8559999999998</v>
      </c>
      <c r="R194" s="34">
        <f t="shared" si="26"/>
        <v>10.144</v>
      </c>
      <c r="S194" s="273"/>
      <c r="T194" s="273"/>
      <c r="U194" s="273"/>
      <c r="V194" s="22"/>
      <c r="W194" s="272"/>
      <c r="X194" s="272"/>
      <c r="Y194" s="272"/>
      <c r="Z194" s="274"/>
      <c r="AA194" s="22"/>
      <c r="AB194" s="275"/>
      <c r="AC194" s="40"/>
      <c r="AD194" s="40"/>
    </row>
    <row r="195" spans="1:30" s="1" customFormat="1" x14ac:dyDescent="0.25">
      <c r="A195" s="162">
        <v>42978</v>
      </c>
      <c r="B195" s="63"/>
      <c r="C195" s="46" t="s">
        <v>69</v>
      </c>
      <c r="D195" s="46">
        <v>400</v>
      </c>
      <c r="E195" s="46">
        <v>12.98</v>
      </c>
      <c r="F195" s="16">
        <f t="shared" si="27"/>
        <v>6300</v>
      </c>
      <c r="G195" s="17">
        <f t="shared" si="28"/>
        <v>12.724646666666672</v>
      </c>
      <c r="H195" s="15">
        <f t="shared" si="29"/>
        <v>80165.274000000034</v>
      </c>
      <c r="I195" s="15">
        <f t="shared" si="30"/>
        <v>1608.725999999966</v>
      </c>
      <c r="J195" s="33">
        <f t="shared" si="31"/>
        <v>2.0067616808744002E-2</v>
      </c>
      <c r="K195" s="15">
        <f t="shared" si="32"/>
        <v>81774</v>
      </c>
      <c r="L195" s="15">
        <f t="shared" si="33"/>
        <v>793.80800000000454</v>
      </c>
      <c r="M195" s="15"/>
      <c r="N195" s="15"/>
      <c r="O195" s="15"/>
      <c r="P195" s="17"/>
      <c r="Q195" s="31">
        <f t="shared" si="34"/>
        <v>5181.8080000000045</v>
      </c>
      <c r="R195" s="34">
        <f t="shared" si="26"/>
        <v>10.192</v>
      </c>
      <c r="S195" s="273"/>
      <c r="T195" s="273"/>
      <c r="U195" s="273"/>
      <c r="V195" s="22"/>
      <c r="W195" s="272"/>
      <c r="X195" s="272"/>
      <c r="Y195" s="272"/>
      <c r="Z195" s="274"/>
      <c r="AA195" s="22"/>
      <c r="AB195" s="275"/>
      <c r="AC195" s="40"/>
      <c r="AD195" s="40"/>
    </row>
    <row r="196" spans="1:30" s="1" customFormat="1" x14ac:dyDescent="0.25">
      <c r="A196" s="162">
        <v>42978</v>
      </c>
      <c r="B196" s="63"/>
      <c r="C196" s="46" t="s">
        <v>69</v>
      </c>
      <c r="D196" s="46">
        <v>400</v>
      </c>
      <c r="E196" s="46">
        <v>13.16</v>
      </c>
      <c r="F196" s="16">
        <f t="shared" si="27"/>
        <v>5900</v>
      </c>
      <c r="G196" s="17">
        <f t="shared" si="28"/>
        <v>12.696870847457632</v>
      </c>
      <c r="H196" s="15">
        <f t="shared" si="29"/>
        <v>74911.53800000003</v>
      </c>
      <c r="I196" s="15">
        <f t="shared" si="30"/>
        <v>2732.4619999999704</v>
      </c>
      <c r="J196" s="33">
        <f t="shared" si="31"/>
        <v>3.6475849688201202E-2</v>
      </c>
      <c r="K196" s="15">
        <f t="shared" si="32"/>
        <v>77644</v>
      </c>
      <c r="L196" s="15">
        <f t="shared" si="33"/>
        <v>1123.7360000000044</v>
      </c>
      <c r="M196" s="15"/>
      <c r="N196" s="15"/>
      <c r="O196" s="15"/>
      <c r="P196" s="17"/>
      <c r="Q196" s="31">
        <f t="shared" si="34"/>
        <v>5253.7360000000044</v>
      </c>
      <c r="R196" s="34">
        <f t="shared" ref="R196:R259" si="35">commission($B$2,C196,D196,E196)</f>
        <v>10.263999999999999</v>
      </c>
      <c r="S196" s="273"/>
      <c r="T196" s="273"/>
      <c r="U196" s="273"/>
      <c r="V196" s="22"/>
      <c r="W196" s="272"/>
      <c r="X196" s="272"/>
      <c r="Y196" s="272"/>
      <c r="Z196" s="274"/>
      <c r="AA196" s="22"/>
      <c r="AB196" s="275"/>
      <c r="AC196" s="40"/>
      <c r="AD196" s="40"/>
    </row>
    <row r="197" spans="1:30" s="1" customFormat="1" x14ac:dyDescent="0.25">
      <c r="A197" s="162">
        <v>42979</v>
      </c>
      <c r="B197" s="63" t="s">
        <v>248</v>
      </c>
      <c r="C197" s="46" t="s">
        <v>63</v>
      </c>
      <c r="D197" s="46">
        <v>500</v>
      </c>
      <c r="E197" s="46">
        <v>12.99</v>
      </c>
      <c r="F197" s="16">
        <f t="shared" si="27"/>
        <v>6400</v>
      </c>
      <c r="G197" s="17">
        <f t="shared" si="28"/>
        <v>12.720552812500005</v>
      </c>
      <c r="H197" s="15">
        <f t="shared" si="29"/>
        <v>81411.53800000003</v>
      </c>
      <c r="I197" s="15">
        <f t="shared" si="30"/>
        <v>1724.4619999999704</v>
      </c>
      <c r="J197" s="33">
        <f t="shared" si="31"/>
        <v>2.1182034418757337E-2</v>
      </c>
      <c r="K197" s="15">
        <f t="shared" si="32"/>
        <v>83136</v>
      </c>
      <c r="L197" s="15">
        <f t="shared" si="33"/>
        <v>-1008</v>
      </c>
      <c r="M197" s="15"/>
      <c r="N197" s="15"/>
      <c r="O197" s="15"/>
      <c r="P197" s="17"/>
      <c r="Q197" s="31">
        <f t="shared" si="34"/>
        <v>-6500</v>
      </c>
      <c r="R197" s="34">
        <f t="shared" si="35"/>
        <v>5</v>
      </c>
      <c r="S197" s="273"/>
      <c r="T197" s="273"/>
      <c r="U197" s="273"/>
      <c r="V197" s="22"/>
      <c r="W197" s="272"/>
      <c r="X197" s="272"/>
      <c r="Y197" s="272"/>
      <c r="Z197" s="274"/>
      <c r="AA197" s="22"/>
      <c r="AB197" s="275"/>
      <c r="AC197" s="40"/>
      <c r="AD197" s="40"/>
    </row>
    <row r="198" spans="1:30" s="1" customFormat="1" x14ac:dyDescent="0.25">
      <c r="A198" s="162">
        <v>42984</v>
      </c>
      <c r="B198" s="63" t="s">
        <v>567</v>
      </c>
      <c r="C198" s="46" t="s">
        <v>63</v>
      </c>
      <c r="D198" s="46">
        <v>500</v>
      </c>
      <c r="E198" s="46">
        <v>12.93</v>
      </c>
      <c r="F198" s="16">
        <f t="shared" si="27"/>
        <v>6900</v>
      </c>
      <c r="G198" s="17">
        <f t="shared" si="28"/>
        <v>12.7364547826087</v>
      </c>
      <c r="H198" s="15">
        <f t="shared" si="29"/>
        <v>87881.53800000003</v>
      </c>
      <c r="I198" s="15">
        <f t="shared" si="30"/>
        <v>1335.4619999999704</v>
      </c>
      <c r="J198" s="33">
        <f t="shared" si="31"/>
        <v>1.5196160995725507E-2</v>
      </c>
      <c r="K198" s="15">
        <f t="shared" si="32"/>
        <v>89217</v>
      </c>
      <c r="L198" s="15">
        <f t="shared" si="33"/>
        <v>-389</v>
      </c>
      <c r="M198" s="15"/>
      <c r="N198" s="15"/>
      <c r="O198" s="15"/>
      <c r="P198" s="17"/>
      <c r="Q198" s="31">
        <f t="shared" si="34"/>
        <v>-6470</v>
      </c>
      <c r="R198" s="34">
        <f t="shared" si="35"/>
        <v>5</v>
      </c>
      <c r="S198" s="273"/>
      <c r="T198" s="273"/>
      <c r="U198" s="273"/>
      <c r="V198" s="22"/>
      <c r="W198" s="272"/>
      <c r="X198" s="272"/>
      <c r="Y198" s="272"/>
      <c r="Z198" s="274"/>
      <c r="AA198" s="22"/>
      <c r="AB198" s="275"/>
      <c r="AC198" s="40"/>
      <c r="AD198" s="40"/>
    </row>
    <row r="199" spans="1:30" s="1" customFormat="1" x14ac:dyDescent="0.25">
      <c r="A199" s="162">
        <v>42985</v>
      </c>
      <c r="B199" s="63"/>
      <c r="C199" s="46" t="s">
        <v>69</v>
      </c>
      <c r="D199" s="46">
        <v>400</v>
      </c>
      <c r="E199" s="46">
        <v>13.05</v>
      </c>
      <c r="F199" s="16">
        <f t="shared" si="27"/>
        <v>6500</v>
      </c>
      <c r="G199" s="17">
        <f t="shared" si="28"/>
        <v>12.718732000000005</v>
      </c>
      <c r="H199" s="15">
        <f t="shared" si="29"/>
        <v>82671.758000000031</v>
      </c>
      <c r="I199" s="15">
        <f t="shared" si="30"/>
        <v>2153.2419999999693</v>
      </c>
      <c r="J199" s="33">
        <f t="shared" si="31"/>
        <v>2.6045678138354986E-2</v>
      </c>
      <c r="K199" s="15">
        <f t="shared" si="32"/>
        <v>84825</v>
      </c>
      <c r="L199" s="15">
        <f t="shared" si="33"/>
        <v>817.77999999999884</v>
      </c>
      <c r="M199" s="15"/>
      <c r="N199" s="15"/>
      <c r="O199" s="15"/>
      <c r="P199" s="17"/>
      <c r="Q199" s="31">
        <f t="shared" si="34"/>
        <v>5209.7799999999988</v>
      </c>
      <c r="R199" s="34">
        <f t="shared" si="35"/>
        <v>10.220000000000001</v>
      </c>
      <c r="S199" s="273"/>
      <c r="T199" s="273"/>
      <c r="U199" s="273"/>
      <c r="V199" s="22"/>
      <c r="W199" s="272"/>
      <c r="X199" s="272"/>
      <c r="Y199" s="272"/>
      <c r="Z199" s="274"/>
      <c r="AA199" s="22"/>
      <c r="AB199" s="275"/>
      <c r="AC199" s="40"/>
      <c r="AD199" s="40"/>
    </row>
    <row r="200" spans="1:30" s="1" customFormat="1" x14ac:dyDescent="0.25">
      <c r="A200" s="162">
        <v>42985</v>
      </c>
      <c r="B200" s="63"/>
      <c r="C200" s="46" t="s">
        <v>69</v>
      </c>
      <c r="D200" s="46">
        <v>400</v>
      </c>
      <c r="E200" s="46">
        <v>13.1</v>
      </c>
      <c r="F200" s="16">
        <f t="shared" si="27"/>
        <v>6100</v>
      </c>
      <c r="G200" s="17">
        <f t="shared" si="28"/>
        <v>12.695409508196727</v>
      </c>
      <c r="H200" s="15">
        <f t="shared" si="29"/>
        <v>77441.998000000036</v>
      </c>
      <c r="I200" s="15">
        <f t="shared" si="30"/>
        <v>2468.001999999964</v>
      </c>
      <c r="J200" s="33">
        <f t="shared" si="31"/>
        <v>3.1869038296248008E-2</v>
      </c>
      <c r="K200" s="15">
        <f t="shared" si="32"/>
        <v>79910</v>
      </c>
      <c r="L200" s="15">
        <f t="shared" si="33"/>
        <v>314.75999999999476</v>
      </c>
      <c r="M200" s="15"/>
      <c r="N200" s="15"/>
      <c r="O200" s="15"/>
      <c r="P200" s="17"/>
      <c r="Q200" s="31">
        <f t="shared" si="34"/>
        <v>5229.7599999999948</v>
      </c>
      <c r="R200" s="34">
        <f t="shared" si="35"/>
        <v>10.24</v>
      </c>
      <c r="S200" s="273"/>
      <c r="T200" s="273"/>
      <c r="U200" s="273"/>
      <c r="V200" s="22"/>
      <c r="W200" s="272"/>
      <c r="X200" s="272"/>
      <c r="Y200" s="272"/>
      <c r="Z200" s="274"/>
      <c r="AA200" s="22"/>
      <c r="AB200" s="275"/>
      <c r="AC200" s="40"/>
      <c r="AD200" s="40"/>
    </row>
    <row r="201" spans="1:30" s="1" customFormat="1" x14ac:dyDescent="0.25">
      <c r="A201" s="162">
        <v>42986</v>
      </c>
      <c r="B201" s="63"/>
      <c r="C201" s="46" t="s">
        <v>69</v>
      </c>
      <c r="D201" s="46">
        <v>400</v>
      </c>
      <c r="E201" s="46">
        <v>13.18</v>
      </c>
      <c r="F201" s="16">
        <f t="shared" si="27"/>
        <v>5700</v>
      </c>
      <c r="G201" s="17">
        <f t="shared" si="28"/>
        <v>12.6632052631579</v>
      </c>
      <c r="H201" s="15">
        <f t="shared" si="29"/>
        <v>72180.270000000033</v>
      </c>
      <c r="I201" s="15">
        <f t="shared" si="30"/>
        <v>2945.7299999999668</v>
      </c>
      <c r="J201" s="33">
        <f t="shared" si="31"/>
        <v>4.081073678444213E-2</v>
      </c>
      <c r="K201" s="15">
        <f t="shared" si="32"/>
        <v>75126</v>
      </c>
      <c r="L201" s="15">
        <f t="shared" si="33"/>
        <v>477.72800000000279</v>
      </c>
      <c r="M201" s="15"/>
      <c r="N201" s="15"/>
      <c r="O201" s="15"/>
      <c r="P201" s="17"/>
      <c r="Q201" s="31">
        <f t="shared" si="34"/>
        <v>5261.7280000000028</v>
      </c>
      <c r="R201" s="34">
        <f t="shared" si="35"/>
        <v>10.272</v>
      </c>
      <c r="S201" s="273"/>
      <c r="T201" s="273"/>
      <c r="U201" s="273"/>
      <c r="V201" s="22"/>
      <c r="W201" s="272"/>
      <c r="X201" s="272"/>
      <c r="Y201" s="272"/>
      <c r="Z201" s="274"/>
      <c r="AA201" s="22"/>
      <c r="AB201" s="275"/>
      <c r="AC201" s="40"/>
      <c r="AD201" s="40"/>
    </row>
    <row r="202" spans="1:30" s="1" customFormat="1" x14ac:dyDescent="0.25">
      <c r="A202" s="162">
        <v>42986</v>
      </c>
      <c r="B202" s="63"/>
      <c r="C202" s="46" t="s">
        <v>69</v>
      </c>
      <c r="D202" s="46">
        <v>400</v>
      </c>
      <c r="E202" s="46">
        <v>13.32</v>
      </c>
      <c r="F202" s="16">
        <f t="shared" si="27"/>
        <v>5300</v>
      </c>
      <c r="G202" s="17">
        <f t="shared" si="28"/>
        <v>12.615584528301891</v>
      </c>
      <c r="H202" s="15">
        <f t="shared" si="29"/>
        <v>66862.598000000027</v>
      </c>
      <c r="I202" s="15">
        <f t="shared" si="30"/>
        <v>3733.4019999999728</v>
      </c>
      <c r="J202" s="33">
        <f t="shared" si="31"/>
        <v>5.5836926946810778E-2</v>
      </c>
      <c r="K202" s="15">
        <f t="shared" si="32"/>
        <v>70596</v>
      </c>
      <c r="L202" s="15">
        <f t="shared" si="33"/>
        <v>787.67200000000594</v>
      </c>
      <c r="M202" s="15"/>
      <c r="N202" s="15"/>
      <c r="O202" s="15"/>
      <c r="P202" s="17"/>
      <c r="Q202" s="31">
        <f t="shared" si="34"/>
        <v>5317.6720000000059</v>
      </c>
      <c r="R202" s="34">
        <f t="shared" si="35"/>
        <v>10.327999999999999</v>
      </c>
      <c r="S202" s="273"/>
      <c r="T202" s="273"/>
      <c r="U202" s="273"/>
      <c r="V202" s="22"/>
      <c r="W202" s="272"/>
      <c r="X202" s="272"/>
      <c r="Y202" s="272"/>
      <c r="Z202" s="274"/>
      <c r="AA202" s="22"/>
      <c r="AB202" s="275"/>
      <c r="AC202" s="40"/>
      <c r="AD202" s="40"/>
    </row>
    <row r="203" spans="1:30" s="1" customFormat="1" x14ac:dyDescent="0.25">
      <c r="A203" s="162">
        <v>42986</v>
      </c>
      <c r="B203" s="63"/>
      <c r="C203" s="46" t="s">
        <v>69</v>
      </c>
      <c r="D203" s="46">
        <v>400</v>
      </c>
      <c r="E203" s="46">
        <v>13.43</v>
      </c>
      <c r="F203" s="16">
        <f t="shared" si="27"/>
        <v>4900</v>
      </c>
      <c r="G203" s="17">
        <f t="shared" si="28"/>
        <v>12.551218367346944</v>
      </c>
      <c r="H203" s="15">
        <f t="shared" si="29"/>
        <v>61500.97000000003</v>
      </c>
      <c r="I203" s="15">
        <f t="shared" si="30"/>
        <v>4306.0299999999697</v>
      </c>
      <c r="J203" s="33">
        <f t="shared" si="31"/>
        <v>7.001564365570119E-2</v>
      </c>
      <c r="K203" s="15">
        <f t="shared" si="32"/>
        <v>65807</v>
      </c>
      <c r="L203" s="15">
        <f t="shared" si="33"/>
        <v>572.62799999999697</v>
      </c>
      <c r="M203" s="15"/>
      <c r="N203" s="15"/>
      <c r="O203" s="15"/>
      <c r="P203" s="17"/>
      <c r="Q203" s="31">
        <f t="shared" si="34"/>
        <v>5361.627999999997</v>
      </c>
      <c r="R203" s="34">
        <f t="shared" si="35"/>
        <v>10.372</v>
      </c>
      <c r="S203" s="273"/>
      <c r="T203" s="273"/>
      <c r="U203" s="273"/>
      <c r="V203" s="22"/>
      <c r="W203" s="272"/>
      <c r="X203" s="272"/>
      <c r="Y203" s="272"/>
      <c r="Z203" s="274"/>
      <c r="AA203" s="22"/>
      <c r="AB203" s="275"/>
      <c r="AC203" s="40"/>
      <c r="AD203" s="40"/>
    </row>
    <row r="204" spans="1:30" s="1" customFormat="1" x14ac:dyDescent="0.25">
      <c r="A204" s="162">
        <v>42986</v>
      </c>
      <c r="B204" s="63"/>
      <c r="C204" s="46" t="s">
        <v>69</v>
      </c>
      <c r="D204" s="46">
        <v>400</v>
      </c>
      <c r="E204" s="46">
        <v>13.52</v>
      </c>
      <c r="F204" s="16">
        <f t="shared" ref="F204:F267" si="36">IF(C204="买",F203+D204,IF(C204="卖",F203-D204,F203))</f>
        <v>4500</v>
      </c>
      <c r="G204" s="17">
        <f t="shared" ref="G204:G267" si="37">H204/F204</f>
        <v>12.467417333333341</v>
      </c>
      <c r="H204" s="15">
        <f t="shared" ref="H204:H267" si="38">IF(C204="买",H203+D204*E204+R204+S204,IF(C204="卖",H203-D204*E204+R204+S204,H203))</f>
        <v>56103.378000000033</v>
      </c>
      <c r="I204" s="15">
        <f t="shared" ref="I204:I267" si="39">-H204+K204</f>
        <v>4736.6219999999666</v>
      </c>
      <c r="J204" s="33">
        <f t="shared" ref="J204:J267" si="40">(E204-G204)/G204</f>
        <v>8.4426681045835825E-2</v>
      </c>
      <c r="K204" s="15">
        <f t="shared" ref="K204:K267" si="41">F204*E204</f>
        <v>60840</v>
      </c>
      <c r="L204" s="15">
        <f t="shared" si="33"/>
        <v>430.59199999999691</v>
      </c>
      <c r="M204" s="15"/>
      <c r="N204" s="15"/>
      <c r="O204" s="15"/>
      <c r="P204" s="17"/>
      <c r="Q204" s="31">
        <f t="shared" si="34"/>
        <v>5397.5919999999969</v>
      </c>
      <c r="R204" s="34">
        <f t="shared" si="35"/>
        <v>10.407999999999999</v>
      </c>
      <c r="S204" s="273"/>
      <c r="T204" s="273"/>
      <c r="U204" s="273"/>
      <c r="V204" s="22"/>
      <c r="W204" s="272"/>
      <c r="X204" s="272"/>
      <c r="Y204" s="272"/>
      <c r="Z204" s="274"/>
      <c r="AA204" s="22"/>
      <c r="AB204" s="275"/>
      <c r="AC204" s="40"/>
      <c r="AD204" s="40"/>
    </row>
    <row r="205" spans="1:30" s="1" customFormat="1" x14ac:dyDescent="0.25">
      <c r="A205" s="162">
        <v>42986</v>
      </c>
      <c r="B205" s="63" t="s">
        <v>568</v>
      </c>
      <c r="C205" s="46" t="s">
        <v>63</v>
      </c>
      <c r="D205" s="46">
        <v>500</v>
      </c>
      <c r="E205" s="46">
        <v>13.32</v>
      </c>
      <c r="F205" s="16">
        <f t="shared" si="36"/>
        <v>5000</v>
      </c>
      <c r="G205" s="17">
        <f t="shared" si="37"/>
        <v>12.553675600000007</v>
      </c>
      <c r="H205" s="15">
        <f t="shared" si="38"/>
        <v>62768.378000000033</v>
      </c>
      <c r="I205" s="15">
        <f t="shared" si="39"/>
        <v>3831.6219999999666</v>
      </c>
      <c r="J205" s="33">
        <f t="shared" si="40"/>
        <v>6.1043826877284664E-2</v>
      </c>
      <c r="K205" s="15">
        <f t="shared" si="41"/>
        <v>66600</v>
      </c>
      <c r="L205" s="15">
        <f t="shared" si="33"/>
        <v>-905</v>
      </c>
      <c r="M205" s="15"/>
      <c r="N205" s="15"/>
      <c r="O205" s="15"/>
      <c r="P205" s="17"/>
      <c r="Q205" s="31">
        <f t="shared" si="34"/>
        <v>-6665</v>
      </c>
      <c r="R205" s="34">
        <f t="shared" si="35"/>
        <v>5</v>
      </c>
      <c r="S205" s="273"/>
      <c r="T205" s="273"/>
      <c r="U205" s="273"/>
      <c r="V205" s="22"/>
      <c r="W205" s="272"/>
      <c r="X205" s="272"/>
      <c r="Y205" s="272"/>
      <c r="Z205" s="274"/>
      <c r="AA205" s="22"/>
      <c r="AB205" s="275"/>
      <c r="AC205" s="40"/>
      <c r="AD205" s="40"/>
    </row>
    <row r="206" spans="1:30" s="1" customFormat="1" x14ac:dyDescent="0.25">
      <c r="A206" s="162">
        <v>42989</v>
      </c>
      <c r="B206" s="63" t="s">
        <v>569</v>
      </c>
      <c r="C206" s="46" t="s">
        <v>63</v>
      </c>
      <c r="D206" s="46">
        <v>500</v>
      </c>
      <c r="E206" s="46">
        <v>13.07</v>
      </c>
      <c r="F206" s="16">
        <f t="shared" si="36"/>
        <v>5500</v>
      </c>
      <c r="G206" s="17">
        <f t="shared" si="37"/>
        <v>12.601523272727277</v>
      </c>
      <c r="H206" s="15">
        <f t="shared" si="38"/>
        <v>69308.378000000026</v>
      </c>
      <c r="I206" s="15">
        <f t="shared" si="39"/>
        <v>2576.6219999999739</v>
      </c>
      <c r="J206" s="33">
        <f t="shared" si="40"/>
        <v>3.7176198236813084E-2</v>
      </c>
      <c r="K206" s="15">
        <f t="shared" si="41"/>
        <v>71885</v>
      </c>
      <c r="L206" s="15">
        <f t="shared" si="33"/>
        <v>-1254.9999999999927</v>
      </c>
      <c r="M206" s="15"/>
      <c r="N206" s="15"/>
      <c r="O206" s="15"/>
      <c r="P206" s="17"/>
      <c r="Q206" s="31">
        <f t="shared" si="34"/>
        <v>-6539.9999999999927</v>
      </c>
      <c r="R206" s="34">
        <f t="shared" si="35"/>
        <v>5</v>
      </c>
      <c r="S206" s="273"/>
      <c r="T206" s="273"/>
      <c r="U206" s="273"/>
      <c r="V206" s="22"/>
      <c r="W206" s="272"/>
      <c r="X206" s="272"/>
      <c r="Y206" s="272"/>
      <c r="Z206" s="274"/>
      <c r="AA206" s="22"/>
      <c r="AB206" s="275"/>
      <c r="AC206" s="40"/>
      <c r="AD206" s="40"/>
    </row>
    <row r="207" spans="1:30" s="1" customFormat="1" x14ac:dyDescent="0.25">
      <c r="A207" s="162">
        <v>42990</v>
      </c>
      <c r="B207" s="63" t="s">
        <v>253</v>
      </c>
      <c r="C207" s="46" t="s">
        <v>63</v>
      </c>
      <c r="D207" s="46">
        <v>500</v>
      </c>
      <c r="E207" s="46">
        <v>12.97</v>
      </c>
      <c r="F207" s="16">
        <f t="shared" si="36"/>
        <v>6000</v>
      </c>
      <c r="G207" s="17">
        <f t="shared" si="37"/>
        <v>12.633063000000003</v>
      </c>
      <c r="H207" s="15">
        <f t="shared" si="38"/>
        <v>75798.378000000026</v>
      </c>
      <c r="I207" s="15">
        <f t="shared" si="39"/>
        <v>2021.6219999999739</v>
      </c>
      <c r="J207" s="33">
        <f t="shared" si="40"/>
        <v>2.6671045652190372E-2</v>
      </c>
      <c r="K207" s="15">
        <f t="shared" si="41"/>
        <v>77820</v>
      </c>
      <c r="L207" s="15">
        <f t="shared" si="33"/>
        <v>-555</v>
      </c>
      <c r="M207" s="15"/>
      <c r="N207" s="15"/>
      <c r="O207" s="15"/>
      <c r="P207" s="17"/>
      <c r="Q207" s="31">
        <f t="shared" si="34"/>
        <v>-6490</v>
      </c>
      <c r="R207" s="34">
        <f t="shared" si="35"/>
        <v>5</v>
      </c>
      <c r="S207" s="273"/>
      <c r="T207" s="273"/>
      <c r="U207" s="273"/>
      <c r="V207" s="22"/>
      <c r="W207" s="272"/>
      <c r="X207" s="272"/>
      <c r="Y207" s="272"/>
      <c r="Z207" s="274"/>
      <c r="AA207" s="22"/>
      <c r="AB207" s="275"/>
      <c r="AC207" s="40"/>
      <c r="AD207" s="40"/>
    </row>
    <row r="208" spans="1:30" s="1" customFormat="1" x14ac:dyDescent="0.25">
      <c r="A208" s="162">
        <v>42990</v>
      </c>
      <c r="B208" s="63"/>
      <c r="C208" s="46" t="s">
        <v>69</v>
      </c>
      <c r="D208" s="46">
        <v>400</v>
      </c>
      <c r="E208" s="46">
        <v>13.17</v>
      </c>
      <c r="F208" s="16">
        <f t="shared" si="36"/>
        <v>5600</v>
      </c>
      <c r="G208" s="17">
        <f t="shared" si="37"/>
        <v>12.596543928571432</v>
      </c>
      <c r="H208" s="15">
        <f t="shared" si="38"/>
        <v>70540.646000000022</v>
      </c>
      <c r="I208" s="15">
        <f t="shared" si="39"/>
        <v>3211.3539999999775</v>
      </c>
      <c r="J208" s="33">
        <f t="shared" si="40"/>
        <v>4.5524873701893523E-2</v>
      </c>
      <c r="K208" s="15">
        <f t="shared" si="41"/>
        <v>73752</v>
      </c>
      <c r="L208" s="15">
        <f t="shared" si="33"/>
        <v>1189.7320000000036</v>
      </c>
      <c r="M208" s="15"/>
      <c r="N208" s="15"/>
      <c r="O208" s="15"/>
      <c r="P208" s="17"/>
      <c r="Q208" s="31">
        <f t="shared" si="34"/>
        <v>5257.7320000000036</v>
      </c>
      <c r="R208" s="34">
        <f t="shared" si="35"/>
        <v>10.268000000000001</v>
      </c>
      <c r="S208" s="273"/>
      <c r="T208" s="273"/>
      <c r="U208" s="273"/>
      <c r="V208" s="22"/>
      <c r="W208" s="272"/>
      <c r="X208" s="272"/>
      <c r="Y208" s="272"/>
      <c r="Z208" s="274"/>
      <c r="AA208" s="22"/>
      <c r="AB208" s="275"/>
      <c r="AC208" s="40"/>
      <c r="AD208" s="40"/>
    </row>
    <row r="209" spans="1:30" s="1" customFormat="1" x14ac:dyDescent="0.25">
      <c r="A209" s="162">
        <v>42992</v>
      </c>
      <c r="B209" s="63" t="s">
        <v>437</v>
      </c>
      <c r="C209" s="46" t="s">
        <v>63</v>
      </c>
      <c r="D209" s="46">
        <v>500</v>
      </c>
      <c r="E209" s="46">
        <v>12.97</v>
      </c>
      <c r="F209" s="16">
        <f t="shared" si="36"/>
        <v>6100</v>
      </c>
      <c r="G209" s="17">
        <f t="shared" si="37"/>
        <v>12.627974754098364</v>
      </c>
      <c r="H209" s="15">
        <f t="shared" si="38"/>
        <v>77030.646000000022</v>
      </c>
      <c r="I209" s="15">
        <f t="shared" si="39"/>
        <v>2086.3539999999775</v>
      </c>
      <c r="J209" s="33">
        <f t="shared" si="40"/>
        <v>2.7084726772250899E-2</v>
      </c>
      <c r="K209" s="15">
        <f t="shared" si="41"/>
        <v>79117</v>
      </c>
      <c r="L209" s="15">
        <f t="shared" si="33"/>
        <v>-1125</v>
      </c>
      <c r="M209" s="15"/>
      <c r="N209" s="15"/>
      <c r="O209" s="15"/>
      <c r="P209" s="17"/>
      <c r="Q209" s="31">
        <f t="shared" si="34"/>
        <v>-6490</v>
      </c>
      <c r="R209" s="34">
        <f t="shared" si="35"/>
        <v>5</v>
      </c>
      <c r="S209" s="273"/>
      <c r="T209" s="273"/>
      <c r="U209" s="273"/>
      <c r="V209" s="22"/>
      <c r="W209" s="272"/>
      <c r="X209" s="272"/>
      <c r="Y209" s="272"/>
      <c r="Z209" s="274"/>
      <c r="AA209" s="22"/>
      <c r="AB209" s="275"/>
      <c r="AC209" s="40"/>
      <c r="AD209" s="40"/>
    </row>
    <row r="210" spans="1:30" s="1" customFormat="1" x14ac:dyDescent="0.25">
      <c r="A210" s="162">
        <v>42993</v>
      </c>
      <c r="B210" s="63"/>
      <c r="C210" s="46" t="s">
        <v>69</v>
      </c>
      <c r="D210" s="46">
        <v>400</v>
      </c>
      <c r="E210" s="46">
        <v>13.63</v>
      </c>
      <c r="F210" s="16">
        <f t="shared" si="36"/>
        <v>5700</v>
      </c>
      <c r="G210" s="17">
        <f t="shared" si="37"/>
        <v>12.559490877192987</v>
      </c>
      <c r="H210" s="15">
        <f t="shared" si="38"/>
        <v>71589.098000000027</v>
      </c>
      <c r="I210" s="15">
        <f t="shared" si="39"/>
        <v>6101.9019999999728</v>
      </c>
      <c r="J210" s="33">
        <f t="shared" si="40"/>
        <v>8.5235073083334237E-2</v>
      </c>
      <c r="K210" s="15">
        <f t="shared" si="41"/>
        <v>77691</v>
      </c>
      <c r="L210" s="15">
        <f t="shared" si="33"/>
        <v>4015.5479999999952</v>
      </c>
      <c r="M210" s="15"/>
      <c r="N210" s="15"/>
      <c r="O210" s="15"/>
      <c r="P210" s="17"/>
      <c r="Q210" s="31">
        <f t="shared" si="34"/>
        <v>5441.5479999999952</v>
      </c>
      <c r="R210" s="34">
        <f t="shared" si="35"/>
        <v>10.452</v>
      </c>
      <c r="S210" s="273"/>
      <c r="T210" s="273"/>
      <c r="U210" s="273"/>
      <c r="V210" s="22"/>
      <c r="W210" s="272"/>
      <c r="X210" s="272"/>
      <c r="Y210" s="272"/>
      <c r="Z210" s="274"/>
      <c r="AA210" s="22"/>
      <c r="AB210" s="275"/>
      <c r="AC210" s="40"/>
      <c r="AD210" s="40"/>
    </row>
    <row r="211" spans="1:30" s="1" customFormat="1" x14ac:dyDescent="0.25">
      <c r="A211" s="162">
        <v>42996</v>
      </c>
      <c r="B211" s="63" t="s">
        <v>570</v>
      </c>
      <c r="C211" s="46" t="s">
        <v>63</v>
      </c>
      <c r="D211" s="46">
        <v>500</v>
      </c>
      <c r="E211" s="46">
        <v>13.25</v>
      </c>
      <c r="F211" s="16">
        <f t="shared" si="36"/>
        <v>6200</v>
      </c>
      <c r="G211" s="17">
        <f t="shared" si="37"/>
        <v>12.615983548387101</v>
      </c>
      <c r="H211" s="15">
        <f t="shared" si="38"/>
        <v>78219.098000000027</v>
      </c>
      <c r="I211" s="15">
        <f t="shared" si="39"/>
        <v>3930.9019999999728</v>
      </c>
      <c r="J211" s="33">
        <f t="shared" si="40"/>
        <v>5.0255015725187376E-2</v>
      </c>
      <c r="K211" s="15">
        <f t="shared" si="41"/>
        <v>82150</v>
      </c>
      <c r="L211" s="15">
        <f t="shared" si="33"/>
        <v>-2171</v>
      </c>
      <c r="M211" s="15"/>
      <c r="N211" s="15"/>
      <c r="O211" s="15"/>
      <c r="P211" s="17"/>
      <c r="Q211" s="31">
        <f t="shared" si="34"/>
        <v>-6630</v>
      </c>
      <c r="R211" s="34">
        <f t="shared" si="35"/>
        <v>5</v>
      </c>
      <c r="S211" s="273"/>
      <c r="T211" s="273"/>
      <c r="U211" s="273"/>
      <c r="V211" s="22"/>
      <c r="W211" s="272"/>
      <c r="X211" s="272"/>
      <c r="Y211" s="272"/>
      <c r="Z211" s="274"/>
      <c r="AA211" s="22"/>
      <c r="AB211" s="275"/>
      <c r="AC211" s="40"/>
      <c r="AD211" s="40"/>
    </row>
    <row r="212" spans="1:30" s="1" customFormat="1" x14ac:dyDescent="0.25">
      <c r="A212" s="162">
        <v>42996</v>
      </c>
      <c r="B212" s="63"/>
      <c r="C212" s="46" t="s">
        <v>69</v>
      </c>
      <c r="D212" s="46">
        <v>400</v>
      </c>
      <c r="E212" s="46">
        <v>13.47</v>
      </c>
      <c r="F212" s="16">
        <f t="shared" si="36"/>
        <v>5800</v>
      </c>
      <c r="G212" s="17">
        <f t="shared" si="37"/>
        <v>12.55887689655173</v>
      </c>
      <c r="H212" s="15">
        <f t="shared" si="38"/>
        <v>72841.486000000034</v>
      </c>
      <c r="I212" s="15">
        <f t="shared" si="39"/>
        <v>5284.5139999999665</v>
      </c>
      <c r="J212" s="33">
        <f t="shared" si="40"/>
        <v>7.2548135550117215E-2</v>
      </c>
      <c r="K212" s="15">
        <f t="shared" si="41"/>
        <v>78126</v>
      </c>
      <c r="L212" s="15">
        <f t="shared" si="33"/>
        <v>1353.6119999999937</v>
      </c>
      <c r="M212" s="15"/>
      <c r="N212" s="15"/>
      <c r="O212" s="15"/>
      <c r="P212" s="17"/>
      <c r="Q212" s="31">
        <f t="shared" si="34"/>
        <v>5377.6119999999937</v>
      </c>
      <c r="R212" s="34">
        <f t="shared" si="35"/>
        <v>10.388</v>
      </c>
      <c r="S212" s="273"/>
      <c r="T212" s="273"/>
      <c r="U212" s="273"/>
      <c r="V212" s="22"/>
      <c r="W212" s="272"/>
      <c r="X212" s="272"/>
      <c r="Y212" s="272"/>
      <c r="Z212" s="274"/>
      <c r="AA212" s="22"/>
      <c r="AB212" s="275"/>
      <c r="AC212" s="40"/>
      <c r="AD212" s="40"/>
    </row>
    <row r="213" spans="1:30" s="1" customFormat="1" x14ac:dyDescent="0.25">
      <c r="A213" s="162">
        <v>42996</v>
      </c>
      <c r="B213" s="63"/>
      <c r="C213" s="46" t="s">
        <v>69</v>
      </c>
      <c r="D213" s="46">
        <v>400</v>
      </c>
      <c r="E213" s="46">
        <v>13.55</v>
      </c>
      <c r="F213" s="16">
        <f t="shared" si="36"/>
        <v>5400</v>
      </c>
      <c r="G213" s="17">
        <f t="shared" si="37"/>
        <v>12.487390000000007</v>
      </c>
      <c r="H213" s="15">
        <f t="shared" si="38"/>
        <v>67431.906000000032</v>
      </c>
      <c r="I213" s="15">
        <f t="shared" si="39"/>
        <v>5738.0939999999682</v>
      </c>
      <c r="J213" s="33">
        <f t="shared" si="40"/>
        <v>8.5094643476338411E-2</v>
      </c>
      <c r="K213" s="15">
        <f t="shared" si="41"/>
        <v>73170</v>
      </c>
      <c r="L213" s="15">
        <f t="shared" si="33"/>
        <v>453.58000000000175</v>
      </c>
      <c r="M213" s="15"/>
      <c r="N213" s="15"/>
      <c r="O213" s="15"/>
      <c r="P213" s="17"/>
      <c r="Q213" s="31">
        <f t="shared" si="34"/>
        <v>5409.5800000000017</v>
      </c>
      <c r="R213" s="34">
        <f t="shared" si="35"/>
        <v>10.42</v>
      </c>
      <c r="S213" s="273"/>
      <c r="T213" s="273"/>
      <c r="U213" s="273"/>
      <c r="V213" s="22"/>
      <c r="W213" s="272"/>
      <c r="X213" s="272"/>
      <c r="Y213" s="272"/>
      <c r="Z213" s="274"/>
      <c r="AA213" s="22"/>
      <c r="AB213" s="275"/>
      <c r="AC213" s="40"/>
      <c r="AD213" s="40"/>
    </row>
    <row r="214" spans="1:30" s="1" customFormat="1" x14ac:dyDescent="0.25">
      <c r="A214" s="162">
        <v>42996</v>
      </c>
      <c r="B214" s="63" t="s">
        <v>571</v>
      </c>
      <c r="C214" s="46" t="s">
        <v>69</v>
      </c>
      <c r="D214" s="46">
        <v>400</v>
      </c>
      <c r="E214" s="46">
        <v>13.64</v>
      </c>
      <c r="F214" s="16">
        <f t="shared" si="36"/>
        <v>5000</v>
      </c>
      <c r="G214" s="17">
        <f t="shared" si="37"/>
        <v>12.397272400000006</v>
      </c>
      <c r="H214" s="15">
        <f t="shared" si="38"/>
        <v>61986.36200000003</v>
      </c>
      <c r="I214" s="15">
        <f t="shared" si="39"/>
        <v>6213.6379999999699</v>
      </c>
      <c r="J214" s="33">
        <f t="shared" si="40"/>
        <v>0.10024201775222705</v>
      </c>
      <c r="K214" s="15">
        <f t="shared" si="41"/>
        <v>68200</v>
      </c>
      <c r="L214" s="15">
        <f t="shared" si="33"/>
        <v>475.54400000000169</v>
      </c>
      <c r="M214" s="15"/>
      <c r="N214" s="15"/>
      <c r="O214" s="15"/>
      <c r="P214" s="17"/>
      <c r="Q214" s="31">
        <f t="shared" si="34"/>
        <v>5445.5440000000017</v>
      </c>
      <c r="R214" s="34">
        <f t="shared" si="35"/>
        <v>10.456</v>
      </c>
      <c r="S214" s="273"/>
      <c r="T214" s="273"/>
      <c r="U214" s="273"/>
      <c r="V214" s="22"/>
      <c r="W214" s="272"/>
      <c r="X214" s="272"/>
      <c r="Y214" s="272"/>
      <c r="Z214" s="274"/>
      <c r="AA214" s="22"/>
      <c r="AB214" s="275"/>
      <c r="AC214" s="40"/>
      <c r="AD214" s="40"/>
    </row>
    <row r="215" spans="1:30" s="1" customFormat="1" x14ac:dyDescent="0.25">
      <c r="A215" s="162">
        <v>42997</v>
      </c>
      <c r="B215" s="63" t="s">
        <v>572</v>
      </c>
      <c r="C215" s="46" t="s">
        <v>63</v>
      </c>
      <c r="D215" s="46">
        <v>500</v>
      </c>
      <c r="E215" s="46">
        <v>13.48</v>
      </c>
      <c r="F215" s="16">
        <f t="shared" si="36"/>
        <v>5500</v>
      </c>
      <c r="G215" s="17">
        <f t="shared" si="37"/>
        <v>12.496611272727277</v>
      </c>
      <c r="H215" s="15">
        <f t="shared" si="38"/>
        <v>68731.362000000023</v>
      </c>
      <c r="I215" s="15">
        <f t="shared" si="39"/>
        <v>5408.6379999999772</v>
      </c>
      <c r="J215" s="33">
        <f t="shared" si="40"/>
        <v>7.8692431556935796E-2</v>
      </c>
      <c r="K215" s="15">
        <f t="shared" si="41"/>
        <v>74140</v>
      </c>
      <c r="L215" s="15">
        <f t="shared" si="33"/>
        <v>-804.99999999999272</v>
      </c>
      <c r="M215" s="15"/>
      <c r="N215" s="15"/>
      <c r="O215" s="15"/>
      <c r="P215" s="17"/>
      <c r="Q215" s="31">
        <f t="shared" si="34"/>
        <v>-6744.9999999999927</v>
      </c>
      <c r="R215" s="34">
        <f t="shared" si="35"/>
        <v>5</v>
      </c>
      <c r="S215" s="273"/>
      <c r="T215" s="273"/>
      <c r="U215" s="273"/>
      <c r="V215" s="22"/>
      <c r="W215" s="272"/>
      <c r="X215" s="272"/>
      <c r="Y215" s="272"/>
      <c r="Z215" s="274"/>
      <c r="AA215" s="22"/>
      <c r="AB215" s="275"/>
      <c r="AC215" s="40"/>
      <c r="AD215" s="40"/>
    </row>
    <row r="216" spans="1:30" s="1" customFormat="1" x14ac:dyDescent="0.25">
      <c r="A216" s="162">
        <v>42999</v>
      </c>
      <c r="B216" s="63" t="s">
        <v>252</v>
      </c>
      <c r="C216" s="46" t="s">
        <v>63</v>
      </c>
      <c r="D216" s="46">
        <v>500</v>
      </c>
      <c r="E216" s="46">
        <v>13.38</v>
      </c>
      <c r="F216" s="16">
        <f t="shared" si="36"/>
        <v>6000</v>
      </c>
      <c r="G216" s="17">
        <f t="shared" si="37"/>
        <v>12.571060333333337</v>
      </c>
      <c r="H216" s="15">
        <f t="shared" si="38"/>
        <v>75426.362000000023</v>
      </c>
      <c r="I216" s="15">
        <f t="shared" si="39"/>
        <v>4853.6379999999772</v>
      </c>
      <c r="J216" s="33">
        <f t="shared" si="40"/>
        <v>6.4349358384804253E-2</v>
      </c>
      <c r="K216" s="15">
        <f t="shared" si="41"/>
        <v>80280</v>
      </c>
      <c r="L216" s="22">
        <f t="shared" si="33"/>
        <v>-555</v>
      </c>
      <c r="M216" s="22"/>
      <c r="N216" s="22"/>
      <c r="O216" s="22"/>
      <c r="P216" s="272"/>
      <c r="Q216" s="22">
        <f t="shared" si="34"/>
        <v>-6695</v>
      </c>
      <c r="R216" s="34">
        <f t="shared" si="35"/>
        <v>5</v>
      </c>
      <c r="S216" s="273"/>
      <c r="T216" s="273"/>
      <c r="U216" s="273"/>
      <c r="V216" s="22"/>
      <c r="W216" s="272"/>
      <c r="X216" s="272"/>
      <c r="Y216" s="272"/>
      <c r="Z216" s="274"/>
      <c r="AA216" s="22"/>
      <c r="AB216" s="275"/>
      <c r="AC216" s="40"/>
      <c r="AD216" s="40"/>
    </row>
    <row r="217" spans="1:30" s="1" customFormat="1" x14ac:dyDescent="0.25">
      <c r="A217" s="162">
        <v>43000</v>
      </c>
      <c r="B217" s="63" t="s">
        <v>323</v>
      </c>
      <c r="C217" s="46" t="s">
        <v>63</v>
      </c>
      <c r="D217" s="46">
        <v>500</v>
      </c>
      <c r="E217" s="46">
        <v>13.16</v>
      </c>
      <c r="F217" s="16">
        <f t="shared" si="36"/>
        <v>6500</v>
      </c>
      <c r="G217" s="17">
        <f t="shared" si="37"/>
        <v>12.617132615384619</v>
      </c>
      <c r="H217" s="15">
        <f t="shared" si="38"/>
        <v>82011.362000000023</v>
      </c>
      <c r="I217" s="15">
        <f t="shared" si="39"/>
        <v>3528.6379999999772</v>
      </c>
      <c r="J217" s="33">
        <f t="shared" si="40"/>
        <v>4.302620897821418E-2</v>
      </c>
      <c r="K217" s="15">
        <f t="shared" si="41"/>
        <v>85540</v>
      </c>
      <c r="L217" s="22">
        <f t="shared" si="33"/>
        <v>-1325</v>
      </c>
      <c r="M217" s="22"/>
      <c r="N217" s="22"/>
      <c r="O217" s="22"/>
      <c r="P217" s="272"/>
      <c r="Q217" s="22">
        <f t="shared" si="34"/>
        <v>-6585</v>
      </c>
      <c r="R217" s="34">
        <f t="shared" si="35"/>
        <v>5</v>
      </c>
      <c r="S217" s="273"/>
      <c r="T217" s="273"/>
      <c r="U217" s="273"/>
      <c r="V217" s="22"/>
      <c r="W217" s="272"/>
      <c r="X217" s="272"/>
      <c r="Y217" s="272"/>
      <c r="Z217" s="274"/>
      <c r="AA217" s="22"/>
      <c r="AB217" s="275"/>
      <c r="AC217" s="40"/>
      <c r="AD217" s="40"/>
    </row>
    <row r="218" spans="1:30" s="1" customFormat="1" x14ac:dyDescent="0.25">
      <c r="A218" s="162">
        <v>43000</v>
      </c>
      <c r="B218" s="63"/>
      <c r="C218" s="46" t="s">
        <v>69</v>
      </c>
      <c r="D218" s="46">
        <v>400</v>
      </c>
      <c r="E218" s="46">
        <v>13.34</v>
      </c>
      <c r="F218" s="16">
        <f t="shared" si="36"/>
        <v>6100</v>
      </c>
      <c r="G218" s="17">
        <f t="shared" si="37"/>
        <v>12.571425901639348</v>
      </c>
      <c r="H218" s="15">
        <f t="shared" si="38"/>
        <v>76685.698000000019</v>
      </c>
      <c r="I218" s="15">
        <f t="shared" si="39"/>
        <v>4688.3019999999815</v>
      </c>
      <c r="J218" s="33">
        <f t="shared" si="40"/>
        <v>6.1136588989513754E-2</v>
      </c>
      <c r="K218" s="15">
        <f t="shared" si="41"/>
        <v>81374</v>
      </c>
      <c r="L218" s="22">
        <f t="shared" si="33"/>
        <v>1159.6640000000043</v>
      </c>
      <c r="M218" s="22"/>
      <c r="N218" s="22"/>
      <c r="O218" s="22"/>
      <c r="P218" s="272"/>
      <c r="Q218" s="22">
        <f t="shared" si="34"/>
        <v>5325.6640000000043</v>
      </c>
      <c r="R218" s="34">
        <f t="shared" si="35"/>
        <v>10.336</v>
      </c>
      <c r="S218" s="273"/>
      <c r="T218" s="273"/>
      <c r="U218" s="273"/>
      <c r="V218" s="22"/>
      <c r="W218" s="272"/>
      <c r="X218" s="272"/>
      <c r="Y218" s="272"/>
      <c r="Z218" s="274"/>
      <c r="AA218" s="22"/>
      <c r="AB218" s="275"/>
      <c r="AC218" s="40"/>
      <c r="AD218" s="40"/>
    </row>
    <row r="219" spans="1:30" s="1" customFormat="1" x14ac:dyDescent="0.25">
      <c r="A219" s="162">
        <v>43003</v>
      </c>
      <c r="B219" s="63" t="s">
        <v>250</v>
      </c>
      <c r="C219" s="46" t="s">
        <v>63</v>
      </c>
      <c r="D219" s="46">
        <v>500</v>
      </c>
      <c r="E219" s="46">
        <v>13.07</v>
      </c>
      <c r="F219" s="16">
        <f t="shared" si="36"/>
        <v>6600</v>
      </c>
      <c r="G219" s="17">
        <f t="shared" si="37"/>
        <v>12.609954242424244</v>
      </c>
      <c r="H219" s="15">
        <f t="shared" si="38"/>
        <v>83225.698000000019</v>
      </c>
      <c r="I219" s="15">
        <f t="shared" si="39"/>
        <v>3036.3019999999815</v>
      </c>
      <c r="J219" s="33">
        <f t="shared" si="40"/>
        <v>3.6482745990306847E-2</v>
      </c>
      <c r="K219" s="15">
        <f t="shared" si="41"/>
        <v>86262</v>
      </c>
      <c r="L219" s="22">
        <f t="shared" si="33"/>
        <v>-1652</v>
      </c>
      <c r="M219" s="22"/>
      <c r="N219" s="22"/>
      <c r="O219" s="22"/>
      <c r="P219" s="272"/>
      <c r="Q219" s="22">
        <f t="shared" si="34"/>
        <v>-6540</v>
      </c>
      <c r="R219" s="34">
        <f t="shared" si="35"/>
        <v>5</v>
      </c>
      <c r="S219" s="273"/>
      <c r="T219" s="273"/>
      <c r="U219" s="273"/>
      <c r="V219" s="22"/>
      <c r="W219" s="272"/>
      <c r="X219" s="272"/>
      <c r="Y219" s="272"/>
      <c r="Z219" s="274"/>
      <c r="AA219" s="22"/>
      <c r="AB219" s="275"/>
      <c r="AC219" s="40"/>
      <c r="AD219" s="40"/>
    </row>
    <row r="220" spans="1:30" s="1" customFormat="1" x14ac:dyDescent="0.25">
      <c r="A220" s="162">
        <v>43003</v>
      </c>
      <c r="B220" s="63" t="s">
        <v>322</v>
      </c>
      <c r="C220" s="46" t="s">
        <v>63</v>
      </c>
      <c r="D220" s="46">
        <v>500</v>
      </c>
      <c r="E220" s="46">
        <v>12.88</v>
      </c>
      <c r="F220" s="16">
        <f t="shared" si="36"/>
        <v>7100</v>
      </c>
      <c r="G220" s="17">
        <f t="shared" si="37"/>
        <v>12.62967577464789</v>
      </c>
      <c r="H220" s="15">
        <f t="shared" si="38"/>
        <v>89670.698000000019</v>
      </c>
      <c r="I220" s="15">
        <f t="shared" si="39"/>
        <v>1777.3019999999815</v>
      </c>
      <c r="J220" s="33">
        <f t="shared" si="40"/>
        <v>1.9820320791971411E-2</v>
      </c>
      <c r="K220" s="15">
        <f t="shared" si="41"/>
        <v>91448</v>
      </c>
      <c r="L220" s="22">
        <f t="shared" si="33"/>
        <v>-1259</v>
      </c>
      <c r="M220" s="22"/>
      <c r="N220" s="22"/>
      <c r="O220" s="22"/>
      <c r="P220" s="272"/>
      <c r="Q220" s="22">
        <f t="shared" si="34"/>
        <v>-6445</v>
      </c>
      <c r="R220" s="34">
        <f t="shared" si="35"/>
        <v>5</v>
      </c>
      <c r="S220" s="273"/>
      <c r="T220" s="273"/>
      <c r="U220" s="273"/>
      <c r="V220" s="22"/>
      <c r="W220" s="272"/>
      <c r="X220" s="272"/>
      <c r="Y220" s="272"/>
      <c r="Z220" s="274"/>
      <c r="AA220" s="22"/>
      <c r="AB220" s="275"/>
      <c r="AC220" s="40"/>
      <c r="AD220" s="40"/>
    </row>
    <row r="221" spans="1:30" s="1" customFormat="1" x14ac:dyDescent="0.25">
      <c r="A221" s="162">
        <v>43003</v>
      </c>
      <c r="B221" s="63" t="s">
        <v>249</v>
      </c>
      <c r="C221" s="46" t="s">
        <v>63</v>
      </c>
      <c r="D221" s="46">
        <v>500</v>
      </c>
      <c r="E221" s="46">
        <v>12.76</v>
      </c>
      <c r="F221" s="16">
        <f t="shared" si="36"/>
        <v>7600</v>
      </c>
      <c r="G221" s="17">
        <f t="shared" si="37"/>
        <v>12.638907631578951</v>
      </c>
      <c r="H221" s="15">
        <f t="shared" si="38"/>
        <v>96055.698000000019</v>
      </c>
      <c r="I221" s="15">
        <f t="shared" si="39"/>
        <v>920.30199999998149</v>
      </c>
      <c r="J221" s="33">
        <f t="shared" si="40"/>
        <v>9.5809204363907045E-3</v>
      </c>
      <c r="K221" s="15">
        <f t="shared" si="41"/>
        <v>96976</v>
      </c>
      <c r="L221" s="22">
        <f t="shared" si="33"/>
        <v>-857</v>
      </c>
      <c r="M221" s="22"/>
      <c r="N221" s="22"/>
      <c r="O221" s="22"/>
      <c r="P221" s="272"/>
      <c r="Q221" s="22">
        <f t="shared" si="34"/>
        <v>-6385</v>
      </c>
      <c r="R221" s="34">
        <f t="shared" si="35"/>
        <v>5</v>
      </c>
      <c r="S221" s="273"/>
      <c r="T221" s="273"/>
      <c r="U221" s="273"/>
      <c r="V221" s="22"/>
      <c r="W221" s="272"/>
      <c r="X221" s="272"/>
      <c r="Y221" s="272"/>
      <c r="Z221" s="274"/>
      <c r="AA221" s="22"/>
      <c r="AB221" s="275"/>
      <c r="AC221" s="40"/>
      <c r="AD221" s="40"/>
    </row>
    <row r="222" spans="1:30" s="1" customFormat="1" x14ac:dyDescent="0.25">
      <c r="A222" s="162">
        <v>43005</v>
      </c>
      <c r="B222" s="63"/>
      <c r="C222" s="46" t="s">
        <v>69</v>
      </c>
      <c r="D222" s="46">
        <v>400</v>
      </c>
      <c r="E222" s="46">
        <v>12.9</v>
      </c>
      <c r="F222" s="16">
        <f t="shared" si="36"/>
        <v>7200</v>
      </c>
      <c r="G222" s="17">
        <f t="shared" si="37"/>
        <v>12.625813611111115</v>
      </c>
      <c r="H222" s="15">
        <f t="shared" si="38"/>
        <v>90905.858000000022</v>
      </c>
      <c r="I222" s="15">
        <f t="shared" si="39"/>
        <v>1974.141999999978</v>
      </c>
      <c r="J222" s="33">
        <f t="shared" si="40"/>
        <v>2.1716334276279281E-2</v>
      </c>
      <c r="K222" s="15">
        <f t="shared" si="41"/>
        <v>92880</v>
      </c>
      <c r="L222" s="22">
        <f t="shared" si="33"/>
        <v>1053.8399999999965</v>
      </c>
      <c r="M222" s="22"/>
      <c r="N222" s="22"/>
      <c r="O222" s="22"/>
      <c r="P222" s="272"/>
      <c r="Q222" s="22">
        <f t="shared" si="34"/>
        <v>5149.8399999999965</v>
      </c>
      <c r="R222" s="34">
        <f t="shared" si="35"/>
        <v>10.16</v>
      </c>
      <c r="S222" s="273"/>
      <c r="T222" s="273"/>
      <c r="U222" s="273"/>
      <c r="V222" s="22"/>
      <c r="W222" s="272"/>
      <c r="X222" s="272"/>
      <c r="Y222" s="272"/>
      <c r="Z222" s="274"/>
      <c r="AA222" s="22"/>
      <c r="AB222" s="275"/>
      <c r="AC222" s="40"/>
      <c r="AD222" s="40"/>
    </row>
    <row r="223" spans="1:30" s="1" customFormat="1" x14ac:dyDescent="0.25">
      <c r="A223" s="162">
        <v>43017</v>
      </c>
      <c r="B223" s="63"/>
      <c r="C223" s="46" t="s">
        <v>69</v>
      </c>
      <c r="D223" s="46">
        <v>400</v>
      </c>
      <c r="E223" s="46">
        <v>12.92</v>
      </c>
      <c r="F223" s="16">
        <f t="shared" si="36"/>
        <v>6800</v>
      </c>
      <c r="G223" s="17">
        <f t="shared" si="37"/>
        <v>12.610003823529416</v>
      </c>
      <c r="H223" s="15">
        <f t="shared" si="38"/>
        <v>85748.026000000027</v>
      </c>
      <c r="I223" s="15">
        <f t="shared" si="39"/>
        <v>2107.9739999999729</v>
      </c>
      <c r="J223" s="33">
        <f t="shared" si="40"/>
        <v>2.4583353090833478E-2</v>
      </c>
      <c r="K223" s="15">
        <f t="shared" si="41"/>
        <v>87856</v>
      </c>
      <c r="L223" s="22">
        <f t="shared" si="33"/>
        <v>133.83199999999488</v>
      </c>
      <c r="M223" s="22"/>
      <c r="N223" s="22"/>
      <c r="O223" s="22"/>
      <c r="P223" s="272"/>
      <c r="Q223" s="22">
        <f t="shared" si="34"/>
        <v>5157.8319999999949</v>
      </c>
      <c r="R223" s="34">
        <f t="shared" si="35"/>
        <v>10.167999999999999</v>
      </c>
      <c r="S223" s="273"/>
      <c r="T223" s="273"/>
      <c r="U223" s="273"/>
      <c r="V223" s="22"/>
      <c r="W223" s="272"/>
      <c r="X223" s="272"/>
      <c r="Y223" s="272"/>
      <c r="Z223" s="274"/>
      <c r="AA223" s="22"/>
      <c r="AB223" s="275"/>
      <c r="AC223" s="40"/>
      <c r="AD223" s="40"/>
    </row>
    <row r="224" spans="1:30" s="1" customFormat="1" x14ac:dyDescent="0.25">
      <c r="A224" s="162">
        <v>43018</v>
      </c>
      <c r="B224" s="63"/>
      <c r="C224" s="46" t="s">
        <v>69</v>
      </c>
      <c r="D224" s="46">
        <v>400</v>
      </c>
      <c r="E224" s="46">
        <v>13.18</v>
      </c>
      <c r="F224" s="16">
        <f t="shared" si="36"/>
        <v>6400</v>
      </c>
      <c r="G224" s="17">
        <f t="shared" si="37"/>
        <v>12.575984062500003</v>
      </c>
      <c r="H224" s="15">
        <f t="shared" si="38"/>
        <v>80486.298000000024</v>
      </c>
      <c r="I224" s="15">
        <f t="shared" si="39"/>
        <v>3865.7019999999757</v>
      </c>
      <c r="J224" s="33">
        <f t="shared" si="40"/>
        <v>4.8029317984037173E-2</v>
      </c>
      <c r="K224" s="15">
        <f t="shared" si="41"/>
        <v>84352</v>
      </c>
      <c r="L224" s="22">
        <f t="shared" si="33"/>
        <v>1757.7280000000028</v>
      </c>
      <c r="M224" s="22"/>
      <c r="N224" s="22"/>
      <c r="O224" s="22"/>
      <c r="P224" s="272"/>
      <c r="Q224" s="22">
        <f t="shared" si="34"/>
        <v>5261.7280000000028</v>
      </c>
      <c r="R224" s="34">
        <f t="shared" si="35"/>
        <v>10.272</v>
      </c>
      <c r="S224" s="273"/>
      <c r="T224" s="273"/>
      <c r="U224" s="273"/>
      <c r="V224" s="22"/>
      <c r="W224" s="272"/>
      <c r="X224" s="272"/>
      <c r="Y224" s="272"/>
      <c r="Z224" s="274"/>
      <c r="AA224" s="22"/>
      <c r="AB224" s="275"/>
      <c r="AC224" s="40"/>
      <c r="AD224" s="40"/>
    </row>
    <row r="225" spans="1:30" s="1" customFormat="1" x14ac:dyDescent="0.25">
      <c r="A225" s="162">
        <v>43020</v>
      </c>
      <c r="B225" s="63" t="s">
        <v>573</v>
      </c>
      <c r="C225" s="46" t="s">
        <v>63</v>
      </c>
      <c r="D225" s="46">
        <v>500</v>
      </c>
      <c r="E225" s="46">
        <v>12.96</v>
      </c>
      <c r="F225" s="16">
        <f t="shared" si="36"/>
        <v>6900</v>
      </c>
      <c r="G225" s="17">
        <f t="shared" si="37"/>
        <v>12.604535942028988</v>
      </c>
      <c r="H225" s="15">
        <f t="shared" si="38"/>
        <v>86971.298000000024</v>
      </c>
      <c r="I225" s="15">
        <f t="shared" si="39"/>
        <v>2452.7019999999757</v>
      </c>
      <c r="J225" s="33">
        <f t="shared" si="40"/>
        <v>2.8201280840950371E-2</v>
      </c>
      <c r="K225" s="15">
        <f t="shared" si="41"/>
        <v>89424</v>
      </c>
      <c r="L225" s="22">
        <f t="shared" si="33"/>
        <v>-1413</v>
      </c>
      <c r="M225" s="22"/>
      <c r="N225" s="22"/>
      <c r="O225" s="22"/>
      <c r="P225" s="272"/>
      <c r="Q225" s="22">
        <f t="shared" si="34"/>
        <v>-6485</v>
      </c>
      <c r="R225" s="34">
        <f t="shared" si="35"/>
        <v>5</v>
      </c>
      <c r="S225" s="273"/>
      <c r="T225" s="273"/>
      <c r="U225" s="273"/>
      <c r="V225" s="22"/>
      <c r="W225" s="272"/>
      <c r="X225" s="272"/>
      <c r="Y225" s="272"/>
      <c r="Z225" s="274"/>
      <c r="AA225" s="22"/>
      <c r="AB225" s="275"/>
      <c r="AC225" s="40"/>
      <c r="AD225" s="40"/>
    </row>
    <row r="226" spans="1:30" s="1" customFormat="1" x14ac:dyDescent="0.25">
      <c r="A226" s="162">
        <v>43021</v>
      </c>
      <c r="B226" s="63"/>
      <c r="C226" s="46" t="s">
        <v>69</v>
      </c>
      <c r="D226" s="46">
        <v>400</v>
      </c>
      <c r="E226" s="46">
        <v>13.13</v>
      </c>
      <c r="F226" s="16">
        <f t="shared" si="36"/>
        <v>6500</v>
      </c>
      <c r="G226" s="17">
        <f t="shared" si="37"/>
        <v>12.573776923076926</v>
      </c>
      <c r="H226" s="15">
        <f t="shared" si="38"/>
        <v>81729.550000000017</v>
      </c>
      <c r="I226" s="15">
        <f t="shared" si="39"/>
        <v>3615.4499999999825</v>
      </c>
      <c r="J226" s="33">
        <f t="shared" si="40"/>
        <v>4.4236754025930497E-2</v>
      </c>
      <c r="K226" s="15">
        <f t="shared" si="41"/>
        <v>85345</v>
      </c>
      <c r="L226" s="22">
        <f t="shared" si="33"/>
        <v>1162.7480000000069</v>
      </c>
      <c r="M226" s="22"/>
      <c r="N226" s="22"/>
      <c r="O226" s="22"/>
      <c r="P226" s="272"/>
      <c r="Q226" s="22">
        <f t="shared" si="34"/>
        <v>5241.7480000000069</v>
      </c>
      <c r="R226" s="34">
        <f t="shared" si="35"/>
        <v>10.252000000000001</v>
      </c>
      <c r="S226" s="273"/>
      <c r="T226" s="273"/>
      <c r="U226" s="273"/>
      <c r="V226" s="22"/>
      <c r="W226" s="272"/>
      <c r="X226" s="272"/>
      <c r="Y226" s="272"/>
      <c r="Z226" s="274"/>
      <c r="AA226" s="22"/>
      <c r="AB226" s="275"/>
      <c r="AC226" s="40"/>
      <c r="AD226" s="40"/>
    </row>
    <row r="227" spans="1:30" s="1" customFormat="1" x14ac:dyDescent="0.25">
      <c r="A227" s="162">
        <v>43021</v>
      </c>
      <c r="B227" s="63"/>
      <c r="C227" s="46" t="s">
        <v>69</v>
      </c>
      <c r="D227" s="46">
        <v>400</v>
      </c>
      <c r="E227" s="46">
        <v>13.24</v>
      </c>
      <c r="F227" s="16">
        <f t="shared" si="36"/>
        <v>6100</v>
      </c>
      <c r="G227" s="17">
        <f t="shared" si="37"/>
        <v>12.531778032786889</v>
      </c>
      <c r="H227" s="15">
        <f t="shared" si="38"/>
        <v>76443.84600000002</v>
      </c>
      <c r="I227" s="15">
        <f t="shared" si="39"/>
        <v>4320.1539999999804</v>
      </c>
      <c r="J227" s="33">
        <f t="shared" si="40"/>
        <v>5.6514084861716378E-2</v>
      </c>
      <c r="K227" s="15">
        <f t="shared" si="41"/>
        <v>80764</v>
      </c>
      <c r="L227" s="22">
        <f t="shared" si="33"/>
        <v>704.7039999999979</v>
      </c>
      <c r="M227" s="22"/>
      <c r="N227" s="22"/>
      <c r="O227" s="22"/>
      <c r="P227" s="272"/>
      <c r="Q227" s="22">
        <f t="shared" si="34"/>
        <v>5285.7039999999979</v>
      </c>
      <c r="R227" s="34">
        <f t="shared" si="35"/>
        <v>10.295999999999999</v>
      </c>
      <c r="S227" s="273"/>
      <c r="T227" s="273"/>
      <c r="U227" s="273"/>
      <c r="V227" s="22"/>
      <c r="W227" s="272"/>
      <c r="X227" s="272"/>
      <c r="Y227" s="272"/>
      <c r="Z227" s="274"/>
      <c r="AA227" s="22"/>
      <c r="AB227" s="275"/>
      <c r="AC227" s="40"/>
      <c r="AD227" s="40"/>
    </row>
    <row r="228" spans="1:30" s="1" customFormat="1" x14ac:dyDescent="0.25">
      <c r="A228" s="162">
        <v>43024</v>
      </c>
      <c r="B228" s="63"/>
      <c r="C228" s="46" t="s">
        <v>69</v>
      </c>
      <c r="D228" s="46">
        <v>400</v>
      </c>
      <c r="E228" s="46">
        <v>13.47</v>
      </c>
      <c r="F228" s="16">
        <f t="shared" si="36"/>
        <v>5700</v>
      </c>
      <c r="G228" s="17">
        <f t="shared" si="37"/>
        <v>12.467760350877198</v>
      </c>
      <c r="H228" s="15">
        <f t="shared" si="38"/>
        <v>71066.234000000026</v>
      </c>
      <c r="I228" s="15">
        <f t="shared" si="39"/>
        <v>5712.7659999999742</v>
      </c>
      <c r="J228" s="33">
        <f t="shared" si="40"/>
        <v>8.0386502540713986E-2</v>
      </c>
      <c r="K228" s="15">
        <f t="shared" si="41"/>
        <v>76779</v>
      </c>
      <c r="L228" s="22">
        <f t="shared" si="33"/>
        <v>1392.6119999999937</v>
      </c>
      <c r="M228" s="22"/>
      <c r="N228" s="22"/>
      <c r="O228" s="22"/>
      <c r="P228" s="272"/>
      <c r="Q228" s="22">
        <f t="shared" si="34"/>
        <v>5377.6119999999937</v>
      </c>
      <c r="R228" s="34">
        <f t="shared" si="35"/>
        <v>10.388</v>
      </c>
      <c r="S228" s="273"/>
      <c r="T228" s="273"/>
      <c r="U228" s="273"/>
      <c r="V228" s="22"/>
      <c r="W228" s="272"/>
      <c r="X228" s="272"/>
      <c r="Y228" s="272"/>
      <c r="Z228" s="274"/>
      <c r="AA228" s="22"/>
      <c r="AB228" s="275"/>
      <c r="AC228" s="40"/>
      <c r="AD228" s="40"/>
    </row>
    <row r="229" spans="1:30" s="1" customFormat="1" x14ac:dyDescent="0.25">
      <c r="A229" s="162">
        <v>43024</v>
      </c>
      <c r="B229" s="63" t="s">
        <v>574</v>
      </c>
      <c r="C229" s="46" t="s">
        <v>63</v>
      </c>
      <c r="D229" s="46">
        <v>500</v>
      </c>
      <c r="E229" s="46">
        <v>13.16</v>
      </c>
      <c r="F229" s="16">
        <f t="shared" si="36"/>
        <v>6200</v>
      </c>
      <c r="G229" s="17">
        <f t="shared" si="37"/>
        <v>12.524392580645165</v>
      </c>
      <c r="H229" s="15">
        <f t="shared" si="38"/>
        <v>77651.234000000026</v>
      </c>
      <c r="I229" s="15">
        <f t="shared" si="39"/>
        <v>3940.7659999999742</v>
      </c>
      <c r="J229" s="33">
        <f t="shared" si="40"/>
        <v>5.0749560528554886E-2</v>
      </c>
      <c r="K229" s="15">
        <f t="shared" si="41"/>
        <v>81592</v>
      </c>
      <c r="L229" s="22">
        <f t="shared" si="33"/>
        <v>-1772</v>
      </c>
      <c r="M229" s="22"/>
      <c r="N229" s="22"/>
      <c r="O229" s="22"/>
      <c r="P229" s="272"/>
      <c r="Q229" s="22">
        <f t="shared" si="34"/>
        <v>-6585</v>
      </c>
      <c r="R229" s="34">
        <f t="shared" si="35"/>
        <v>5</v>
      </c>
      <c r="S229" s="273"/>
      <c r="T229" s="273"/>
      <c r="U229" s="273"/>
      <c r="V229" s="22"/>
      <c r="W229" s="272"/>
      <c r="X229" s="272"/>
      <c r="Y229" s="272"/>
      <c r="Z229" s="274"/>
      <c r="AA229" s="22"/>
      <c r="AB229" s="275"/>
      <c r="AC229" s="40"/>
      <c r="AD229" s="40"/>
    </row>
    <row r="230" spans="1:30" s="1" customFormat="1" x14ac:dyDescent="0.25">
      <c r="A230" s="162">
        <v>43025</v>
      </c>
      <c r="B230" s="63" t="s">
        <v>306</v>
      </c>
      <c r="C230" s="46" t="s">
        <v>63</v>
      </c>
      <c r="D230" s="46">
        <v>500</v>
      </c>
      <c r="E230" s="46">
        <v>12.83</v>
      </c>
      <c r="F230" s="16">
        <f t="shared" si="36"/>
        <v>6700</v>
      </c>
      <c r="G230" s="17">
        <f t="shared" si="37"/>
        <v>12.547945373134333</v>
      </c>
      <c r="H230" s="15">
        <f t="shared" si="38"/>
        <v>84071.234000000026</v>
      </c>
      <c r="I230" s="15">
        <f t="shared" si="39"/>
        <v>1889.7659999999742</v>
      </c>
      <c r="J230" s="33">
        <f t="shared" si="40"/>
        <v>2.2478152277388613E-2</v>
      </c>
      <c r="K230" s="15">
        <f t="shared" si="41"/>
        <v>85961</v>
      </c>
      <c r="L230" s="22">
        <f t="shared" si="33"/>
        <v>-2051</v>
      </c>
      <c r="M230" s="22"/>
      <c r="N230" s="22"/>
      <c r="O230" s="22"/>
      <c r="P230" s="272"/>
      <c r="Q230" s="22">
        <f t="shared" si="34"/>
        <v>-6420</v>
      </c>
      <c r="R230" s="34">
        <f t="shared" si="35"/>
        <v>5</v>
      </c>
      <c r="S230" s="273"/>
      <c r="T230" s="273"/>
      <c r="U230" s="273"/>
      <c r="V230" s="22"/>
      <c r="W230" s="272"/>
      <c r="X230" s="272"/>
      <c r="Y230" s="272"/>
      <c r="Z230" s="274"/>
      <c r="AA230" s="22"/>
      <c r="AB230" s="275"/>
      <c r="AC230" s="40"/>
      <c r="AD230" s="40"/>
    </row>
    <row r="231" spans="1:30" s="1" customFormat="1" x14ac:dyDescent="0.25">
      <c r="A231" s="162">
        <v>43026</v>
      </c>
      <c r="B231" s="63"/>
      <c r="C231" s="46" t="s">
        <v>69</v>
      </c>
      <c r="D231" s="46">
        <v>400</v>
      </c>
      <c r="E231" s="46">
        <v>12.99</v>
      </c>
      <c r="F231" s="16">
        <f t="shared" si="36"/>
        <v>6300</v>
      </c>
      <c r="G231" s="17">
        <f t="shared" si="37"/>
        <v>12.521496825396829</v>
      </c>
      <c r="H231" s="15">
        <f t="shared" si="38"/>
        <v>78885.430000000022</v>
      </c>
      <c r="I231" s="15">
        <f t="shared" si="39"/>
        <v>2951.5699999999779</v>
      </c>
      <c r="J231" s="33">
        <f t="shared" si="40"/>
        <v>3.7415908108759464E-2</v>
      </c>
      <c r="K231" s="15">
        <f t="shared" si="41"/>
        <v>81837</v>
      </c>
      <c r="L231" s="22">
        <f t="shared" si="33"/>
        <v>1061.8040000000037</v>
      </c>
      <c r="M231" s="22"/>
      <c r="N231" s="22"/>
      <c r="O231" s="22"/>
      <c r="P231" s="272"/>
      <c r="Q231" s="22">
        <f t="shared" si="34"/>
        <v>5185.8040000000037</v>
      </c>
      <c r="R231" s="34">
        <f t="shared" si="35"/>
        <v>10.196</v>
      </c>
      <c r="S231" s="273"/>
      <c r="T231" s="273"/>
      <c r="U231" s="273"/>
      <c r="V231" s="22"/>
      <c r="W231" s="272"/>
      <c r="X231" s="272"/>
      <c r="Y231" s="272"/>
      <c r="Z231" s="274"/>
      <c r="AA231" s="22"/>
      <c r="AB231" s="275"/>
      <c r="AC231" s="40"/>
      <c r="AD231" s="40"/>
    </row>
    <row r="232" spans="1:30" s="1" customFormat="1" x14ac:dyDescent="0.25">
      <c r="A232" s="162">
        <v>43026</v>
      </c>
      <c r="B232" s="63" t="s">
        <v>575</v>
      </c>
      <c r="C232" s="46" t="s">
        <v>63</v>
      </c>
      <c r="D232" s="46">
        <v>500</v>
      </c>
      <c r="E232" s="46">
        <v>12.77</v>
      </c>
      <c r="F232" s="16">
        <f t="shared" si="36"/>
        <v>6800</v>
      </c>
      <c r="G232" s="17">
        <f t="shared" si="37"/>
        <v>12.54050441176471</v>
      </c>
      <c r="H232" s="15">
        <f t="shared" si="38"/>
        <v>85275.430000000022</v>
      </c>
      <c r="I232" s="15">
        <f t="shared" si="39"/>
        <v>1560.5699999999779</v>
      </c>
      <c r="J232" s="33">
        <f t="shared" si="40"/>
        <v>1.8300347474061056E-2</v>
      </c>
      <c r="K232" s="15">
        <f t="shared" si="41"/>
        <v>86836</v>
      </c>
      <c r="L232" s="22">
        <f t="shared" si="33"/>
        <v>-1391</v>
      </c>
      <c r="M232" s="22"/>
      <c r="N232" s="22"/>
      <c r="O232" s="22"/>
      <c r="P232" s="272"/>
      <c r="Q232" s="22">
        <f t="shared" si="34"/>
        <v>-6390</v>
      </c>
      <c r="R232" s="34">
        <f t="shared" si="35"/>
        <v>5</v>
      </c>
      <c r="S232" s="273"/>
      <c r="T232" s="273"/>
      <c r="U232" s="273"/>
      <c r="V232" s="22"/>
      <c r="W232" s="272"/>
      <c r="X232" s="272"/>
      <c r="Y232" s="272"/>
      <c r="Z232" s="274"/>
      <c r="AA232" s="22"/>
      <c r="AB232" s="275"/>
      <c r="AC232" s="40"/>
      <c r="AD232" s="40"/>
    </row>
    <row r="233" spans="1:30" s="1" customFormat="1" x14ac:dyDescent="0.25">
      <c r="A233" s="162">
        <v>43027</v>
      </c>
      <c r="B233" s="63" t="s">
        <v>576</v>
      </c>
      <c r="C233" s="46" t="s">
        <v>63</v>
      </c>
      <c r="D233" s="46">
        <v>500</v>
      </c>
      <c r="E233" s="46">
        <v>12.47</v>
      </c>
      <c r="F233" s="16">
        <f t="shared" si="36"/>
        <v>7300</v>
      </c>
      <c r="G233" s="17">
        <f t="shared" si="37"/>
        <v>12.536360273972607</v>
      </c>
      <c r="H233" s="15">
        <f t="shared" si="38"/>
        <v>91515.430000000022</v>
      </c>
      <c r="I233" s="15">
        <f t="shared" si="39"/>
        <v>-484.43000000002212</v>
      </c>
      <c r="J233" s="33">
        <f t="shared" si="40"/>
        <v>-5.2934242892157422E-3</v>
      </c>
      <c r="K233" s="15">
        <f t="shared" si="41"/>
        <v>91031</v>
      </c>
      <c r="L233" s="22">
        <f t="shared" si="33"/>
        <v>-2045</v>
      </c>
      <c r="M233" s="22"/>
      <c r="N233" s="22"/>
      <c r="O233" s="22"/>
      <c r="P233" s="272"/>
      <c r="Q233" s="22">
        <f t="shared" si="34"/>
        <v>-6240</v>
      </c>
      <c r="R233" s="34">
        <f t="shared" si="35"/>
        <v>5</v>
      </c>
      <c r="S233" s="273"/>
      <c r="T233" s="273"/>
      <c r="U233" s="273"/>
      <c r="V233" s="22"/>
      <c r="W233" s="272"/>
      <c r="X233" s="272"/>
      <c r="Y233" s="272"/>
      <c r="Z233" s="274"/>
      <c r="AA233" s="22"/>
      <c r="AB233" s="275"/>
      <c r="AC233" s="40"/>
      <c r="AD233" s="40"/>
    </row>
    <row r="234" spans="1:30" s="1" customFormat="1" x14ac:dyDescent="0.25">
      <c r="A234" s="162">
        <v>43027</v>
      </c>
      <c r="B234" s="63" t="s">
        <v>346</v>
      </c>
      <c r="C234" s="46" t="s">
        <v>63</v>
      </c>
      <c r="D234" s="46">
        <v>500</v>
      </c>
      <c r="E234" s="46">
        <v>12.25</v>
      </c>
      <c r="F234" s="16">
        <f t="shared" si="36"/>
        <v>7800</v>
      </c>
      <c r="G234" s="17">
        <f t="shared" si="37"/>
        <v>12.518644871794875</v>
      </c>
      <c r="H234" s="15">
        <f t="shared" si="38"/>
        <v>97645.430000000022</v>
      </c>
      <c r="I234" s="15">
        <f t="shared" si="39"/>
        <v>-2095.4300000000221</v>
      </c>
      <c r="J234" s="33">
        <f t="shared" si="40"/>
        <v>-2.1459580852888061E-2</v>
      </c>
      <c r="K234" s="15">
        <f t="shared" si="41"/>
        <v>95550</v>
      </c>
      <c r="L234" s="22">
        <f t="shared" si="33"/>
        <v>-1611</v>
      </c>
      <c r="M234" s="22"/>
      <c r="N234" s="22"/>
      <c r="O234" s="22"/>
      <c r="P234" s="272"/>
      <c r="Q234" s="22">
        <f t="shared" si="34"/>
        <v>-6130</v>
      </c>
      <c r="R234" s="34">
        <f t="shared" si="35"/>
        <v>5</v>
      </c>
      <c r="S234" s="273"/>
      <c r="T234" s="273"/>
      <c r="U234" s="273"/>
      <c r="V234" s="22"/>
      <c r="W234" s="272"/>
      <c r="X234" s="272"/>
      <c r="Y234" s="272"/>
      <c r="Z234" s="274"/>
      <c r="AA234" s="22"/>
      <c r="AB234" s="275"/>
      <c r="AC234" s="40"/>
      <c r="AD234" s="40"/>
    </row>
    <row r="235" spans="1:30" s="1" customFormat="1" x14ac:dyDescent="0.25">
      <c r="A235" s="162">
        <v>43033</v>
      </c>
      <c r="B235" s="63"/>
      <c r="C235" s="46" t="s">
        <v>69</v>
      </c>
      <c r="D235" s="46">
        <v>400</v>
      </c>
      <c r="E235" s="46">
        <v>12.53</v>
      </c>
      <c r="F235" s="16">
        <f t="shared" si="36"/>
        <v>7400</v>
      </c>
      <c r="G235" s="17">
        <f t="shared" si="37"/>
        <v>12.519384054054058</v>
      </c>
      <c r="H235" s="15">
        <f t="shared" si="38"/>
        <v>92643.442000000025</v>
      </c>
      <c r="I235" s="15">
        <f t="shared" si="39"/>
        <v>78.557999999975436</v>
      </c>
      <c r="J235" s="33">
        <f t="shared" si="40"/>
        <v>8.4796072235709843E-4</v>
      </c>
      <c r="K235" s="15">
        <f t="shared" si="41"/>
        <v>92722</v>
      </c>
      <c r="L235" s="22">
        <f t="shared" si="33"/>
        <v>2173.9879999999976</v>
      </c>
      <c r="M235" s="22"/>
      <c r="N235" s="22"/>
      <c r="O235" s="22"/>
      <c r="P235" s="272"/>
      <c r="Q235" s="22">
        <f t="shared" si="34"/>
        <v>5001.9879999999976</v>
      </c>
      <c r="R235" s="34">
        <f t="shared" si="35"/>
        <v>10.012</v>
      </c>
      <c r="S235" s="273"/>
      <c r="T235" s="273"/>
      <c r="U235" s="273"/>
      <c r="V235" s="22"/>
      <c r="W235" s="272"/>
      <c r="X235" s="272"/>
      <c r="Y235" s="272"/>
      <c r="Z235" s="274"/>
      <c r="AA235" s="22"/>
      <c r="AB235" s="275"/>
      <c r="AC235" s="40"/>
      <c r="AD235" s="40"/>
    </row>
    <row r="236" spans="1:30" s="1" customFormat="1" x14ac:dyDescent="0.25">
      <c r="A236" s="162">
        <v>43035</v>
      </c>
      <c r="B236" s="63" t="s">
        <v>439</v>
      </c>
      <c r="C236" s="46" t="s">
        <v>63</v>
      </c>
      <c r="D236" s="46">
        <v>500</v>
      </c>
      <c r="E236" s="46">
        <v>12.42</v>
      </c>
      <c r="F236" s="16">
        <f t="shared" si="36"/>
        <v>7900</v>
      </c>
      <c r="G236" s="17">
        <f t="shared" si="37"/>
        <v>12.513726835443041</v>
      </c>
      <c r="H236" s="15">
        <f t="shared" si="38"/>
        <v>98858.442000000025</v>
      </c>
      <c r="I236" s="15">
        <f t="shared" si="39"/>
        <v>-740.44200000002456</v>
      </c>
      <c r="J236" s="33">
        <f t="shared" si="40"/>
        <v>-7.4899218015192373E-3</v>
      </c>
      <c r="K236" s="15">
        <f t="shared" si="41"/>
        <v>98118</v>
      </c>
      <c r="L236" s="22">
        <f t="shared" si="33"/>
        <v>-819</v>
      </c>
      <c r="M236" s="22"/>
      <c r="N236" s="22"/>
      <c r="O236" s="22"/>
      <c r="P236" s="272"/>
      <c r="Q236" s="22">
        <f t="shared" si="34"/>
        <v>-6215</v>
      </c>
      <c r="R236" s="34">
        <f t="shared" si="35"/>
        <v>5</v>
      </c>
      <c r="S236" s="273"/>
      <c r="T236" s="273"/>
      <c r="U236" s="273"/>
      <c r="V236" s="22"/>
      <c r="W236" s="272"/>
      <c r="X236" s="272"/>
      <c r="Y236" s="272"/>
      <c r="Z236" s="274"/>
      <c r="AA236" s="22"/>
      <c r="AB236" s="275"/>
      <c r="AC236" s="40"/>
      <c r="AD236" s="40"/>
    </row>
    <row r="237" spans="1:30" s="1" customFormat="1" x14ac:dyDescent="0.25">
      <c r="A237" s="162">
        <v>43038</v>
      </c>
      <c r="B237" s="63" t="s">
        <v>335</v>
      </c>
      <c r="C237" s="46" t="s">
        <v>63</v>
      </c>
      <c r="D237" s="46">
        <v>500</v>
      </c>
      <c r="E237" s="46">
        <v>11.96</v>
      </c>
      <c r="F237" s="16">
        <f t="shared" si="36"/>
        <v>8400</v>
      </c>
      <c r="G237" s="17">
        <f t="shared" si="37"/>
        <v>12.481362142857146</v>
      </c>
      <c r="H237" s="15">
        <f t="shared" si="38"/>
        <v>104843.44200000002</v>
      </c>
      <c r="I237" s="15">
        <f t="shared" si="39"/>
        <v>-4379.4420000000246</v>
      </c>
      <c r="J237" s="33">
        <f t="shared" si="40"/>
        <v>-4.1771253561095546E-2</v>
      </c>
      <c r="K237" s="15">
        <f t="shared" si="41"/>
        <v>100464</v>
      </c>
      <c r="L237" s="22">
        <f t="shared" si="33"/>
        <v>-3639</v>
      </c>
      <c r="M237" s="22"/>
      <c r="N237" s="22"/>
      <c r="O237" s="22"/>
      <c r="P237" s="272"/>
      <c r="Q237" s="22">
        <f t="shared" si="34"/>
        <v>-5985</v>
      </c>
      <c r="R237" s="34">
        <f t="shared" si="35"/>
        <v>5</v>
      </c>
      <c r="S237" s="273"/>
      <c r="T237" s="273"/>
      <c r="U237" s="273"/>
      <c r="V237" s="22"/>
      <c r="W237" s="272"/>
      <c r="X237" s="272"/>
      <c r="Y237" s="272"/>
      <c r="Z237" s="274"/>
      <c r="AA237" s="22"/>
      <c r="AB237" s="275"/>
      <c r="AC237" s="40"/>
      <c r="AD237" s="40"/>
    </row>
    <row r="238" spans="1:30" s="1" customFormat="1" x14ac:dyDescent="0.25">
      <c r="A238" s="162">
        <v>43052</v>
      </c>
      <c r="B238" s="63" t="s">
        <v>577</v>
      </c>
      <c r="C238" s="46" t="s">
        <v>63</v>
      </c>
      <c r="D238" s="46">
        <v>500</v>
      </c>
      <c r="E238" s="46">
        <v>11.74</v>
      </c>
      <c r="F238" s="16">
        <f t="shared" si="36"/>
        <v>8900</v>
      </c>
      <c r="G238" s="17">
        <f t="shared" si="37"/>
        <v>12.440274382022475</v>
      </c>
      <c r="H238" s="15">
        <f t="shared" si="38"/>
        <v>110718.44200000002</v>
      </c>
      <c r="I238" s="15">
        <f t="shared" si="39"/>
        <v>-6232.4420000000246</v>
      </c>
      <c r="J238" s="33">
        <f t="shared" si="40"/>
        <v>-5.6290911319001588E-2</v>
      </c>
      <c r="K238" s="15">
        <f t="shared" si="41"/>
        <v>104486</v>
      </c>
      <c r="L238" s="22">
        <f t="shared" si="33"/>
        <v>-1853</v>
      </c>
      <c r="M238" s="22"/>
      <c r="N238" s="22"/>
      <c r="O238" s="22"/>
      <c r="P238" s="272"/>
      <c r="Q238" s="22">
        <f t="shared" si="34"/>
        <v>-5875</v>
      </c>
      <c r="R238" s="34">
        <f t="shared" si="35"/>
        <v>5</v>
      </c>
      <c r="S238" s="273"/>
      <c r="T238" s="273"/>
      <c r="U238" s="273"/>
      <c r="V238" s="22"/>
      <c r="W238" s="272"/>
      <c r="X238" s="272"/>
      <c r="Y238" s="272"/>
      <c r="Z238" s="274"/>
      <c r="AA238" s="22"/>
      <c r="AB238" s="275"/>
      <c r="AC238" s="40"/>
      <c r="AD238" s="40"/>
    </row>
    <row r="239" spans="1:30" s="1" customFormat="1" x14ac:dyDescent="0.25">
      <c r="A239" s="162">
        <v>43053</v>
      </c>
      <c r="B239" s="63" t="s">
        <v>452</v>
      </c>
      <c r="C239" s="46" t="s">
        <v>63</v>
      </c>
      <c r="D239" s="46">
        <v>500</v>
      </c>
      <c r="E239" s="46">
        <v>11.6</v>
      </c>
      <c r="F239" s="16">
        <f t="shared" si="36"/>
        <v>9400</v>
      </c>
      <c r="G239" s="17">
        <f t="shared" si="37"/>
        <v>12.396110851063833</v>
      </c>
      <c r="H239" s="15">
        <f t="shared" si="38"/>
        <v>116523.44200000002</v>
      </c>
      <c r="I239" s="15">
        <f t="shared" si="39"/>
        <v>-7483.4420000000246</v>
      </c>
      <c r="J239" s="33">
        <f t="shared" si="40"/>
        <v>-6.4222630841955661E-2</v>
      </c>
      <c r="K239" s="15">
        <f t="shared" si="41"/>
        <v>109040</v>
      </c>
      <c r="L239" s="22">
        <f t="shared" si="33"/>
        <v>-1251</v>
      </c>
      <c r="M239" s="22"/>
      <c r="N239" s="22"/>
      <c r="O239" s="22"/>
      <c r="P239" s="272"/>
      <c r="Q239" s="22">
        <f t="shared" si="34"/>
        <v>-5805</v>
      </c>
      <c r="R239" s="34">
        <f t="shared" si="35"/>
        <v>5</v>
      </c>
      <c r="S239" s="273"/>
      <c r="T239" s="273"/>
      <c r="U239" s="273"/>
      <c r="V239" s="22"/>
      <c r="W239" s="272"/>
      <c r="X239" s="272"/>
      <c r="Y239" s="272"/>
      <c r="Z239" s="274"/>
      <c r="AA239" s="22"/>
      <c r="AB239" s="275"/>
      <c r="AC239" s="40"/>
      <c r="AD239" s="40"/>
    </row>
    <row r="240" spans="1:30" s="1" customFormat="1" x14ac:dyDescent="0.25">
      <c r="A240" s="162">
        <v>43056</v>
      </c>
      <c r="B240" s="63"/>
      <c r="C240" s="46" t="s">
        <v>63</v>
      </c>
      <c r="D240" s="46">
        <v>500</v>
      </c>
      <c r="E240" s="46">
        <v>11.4</v>
      </c>
      <c r="F240" s="16">
        <f t="shared" si="36"/>
        <v>9900</v>
      </c>
      <c r="G240" s="17">
        <f t="shared" si="37"/>
        <v>12.346307272727275</v>
      </c>
      <c r="H240" s="15">
        <f t="shared" si="38"/>
        <v>122228.44200000002</v>
      </c>
      <c r="I240" s="15">
        <f t="shared" si="39"/>
        <v>-9368.4420000000246</v>
      </c>
      <c r="J240" s="33">
        <f t="shared" si="40"/>
        <v>-7.6646988595338694E-2</v>
      </c>
      <c r="K240" s="15">
        <f t="shared" si="41"/>
        <v>112860</v>
      </c>
      <c r="L240" s="22">
        <f t="shared" si="33"/>
        <v>-1885</v>
      </c>
      <c r="M240" s="22"/>
      <c r="N240" s="22"/>
      <c r="O240" s="22"/>
      <c r="P240" s="272"/>
      <c r="Q240" s="22">
        <f t="shared" si="34"/>
        <v>-5705</v>
      </c>
      <c r="R240" s="34">
        <f t="shared" si="35"/>
        <v>5</v>
      </c>
      <c r="S240" s="273"/>
      <c r="T240" s="273"/>
      <c r="U240" s="273"/>
      <c r="V240" s="22"/>
      <c r="W240" s="272"/>
      <c r="X240" s="272"/>
      <c r="Y240" s="272"/>
      <c r="Z240" s="274"/>
      <c r="AA240" s="22"/>
      <c r="AB240" s="275"/>
      <c r="AC240" s="40"/>
      <c r="AD240" s="40"/>
    </row>
    <row r="241" spans="1:30" s="1" customFormat="1" x14ac:dyDescent="0.25">
      <c r="A241" s="162">
        <v>43059</v>
      </c>
      <c r="B241" s="63"/>
      <c r="C241" s="46" t="s">
        <v>63</v>
      </c>
      <c r="D241" s="46">
        <v>500</v>
      </c>
      <c r="E241" s="46">
        <v>11.01</v>
      </c>
      <c r="F241" s="16">
        <f t="shared" si="36"/>
        <v>10400</v>
      </c>
      <c r="G241" s="17">
        <f t="shared" si="37"/>
        <v>12.282542500000002</v>
      </c>
      <c r="H241" s="15">
        <f t="shared" si="38"/>
        <v>127738.44200000002</v>
      </c>
      <c r="I241" s="15">
        <f t="shared" si="39"/>
        <v>-13234.442000000025</v>
      </c>
      <c r="J241" s="33">
        <f t="shared" si="40"/>
        <v>-0.10360578845951493</v>
      </c>
      <c r="K241" s="15">
        <f t="shared" si="41"/>
        <v>114504</v>
      </c>
      <c r="L241" s="22">
        <f t="shared" si="33"/>
        <v>-3866</v>
      </c>
      <c r="M241" s="22"/>
      <c r="N241" s="22"/>
      <c r="O241" s="22"/>
      <c r="P241" s="272"/>
      <c r="Q241" s="22">
        <f t="shared" si="34"/>
        <v>-5510</v>
      </c>
      <c r="R241" s="34">
        <f t="shared" si="35"/>
        <v>5</v>
      </c>
      <c r="S241" s="273"/>
      <c r="T241" s="273"/>
      <c r="U241" s="273"/>
      <c r="V241" s="22"/>
      <c r="W241" s="272"/>
      <c r="X241" s="272"/>
      <c r="Y241" s="272"/>
      <c r="Z241" s="274"/>
      <c r="AA241" s="22"/>
      <c r="AB241" s="275"/>
      <c r="AC241" s="40"/>
      <c r="AD241" s="40"/>
    </row>
    <row r="242" spans="1:30" s="1" customFormat="1" x14ac:dyDescent="0.25">
      <c r="A242" s="162">
        <v>43063</v>
      </c>
      <c r="B242" s="63"/>
      <c r="C242" s="46" t="s">
        <v>63</v>
      </c>
      <c r="D242" s="46">
        <v>500</v>
      </c>
      <c r="E242" s="46">
        <v>10.86</v>
      </c>
      <c r="F242" s="16">
        <f t="shared" si="36"/>
        <v>10900</v>
      </c>
      <c r="G242" s="17">
        <f t="shared" si="37"/>
        <v>12.217746972477068</v>
      </c>
      <c r="H242" s="15">
        <f t="shared" si="38"/>
        <v>133173.44200000004</v>
      </c>
      <c r="I242" s="15">
        <f t="shared" si="39"/>
        <v>-14799.442000000039</v>
      </c>
      <c r="J242" s="33">
        <f t="shared" si="40"/>
        <v>-0.11112907932499064</v>
      </c>
      <c r="K242" s="15">
        <f t="shared" si="41"/>
        <v>118374</v>
      </c>
      <c r="L242" s="22">
        <f t="shared" si="33"/>
        <v>-1565.0000000000146</v>
      </c>
      <c r="M242" s="22"/>
      <c r="N242" s="22"/>
      <c r="O242" s="22"/>
      <c r="P242" s="272"/>
      <c r="Q242" s="22">
        <f t="shared" si="34"/>
        <v>-5435.0000000000146</v>
      </c>
      <c r="R242" s="34">
        <f t="shared" si="35"/>
        <v>5</v>
      </c>
      <c r="S242" s="273"/>
      <c r="T242" s="273"/>
      <c r="U242" s="273"/>
      <c r="V242" s="22"/>
      <c r="W242" s="272"/>
      <c r="X242" s="272"/>
      <c r="Y242" s="272"/>
      <c r="Z242" s="274"/>
      <c r="AA242" s="22"/>
      <c r="AB242" s="275"/>
      <c r="AC242" s="40"/>
      <c r="AD242" s="40"/>
    </row>
    <row r="243" spans="1:30" s="1" customFormat="1" x14ac:dyDescent="0.25">
      <c r="A243" s="162">
        <v>43069</v>
      </c>
      <c r="B243" s="63" t="s">
        <v>274</v>
      </c>
      <c r="C243" s="46" t="s">
        <v>69</v>
      </c>
      <c r="D243" s="46">
        <v>400</v>
      </c>
      <c r="E243" s="46">
        <v>11.16</v>
      </c>
      <c r="F243" s="16">
        <f t="shared" si="36"/>
        <v>10500</v>
      </c>
      <c r="G243" s="17">
        <f t="shared" si="37"/>
        <v>12.258943428571433</v>
      </c>
      <c r="H243" s="15">
        <f t="shared" si="38"/>
        <v>128718.90600000005</v>
      </c>
      <c r="I243" s="15">
        <f t="shared" si="39"/>
        <v>-11538.906000000046</v>
      </c>
      <c r="J243" s="33">
        <f t="shared" si="40"/>
        <v>-8.9644220562285076E-2</v>
      </c>
      <c r="K243" s="15">
        <f t="shared" si="41"/>
        <v>117180</v>
      </c>
      <c r="L243" s="22">
        <f t="shared" si="33"/>
        <v>3260.5359999999928</v>
      </c>
      <c r="M243" s="22"/>
      <c r="N243" s="22"/>
      <c r="O243" s="22"/>
      <c r="P243" s="272"/>
      <c r="Q243" s="22">
        <f t="shared" si="34"/>
        <v>4454.5359999999928</v>
      </c>
      <c r="R243" s="34">
        <f t="shared" si="35"/>
        <v>9.4640000000000004</v>
      </c>
      <c r="S243" s="273"/>
      <c r="T243" s="273"/>
      <c r="U243" s="273"/>
      <c r="V243" s="22"/>
      <c r="W243" s="272"/>
      <c r="X243" s="272"/>
      <c r="Y243" s="272"/>
      <c r="Z243" s="274"/>
      <c r="AA243" s="22"/>
      <c r="AB243" s="275"/>
      <c r="AC243" s="40"/>
      <c r="AD243" s="40"/>
    </row>
    <row r="244" spans="1:30" s="1" customFormat="1" x14ac:dyDescent="0.25">
      <c r="A244" s="162">
        <v>43069</v>
      </c>
      <c r="B244" s="63" t="s">
        <v>448</v>
      </c>
      <c r="C244" s="46" t="s">
        <v>69</v>
      </c>
      <c r="D244" s="46">
        <v>400</v>
      </c>
      <c r="E244" s="46">
        <f>E243+0.25</f>
        <v>11.41</v>
      </c>
      <c r="F244" s="16">
        <f t="shared" si="36"/>
        <v>10100</v>
      </c>
      <c r="G244" s="17">
        <f t="shared" si="37"/>
        <v>12.293511881188124</v>
      </c>
      <c r="H244" s="15">
        <f t="shared" si="38"/>
        <v>124164.47000000004</v>
      </c>
      <c r="I244" s="15">
        <f t="shared" si="39"/>
        <v>-8923.4700000000448</v>
      </c>
      <c r="J244" s="33">
        <f t="shared" si="40"/>
        <v>-7.1868143922331776E-2</v>
      </c>
      <c r="K244" s="15">
        <f t="shared" si="41"/>
        <v>115241</v>
      </c>
      <c r="L244" s="22">
        <f t="shared" si="33"/>
        <v>2615.4360000000015</v>
      </c>
      <c r="M244" s="22"/>
      <c r="N244" s="22"/>
      <c r="O244" s="22"/>
      <c r="P244" s="272"/>
      <c r="Q244" s="22">
        <f t="shared" si="34"/>
        <v>4554.4360000000015</v>
      </c>
      <c r="R244" s="34">
        <f t="shared" si="35"/>
        <v>9.5640000000000001</v>
      </c>
      <c r="S244" s="273"/>
      <c r="T244" s="273"/>
      <c r="U244" s="273"/>
      <c r="V244" s="22"/>
      <c r="W244" s="272"/>
      <c r="X244" s="272"/>
      <c r="Y244" s="272"/>
      <c r="Z244" s="274"/>
      <c r="AA244" s="22"/>
      <c r="AB244" s="275"/>
      <c r="AC244" s="40"/>
      <c r="AD244" s="40"/>
    </row>
    <row r="245" spans="1:30" s="1" customFormat="1" x14ac:dyDescent="0.25">
      <c r="A245" s="162">
        <v>43074</v>
      </c>
      <c r="B245" s="63"/>
      <c r="C245" s="46" t="s">
        <v>63</v>
      </c>
      <c r="D245" s="46">
        <v>500</v>
      </c>
      <c r="E245" s="46">
        <v>10.92</v>
      </c>
      <c r="F245" s="16">
        <f t="shared" si="36"/>
        <v>10600</v>
      </c>
      <c r="G245" s="17">
        <f t="shared" si="37"/>
        <v>12.229195283018871</v>
      </c>
      <c r="H245" s="15">
        <f t="shared" si="38"/>
        <v>129629.47000000004</v>
      </c>
      <c r="I245" s="15">
        <f t="shared" si="39"/>
        <v>-13877.470000000045</v>
      </c>
      <c r="J245" s="33">
        <f t="shared" si="40"/>
        <v>-0.10705490040189189</v>
      </c>
      <c r="K245" s="15">
        <f t="shared" si="41"/>
        <v>115752</v>
      </c>
      <c r="L245" s="22">
        <f t="shared" si="33"/>
        <v>-4954</v>
      </c>
      <c r="M245" s="22"/>
      <c r="N245" s="22"/>
      <c r="O245" s="22"/>
      <c r="P245" s="272"/>
      <c r="Q245" s="22">
        <f t="shared" si="34"/>
        <v>-5465</v>
      </c>
      <c r="R245" s="34">
        <f t="shared" si="35"/>
        <v>5</v>
      </c>
      <c r="S245" s="273"/>
      <c r="T245" s="273"/>
      <c r="U245" s="273"/>
      <c r="V245" s="22"/>
      <c r="W245" s="272"/>
      <c r="X245" s="272"/>
      <c r="Y245" s="272"/>
      <c r="Z245" s="274"/>
      <c r="AA245" s="22"/>
      <c r="AB245" s="275"/>
      <c r="AC245" s="40"/>
      <c r="AD245" s="40"/>
    </row>
    <row r="246" spans="1:30" s="1" customFormat="1" x14ac:dyDescent="0.25">
      <c r="A246" s="162">
        <v>43075</v>
      </c>
      <c r="B246" s="63"/>
      <c r="C246" s="46" t="s">
        <v>63</v>
      </c>
      <c r="D246" s="46">
        <v>500</v>
      </c>
      <c r="E246" s="46">
        <v>10.54</v>
      </c>
      <c r="F246" s="16">
        <f t="shared" si="36"/>
        <v>11100</v>
      </c>
      <c r="G246" s="17">
        <f t="shared" si="37"/>
        <v>12.153555855855858</v>
      </c>
      <c r="H246" s="15">
        <f t="shared" si="38"/>
        <v>134904.47000000003</v>
      </c>
      <c r="I246" s="15">
        <f t="shared" si="39"/>
        <v>-17910.470000000045</v>
      </c>
      <c r="J246" s="33">
        <f t="shared" si="40"/>
        <v>-0.13276409595619798</v>
      </c>
      <c r="K246" s="15">
        <f t="shared" si="41"/>
        <v>116993.99999999999</v>
      </c>
      <c r="L246" s="22">
        <f t="shared" si="33"/>
        <v>-4033</v>
      </c>
      <c r="M246" s="22"/>
      <c r="N246" s="22"/>
      <c r="O246" s="22"/>
      <c r="P246" s="272"/>
      <c r="Q246" s="22">
        <f t="shared" si="34"/>
        <v>-5274.9999999999854</v>
      </c>
      <c r="R246" s="34">
        <f t="shared" si="35"/>
        <v>5</v>
      </c>
      <c r="S246" s="273"/>
      <c r="T246" s="273"/>
      <c r="U246" s="273"/>
      <c r="V246" s="22"/>
      <c r="W246" s="272"/>
      <c r="X246" s="272"/>
      <c r="Y246" s="272"/>
      <c r="Z246" s="274"/>
      <c r="AA246" s="22"/>
      <c r="AB246" s="275"/>
      <c r="AC246" s="40"/>
      <c r="AD246" s="40"/>
    </row>
    <row r="247" spans="1:30" s="1" customFormat="1" x14ac:dyDescent="0.25">
      <c r="A247" s="162">
        <v>43077</v>
      </c>
      <c r="B247" s="63" t="s">
        <v>578</v>
      </c>
      <c r="C247" s="46" t="s">
        <v>69</v>
      </c>
      <c r="D247" s="46">
        <v>400</v>
      </c>
      <c r="E247" s="46">
        <v>10.79</v>
      </c>
      <c r="F247" s="16">
        <f t="shared" si="36"/>
        <v>10700</v>
      </c>
      <c r="G247" s="17">
        <f t="shared" si="37"/>
        <v>12.205400560747666</v>
      </c>
      <c r="H247" s="15">
        <f t="shared" si="38"/>
        <v>130597.78600000004</v>
      </c>
      <c r="I247" s="15">
        <f t="shared" si="39"/>
        <v>-15144.786000000051</v>
      </c>
      <c r="J247" s="33">
        <f t="shared" si="40"/>
        <v>-0.11596510525836964</v>
      </c>
      <c r="K247" s="15">
        <f t="shared" si="41"/>
        <v>115452.99999999999</v>
      </c>
      <c r="L247" s="22">
        <f t="shared" si="33"/>
        <v>2765.6839999999938</v>
      </c>
      <c r="M247" s="22"/>
      <c r="N247" s="22"/>
      <c r="O247" s="22"/>
      <c r="P247" s="272"/>
      <c r="Q247" s="22">
        <f t="shared" si="34"/>
        <v>4306.6839999999938</v>
      </c>
      <c r="R247" s="34">
        <f t="shared" si="35"/>
        <v>9.3159999999999989</v>
      </c>
      <c r="S247" s="273"/>
      <c r="T247" s="273"/>
      <c r="U247" s="273"/>
      <c r="V247" s="22"/>
      <c r="W247" s="272"/>
      <c r="X247" s="272"/>
      <c r="Y247" s="272"/>
      <c r="Z247" s="274"/>
      <c r="AA247" s="22"/>
      <c r="AB247" s="275"/>
      <c r="AC247" s="40"/>
      <c r="AD247" s="40"/>
    </row>
    <row r="248" spans="1:30" s="1" customFormat="1" x14ac:dyDescent="0.25">
      <c r="A248" s="162">
        <v>43082</v>
      </c>
      <c r="B248" s="63" t="s">
        <v>272</v>
      </c>
      <c r="C248" s="46" t="s">
        <v>69</v>
      </c>
      <c r="D248" s="46">
        <v>400</v>
      </c>
      <c r="E248" s="46">
        <v>11</v>
      </c>
      <c r="F248" s="16">
        <f t="shared" si="36"/>
        <v>10300</v>
      </c>
      <c r="G248" s="17">
        <f t="shared" si="37"/>
        <v>12.253124854368934</v>
      </c>
      <c r="H248" s="15">
        <f t="shared" si="38"/>
        <v>126207.18600000003</v>
      </c>
      <c r="I248" s="15">
        <f t="shared" si="39"/>
        <v>-12907.186000000031</v>
      </c>
      <c r="J248" s="33">
        <f t="shared" si="40"/>
        <v>-0.10226981845550397</v>
      </c>
      <c r="K248" s="15">
        <f t="shared" si="41"/>
        <v>113300</v>
      </c>
      <c r="L248" s="22">
        <f t="shared" si="33"/>
        <v>2237.6000000000204</v>
      </c>
      <c r="M248" s="22"/>
      <c r="N248" s="22"/>
      <c r="O248" s="22"/>
      <c r="P248" s="272"/>
      <c r="Q248" s="22">
        <f t="shared" si="34"/>
        <v>4390.6000000000058</v>
      </c>
      <c r="R248" s="34">
        <f t="shared" si="35"/>
        <v>9.4</v>
      </c>
      <c r="S248" s="273"/>
      <c r="T248" s="273"/>
      <c r="U248" s="273"/>
      <c r="V248" s="22"/>
      <c r="W248" s="272"/>
      <c r="X248" s="272"/>
      <c r="Y248" s="272"/>
      <c r="Z248" s="274"/>
      <c r="AA248" s="22"/>
      <c r="AB248" s="275"/>
      <c r="AC248" s="40"/>
      <c r="AD248" s="40"/>
    </row>
    <row r="249" spans="1:30" s="1" customFormat="1" x14ac:dyDescent="0.25">
      <c r="A249" s="162">
        <v>43084</v>
      </c>
      <c r="B249" s="63"/>
      <c r="C249" s="46" t="s">
        <v>69</v>
      </c>
      <c r="D249" s="46">
        <v>400</v>
      </c>
      <c r="E249" s="46">
        <v>11.45</v>
      </c>
      <c r="F249" s="16">
        <f t="shared" si="36"/>
        <v>9900</v>
      </c>
      <c r="G249" s="17">
        <f t="shared" si="37"/>
        <v>12.286542020202024</v>
      </c>
      <c r="H249" s="15">
        <f t="shared" si="38"/>
        <v>121636.76600000003</v>
      </c>
      <c r="I249" s="15">
        <f t="shared" si="39"/>
        <v>-8281.7660000000324</v>
      </c>
      <c r="J249" s="33">
        <f t="shared" si="40"/>
        <v>-6.8086042340192124E-2</v>
      </c>
      <c r="K249" s="15">
        <f t="shared" si="41"/>
        <v>113355</v>
      </c>
      <c r="L249" s="22">
        <f t="shared" si="33"/>
        <v>4625.4199999999983</v>
      </c>
      <c r="M249" s="22"/>
      <c r="N249" s="22"/>
      <c r="O249" s="22"/>
      <c r="P249" s="272"/>
      <c r="Q249" s="22">
        <f t="shared" si="34"/>
        <v>4570.4199999999983</v>
      </c>
      <c r="R249" s="34">
        <f t="shared" si="35"/>
        <v>9.58</v>
      </c>
      <c r="S249" s="273"/>
      <c r="T249" s="273"/>
      <c r="U249" s="273"/>
      <c r="V249" s="22"/>
      <c r="W249" s="272"/>
      <c r="X249" s="272"/>
      <c r="Y249" s="272"/>
      <c r="Z249" s="274"/>
      <c r="AA249" s="22"/>
      <c r="AB249" s="275"/>
      <c r="AC249" s="40"/>
      <c r="AD249" s="40"/>
    </row>
    <row r="250" spans="1:30" s="1" customFormat="1" x14ac:dyDescent="0.25">
      <c r="A250" s="162">
        <v>43089</v>
      </c>
      <c r="B250" s="63"/>
      <c r="C250" s="46" t="s">
        <v>63</v>
      </c>
      <c r="D250" s="46">
        <v>500</v>
      </c>
      <c r="E250" s="46">
        <v>10.88</v>
      </c>
      <c r="F250" s="16">
        <f t="shared" si="36"/>
        <v>10400</v>
      </c>
      <c r="G250" s="17">
        <f t="shared" si="37"/>
        <v>12.21940057692308</v>
      </c>
      <c r="H250" s="15">
        <f t="shared" si="38"/>
        <v>127081.76600000003</v>
      </c>
      <c r="I250" s="15">
        <f t="shared" si="39"/>
        <v>-13929.766000000018</v>
      </c>
      <c r="J250" s="33">
        <f t="shared" si="40"/>
        <v>-0.10961262530770954</v>
      </c>
      <c r="K250" s="15">
        <f t="shared" si="41"/>
        <v>113152.00000000001</v>
      </c>
      <c r="L250" s="22">
        <f t="shared" si="33"/>
        <v>-5647.9999999999854</v>
      </c>
      <c r="M250" s="22"/>
      <c r="N250" s="22"/>
      <c r="O250" s="22"/>
      <c r="P250" s="272"/>
      <c r="Q250" s="22">
        <f t="shared" si="34"/>
        <v>-5445</v>
      </c>
      <c r="R250" s="34">
        <f t="shared" si="35"/>
        <v>5</v>
      </c>
      <c r="S250" s="273"/>
      <c r="T250" s="273"/>
      <c r="U250" s="273"/>
      <c r="V250" s="22"/>
      <c r="W250" s="272"/>
      <c r="X250" s="272"/>
      <c r="Y250" s="272"/>
      <c r="Z250" s="274"/>
      <c r="AA250" s="22"/>
      <c r="AB250" s="275"/>
      <c r="AC250" s="40"/>
      <c r="AD250" s="40"/>
    </row>
    <row r="251" spans="1:30" s="1" customFormat="1" x14ac:dyDescent="0.25">
      <c r="A251" s="162">
        <v>43096</v>
      </c>
      <c r="B251" s="63" t="s">
        <v>579</v>
      </c>
      <c r="C251" s="46" t="s">
        <v>69</v>
      </c>
      <c r="D251" s="46">
        <v>400</v>
      </c>
      <c r="E251" s="46">
        <v>11.07</v>
      </c>
      <c r="F251" s="16">
        <f t="shared" si="36"/>
        <v>10000</v>
      </c>
      <c r="G251" s="17">
        <f t="shared" si="37"/>
        <v>12.266319400000004</v>
      </c>
      <c r="H251" s="15">
        <f t="shared" si="38"/>
        <v>122663.19400000003</v>
      </c>
      <c r="I251" s="15">
        <f t="shared" si="39"/>
        <v>-11963.194000000032</v>
      </c>
      <c r="J251" s="33">
        <f t="shared" si="40"/>
        <v>-9.7528799062578081E-2</v>
      </c>
      <c r="K251" s="15">
        <f t="shared" si="41"/>
        <v>110700</v>
      </c>
      <c r="L251" s="22">
        <f t="shared" si="33"/>
        <v>1966.5719999999856</v>
      </c>
      <c r="M251" s="22"/>
      <c r="N251" s="22"/>
      <c r="O251" s="22"/>
      <c r="P251" s="272"/>
      <c r="Q251" s="22">
        <f t="shared" si="34"/>
        <v>4418.5720000000001</v>
      </c>
      <c r="R251" s="34">
        <f t="shared" si="35"/>
        <v>9.4280000000000008</v>
      </c>
      <c r="S251" s="273"/>
      <c r="T251" s="273"/>
      <c r="U251" s="273"/>
      <c r="V251" s="22"/>
      <c r="W251" s="272"/>
      <c r="X251" s="272"/>
      <c r="Y251" s="272"/>
      <c r="Z251" s="274"/>
      <c r="AA251" s="22"/>
      <c r="AB251" s="275"/>
      <c r="AC251" s="40"/>
      <c r="AD251" s="40"/>
    </row>
    <row r="252" spans="1:30" s="1" customFormat="1" x14ac:dyDescent="0.25">
      <c r="A252" s="162">
        <v>43103</v>
      </c>
      <c r="B252" s="63" t="s">
        <v>277</v>
      </c>
      <c r="C252" s="46" t="s">
        <v>69</v>
      </c>
      <c r="D252" s="46">
        <v>400</v>
      </c>
      <c r="E252" s="46">
        <v>11.23</v>
      </c>
      <c r="F252" s="16">
        <f t="shared" si="36"/>
        <v>9600</v>
      </c>
      <c r="G252" s="17">
        <f t="shared" si="37"/>
        <v>12.310488125000003</v>
      </c>
      <c r="H252" s="15">
        <f t="shared" si="38"/>
        <v>118180.68600000003</v>
      </c>
      <c r="I252" s="15">
        <f t="shared" si="39"/>
        <v>-10372.686000000031</v>
      </c>
      <c r="J252" s="33">
        <f t="shared" si="40"/>
        <v>-8.7769722372402034E-2</v>
      </c>
      <c r="K252" s="15">
        <f t="shared" si="41"/>
        <v>107808</v>
      </c>
      <c r="L252" s="22">
        <f t="shared" si="33"/>
        <v>1590.5080000000016</v>
      </c>
      <c r="M252" s="22"/>
      <c r="N252" s="22"/>
      <c r="O252" s="22"/>
      <c r="P252" s="272"/>
      <c r="Q252" s="22">
        <f t="shared" si="34"/>
        <v>4482.5080000000016</v>
      </c>
      <c r="R252" s="34">
        <f t="shared" si="35"/>
        <v>9.4920000000000009</v>
      </c>
      <c r="S252" s="273"/>
      <c r="T252" s="273"/>
      <c r="U252" s="273"/>
      <c r="V252" s="22"/>
      <c r="W252" s="272"/>
      <c r="X252" s="272"/>
      <c r="Y252" s="272"/>
      <c r="Z252" s="274"/>
      <c r="AA252" s="22"/>
      <c r="AB252" s="275"/>
      <c r="AC252" s="40"/>
      <c r="AD252" s="40"/>
    </row>
    <row r="253" spans="1:30" s="1" customFormat="1" x14ac:dyDescent="0.25">
      <c r="A253" s="162">
        <v>43109</v>
      </c>
      <c r="B253" s="63"/>
      <c r="C253" s="46" t="s">
        <v>69</v>
      </c>
      <c r="D253" s="46">
        <v>400</v>
      </c>
      <c r="E253" s="46">
        <v>11.38</v>
      </c>
      <c r="F253" s="16">
        <f t="shared" si="36"/>
        <v>9200</v>
      </c>
      <c r="G253" s="17">
        <f t="shared" si="37"/>
        <v>12.35198239130435</v>
      </c>
      <c r="H253" s="15">
        <f t="shared" si="38"/>
        <v>113638.23800000003</v>
      </c>
      <c r="I253" s="15">
        <f t="shared" si="39"/>
        <v>-8942.2380000000267</v>
      </c>
      <c r="J253" s="33">
        <f t="shared" si="40"/>
        <v>-7.8690396449124927E-2</v>
      </c>
      <c r="K253" s="15">
        <f t="shared" si="41"/>
        <v>104696</v>
      </c>
      <c r="L253" s="22">
        <f t="shared" si="33"/>
        <v>1430.448000000004</v>
      </c>
      <c r="M253" s="22"/>
      <c r="N253" s="22"/>
      <c r="O253" s="22"/>
      <c r="P253" s="272"/>
      <c r="Q253" s="22">
        <f t="shared" si="34"/>
        <v>4542.448000000004</v>
      </c>
      <c r="R253" s="34">
        <f t="shared" si="35"/>
        <v>9.5519999999999996</v>
      </c>
      <c r="S253" s="273"/>
      <c r="T253" s="273"/>
      <c r="U253" s="273"/>
      <c r="V253" s="22"/>
      <c r="W253" s="272"/>
      <c r="X253" s="272"/>
      <c r="Y253" s="272"/>
      <c r="Z253" s="274"/>
      <c r="AA253" s="22"/>
      <c r="AB253" s="275"/>
      <c r="AC253" s="40"/>
      <c r="AD253" s="40"/>
    </row>
    <row r="254" spans="1:30" s="1" customFormat="1" x14ac:dyDescent="0.25">
      <c r="A254" s="162">
        <v>43110</v>
      </c>
      <c r="B254" s="63"/>
      <c r="C254" s="46" t="s">
        <v>69</v>
      </c>
      <c r="D254" s="46">
        <v>400</v>
      </c>
      <c r="E254" s="46">
        <v>11.58</v>
      </c>
      <c r="F254" s="16">
        <f t="shared" si="36"/>
        <v>8800</v>
      </c>
      <c r="G254" s="17">
        <f t="shared" si="37"/>
        <v>12.388167045454548</v>
      </c>
      <c r="H254" s="15">
        <f t="shared" si="38"/>
        <v>109015.87000000002</v>
      </c>
      <c r="I254" s="15">
        <f t="shared" si="39"/>
        <v>-7111.8700000000244</v>
      </c>
      <c r="J254" s="33">
        <f t="shared" si="40"/>
        <v>-6.5237015491414405E-2</v>
      </c>
      <c r="K254" s="15">
        <f t="shared" si="41"/>
        <v>101904</v>
      </c>
      <c r="L254" s="22">
        <f t="shared" si="33"/>
        <v>1830.3680000000022</v>
      </c>
      <c r="M254" s="22"/>
      <c r="N254" s="22"/>
      <c r="O254" s="22"/>
      <c r="P254" s="272"/>
      <c r="Q254" s="22">
        <f t="shared" si="34"/>
        <v>4622.3680000000022</v>
      </c>
      <c r="R254" s="34">
        <f t="shared" si="35"/>
        <v>9.6319999999999997</v>
      </c>
      <c r="S254" s="273"/>
      <c r="T254" s="273"/>
      <c r="U254" s="273"/>
      <c r="V254" s="22"/>
      <c r="W254" s="272"/>
      <c r="X254" s="272"/>
      <c r="Y254" s="272"/>
      <c r="Z254" s="274"/>
      <c r="AA254" s="22"/>
      <c r="AB254" s="275"/>
      <c r="AC254" s="40"/>
      <c r="AD254" s="40"/>
    </row>
    <row r="255" spans="1:30" s="1" customFormat="1" x14ac:dyDescent="0.25">
      <c r="A255" s="162">
        <v>43112</v>
      </c>
      <c r="B255" s="63" t="s">
        <v>580</v>
      </c>
      <c r="C255" s="46" t="s">
        <v>63</v>
      </c>
      <c r="D255" s="46">
        <v>500</v>
      </c>
      <c r="E255" s="46">
        <v>11.31</v>
      </c>
      <c r="F255" s="16">
        <f t="shared" si="36"/>
        <v>9300</v>
      </c>
      <c r="G255" s="17">
        <f t="shared" si="37"/>
        <v>12.330738709677423</v>
      </c>
      <c r="H255" s="15">
        <f t="shared" si="38"/>
        <v>114675.87000000002</v>
      </c>
      <c r="I255" s="15">
        <f t="shared" si="39"/>
        <v>-9492.8700000000244</v>
      </c>
      <c r="J255" s="33">
        <f t="shared" si="40"/>
        <v>-8.2780012918149432E-2</v>
      </c>
      <c r="K255" s="15">
        <f t="shared" si="41"/>
        <v>105183</v>
      </c>
      <c r="L255" s="22">
        <f t="shared" si="33"/>
        <v>-2381</v>
      </c>
      <c r="M255" s="22"/>
      <c r="N255" s="22"/>
      <c r="O255" s="22"/>
      <c r="P255" s="272"/>
      <c r="Q255" s="22">
        <f t="shared" si="34"/>
        <v>-5660</v>
      </c>
      <c r="R255" s="34">
        <f t="shared" si="35"/>
        <v>5</v>
      </c>
      <c r="S255" s="273"/>
      <c r="T255" s="273"/>
      <c r="U255" s="273"/>
      <c r="V255" s="22"/>
      <c r="W255" s="272"/>
      <c r="X255" s="272"/>
      <c r="Y255" s="272"/>
      <c r="Z255" s="274"/>
      <c r="AA255" s="22"/>
      <c r="AB255" s="275"/>
      <c r="AC255" s="40"/>
      <c r="AD255" s="40"/>
    </row>
    <row r="256" spans="1:30" s="1" customFormat="1" x14ac:dyDescent="0.25">
      <c r="A256" s="162">
        <v>43115</v>
      </c>
      <c r="B256" s="63" t="s">
        <v>581</v>
      </c>
      <c r="C256" s="46" t="s">
        <v>63</v>
      </c>
      <c r="D256" s="46">
        <v>500</v>
      </c>
      <c r="E256" s="46">
        <v>11.11</v>
      </c>
      <c r="F256" s="16">
        <f t="shared" si="36"/>
        <v>9800</v>
      </c>
      <c r="G256" s="17">
        <f t="shared" si="37"/>
        <v>12.268966326530615</v>
      </c>
      <c r="H256" s="15">
        <f t="shared" si="38"/>
        <v>120235.87000000002</v>
      </c>
      <c r="I256" s="15">
        <f t="shared" si="39"/>
        <v>-11357.870000000024</v>
      </c>
      <c r="J256" s="33">
        <f t="shared" si="40"/>
        <v>-9.446324129396684E-2</v>
      </c>
      <c r="K256" s="15">
        <f t="shared" si="41"/>
        <v>108878</v>
      </c>
      <c r="L256" s="22">
        <f t="shared" si="33"/>
        <v>-1865</v>
      </c>
      <c r="M256" s="22"/>
      <c r="N256" s="22"/>
      <c r="O256" s="22"/>
      <c r="P256" s="272"/>
      <c r="Q256" s="22">
        <f t="shared" si="34"/>
        <v>-5560</v>
      </c>
      <c r="R256" s="34">
        <f t="shared" si="35"/>
        <v>5</v>
      </c>
      <c r="S256" s="273"/>
      <c r="T256" s="273"/>
      <c r="U256" s="273"/>
      <c r="V256" s="22"/>
      <c r="W256" s="272"/>
      <c r="X256" s="272"/>
      <c r="Y256" s="272"/>
      <c r="Z256" s="274"/>
      <c r="AA256" s="22"/>
      <c r="AB256" s="275"/>
      <c r="AC256" s="40"/>
      <c r="AD256" s="40"/>
    </row>
    <row r="257" spans="1:30" s="1" customFormat="1" x14ac:dyDescent="0.25">
      <c r="A257" s="162">
        <v>43115</v>
      </c>
      <c r="B257" s="63" t="s">
        <v>280</v>
      </c>
      <c r="C257" s="46" t="s">
        <v>63</v>
      </c>
      <c r="D257" s="46">
        <v>500</v>
      </c>
      <c r="E257" s="46">
        <v>10.94</v>
      </c>
      <c r="F257" s="16">
        <f t="shared" si="36"/>
        <v>10300</v>
      </c>
      <c r="G257" s="17">
        <f t="shared" si="37"/>
        <v>12.204938834951459</v>
      </c>
      <c r="H257" s="15">
        <f t="shared" si="38"/>
        <v>125710.87000000002</v>
      </c>
      <c r="I257" s="15">
        <f t="shared" si="39"/>
        <v>-13028.870000000024</v>
      </c>
      <c r="J257" s="33">
        <f t="shared" si="40"/>
        <v>-0.10364155462451284</v>
      </c>
      <c r="K257" s="15">
        <f t="shared" si="41"/>
        <v>112682</v>
      </c>
      <c r="L257" s="22">
        <f t="shared" si="33"/>
        <v>-1671</v>
      </c>
      <c r="M257" s="22"/>
      <c r="N257" s="22"/>
      <c r="O257" s="22"/>
      <c r="P257" s="272"/>
      <c r="Q257" s="22">
        <f t="shared" si="34"/>
        <v>-5475</v>
      </c>
      <c r="R257" s="34">
        <f t="shared" si="35"/>
        <v>5</v>
      </c>
      <c r="S257" s="273"/>
      <c r="T257" s="273"/>
      <c r="U257" s="273"/>
      <c r="V257" s="22"/>
      <c r="W257" s="272"/>
      <c r="X257" s="272"/>
      <c r="Y257" s="272"/>
      <c r="Z257" s="274"/>
      <c r="AA257" s="22"/>
      <c r="AB257" s="275"/>
      <c r="AC257" s="40"/>
      <c r="AD257" s="40"/>
    </row>
    <row r="258" spans="1:30" s="1" customFormat="1" x14ac:dyDescent="0.25">
      <c r="A258" s="162">
        <v>43115</v>
      </c>
      <c r="B258" s="63"/>
      <c r="C258" s="46" t="s">
        <v>63</v>
      </c>
      <c r="D258" s="46">
        <v>500</v>
      </c>
      <c r="E258" s="46">
        <v>10.83</v>
      </c>
      <c r="F258" s="16">
        <f t="shared" si="36"/>
        <v>10800</v>
      </c>
      <c r="G258" s="17">
        <f t="shared" si="37"/>
        <v>12.141747222222225</v>
      </c>
      <c r="H258" s="15">
        <f t="shared" si="38"/>
        <v>131130.87000000002</v>
      </c>
      <c r="I258" s="15">
        <f t="shared" si="39"/>
        <v>-14166.870000000024</v>
      </c>
      <c r="J258" s="33">
        <f t="shared" si="40"/>
        <v>-0.1080361168960446</v>
      </c>
      <c r="K258" s="15">
        <f t="shared" si="41"/>
        <v>116964</v>
      </c>
      <c r="L258" s="22">
        <f t="shared" ref="L258:L321" si="42">I258-I257</f>
        <v>-1138</v>
      </c>
      <c r="M258" s="22"/>
      <c r="N258" s="22"/>
      <c r="O258" s="22"/>
      <c r="P258" s="272"/>
      <c r="Q258" s="22">
        <f t="shared" ref="Q258:Q321" si="43">(H258-H257)*-1</f>
        <v>-5420</v>
      </c>
      <c r="R258" s="34">
        <f t="shared" si="35"/>
        <v>5</v>
      </c>
      <c r="S258" s="273"/>
      <c r="T258" s="273"/>
      <c r="U258" s="273"/>
      <c r="V258" s="22"/>
      <c r="W258" s="272"/>
      <c r="X258" s="272"/>
      <c r="Y258" s="272"/>
      <c r="Z258" s="274"/>
      <c r="AA258" s="22"/>
      <c r="AB258" s="275"/>
      <c r="AC258" s="40"/>
      <c r="AD258" s="40"/>
    </row>
    <row r="259" spans="1:30" s="1" customFormat="1" x14ac:dyDescent="0.25">
      <c r="A259" s="162">
        <v>43116</v>
      </c>
      <c r="B259" s="63" t="s">
        <v>582</v>
      </c>
      <c r="C259" s="46" t="s">
        <v>69</v>
      </c>
      <c r="D259" s="46">
        <v>400</v>
      </c>
      <c r="E259" s="46">
        <v>10.96</v>
      </c>
      <c r="F259" s="16">
        <f t="shared" si="36"/>
        <v>10400</v>
      </c>
      <c r="G259" s="17">
        <f t="shared" si="37"/>
        <v>12.188101346153848</v>
      </c>
      <c r="H259" s="15">
        <f t="shared" si="38"/>
        <v>126756.25400000003</v>
      </c>
      <c r="I259" s="15">
        <f t="shared" si="39"/>
        <v>-12772.254000000015</v>
      </c>
      <c r="J259" s="33">
        <f t="shared" si="40"/>
        <v>-0.10076231820482807</v>
      </c>
      <c r="K259" s="15">
        <f t="shared" si="41"/>
        <v>113984.00000000001</v>
      </c>
      <c r="L259" s="22">
        <f t="shared" si="42"/>
        <v>1394.6160000000091</v>
      </c>
      <c r="M259" s="22"/>
      <c r="N259" s="22"/>
      <c r="O259" s="22"/>
      <c r="P259" s="272"/>
      <c r="Q259" s="22">
        <f t="shared" si="43"/>
        <v>4374.6159999999945</v>
      </c>
      <c r="R259" s="34">
        <f t="shared" si="35"/>
        <v>9.3840000000000003</v>
      </c>
      <c r="S259" s="273"/>
      <c r="T259" s="273"/>
      <c r="U259" s="273"/>
      <c r="V259" s="22"/>
      <c r="W259" s="272"/>
      <c r="X259" s="272"/>
      <c r="Y259" s="272"/>
      <c r="Z259" s="274"/>
      <c r="AA259" s="22"/>
      <c r="AB259" s="275"/>
      <c r="AC259" s="40"/>
      <c r="AD259" s="40"/>
    </row>
    <row r="260" spans="1:30" s="1" customFormat="1" x14ac:dyDescent="0.25">
      <c r="A260" s="162">
        <v>43125</v>
      </c>
      <c r="B260" s="63"/>
      <c r="C260" s="46" t="s">
        <v>69</v>
      </c>
      <c r="D260" s="46">
        <v>400</v>
      </c>
      <c r="E260" s="46">
        <v>11</v>
      </c>
      <c r="F260" s="16">
        <f t="shared" si="36"/>
        <v>10000</v>
      </c>
      <c r="G260" s="17">
        <f t="shared" si="37"/>
        <v>12.236565400000002</v>
      </c>
      <c r="H260" s="15">
        <f t="shared" si="38"/>
        <v>122365.65400000002</v>
      </c>
      <c r="I260" s="15">
        <f t="shared" si="39"/>
        <v>-12365.654000000024</v>
      </c>
      <c r="J260" s="33">
        <f t="shared" si="40"/>
        <v>-0.10105494144623307</v>
      </c>
      <c r="K260" s="15">
        <f t="shared" si="41"/>
        <v>110000</v>
      </c>
      <c r="L260" s="22">
        <f t="shared" si="42"/>
        <v>406.59999999999127</v>
      </c>
      <c r="M260" s="22"/>
      <c r="N260" s="22"/>
      <c r="O260" s="22"/>
      <c r="P260" s="272"/>
      <c r="Q260" s="22">
        <f t="shared" si="43"/>
        <v>4390.6000000000058</v>
      </c>
      <c r="R260" s="34">
        <f t="shared" ref="R260:R323" si="44">commission($B$2,C260,D260,E260)</f>
        <v>9.4</v>
      </c>
      <c r="S260" s="273"/>
      <c r="T260" s="273"/>
      <c r="U260" s="273"/>
      <c r="V260" s="22"/>
      <c r="W260" s="272"/>
      <c r="X260" s="272"/>
      <c r="Y260" s="272"/>
      <c r="Z260" s="274"/>
      <c r="AA260" s="22"/>
      <c r="AB260" s="275"/>
      <c r="AC260" s="40"/>
      <c r="AD260" s="40"/>
    </row>
    <row r="261" spans="1:30" s="1" customFormat="1" x14ac:dyDescent="0.25">
      <c r="A261" s="162">
        <v>43131</v>
      </c>
      <c r="B261" s="63"/>
      <c r="C261" s="46" t="s">
        <v>63</v>
      </c>
      <c r="D261" s="46">
        <v>1000</v>
      </c>
      <c r="E261" s="46">
        <v>9.68</v>
      </c>
      <c r="F261" s="16">
        <f t="shared" si="36"/>
        <v>11000</v>
      </c>
      <c r="G261" s="17">
        <f t="shared" si="37"/>
        <v>12.004604909090913</v>
      </c>
      <c r="H261" s="15">
        <f t="shared" si="38"/>
        <v>132050.65400000004</v>
      </c>
      <c r="I261" s="15">
        <f t="shared" si="39"/>
        <v>-25570.654000000039</v>
      </c>
      <c r="J261" s="33">
        <f t="shared" si="40"/>
        <v>-0.19364276681280232</v>
      </c>
      <c r="K261" s="15">
        <f t="shared" si="41"/>
        <v>106480</v>
      </c>
      <c r="L261" s="22">
        <f t="shared" si="42"/>
        <v>-13205.000000000015</v>
      </c>
      <c r="M261" s="22"/>
      <c r="N261" s="22"/>
      <c r="O261" s="22"/>
      <c r="P261" s="272"/>
      <c r="Q261" s="22">
        <f t="shared" si="43"/>
        <v>-9685.0000000000146</v>
      </c>
      <c r="R261" s="34">
        <f t="shared" si="44"/>
        <v>5</v>
      </c>
      <c r="S261" s="273"/>
      <c r="T261" s="273"/>
      <c r="U261" s="273"/>
      <c r="V261" s="22"/>
      <c r="W261" s="272"/>
      <c r="X261" s="272"/>
      <c r="Y261" s="272"/>
      <c r="Z261" s="274"/>
      <c r="AA261" s="22"/>
      <c r="AB261" s="275"/>
      <c r="AC261" s="40"/>
      <c r="AD261" s="40"/>
    </row>
    <row r="262" spans="1:30" s="1" customFormat="1" x14ac:dyDescent="0.25">
      <c r="A262" s="162">
        <v>43132</v>
      </c>
      <c r="B262" s="63" t="s">
        <v>583</v>
      </c>
      <c r="C262" s="46" t="s">
        <v>63</v>
      </c>
      <c r="D262" s="46">
        <v>1000</v>
      </c>
      <c r="E262" s="46">
        <v>8.7100000000000009</v>
      </c>
      <c r="F262" s="16">
        <f t="shared" si="36"/>
        <v>12000</v>
      </c>
      <c r="G262" s="17">
        <f t="shared" si="37"/>
        <v>11.730471166666669</v>
      </c>
      <c r="H262" s="15">
        <f t="shared" si="38"/>
        <v>140765.65400000004</v>
      </c>
      <c r="I262" s="15">
        <f t="shared" si="39"/>
        <v>-36245.654000000024</v>
      </c>
      <c r="J262" s="33">
        <f t="shared" si="40"/>
        <v>-0.25748933045840866</v>
      </c>
      <c r="K262" s="15">
        <f t="shared" si="41"/>
        <v>104520.00000000001</v>
      </c>
      <c r="L262" s="22">
        <f t="shared" si="42"/>
        <v>-10674.999999999985</v>
      </c>
      <c r="M262" s="22"/>
      <c r="N262" s="22"/>
      <c r="O262" s="22"/>
      <c r="P262" s="272"/>
      <c r="Q262" s="22">
        <f t="shared" si="43"/>
        <v>-8715</v>
      </c>
      <c r="R262" s="34">
        <f t="shared" si="44"/>
        <v>5</v>
      </c>
      <c r="S262" s="273"/>
      <c r="T262" s="273"/>
      <c r="U262" s="273"/>
      <c r="V262" s="22"/>
      <c r="W262" s="272"/>
      <c r="X262" s="272"/>
      <c r="Y262" s="272"/>
      <c r="Z262" s="274"/>
      <c r="AA262" s="22"/>
      <c r="AB262" s="275"/>
      <c r="AC262" s="40"/>
      <c r="AD262" s="40"/>
    </row>
    <row r="263" spans="1:30" s="1" customFormat="1" x14ac:dyDescent="0.25">
      <c r="A263" s="162">
        <v>43133</v>
      </c>
      <c r="B263" s="63" t="s">
        <v>584</v>
      </c>
      <c r="C263" s="46" t="s">
        <v>63</v>
      </c>
      <c r="D263" s="46">
        <v>1000</v>
      </c>
      <c r="E263" s="46">
        <v>8.43</v>
      </c>
      <c r="F263" s="16">
        <f t="shared" si="36"/>
        <v>13000</v>
      </c>
      <c r="G263" s="17">
        <f t="shared" si="37"/>
        <v>11.476973384615388</v>
      </c>
      <c r="H263" s="15">
        <f t="shared" si="38"/>
        <v>149200.65400000004</v>
      </c>
      <c r="I263" s="15">
        <f t="shared" si="39"/>
        <v>-39610.654000000039</v>
      </c>
      <c r="J263" s="33">
        <f t="shared" si="40"/>
        <v>-0.26548579337996758</v>
      </c>
      <c r="K263" s="15">
        <f t="shared" si="41"/>
        <v>109590</v>
      </c>
      <c r="L263" s="22">
        <f t="shared" si="42"/>
        <v>-3365.0000000000146</v>
      </c>
      <c r="M263" s="22"/>
      <c r="N263" s="22"/>
      <c r="O263" s="22"/>
      <c r="P263" s="272"/>
      <c r="Q263" s="22">
        <f t="shared" si="43"/>
        <v>-8435</v>
      </c>
      <c r="R263" s="34">
        <f t="shared" si="44"/>
        <v>5</v>
      </c>
      <c r="S263" s="273"/>
      <c r="T263" s="273"/>
      <c r="U263" s="273"/>
      <c r="V263" s="22"/>
      <c r="W263" s="272"/>
      <c r="X263" s="272"/>
      <c r="Y263" s="272"/>
      <c r="Z263" s="274"/>
      <c r="AA263" s="22"/>
      <c r="AB263" s="275"/>
      <c r="AC263" s="40"/>
      <c r="AD263" s="40"/>
    </row>
    <row r="264" spans="1:30" s="1" customFormat="1" x14ac:dyDescent="0.25">
      <c r="A264" s="162">
        <v>43136</v>
      </c>
      <c r="B264" s="63"/>
      <c r="C264" s="46" t="s">
        <v>63</v>
      </c>
      <c r="D264" s="46">
        <v>500</v>
      </c>
      <c r="E264" s="46">
        <v>8.32</v>
      </c>
      <c r="F264" s="16">
        <f t="shared" si="36"/>
        <v>13500</v>
      </c>
      <c r="G264" s="17">
        <f t="shared" si="37"/>
        <v>11.360418814814818</v>
      </c>
      <c r="H264" s="15">
        <f t="shared" si="38"/>
        <v>153365.65400000004</v>
      </c>
      <c r="I264" s="15">
        <f t="shared" si="39"/>
        <v>-41045.654000000039</v>
      </c>
      <c r="J264" s="33">
        <f t="shared" si="40"/>
        <v>-0.26763263435762497</v>
      </c>
      <c r="K264" s="15">
        <f t="shared" si="41"/>
        <v>112320</v>
      </c>
      <c r="L264" s="22">
        <f t="shared" si="42"/>
        <v>-1435</v>
      </c>
      <c r="M264" s="22"/>
      <c r="N264" s="22"/>
      <c r="O264" s="22"/>
      <c r="P264" s="272"/>
      <c r="Q264" s="22">
        <f t="shared" si="43"/>
        <v>-4165</v>
      </c>
      <c r="R264" s="34">
        <f t="shared" si="44"/>
        <v>5</v>
      </c>
      <c r="S264" s="273"/>
      <c r="T264" s="273"/>
      <c r="U264" s="273"/>
      <c r="V264" s="22"/>
      <c r="W264" s="272"/>
      <c r="X264" s="272"/>
      <c r="Y264" s="272"/>
      <c r="Z264" s="274"/>
      <c r="AA264" s="22"/>
      <c r="AB264" s="275"/>
      <c r="AC264" s="40"/>
      <c r="AD264" s="40"/>
    </row>
    <row r="265" spans="1:30" s="1" customFormat="1" x14ac:dyDescent="0.25">
      <c r="A265" s="162">
        <v>43137</v>
      </c>
      <c r="B265" s="63"/>
      <c r="C265" s="46" t="s">
        <v>69</v>
      </c>
      <c r="D265" s="46">
        <v>400</v>
      </c>
      <c r="E265" s="46">
        <v>8.43</v>
      </c>
      <c r="F265" s="16">
        <f t="shared" si="36"/>
        <v>13100</v>
      </c>
      <c r="G265" s="17">
        <f t="shared" si="37"/>
        <v>11.450536335877866</v>
      </c>
      <c r="H265" s="15">
        <f t="shared" si="38"/>
        <v>150002.02600000004</v>
      </c>
      <c r="I265" s="15">
        <f t="shared" si="39"/>
        <v>-39569.026000000042</v>
      </c>
      <c r="J265" s="33">
        <f t="shared" si="40"/>
        <v>-0.26378994374382669</v>
      </c>
      <c r="K265" s="15">
        <f t="shared" si="41"/>
        <v>110433</v>
      </c>
      <c r="L265" s="22">
        <f t="shared" si="42"/>
        <v>1476.627999999997</v>
      </c>
      <c r="M265" s="22"/>
      <c r="N265" s="22"/>
      <c r="O265" s="22"/>
      <c r="P265" s="272"/>
      <c r="Q265" s="22">
        <f t="shared" si="43"/>
        <v>3363.627999999997</v>
      </c>
      <c r="R265" s="34">
        <f t="shared" si="44"/>
        <v>8.3719999999999999</v>
      </c>
      <c r="S265" s="273"/>
      <c r="T265" s="273"/>
      <c r="U265" s="273"/>
      <c r="V265" s="22"/>
      <c r="W265" s="272"/>
      <c r="X265" s="272"/>
      <c r="Y265" s="272"/>
      <c r="Z265" s="274"/>
      <c r="AA265" s="22"/>
      <c r="AB265" s="275"/>
      <c r="AC265" s="40"/>
      <c r="AD265" s="40"/>
    </row>
    <row r="266" spans="1:30" s="1" customFormat="1" x14ac:dyDescent="0.25">
      <c r="A266" s="162">
        <v>43138</v>
      </c>
      <c r="B266" s="63"/>
      <c r="C266" s="46" t="s">
        <v>63</v>
      </c>
      <c r="D266" s="46">
        <v>500</v>
      </c>
      <c r="E266" s="46">
        <v>8.1999999999999993</v>
      </c>
      <c r="F266" s="16">
        <f t="shared" si="36"/>
        <v>13600</v>
      </c>
      <c r="G266" s="17">
        <f t="shared" si="37"/>
        <v>11.331398970588239</v>
      </c>
      <c r="H266" s="15">
        <f t="shared" si="38"/>
        <v>154107.02600000004</v>
      </c>
      <c r="I266" s="15">
        <f t="shared" si="39"/>
        <v>-42587.026000000056</v>
      </c>
      <c r="J266" s="33">
        <f t="shared" si="40"/>
        <v>-0.27634707583027429</v>
      </c>
      <c r="K266" s="15">
        <f t="shared" si="41"/>
        <v>111519.99999999999</v>
      </c>
      <c r="L266" s="22">
        <f t="shared" si="42"/>
        <v>-3018.0000000000146</v>
      </c>
      <c r="M266" s="22"/>
      <c r="N266" s="22"/>
      <c r="O266" s="22"/>
      <c r="P266" s="272"/>
      <c r="Q266" s="22">
        <f t="shared" si="43"/>
        <v>-4105</v>
      </c>
      <c r="R266" s="34">
        <f t="shared" si="44"/>
        <v>5</v>
      </c>
      <c r="S266" s="273"/>
      <c r="T266" s="273"/>
      <c r="U266" s="273"/>
      <c r="V266" s="22"/>
      <c r="W266" s="272"/>
      <c r="X266" s="272"/>
      <c r="Y266" s="272"/>
      <c r="Z266" s="274"/>
      <c r="AA266" s="22"/>
      <c r="AB266" s="275"/>
      <c r="AC266" s="40"/>
      <c r="AD266" s="40"/>
    </row>
    <row r="267" spans="1:30" s="1" customFormat="1" x14ac:dyDescent="0.25">
      <c r="A267" s="162">
        <v>43138</v>
      </c>
      <c r="B267" s="63"/>
      <c r="C267" s="46" t="s">
        <v>63</v>
      </c>
      <c r="D267" s="46">
        <v>500</v>
      </c>
      <c r="E267" s="46">
        <v>7.94</v>
      </c>
      <c r="F267" s="16">
        <f t="shared" si="36"/>
        <v>14100</v>
      </c>
      <c r="G267" s="17">
        <f t="shared" si="37"/>
        <v>11.211491205673761</v>
      </c>
      <c r="H267" s="15">
        <f t="shared" si="38"/>
        <v>158082.02600000004</v>
      </c>
      <c r="I267" s="15">
        <f t="shared" si="39"/>
        <v>-46128.026000000042</v>
      </c>
      <c r="J267" s="33">
        <f t="shared" si="40"/>
        <v>-0.29179804413690913</v>
      </c>
      <c r="K267" s="15">
        <f t="shared" si="41"/>
        <v>111954</v>
      </c>
      <c r="L267" s="22">
        <f t="shared" si="42"/>
        <v>-3540.9999999999854</v>
      </c>
      <c r="M267" s="22"/>
      <c r="N267" s="22"/>
      <c r="O267" s="22"/>
      <c r="P267" s="272"/>
      <c r="Q267" s="22">
        <f t="shared" si="43"/>
        <v>-3975</v>
      </c>
      <c r="R267" s="34">
        <f t="shared" si="44"/>
        <v>5</v>
      </c>
      <c r="S267" s="273"/>
      <c r="T267" s="273"/>
      <c r="U267" s="273"/>
      <c r="V267" s="22"/>
      <c r="W267" s="272"/>
      <c r="X267" s="272"/>
      <c r="Y267" s="272"/>
      <c r="Z267" s="274"/>
      <c r="AA267" s="22"/>
      <c r="AB267" s="275"/>
      <c r="AC267" s="40"/>
      <c r="AD267" s="40"/>
    </row>
    <row r="268" spans="1:30" s="1" customFormat="1" x14ac:dyDescent="0.25">
      <c r="A268" s="162">
        <v>43144</v>
      </c>
      <c r="B268" s="63"/>
      <c r="C268" s="46" t="s">
        <v>63</v>
      </c>
      <c r="D268" s="46">
        <v>1000</v>
      </c>
      <c r="E268" s="46">
        <v>8.08</v>
      </c>
      <c r="F268" s="16">
        <f t="shared" ref="F268:F331" si="45">IF(C268="买",F267+D268,IF(C268="卖",F267-D268,F267))</f>
        <v>15100</v>
      </c>
      <c r="G268" s="17">
        <f t="shared" ref="G268:G331" si="46">H268/F268</f>
        <v>11.004438807947023</v>
      </c>
      <c r="H268" s="15">
        <f t="shared" ref="H268:H331" si="47">IF(C268="买",H267+D268*E268+R268+S268,IF(C268="卖",H267-D268*E268+R268+S268,H267))</f>
        <v>166167.02600000004</v>
      </c>
      <c r="I268" s="15">
        <f t="shared" ref="I268:I331" si="48">-H268+K268</f>
        <v>-44159.026000000042</v>
      </c>
      <c r="J268" s="33">
        <f t="shared" ref="J268:J331" si="49">(E268-G268)/G268</f>
        <v>-0.26575083554784229</v>
      </c>
      <c r="K268" s="15">
        <f t="shared" ref="K268:K331" si="50">F268*E268</f>
        <v>122008</v>
      </c>
      <c r="L268" s="22">
        <f t="shared" si="42"/>
        <v>1969</v>
      </c>
      <c r="M268" s="22"/>
      <c r="N268" s="22"/>
      <c r="O268" s="22"/>
      <c r="P268" s="272"/>
      <c r="Q268" s="22">
        <f t="shared" si="43"/>
        <v>-8085</v>
      </c>
      <c r="R268" s="34">
        <f t="shared" si="44"/>
        <v>5</v>
      </c>
      <c r="S268" s="273"/>
      <c r="T268" s="273"/>
      <c r="U268" s="273"/>
      <c r="V268" s="22"/>
      <c r="W268" s="272"/>
      <c r="X268" s="272"/>
      <c r="Y268" s="272"/>
      <c r="Z268" s="274"/>
      <c r="AA268" s="22"/>
      <c r="AB268" s="275"/>
      <c r="AC268" s="40"/>
      <c r="AD268" s="40"/>
    </row>
    <row r="269" spans="1:30" s="1" customFormat="1" x14ac:dyDescent="0.25">
      <c r="A269" s="162">
        <v>43154</v>
      </c>
      <c r="B269" s="63"/>
      <c r="C269" s="46" t="s">
        <v>69</v>
      </c>
      <c r="D269" s="46">
        <v>400</v>
      </c>
      <c r="E269" s="46">
        <v>8.34</v>
      </c>
      <c r="F269" s="16">
        <f t="shared" si="45"/>
        <v>14700</v>
      </c>
      <c r="G269" s="17">
        <f t="shared" si="46"/>
        <v>11.077507619047623</v>
      </c>
      <c r="H269" s="15">
        <f t="shared" si="47"/>
        <v>162839.36200000005</v>
      </c>
      <c r="I269" s="15">
        <f t="shared" si="48"/>
        <v>-40241.362000000052</v>
      </c>
      <c r="J269" s="33">
        <f t="shared" si="49"/>
        <v>-0.24712306352563604</v>
      </c>
      <c r="K269" s="15">
        <f t="shared" si="50"/>
        <v>122598</v>
      </c>
      <c r="L269" s="22">
        <f t="shared" si="42"/>
        <v>3917.6639999999898</v>
      </c>
      <c r="M269" s="22"/>
      <c r="N269" s="22"/>
      <c r="O269" s="22"/>
      <c r="P269" s="272"/>
      <c r="Q269" s="22">
        <f t="shared" si="43"/>
        <v>3327.6639999999898</v>
      </c>
      <c r="R269" s="34">
        <f t="shared" si="44"/>
        <v>8.3360000000000003</v>
      </c>
      <c r="S269" s="273"/>
      <c r="T269" s="273"/>
      <c r="U269" s="273"/>
      <c r="V269" s="22"/>
      <c r="W269" s="272"/>
      <c r="X269" s="272"/>
      <c r="Y269" s="272"/>
      <c r="Z269" s="274"/>
      <c r="AA269" s="22"/>
      <c r="AB269" s="275"/>
      <c r="AC269" s="40"/>
      <c r="AD269" s="40"/>
    </row>
    <row r="270" spans="1:30" s="1" customFormat="1" x14ac:dyDescent="0.25">
      <c r="A270" s="162">
        <v>43158</v>
      </c>
      <c r="B270" s="63"/>
      <c r="C270" s="46" t="s">
        <v>69</v>
      </c>
      <c r="D270" s="46">
        <v>400</v>
      </c>
      <c r="E270" s="46">
        <v>8.76</v>
      </c>
      <c r="F270" s="16">
        <f t="shared" si="45"/>
        <v>14300</v>
      </c>
      <c r="G270" s="17">
        <f t="shared" si="46"/>
        <v>11.142927692307696</v>
      </c>
      <c r="H270" s="15">
        <f t="shared" si="47"/>
        <v>159343.86600000004</v>
      </c>
      <c r="I270" s="15">
        <f t="shared" si="48"/>
        <v>-34075.866000000038</v>
      </c>
      <c r="J270" s="33">
        <f t="shared" si="49"/>
        <v>-0.21385113123840013</v>
      </c>
      <c r="K270" s="15">
        <f t="shared" si="50"/>
        <v>125268</v>
      </c>
      <c r="L270" s="22">
        <f t="shared" si="42"/>
        <v>6165.4960000000137</v>
      </c>
      <c r="M270" s="22"/>
      <c r="N270" s="22"/>
      <c r="O270" s="22"/>
      <c r="P270" s="272"/>
      <c r="Q270" s="22">
        <f t="shared" si="43"/>
        <v>3495.4960000000137</v>
      </c>
      <c r="R270" s="34">
        <f t="shared" si="44"/>
        <v>8.5039999999999996</v>
      </c>
      <c r="S270" s="273"/>
      <c r="T270" s="273"/>
      <c r="U270" s="273"/>
      <c r="V270" s="22"/>
      <c r="W270" s="272"/>
      <c r="X270" s="272"/>
      <c r="Y270" s="272"/>
      <c r="Z270" s="274"/>
      <c r="AA270" s="22"/>
      <c r="AB270" s="275"/>
      <c r="AC270" s="40"/>
      <c r="AD270" s="40"/>
    </row>
    <row r="271" spans="1:30" s="1" customFormat="1" x14ac:dyDescent="0.25">
      <c r="A271" s="162">
        <v>43158</v>
      </c>
      <c r="B271" s="63"/>
      <c r="C271" s="46" t="s">
        <v>69</v>
      </c>
      <c r="D271" s="46">
        <v>400</v>
      </c>
      <c r="E271" s="46">
        <v>8.81</v>
      </c>
      <c r="F271" s="16">
        <f t="shared" si="45"/>
        <v>13900</v>
      </c>
      <c r="G271" s="17">
        <f t="shared" si="46"/>
        <v>11.210675539568349</v>
      </c>
      <c r="H271" s="15">
        <f t="shared" si="47"/>
        <v>155828.39000000004</v>
      </c>
      <c r="I271" s="15">
        <f t="shared" si="48"/>
        <v>-33369.390000000043</v>
      </c>
      <c r="J271" s="33">
        <f t="shared" si="49"/>
        <v>-0.21414191598847962</v>
      </c>
      <c r="K271" s="15">
        <f t="shared" si="50"/>
        <v>122459</v>
      </c>
      <c r="L271" s="22">
        <f t="shared" si="42"/>
        <v>706.47599999999511</v>
      </c>
      <c r="M271" s="22"/>
      <c r="N271" s="22"/>
      <c r="O271" s="22"/>
      <c r="P271" s="272"/>
      <c r="Q271" s="22">
        <f t="shared" si="43"/>
        <v>3515.4759999999951</v>
      </c>
      <c r="R271" s="34">
        <f t="shared" si="44"/>
        <v>8.5240000000000009</v>
      </c>
      <c r="S271" s="273"/>
      <c r="T271" s="273"/>
      <c r="U271" s="273"/>
      <c r="V271" s="22"/>
      <c r="W271" s="272"/>
      <c r="X271" s="272"/>
      <c r="Y271" s="272"/>
      <c r="Z271" s="274"/>
      <c r="AA271" s="22"/>
      <c r="AB271" s="275"/>
      <c r="AC271" s="40"/>
      <c r="AD271" s="40"/>
    </row>
    <row r="272" spans="1:30" s="1" customFormat="1" x14ac:dyDescent="0.25">
      <c r="A272" s="162">
        <v>43168</v>
      </c>
      <c r="B272" s="63"/>
      <c r="C272" s="46" t="s">
        <v>69</v>
      </c>
      <c r="D272" s="46">
        <v>400</v>
      </c>
      <c r="E272" s="46">
        <v>8.91</v>
      </c>
      <c r="F272" s="16">
        <f t="shared" si="45"/>
        <v>13500</v>
      </c>
      <c r="G272" s="17">
        <f t="shared" si="46"/>
        <v>11.279478074074078</v>
      </c>
      <c r="H272" s="15">
        <f t="shared" si="47"/>
        <v>152272.95400000006</v>
      </c>
      <c r="I272" s="15">
        <f t="shared" si="48"/>
        <v>-31987.954000000056</v>
      </c>
      <c r="J272" s="33">
        <f t="shared" si="49"/>
        <v>-0.21006983288706696</v>
      </c>
      <c r="K272" s="15">
        <f t="shared" si="50"/>
        <v>120285</v>
      </c>
      <c r="L272" s="22">
        <f t="shared" si="42"/>
        <v>1381.435999999987</v>
      </c>
      <c r="M272" s="22"/>
      <c r="N272" s="22"/>
      <c r="O272" s="22"/>
      <c r="P272" s="272"/>
      <c r="Q272" s="22">
        <f t="shared" si="43"/>
        <v>3555.435999999987</v>
      </c>
      <c r="R272" s="34">
        <f t="shared" si="44"/>
        <v>8.5640000000000001</v>
      </c>
      <c r="S272" s="273"/>
      <c r="T272" s="273"/>
      <c r="U272" s="273"/>
      <c r="V272" s="22"/>
      <c r="W272" s="272"/>
      <c r="X272" s="272"/>
      <c r="Y272" s="272"/>
      <c r="Z272" s="274"/>
      <c r="AA272" s="22"/>
      <c r="AB272" s="275"/>
      <c r="AC272" s="40"/>
      <c r="AD272" s="40"/>
    </row>
    <row r="273" spans="1:30" s="1" customFormat="1" x14ac:dyDescent="0.25">
      <c r="A273" s="162">
        <v>43172</v>
      </c>
      <c r="B273" s="63" t="s">
        <v>585</v>
      </c>
      <c r="C273" s="46" t="s">
        <v>69</v>
      </c>
      <c r="D273" s="46">
        <v>400</v>
      </c>
      <c r="E273" s="46">
        <v>9.11</v>
      </c>
      <c r="F273" s="16">
        <f t="shared" si="45"/>
        <v>13100</v>
      </c>
      <c r="G273" s="17">
        <f t="shared" si="46"/>
        <v>11.346381526717561</v>
      </c>
      <c r="H273" s="15">
        <f t="shared" si="47"/>
        <v>148637.59800000006</v>
      </c>
      <c r="I273" s="15">
        <f t="shared" si="48"/>
        <v>-29296.598000000071</v>
      </c>
      <c r="J273" s="33">
        <f t="shared" si="49"/>
        <v>-0.19710085734835442</v>
      </c>
      <c r="K273" s="15">
        <f t="shared" si="50"/>
        <v>119340.99999999999</v>
      </c>
      <c r="L273" s="22">
        <f t="shared" si="42"/>
        <v>2691.3559999999852</v>
      </c>
      <c r="M273" s="22"/>
      <c r="N273" s="22"/>
      <c r="O273" s="22"/>
      <c r="P273" s="272"/>
      <c r="Q273" s="22">
        <f t="shared" si="43"/>
        <v>3635.3559999999998</v>
      </c>
      <c r="R273" s="34">
        <f t="shared" si="44"/>
        <v>8.6440000000000001</v>
      </c>
      <c r="S273" s="273"/>
      <c r="T273" s="273"/>
      <c r="U273" s="273"/>
      <c r="V273" s="22"/>
      <c r="W273" s="272"/>
      <c r="X273" s="272"/>
      <c r="Y273" s="272"/>
      <c r="Z273" s="274"/>
      <c r="AA273" s="22"/>
      <c r="AB273" s="275"/>
      <c r="AC273" s="40"/>
      <c r="AD273" s="40"/>
    </row>
    <row r="274" spans="1:30" s="1" customFormat="1" x14ac:dyDescent="0.25">
      <c r="A274" s="162">
        <v>43174</v>
      </c>
      <c r="B274" s="63"/>
      <c r="C274" s="46" t="s">
        <v>63</v>
      </c>
      <c r="D274" s="46">
        <v>500</v>
      </c>
      <c r="E274" s="46">
        <v>8.6999999999999993</v>
      </c>
      <c r="F274" s="16">
        <f t="shared" si="45"/>
        <v>13600</v>
      </c>
      <c r="G274" s="17">
        <f t="shared" si="46"/>
        <v>11.249455735294122</v>
      </c>
      <c r="H274" s="15">
        <f t="shared" si="47"/>
        <v>152992.59800000006</v>
      </c>
      <c r="I274" s="15">
        <f t="shared" si="48"/>
        <v>-34672.598000000071</v>
      </c>
      <c r="J274" s="33">
        <f t="shared" si="49"/>
        <v>-0.22662925169752365</v>
      </c>
      <c r="K274" s="15">
        <f t="shared" si="50"/>
        <v>118319.99999999999</v>
      </c>
      <c r="L274" s="22">
        <f t="shared" si="42"/>
        <v>-5376</v>
      </c>
      <c r="M274" s="22"/>
      <c r="N274" s="22"/>
      <c r="O274" s="22"/>
      <c r="P274" s="272"/>
      <c r="Q274" s="22">
        <f t="shared" si="43"/>
        <v>-4355</v>
      </c>
      <c r="R274" s="34">
        <f t="shared" si="44"/>
        <v>5</v>
      </c>
      <c r="S274" s="273"/>
      <c r="T274" s="273"/>
      <c r="U274" s="273"/>
      <c r="V274" s="22"/>
      <c r="W274" s="272"/>
      <c r="X274" s="272"/>
      <c r="Y274" s="272"/>
      <c r="Z274" s="274"/>
      <c r="AA274" s="22"/>
      <c r="AB274" s="275"/>
      <c r="AC274" s="40"/>
      <c r="AD274" s="40"/>
    </row>
    <row r="275" spans="1:30" s="1" customFormat="1" x14ac:dyDescent="0.25">
      <c r="A275" s="162">
        <v>43178</v>
      </c>
      <c r="B275" s="63" t="s">
        <v>286</v>
      </c>
      <c r="C275" s="46" t="s">
        <v>69</v>
      </c>
      <c r="D275" s="46">
        <v>400</v>
      </c>
      <c r="E275" s="46">
        <v>8.8800000000000008</v>
      </c>
      <c r="F275" s="16">
        <f t="shared" si="45"/>
        <v>13200</v>
      </c>
      <c r="G275" s="17">
        <f t="shared" si="46"/>
        <v>11.321905303030308</v>
      </c>
      <c r="H275" s="15">
        <f t="shared" si="47"/>
        <v>149449.15000000005</v>
      </c>
      <c r="I275" s="15">
        <f t="shared" si="48"/>
        <v>-32233.150000000038</v>
      </c>
      <c r="J275" s="33">
        <f t="shared" si="49"/>
        <v>-0.21567971447144421</v>
      </c>
      <c r="K275" s="15">
        <f t="shared" si="50"/>
        <v>117216.00000000001</v>
      </c>
      <c r="L275" s="22">
        <f t="shared" si="42"/>
        <v>2439.4480000000331</v>
      </c>
      <c r="M275" s="22"/>
      <c r="N275" s="22"/>
      <c r="O275" s="22"/>
      <c r="P275" s="272"/>
      <c r="Q275" s="22">
        <f t="shared" si="43"/>
        <v>3543.448000000004</v>
      </c>
      <c r="R275" s="34">
        <f t="shared" si="44"/>
        <v>8.5519999999999996</v>
      </c>
      <c r="S275" s="273"/>
      <c r="T275" s="273"/>
      <c r="U275" s="273"/>
      <c r="V275" s="22"/>
      <c r="W275" s="272"/>
      <c r="X275" s="272"/>
      <c r="Y275" s="272"/>
      <c r="Z275" s="274"/>
      <c r="AA275" s="22"/>
      <c r="AB275" s="275"/>
      <c r="AC275" s="40"/>
      <c r="AD275" s="40"/>
    </row>
    <row r="276" spans="1:30" s="1" customFormat="1" x14ac:dyDescent="0.25">
      <c r="A276" s="162">
        <v>43181</v>
      </c>
      <c r="B276" s="63"/>
      <c r="C276" s="46" t="s">
        <v>69</v>
      </c>
      <c r="D276" s="46">
        <v>400</v>
      </c>
      <c r="E276" s="46">
        <v>9.02</v>
      </c>
      <c r="F276" s="16">
        <f t="shared" si="45"/>
        <v>12800</v>
      </c>
      <c r="G276" s="17">
        <f t="shared" si="46"/>
        <v>11.394512343750005</v>
      </c>
      <c r="H276" s="15">
        <f t="shared" si="47"/>
        <v>145849.75800000006</v>
      </c>
      <c r="I276" s="15">
        <f t="shared" si="48"/>
        <v>-30393.75800000006</v>
      </c>
      <c r="J276" s="33">
        <f t="shared" si="49"/>
        <v>-0.20839087028173237</v>
      </c>
      <c r="K276" s="15">
        <f t="shared" si="50"/>
        <v>115456</v>
      </c>
      <c r="L276" s="22">
        <f t="shared" si="42"/>
        <v>1839.391999999978</v>
      </c>
      <c r="M276" s="22"/>
      <c r="N276" s="22"/>
      <c r="O276" s="22"/>
      <c r="P276" s="272"/>
      <c r="Q276" s="22">
        <f t="shared" si="43"/>
        <v>3599.3919999999925</v>
      </c>
      <c r="R276" s="34">
        <f t="shared" si="44"/>
        <v>8.6080000000000005</v>
      </c>
      <c r="S276" s="273"/>
      <c r="T276" s="273"/>
      <c r="U276" s="273"/>
      <c r="V276" s="22"/>
      <c r="W276" s="272"/>
      <c r="X276" s="272"/>
      <c r="Y276" s="272"/>
      <c r="Z276" s="274"/>
      <c r="AA276" s="22"/>
      <c r="AB276" s="275"/>
      <c r="AC276" s="40"/>
      <c r="AD276" s="40"/>
    </row>
    <row r="277" spans="1:30" s="1" customFormat="1" x14ac:dyDescent="0.25">
      <c r="A277" s="162">
        <v>43182</v>
      </c>
      <c r="B277" s="63" t="s">
        <v>299</v>
      </c>
      <c r="C277" s="46" t="s">
        <v>63</v>
      </c>
      <c r="D277" s="46">
        <v>500</v>
      </c>
      <c r="E277" s="46">
        <v>8.64</v>
      </c>
      <c r="F277" s="16">
        <f t="shared" si="45"/>
        <v>13300</v>
      </c>
      <c r="G277" s="17">
        <f t="shared" si="46"/>
        <v>11.29133518796993</v>
      </c>
      <c r="H277" s="15">
        <f t="shared" si="47"/>
        <v>150174.75800000006</v>
      </c>
      <c r="I277" s="15">
        <f t="shared" si="48"/>
        <v>-35262.758000000045</v>
      </c>
      <c r="J277" s="33">
        <f t="shared" si="49"/>
        <v>-0.23481148542952898</v>
      </c>
      <c r="K277" s="15">
        <f t="shared" si="50"/>
        <v>114912.00000000001</v>
      </c>
      <c r="L277" s="22">
        <f t="shared" si="42"/>
        <v>-4868.9999999999854</v>
      </c>
      <c r="M277" s="22"/>
      <c r="N277" s="22"/>
      <c r="O277" s="22"/>
      <c r="P277" s="272"/>
      <c r="Q277" s="22">
        <f t="shared" si="43"/>
        <v>-4325</v>
      </c>
      <c r="R277" s="34">
        <f t="shared" si="44"/>
        <v>5</v>
      </c>
      <c r="S277" s="273"/>
      <c r="T277" s="273"/>
      <c r="U277" s="273"/>
      <c r="V277" s="22"/>
      <c r="W277" s="272"/>
      <c r="X277" s="272"/>
      <c r="Y277" s="272"/>
      <c r="Z277" s="274"/>
      <c r="AA277" s="22"/>
      <c r="AB277" s="275"/>
      <c r="AC277" s="40"/>
      <c r="AD277" s="40"/>
    </row>
    <row r="278" spans="1:30" s="1" customFormat="1" x14ac:dyDescent="0.25">
      <c r="A278" s="162">
        <v>43185</v>
      </c>
      <c r="B278" s="63"/>
      <c r="C278" s="46" t="s">
        <v>63</v>
      </c>
      <c r="D278" s="46">
        <v>500</v>
      </c>
      <c r="E278" s="46">
        <v>8.2200000000000006</v>
      </c>
      <c r="F278" s="16">
        <f t="shared" si="45"/>
        <v>13800</v>
      </c>
      <c r="G278" s="17">
        <f t="shared" si="46"/>
        <v>11.180417246376816</v>
      </c>
      <c r="H278" s="15">
        <f t="shared" si="47"/>
        <v>154289.75800000006</v>
      </c>
      <c r="I278" s="15">
        <f t="shared" si="48"/>
        <v>-40853.758000000045</v>
      </c>
      <c r="J278" s="33">
        <f t="shared" si="49"/>
        <v>-0.2647859360826792</v>
      </c>
      <c r="K278" s="15">
        <f t="shared" si="50"/>
        <v>113436.00000000001</v>
      </c>
      <c r="L278" s="22">
        <f t="shared" si="42"/>
        <v>-5591</v>
      </c>
      <c r="M278" s="22"/>
      <c r="N278" s="22"/>
      <c r="O278" s="22"/>
      <c r="P278" s="272"/>
      <c r="Q278" s="22">
        <f t="shared" si="43"/>
        <v>-4115</v>
      </c>
      <c r="R278" s="34">
        <f t="shared" si="44"/>
        <v>5</v>
      </c>
      <c r="S278" s="273"/>
      <c r="T278" s="273"/>
      <c r="U278" s="273"/>
      <c r="V278" s="22"/>
      <c r="W278" s="272"/>
      <c r="X278" s="272"/>
      <c r="Y278" s="272"/>
      <c r="Z278" s="274"/>
      <c r="AA278" s="22"/>
      <c r="AB278" s="275"/>
      <c r="AC278" s="40"/>
      <c r="AD278" s="40"/>
    </row>
    <row r="279" spans="1:30" s="1" customFormat="1" x14ac:dyDescent="0.25">
      <c r="A279" s="162">
        <v>43185</v>
      </c>
      <c r="B279" s="63" t="s">
        <v>461</v>
      </c>
      <c r="C279" s="46" t="s">
        <v>69</v>
      </c>
      <c r="D279" s="46">
        <v>400</v>
      </c>
      <c r="E279" s="46">
        <f>E278+0.25</f>
        <v>8.4700000000000006</v>
      </c>
      <c r="F279" s="16">
        <f t="shared" si="45"/>
        <v>13400</v>
      </c>
      <c r="G279" s="17">
        <f t="shared" si="46"/>
        <v>11.261951194029855</v>
      </c>
      <c r="H279" s="15">
        <f t="shared" si="47"/>
        <v>150910.14600000007</v>
      </c>
      <c r="I279" s="15">
        <f t="shared" si="48"/>
        <v>-37412.146000000052</v>
      </c>
      <c r="J279" s="33">
        <f t="shared" si="49"/>
        <v>-0.24791007756363867</v>
      </c>
      <c r="K279" s="15">
        <f t="shared" si="50"/>
        <v>113498.00000000001</v>
      </c>
      <c r="L279" s="22">
        <f t="shared" si="42"/>
        <v>3441.6119999999937</v>
      </c>
      <c r="M279" s="22"/>
      <c r="N279" s="22"/>
      <c r="O279" s="22"/>
      <c r="P279" s="272"/>
      <c r="Q279" s="22">
        <f t="shared" si="43"/>
        <v>3379.6119999999937</v>
      </c>
      <c r="R279" s="34">
        <f t="shared" si="44"/>
        <v>8.3879999999999999</v>
      </c>
      <c r="S279" s="273"/>
      <c r="T279" s="273"/>
      <c r="U279" s="273"/>
      <c r="V279" s="22"/>
      <c r="W279" s="272"/>
      <c r="X279" s="272"/>
      <c r="Y279" s="272"/>
      <c r="Z279" s="274"/>
      <c r="AA279" s="22"/>
      <c r="AB279" s="275"/>
      <c r="AC279" s="40"/>
      <c r="AD279" s="40"/>
    </row>
    <row r="280" spans="1:30" s="1" customFormat="1" x14ac:dyDescent="0.25">
      <c r="A280" s="162">
        <v>43186</v>
      </c>
      <c r="B280" s="63"/>
      <c r="C280" s="46" t="s">
        <v>69</v>
      </c>
      <c r="D280" s="46">
        <v>400</v>
      </c>
      <c r="E280" s="46">
        <f>E279+0.25</f>
        <v>8.7200000000000006</v>
      </c>
      <c r="F280" s="16">
        <f t="shared" si="45"/>
        <v>13000</v>
      </c>
      <c r="G280" s="17">
        <f t="shared" si="46"/>
        <v>11.340818000000006</v>
      </c>
      <c r="H280" s="15">
        <f t="shared" si="47"/>
        <v>147430.63400000008</v>
      </c>
      <c r="I280" s="15">
        <f t="shared" si="48"/>
        <v>-34070.634000000064</v>
      </c>
      <c r="J280" s="33">
        <f t="shared" si="49"/>
        <v>-0.23109602852281061</v>
      </c>
      <c r="K280" s="15">
        <f t="shared" si="50"/>
        <v>113360.00000000001</v>
      </c>
      <c r="L280" s="22">
        <f t="shared" si="42"/>
        <v>3341.5119999999879</v>
      </c>
      <c r="M280" s="22"/>
      <c r="N280" s="22"/>
      <c r="O280" s="22"/>
      <c r="P280" s="272"/>
      <c r="Q280" s="22">
        <f t="shared" si="43"/>
        <v>3479.5119999999879</v>
      </c>
      <c r="R280" s="34">
        <f t="shared" si="44"/>
        <v>8.4879999999999995</v>
      </c>
      <c r="S280" s="273"/>
      <c r="T280" s="273"/>
      <c r="U280" s="273"/>
      <c r="V280" s="22"/>
      <c r="W280" s="272"/>
      <c r="X280" s="272"/>
      <c r="Y280" s="272"/>
      <c r="Z280" s="274"/>
      <c r="AA280" s="22"/>
      <c r="AB280" s="275"/>
      <c r="AC280" s="40"/>
      <c r="AD280" s="40"/>
    </row>
    <row r="281" spans="1:30" s="1" customFormat="1" x14ac:dyDescent="0.25">
      <c r="A281" s="162">
        <v>43186</v>
      </c>
      <c r="B281" s="63"/>
      <c r="C281" s="46" t="s">
        <v>69</v>
      </c>
      <c r="D281" s="46">
        <v>400</v>
      </c>
      <c r="E281" s="46">
        <v>8.7899999999999991</v>
      </c>
      <c r="F281" s="16">
        <f t="shared" si="45"/>
        <v>12600</v>
      </c>
      <c r="G281" s="17">
        <f t="shared" si="46"/>
        <v>11.422472222222229</v>
      </c>
      <c r="H281" s="15">
        <f t="shared" si="47"/>
        <v>143923.15000000008</v>
      </c>
      <c r="I281" s="15">
        <f t="shared" si="48"/>
        <v>-33169.150000000096</v>
      </c>
      <c r="J281" s="33">
        <f t="shared" si="49"/>
        <v>-0.23046431376745213</v>
      </c>
      <c r="K281" s="15">
        <f t="shared" si="50"/>
        <v>110753.99999999999</v>
      </c>
      <c r="L281" s="22">
        <f t="shared" si="42"/>
        <v>901.48399999996764</v>
      </c>
      <c r="M281" s="22"/>
      <c r="N281" s="22"/>
      <c r="O281" s="22"/>
      <c r="P281" s="272"/>
      <c r="Q281" s="22">
        <f t="shared" si="43"/>
        <v>3507.4839999999967</v>
      </c>
      <c r="R281" s="34">
        <f t="shared" si="44"/>
        <v>8.516</v>
      </c>
      <c r="S281" s="273"/>
      <c r="T281" s="273"/>
      <c r="U281" s="273"/>
      <c r="V281" s="22"/>
      <c r="W281" s="272"/>
      <c r="X281" s="272"/>
      <c r="Y281" s="272"/>
      <c r="Z281" s="274"/>
      <c r="AA281" s="22"/>
      <c r="AB281" s="275"/>
      <c r="AC281" s="40"/>
      <c r="AD281" s="40"/>
    </row>
    <row r="282" spans="1:30" s="1" customFormat="1" x14ac:dyDescent="0.25">
      <c r="A282" s="162">
        <v>43187</v>
      </c>
      <c r="B282" s="63"/>
      <c r="C282" s="46" t="s">
        <v>69</v>
      </c>
      <c r="D282" s="46">
        <v>400</v>
      </c>
      <c r="E282" s="46">
        <v>8.86</v>
      </c>
      <c r="F282" s="16">
        <f t="shared" si="45"/>
        <v>12200</v>
      </c>
      <c r="G282" s="17">
        <f t="shared" si="46"/>
        <v>11.507188032786891</v>
      </c>
      <c r="H282" s="15">
        <f t="shared" si="47"/>
        <v>140387.69400000008</v>
      </c>
      <c r="I282" s="15">
        <f t="shared" si="48"/>
        <v>-32295.694000000076</v>
      </c>
      <c r="J282" s="33">
        <f t="shared" si="49"/>
        <v>-0.23004647401644804</v>
      </c>
      <c r="K282" s="15">
        <f t="shared" si="50"/>
        <v>108092</v>
      </c>
      <c r="L282" s="22">
        <f t="shared" si="42"/>
        <v>873.45600000002014</v>
      </c>
      <c r="M282" s="22"/>
      <c r="N282" s="22"/>
      <c r="O282" s="22"/>
      <c r="P282" s="272"/>
      <c r="Q282" s="22">
        <f t="shared" si="43"/>
        <v>3535.4560000000056</v>
      </c>
      <c r="R282" s="34">
        <f t="shared" si="44"/>
        <v>8.5440000000000005</v>
      </c>
      <c r="S282" s="273"/>
      <c r="T282" s="273"/>
      <c r="U282" s="273"/>
      <c r="V282" s="22"/>
      <c r="W282" s="272"/>
      <c r="X282" s="272"/>
      <c r="Y282" s="272"/>
      <c r="Z282" s="274"/>
      <c r="AA282" s="22"/>
      <c r="AB282" s="275"/>
      <c r="AC282" s="40"/>
      <c r="AD282" s="40"/>
    </row>
    <row r="283" spans="1:30" s="1" customFormat="1" x14ac:dyDescent="0.25">
      <c r="A283" s="162">
        <v>43187</v>
      </c>
      <c r="B283" s="63"/>
      <c r="C283" s="46" t="s">
        <v>69</v>
      </c>
      <c r="D283" s="46">
        <v>500</v>
      </c>
      <c r="E283" s="46">
        <v>8.93</v>
      </c>
      <c r="F283" s="16">
        <f t="shared" si="45"/>
        <v>11700</v>
      </c>
      <c r="G283" s="17">
        <f t="shared" si="46"/>
        <v>11.618133247863254</v>
      </c>
      <c r="H283" s="15">
        <f t="shared" si="47"/>
        <v>135932.15900000007</v>
      </c>
      <c r="I283" s="15">
        <f t="shared" si="48"/>
        <v>-31451.159000000072</v>
      </c>
      <c r="J283" s="33">
        <f t="shared" si="49"/>
        <v>-0.2313739385247317</v>
      </c>
      <c r="K283" s="15">
        <f t="shared" si="50"/>
        <v>104481</v>
      </c>
      <c r="L283" s="22">
        <f t="shared" si="42"/>
        <v>844.53500000000349</v>
      </c>
      <c r="M283" s="22"/>
      <c r="N283" s="22"/>
      <c r="O283" s="22"/>
      <c r="P283" s="272"/>
      <c r="Q283" s="22">
        <f t="shared" si="43"/>
        <v>4455.5350000000035</v>
      </c>
      <c r="R283" s="34">
        <f t="shared" si="44"/>
        <v>9.4649999999999999</v>
      </c>
      <c r="S283" s="273"/>
      <c r="T283" s="273"/>
      <c r="U283" s="273"/>
      <c r="V283" s="22"/>
      <c r="W283" s="272"/>
      <c r="X283" s="272"/>
      <c r="Y283" s="272"/>
      <c r="Z283" s="274"/>
      <c r="AA283" s="22"/>
      <c r="AB283" s="275"/>
      <c r="AC283" s="40"/>
      <c r="AD283" s="40"/>
    </row>
    <row r="284" spans="1:30" s="1" customFormat="1" x14ac:dyDescent="0.25">
      <c r="A284" s="162">
        <v>43193</v>
      </c>
      <c r="B284" s="63" t="s">
        <v>586</v>
      </c>
      <c r="C284" s="46" t="s">
        <v>63</v>
      </c>
      <c r="D284" s="46">
        <v>500</v>
      </c>
      <c r="E284" s="46">
        <v>8.7200000000000006</v>
      </c>
      <c r="F284" s="16">
        <f t="shared" si="45"/>
        <v>12200</v>
      </c>
      <c r="G284" s="17">
        <f t="shared" si="46"/>
        <v>11.499767131147546</v>
      </c>
      <c r="H284" s="15">
        <f t="shared" si="47"/>
        <v>140297.15900000007</v>
      </c>
      <c r="I284" s="15">
        <f t="shared" si="48"/>
        <v>-33913.159000000058</v>
      </c>
      <c r="J284" s="33">
        <f t="shared" si="49"/>
        <v>-0.24172377574659257</v>
      </c>
      <c r="K284" s="15">
        <f t="shared" si="50"/>
        <v>106384.00000000001</v>
      </c>
      <c r="L284" s="22">
        <f t="shared" si="42"/>
        <v>-2461.9999999999854</v>
      </c>
      <c r="M284" s="22"/>
      <c r="N284" s="22"/>
      <c r="O284" s="22"/>
      <c r="P284" s="272"/>
      <c r="Q284" s="22">
        <f t="shared" si="43"/>
        <v>-4365</v>
      </c>
      <c r="R284" s="34">
        <f t="shared" si="44"/>
        <v>5</v>
      </c>
      <c r="S284" s="273"/>
      <c r="T284" s="273"/>
      <c r="U284" s="273"/>
      <c r="V284" s="22"/>
      <c r="W284" s="272"/>
      <c r="X284" s="272"/>
      <c r="Y284" s="272"/>
      <c r="Z284" s="274"/>
      <c r="AA284" s="22"/>
      <c r="AB284" s="275"/>
      <c r="AC284" s="40"/>
      <c r="AD284" s="40"/>
    </row>
    <row r="285" spans="1:30" s="1" customFormat="1" x14ac:dyDescent="0.25">
      <c r="A285" s="162">
        <v>43194</v>
      </c>
      <c r="B285" s="63"/>
      <c r="C285" s="46" t="s">
        <v>69</v>
      </c>
      <c r="D285" s="46">
        <v>400</v>
      </c>
      <c r="E285" s="46">
        <v>8.9</v>
      </c>
      <c r="F285" s="16">
        <f t="shared" si="45"/>
        <v>11800</v>
      </c>
      <c r="G285" s="17">
        <f t="shared" si="46"/>
        <v>11.588620254237295</v>
      </c>
      <c r="H285" s="15">
        <f t="shared" si="47"/>
        <v>136745.71900000007</v>
      </c>
      <c r="I285" s="15">
        <f t="shared" si="48"/>
        <v>-31725.71900000007</v>
      </c>
      <c r="J285" s="33">
        <f t="shared" si="49"/>
        <v>-0.23200520814841785</v>
      </c>
      <c r="K285" s="15">
        <f t="shared" si="50"/>
        <v>105020</v>
      </c>
      <c r="L285" s="22">
        <f t="shared" si="42"/>
        <v>2187.4399999999878</v>
      </c>
      <c r="M285" s="22"/>
      <c r="N285" s="22"/>
      <c r="O285" s="22"/>
      <c r="P285" s="272"/>
      <c r="Q285" s="22">
        <f t="shared" si="43"/>
        <v>3551.4400000000023</v>
      </c>
      <c r="R285" s="34">
        <f t="shared" si="44"/>
        <v>8.56</v>
      </c>
      <c r="S285" s="273"/>
      <c r="T285" s="273"/>
      <c r="U285" s="273"/>
      <c r="V285" s="22"/>
      <c r="W285" s="272"/>
      <c r="X285" s="272"/>
      <c r="Y285" s="272"/>
      <c r="Z285" s="274"/>
      <c r="AA285" s="22"/>
      <c r="AB285" s="275"/>
      <c r="AC285" s="40"/>
      <c r="AD285" s="40"/>
    </row>
    <row r="286" spans="1:30" s="1" customFormat="1" x14ac:dyDescent="0.25">
      <c r="A286" s="162">
        <v>43194</v>
      </c>
      <c r="B286" s="63"/>
      <c r="C286" s="46" t="s">
        <v>69</v>
      </c>
      <c r="D286" s="46">
        <v>400</v>
      </c>
      <c r="E286" s="46">
        <v>9.01</v>
      </c>
      <c r="F286" s="16">
        <f t="shared" si="45"/>
        <v>11400</v>
      </c>
      <c r="G286" s="17">
        <f t="shared" si="46"/>
        <v>11.679852894736847</v>
      </c>
      <c r="H286" s="15">
        <f t="shared" si="47"/>
        <v>133150.32300000006</v>
      </c>
      <c r="I286" s="15">
        <f t="shared" si="48"/>
        <v>-30436.323000000062</v>
      </c>
      <c r="J286" s="33">
        <f t="shared" si="49"/>
        <v>-0.22858617474025988</v>
      </c>
      <c r="K286" s="15">
        <f t="shared" si="50"/>
        <v>102714</v>
      </c>
      <c r="L286" s="22">
        <f t="shared" si="42"/>
        <v>1289.3960000000079</v>
      </c>
      <c r="M286" s="22"/>
      <c r="N286" s="22"/>
      <c r="O286" s="22"/>
      <c r="P286" s="272"/>
      <c r="Q286" s="22">
        <f t="shared" si="43"/>
        <v>3595.3960000000079</v>
      </c>
      <c r="R286" s="34">
        <f t="shared" si="44"/>
        <v>8.6039999999999992</v>
      </c>
      <c r="S286" s="273"/>
      <c r="T286" s="273"/>
      <c r="U286" s="273"/>
      <c r="V286" s="22"/>
      <c r="W286" s="272"/>
      <c r="X286" s="272"/>
      <c r="Y286" s="272"/>
      <c r="Z286" s="274"/>
      <c r="AA286" s="22"/>
      <c r="AB286" s="275"/>
      <c r="AC286" s="40"/>
      <c r="AD286" s="40"/>
    </row>
    <row r="287" spans="1:30" s="1" customFormat="1" x14ac:dyDescent="0.25">
      <c r="A287" s="162">
        <v>43199</v>
      </c>
      <c r="B287" s="63" t="s">
        <v>587</v>
      </c>
      <c r="C287" s="46" t="s">
        <v>63</v>
      </c>
      <c r="D287" s="46">
        <v>500</v>
      </c>
      <c r="E287" s="46">
        <v>8.6</v>
      </c>
      <c r="F287" s="16">
        <f t="shared" si="45"/>
        <v>11900</v>
      </c>
      <c r="G287" s="17">
        <f t="shared" si="46"/>
        <v>11.550867478991602</v>
      </c>
      <c r="H287" s="15">
        <f t="shared" si="47"/>
        <v>137455.32300000006</v>
      </c>
      <c r="I287" s="15">
        <f t="shared" si="48"/>
        <v>-35115.323000000062</v>
      </c>
      <c r="J287" s="33">
        <f t="shared" si="49"/>
        <v>-0.25546717459606894</v>
      </c>
      <c r="K287" s="15">
        <f t="shared" si="50"/>
        <v>102340</v>
      </c>
      <c r="L287" s="22">
        <f t="shared" si="42"/>
        <v>-4679</v>
      </c>
      <c r="M287" s="22"/>
      <c r="N287" s="22"/>
      <c r="O287" s="22"/>
      <c r="P287" s="272"/>
      <c r="Q287" s="22">
        <f t="shared" si="43"/>
        <v>-4305</v>
      </c>
      <c r="R287" s="34">
        <f t="shared" si="44"/>
        <v>5</v>
      </c>
      <c r="S287" s="273"/>
      <c r="T287" s="273"/>
      <c r="U287" s="273"/>
      <c r="V287" s="22"/>
      <c r="W287" s="272"/>
      <c r="X287" s="272"/>
      <c r="Y287" s="272"/>
      <c r="Z287" s="274"/>
      <c r="AA287" s="22"/>
      <c r="AB287" s="275"/>
      <c r="AC287" s="40"/>
      <c r="AD287" s="40"/>
    </row>
    <row r="288" spans="1:30" s="1" customFormat="1" x14ac:dyDescent="0.25">
      <c r="A288" s="162">
        <v>43209</v>
      </c>
      <c r="B288" s="63" t="s">
        <v>462</v>
      </c>
      <c r="C288" s="46" t="s">
        <v>69</v>
      </c>
      <c r="D288" s="46">
        <v>400</v>
      </c>
      <c r="E288" s="46">
        <v>9.02</v>
      </c>
      <c r="F288" s="16">
        <f t="shared" si="45"/>
        <v>11500</v>
      </c>
      <c r="G288" s="17">
        <f t="shared" si="46"/>
        <v>11.63964617391305</v>
      </c>
      <c r="H288" s="15">
        <f t="shared" si="47"/>
        <v>133855.93100000007</v>
      </c>
      <c r="I288" s="15">
        <f t="shared" si="48"/>
        <v>-30125.93100000007</v>
      </c>
      <c r="J288" s="33">
        <f t="shared" si="49"/>
        <v>-0.22506235453997225</v>
      </c>
      <c r="K288" s="15">
        <f t="shared" si="50"/>
        <v>103730</v>
      </c>
      <c r="L288" s="22">
        <f t="shared" si="42"/>
        <v>4989.3919999999925</v>
      </c>
      <c r="M288" s="22"/>
      <c r="N288" s="22"/>
      <c r="O288" s="22"/>
      <c r="P288" s="272"/>
      <c r="Q288" s="22">
        <f t="shared" si="43"/>
        <v>3599.3919999999925</v>
      </c>
      <c r="R288" s="34">
        <f t="shared" si="44"/>
        <v>8.6080000000000005</v>
      </c>
      <c r="S288" s="273"/>
      <c r="T288" s="273"/>
      <c r="U288" s="273"/>
      <c r="V288" s="22"/>
      <c r="W288" s="272"/>
      <c r="X288" s="272"/>
      <c r="Y288" s="272"/>
      <c r="Z288" s="274"/>
      <c r="AA288" s="22"/>
      <c r="AB288" s="275"/>
      <c r="AC288" s="40"/>
      <c r="AD288" s="40"/>
    </row>
    <row r="289" spans="1:30" s="1" customFormat="1" x14ac:dyDescent="0.25">
      <c r="A289" s="162">
        <v>43209</v>
      </c>
      <c r="B289" s="63"/>
      <c r="C289" s="46" t="s">
        <v>69</v>
      </c>
      <c r="D289" s="46">
        <v>400</v>
      </c>
      <c r="E289" s="46">
        <v>9.2100000000000009</v>
      </c>
      <c r="F289" s="16">
        <f t="shared" si="45"/>
        <v>11100</v>
      </c>
      <c r="G289" s="17">
        <f t="shared" si="46"/>
        <v>11.72798333333334</v>
      </c>
      <c r="H289" s="15">
        <f t="shared" si="47"/>
        <v>130180.61500000006</v>
      </c>
      <c r="I289" s="15">
        <f t="shared" si="48"/>
        <v>-27949.615000000049</v>
      </c>
      <c r="J289" s="33">
        <f t="shared" si="49"/>
        <v>-0.21469874758234969</v>
      </c>
      <c r="K289" s="15">
        <f t="shared" si="50"/>
        <v>102231.00000000001</v>
      </c>
      <c r="L289" s="22">
        <f t="shared" si="42"/>
        <v>2176.3160000000207</v>
      </c>
      <c r="M289" s="22"/>
      <c r="N289" s="22"/>
      <c r="O289" s="22"/>
      <c r="P289" s="272"/>
      <c r="Q289" s="22">
        <f t="shared" si="43"/>
        <v>3675.3160000000062</v>
      </c>
      <c r="R289" s="34">
        <f t="shared" si="44"/>
        <v>8.6840000000000011</v>
      </c>
      <c r="S289" s="273"/>
      <c r="T289" s="273"/>
      <c r="U289" s="273"/>
      <c r="V289" s="22"/>
      <c r="W289" s="272"/>
      <c r="X289" s="272"/>
      <c r="Y289" s="272"/>
      <c r="Z289" s="274"/>
      <c r="AA289" s="22"/>
      <c r="AB289" s="275"/>
      <c r="AC289" s="40"/>
      <c r="AD289" s="40"/>
    </row>
    <row r="290" spans="1:30" s="1" customFormat="1" x14ac:dyDescent="0.25">
      <c r="A290" s="162">
        <v>43216</v>
      </c>
      <c r="B290" s="63"/>
      <c r="C290" s="46" t="s">
        <v>63</v>
      </c>
      <c r="D290" s="46">
        <v>500</v>
      </c>
      <c r="E290" s="46">
        <v>9.09</v>
      </c>
      <c r="F290" s="16">
        <f t="shared" si="45"/>
        <v>11600</v>
      </c>
      <c r="G290" s="17">
        <f t="shared" si="46"/>
        <v>11.614708189655177</v>
      </c>
      <c r="H290" s="15">
        <f t="shared" si="47"/>
        <v>134730.61500000005</v>
      </c>
      <c r="I290" s="15">
        <f t="shared" si="48"/>
        <v>-29286.615000000049</v>
      </c>
      <c r="J290" s="33">
        <f t="shared" si="49"/>
        <v>-0.21737164192414651</v>
      </c>
      <c r="K290" s="15">
        <f t="shared" si="50"/>
        <v>105444</v>
      </c>
      <c r="L290" s="22">
        <f t="shared" si="42"/>
        <v>-1337</v>
      </c>
      <c r="M290" s="22"/>
      <c r="N290" s="22"/>
      <c r="O290" s="22"/>
      <c r="P290" s="272"/>
      <c r="Q290" s="22">
        <f t="shared" si="43"/>
        <v>-4549.9999999999854</v>
      </c>
      <c r="R290" s="34">
        <f t="shared" si="44"/>
        <v>5</v>
      </c>
      <c r="S290" s="273"/>
      <c r="T290" s="273"/>
      <c r="U290" s="273"/>
      <c r="V290" s="22"/>
      <c r="W290" s="272"/>
      <c r="X290" s="272"/>
      <c r="Y290" s="272"/>
      <c r="Z290" s="274"/>
      <c r="AA290" s="22"/>
      <c r="AB290" s="275"/>
      <c r="AC290" s="40"/>
      <c r="AD290" s="40"/>
    </row>
    <row r="291" spans="1:30" s="1" customFormat="1" x14ac:dyDescent="0.25">
      <c r="A291" s="162">
        <v>43216</v>
      </c>
      <c r="B291" s="63" t="s">
        <v>292</v>
      </c>
      <c r="C291" s="46" t="s">
        <v>63</v>
      </c>
      <c r="D291" s="46">
        <v>500</v>
      </c>
      <c r="E291" s="46">
        <v>8.8699999999999992</v>
      </c>
      <c r="F291" s="16">
        <f t="shared" si="45"/>
        <v>12100</v>
      </c>
      <c r="G291" s="17">
        <f t="shared" si="46"/>
        <v>11.501703719008269</v>
      </c>
      <c r="H291" s="15">
        <f t="shared" si="47"/>
        <v>139170.61500000005</v>
      </c>
      <c r="I291" s="15">
        <f t="shared" si="48"/>
        <v>-31843.615000000063</v>
      </c>
      <c r="J291" s="33">
        <f t="shared" si="49"/>
        <v>-0.22880990358489148</v>
      </c>
      <c r="K291" s="15">
        <f t="shared" si="50"/>
        <v>107326.99999999999</v>
      </c>
      <c r="L291" s="22">
        <f t="shared" si="42"/>
        <v>-2557.0000000000146</v>
      </c>
      <c r="M291" s="22"/>
      <c r="N291" s="22"/>
      <c r="O291" s="22"/>
      <c r="P291" s="272"/>
      <c r="Q291" s="22">
        <f t="shared" si="43"/>
        <v>-4440</v>
      </c>
      <c r="R291" s="34">
        <f t="shared" si="44"/>
        <v>5</v>
      </c>
      <c r="S291" s="273"/>
      <c r="T291" s="273"/>
      <c r="U291" s="273"/>
      <c r="V291" s="22"/>
      <c r="W291" s="272"/>
      <c r="X291" s="272"/>
      <c r="Y291" s="272"/>
      <c r="Z291" s="274"/>
      <c r="AA291" s="22"/>
      <c r="AB291" s="275"/>
      <c r="AC291" s="40"/>
      <c r="AD291" s="40"/>
    </row>
    <row r="292" spans="1:30" s="1" customFormat="1" x14ac:dyDescent="0.25">
      <c r="A292" s="162">
        <v>43217</v>
      </c>
      <c r="B292" s="63"/>
      <c r="C292" s="46" t="s">
        <v>69</v>
      </c>
      <c r="D292" s="46">
        <v>400</v>
      </c>
      <c r="E292" s="46">
        <v>9.14</v>
      </c>
      <c r="F292" s="16">
        <f t="shared" si="45"/>
        <v>11700</v>
      </c>
      <c r="G292" s="17">
        <f t="shared" si="46"/>
        <v>11.583185555555559</v>
      </c>
      <c r="H292" s="15">
        <f t="shared" si="47"/>
        <v>135523.27100000004</v>
      </c>
      <c r="I292" s="15">
        <f t="shared" si="48"/>
        <v>-28585.271000000037</v>
      </c>
      <c r="J292" s="33">
        <f t="shared" si="49"/>
        <v>-0.21092518494480572</v>
      </c>
      <c r="K292" s="15">
        <f t="shared" si="50"/>
        <v>106938</v>
      </c>
      <c r="L292" s="22">
        <f t="shared" si="42"/>
        <v>3258.3440000000264</v>
      </c>
      <c r="M292" s="22"/>
      <c r="N292" s="22"/>
      <c r="O292" s="22"/>
      <c r="P292" s="272"/>
      <c r="Q292" s="22">
        <f t="shared" si="43"/>
        <v>3647.3440000000119</v>
      </c>
      <c r="R292" s="34">
        <f t="shared" si="44"/>
        <v>8.6560000000000006</v>
      </c>
      <c r="S292" s="273"/>
      <c r="T292" s="273"/>
      <c r="U292" s="273"/>
      <c r="V292" s="22"/>
      <c r="W292" s="272"/>
      <c r="X292" s="272"/>
      <c r="Y292" s="272"/>
      <c r="Z292" s="274"/>
      <c r="AA292" s="22"/>
      <c r="AB292" s="275"/>
      <c r="AC292" s="40"/>
      <c r="AD292" s="40"/>
    </row>
    <row r="293" spans="1:30" s="1" customFormat="1" x14ac:dyDescent="0.25">
      <c r="A293" s="162">
        <v>43227</v>
      </c>
      <c r="B293" s="63"/>
      <c r="C293" s="46" t="s">
        <v>69</v>
      </c>
      <c r="D293" s="46">
        <v>400</v>
      </c>
      <c r="E293" s="46">
        <v>9.42</v>
      </c>
      <c r="F293" s="16">
        <f t="shared" si="45"/>
        <v>11300</v>
      </c>
      <c r="G293" s="17">
        <f t="shared" si="46"/>
        <v>11.660534424778765</v>
      </c>
      <c r="H293" s="15">
        <f t="shared" si="47"/>
        <v>131764.03900000005</v>
      </c>
      <c r="I293" s="15">
        <f t="shared" si="48"/>
        <v>-25318.039000000048</v>
      </c>
      <c r="J293" s="33">
        <f t="shared" si="49"/>
        <v>-0.19214680418228558</v>
      </c>
      <c r="K293" s="15">
        <f t="shared" si="50"/>
        <v>106446</v>
      </c>
      <c r="L293" s="22">
        <f t="shared" si="42"/>
        <v>3267.2319999999891</v>
      </c>
      <c r="M293" s="22"/>
      <c r="N293" s="22"/>
      <c r="O293" s="22"/>
      <c r="P293" s="272"/>
      <c r="Q293" s="22">
        <f t="shared" si="43"/>
        <v>3759.2319999999891</v>
      </c>
      <c r="R293" s="34">
        <f t="shared" si="44"/>
        <v>8.7680000000000007</v>
      </c>
      <c r="S293" s="273"/>
      <c r="T293" s="273"/>
      <c r="U293" s="273"/>
      <c r="V293" s="22"/>
      <c r="W293" s="272"/>
      <c r="X293" s="272"/>
      <c r="Y293" s="272"/>
      <c r="Z293" s="274"/>
      <c r="AA293" s="22"/>
      <c r="AB293" s="275"/>
      <c r="AC293" s="40"/>
      <c r="AD293" s="40"/>
    </row>
    <row r="294" spans="1:30" s="1" customFormat="1" x14ac:dyDescent="0.25">
      <c r="A294" s="162">
        <v>43230</v>
      </c>
      <c r="B294" s="63" t="s">
        <v>287</v>
      </c>
      <c r="C294" s="46" t="s">
        <v>69</v>
      </c>
      <c r="D294" s="46">
        <v>400</v>
      </c>
      <c r="E294" s="46">
        <v>9.64</v>
      </c>
      <c r="F294" s="16">
        <f t="shared" si="45"/>
        <v>10900</v>
      </c>
      <c r="G294" s="17">
        <f t="shared" si="46"/>
        <v>11.735494954128445</v>
      </c>
      <c r="H294" s="15">
        <f t="shared" si="47"/>
        <v>127916.89500000005</v>
      </c>
      <c r="I294" s="15">
        <f t="shared" si="48"/>
        <v>-22840.895000000048</v>
      </c>
      <c r="J294" s="33">
        <f t="shared" si="49"/>
        <v>-0.17856042393774516</v>
      </c>
      <c r="K294" s="15">
        <f t="shared" si="50"/>
        <v>105076</v>
      </c>
      <c r="L294" s="22">
        <f t="shared" si="42"/>
        <v>2477.1440000000002</v>
      </c>
      <c r="M294" s="22"/>
      <c r="N294" s="22"/>
      <c r="O294" s="22"/>
      <c r="P294" s="272"/>
      <c r="Q294" s="22">
        <f t="shared" si="43"/>
        <v>3847.1440000000002</v>
      </c>
      <c r="R294" s="34">
        <f t="shared" si="44"/>
        <v>8.8559999999999999</v>
      </c>
      <c r="S294" s="273"/>
      <c r="T294" s="273"/>
      <c r="U294" s="273"/>
      <c r="V294" s="22"/>
      <c r="W294" s="272"/>
      <c r="X294" s="272"/>
      <c r="Y294" s="272"/>
      <c r="Z294" s="274"/>
      <c r="AA294" s="22"/>
      <c r="AB294" s="275"/>
      <c r="AC294" s="40"/>
      <c r="AD294" s="40"/>
    </row>
    <row r="295" spans="1:30" s="1" customFormat="1" x14ac:dyDescent="0.25">
      <c r="A295" s="162">
        <v>43236</v>
      </c>
      <c r="B295" s="63" t="s">
        <v>298</v>
      </c>
      <c r="C295" s="46" t="s">
        <v>63</v>
      </c>
      <c r="D295" s="46">
        <v>500</v>
      </c>
      <c r="E295" s="46">
        <v>9.3699999999999992</v>
      </c>
      <c r="F295" s="16">
        <f t="shared" si="45"/>
        <v>11400</v>
      </c>
      <c r="G295" s="17">
        <f t="shared" si="46"/>
        <v>11.632183771929828</v>
      </c>
      <c r="H295" s="15">
        <f t="shared" si="47"/>
        <v>132606.89500000005</v>
      </c>
      <c r="I295" s="15">
        <f t="shared" si="48"/>
        <v>-25788.895000000062</v>
      </c>
      <c r="J295" s="33">
        <f t="shared" si="49"/>
        <v>-0.19447627515899563</v>
      </c>
      <c r="K295" s="15">
        <f t="shared" si="50"/>
        <v>106817.99999999999</v>
      </c>
      <c r="L295" s="22">
        <f t="shared" si="42"/>
        <v>-2948.0000000000146</v>
      </c>
      <c r="M295" s="22"/>
      <c r="N295" s="22"/>
      <c r="O295" s="22"/>
      <c r="P295" s="272"/>
      <c r="Q295" s="22">
        <f t="shared" si="43"/>
        <v>-4690</v>
      </c>
      <c r="R295" s="34">
        <f t="shared" si="44"/>
        <v>5</v>
      </c>
      <c r="S295" s="273"/>
      <c r="T295" s="273"/>
      <c r="U295" s="273"/>
      <c r="V295" s="22"/>
      <c r="W295" s="272"/>
      <c r="X295" s="272"/>
      <c r="Y295" s="272"/>
      <c r="Z295" s="274"/>
      <c r="AA295" s="22"/>
      <c r="AB295" s="275"/>
      <c r="AC295" s="40"/>
      <c r="AD295" s="40"/>
    </row>
    <row r="296" spans="1:30" s="1" customFormat="1" x14ac:dyDescent="0.25">
      <c r="A296" s="162">
        <v>43238</v>
      </c>
      <c r="B296" s="63"/>
      <c r="C296" s="46" t="s">
        <v>69</v>
      </c>
      <c r="D296" s="46">
        <v>400</v>
      </c>
      <c r="E296" s="46">
        <v>9.7200000000000006</v>
      </c>
      <c r="F296" s="16">
        <f t="shared" si="45"/>
        <v>11000</v>
      </c>
      <c r="G296" s="17">
        <f t="shared" si="46"/>
        <v>11.702525727272732</v>
      </c>
      <c r="H296" s="15">
        <f t="shared" si="47"/>
        <v>128727.78300000005</v>
      </c>
      <c r="I296" s="15">
        <f t="shared" si="48"/>
        <v>-21807.783000000054</v>
      </c>
      <c r="J296" s="33">
        <f t="shared" si="49"/>
        <v>-0.16941007210541364</v>
      </c>
      <c r="K296" s="15">
        <f t="shared" si="50"/>
        <v>106920</v>
      </c>
      <c r="L296" s="22">
        <f t="shared" si="42"/>
        <v>3981.1120000000083</v>
      </c>
      <c r="M296" s="22"/>
      <c r="N296" s="22"/>
      <c r="O296" s="22"/>
      <c r="P296" s="272"/>
      <c r="Q296" s="22">
        <f t="shared" si="43"/>
        <v>3879.1119999999937</v>
      </c>
      <c r="R296" s="34">
        <f t="shared" si="44"/>
        <v>8.8879999999999999</v>
      </c>
      <c r="S296" s="273"/>
      <c r="T296" s="273"/>
      <c r="U296" s="273"/>
      <c r="V296" s="22"/>
      <c r="W296" s="272"/>
      <c r="X296" s="272"/>
      <c r="Y296" s="272"/>
      <c r="Z296" s="274"/>
      <c r="AA296" s="22"/>
      <c r="AB296" s="275"/>
      <c r="AC296" s="40"/>
      <c r="AD296" s="40"/>
    </row>
    <row r="297" spans="1:30" s="1" customFormat="1" x14ac:dyDescent="0.25">
      <c r="A297" s="162">
        <v>43241</v>
      </c>
      <c r="B297" s="63" t="s">
        <v>464</v>
      </c>
      <c r="C297" s="46" t="s">
        <v>69</v>
      </c>
      <c r="D297" s="46">
        <v>400</v>
      </c>
      <c r="E297" s="46">
        <v>9.9499999999999993</v>
      </c>
      <c r="F297" s="16">
        <f t="shared" si="45"/>
        <v>10600</v>
      </c>
      <c r="G297" s="17">
        <f t="shared" si="46"/>
        <v>11.769505943396231</v>
      </c>
      <c r="H297" s="15">
        <f t="shared" si="47"/>
        <v>124756.76300000005</v>
      </c>
      <c r="I297" s="15">
        <f t="shared" si="48"/>
        <v>-19286.763000000064</v>
      </c>
      <c r="J297" s="33">
        <f t="shared" si="49"/>
        <v>-0.1545949296552368</v>
      </c>
      <c r="K297" s="15">
        <f t="shared" si="50"/>
        <v>105469.99999999999</v>
      </c>
      <c r="L297" s="22">
        <f t="shared" si="42"/>
        <v>2521.0199999999895</v>
      </c>
      <c r="M297" s="22"/>
      <c r="N297" s="22"/>
      <c r="O297" s="22"/>
      <c r="P297" s="272"/>
      <c r="Q297" s="22">
        <f t="shared" si="43"/>
        <v>3971.0200000000041</v>
      </c>
      <c r="R297" s="34">
        <f t="shared" si="44"/>
        <v>8.98</v>
      </c>
      <c r="S297" s="273"/>
      <c r="T297" s="273"/>
      <c r="U297" s="273"/>
      <c r="V297" s="22"/>
      <c r="W297" s="272"/>
      <c r="X297" s="272"/>
      <c r="Y297" s="272"/>
      <c r="Z297" s="274"/>
      <c r="AA297" s="22"/>
      <c r="AB297" s="275"/>
      <c r="AC297" s="40"/>
      <c r="AD297" s="40"/>
    </row>
    <row r="298" spans="1:30" s="1" customFormat="1" x14ac:dyDescent="0.25">
      <c r="A298" s="162">
        <v>43250</v>
      </c>
      <c r="B298" s="63" t="s">
        <v>465</v>
      </c>
      <c r="C298" s="46" t="s">
        <v>63</v>
      </c>
      <c r="D298" s="46">
        <v>500</v>
      </c>
      <c r="E298" s="46">
        <v>9.27</v>
      </c>
      <c r="F298" s="16">
        <f t="shared" si="45"/>
        <v>11100</v>
      </c>
      <c r="G298" s="17">
        <f t="shared" si="46"/>
        <v>11.657366036036041</v>
      </c>
      <c r="H298" s="15">
        <f t="shared" si="47"/>
        <v>129396.76300000005</v>
      </c>
      <c r="I298" s="15">
        <f t="shared" si="48"/>
        <v>-26499.76300000005</v>
      </c>
      <c r="J298" s="33">
        <f t="shared" si="49"/>
        <v>-0.20479463616875834</v>
      </c>
      <c r="K298" s="15">
        <f t="shared" si="50"/>
        <v>102897</v>
      </c>
      <c r="L298" s="22">
        <f t="shared" si="42"/>
        <v>-7212.9999999999854</v>
      </c>
      <c r="M298" s="22"/>
      <c r="N298" s="22"/>
      <c r="O298" s="22"/>
      <c r="P298" s="272"/>
      <c r="Q298" s="22">
        <f t="shared" si="43"/>
        <v>-4640</v>
      </c>
      <c r="R298" s="34">
        <f t="shared" si="44"/>
        <v>5</v>
      </c>
      <c r="S298" s="273"/>
      <c r="T298" s="273"/>
      <c r="U298" s="273"/>
      <c r="V298" s="22"/>
      <c r="W298" s="272"/>
      <c r="X298" s="272"/>
      <c r="Y298" s="272"/>
      <c r="Z298" s="274"/>
      <c r="AA298" s="22"/>
      <c r="AB298" s="275"/>
      <c r="AC298" s="40"/>
      <c r="AD298" s="40"/>
    </row>
    <row r="299" spans="1:30" s="1" customFormat="1" x14ac:dyDescent="0.25">
      <c r="A299" s="162">
        <v>43251</v>
      </c>
      <c r="B299" s="63" t="s">
        <v>295</v>
      </c>
      <c r="C299" s="46" t="s">
        <v>63</v>
      </c>
      <c r="D299" s="46">
        <v>500</v>
      </c>
      <c r="E299" s="46">
        <v>8.92</v>
      </c>
      <c r="F299" s="16">
        <f t="shared" si="45"/>
        <v>11600</v>
      </c>
      <c r="G299" s="17">
        <f t="shared" si="46"/>
        <v>11.539807155172417</v>
      </c>
      <c r="H299" s="15">
        <f t="shared" si="47"/>
        <v>133861.76300000004</v>
      </c>
      <c r="I299" s="15">
        <f t="shared" si="48"/>
        <v>-30389.763000000035</v>
      </c>
      <c r="J299" s="33">
        <f t="shared" si="49"/>
        <v>-0.22702347794418357</v>
      </c>
      <c r="K299" s="15">
        <f t="shared" si="50"/>
        <v>103472</v>
      </c>
      <c r="L299" s="22">
        <f t="shared" si="42"/>
        <v>-3889.9999999999854</v>
      </c>
      <c r="M299" s="22"/>
      <c r="N299" s="22"/>
      <c r="O299" s="22"/>
      <c r="P299" s="272"/>
      <c r="Q299" s="22">
        <f t="shared" si="43"/>
        <v>-4464.9999999999854</v>
      </c>
      <c r="R299" s="34">
        <f t="shared" si="44"/>
        <v>5</v>
      </c>
      <c r="S299" s="273"/>
      <c r="T299" s="273"/>
      <c r="U299" s="273"/>
      <c r="V299" s="22"/>
      <c r="W299" s="272"/>
      <c r="X299" s="272"/>
      <c r="Y299" s="272"/>
      <c r="Z299" s="274"/>
      <c r="AA299" s="22"/>
      <c r="AB299" s="275"/>
      <c r="AC299" s="40"/>
      <c r="AD299" s="40"/>
    </row>
    <row r="300" spans="1:30" s="1" customFormat="1" x14ac:dyDescent="0.25">
      <c r="A300" s="162">
        <v>43251</v>
      </c>
      <c r="B300" s="63" t="s">
        <v>588</v>
      </c>
      <c r="C300" s="46" t="s">
        <v>63</v>
      </c>
      <c r="D300" s="46">
        <v>500</v>
      </c>
      <c r="E300" s="46">
        <v>8.8000000000000007</v>
      </c>
      <c r="F300" s="16">
        <f t="shared" si="45"/>
        <v>12100</v>
      </c>
      <c r="G300" s="17">
        <f t="shared" si="46"/>
        <v>11.427005206611573</v>
      </c>
      <c r="H300" s="15">
        <f t="shared" si="47"/>
        <v>138266.76300000004</v>
      </c>
      <c r="I300" s="15">
        <f t="shared" si="48"/>
        <v>-31786.763000000021</v>
      </c>
      <c r="J300" s="33">
        <f t="shared" si="49"/>
        <v>-0.229894461331969</v>
      </c>
      <c r="K300" s="15">
        <f t="shared" si="50"/>
        <v>106480.00000000001</v>
      </c>
      <c r="L300" s="22">
        <f t="shared" si="42"/>
        <v>-1396.9999999999854</v>
      </c>
      <c r="M300" s="22"/>
      <c r="N300" s="22"/>
      <c r="O300" s="22"/>
      <c r="P300" s="272"/>
      <c r="Q300" s="22">
        <f t="shared" si="43"/>
        <v>-4405</v>
      </c>
      <c r="R300" s="34">
        <f t="shared" si="44"/>
        <v>5</v>
      </c>
      <c r="S300" s="273"/>
      <c r="T300" s="273"/>
      <c r="U300" s="273"/>
      <c r="V300" s="22"/>
      <c r="W300" s="272"/>
      <c r="X300" s="272"/>
      <c r="Y300" s="272"/>
      <c r="Z300" s="274"/>
      <c r="AA300" s="22"/>
      <c r="AB300" s="275"/>
      <c r="AC300" s="40"/>
      <c r="AD300" s="40"/>
    </row>
    <row r="301" spans="1:30" s="1" customFormat="1" x14ac:dyDescent="0.25">
      <c r="A301" s="162">
        <v>43259</v>
      </c>
      <c r="B301" s="63" t="s">
        <v>589</v>
      </c>
      <c r="C301" s="46" t="s">
        <v>63</v>
      </c>
      <c r="D301" s="46">
        <v>500</v>
      </c>
      <c r="E301" s="46">
        <v>8.56</v>
      </c>
      <c r="F301" s="16">
        <f t="shared" si="45"/>
        <v>12600</v>
      </c>
      <c r="G301" s="17">
        <f t="shared" si="46"/>
        <v>11.313631984126987</v>
      </c>
      <c r="H301" s="15">
        <f t="shared" si="47"/>
        <v>142551.76300000004</v>
      </c>
      <c r="I301" s="15">
        <f t="shared" si="48"/>
        <v>-34695.763000000035</v>
      </c>
      <c r="J301" s="33">
        <f t="shared" si="49"/>
        <v>-0.24339062716467436</v>
      </c>
      <c r="K301" s="15">
        <f t="shared" si="50"/>
        <v>107856</v>
      </c>
      <c r="L301" s="22">
        <f t="shared" si="42"/>
        <v>-2909.0000000000146</v>
      </c>
      <c r="M301" s="22"/>
      <c r="N301" s="22"/>
      <c r="O301" s="22"/>
      <c r="P301" s="272"/>
      <c r="Q301" s="22">
        <f t="shared" si="43"/>
        <v>-4285</v>
      </c>
      <c r="R301" s="34">
        <f t="shared" si="44"/>
        <v>5</v>
      </c>
      <c r="S301" s="273"/>
      <c r="T301" s="273"/>
      <c r="U301" s="273"/>
      <c r="V301" s="22"/>
      <c r="W301" s="272"/>
      <c r="X301" s="272"/>
      <c r="Y301" s="272"/>
      <c r="Z301" s="274"/>
      <c r="AA301" s="22"/>
      <c r="AB301" s="275"/>
      <c r="AC301" s="40"/>
      <c r="AD301" s="40"/>
    </row>
    <row r="302" spans="1:30" s="1" customFormat="1" x14ac:dyDescent="0.25">
      <c r="A302" s="162">
        <v>43270</v>
      </c>
      <c r="B302" s="63" t="s">
        <v>466</v>
      </c>
      <c r="C302" s="46" t="s">
        <v>63</v>
      </c>
      <c r="D302" s="46">
        <v>500</v>
      </c>
      <c r="E302" s="46">
        <v>7.85</v>
      </c>
      <c r="F302" s="16">
        <f t="shared" si="45"/>
        <v>13100</v>
      </c>
      <c r="G302" s="17">
        <f t="shared" si="46"/>
        <v>11.181813969465651</v>
      </c>
      <c r="H302" s="15">
        <f t="shared" si="47"/>
        <v>146481.76300000004</v>
      </c>
      <c r="I302" s="15">
        <f t="shared" si="48"/>
        <v>-43646.763000000035</v>
      </c>
      <c r="J302" s="33">
        <f t="shared" si="49"/>
        <v>-0.29796721520889957</v>
      </c>
      <c r="K302" s="15">
        <f t="shared" si="50"/>
        <v>102835</v>
      </c>
      <c r="L302" s="22">
        <f t="shared" si="42"/>
        <v>-8951</v>
      </c>
      <c r="M302" s="22"/>
      <c r="N302" s="22"/>
      <c r="O302" s="22"/>
      <c r="P302" s="272"/>
      <c r="Q302" s="22">
        <f t="shared" si="43"/>
        <v>-3930</v>
      </c>
      <c r="R302" s="34">
        <f t="shared" si="44"/>
        <v>5</v>
      </c>
      <c r="S302" s="273"/>
      <c r="T302" s="273"/>
      <c r="U302" s="273"/>
      <c r="V302" s="22"/>
      <c r="W302" s="272"/>
      <c r="X302" s="272"/>
      <c r="Y302" s="272"/>
      <c r="Z302" s="274"/>
      <c r="AA302" s="22"/>
      <c r="AB302" s="275"/>
      <c r="AC302" s="40"/>
      <c r="AD302" s="40"/>
    </row>
    <row r="303" spans="1:30" s="1" customFormat="1" x14ac:dyDescent="0.25">
      <c r="A303" s="162">
        <v>43270</v>
      </c>
      <c r="B303" s="63"/>
      <c r="C303" s="46" t="s">
        <v>63</v>
      </c>
      <c r="D303" s="46">
        <v>500</v>
      </c>
      <c r="E303" s="46">
        <v>7.57</v>
      </c>
      <c r="F303" s="16">
        <f t="shared" si="45"/>
        <v>13600</v>
      </c>
      <c r="G303" s="17">
        <f t="shared" si="46"/>
        <v>11.049394338235297</v>
      </c>
      <c r="H303" s="15">
        <f t="shared" si="47"/>
        <v>150271.76300000004</v>
      </c>
      <c r="I303" s="15">
        <f t="shared" si="48"/>
        <v>-47319.763000000035</v>
      </c>
      <c r="J303" s="33">
        <f t="shared" si="49"/>
        <v>-0.31489457537009147</v>
      </c>
      <c r="K303" s="15">
        <f t="shared" si="50"/>
        <v>102952</v>
      </c>
      <c r="L303" s="22">
        <f t="shared" si="42"/>
        <v>-3673</v>
      </c>
      <c r="M303" s="22"/>
      <c r="N303" s="22"/>
      <c r="O303" s="22"/>
      <c r="P303" s="272"/>
      <c r="Q303" s="22">
        <f t="shared" si="43"/>
        <v>-3790</v>
      </c>
      <c r="R303" s="34">
        <f t="shared" si="44"/>
        <v>5</v>
      </c>
      <c r="S303" s="273"/>
      <c r="T303" s="273"/>
      <c r="U303" s="273"/>
      <c r="V303" s="22"/>
      <c r="W303" s="272"/>
      <c r="X303" s="272"/>
      <c r="Y303" s="272"/>
      <c r="Z303" s="274"/>
      <c r="AA303" s="22"/>
      <c r="AB303" s="275"/>
      <c r="AC303" s="40"/>
      <c r="AD303" s="40"/>
    </row>
    <row r="304" spans="1:30" s="1" customFormat="1" x14ac:dyDescent="0.25">
      <c r="A304" s="162">
        <v>43270</v>
      </c>
      <c r="B304" s="63"/>
      <c r="C304" s="46" t="s">
        <v>63</v>
      </c>
      <c r="D304" s="46">
        <v>500</v>
      </c>
      <c r="E304" s="46">
        <v>7.36</v>
      </c>
      <c r="F304" s="16">
        <f t="shared" si="45"/>
        <v>14100</v>
      </c>
      <c r="G304" s="17">
        <f t="shared" si="46"/>
        <v>10.91891936170213</v>
      </c>
      <c r="H304" s="15">
        <f t="shared" si="47"/>
        <v>153956.76300000004</v>
      </c>
      <c r="I304" s="15">
        <f t="shared" si="48"/>
        <v>-50180.763000000035</v>
      </c>
      <c r="J304" s="33">
        <f t="shared" si="49"/>
        <v>-0.32594062139381313</v>
      </c>
      <c r="K304" s="15">
        <f t="shared" si="50"/>
        <v>103776</v>
      </c>
      <c r="L304" s="22">
        <f t="shared" si="42"/>
        <v>-2861</v>
      </c>
      <c r="M304" s="22"/>
      <c r="N304" s="22"/>
      <c r="O304" s="22"/>
      <c r="P304" s="272"/>
      <c r="Q304" s="22">
        <f t="shared" si="43"/>
        <v>-3685</v>
      </c>
      <c r="R304" s="34">
        <f t="shared" si="44"/>
        <v>5</v>
      </c>
      <c r="S304" s="273"/>
      <c r="T304" s="273"/>
      <c r="U304" s="273"/>
      <c r="V304" s="22"/>
      <c r="W304" s="272"/>
      <c r="X304" s="272"/>
      <c r="Y304" s="272"/>
      <c r="Z304" s="274"/>
      <c r="AA304" s="22"/>
      <c r="AB304" s="275"/>
      <c r="AC304" s="40"/>
      <c r="AD304" s="40"/>
    </row>
    <row r="305" spans="1:30" s="1" customFormat="1" x14ac:dyDescent="0.25">
      <c r="A305" s="162">
        <v>43271</v>
      </c>
      <c r="B305" s="63" t="s">
        <v>307</v>
      </c>
      <c r="C305" s="46" t="s">
        <v>69</v>
      </c>
      <c r="D305" s="46">
        <v>400</v>
      </c>
      <c r="E305" s="46">
        <v>7.58</v>
      </c>
      <c r="F305" s="16">
        <f t="shared" si="45"/>
        <v>13700</v>
      </c>
      <c r="G305" s="17">
        <f t="shared" si="46"/>
        <v>11.016992335766426</v>
      </c>
      <c r="H305" s="15">
        <f t="shared" si="47"/>
        <v>150932.79500000004</v>
      </c>
      <c r="I305" s="15">
        <f t="shared" si="48"/>
        <v>-47086.795000000042</v>
      </c>
      <c r="J305" s="33">
        <f t="shared" si="49"/>
        <v>-0.31197192763839049</v>
      </c>
      <c r="K305" s="15">
        <f t="shared" si="50"/>
        <v>103846</v>
      </c>
      <c r="L305" s="22">
        <f t="shared" si="42"/>
        <v>3093.9679999999935</v>
      </c>
      <c r="M305" s="22"/>
      <c r="N305" s="22"/>
      <c r="O305" s="22"/>
      <c r="P305" s="272"/>
      <c r="Q305" s="22">
        <f t="shared" si="43"/>
        <v>3023.9679999999935</v>
      </c>
      <c r="R305" s="34">
        <f t="shared" si="44"/>
        <v>8.032</v>
      </c>
      <c r="S305" s="273"/>
      <c r="T305" s="273"/>
      <c r="U305" s="273"/>
      <c r="V305" s="22"/>
      <c r="W305" s="272"/>
      <c r="X305" s="272"/>
      <c r="Y305" s="272"/>
      <c r="Z305" s="274"/>
      <c r="AA305" s="22"/>
      <c r="AB305" s="275"/>
      <c r="AC305" s="40"/>
      <c r="AD305" s="40"/>
    </row>
    <row r="306" spans="1:30" s="1" customFormat="1" x14ac:dyDescent="0.25">
      <c r="A306" s="162">
        <v>43272</v>
      </c>
      <c r="B306" s="63"/>
      <c r="C306" s="46" t="s">
        <v>63</v>
      </c>
      <c r="D306" s="46">
        <v>500</v>
      </c>
      <c r="E306" s="46">
        <v>7.34</v>
      </c>
      <c r="F306" s="16">
        <f t="shared" si="45"/>
        <v>14200</v>
      </c>
      <c r="G306" s="17">
        <f t="shared" si="46"/>
        <v>10.887872887323947</v>
      </c>
      <c r="H306" s="15">
        <f t="shared" si="47"/>
        <v>154607.79500000004</v>
      </c>
      <c r="I306" s="15">
        <f t="shared" si="48"/>
        <v>-50379.795000000042</v>
      </c>
      <c r="J306" s="33">
        <f t="shared" si="49"/>
        <v>-0.32585546543756116</v>
      </c>
      <c r="K306" s="15">
        <f t="shared" si="50"/>
        <v>104228</v>
      </c>
      <c r="L306" s="22">
        <f t="shared" si="42"/>
        <v>-3293</v>
      </c>
      <c r="M306" s="22"/>
      <c r="N306" s="22"/>
      <c r="O306" s="22"/>
      <c r="P306" s="272"/>
      <c r="Q306" s="22">
        <f t="shared" si="43"/>
        <v>-3675</v>
      </c>
      <c r="R306" s="34">
        <f t="shared" si="44"/>
        <v>5</v>
      </c>
      <c r="S306" s="273"/>
      <c r="T306" s="273"/>
      <c r="U306" s="273"/>
      <c r="V306" s="22"/>
      <c r="W306" s="272"/>
      <c r="X306" s="272"/>
      <c r="Y306" s="272"/>
      <c r="Z306" s="274"/>
      <c r="AA306" s="22"/>
      <c r="AB306" s="275"/>
      <c r="AC306" s="40"/>
      <c r="AD306" s="40"/>
    </row>
    <row r="307" spans="1:30" s="1" customFormat="1" x14ac:dyDescent="0.25">
      <c r="A307" s="162">
        <v>43284</v>
      </c>
      <c r="B307" s="63" t="s">
        <v>468</v>
      </c>
      <c r="C307" s="46" t="s">
        <v>69</v>
      </c>
      <c r="D307" s="46">
        <v>500</v>
      </c>
      <c r="E307" s="46">
        <v>7.58</v>
      </c>
      <c r="F307" s="16">
        <f t="shared" si="45"/>
        <v>13700</v>
      </c>
      <c r="G307" s="17">
        <f t="shared" si="46"/>
        <v>11.009239781021902</v>
      </c>
      <c r="H307" s="15">
        <f t="shared" si="47"/>
        <v>150826.58500000005</v>
      </c>
      <c r="I307" s="15">
        <f t="shared" si="48"/>
        <v>-46980.58500000005</v>
      </c>
      <c r="J307" s="33">
        <f t="shared" si="49"/>
        <v>-0.3114874277634811</v>
      </c>
      <c r="K307" s="15">
        <f t="shared" si="50"/>
        <v>103846</v>
      </c>
      <c r="L307" s="22">
        <f t="shared" si="42"/>
        <v>3399.2099999999919</v>
      </c>
      <c r="M307" s="22"/>
      <c r="N307" s="22"/>
      <c r="O307" s="22"/>
      <c r="P307" s="272"/>
      <c r="Q307" s="22">
        <f t="shared" si="43"/>
        <v>3781.2099999999919</v>
      </c>
      <c r="R307" s="34">
        <f t="shared" si="44"/>
        <v>8.7899999999999991</v>
      </c>
      <c r="S307" s="273"/>
      <c r="T307" s="273"/>
      <c r="U307" s="273"/>
      <c r="V307" s="22"/>
      <c r="W307" s="272"/>
      <c r="X307" s="272"/>
      <c r="Y307" s="272"/>
      <c r="Z307" s="274"/>
      <c r="AA307" s="22"/>
      <c r="AB307" s="275"/>
      <c r="AC307" s="40"/>
      <c r="AD307" s="40"/>
    </row>
    <row r="308" spans="1:30" s="1" customFormat="1" x14ac:dyDescent="0.25">
      <c r="A308" s="162">
        <v>43306</v>
      </c>
      <c r="B308" s="63" t="s">
        <v>590</v>
      </c>
      <c r="C308" s="46" t="s">
        <v>69</v>
      </c>
      <c r="D308" s="46">
        <v>400</v>
      </c>
      <c r="E308" s="46">
        <v>7.64</v>
      </c>
      <c r="F308" s="16">
        <f t="shared" si="45"/>
        <v>13300</v>
      </c>
      <c r="G308" s="17">
        <f t="shared" si="46"/>
        <v>11.111176015037598</v>
      </c>
      <c r="H308" s="15">
        <f t="shared" si="47"/>
        <v>147778.64100000006</v>
      </c>
      <c r="I308" s="15">
        <f t="shared" si="48"/>
        <v>-46166.641000000061</v>
      </c>
      <c r="J308" s="33">
        <f t="shared" si="49"/>
        <v>-0.31240401649112504</v>
      </c>
      <c r="K308" s="15">
        <f t="shared" si="50"/>
        <v>101612</v>
      </c>
      <c r="L308" s="22">
        <f t="shared" si="42"/>
        <v>813.94399999998859</v>
      </c>
      <c r="M308" s="22"/>
      <c r="N308" s="22"/>
      <c r="O308" s="22"/>
      <c r="P308" s="272"/>
      <c r="Q308" s="22">
        <f t="shared" si="43"/>
        <v>3047.9439999999886</v>
      </c>
      <c r="R308" s="34">
        <f t="shared" si="44"/>
        <v>8.0560000000000009</v>
      </c>
      <c r="S308" s="273"/>
      <c r="T308" s="273"/>
      <c r="U308" s="273"/>
      <c r="V308" s="22"/>
      <c r="W308" s="272"/>
      <c r="X308" s="272"/>
      <c r="Y308" s="272"/>
      <c r="Z308" s="274"/>
      <c r="AA308" s="22"/>
      <c r="AB308" s="275"/>
      <c r="AC308" s="40"/>
      <c r="AD308" s="40"/>
    </row>
    <row r="309" spans="1:30" s="1" customFormat="1" x14ac:dyDescent="0.25">
      <c r="A309" s="162">
        <v>43318</v>
      </c>
      <c r="B309" s="63" t="s">
        <v>470</v>
      </c>
      <c r="C309" s="46" t="s">
        <v>63</v>
      </c>
      <c r="D309" s="46">
        <v>500</v>
      </c>
      <c r="E309" s="46">
        <v>7.25</v>
      </c>
      <c r="F309" s="16">
        <f t="shared" si="45"/>
        <v>13800</v>
      </c>
      <c r="G309" s="17">
        <f t="shared" si="46"/>
        <v>10.971640652173917</v>
      </c>
      <c r="H309" s="15">
        <f t="shared" si="47"/>
        <v>151408.64100000006</v>
      </c>
      <c r="I309" s="15">
        <f t="shared" si="48"/>
        <v>-51358.641000000061</v>
      </c>
      <c r="J309" s="33">
        <f t="shared" si="49"/>
        <v>-0.33920548167392928</v>
      </c>
      <c r="K309" s="15">
        <f t="shared" si="50"/>
        <v>100050</v>
      </c>
      <c r="L309" s="22">
        <f t="shared" si="42"/>
        <v>-5192</v>
      </c>
      <c r="M309" s="22"/>
      <c r="N309" s="22"/>
      <c r="O309" s="22"/>
      <c r="P309" s="272"/>
      <c r="Q309" s="22">
        <f t="shared" si="43"/>
        <v>-3630</v>
      </c>
      <c r="R309" s="34">
        <f t="shared" si="44"/>
        <v>5</v>
      </c>
      <c r="S309" s="273"/>
      <c r="T309" s="273"/>
      <c r="U309" s="273"/>
      <c r="V309" s="22"/>
      <c r="W309" s="272"/>
      <c r="X309" s="272"/>
      <c r="Y309" s="272"/>
      <c r="Z309" s="274"/>
      <c r="AA309" s="22"/>
      <c r="AB309" s="275"/>
      <c r="AC309" s="40"/>
      <c r="AD309" s="40"/>
    </row>
    <row r="310" spans="1:30" s="1" customFormat="1" x14ac:dyDescent="0.25">
      <c r="A310" s="162">
        <v>43320</v>
      </c>
      <c r="B310" s="63"/>
      <c r="C310" s="46" t="s">
        <v>69</v>
      </c>
      <c r="D310" s="46">
        <v>400</v>
      </c>
      <c r="E310" s="46">
        <v>7.6</v>
      </c>
      <c r="F310" s="16">
        <f t="shared" si="45"/>
        <v>13400</v>
      </c>
      <c r="G310" s="17">
        <f t="shared" si="46"/>
        <v>11.072886641791049</v>
      </c>
      <c r="H310" s="15">
        <f t="shared" si="47"/>
        <v>148376.68100000007</v>
      </c>
      <c r="I310" s="15">
        <f t="shared" si="48"/>
        <v>-46536.68100000007</v>
      </c>
      <c r="J310" s="33">
        <f t="shared" si="49"/>
        <v>-0.3136387785894742</v>
      </c>
      <c r="K310" s="15">
        <f t="shared" si="50"/>
        <v>101840</v>
      </c>
      <c r="L310" s="22">
        <f t="shared" si="42"/>
        <v>4821.9599999999919</v>
      </c>
      <c r="M310" s="22"/>
      <c r="N310" s="22"/>
      <c r="O310" s="22"/>
      <c r="P310" s="272"/>
      <c r="Q310" s="22">
        <f t="shared" si="43"/>
        <v>3031.9599999999919</v>
      </c>
      <c r="R310" s="34">
        <f t="shared" si="44"/>
        <v>8.0399999999999991</v>
      </c>
      <c r="S310" s="273"/>
      <c r="T310" s="273"/>
      <c r="U310" s="273"/>
      <c r="V310" s="22"/>
      <c r="W310" s="272"/>
      <c r="X310" s="272"/>
      <c r="Y310" s="272"/>
      <c r="Z310" s="274"/>
      <c r="AA310" s="22"/>
      <c r="AB310" s="275"/>
      <c r="AC310" s="40"/>
      <c r="AD310" s="40"/>
    </row>
    <row r="311" spans="1:30" s="1" customFormat="1" x14ac:dyDescent="0.25">
      <c r="A311" s="162">
        <v>43341</v>
      </c>
      <c r="B311" s="63" t="s">
        <v>312</v>
      </c>
      <c r="C311" s="46" t="s">
        <v>63</v>
      </c>
      <c r="D311" s="46">
        <v>500</v>
      </c>
      <c r="E311" s="46">
        <v>7.26</v>
      </c>
      <c r="F311" s="16">
        <f t="shared" si="45"/>
        <v>13900</v>
      </c>
      <c r="G311" s="17">
        <f t="shared" si="46"/>
        <v>10.936092158273386</v>
      </c>
      <c r="H311" s="15">
        <f t="shared" si="47"/>
        <v>152011.68100000007</v>
      </c>
      <c r="I311" s="15">
        <f t="shared" si="48"/>
        <v>-51097.68100000007</v>
      </c>
      <c r="J311" s="33">
        <f t="shared" si="49"/>
        <v>-0.33614312179075267</v>
      </c>
      <c r="K311" s="15">
        <f t="shared" si="50"/>
        <v>100914</v>
      </c>
      <c r="L311" s="22">
        <f t="shared" si="42"/>
        <v>-4561</v>
      </c>
      <c r="M311" s="22"/>
      <c r="N311" s="22"/>
      <c r="O311" s="22"/>
      <c r="P311" s="272"/>
      <c r="Q311" s="22">
        <f t="shared" si="43"/>
        <v>-3635</v>
      </c>
      <c r="R311" s="34">
        <f t="shared" si="44"/>
        <v>5</v>
      </c>
      <c r="S311" s="273"/>
      <c r="T311" s="273"/>
      <c r="U311" s="273"/>
      <c r="V311" s="22"/>
      <c r="W311" s="272"/>
      <c r="X311" s="272"/>
      <c r="Y311" s="272"/>
      <c r="Z311" s="274"/>
      <c r="AA311" s="22"/>
      <c r="AB311" s="275"/>
      <c r="AC311" s="40"/>
      <c r="AD311" s="40"/>
    </row>
    <row r="312" spans="1:30" s="1" customFormat="1" x14ac:dyDescent="0.25">
      <c r="A312" s="162">
        <v>43362</v>
      </c>
      <c r="B312" s="63"/>
      <c r="C312" s="46" t="s">
        <v>63</v>
      </c>
      <c r="D312" s="46">
        <v>500</v>
      </c>
      <c r="E312" s="46">
        <v>6.85</v>
      </c>
      <c r="F312" s="16">
        <f t="shared" si="45"/>
        <v>14400</v>
      </c>
      <c r="G312" s="17">
        <f t="shared" si="46"/>
        <v>10.79456118055556</v>
      </c>
      <c r="H312" s="15">
        <f t="shared" si="47"/>
        <v>155441.68100000007</v>
      </c>
      <c r="I312" s="15">
        <f t="shared" si="48"/>
        <v>-56801.68100000007</v>
      </c>
      <c r="J312" s="33">
        <f t="shared" si="49"/>
        <v>-0.36542117040023547</v>
      </c>
      <c r="K312" s="15">
        <f t="shared" si="50"/>
        <v>98640</v>
      </c>
      <c r="L312" s="22">
        <f t="shared" si="42"/>
        <v>-5704</v>
      </c>
      <c r="M312" s="22"/>
      <c r="N312" s="22"/>
      <c r="O312" s="22"/>
      <c r="P312" s="272"/>
      <c r="Q312" s="22">
        <f t="shared" si="43"/>
        <v>-3430</v>
      </c>
      <c r="R312" s="34">
        <f t="shared" si="44"/>
        <v>5</v>
      </c>
      <c r="S312" s="273"/>
      <c r="T312" s="273"/>
      <c r="U312" s="273"/>
      <c r="V312" s="22"/>
      <c r="W312" s="272"/>
      <c r="X312" s="272"/>
      <c r="Y312" s="272"/>
      <c r="Z312" s="274"/>
      <c r="AA312" s="22"/>
      <c r="AB312" s="275"/>
      <c r="AC312" s="40"/>
      <c r="AD312" s="40"/>
    </row>
    <row r="313" spans="1:30" s="1" customFormat="1" x14ac:dyDescent="0.25">
      <c r="A313" s="162">
        <v>43411</v>
      </c>
      <c r="B313" s="63"/>
      <c r="C313" s="46" t="s">
        <v>63</v>
      </c>
      <c r="D313" s="46">
        <v>500</v>
      </c>
      <c r="E313" s="46">
        <v>6.1</v>
      </c>
      <c r="F313" s="16">
        <f t="shared" si="45"/>
        <v>14900</v>
      </c>
      <c r="G313" s="17">
        <f t="shared" si="46"/>
        <v>10.637361140939602</v>
      </c>
      <c r="H313" s="15">
        <f t="shared" si="47"/>
        <v>158496.68100000007</v>
      </c>
      <c r="I313" s="15">
        <f t="shared" si="48"/>
        <v>-67606.68100000007</v>
      </c>
      <c r="J313" s="33">
        <f t="shared" si="49"/>
        <v>-0.4265495061060619</v>
      </c>
      <c r="K313" s="15">
        <f t="shared" si="50"/>
        <v>90890</v>
      </c>
      <c r="L313" s="22">
        <f t="shared" si="42"/>
        <v>-10805</v>
      </c>
      <c r="M313" s="22"/>
      <c r="N313" s="22"/>
      <c r="O313" s="22"/>
      <c r="P313" s="272"/>
      <c r="Q313" s="22">
        <f t="shared" si="43"/>
        <v>-3055</v>
      </c>
      <c r="R313" s="34">
        <f t="shared" si="44"/>
        <v>5</v>
      </c>
      <c r="S313" s="273"/>
      <c r="T313" s="273"/>
      <c r="U313" s="273"/>
      <c r="V313" s="22"/>
      <c r="W313" s="272"/>
      <c r="X313" s="272"/>
      <c r="Y313" s="272"/>
      <c r="Z313" s="274"/>
      <c r="AA313" s="22"/>
      <c r="AB313" s="275"/>
      <c r="AC313" s="40"/>
      <c r="AD313" s="40"/>
    </row>
    <row r="314" spans="1:30" s="1" customFormat="1" x14ac:dyDescent="0.25">
      <c r="A314" s="162">
        <v>43417</v>
      </c>
      <c r="B314" s="63" t="s">
        <v>327</v>
      </c>
      <c r="C314" s="46" t="s">
        <v>69</v>
      </c>
      <c r="D314" s="46">
        <v>500</v>
      </c>
      <c r="E314" s="46">
        <v>6.44</v>
      </c>
      <c r="F314" s="16">
        <f t="shared" si="45"/>
        <v>14400</v>
      </c>
      <c r="G314" s="17">
        <f t="shared" si="46"/>
        <v>10.783673680555561</v>
      </c>
      <c r="H314" s="15">
        <f t="shared" si="47"/>
        <v>155284.90100000007</v>
      </c>
      <c r="I314" s="15">
        <f t="shared" si="48"/>
        <v>-62548.901000000071</v>
      </c>
      <c r="J314" s="33">
        <f t="shared" si="49"/>
        <v>-0.40280092009718343</v>
      </c>
      <c r="K314" s="15">
        <f t="shared" si="50"/>
        <v>92736</v>
      </c>
      <c r="L314" s="22">
        <f t="shared" si="42"/>
        <v>5057.7799999999988</v>
      </c>
      <c r="M314" s="22"/>
      <c r="N314" s="22"/>
      <c r="O314" s="22"/>
      <c r="P314" s="272"/>
      <c r="Q314" s="22">
        <f t="shared" si="43"/>
        <v>3211.7799999999988</v>
      </c>
      <c r="R314" s="34">
        <f t="shared" si="44"/>
        <v>8.2200000000000006</v>
      </c>
      <c r="S314" s="273"/>
      <c r="T314" s="273"/>
      <c r="U314" s="273"/>
      <c r="V314" s="22"/>
      <c r="W314" s="272"/>
      <c r="X314" s="272"/>
      <c r="Y314" s="272"/>
      <c r="Z314" s="274"/>
      <c r="AA314" s="22"/>
      <c r="AB314" s="275"/>
      <c r="AC314" s="40"/>
      <c r="AD314" s="40"/>
    </row>
    <row r="315" spans="1:30" s="1" customFormat="1" x14ac:dyDescent="0.25">
      <c r="A315" s="162">
        <v>43427</v>
      </c>
      <c r="B315" s="63"/>
      <c r="C315" s="46" t="s">
        <v>63</v>
      </c>
      <c r="D315" s="46">
        <v>500</v>
      </c>
      <c r="E315" s="46">
        <v>6.32</v>
      </c>
      <c r="F315" s="16">
        <f t="shared" si="45"/>
        <v>14900</v>
      </c>
      <c r="G315" s="17">
        <f t="shared" si="46"/>
        <v>10.634221543624166</v>
      </c>
      <c r="H315" s="15">
        <f t="shared" si="47"/>
        <v>158449.90100000007</v>
      </c>
      <c r="I315" s="15">
        <f t="shared" si="48"/>
        <v>-64281.901000000071</v>
      </c>
      <c r="J315" s="33">
        <f t="shared" si="49"/>
        <v>-0.40569227619776199</v>
      </c>
      <c r="K315" s="15">
        <f t="shared" si="50"/>
        <v>94168</v>
      </c>
      <c r="L315" s="22">
        <f t="shared" si="42"/>
        <v>-1733</v>
      </c>
      <c r="M315" s="22"/>
      <c r="N315" s="22"/>
      <c r="O315" s="22"/>
      <c r="P315" s="272"/>
      <c r="Q315" s="22">
        <f t="shared" si="43"/>
        <v>-3165</v>
      </c>
      <c r="R315" s="34">
        <f t="shared" si="44"/>
        <v>5</v>
      </c>
      <c r="S315" s="273"/>
      <c r="T315" s="273"/>
      <c r="U315" s="273"/>
      <c r="V315" s="22"/>
      <c r="W315" s="272"/>
      <c r="X315" s="272"/>
      <c r="Y315" s="272"/>
      <c r="Z315" s="274"/>
      <c r="AA315" s="22"/>
      <c r="AB315" s="275"/>
      <c r="AC315" s="40"/>
      <c r="AD315" s="40"/>
    </row>
    <row r="316" spans="1:30" s="1" customFormat="1" x14ac:dyDescent="0.25">
      <c r="A316" s="162">
        <v>43508</v>
      </c>
      <c r="B316" s="63" t="s">
        <v>919</v>
      </c>
      <c r="C316" s="46" t="s">
        <v>69</v>
      </c>
      <c r="D316" s="46">
        <v>400</v>
      </c>
      <c r="E316" s="46">
        <v>6.5</v>
      </c>
      <c r="F316" s="16">
        <f t="shared" si="45"/>
        <v>14500</v>
      </c>
      <c r="G316" s="17">
        <f t="shared" si="46"/>
        <v>10.748793172413798</v>
      </c>
      <c r="H316" s="15">
        <f t="shared" si="47"/>
        <v>155857.50100000008</v>
      </c>
      <c r="I316" s="15">
        <f t="shared" si="48"/>
        <v>-61607.501000000077</v>
      </c>
      <c r="J316" s="33">
        <f t="shared" si="49"/>
        <v>-0.3952809496156367</v>
      </c>
      <c r="K316" s="15">
        <f t="shared" si="50"/>
        <v>94250</v>
      </c>
      <c r="L316" s="22">
        <f t="shared" si="42"/>
        <v>2674.3999999999942</v>
      </c>
      <c r="M316" s="22"/>
      <c r="N316" s="22"/>
      <c r="O316" s="22"/>
      <c r="P316" s="272"/>
      <c r="Q316" s="22">
        <f t="shared" si="43"/>
        <v>2592.3999999999942</v>
      </c>
      <c r="R316" s="34">
        <f t="shared" si="44"/>
        <v>7.6</v>
      </c>
      <c r="S316" s="273"/>
      <c r="T316" s="273"/>
      <c r="U316" s="273"/>
      <c r="V316" s="22"/>
      <c r="W316" s="272"/>
      <c r="X316" s="272"/>
      <c r="Y316" s="272"/>
      <c r="Z316" s="274"/>
      <c r="AA316" s="22"/>
      <c r="AB316" s="275"/>
      <c r="AC316" s="40"/>
      <c r="AD316" s="40"/>
    </row>
    <row r="317" spans="1:30" s="1" customFormat="1" x14ac:dyDescent="0.25">
      <c r="A317" s="162">
        <v>43521</v>
      </c>
      <c r="B317" s="63" t="s">
        <v>920</v>
      </c>
      <c r="C317" s="46" t="s">
        <v>69</v>
      </c>
      <c r="D317" s="46">
        <v>400</v>
      </c>
      <c r="E317" s="46">
        <v>7</v>
      </c>
      <c r="F317" s="16">
        <f t="shared" si="45"/>
        <v>14100</v>
      </c>
      <c r="G317" s="17">
        <f t="shared" si="46"/>
        <v>10.855695106382983</v>
      </c>
      <c r="H317" s="15">
        <f t="shared" si="47"/>
        <v>153065.30100000006</v>
      </c>
      <c r="I317" s="15">
        <f t="shared" si="48"/>
        <v>-54365.301000000065</v>
      </c>
      <c r="J317" s="33">
        <f t="shared" si="49"/>
        <v>-0.35517717369529778</v>
      </c>
      <c r="K317" s="15">
        <f t="shared" si="50"/>
        <v>98700</v>
      </c>
      <c r="L317" s="22">
        <f t="shared" si="42"/>
        <v>7242.2000000000116</v>
      </c>
      <c r="M317" s="22"/>
      <c r="N317" s="22"/>
      <c r="O317" s="22"/>
      <c r="P317" s="272"/>
      <c r="Q317" s="22">
        <f t="shared" si="43"/>
        <v>2792.2000000000116</v>
      </c>
      <c r="R317" s="34">
        <f t="shared" si="44"/>
        <v>7.8</v>
      </c>
      <c r="S317" s="273"/>
      <c r="T317" s="273"/>
      <c r="U317" s="273"/>
      <c r="V317" s="22"/>
      <c r="W317" s="272"/>
      <c r="X317" s="272"/>
      <c r="Y317" s="272"/>
      <c r="Z317" s="274"/>
      <c r="AA317" s="22"/>
      <c r="AB317" s="275"/>
      <c r="AC317" s="40"/>
      <c r="AD317" s="40"/>
    </row>
    <row r="318" spans="1:30" s="1" customFormat="1" x14ac:dyDescent="0.25">
      <c r="A318" s="162">
        <v>43522</v>
      </c>
      <c r="B318" s="63"/>
      <c r="C318" s="46" t="s">
        <v>69</v>
      </c>
      <c r="D318" s="46">
        <v>400</v>
      </c>
      <c r="E318" s="46">
        <v>7.34</v>
      </c>
      <c r="F318" s="16">
        <f t="shared" si="45"/>
        <v>13700</v>
      </c>
      <c r="G318" s="17">
        <f t="shared" si="46"/>
        <v>10.958922408759127</v>
      </c>
      <c r="H318" s="15">
        <f t="shared" si="47"/>
        <v>150137.23700000005</v>
      </c>
      <c r="I318" s="15">
        <f t="shared" si="48"/>
        <v>-49579.237000000052</v>
      </c>
      <c r="J318" s="33">
        <f t="shared" si="49"/>
        <v>-0.33022611838793886</v>
      </c>
      <c r="K318" s="15">
        <f t="shared" si="50"/>
        <v>100558</v>
      </c>
      <c r="L318" s="22">
        <f t="shared" si="42"/>
        <v>4786.064000000013</v>
      </c>
      <c r="M318" s="22"/>
      <c r="N318" s="22"/>
      <c r="O318" s="22"/>
      <c r="P318" s="272"/>
      <c r="Q318" s="22">
        <f t="shared" si="43"/>
        <v>2928.064000000013</v>
      </c>
      <c r="R318" s="34">
        <f t="shared" si="44"/>
        <v>7.9359999999999999</v>
      </c>
      <c r="S318" s="273"/>
      <c r="T318" s="273"/>
      <c r="U318" s="273"/>
      <c r="V318" s="22"/>
      <c r="W318" s="272"/>
      <c r="X318" s="272"/>
      <c r="Y318" s="272"/>
      <c r="Z318" s="274"/>
      <c r="AA318" s="22"/>
      <c r="AB318" s="275"/>
      <c r="AC318" s="40"/>
      <c r="AD318" s="40"/>
    </row>
    <row r="319" spans="1:30" s="1" customFormat="1" x14ac:dyDescent="0.25">
      <c r="A319" s="162">
        <v>43529</v>
      </c>
      <c r="B319" s="63"/>
      <c r="C319" s="46" t="s">
        <v>69</v>
      </c>
      <c r="D319" s="46">
        <v>400</v>
      </c>
      <c r="E319" s="46">
        <v>7.54</v>
      </c>
      <c r="F319" s="16">
        <f t="shared" si="45"/>
        <v>13300</v>
      </c>
      <c r="G319" s="17">
        <f t="shared" si="46"/>
        <v>11.062349849624065</v>
      </c>
      <c r="H319" s="15">
        <f t="shared" si="47"/>
        <v>147129.25300000006</v>
      </c>
      <c r="I319" s="15">
        <f t="shared" si="48"/>
        <v>-46847.253000000055</v>
      </c>
      <c r="J319" s="33">
        <f t="shared" si="49"/>
        <v>-0.31840882791677083</v>
      </c>
      <c r="K319" s="15">
        <f t="shared" si="50"/>
        <v>100282</v>
      </c>
      <c r="L319" s="22">
        <f t="shared" si="42"/>
        <v>2731.9839999999967</v>
      </c>
      <c r="M319" s="22"/>
      <c r="N319" s="22"/>
      <c r="O319" s="22"/>
      <c r="P319" s="272"/>
      <c r="Q319" s="22">
        <f t="shared" si="43"/>
        <v>3007.9839999999967</v>
      </c>
      <c r="R319" s="34">
        <f t="shared" si="44"/>
        <v>8.016</v>
      </c>
      <c r="S319" s="273"/>
      <c r="T319" s="273"/>
      <c r="U319" s="273"/>
      <c r="V319" s="22"/>
      <c r="W319" s="272"/>
      <c r="X319" s="272"/>
      <c r="Y319" s="272"/>
      <c r="Z319" s="274"/>
      <c r="AA319" s="22"/>
      <c r="AB319" s="275"/>
      <c r="AC319" s="40"/>
      <c r="AD319" s="40"/>
    </row>
    <row r="320" spans="1:30" s="1" customFormat="1" x14ac:dyDescent="0.25">
      <c r="A320" s="162">
        <v>43531</v>
      </c>
      <c r="B320" s="63"/>
      <c r="C320" s="46" t="s">
        <v>69</v>
      </c>
      <c r="D320" s="46">
        <v>400</v>
      </c>
      <c r="E320" s="46">
        <v>8.18</v>
      </c>
      <c r="F320" s="16">
        <f t="shared" si="45"/>
        <v>12900</v>
      </c>
      <c r="G320" s="17">
        <f t="shared" si="46"/>
        <v>11.152366279069771</v>
      </c>
      <c r="H320" s="15">
        <f t="shared" si="47"/>
        <v>143865.52500000005</v>
      </c>
      <c r="I320" s="15">
        <f t="shared" si="48"/>
        <v>-38343.525000000052</v>
      </c>
      <c r="J320" s="33">
        <f t="shared" si="49"/>
        <v>-0.26652337312917762</v>
      </c>
      <c r="K320" s="15">
        <f t="shared" si="50"/>
        <v>105522</v>
      </c>
      <c r="L320" s="22">
        <f t="shared" si="42"/>
        <v>8503.7280000000028</v>
      </c>
      <c r="M320" s="22"/>
      <c r="N320" s="22"/>
      <c r="O320" s="22"/>
      <c r="P320" s="272"/>
      <c r="Q320" s="22">
        <f t="shared" si="43"/>
        <v>3263.7280000000028</v>
      </c>
      <c r="R320" s="34">
        <f t="shared" si="44"/>
        <v>8.2720000000000002</v>
      </c>
      <c r="S320" s="273"/>
      <c r="T320" s="273"/>
      <c r="U320" s="273"/>
      <c r="V320" s="22"/>
      <c r="W320" s="272"/>
      <c r="X320" s="272"/>
      <c r="Y320" s="272"/>
      <c r="Z320" s="274"/>
      <c r="AA320" s="22"/>
      <c r="AB320" s="275"/>
      <c r="AC320" s="40"/>
      <c r="AD320" s="40"/>
    </row>
    <row r="321" spans="1:30" s="1" customFormat="1" x14ac:dyDescent="0.25">
      <c r="A321" s="162">
        <v>43538</v>
      </c>
      <c r="B321" s="63" t="s">
        <v>921</v>
      </c>
      <c r="C321" s="285" t="s">
        <v>922</v>
      </c>
      <c r="D321" s="46">
        <v>500</v>
      </c>
      <c r="E321" s="46">
        <v>7.65</v>
      </c>
      <c r="F321" s="16">
        <f t="shared" si="45"/>
        <v>13400</v>
      </c>
      <c r="G321" s="17">
        <f t="shared" si="46"/>
        <v>11.022054104477617</v>
      </c>
      <c r="H321" s="15">
        <f t="shared" si="47"/>
        <v>147695.52500000005</v>
      </c>
      <c r="I321" s="15">
        <f t="shared" si="48"/>
        <v>-45185.525000000052</v>
      </c>
      <c r="J321" s="33">
        <f t="shared" si="49"/>
        <v>-0.30593699436729743</v>
      </c>
      <c r="K321" s="15">
        <f t="shared" si="50"/>
        <v>102510</v>
      </c>
      <c r="L321" s="22">
        <f t="shared" si="42"/>
        <v>-6842</v>
      </c>
      <c r="M321" s="22"/>
      <c r="N321" s="22"/>
      <c r="O321" s="22"/>
      <c r="P321" s="272"/>
      <c r="Q321" s="22">
        <f t="shared" si="43"/>
        <v>-3830</v>
      </c>
      <c r="R321" s="34">
        <f t="shared" si="44"/>
        <v>5</v>
      </c>
      <c r="S321" s="273"/>
      <c r="T321" s="273"/>
      <c r="U321" s="273"/>
      <c r="V321" s="22"/>
      <c r="W321" s="272"/>
      <c r="X321" s="272"/>
      <c r="Y321" s="272"/>
      <c r="Z321" s="274"/>
      <c r="AA321" s="22"/>
      <c r="AB321" s="275"/>
      <c r="AC321" s="40"/>
      <c r="AD321" s="40"/>
    </row>
    <row r="322" spans="1:30" s="1" customFormat="1" x14ac:dyDescent="0.25">
      <c r="A322" s="162">
        <v>43542</v>
      </c>
      <c r="B322" s="63"/>
      <c r="C322" s="46" t="s">
        <v>69</v>
      </c>
      <c r="D322" s="46">
        <v>400</v>
      </c>
      <c r="E322" s="46">
        <v>8.01</v>
      </c>
      <c r="F322" s="16">
        <f t="shared" si="45"/>
        <v>13000</v>
      </c>
      <c r="G322" s="17">
        <f t="shared" si="46"/>
        <v>11.115363769230774</v>
      </c>
      <c r="H322" s="15">
        <f t="shared" si="47"/>
        <v>144499.72900000005</v>
      </c>
      <c r="I322" s="15">
        <f t="shared" si="48"/>
        <v>-40369.72900000005</v>
      </c>
      <c r="J322" s="33">
        <f t="shared" si="49"/>
        <v>-0.27937581114771531</v>
      </c>
      <c r="K322" s="15">
        <f t="shared" si="50"/>
        <v>104130</v>
      </c>
      <c r="L322" s="22">
        <f t="shared" ref="L322:L385" si="51">I322-I321</f>
        <v>4815.7960000000021</v>
      </c>
      <c r="M322" s="22"/>
      <c r="N322" s="22"/>
      <c r="O322" s="22"/>
      <c r="P322" s="272"/>
      <c r="Q322" s="22">
        <f t="shared" ref="Q322:Q385" si="52">(H322-H321)*-1</f>
        <v>3195.7960000000021</v>
      </c>
      <c r="R322" s="34">
        <f t="shared" si="44"/>
        <v>8.2040000000000006</v>
      </c>
      <c r="S322" s="273"/>
      <c r="T322" s="273"/>
      <c r="U322" s="273"/>
      <c r="V322" s="22"/>
      <c r="W322" s="272"/>
      <c r="X322" s="272"/>
      <c r="Y322" s="272"/>
      <c r="Z322" s="274"/>
      <c r="AA322" s="22"/>
      <c r="AB322" s="275"/>
      <c r="AC322" s="40"/>
      <c r="AD322" s="40"/>
    </row>
    <row r="323" spans="1:30" s="1" customFormat="1" x14ac:dyDescent="0.25">
      <c r="A323" s="162">
        <v>43551</v>
      </c>
      <c r="B323" s="100" t="s">
        <v>923</v>
      </c>
      <c r="C323" s="285" t="s">
        <v>922</v>
      </c>
      <c r="D323" s="46">
        <v>500</v>
      </c>
      <c r="E323" s="46">
        <v>7.87</v>
      </c>
      <c r="F323" s="16">
        <f t="shared" si="45"/>
        <v>13500</v>
      </c>
      <c r="G323" s="17">
        <f t="shared" si="46"/>
        <v>10.995535481481486</v>
      </c>
      <c r="H323" s="15">
        <f t="shared" si="47"/>
        <v>148439.72900000005</v>
      </c>
      <c r="I323" s="15">
        <f t="shared" si="48"/>
        <v>-42194.72900000005</v>
      </c>
      <c r="J323" s="33">
        <f t="shared" si="49"/>
        <v>-0.28425495845522625</v>
      </c>
      <c r="K323" s="15">
        <f t="shared" si="50"/>
        <v>106245</v>
      </c>
      <c r="L323" s="22">
        <f t="shared" si="51"/>
        <v>-1825</v>
      </c>
      <c r="M323" s="22"/>
      <c r="N323" s="22"/>
      <c r="O323" s="22"/>
      <c r="P323" s="272"/>
      <c r="Q323" s="22">
        <f t="shared" si="52"/>
        <v>-3940</v>
      </c>
      <c r="R323" s="34">
        <f t="shared" si="44"/>
        <v>5</v>
      </c>
      <c r="S323" s="273"/>
      <c r="T323" s="273"/>
      <c r="U323" s="273"/>
      <c r="V323" s="22"/>
      <c r="W323" s="272"/>
      <c r="X323" s="272"/>
      <c r="Y323" s="272"/>
      <c r="Z323" s="274"/>
      <c r="AA323" s="22"/>
      <c r="AB323" s="275"/>
      <c r="AC323" s="40"/>
      <c r="AD323" s="40"/>
    </row>
    <row r="324" spans="1:30" s="1" customFormat="1" x14ac:dyDescent="0.25">
      <c r="A324" s="162">
        <v>43553</v>
      </c>
      <c r="B324" s="63"/>
      <c r="C324" s="46" t="s">
        <v>69</v>
      </c>
      <c r="D324" s="46">
        <v>400</v>
      </c>
      <c r="E324" s="46">
        <v>8.16</v>
      </c>
      <c r="F324" s="16">
        <f t="shared" si="45"/>
        <v>13100</v>
      </c>
      <c r="G324" s="17">
        <f t="shared" si="46"/>
        <v>11.082747557251912</v>
      </c>
      <c r="H324" s="15">
        <f t="shared" si="47"/>
        <v>145183.99300000005</v>
      </c>
      <c r="I324" s="15">
        <f t="shared" si="48"/>
        <v>-38287.993000000046</v>
      </c>
      <c r="J324" s="33">
        <f t="shared" si="49"/>
        <v>-0.26372048466803105</v>
      </c>
      <c r="K324" s="15">
        <f t="shared" si="50"/>
        <v>106896</v>
      </c>
      <c r="L324" s="22">
        <f t="shared" si="51"/>
        <v>3906.7360000000044</v>
      </c>
      <c r="M324" s="22"/>
      <c r="N324" s="22"/>
      <c r="O324" s="22"/>
      <c r="P324" s="272"/>
      <c r="Q324" s="22">
        <f t="shared" si="52"/>
        <v>3255.7360000000044</v>
      </c>
      <c r="R324" s="34">
        <f t="shared" ref="R324:R387" si="53">commission($B$2,C324,D324,E324)</f>
        <v>8.2639999999999993</v>
      </c>
      <c r="S324" s="273"/>
      <c r="T324" s="273"/>
      <c r="U324" s="273"/>
      <c r="V324" s="22"/>
      <c r="W324" s="272"/>
      <c r="X324" s="272"/>
      <c r="Y324" s="272"/>
      <c r="Z324" s="274"/>
      <c r="AA324" s="22"/>
      <c r="AB324" s="275"/>
      <c r="AC324" s="40"/>
      <c r="AD324" s="40"/>
    </row>
    <row r="325" spans="1:30" s="1" customFormat="1" x14ac:dyDescent="0.25">
      <c r="A325" s="162">
        <v>43556</v>
      </c>
      <c r="B325" s="63"/>
      <c r="C325" s="46" t="s">
        <v>69</v>
      </c>
      <c r="D325" s="46">
        <v>400</v>
      </c>
      <c r="E325" s="46">
        <v>8.7799999999999994</v>
      </c>
      <c r="F325" s="16">
        <f t="shared" si="45"/>
        <v>12700</v>
      </c>
      <c r="G325" s="17">
        <f t="shared" si="46"/>
        <v>11.155945275590554</v>
      </c>
      <c r="H325" s="15">
        <f t="shared" si="47"/>
        <v>141680.50500000003</v>
      </c>
      <c r="I325" s="15">
        <f t="shared" si="48"/>
        <v>-30174.505000000048</v>
      </c>
      <c r="J325" s="33">
        <f t="shared" si="49"/>
        <v>-0.21297570191467086</v>
      </c>
      <c r="K325" s="15">
        <f t="shared" si="50"/>
        <v>111505.99999999999</v>
      </c>
      <c r="L325" s="22">
        <f t="shared" si="51"/>
        <v>8113.4879999999976</v>
      </c>
      <c r="M325" s="22"/>
      <c r="N325" s="22"/>
      <c r="O325" s="22"/>
      <c r="P325" s="272"/>
      <c r="Q325" s="22">
        <f t="shared" si="52"/>
        <v>3503.4880000000121</v>
      </c>
      <c r="R325" s="34">
        <f t="shared" si="53"/>
        <v>8.5120000000000005</v>
      </c>
      <c r="S325" s="273"/>
      <c r="T325" s="273"/>
      <c r="U325" s="273"/>
      <c r="V325" s="22"/>
      <c r="W325" s="272"/>
      <c r="X325" s="272"/>
      <c r="Y325" s="272"/>
      <c r="Z325" s="274"/>
      <c r="AA325" s="22"/>
      <c r="AB325" s="275"/>
      <c r="AC325" s="40"/>
      <c r="AD325" s="40"/>
    </row>
    <row r="326" spans="1:30" s="1" customFormat="1" x14ac:dyDescent="0.25">
      <c r="A326" s="162">
        <v>43558</v>
      </c>
      <c r="B326" s="63"/>
      <c r="C326" s="46" t="s">
        <v>69</v>
      </c>
      <c r="D326" s="46">
        <v>400</v>
      </c>
      <c r="E326" s="46">
        <v>9.07</v>
      </c>
      <c r="F326" s="16">
        <f t="shared" si="45"/>
        <v>12300</v>
      </c>
      <c r="G326" s="17">
        <f t="shared" si="46"/>
        <v>11.224482357723581</v>
      </c>
      <c r="H326" s="15">
        <f t="shared" si="47"/>
        <v>138061.13300000003</v>
      </c>
      <c r="I326" s="15">
        <f t="shared" si="48"/>
        <v>-26500.133000000031</v>
      </c>
      <c r="J326" s="33">
        <f t="shared" si="49"/>
        <v>-0.19194491906712102</v>
      </c>
      <c r="K326" s="15">
        <f t="shared" si="50"/>
        <v>111561</v>
      </c>
      <c r="L326" s="22">
        <f t="shared" si="51"/>
        <v>3674.3720000000176</v>
      </c>
      <c r="M326" s="22"/>
      <c r="N326" s="22"/>
      <c r="O326" s="22"/>
      <c r="P326" s="272"/>
      <c r="Q326" s="22">
        <f t="shared" si="52"/>
        <v>3619.372000000003</v>
      </c>
      <c r="R326" s="34">
        <f t="shared" si="53"/>
        <v>8.6280000000000001</v>
      </c>
      <c r="S326" s="273"/>
      <c r="T326" s="273"/>
      <c r="U326" s="273"/>
      <c r="V326" s="22"/>
      <c r="W326" s="272"/>
      <c r="X326" s="272"/>
      <c r="Y326" s="272"/>
      <c r="Z326" s="274"/>
      <c r="AA326" s="22"/>
      <c r="AB326" s="275"/>
      <c r="AC326" s="40"/>
      <c r="AD326" s="40"/>
    </row>
    <row r="327" spans="1:30" s="1" customFormat="1" x14ac:dyDescent="0.25">
      <c r="A327" s="162">
        <v>43563</v>
      </c>
      <c r="B327" s="63"/>
      <c r="C327" s="46" t="s">
        <v>69</v>
      </c>
      <c r="D327" s="46">
        <v>400</v>
      </c>
      <c r="E327" s="46">
        <v>9.34</v>
      </c>
      <c r="F327" s="16">
        <f t="shared" si="45"/>
        <v>11900</v>
      </c>
      <c r="G327" s="17">
        <f t="shared" si="46"/>
        <v>11.28856042016807</v>
      </c>
      <c r="H327" s="15">
        <f t="shared" si="47"/>
        <v>134333.86900000004</v>
      </c>
      <c r="I327" s="15">
        <f t="shared" si="48"/>
        <v>-23187.869000000035</v>
      </c>
      <c r="J327" s="33">
        <f t="shared" si="49"/>
        <v>-0.17261372111600556</v>
      </c>
      <c r="K327" s="15">
        <f t="shared" si="50"/>
        <v>111146</v>
      </c>
      <c r="L327" s="22">
        <f t="shared" si="51"/>
        <v>3312.2639999999956</v>
      </c>
      <c r="M327" s="22"/>
      <c r="N327" s="22"/>
      <c r="O327" s="22"/>
      <c r="P327" s="272"/>
      <c r="Q327" s="22">
        <f t="shared" si="52"/>
        <v>3727.2639999999956</v>
      </c>
      <c r="R327" s="34">
        <f t="shared" si="53"/>
        <v>8.7360000000000007</v>
      </c>
      <c r="S327" s="273"/>
      <c r="T327" s="273"/>
      <c r="U327" s="273"/>
      <c r="V327" s="22"/>
      <c r="W327" s="272"/>
      <c r="X327" s="272"/>
      <c r="Y327" s="272"/>
      <c r="Z327" s="274"/>
      <c r="AA327" s="22"/>
      <c r="AB327" s="275"/>
      <c r="AC327" s="40"/>
      <c r="AD327" s="40"/>
    </row>
    <row r="328" spans="1:30" s="1" customFormat="1" x14ac:dyDescent="0.25">
      <c r="A328" s="162">
        <v>43566</v>
      </c>
      <c r="B328" s="63" t="s">
        <v>924</v>
      </c>
      <c r="C328" s="46" t="s">
        <v>63</v>
      </c>
      <c r="D328" s="46">
        <v>500</v>
      </c>
      <c r="E328" s="46">
        <v>8.83</v>
      </c>
      <c r="F328" s="16">
        <f t="shared" si="45"/>
        <v>12400</v>
      </c>
      <c r="G328" s="17">
        <f t="shared" si="46"/>
        <v>11.189828145161293</v>
      </c>
      <c r="H328" s="15">
        <f t="shared" si="47"/>
        <v>138753.86900000004</v>
      </c>
      <c r="I328" s="15">
        <f t="shared" si="48"/>
        <v>-29261.869000000035</v>
      </c>
      <c r="J328" s="33">
        <f t="shared" si="49"/>
        <v>-0.21089047253882359</v>
      </c>
      <c r="K328" s="15">
        <f t="shared" si="50"/>
        <v>109492</v>
      </c>
      <c r="L328" s="22">
        <f t="shared" si="51"/>
        <v>-6074</v>
      </c>
      <c r="M328" s="22"/>
      <c r="N328" s="22"/>
      <c r="O328" s="22"/>
      <c r="P328" s="272"/>
      <c r="Q328" s="22">
        <f t="shared" si="52"/>
        <v>-4420</v>
      </c>
      <c r="R328" s="34">
        <f t="shared" si="53"/>
        <v>5</v>
      </c>
      <c r="S328" s="273"/>
      <c r="T328" s="273"/>
      <c r="U328" s="273"/>
      <c r="V328" s="22"/>
      <c r="W328" s="272"/>
      <c r="X328" s="272"/>
      <c r="Y328" s="272"/>
      <c r="Z328" s="274"/>
      <c r="AA328" s="22"/>
      <c r="AB328" s="275"/>
      <c r="AC328" s="40"/>
      <c r="AD328" s="40"/>
    </row>
    <row r="329" spans="1:30" s="1" customFormat="1" x14ac:dyDescent="0.25">
      <c r="A329" s="162">
        <v>43574</v>
      </c>
      <c r="B329" s="63"/>
      <c r="C329" s="46" t="s">
        <v>69</v>
      </c>
      <c r="D329" s="46">
        <v>400</v>
      </c>
      <c r="E329" s="46">
        <v>9.36</v>
      </c>
      <c r="F329" s="16">
        <f t="shared" si="45"/>
        <v>12000</v>
      </c>
      <c r="G329" s="17">
        <f t="shared" si="46"/>
        <v>11.251551083333338</v>
      </c>
      <c r="H329" s="15">
        <f t="shared" si="47"/>
        <v>135018.61300000004</v>
      </c>
      <c r="I329" s="15">
        <f t="shared" si="48"/>
        <v>-22698.613000000041</v>
      </c>
      <c r="J329" s="33">
        <f t="shared" si="49"/>
        <v>-0.16811469541610571</v>
      </c>
      <c r="K329" s="15">
        <f t="shared" si="50"/>
        <v>112320</v>
      </c>
      <c r="L329" s="22">
        <f t="shared" si="51"/>
        <v>6563.2559999999939</v>
      </c>
      <c r="M329" s="22"/>
      <c r="N329" s="22"/>
      <c r="O329" s="22"/>
      <c r="P329" s="272"/>
      <c r="Q329" s="22">
        <f t="shared" si="52"/>
        <v>3735.2559999999939</v>
      </c>
      <c r="R329" s="34">
        <f t="shared" si="53"/>
        <v>8.7439999999999998</v>
      </c>
      <c r="S329" s="273"/>
      <c r="T329" s="273"/>
      <c r="U329" s="273"/>
      <c r="V329" s="22"/>
      <c r="W329" s="272"/>
      <c r="X329" s="272"/>
      <c r="Y329" s="272"/>
      <c r="Z329" s="274"/>
      <c r="AA329" s="22"/>
      <c r="AB329" s="275"/>
      <c r="AC329" s="40"/>
      <c r="AD329" s="40"/>
    </row>
    <row r="330" spans="1:30" s="1" customFormat="1" x14ac:dyDescent="0.25">
      <c r="A330" s="162">
        <v>43577</v>
      </c>
      <c r="B330" s="63"/>
      <c r="C330" s="46" t="s">
        <v>69</v>
      </c>
      <c r="D330" s="46">
        <v>400</v>
      </c>
      <c r="E330" s="46">
        <v>9.84</v>
      </c>
      <c r="F330" s="16">
        <f t="shared" si="45"/>
        <v>11600</v>
      </c>
      <c r="G330" s="17">
        <f t="shared" si="46"/>
        <v>11.300995603448278</v>
      </c>
      <c r="H330" s="15">
        <f t="shared" si="47"/>
        <v>131091.54900000003</v>
      </c>
      <c r="I330" s="15">
        <f t="shared" si="48"/>
        <v>-16947.549000000028</v>
      </c>
      <c r="J330" s="33">
        <f t="shared" si="49"/>
        <v>-0.12928025589201045</v>
      </c>
      <c r="K330" s="15">
        <f t="shared" si="50"/>
        <v>114144</v>
      </c>
      <c r="L330" s="22">
        <f t="shared" si="51"/>
        <v>5751.064000000013</v>
      </c>
      <c r="M330" s="22"/>
      <c r="N330" s="22"/>
      <c r="O330" s="22"/>
      <c r="P330" s="272"/>
      <c r="Q330" s="22">
        <f t="shared" si="52"/>
        <v>3927.064000000013</v>
      </c>
      <c r="R330" s="34">
        <f t="shared" si="53"/>
        <v>8.9359999999999999</v>
      </c>
      <c r="S330" s="273"/>
      <c r="T330" s="273"/>
      <c r="U330" s="273"/>
      <c r="V330" s="22"/>
      <c r="W330" s="272"/>
      <c r="X330" s="272"/>
      <c r="Y330" s="272"/>
      <c r="Z330" s="274"/>
      <c r="AA330" s="22"/>
      <c r="AB330" s="275"/>
      <c r="AC330" s="40"/>
      <c r="AD330" s="40"/>
    </row>
    <row r="331" spans="1:30" s="1" customFormat="1" x14ac:dyDescent="0.25">
      <c r="A331" s="162">
        <v>43577</v>
      </c>
      <c r="B331" s="63"/>
      <c r="C331" s="46" t="s">
        <v>69</v>
      </c>
      <c r="D331" s="46">
        <v>400</v>
      </c>
      <c r="E331" s="46">
        <v>10.35</v>
      </c>
      <c r="F331" s="16">
        <f t="shared" si="45"/>
        <v>11200</v>
      </c>
      <c r="G331" s="17">
        <f t="shared" si="46"/>
        <v>11.335775803571432</v>
      </c>
      <c r="H331" s="15">
        <f t="shared" si="47"/>
        <v>126960.68900000003</v>
      </c>
      <c r="I331" s="15">
        <f t="shared" si="48"/>
        <v>-11040.689000000028</v>
      </c>
      <c r="J331" s="33">
        <f t="shared" si="49"/>
        <v>-8.6961476713473373E-2</v>
      </c>
      <c r="K331" s="15">
        <f t="shared" si="50"/>
        <v>115920</v>
      </c>
      <c r="L331" s="22">
        <f t="shared" si="51"/>
        <v>5906.8600000000006</v>
      </c>
      <c r="M331" s="22"/>
      <c r="N331" s="22"/>
      <c r="O331" s="22"/>
      <c r="P331" s="272"/>
      <c r="Q331" s="22">
        <f t="shared" si="52"/>
        <v>4130.8600000000006</v>
      </c>
      <c r="R331" s="34">
        <f t="shared" si="53"/>
        <v>9.14</v>
      </c>
      <c r="S331" s="273"/>
      <c r="T331" s="273"/>
      <c r="U331" s="273"/>
      <c r="V331" s="22"/>
      <c r="W331" s="272"/>
      <c r="X331" s="272"/>
      <c r="Y331" s="272"/>
      <c r="Z331" s="274"/>
      <c r="AA331" s="22"/>
      <c r="AB331" s="275"/>
      <c r="AC331" s="40"/>
      <c r="AD331" s="40"/>
    </row>
    <row r="332" spans="1:30" s="1" customFormat="1" x14ac:dyDescent="0.25">
      <c r="A332" s="162">
        <v>43577</v>
      </c>
      <c r="B332" s="135"/>
      <c r="C332" s="163" t="s">
        <v>69</v>
      </c>
      <c r="D332" s="163">
        <v>400</v>
      </c>
      <c r="E332" s="163">
        <v>10.62</v>
      </c>
      <c r="F332" s="16">
        <f t="shared" ref="F332:F395" si="54">IF(C332="买",F331+D332,IF(C332="卖",F331-D332,F331))</f>
        <v>10800</v>
      </c>
      <c r="G332" s="17">
        <f t="shared" ref="G332:G395" si="55">H332/F332</f>
        <v>11.363142314814818</v>
      </c>
      <c r="H332" s="15">
        <f t="shared" ref="H332:H395" si="56">IF(C332="买",H331+D332*E332+R332+S332,IF(C332="卖",H331-D332*E332+R332+S332,H331))</f>
        <v>122721.93700000003</v>
      </c>
      <c r="I332" s="15">
        <f t="shared" ref="I332:I395" si="57">-H332+K332</f>
        <v>-8025.937000000049</v>
      </c>
      <c r="J332" s="33">
        <f t="shared" ref="J332:J395" si="58">(E332-G332)/G332</f>
        <v>-6.5399367025962413E-2</v>
      </c>
      <c r="K332" s="15">
        <f t="shared" ref="K332:K395" si="59">F332*E332</f>
        <v>114695.99999999999</v>
      </c>
      <c r="L332" s="22">
        <f t="shared" si="51"/>
        <v>3014.7519999999786</v>
      </c>
      <c r="M332" s="22"/>
      <c r="N332" s="22"/>
      <c r="O332" s="22"/>
      <c r="P332" s="272"/>
      <c r="Q332" s="22">
        <f t="shared" si="52"/>
        <v>4238.7519999999931</v>
      </c>
      <c r="R332" s="34">
        <f t="shared" si="53"/>
        <v>9.2479999999999993</v>
      </c>
      <c r="S332" s="273"/>
      <c r="T332" s="273"/>
      <c r="U332" s="273"/>
      <c r="V332" s="22"/>
      <c r="W332" s="272"/>
      <c r="X332" s="272"/>
      <c r="Y332" s="272"/>
      <c r="Z332" s="274"/>
      <c r="AA332" s="22"/>
      <c r="AB332" s="275"/>
      <c r="AC332" s="40"/>
      <c r="AD332" s="40"/>
    </row>
    <row r="333" spans="1:30" s="1" customFormat="1" x14ac:dyDescent="0.25">
      <c r="A333" s="162">
        <v>43578</v>
      </c>
      <c r="B333" s="63" t="s">
        <v>925</v>
      </c>
      <c r="C333" s="46" t="s">
        <v>63</v>
      </c>
      <c r="D333" s="46">
        <v>500</v>
      </c>
      <c r="E333" s="46">
        <v>9.83</v>
      </c>
      <c r="F333" s="16">
        <f t="shared" si="54"/>
        <v>11300</v>
      </c>
      <c r="G333" s="17">
        <f t="shared" si="55"/>
        <v>11.295746637168145</v>
      </c>
      <c r="H333" s="15">
        <f t="shared" si="56"/>
        <v>127641.93700000003</v>
      </c>
      <c r="I333" s="15">
        <f t="shared" si="57"/>
        <v>-16562.937000000034</v>
      </c>
      <c r="J333" s="33">
        <f t="shared" si="58"/>
        <v>-0.12976093429230892</v>
      </c>
      <c r="K333" s="15">
        <f t="shared" si="59"/>
        <v>111079</v>
      </c>
      <c r="L333" s="22">
        <f t="shared" si="51"/>
        <v>-8536.9999999999854</v>
      </c>
      <c r="M333" s="22"/>
      <c r="N333" s="22"/>
      <c r="O333" s="22"/>
      <c r="P333" s="272"/>
      <c r="Q333" s="22">
        <f t="shared" si="52"/>
        <v>-4920</v>
      </c>
      <c r="R333" s="34">
        <f t="shared" si="53"/>
        <v>5</v>
      </c>
      <c r="S333" s="273"/>
      <c r="T333" s="273"/>
      <c r="U333" s="273"/>
      <c r="V333" s="22"/>
      <c r="W333" s="272"/>
      <c r="X333" s="272"/>
      <c r="Y333" s="272"/>
      <c r="Z333" s="274"/>
      <c r="AA333" s="22"/>
      <c r="AB333" s="275"/>
      <c r="AC333" s="40"/>
      <c r="AD333" s="40"/>
    </row>
    <row r="334" spans="1:30" s="1" customFormat="1" x14ac:dyDescent="0.25">
      <c r="A334" s="162">
        <v>43579</v>
      </c>
      <c r="B334" s="316"/>
      <c r="C334" s="285" t="s">
        <v>926</v>
      </c>
      <c r="D334" s="46">
        <v>400</v>
      </c>
      <c r="E334" s="128">
        <v>10.89</v>
      </c>
      <c r="F334" s="16">
        <f t="shared" si="54"/>
        <v>10900</v>
      </c>
      <c r="G334" s="17">
        <f t="shared" si="55"/>
        <v>11.311494770642206</v>
      </c>
      <c r="H334" s="15">
        <f t="shared" si="56"/>
        <v>123295.29300000003</v>
      </c>
      <c r="I334" s="15">
        <f t="shared" si="57"/>
        <v>-4594.2930000000342</v>
      </c>
      <c r="J334" s="33">
        <f t="shared" si="58"/>
        <v>-3.7262517393912474E-2</v>
      </c>
      <c r="K334" s="15">
        <f t="shared" si="59"/>
        <v>118701</v>
      </c>
      <c r="L334" s="22">
        <f t="shared" si="51"/>
        <v>11968.644</v>
      </c>
      <c r="M334" s="22"/>
      <c r="N334" s="22"/>
      <c r="O334" s="22"/>
      <c r="P334" s="272"/>
      <c r="Q334" s="22">
        <f t="shared" si="52"/>
        <v>4346.6440000000002</v>
      </c>
      <c r="R334" s="34">
        <f t="shared" si="53"/>
        <v>9.3559999999999999</v>
      </c>
      <c r="S334" s="273"/>
      <c r="T334" s="273"/>
      <c r="U334" s="273"/>
      <c r="V334" s="22"/>
      <c r="W334" s="272"/>
      <c r="X334" s="272"/>
      <c r="Y334" s="272"/>
      <c r="Z334" s="274"/>
      <c r="AA334" s="22"/>
      <c r="AB334" s="275"/>
      <c r="AC334" s="40"/>
      <c r="AD334" s="40"/>
    </row>
    <row r="335" spans="1:30" s="1" customFormat="1" x14ac:dyDescent="0.25">
      <c r="A335" s="162">
        <v>43579</v>
      </c>
      <c r="B335" s="333"/>
      <c r="C335" s="325" t="s">
        <v>926</v>
      </c>
      <c r="D335" s="163">
        <v>400</v>
      </c>
      <c r="E335" s="326">
        <v>10.96</v>
      </c>
      <c r="F335" s="16">
        <f t="shared" si="54"/>
        <v>10500</v>
      </c>
      <c r="G335" s="17">
        <f t="shared" si="55"/>
        <v>11.325778761904767</v>
      </c>
      <c r="H335" s="15">
        <f t="shared" si="56"/>
        <v>118920.67700000004</v>
      </c>
      <c r="I335" s="15">
        <f t="shared" si="57"/>
        <v>-3840.6770000000251</v>
      </c>
      <c r="J335" s="33">
        <f t="shared" si="58"/>
        <v>-3.2296124583953034E-2</v>
      </c>
      <c r="K335" s="15">
        <f t="shared" si="59"/>
        <v>115080.00000000001</v>
      </c>
      <c r="L335" s="22">
        <f t="shared" si="51"/>
        <v>753.61600000000908</v>
      </c>
      <c r="M335" s="22"/>
      <c r="N335" s="22"/>
      <c r="O335" s="22"/>
      <c r="P335" s="272"/>
      <c r="Q335" s="22">
        <f t="shared" si="52"/>
        <v>4374.6159999999945</v>
      </c>
      <c r="R335" s="34">
        <f t="shared" si="53"/>
        <v>9.3840000000000003</v>
      </c>
      <c r="S335" s="273"/>
      <c r="T335" s="273"/>
      <c r="U335" s="273"/>
      <c r="V335" s="22"/>
      <c r="W335" s="272"/>
      <c r="X335" s="272"/>
      <c r="Y335" s="272"/>
      <c r="Z335" s="274"/>
      <c r="AA335" s="22"/>
      <c r="AB335" s="275"/>
      <c r="AC335" s="40"/>
      <c r="AD335" s="40"/>
    </row>
    <row r="336" spans="1:30" s="1" customFormat="1" x14ac:dyDescent="0.25">
      <c r="A336" s="162">
        <v>43580</v>
      </c>
      <c r="B336" s="333"/>
      <c r="C336" s="325" t="s">
        <v>926</v>
      </c>
      <c r="D336" s="163">
        <v>400</v>
      </c>
      <c r="E336" s="326">
        <v>11.4</v>
      </c>
      <c r="F336" s="16">
        <f t="shared" si="54"/>
        <v>10100</v>
      </c>
      <c r="G336" s="17">
        <f t="shared" si="55"/>
        <v>11.323785841584161</v>
      </c>
      <c r="H336" s="15">
        <f t="shared" si="56"/>
        <v>114370.23700000004</v>
      </c>
      <c r="I336" s="15">
        <f t="shared" si="57"/>
        <v>769.76299999996263</v>
      </c>
      <c r="J336" s="33">
        <f t="shared" si="58"/>
        <v>6.7304485868991655E-3</v>
      </c>
      <c r="K336" s="15">
        <f t="shared" si="59"/>
        <v>115140</v>
      </c>
      <c r="L336" s="22">
        <f t="shared" si="51"/>
        <v>4610.4399999999878</v>
      </c>
      <c r="M336" s="22"/>
      <c r="N336" s="22"/>
      <c r="O336" s="22"/>
      <c r="P336" s="272"/>
      <c r="Q336" s="22">
        <f t="shared" si="52"/>
        <v>4550.4400000000023</v>
      </c>
      <c r="R336" s="34">
        <f t="shared" si="53"/>
        <v>9.56</v>
      </c>
      <c r="S336" s="273"/>
      <c r="T336" s="273"/>
      <c r="U336" s="273"/>
      <c r="V336" s="22"/>
      <c r="W336" s="272"/>
      <c r="X336" s="272"/>
      <c r="Y336" s="272"/>
      <c r="Z336" s="274"/>
      <c r="AA336" s="22"/>
      <c r="AB336" s="275"/>
      <c r="AC336" s="40"/>
      <c r="AD336" s="40"/>
    </row>
    <row r="337" spans="1:30" s="1" customFormat="1" x14ac:dyDescent="0.25">
      <c r="A337" s="162">
        <v>43580</v>
      </c>
      <c r="B337" s="316"/>
      <c r="C337" s="325" t="s">
        <v>926</v>
      </c>
      <c r="D337" s="163">
        <v>400</v>
      </c>
      <c r="E337" s="326">
        <v>12.06</v>
      </c>
      <c r="F337" s="16">
        <f t="shared" si="54"/>
        <v>9700</v>
      </c>
      <c r="G337" s="17">
        <f t="shared" si="55"/>
        <v>11.294439278350518</v>
      </c>
      <c r="H337" s="15">
        <f t="shared" si="56"/>
        <v>109556.06100000003</v>
      </c>
      <c r="I337" s="15">
        <f t="shared" si="57"/>
        <v>7425.9389999999694</v>
      </c>
      <c r="J337" s="33">
        <f t="shared" si="58"/>
        <v>6.7782091946514716E-2</v>
      </c>
      <c r="K337" s="15">
        <f t="shared" si="59"/>
        <v>116982</v>
      </c>
      <c r="L337" s="22">
        <f t="shared" si="51"/>
        <v>6656.1760000000068</v>
      </c>
      <c r="M337" s="22"/>
      <c r="N337" s="22"/>
      <c r="O337" s="22"/>
      <c r="P337" s="272"/>
      <c r="Q337" s="22">
        <f t="shared" si="52"/>
        <v>4814.1760000000068</v>
      </c>
      <c r="R337" s="34">
        <f t="shared" si="53"/>
        <v>9.8239999999999998</v>
      </c>
      <c r="S337" s="273"/>
      <c r="T337" s="273"/>
      <c r="U337" s="273"/>
      <c r="V337" s="22"/>
      <c r="W337" s="272"/>
      <c r="X337" s="272"/>
      <c r="Y337" s="272"/>
      <c r="Z337" s="274"/>
      <c r="AA337" s="22"/>
      <c r="AB337" s="275"/>
      <c r="AC337" s="40"/>
      <c r="AD337" s="40"/>
    </row>
    <row r="338" spans="1:30" s="1" customFormat="1" x14ac:dyDescent="0.25">
      <c r="A338" s="162">
        <v>43581</v>
      </c>
      <c r="B338" s="316"/>
      <c r="C338" s="285" t="s">
        <v>926</v>
      </c>
      <c r="D338" s="46">
        <v>400</v>
      </c>
      <c r="E338" s="128">
        <v>12.7</v>
      </c>
      <c r="F338" s="16">
        <f t="shared" si="54"/>
        <v>9300</v>
      </c>
      <c r="G338" s="17">
        <f t="shared" si="55"/>
        <v>11.235068924731186</v>
      </c>
      <c r="H338" s="15">
        <f t="shared" si="56"/>
        <v>104486.14100000003</v>
      </c>
      <c r="I338" s="15">
        <f t="shared" si="57"/>
        <v>13623.858999999968</v>
      </c>
      <c r="J338" s="33">
        <f t="shared" si="58"/>
        <v>0.13038914893028694</v>
      </c>
      <c r="K338" s="15">
        <f t="shared" si="59"/>
        <v>118110</v>
      </c>
      <c r="L338" s="22">
        <f t="shared" si="51"/>
        <v>6197.9199999999983</v>
      </c>
      <c r="M338" s="22"/>
      <c r="N338" s="22"/>
      <c r="O338" s="22"/>
      <c r="P338" s="272"/>
      <c r="Q338" s="22">
        <f t="shared" si="52"/>
        <v>5069.9199999999983</v>
      </c>
      <c r="R338" s="34">
        <f t="shared" si="53"/>
        <v>10.08</v>
      </c>
      <c r="S338" s="273"/>
      <c r="T338" s="273"/>
      <c r="U338" s="273"/>
      <c r="V338" s="22"/>
      <c r="W338" s="272"/>
      <c r="X338" s="272"/>
      <c r="Y338" s="272"/>
      <c r="Z338" s="274"/>
      <c r="AA338" s="22"/>
      <c r="AB338" s="275"/>
      <c r="AC338" s="40"/>
      <c r="AD338" s="40"/>
    </row>
    <row r="339" spans="1:30" s="1" customFormat="1" x14ac:dyDescent="0.25">
      <c r="A339" s="162">
        <v>43581</v>
      </c>
      <c r="B339" s="316"/>
      <c r="C339" s="325" t="s">
        <v>926</v>
      </c>
      <c r="D339" s="163">
        <v>400</v>
      </c>
      <c r="E339" s="326">
        <v>12.97</v>
      </c>
      <c r="F339" s="16">
        <f t="shared" si="54"/>
        <v>8900</v>
      </c>
      <c r="G339" s="17">
        <f t="shared" si="55"/>
        <v>11.158239213483149</v>
      </c>
      <c r="H339" s="15">
        <f t="shared" si="56"/>
        <v>99308.329000000027</v>
      </c>
      <c r="I339" s="15">
        <f t="shared" si="57"/>
        <v>16124.670999999973</v>
      </c>
      <c r="J339" s="33">
        <f t="shared" si="58"/>
        <v>0.16236977464397745</v>
      </c>
      <c r="K339" s="15">
        <f t="shared" si="59"/>
        <v>115433</v>
      </c>
      <c r="L339" s="22">
        <f t="shared" si="51"/>
        <v>2500.8120000000054</v>
      </c>
      <c r="M339" s="22"/>
      <c r="N339" s="22"/>
      <c r="O339" s="22"/>
      <c r="P339" s="272"/>
      <c r="Q339" s="22">
        <f t="shared" si="52"/>
        <v>5177.8120000000054</v>
      </c>
      <c r="R339" s="34">
        <f t="shared" si="53"/>
        <v>10.188000000000001</v>
      </c>
      <c r="S339" s="273"/>
      <c r="T339" s="273"/>
      <c r="U339" s="273"/>
      <c r="V339" s="22"/>
      <c r="W339" s="272"/>
      <c r="X339" s="272"/>
      <c r="Y339" s="272"/>
      <c r="Z339" s="274"/>
      <c r="AA339" s="22"/>
      <c r="AB339" s="275"/>
      <c r="AC339" s="40"/>
      <c r="AD339" s="40"/>
    </row>
    <row r="340" spans="1:30" s="1" customFormat="1" x14ac:dyDescent="0.25">
      <c r="A340" s="162">
        <v>43584</v>
      </c>
      <c r="B340" s="316" t="s">
        <v>927</v>
      </c>
      <c r="C340" s="285" t="s">
        <v>922</v>
      </c>
      <c r="D340" s="46">
        <v>500</v>
      </c>
      <c r="E340" s="128">
        <v>11.59</v>
      </c>
      <c r="F340" s="16">
        <f t="shared" si="54"/>
        <v>9400</v>
      </c>
      <c r="G340" s="17">
        <f t="shared" si="55"/>
        <v>11.181737127659577</v>
      </c>
      <c r="H340" s="15">
        <f t="shared" si="56"/>
        <v>105108.32900000003</v>
      </c>
      <c r="I340" s="15">
        <f t="shared" si="57"/>
        <v>3837.670999999973</v>
      </c>
      <c r="J340" s="33">
        <f t="shared" si="58"/>
        <v>3.6511578449696144E-2</v>
      </c>
      <c r="K340" s="15">
        <f t="shared" si="59"/>
        <v>108946</v>
      </c>
      <c r="L340" s="22">
        <f t="shared" si="51"/>
        <v>-12287</v>
      </c>
      <c r="M340" s="22"/>
      <c r="N340" s="22"/>
      <c r="O340" s="22"/>
      <c r="P340" s="272"/>
      <c r="Q340" s="22">
        <f t="shared" si="52"/>
        <v>-5800</v>
      </c>
      <c r="R340" s="34">
        <f t="shared" si="53"/>
        <v>5</v>
      </c>
      <c r="S340" s="273"/>
      <c r="T340" s="273"/>
      <c r="U340" s="273"/>
      <c r="V340" s="22"/>
      <c r="W340" s="272"/>
      <c r="X340" s="272"/>
      <c r="Y340" s="272"/>
      <c r="Z340" s="274"/>
      <c r="AA340" s="22"/>
      <c r="AB340" s="275"/>
      <c r="AC340" s="40"/>
      <c r="AD340" s="40"/>
    </row>
    <row r="341" spans="1:30" s="1" customFormat="1" x14ac:dyDescent="0.25">
      <c r="A341" s="162">
        <v>43585</v>
      </c>
      <c r="B341" s="316" t="s">
        <v>928</v>
      </c>
      <c r="C341" s="285" t="s">
        <v>63</v>
      </c>
      <c r="D341" s="46">
        <v>500</v>
      </c>
      <c r="E341" s="128">
        <v>10.39</v>
      </c>
      <c r="F341" s="16">
        <f t="shared" si="54"/>
        <v>9900</v>
      </c>
      <c r="G341" s="17">
        <f t="shared" si="55"/>
        <v>11.142255454545458</v>
      </c>
      <c r="H341" s="15">
        <f t="shared" si="56"/>
        <v>110308.32900000003</v>
      </c>
      <c r="I341" s="15">
        <f t="shared" si="57"/>
        <v>-7447.329000000027</v>
      </c>
      <c r="J341" s="33">
        <f t="shared" si="58"/>
        <v>-6.7513750480256332E-2</v>
      </c>
      <c r="K341" s="15">
        <f t="shared" si="59"/>
        <v>102861</v>
      </c>
      <c r="L341" s="22">
        <f t="shared" si="51"/>
        <v>-11285</v>
      </c>
      <c r="M341" s="22"/>
      <c r="N341" s="22"/>
      <c r="O341" s="22"/>
      <c r="P341" s="272"/>
      <c r="Q341" s="22">
        <f t="shared" si="52"/>
        <v>-5200</v>
      </c>
      <c r="R341" s="34">
        <f t="shared" si="53"/>
        <v>5</v>
      </c>
      <c r="S341" s="273"/>
      <c r="T341" s="273"/>
      <c r="U341" s="273"/>
      <c r="V341" s="22"/>
      <c r="W341" s="272"/>
      <c r="X341" s="272"/>
      <c r="Y341" s="272"/>
      <c r="Z341" s="274"/>
      <c r="AA341" s="22"/>
      <c r="AB341" s="275"/>
      <c r="AC341" s="40"/>
      <c r="AD341" s="40"/>
    </row>
    <row r="342" spans="1:30" s="1" customFormat="1" x14ac:dyDescent="0.25">
      <c r="A342" s="162">
        <v>43591</v>
      </c>
      <c r="B342" s="316" t="s">
        <v>929</v>
      </c>
      <c r="C342" s="285" t="s">
        <v>922</v>
      </c>
      <c r="D342" s="46">
        <v>500</v>
      </c>
      <c r="E342" s="128">
        <v>9.35</v>
      </c>
      <c r="F342" s="16">
        <f t="shared" si="54"/>
        <v>10400</v>
      </c>
      <c r="G342" s="17">
        <f t="shared" si="55"/>
        <v>11.056570096153848</v>
      </c>
      <c r="H342" s="15">
        <f t="shared" si="56"/>
        <v>114988.32900000003</v>
      </c>
      <c r="I342" s="15">
        <f t="shared" si="57"/>
        <v>-17748.329000000027</v>
      </c>
      <c r="J342" s="33">
        <f t="shared" si="58"/>
        <v>-0.15434896005837273</v>
      </c>
      <c r="K342" s="15">
        <f t="shared" si="59"/>
        <v>97240</v>
      </c>
      <c r="L342" s="22">
        <f t="shared" si="51"/>
        <v>-10301</v>
      </c>
      <c r="M342" s="22"/>
      <c r="N342" s="22"/>
      <c r="O342" s="22"/>
      <c r="P342" s="272"/>
      <c r="Q342" s="22">
        <f t="shared" si="52"/>
        <v>-4680</v>
      </c>
      <c r="R342" s="34">
        <f t="shared" si="53"/>
        <v>5</v>
      </c>
      <c r="S342" s="273"/>
      <c r="T342" s="273"/>
      <c r="U342" s="273"/>
      <c r="V342" s="22"/>
      <c r="W342" s="272"/>
      <c r="X342" s="272"/>
      <c r="Y342" s="272"/>
      <c r="Z342" s="274"/>
      <c r="AA342" s="22"/>
      <c r="AB342" s="275"/>
      <c r="AC342" s="40"/>
      <c r="AD342" s="40"/>
    </row>
    <row r="343" spans="1:30" s="1" customFormat="1" x14ac:dyDescent="0.25">
      <c r="A343" s="162">
        <v>43592</v>
      </c>
      <c r="B343" s="316" t="s">
        <v>930</v>
      </c>
      <c r="C343" s="285" t="s">
        <v>922</v>
      </c>
      <c r="D343" s="46">
        <v>500</v>
      </c>
      <c r="E343" s="128">
        <v>9.0399999999999991</v>
      </c>
      <c r="F343" s="16">
        <f t="shared" si="54"/>
        <v>10900</v>
      </c>
      <c r="G343" s="17">
        <f t="shared" si="55"/>
        <v>10.964525596330278</v>
      </c>
      <c r="H343" s="15">
        <f t="shared" si="56"/>
        <v>119513.32900000003</v>
      </c>
      <c r="I343" s="15">
        <f t="shared" si="57"/>
        <v>-20977.329000000042</v>
      </c>
      <c r="J343" s="33">
        <f t="shared" si="58"/>
        <v>-0.17552292430913735</v>
      </c>
      <c r="K343" s="15">
        <f t="shared" si="59"/>
        <v>98535.999999999985</v>
      </c>
      <c r="L343" s="22">
        <f t="shared" si="51"/>
        <v>-3229.0000000000146</v>
      </c>
      <c r="M343" s="22"/>
      <c r="N343" s="22"/>
      <c r="O343" s="22"/>
      <c r="P343" s="272"/>
      <c r="Q343" s="22">
        <f t="shared" si="52"/>
        <v>-4525</v>
      </c>
      <c r="R343" s="34">
        <f t="shared" si="53"/>
        <v>5</v>
      </c>
      <c r="S343" s="273"/>
      <c r="T343" s="273"/>
      <c r="U343" s="273"/>
      <c r="V343" s="22"/>
      <c r="W343" s="272"/>
      <c r="X343" s="272"/>
      <c r="Y343" s="272"/>
      <c r="Z343" s="274"/>
      <c r="AA343" s="22"/>
      <c r="AB343" s="275"/>
      <c r="AC343" s="40"/>
      <c r="AD343" s="40"/>
    </row>
    <row r="344" spans="1:30" s="1" customFormat="1" x14ac:dyDescent="0.25">
      <c r="A344" s="162">
        <v>43593</v>
      </c>
      <c r="B344" s="316" t="s">
        <v>931</v>
      </c>
      <c r="C344" s="285" t="s">
        <v>922</v>
      </c>
      <c r="D344" s="46">
        <v>500</v>
      </c>
      <c r="E344" s="128">
        <v>8.65</v>
      </c>
      <c r="F344" s="16">
        <f t="shared" si="54"/>
        <v>11400</v>
      </c>
      <c r="G344" s="17">
        <f t="shared" si="55"/>
        <v>10.863449912280704</v>
      </c>
      <c r="H344" s="15">
        <f t="shared" si="56"/>
        <v>123843.32900000003</v>
      </c>
      <c r="I344" s="15">
        <f t="shared" si="57"/>
        <v>-25233.329000000027</v>
      </c>
      <c r="J344" s="33">
        <f t="shared" si="58"/>
        <v>-0.2037520244631022</v>
      </c>
      <c r="K344" s="15">
        <f t="shared" si="59"/>
        <v>98610</v>
      </c>
      <c r="L344" s="22">
        <f t="shared" si="51"/>
        <v>-4255.9999999999854</v>
      </c>
      <c r="M344" s="22"/>
      <c r="N344" s="22"/>
      <c r="O344" s="22"/>
      <c r="P344" s="272"/>
      <c r="Q344" s="22">
        <f t="shared" si="52"/>
        <v>-4330</v>
      </c>
      <c r="R344" s="34">
        <f t="shared" si="53"/>
        <v>5</v>
      </c>
      <c r="S344" s="273"/>
      <c r="T344" s="273"/>
      <c r="U344" s="273"/>
      <c r="V344" s="22"/>
      <c r="W344" s="272"/>
      <c r="X344" s="272"/>
      <c r="Y344" s="272"/>
      <c r="Z344" s="274"/>
      <c r="AA344" s="22"/>
      <c r="AB344" s="275"/>
      <c r="AC344" s="40"/>
      <c r="AD344" s="40"/>
    </row>
    <row r="345" spans="1:30" s="1" customFormat="1" x14ac:dyDescent="0.25">
      <c r="A345" s="162">
        <v>43593</v>
      </c>
      <c r="B345" s="316"/>
      <c r="C345" s="285" t="s">
        <v>926</v>
      </c>
      <c r="D345" s="46">
        <v>400</v>
      </c>
      <c r="E345" s="128">
        <v>9.1199999999999992</v>
      </c>
      <c r="F345" s="16">
        <f t="shared" si="54"/>
        <v>11000</v>
      </c>
      <c r="G345" s="17">
        <f t="shared" si="55"/>
        <v>10.927634272727275</v>
      </c>
      <c r="H345" s="15">
        <f t="shared" si="56"/>
        <v>120203.97700000003</v>
      </c>
      <c r="I345" s="15">
        <f t="shared" si="57"/>
        <v>-19883.977000000043</v>
      </c>
      <c r="J345" s="33">
        <f t="shared" si="58"/>
        <v>-0.1654186283703411</v>
      </c>
      <c r="K345" s="15">
        <f t="shared" si="59"/>
        <v>100319.99999999999</v>
      </c>
      <c r="L345" s="22">
        <f t="shared" si="51"/>
        <v>5349.3519999999844</v>
      </c>
      <c r="M345" s="22"/>
      <c r="N345" s="22"/>
      <c r="O345" s="22"/>
      <c r="P345" s="272"/>
      <c r="Q345" s="22">
        <f t="shared" si="52"/>
        <v>3639.351999999999</v>
      </c>
      <c r="R345" s="34">
        <f t="shared" si="53"/>
        <v>8.6479999999999997</v>
      </c>
      <c r="S345" s="273"/>
      <c r="T345" s="273"/>
      <c r="U345" s="273"/>
      <c r="V345" s="22"/>
      <c r="W345" s="272"/>
      <c r="X345" s="272"/>
      <c r="Y345" s="272"/>
      <c r="Z345" s="274"/>
      <c r="AA345" s="22"/>
      <c r="AB345" s="275"/>
      <c r="AC345" s="40"/>
      <c r="AD345" s="40"/>
    </row>
    <row r="346" spans="1:30" s="1" customFormat="1" x14ac:dyDescent="0.25">
      <c r="A346" s="162">
        <v>43600</v>
      </c>
      <c r="B346" s="316"/>
      <c r="C346" s="285" t="s">
        <v>926</v>
      </c>
      <c r="D346" s="46">
        <v>400</v>
      </c>
      <c r="E346" s="128">
        <v>9.89</v>
      </c>
      <c r="F346" s="16">
        <f t="shared" si="54"/>
        <v>10600</v>
      </c>
      <c r="G346" s="17">
        <f t="shared" si="55"/>
        <v>10.967635188679248</v>
      </c>
      <c r="H346" s="15">
        <f t="shared" si="56"/>
        <v>116256.93300000003</v>
      </c>
      <c r="I346" s="15">
        <f t="shared" si="57"/>
        <v>-11422.933000000034</v>
      </c>
      <c r="J346" s="33">
        <f t="shared" si="58"/>
        <v>-9.8255929390464986E-2</v>
      </c>
      <c r="K346" s="15">
        <f t="shared" si="59"/>
        <v>104834</v>
      </c>
      <c r="L346" s="22">
        <f t="shared" si="51"/>
        <v>8461.044000000009</v>
      </c>
      <c r="M346" s="22"/>
      <c r="N346" s="22"/>
      <c r="O346" s="22"/>
      <c r="P346" s="272"/>
      <c r="Q346" s="22">
        <f t="shared" si="52"/>
        <v>3947.0439999999944</v>
      </c>
      <c r="R346" s="34">
        <f t="shared" si="53"/>
        <v>8.9559999999999995</v>
      </c>
      <c r="S346" s="273"/>
      <c r="T346" s="273"/>
      <c r="U346" s="273"/>
      <c r="V346" s="22"/>
      <c r="W346" s="272"/>
      <c r="X346" s="272"/>
      <c r="Y346" s="272"/>
      <c r="Z346" s="274"/>
      <c r="AA346" s="22"/>
      <c r="AB346" s="275"/>
      <c r="AC346" s="40"/>
      <c r="AD346" s="40"/>
    </row>
    <row r="347" spans="1:30" s="1" customFormat="1" x14ac:dyDescent="0.25">
      <c r="A347" s="162">
        <v>43601</v>
      </c>
      <c r="B347" s="316"/>
      <c r="C347" s="285" t="s">
        <v>926</v>
      </c>
      <c r="D347" s="46">
        <v>400</v>
      </c>
      <c r="E347" s="128">
        <v>10.56</v>
      </c>
      <c r="F347" s="16">
        <f t="shared" si="54"/>
        <v>10200</v>
      </c>
      <c r="G347" s="17">
        <f t="shared" si="55"/>
        <v>10.984525196078435</v>
      </c>
      <c r="H347" s="15">
        <f t="shared" si="56"/>
        <v>112042.15700000004</v>
      </c>
      <c r="I347" s="15">
        <f t="shared" si="57"/>
        <v>-4330.1570000000356</v>
      </c>
      <c r="J347" s="33">
        <f t="shared" si="58"/>
        <v>-3.8647569057422108E-2</v>
      </c>
      <c r="K347" s="15">
        <f t="shared" si="59"/>
        <v>107712</v>
      </c>
      <c r="L347" s="22">
        <f t="shared" si="51"/>
        <v>7092.775999999998</v>
      </c>
      <c r="M347" s="22"/>
      <c r="N347" s="22"/>
      <c r="O347" s="22"/>
      <c r="P347" s="272"/>
      <c r="Q347" s="22">
        <f t="shared" si="52"/>
        <v>4214.775999999998</v>
      </c>
      <c r="R347" s="34">
        <f t="shared" si="53"/>
        <v>9.2240000000000002</v>
      </c>
      <c r="S347" s="273"/>
      <c r="T347" s="273"/>
      <c r="U347" s="273"/>
      <c r="V347" s="22"/>
      <c r="W347" s="272"/>
      <c r="X347" s="272"/>
      <c r="Y347" s="272"/>
      <c r="Z347" s="274"/>
      <c r="AA347" s="22"/>
      <c r="AB347" s="275"/>
      <c r="AC347" s="40"/>
      <c r="AD347" s="40"/>
    </row>
    <row r="348" spans="1:30" s="1" customFormat="1" x14ac:dyDescent="0.25">
      <c r="A348" s="162">
        <v>43605</v>
      </c>
      <c r="B348" s="316"/>
      <c r="C348" s="325" t="s">
        <v>926</v>
      </c>
      <c r="D348" s="163">
        <v>400</v>
      </c>
      <c r="E348" s="326">
        <v>11.02</v>
      </c>
      <c r="F348" s="16">
        <f t="shared" si="54"/>
        <v>9800</v>
      </c>
      <c r="G348" s="17">
        <f t="shared" si="55"/>
        <v>10.984037244897962</v>
      </c>
      <c r="H348" s="15">
        <f t="shared" si="56"/>
        <v>107643.56500000003</v>
      </c>
      <c r="I348" s="15">
        <f t="shared" si="57"/>
        <v>352.43499999996857</v>
      </c>
      <c r="J348" s="33">
        <f t="shared" si="58"/>
        <v>3.2740926036773899E-3</v>
      </c>
      <c r="K348" s="15">
        <f t="shared" si="59"/>
        <v>107996</v>
      </c>
      <c r="L348" s="22">
        <f t="shared" si="51"/>
        <v>4682.5920000000042</v>
      </c>
      <c r="M348" s="22"/>
      <c r="N348" s="22"/>
      <c r="O348" s="22"/>
      <c r="P348" s="272"/>
      <c r="Q348" s="22">
        <f t="shared" si="52"/>
        <v>4398.5920000000042</v>
      </c>
      <c r="R348" s="34">
        <f t="shared" si="53"/>
        <v>9.4079999999999995</v>
      </c>
      <c r="S348" s="273"/>
      <c r="T348" s="273"/>
      <c r="U348" s="273"/>
      <c r="V348" s="22"/>
      <c r="W348" s="272"/>
      <c r="X348" s="272"/>
      <c r="Y348" s="272"/>
      <c r="Z348" s="274"/>
      <c r="AA348" s="22"/>
      <c r="AB348" s="275"/>
      <c r="AC348" s="40"/>
      <c r="AD348" s="40"/>
    </row>
    <row r="349" spans="1:30" s="1" customFormat="1" x14ac:dyDescent="0.25">
      <c r="A349" s="162">
        <v>43606</v>
      </c>
      <c r="B349" s="316"/>
      <c r="C349" s="325" t="s">
        <v>926</v>
      </c>
      <c r="D349" s="163">
        <v>400</v>
      </c>
      <c r="E349" s="326">
        <v>11.45</v>
      </c>
      <c r="F349" s="16">
        <f t="shared" si="54"/>
        <v>9400</v>
      </c>
      <c r="G349" s="17">
        <f t="shared" si="55"/>
        <v>10.965228191489365</v>
      </c>
      <c r="H349" s="15">
        <f t="shared" si="56"/>
        <v>103073.14500000003</v>
      </c>
      <c r="I349" s="15">
        <f t="shared" si="57"/>
        <v>4556.8549999999668</v>
      </c>
      <c r="J349" s="33">
        <f t="shared" si="58"/>
        <v>4.4209915201481098E-2</v>
      </c>
      <c r="K349" s="15">
        <f t="shared" si="59"/>
        <v>107630</v>
      </c>
      <c r="L349" s="22">
        <f t="shared" si="51"/>
        <v>4204.4199999999983</v>
      </c>
      <c r="M349" s="22"/>
      <c r="N349" s="22"/>
      <c r="O349" s="22"/>
      <c r="P349" s="272"/>
      <c r="Q349" s="22">
        <f t="shared" si="52"/>
        <v>4570.4199999999983</v>
      </c>
      <c r="R349" s="34">
        <f t="shared" si="53"/>
        <v>9.58</v>
      </c>
      <c r="S349" s="273"/>
      <c r="T349" s="273"/>
      <c r="U349" s="273"/>
      <c r="V349" s="22"/>
      <c r="W349" s="272"/>
      <c r="X349" s="272"/>
      <c r="Y349" s="272"/>
      <c r="Z349" s="274"/>
      <c r="AA349" s="22"/>
      <c r="AB349" s="275"/>
      <c r="AC349" s="40"/>
      <c r="AD349" s="40"/>
    </row>
    <row r="350" spans="1:30" s="1" customFormat="1" x14ac:dyDescent="0.25">
      <c r="A350" s="162">
        <v>43607</v>
      </c>
      <c r="B350" s="316" t="s">
        <v>932</v>
      </c>
      <c r="C350" s="285" t="s">
        <v>63</v>
      </c>
      <c r="D350" s="46">
        <v>500</v>
      </c>
      <c r="E350" s="128">
        <v>10.71</v>
      </c>
      <c r="F350" s="16">
        <f t="shared" si="54"/>
        <v>9900</v>
      </c>
      <c r="G350" s="17">
        <f t="shared" si="55"/>
        <v>10.952842929292933</v>
      </c>
      <c r="H350" s="15">
        <f t="shared" si="56"/>
        <v>108433.14500000003</v>
      </c>
      <c r="I350" s="15">
        <f t="shared" si="57"/>
        <v>-2404.1450000000186</v>
      </c>
      <c r="J350" s="33">
        <f t="shared" si="58"/>
        <v>-2.2171680070701864E-2</v>
      </c>
      <c r="K350" s="15">
        <f t="shared" si="59"/>
        <v>106029.00000000001</v>
      </c>
      <c r="L350" s="22">
        <f t="shared" si="51"/>
        <v>-6960.9999999999854</v>
      </c>
      <c r="M350" s="22"/>
      <c r="N350" s="22"/>
      <c r="O350" s="22"/>
      <c r="P350" s="272"/>
      <c r="Q350" s="22">
        <f t="shared" si="52"/>
        <v>-5360</v>
      </c>
      <c r="R350" s="34">
        <f t="shared" si="53"/>
        <v>5</v>
      </c>
      <c r="S350" s="273"/>
      <c r="T350" s="273"/>
      <c r="U350" s="273"/>
      <c r="V350" s="22"/>
      <c r="W350" s="272"/>
      <c r="X350" s="272"/>
      <c r="Y350" s="272"/>
      <c r="Z350" s="274"/>
      <c r="AA350" s="22"/>
      <c r="AB350" s="275"/>
      <c r="AC350" s="40"/>
      <c r="AD350" s="40"/>
    </row>
    <row r="351" spans="1:30" s="1" customFormat="1" x14ac:dyDescent="0.25">
      <c r="A351" s="162">
        <v>43608</v>
      </c>
      <c r="B351" s="316" t="s">
        <v>933</v>
      </c>
      <c r="C351" s="285" t="s">
        <v>63</v>
      </c>
      <c r="D351" s="46">
        <v>500</v>
      </c>
      <c r="E351" s="128">
        <v>10.27</v>
      </c>
      <c r="F351" s="16">
        <f t="shared" si="54"/>
        <v>10400</v>
      </c>
      <c r="G351" s="17">
        <f t="shared" si="55"/>
        <v>10.920494711538465</v>
      </c>
      <c r="H351" s="15">
        <f t="shared" si="56"/>
        <v>113573.14500000003</v>
      </c>
      <c r="I351" s="15">
        <f t="shared" si="57"/>
        <v>-6765.1450000000332</v>
      </c>
      <c r="J351" s="33">
        <f t="shared" si="58"/>
        <v>-5.9566414225828125E-2</v>
      </c>
      <c r="K351" s="15">
        <f t="shared" si="59"/>
        <v>106808</v>
      </c>
      <c r="L351" s="22">
        <f t="shared" si="51"/>
        <v>-4361.0000000000146</v>
      </c>
      <c r="M351" s="22"/>
      <c r="N351" s="22"/>
      <c r="O351" s="22"/>
      <c r="P351" s="272"/>
      <c r="Q351" s="22">
        <f t="shared" si="52"/>
        <v>-5140</v>
      </c>
      <c r="R351" s="34">
        <f t="shared" si="53"/>
        <v>5</v>
      </c>
      <c r="S351" s="273"/>
      <c r="T351" s="273"/>
      <c r="U351" s="273"/>
      <c r="V351" s="22"/>
      <c r="W351" s="272"/>
      <c r="X351" s="272"/>
      <c r="Y351" s="272"/>
      <c r="Z351" s="274"/>
      <c r="AA351" s="22"/>
      <c r="AB351" s="275"/>
      <c r="AC351" s="40"/>
      <c r="AD351" s="40"/>
    </row>
    <row r="352" spans="1:30" s="1" customFormat="1" x14ac:dyDescent="0.25">
      <c r="A352" s="162">
        <v>43608</v>
      </c>
      <c r="B352" s="316" t="s">
        <v>934</v>
      </c>
      <c r="C352" s="285" t="s">
        <v>63</v>
      </c>
      <c r="D352" s="46">
        <v>500</v>
      </c>
      <c r="E352" s="128">
        <v>9.8000000000000007</v>
      </c>
      <c r="F352" s="16">
        <f t="shared" si="54"/>
        <v>10900</v>
      </c>
      <c r="G352" s="17">
        <f t="shared" si="55"/>
        <v>10.869554587155966</v>
      </c>
      <c r="H352" s="15">
        <f t="shared" si="56"/>
        <v>118478.14500000003</v>
      </c>
      <c r="I352" s="15">
        <f t="shared" si="57"/>
        <v>-11658.145000000019</v>
      </c>
      <c r="J352" s="33">
        <f t="shared" si="58"/>
        <v>-9.8399118250880907E-2</v>
      </c>
      <c r="K352" s="15">
        <f t="shared" si="59"/>
        <v>106820.00000000001</v>
      </c>
      <c r="L352" s="22">
        <f t="shared" si="51"/>
        <v>-4892.9999999999854</v>
      </c>
      <c r="M352" s="22"/>
      <c r="N352" s="22"/>
      <c r="O352" s="22"/>
      <c r="P352" s="272"/>
      <c r="Q352" s="22">
        <f t="shared" si="52"/>
        <v>-4905</v>
      </c>
      <c r="R352" s="34">
        <f t="shared" si="53"/>
        <v>5</v>
      </c>
      <c r="S352" s="273"/>
      <c r="T352" s="273"/>
      <c r="U352" s="273"/>
      <c r="V352" s="22"/>
      <c r="W352" s="272"/>
      <c r="X352" s="272"/>
      <c r="Y352" s="272"/>
      <c r="Z352" s="274"/>
      <c r="AA352" s="22"/>
      <c r="AB352" s="275"/>
      <c r="AC352" s="40"/>
      <c r="AD352" s="40"/>
    </row>
    <row r="353" spans="1:30" s="1" customFormat="1" x14ac:dyDescent="0.25">
      <c r="A353" s="162">
        <v>43609</v>
      </c>
      <c r="B353" s="316"/>
      <c r="C353" s="325" t="s">
        <v>69</v>
      </c>
      <c r="D353" s="163">
        <v>400</v>
      </c>
      <c r="E353" s="326">
        <v>10.130000000000001</v>
      </c>
      <c r="F353" s="16">
        <f t="shared" si="54"/>
        <v>10500</v>
      </c>
      <c r="G353" s="17">
        <f t="shared" si="55"/>
        <v>10.898590190476193</v>
      </c>
      <c r="H353" s="15">
        <f t="shared" si="56"/>
        <v>114435.19700000003</v>
      </c>
      <c r="I353" s="15">
        <f t="shared" si="57"/>
        <v>-8070.1970000000147</v>
      </c>
      <c r="J353" s="33">
        <f t="shared" si="58"/>
        <v>-7.0521982847637527E-2</v>
      </c>
      <c r="K353" s="15">
        <f t="shared" si="59"/>
        <v>106365.00000000001</v>
      </c>
      <c r="L353" s="22">
        <f t="shared" si="51"/>
        <v>3587.948000000004</v>
      </c>
      <c r="M353" s="22"/>
      <c r="N353" s="22"/>
      <c r="O353" s="22"/>
      <c r="P353" s="272"/>
      <c r="Q353" s="22">
        <f t="shared" si="52"/>
        <v>4042.948000000004</v>
      </c>
      <c r="R353" s="34">
        <f t="shared" si="53"/>
        <v>9.0519999999999996</v>
      </c>
      <c r="S353" s="273"/>
      <c r="T353" s="273"/>
      <c r="U353" s="273"/>
      <c r="V353" s="22"/>
      <c r="W353" s="272"/>
      <c r="X353" s="272"/>
      <c r="Y353" s="272"/>
      <c r="Z353" s="274"/>
      <c r="AA353" s="22"/>
      <c r="AB353" s="275"/>
      <c r="AC353" s="40"/>
      <c r="AD353" s="40"/>
    </row>
    <row r="354" spans="1:30" s="1" customFormat="1" x14ac:dyDescent="0.25">
      <c r="A354" s="162">
        <v>43613</v>
      </c>
      <c r="B354" s="316"/>
      <c r="C354" s="325" t="s">
        <v>69</v>
      </c>
      <c r="D354" s="163">
        <v>400</v>
      </c>
      <c r="E354" s="326">
        <v>10.53</v>
      </c>
      <c r="F354" s="16">
        <f t="shared" si="54"/>
        <v>10100</v>
      </c>
      <c r="G354" s="17">
        <f t="shared" si="55"/>
        <v>10.914099900990102</v>
      </c>
      <c r="H354" s="15">
        <f t="shared" si="56"/>
        <v>110232.40900000003</v>
      </c>
      <c r="I354" s="15">
        <f t="shared" si="57"/>
        <v>-3879.4090000000288</v>
      </c>
      <c r="J354" s="33">
        <f t="shared" si="58"/>
        <v>-3.5192998458375688E-2</v>
      </c>
      <c r="K354" s="15">
        <f t="shared" si="59"/>
        <v>106353</v>
      </c>
      <c r="L354" s="22">
        <f t="shared" si="51"/>
        <v>4190.7879999999859</v>
      </c>
      <c r="M354" s="22"/>
      <c r="N354" s="22"/>
      <c r="O354" s="22"/>
      <c r="P354" s="272"/>
      <c r="Q354" s="22">
        <f t="shared" si="52"/>
        <v>4202.7880000000005</v>
      </c>
      <c r="R354" s="34">
        <f t="shared" si="53"/>
        <v>9.2119999999999997</v>
      </c>
      <c r="S354" s="273"/>
      <c r="T354" s="273"/>
      <c r="U354" s="273"/>
      <c r="V354" s="22"/>
      <c r="W354" s="272"/>
      <c r="X354" s="272"/>
      <c r="Y354" s="272"/>
      <c r="Z354" s="274"/>
      <c r="AA354" s="22"/>
      <c r="AB354" s="275"/>
      <c r="AC354" s="40"/>
      <c r="AD354" s="40"/>
    </row>
    <row r="355" spans="1:30" s="1" customFormat="1" x14ac:dyDescent="0.25">
      <c r="A355" s="162">
        <v>43613</v>
      </c>
      <c r="B355" s="316"/>
      <c r="C355" s="325" t="s">
        <v>69</v>
      </c>
      <c r="D355" s="163">
        <v>400</v>
      </c>
      <c r="E355" s="326">
        <v>10.96</v>
      </c>
      <c r="F355" s="16">
        <f t="shared" si="54"/>
        <v>9700</v>
      </c>
      <c r="G355" s="17">
        <f t="shared" si="55"/>
        <v>10.913174536082478</v>
      </c>
      <c r="H355" s="15">
        <f t="shared" si="56"/>
        <v>105857.79300000003</v>
      </c>
      <c r="I355" s="15">
        <f t="shared" si="57"/>
        <v>454.20699999998033</v>
      </c>
      <c r="J355" s="33">
        <f t="shared" si="58"/>
        <v>4.2907280335985724E-3</v>
      </c>
      <c r="K355" s="15">
        <f t="shared" si="59"/>
        <v>106312.00000000001</v>
      </c>
      <c r="L355" s="22">
        <f t="shared" si="51"/>
        <v>4333.6160000000091</v>
      </c>
      <c r="M355" s="22"/>
      <c r="N355" s="22"/>
      <c r="O355" s="22"/>
      <c r="P355" s="272"/>
      <c r="Q355" s="22">
        <f t="shared" si="52"/>
        <v>4374.6159999999945</v>
      </c>
      <c r="R355" s="34">
        <f t="shared" si="53"/>
        <v>9.3840000000000003</v>
      </c>
      <c r="S355" s="273"/>
      <c r="T355" s="273"/>
      <c r="U355" s="273"/>
      <c r="V355" s="22"/>
      <c r="W355" s="272"/>
      <c r="X355" s="272"/>
      <c r="Y355" s="272"/>
      <c r="Z355" s="274"/>
      <c r="AA355" s="22"/>
      <c r="AB355" s="275"/>
      <c r="AC355" s="40"/>
      <c r="AD355" s="40"/>
    </row>
    <row r="356" spans="1:30" s="1" customFormat="1" x14ac:dyDescent="0.25">
      <c r="A356" s="162">
        <v>43613</v>
      </c>
      <c r="B356" s="316"/>
      <c r="C356" s="325" t="s">
        <v>69</v>
      </c>
      <c r="D356" s="163">
        <v>400</v>
      </c>
      <c r="E356" s="326">
        <v>11.06</v>
      </c>
      <c r="F356" s="16">
        <f t="shared" si="54"/>
        <v>9300</v>
      </c>
      <c r="G356" s="17">
        <f t="shared" si="55"/>
        <v>10.907872795698928</v>
      </c>
      <c r="H356" s="15">
        <f t="shared" si="56"/>
        <v>101443.21700000003</v>
      </c>
      <c r="I356" s="15">
        <f t="shared" si="57"/>
        <v>1414.7829999999667</v>
      </c>
      <c r="J356" s="33">
        <f t="shared" si="58"/>
        <v>1.3946551004982136E-2</v>
      </c>
      <c r="K356" s="15">
        <f t="shared" si="59"/>
        <v>102858</v>
      </c>
      <c r="L356" s="22">
        <f t="shared" si="51"/>
        <v>960.57599999998638</v>
      </c>
      <c r="M356" s="22"/>
      <c r="N356" s="22"/>
      <c r="O356" s="22"/>
      <c r="P356" s="272"/>
      <c r="Q356" s="22">
        <f t="shared" si="52"/>
        <v>4414.5760000000009</v>
      </c>
      <c r="R356" s="34">
        <f t="shared" si="53"/>
        <v>9.4239999999999995</v>
      </c>
      <c r="S356" s="273"/>
      <c r="T356" s="273"/>
      <c r="U356" s="273"/>
      <c r="V356" s="22"/>
      <c r="W356" s="272"/>
      <c r="X356" s="272"/>
      <c r="Y356" s="272"/>
      <c r="Z356" s="274"/>
      <c r="AA356" s="22"/>
      <c r="AB356" s="275"/>
      <c r="AC356" s="40"/>
      <c r="AD356" s="40"/>
    </row>
    <row r="357" spans="1:30" s="1" customFormat="1" x14ac:dyDescent="0.25">
      <c r="A357" s="162">
        <v>43613</v>
      </c>
      <c r="B357" s="316"/>
      <c r="C357" s="325" t="s">
        <v>69</v>
      </c>
      <c r="D357" s="163">
        <v>400</v>
      </c>
      <c r="E357" s="326">
        <v>11.06</v>
      </c>
      <c r="F357" s="16">
        <f t="shared" si="54"/>
        <v>8900</v>
      </c>
      <c r="G357" s="17">
        <f t="shared" si="55"/>
        <v>10.802094494382025</v>
      </c>
      <c r="H357" s="15">
        <f t="shared" si="56"/>
        <v>96138.641000000032</v>
      </c>
      <c r="I357" s="15">
        <f t="shared" si="57"/>
        <v>2295.3589999999676</v>
      </c>
      <c r="J357" s="33">
        <f t="shared" si="58"/>
        <v>2.387550912020878E-2</v>
      </c>
      <c r="K357" s="15">
        <f t="shared" si="59"/>
        <v>98434</v>
      </c>
      <c r="L357" s="22">
        <f t="shared" si="51"/>
        <v>880.57600000000093</v>
      </c>
      <c r="M357" s="22"/>
      <c r="N357" s="22"/>
      <c r="O357" s="22"/>
      <c r="P357" s="272"/>
      <c r="Q357" s="22">
        <f t="shared" si="52"/>
        <v>5304.5760000000009</v>
      </c>
      <c r="R357" s="34">
        <f t="shared" si="53"/>
        <v>9.4239999999999995</v>
      </c>
      <c r="S357" s="273">
        <v>-890</v>
      </c>
      <c r="T357" s="273"/>
      <c r="U357" s="273"/>
      <c r="V357" s="22"/>
      <c r="W357" s="272"/>
      <c r="X357" s="272"/>
      <c r="Y357" s="272"/>
      <c r="Z357" s="274"/>
      <c r="AA357" s="22"/>
      <c r="AB357" s="275"/>
      <c r="AC357" s="40"/>
      <c r="AD357" s="40"/>
    </row>
    <row r="358" spans="1:30" s="1" customFormat="1" x14ac:dyDescent="0.25">
      <c r="A358" s="162">
        <v>43614</v>
      </c>
      <c r="B358" s="316" t="s">
        <v>935</v>
      </c>
      <c r="C358" s="325" t="s">
        <v>63</v>
      </c>
      <c r="D358" s="163">
        <v>1780</v>
      </c>
      <c r="E358" s="326"/>
      <c r="F358" s="16">
        <f t="shared" si="54"/>
        <v>10680</v>
      </c>
      <c r="G358" s="17">
        <f t="shared" si="55"/>
        <v>9.0022135767790292</v>
      </c>
      <c r="H358" s="15">
        <f t="shared" si="56"/>
        <v>96143.641000000032</v>
      </c>
      <c r="I358" s="15">
        <f t="shared" si="57"/>
        <v>-96143.641000000032</v>
      </c>
      <c r="J358" s="33">
        <f t="shared" si="58"/>
        <v>-1</v>
      </c>
      <c r="K358" s="15">
        <f t="shared" si="59"/>
        <v>0</v>
      </c>
      <c r="L358" s="22">
        <f t="shared" si="51"/>
        <v>-98439</v>
      </c>
      <c r="M358" s="22"/>
      <c r="N358" s="22"/>
      <c r="O358" s="22"/>
      <c r="P358" s="272"/>
      <c r="Q358" s="22">
        <f t="shared" si="52"/>
        <v>-5</v>
      </c>
      <c r="R358" s="34">
        <f t="shared" si="53"/>
        <v>5</v>
      </c>
      <c r="S358" s="273"/>
      <c r="T358" s="273"/>
      <c r="U358" s="273"/>
      <c r="V358" s="22"/>
      <c r="W358" s="272"/>
      <c r="X358" s="272"/>
      <c r="Y358" s="272"/>
      <c r="Z358" s="274"/>
      <c r="AA358" s="22"/>
      <c r="AB358" s="275"/>
      <c r="AC358" s="40"/>
      <c r="AD358" s="40"/>
    </row>
    <row r="359" spans="1:30" s="1" customFormat="1" x14ac:dyDescent="0.25">
      <c r="A359" s="162">
        <v>43614</v>
      </c>
      <c r="B359" s="316" t="s">
        <v>936</v>
      </c>
      <c r="C359" s="285" t="s">
        <v>63</v>
      </c>
      <c r="D359" s="46">
        <v>400</v>
      </c>
      <c r="E359" s="128">
        <v>8.84</v>
      </c>
      <c r="F359" s="16">
        <f t="shared" si="54"/>
        <v>11080</v>
      </c>
      <c r="G359" s="17">
        <f t="shared" si="55"/>
        <v>8.9968087545126387</v>
      </c>
      <c r="H359" s="15">
        <f t="shared" si="56"/>
        <v>99684.641000000032</v>
      </c>
      <c r="I359" s="15">
        <f t="shared" si="57"/>
        <v>-1737.4410000000353</v>
      </c>
      <c r="J359" s="33">
        <f t="shared" si="58"/>
        <v>-1.7429375103031549E-2</v>
      </c>
      <c r="K359" s="15">
        <f t="shared" si="59"/>
        <v>97947.199999999997</v>
      </c>
      <c r="L359" s="22">
        <f t="shared" si="51"/>
        <v>94406.2</v>
      </c>
      <c r="M359" s="22"/>
      <c r="N359" s="22"/>
      <c r="O359" s="22"/>
      <c r="P359" s="272"/>
      <c r="Q359" s="22">
        <f t="shared" si="52"/>
        <v>-3541</v>
      </c>
      <c r="R359" s="34">
        <f t="shared" si="53"/>
        <v>5</v>
      </c>
      <c r="S359" s="273"/>
      <c r="T359" s="273"/>
      <c r="U359" s="273"/>
      <c r="V359" s="22"/>
      <c r="W359" s="272"/>
      <c r="X359" s="272"/>
      <c r="Y359" s="272"/>
      <c r="Z359" s="274"/>
      <c r="AA359" s="22"/>
      <c r="AB359" s="275"/>
      <c r="AC359" s="40"/>
      <c r="AD359" s="40"/>
    </row>
    <row r="360" spans="1:30" s="1" customFormat="1" x14ac:dyDescent="0.25">
      <c r="A360" s="162">
        <v>43614</v>
      </c>
      <c r="B360" s="316"/>
      <c r="C360" s="325" t="s">
        <v>69</v>
      </c>
      <c r="D360" s="163">
        <v>400</v>
      </c>
      <c r="E360" s="326">
        <v>9.43</v>
      </c>
      <c r="F360" s="16">
        <f t="shared" si="54"/>
        <v>10680</v>
      </c>
      <c r="G360" s="17">
        <f t="shared" si="55"/>
        <v>8.9814057116104902</v>
      </c>
      <c r="H360" s="15">
        <f t="shared" si="56"/>
        <v>95921.41300000003</v>
      </c>
      <c r="I360" s="15">
        <f t="shared" si="57"/>
        <v>4790.9869999999646</v>
      </c>
      <c r="J360" s="33">
        <f t="shared" si="58"/>
        <v>4.994700192750455E-2</v>
      </c>
      <c r="K360" s="15">
        <f t="shared" si="59"/>
        <v>100712.4</v>
      </c>
      <c r="L360" s="22">
        <f t="shared" si="51"/>
        <v>6528.4279999999999</v>
      </c>
      <c r="M360" s="22"/>
      <c r="N360" s="22"/>
      <c r="O360" s="22"/>
      <c r="P360" s="272"/>
      <c r="Q360" s="22">
        <f t="shared" si="52"/>
        <v>3763.2280000000028</v>
      </c>
      <c r="R360" s="34">
        <f t="shared" si="53"/>
        <v>8.7720000000000002</v>
      </c>
      <c r="S360" s="273"/>
      <c r="T360" s="273"/>
      <c r="U360" s="273"/>
      <c r="V360" s="22"/>
      <c r="W360" s="272"/>
      <c r="X360" s="272"/>
      <c r="Y360" s="272"/>
      <c r="Z360" s="274"/>
      <c r="AA360" s="22"/>
      <c r="AB360" s="275"/>
      <c r="AC360" s="40"/>
      <c r="AD360" s="40"/>
    </row>
    <row r="361" spans="1:30" s="1" customFormat="1" x14ac:dyDescent="0.25">
      <c r="A361" s="162">
        <v>43616</v>
      </c>
      <c r="B361" s="316" t="s">
        <v>937</v>
      </c>
      <c r="C361" s="325" t="s">
        <v>63</v>
      </c>
      <c r="D361" s="163">
        <v>400</v>
      </c>
      <c r="E361" s="326">
        <v>8.77</v>
      </c>
      <c r="F361" s="16">
        <f t="shared" si="54"/>
        <v>11080</v>
      </c>
      <c r="G361" s="17">
        <f t="shared" si="55"/>
        <v>8.9742250000000023</v>
      </c>
      <c r="H361" s="15">
        <f t="shared" si="56"/>
        <v>99434.41300000003</v>
      </c>
      <c r="I361" s="15">
        <f t="shared" si="57"/>
        <v>-2262.8130000000383</v>
      </c>
      <c r="J361" s="33">
        <f t="shared" si="58"/>
        <v>-2.2756839727107656E-2</v>
      </c>
      <c r="K361" s="15">
        <f t="shared" si="59"/>
        <v>97171.599999999991</v>
      </c>
      <c r="L361" s="22">
        <f t="shared" si="51"/>
        <v>-7053.8000000000029</v>
      </c>
      <c r="M361" s="22"/>
      <c r="N361" s="22"/>
      <c r="O361" s="22"/>
      <c r="P361" s="272"/>
      <c r="Q361" s="22">
        <f t="shared" si="52"/>
        <v>-3513</v>
      </c>
      <c r="R361" s="34">
        <f t="shared" si="53"/>
        <v>5</v>
      </c>
      <c r="S361" s="273"/>
      <c r="T361" s="273"/>
      <c r="U361" s="273"/>
      <c r="V361" s="22"/>
      <c r="W361" s="272"/>
      <c r="X361" s="272"/>
      <c r="Y361" s="272"/>
      <c r="Z361" s="274"/>
      <c r="AA361" s="22"/>
      <c r="AB361" s="275"/>
      <c r="AC361" s="40"/>
      <c r="AD361" s="40"/>
    </row>
    <row r="362" spans="1:30" s="1" customFormat="1" x14ac:dyDescent="0.25">
      <c r="A362" s="162">
        <v>43619</v>
      </c>
      <c r="B362" s="316" t="s">
        <v>938</v>
      </c>
      <c r="C362" s="325" t="s">
        <v>922</v>
      </c>
      <c r="D362" s="163">
        <v>500</v>
      </c>
      <c r="E362" s="326">
        <v>8.35</v>
      </c>
      <c r="F362" s="16">
        <f t="shared" si="54"/>
        <v>11580</v>
      </c>
      <c r="G362" s="17">
        <f t="shared" si="55"/>
        <v>8.9477040587219374</v>
      </c>
      <c r="H362" s="15">
        <f t="shared" si="56"/>
        <v>103614.41300000003</v>
      </c>
      <c r="I362" s="15">
        <f t="shared" si="57"/>
        <v>-6921.4130000000296</v>
      </c>
      <c r="J362" s="33">
        <f t="shared" si="58"/>
        <v>-6.6799712507178297E-2</v>
      </c>
      <c r="K362" s="15">
        <f t="shared" si="59"/>
        <v>96693</v>
      </c>
      <c r="L362" s="22">
        <f t="shared" si="51"/>
        <v>-4658.5999999999913</v>
      </c>
      <c r="M362" s="22"/>
      <c r="N362" s="22"/>
      <c r="O362" s="22"/>
      <c r="P362" s="272"/>
      <c r="Q362" s="22">
        <f t="shared" si="52"/>
        <v>-4180</v>
      </c>
      <c r="R362" s="34">
        <f t="shared" si="53"/>
        <v>5</v>
      </c>
      <c r="S362" s="273"/>
      <c r="T362" s="273"/>
      <c r="U362" s="273"/>
      <c r="V362" s="22"/>
      <c r="W362" s="272"/>
      <c r="X362" s="272"/>
      <c r="Y362" s="272"/>
      <c r="Z362" s="274"/>
      <c r="AA362" s="22"/>
      <c r="AB362" s="275"/>
      <c r="AC362" s="40"/>
      <c r="AD362" s="40"/>
    </row>
    <row r="363" spans="1:30" s="1" customFormat="1" x14ac:dyDescent="0.25">
      <c r="A363" s="162">
        <v>43620</v>
      </c>
      <c r="B363" s="316" t="s">
        <v>939</v>
      </c>
      <c r="C363" s="285" t="s">
        <v>922</v>
      </c>
      <c r="D363" s="46">
        <v>500</v>
      </c>
      <c r="E363" s="128">
        <v>8.0399999999999991</v>
      </c>
      <c r="F363" s="16">
        <f t="shared" si="54"/>
        <v>12080</v>
      </c>
      <c r="G363" s="17">
        <f t="shared" si="55"/>
        <v>8.9105474337748376</v>
      </c>
      <c r="H363" s="15">
        <f t="shared" si="56"/>
        <v>107639.41300000003</v>
      </c>
      <c r="I363" s="15">
        <f t="shared" si="57"/>
        <v>-10516.213000000047</v>
      </c>
      <c r="J363" s="33">
        <f t="shared" si="58"/>
        <v>-9.7698535386847987E-2</v>
      </c>
      <c r="K363" s="15">
        <f t="shared" si="59"/>
        <v>97123.199999999983</v>
      </c>
      <c r="L363" s="22">
        <f t="shared" si="51"/>
        <v>-3594.8000000000175</v>
      </c>
      <c r="M363" s="22"/>
      <c r="N363" s="22"/>
      <c r="O363" s="22"/>
      <c r="P363" s="272"/>
      <c r="Q363" s="22">
        <f t="shared" si="52"/>
        <v>-4025</v>
      </c>
      <c r="R363" s="34">
        <f t="shared" si="53"/>
        <v>5</v>
      </c>
      <c r="S363" s="273"/>
      <c r="T363" s="273"/>
      <c r="U363" s="273"/>
      <c r="V363" s="22"/>
      <c r="W363" s="272"/>
      <c r="X363" s="272"/>
      <c r="Y363" s="272"/>
      <c r="Z363" s="274"/>
      <c r="AA363" s="22"/>
      <c r="AB363" s="275"/>
      <c r="AC363" s="40"/>
      <c r="AD363" s="40"/>
    </row>
    <row r="364" spans="1:30" s="1" customFormat="1" x14ac:dyDescent="0.25">
      <c r="A364" s="162">
        <v>43621</v>
      </c>
      <c r="B364" s="316" t="s">
        <v>940</v>
      </c>
      <c r="C364" s="285" t="s">
        <v>922</v>
      </c>
      <c r="D364" s="46">
        <v>500</v>
      </c>
      <c r="E364" s="128">
        <v>7.91</v>
      </c>
      <c r="F364" s="16">
        <f t="shared" si="54"/>
        <v>12580</v>
      </c>
      <c r="G364" s="17">
        <f t="shared" si="55"/>
        <v>8.8711775039745646</v>
      </c>
      <c r="H364" s="15">
        <f t="shared" si="56"/>
        <v>111599.41300000003</v>
      </c>
      <c r="I364" s="15">
        <f t="shared" si="57"/>
        <v>-12091.613000000027</v>
      </c>
      <c r="J364" s="33">
        <f t="shared" si="58"/>
        <v>-0.1083483566351735</v>
      </c>
      <c r="K364" s="15">
        <f t="shared" si="59"/>
        <v>99507.8</v>
      </c>
      <c r="L364" s="22">
        <f t="shared" si="51"/>
        <v>-1575.3999999999796</v>
      </c>
      <c r="M364" s="22"/>
      <c r="N364" s="22"/>
      <c r="O364" s="22"/>
      <c r="P364" s="272"/>
      <c r="Q364" s="22">
        <f t="shared" si="52"/>
        <v>-3960</v>
      </c>
      <c r="R364" s="34">
        <f t="shared" si="53"/>
        <v>5</v>
      </c>
      <c r="S364" s="273"/>
      <c r="T364" s="273"/>
      <c r="U364" s="273"/>
      <c r="V364" s="22"/>
      <c r="W364" s="272"/>
      <c r="X364" s="272"/>
      <c r="Y364" s="272"/>
      <c r="Z364" s="274"/>
      <c r="AA364" s="22"/>
      <c r="AB364" s="275"/>
      <c r="AC364" s="40"/>
      <c r="AD364" s="40"/>
    </row>
    <row r="365" spans="1:30" s="1" customFormat="1" x14ac:dyDescent="0.25">
      <c r="A365" s="162">
        <v>43621</v>
      </c>
      <c r="B365" s="316" t="s">
        <v>941</v>
      </c>
      <c r="C365" s="285" t="s">
        <v>63</v>
      </c>
      <c r="D365" s="46">
        <v>400</v>
      </c>
      <c r="E365" s="128">
        <v>7.73</v>
      </c>
      <c r="F365" s="16">
        <f t="shared" si="54"/>
        <v>12980</v>
      </c>
      <c r="G365" s="17">
        <f t="shared" si="55"/>
        <v>8.8363954545454568</v>
      </c>
      <c r="H365" s="15">
        <f t="shared" si="56"/>
        <v>114696.41300000003</v>
      </c>
      <c r="I365" s="15">
        <f t="shared" si="57"/>
        <v>-14361.013000000021</v>
      </c>
      <c r="J365" s="33">
        <f t="shared" si="58"/>
        <v>-0.12520891128478465</v>
      </c>
      <c r="K365" s="15">
        <f t="shared" si="59"/>
        <v>100335.40000000001</v>
      </c>
      <c r="L365" s="22">
        <f t="shared" si="51"/>
        <v>-2269.3999999999942</v>
      </c>
      <c r="M365" s="22"/>
      <c r="N365" s="22"/>
      <c r="O365" s="22"/>
      <c r="P365" s="272"/>
      <c r="Q365" s="22">
        <f t="shared" si="52"/>
        <v>-3097</v>
      </c>
      <c r="R365" s="34">
        <f t="shared" si="53"/>
        <v>5</v>
      </c>
      <c r="S365" s="273"/>
      <c r="T365" s="273"/>
      <c r="U365" s="273"/>
      <c r="V365" s="22"/>
      <c r="W365" s="272"/>
      <c r="X365" s="272"/>
      <c r="Y365" s="272"/>
      <c r="Z365" s="274"/>
      <c r="AA365" s="22"/>
      <c r="AB365" s="275"/>
      <c r="AC365" s="40"/>
      <c r="AD365" s="40"/>
    </row>
    <row r="366" spans="1:30" s="1" customFormat="1" x14ac:dyDescent="0.25">
      <c r="A366" s="162">
        <v>43628</v>
      </c>
      <c r="B366" s="316"/>
      <c r="C366" s="325" t="s">
        <v>69</v>
      </c>
      <c r="D366" s="163">
        <v>400</v>
      </c>
      <c r="E366" s="326">
        <v>8.0299999999999994</v>
      </c>
      <c r="F366" s="16">
        <f t="shared" si="54"/>
        <v>12580</v>
      </c>
      <c r="G366" s="17">
        <f t="shared" si="55"/>
        <v>8.8626887917329125</v>
      </c>
      <c r="H366" s="15">
        <f t="shared" si="56"/>
        <v>111492.62500000003</v>
      </c>
      <c r="I366" s="15">
        <f t="shared" si="57"/>
        <v>-10475.225000000035</v>
      </c>
      <c r="J366" s="33">
        <f t="shared" si="58"/>
        <v>-9.3954420752045645E-2</v>
      </c>
      <c r="K366" s="15">
        <f t="shared" si="59"/>
        <v>101017.4</v>
      </c>
      <c r="L366" s="22">
        <f t="shared" si="51"/>
        <v>3885.7879999999859</v>
      </c>
      <c r="M366" s="22"/>
      <c r="N366" s="22"/>
      <c r="O366" s="22"/>
      <c r="P366" s="272"/>
      <c r="Q366" s="22">
        <f t="shared" si="52"/>
        <v>3203.7880000000005</v>
      </c>
      <c r="R366" s="34">
        <f t="shared" si="53"/>
        <v>8.2119999999999997</v>
      </c>
      <c r="S366" s="273"/>
      <c r="T366" s="273"/>
      <c r="U366" s="273"/>
      <c r="V366" s="22"/>
      <c r="W366" s="272"/>
      <c r="X366" s="272"/>
      <c r="Y366" s="272"/>
      <c r="Z366" s="274"/>
      <c r="AA366" s="22"/>
      <c r="AB366" s="275"/>
      <c r="AC366" s="40"/>
      <c r="AD366" s="40"/>
    </row>
    <row r="367" spans="1:30" s="1" customFormat="1" x14ac:dyDescent="0.25">
      <c r="A367" s="162">
        <v>43629</v>
      </c>
      <c r="B367" s="316"/>
      <c r="C367" s="325" t="s">
        <v>69</v>
      </c>
      <c r="D367" s="163">
        <v>400</v>
      </c>
      <c r="E367" s="326">
        <v>8.24</v>
      </c>
      <c r="F367" s="16">
        <f t="shared" si="54"/>
        <v>12180</v>
      </c>
      <c r="G367" s="17">
        <f t="shared" si="55"/>
        <v>8.883819458128082</v>
      </c>
      <c r="H367" s="15">
        <f t="shared" si="56"/>
        <v>108204.92100000003</v>
      </c>
      <c r="I367" s="15">
        <f t="shared" si="57"/>
        <v>-7841.7210000000341</v>
      </c>
      <c r="J367" s="33">
        <f t="shared" si="58"/>
        <v>-7.2471020056472601E-2</v>
      </c>
      <c r="K367" s="15">
        <f t="shared" si="59"/>
        <v>100363.2</v>
      </c>
      <c r="L367" s="22">
        <f t="shared" si="51"/>
        <v>2633.5040000000008</v>
      </c>
      <c r="M367" s="22"/>
      <c r="N367" s="22"/>
      <c r="O367" s="22"/>
      <c r="P367" s="272"/>
      <c r="Q367" s="22">
        <f t="shared" si="52"/>
        <v>3287.7039999999979</v>
      </c>
      <c r="R367" s="34">
        <f t="shared" si="53"/>
        <v>8.2959999999999994</v>
      </c>
      <c r="S367" s="273"/>
      <c r="T367" s="273"/>
      <c r="U367" s="273"/>
      <c r="V367" s="22"/>
      <c r="W367" s="272"/>
      <c r="X367" s="272"/>
      <c r="Y367" s="272"/>
      <c r="Z367" s="274"/>
      <c r="AA367" s="22"/>
      <c r="AB367" s="275"/>
      <c r="AC367" s="40"/>
      <c r="AD367" s="40"/>
    </row>
    <row r="368" spans="1:30" s="1" customFormat="1" x14ac:dyDescent="0.25">
      <c r="A368" s="162">
        <v>43633</v>
      </c>
      <c r="B368" s="316" t="s">
        <v>942</v>
      </c>
      <c r="C368" s="325" t="s">
        <v>63</v>
      </c>
      <c r="D368" s="163">
        <v>400</v>
      </c>
      <c r="E368" s="326">
        <v>7.94</v>
      </c>
      <c r="F368" s="16">
        <f t="shared" si="54"/>
        <v>12580</v>
      </c>
      <c r="G368" s="17">
        <f t="shared" si="55"/>
        <v>8.8542067567567599</v>
      </c>
      <c r="H368" s="15">
        <f t="shared" si="56"/>
        <v>111385.92100000003</v>
      </c>
      <c r="I368" s="15">
        <f t="shared" si="57"/>
        <v>-11500.72100000002</v>
      </c>
      <c r="J368" s="33">
        <f t="shared" si="58"/>
        <v>-0.10325111914278673</v>
      </c>
      <c r="K368" s="15">
        <f t="shared" si="59"/>
        <v>99885.200000000012</v>
      </c>
      <c r="L368" s="22">
        <f t="shared" si="51"/>
        <v>-3658.9999999999854</v>
      </c>
      <c r="M368" s="22"/>
      <c r="N368" s="22"/>
      <c r="O368" s="22"/>
      <c r="P368" s="272"/>
      <c r="Q368" s="22">
        <f t="shared" si="52"/>
        <v>-3181</v>
      </c>
      <c r="R368" s="34">
        <f t="shared" si="53"/>
        <v>5</v>
      </c>
      <c r="S368" s="273"/>
      <c r="T368" s="273"/>
      <c r="U368" s="273"/>
      <c r="V368" s="22"/>
      <c r="W368" s="272"/>
      <c r="X368" s="272"/>
      <c r="Y368" s="272"/>
      <c r="Z368" s="274"/>
      <c r="AA368" s="22"/>
      <c r="AB368" s="275"/>
      <c r="AC368" s="40"/>
      <c r="AD368" s="40"/>
    </row>
    <row r="369" spans="1:30" s="1" customFormat="1" x14ac:dyDescent="0.25">
      <c r="A369" s="162">
        <v>43633</v>
      </c>
      <c r="B369" s="316"/>
      <c r="C369" s="325" t="s">
        <v>69</v>
      </c>
      <c r="D369" s="163">
        <v>400</v>
      </c>
      <c r="E369" s="326">
        <v>8.5399999999999991</v>
      </c>
      <c r="F369" s="16">
        <f t="shared" si="54"/>
        <v>12180</v>
      </c>
      <c r="G369" s="17">
        <f t="shared" si="55"/>
        <v>8.8652165024630563</v>
      </c>
      <c r="H369" s="15">
        <f t="shared" si="56"/>
        <v>107978.33700000003</v>
      </c>
      <c r="I369" s="15">
        <f t="shared" si="57"/>
        <v>-3961.1370000000461</v>
      </c>
      <c r="J369" s="33">
        <f t="shared" si="58"/>
        <v>-3.6684552754318069E-2</v>
      </c>
      <c r="K369" s="15">
        <f t="shared" si="59"/>
        <v>104017.19999999998</v>
      </c>
      <c r="L369" s="22">
        <f t="shared" si="51"/>
        <v>7539.5839999999735</v>
      </c>
      <c r="M369" s="22"/>
      <c r="N369" s="22"/>
      <c r="O369" s="22"/>
      <c r="P369" s="272"/>
      <c r="Q369" s="22">
        <f t="shared" si="52"/>
        <v>3407.5840000000026</v>
      </c>
      <c r="R369" s="34">
        <f t="shared" si="53"/>
        <v>8.4160000000000004</v>
      </c>
      <c r="S369" s="273"/>
      <c r="T369" s="273"/>
      <c r="U369" s="273"/>
      <c r="V369" s="22"/>
      <c r="W369" s="272"/>
      <c r="X369" s="272"/>
      <c r="Y369" s="272"/>
      <c r="Z369" s="274"/>
      <c r="AA369" s="22"/>
      <c r="AB369" s="275"/>
      <c r="AC369" s="40"/>
      <c r="AD369" s="40"/>
    </row>
    <row r="370" spans="1:30" s="1" customFormat="1" x14ac:dyDescent="0.25">
      <c r="A370" s="162">
        <v>43636</v>
      </c>
      <c r="B370" s="316" t="s">
        <v>943</v>
      </c>
      <c r="C370" s="325" t="s">
        <v>63</v>
      </c>
      <c r="D370" s="163">
        <v>500</v>
      </c>
      <c r="E370" s="326">
        <v>8.1999999999999993</v>
      </c>
      <c r="F370" s="16">
        <f t="shared" si="54"/>
        <v>12680</v>
      </c>
      <c r="G370" s="17">
        <f t="shared" si="55"/>
        <v>8.8393798895899085</v>
      </c>
      <c r="H370" s="15">
        <f t="shared" si="56"/>
        <v>112083.33700000003</v>
      </c>
      <c r="I370" s="15">
        <f t="shared" si="57"/>
        <v>-8107.3370000000432</v>
      </c>
      <c r="J370" s="33">
        <f t="shared" si="58"/>
        <v>-7.2333115849325988E-2</v>
      </c>
      <c r="K370" s="15">
        <f t="shared" si="59"/>
        <v>103975.99999999999</v>
      </c>
      <c r="L370" s="22">
        <f t="shared" si="51"/>
        <v>-4146.1999999999971</v>
      </c>
      <c r="M370" s="22"/>
      <c r="N370" s="22"/>
      <c r="O370" s="22"/>
      <c r="P370" s="272"/>
      <c r="Q370" s="22">
        <f t="shared" si="52"/>
        <v>-4105</v>
      </c>
      <c r="R370" s="34">
        <f t="shared" si="53"/>
        <v>5</v>
      </c>
      <c r="S370" s="273"/>
      <c r="T370" s="273"/>
      <c r="U370" s="273"/>
      <c r="V370" s="22"/>
      <c r="W370" s="272"/>
      <c r="X370" s="272"/>
      <c r="Y370" s="272"/>
      <c r="Z370" s="274"/>
      <c r="AA370" s="22"/>
      <c r="AB370" s="275"/>
      <c r="AC370" s="40"/>
      <c r="AD370" s="40"/>
    </row>
    <row r="371" spans="1:30" s="1" customFormat="1" x14ac:dyDescent="0.25">
      <c r="A371" s="162">
        <v>43637</v>
      </c>
      <c r="B371" s="316"/>
      <c r="C371" s="325" t="s">
        <v>69</v>
      </c>
      <c r="D371" s="163">
        <v>400</v>
      </c>
      <c r="E371" s="326">
        <v>8.89</v>
      </c>
      <c r="F371" s="16">
        <f t="shared" si="54"/>
        <v>12280</v>
      </c>
      <c r="G371" s="17">
        <f t="shared" si="55"/>
        <v>8.8384277687296446</v>
      </c>
      <c r="H371" s="15">
        <f t="shared" si="56"/>
        <v>108535.89300000003</v>
      </c>
      <c r="I371" s="15">
        <f t="shared" si="57"/>
        <v>633.30699999998615</v>
      </c>
      <c r="J371" s="33">
        <f t="shared" si="58"/>
        <v>5.8350005928450837E-3</v>
      </c>
      <c r="K371" s="15">
        <f t="shared" si="59"/>
        <v>109169.20000000001</v>
      </c>
      <c r="L371" s="22">
        <f t="shared" si="51"/>
        <v>8740.6440000000293</v>
      </c>
      <c r="M371" s="22"/>
      <c r="N371" s="22"/>
      <c r="O371" s="22"/>
      <c r="P371" s="272"/>
      <c r="Q371" s="22">
        <f t="shared" si="52"/>
        <v>3547.4440000000031</v>
      </c>
      <c r="R371" s="34">
        <f t="shared" si="53"/>
        <v>8.5560000000000009</v>
      </c>
      <c r="S371" s="273"/>
      <c r="T371" s="273"/>
      <c r="U371" s="273"/>
      <c r="V371" s="22"/>
      <c r="W371" s="272"/>
      <c r="X371" s="272"/>
      <c r="Y371" s="272"/>
      <c r="Z371" s="274"/>
      <c r="AA371" s="22"/>
      <c r="AB371" s="275"/>
      <c r="AC371" s="40"/>
      <c r="AD371" s="40"/>
    </row>
    <row r="372" spans="1:30" s="1" customFormat="1" x14ac:dyDescent="0.25">
      <c r="A372" s="162">
        <v>43637</v>
      </c>
      <c r="B372" s="316"/>
      <c r="C372" s="325" t="s">
        <v>69</v>
      </c>
      <c r="D372" s="163">
        <v>500</v>
      </c>
      <c r="E372" s="326">
        <v>9.1999999999999993</v>
      </c>
      <c r="F372" s="16">
        <f t="shared" si="54"/>
        <v>11780</v>
      </c>
      <c r="G372" s="17">
        <f t="shared" si="55"/>
        <v>8.8238958404074737</v>
      </c>
      <c r="H372" s="15">
        <f t="shared" si="56"/>
        <v>103945.49300000003</v>
      </c>
      <c r="I372" s="15">
        <f t="shared" si="57"/>
        <v>4430.5069999999541</v>
      </c>
      <c r="J372" s="33">
        <f t="shared" si="58"/>
        <v>4.2623367999225809E-2</v>
      </c>
      <c r="K372" s="15">
        <f t="shared" si="59"/>
        <v>108375.99999999999</v>
      </c>
      <c r="L372" s="22">
        <f t="shared" si="51"/>
        <v>3797.199999999968</v>
      </c>
      <c r="M372" s="22"/>
      <c r="N372" s="22"/>
      <c r="O372" s="22"/>
      <c r="P372" s="272"/>
      <c r="Q372" s="22">
        <f t="shared" si="52"/>
        <v>4590.3999999999942</v>
      </c>
      <c r="R372" s="34">
        <f t="shared" si="53"/>
        <v>9.6</v>
      </c>
      <c r="S372" s="273"/>
      <c r="T372" s="273"/>
      <c r="U372" s="273"/>
      <c r="V372" s="22"/>
      <c r="W372" s="272"/>
      <c r="X372" s="272"/>
      <c r="Y372" s="272"/>
      <c r="Z372" s="274"/>
      <c r="AA372" s="22"/>
      <c r="AB372" s="275"/>
      <c r="AC372" s="40"/>
      <c r="AD372" s="40"/>
    </row>
    <row r="373" spans="1:30" s="1" customFormat="1" x14ac:dyDescent="0.25">
      <c r="A373" s="162">
        <v>43640</v>
      </c>
      <c r="B373" s="316"/>
      <c r="C373" s="325" t="s">
        <v>69</v>
      </c>
      <c r="D373" s="163">
        <v>400</v>
      </c>
      <c r="E373" s="326">
        <v>9.64</v>
      </c>
      <c r="F373" s="16">
        <f t="shared" si="54"/>
        <v>11380</v>
      </c>
      <c r="G373" s="17">
        <f t="shared" si="55"/>
        <v>8.7959884885764534</v>
      </c>
      <c r="H373" s="15">
        <f t="shared" si="56"/>
        <v>100098.34900000003</v>
      </c>
      <c r="I373" s="15">
        <f t="shared" si="57"/>
        <v>9604.8509999999806</v>
      </c>
      <c r="J373" s="33">
        <f t="shared" si="58"/>
        <v>9.5954140062789267E-2</v>
      </c>
      <c r="K373" s="15">
        <f t="shared" si="59"/>
        <v>109703.20000000001</v>
      </c>
      <c r="L373" s="22">
        <f t="shared" si="51"/>
        <v>5174.3440000000264</v>
      </c>
      <c r="M373" s="22"/>
      <c r="N373" s="22"/>
      <c r="O373" s="22"/>
      <c r="P373" s="272"/>
      <c r="Q373" s="22">
        <f t="shared" si="52"/>
        <v>3847.1440000000002</v>
      </c>
      <c r="R373" s="34">
        <f t="shared" si="53"/>
        <v>8.8559999999999999</v>
      </c>
      <c r="S373" s="273"/>
      <c r="T373" s="273"/>
      <c r="U373" s="273"/>
      <c r="V373" s="22"/>
      <c r="W373" s="272"/>
      <c r="X373" s="272"/>
      <c r="Y373" s="272"/>
      <c r="Z373" s="274"/>
      <c r="AA373" s="22"/>
      <c r="AB373" s="275"/>
      <c r="AC373" s="40"/>
      <c r="AD373" s="40"/>
    </row>
    <row r="374" spans="1:30" s="1" customFormat="1" x14ac:dyDescent="0.25">
      <c r="A374" s="162">
        <v>43640</v>
      </c>
      <c r="B374" s="316"/>
      <c r="C374" s="325" t="s">
        <v>69</v>
      </c>
      <c r="D374" s="163">
        <v>500</v>
      </c>
      <c r="E374" s="326">
        <v>10.119999999999999</v>
      </c>
      <c r="F374" s="16">
        <f t="shared" si="54"/>
        <v>10880</v>
      </c>
      <c r="G374" s="17">
        <f t="shared" si="55"/>
        <v>8.7360670036764727</v>
      </c>
      <c r="H374" s="15">
        <f t="shared" si="56"/>
        <v>95048.409000000029</v>
      </c>
      <c r="I374" s="15">
        <f t="shared" si="57"/>
        <v>15057.190999999963</v>
      </c>
      <c r="J374" s="33">
        <f t="shared" si="58"/>
        <v>0.158416023565423</v>
      </c>
      <c r="K374" s="15">
        <f t="shared" si="59"/>
        <v>110105.59999999999</v>
      </c>
      <c r="L374" s="22">
        <f t="shared" si="51"/>
        <v>5452.339999999982</v>
      </c>
      <c r="M374" s="22"/>
      <c r="N374" s="22"/>
      <c r="O374" s="22"/>
      <c r="P374" s="272"/>
      <c r="Q374" s="22">
        <f t="shared" si="52"/>
        <v>5049.9400000000023</v>
      </c>
      <c r="R374" s="34">
        <f t="shared" si="53"/>
        <v>10.059999999999999</v>
      </c>
      <c r="S374" s="273"/>
      <c r="T374" s="273"/>
      <c r="U374" s="273"/>
      <c r="V374" s="22"/>
      <c r="W374" s="272"/>
      <c r="X374" s="272"/>
      <c r="Y374" s="272"/>
      <c r="Z374" s="274"/>
      <c r="AA374" s="22"/>
      <c r="AB374" s="275"/>
      <c r="AC374" s="40"/>
      <c r="AD374" s="40"/>
    </row>
    <row r="375" spans="1:30" s="1" customFormat="1" x14ac:dyDescent="0.25">
      <c r="A375" s="162">
        <v>43641</v>
      </c>
      <c r="B375" s="316" t="s">
        <v>944</v>
      </c>
      <c r="C375" s="325" t="s">
        <v>63</v>
      </c>
      <c r="D375" s="163">
        <v>400</v>
      </c>
      <c r="E375" s="326">
        <v>9.2100000000000009</v>
      </c>
      <c r="F375" s="16">
        <f t="shared" si="54"/>
        <v>11280</v>
      </c>
      <c r="G375" s="17">
        <f t="shared" si="55"/>
        <v>8.7533164007092221</v>
      </c>
      <c r="H375" s="15">
        <f t="shared" si="56"/>
        <v>98737.409000000029</v>
      </c>
      <c r="I375" s="15">
        <f t="shared" si="57"/>
        <v>5151.3909999999742</v>
      </c>
      <c r="J375" s="33">
        <f t="shared" si="58"/>
        <v>5.2172637019470329E-2</v>
      </c>
      <c r="K375" s="15">
        <f t="shared" si="59"/>
        <v>103888.8</v>
      </c>
      <c r="L375" s="22">
        <f t="shared" si="51"/>
        <v>-9905.7999999999884</v>
      </c>
      <c r="M375" s="22"/>
      <c r="N375" s="22"/>
      <c r="O375" s="22"/>
      <c r="P375" s="272"/>
      <c r="Q375" s="22">
        <f t="shared" si="52"/>
        <v>-3689</v>
      </c>
      <c r="R375" s="34">
        <f t="shared" si="53"/>
        <v>5</v>
      </c>
      <c r="S375" s="273"/>
      <c r="T375" s="273"/>
      <c r="U375" s="273"/>
      <c r="V375" s="22"/>
      <c r="W375" s="272"/>
      <c r="X375" s="272"/>
      <c r="Y375" s="272"/>
      <c r="Z375" s="274"/>
      <c r="AA375" s="22"/>
      <c r="AB375" s="275"/>
      <c r="AC375" s="40"/>
      <c r="AD375" s="40"/>
    </row>
    <row r="376" spans="1:30" s="1" customFormat="1" x14ac:dyDescent="0.25">
      <c r="A376" s="162">
        <v>43642</v>
      </c>
      <c r="B376" s="316" t="s">
        <v>945</v>
      </c>
      <c r="C376" s="325" t="s">
        <v>63</v>
      </c>
      <c r="D376" s="163">
        <v>400</v>
      </c>
      <c r="E376" s="326">
        <v>8.89</v>
      </c>
      <c r="F376" s="16">
        <f t="shared" si="54"/>
        <v>11680</v>
      </c>
      <c r="G376" s="17">
        <f t="shared" si="55"/>
        <v>8.7584254280821945</v>
      </c>
      <c r="H376" s="15">
        <f t="shared" si="56"/>
        <v>102298.40900000003</v>
      </c>
      <c r="I376" s="15">
        <f t="shared" si="57"/>
        <v>1536.7909999999829</v>
      </c>
      <c r="J376" s="33">
        <f t="shared" si="58"/>
        <v>1.5022628553294261E-2</v>
      </c>
      <c r="K376" s="15">
        <f t="shared" si="59"/>
        <v>103835.20000000001</v>
      </c>
      <c r="L376" s="22">
        <f t="shared" si="51"/>
        <v>-3614.5999999999913</v>
      </c>
      <c r="M376" s="22"/>
      <c r="N376" s="22"/>
      <c r="O376" s="22"/>
      <c r="P376" s="272"/>
      <c r="Q376" s="22">
        <f t="shared" si="52"/>
        <v>-3561</v>
      </c>
      <c r="R376" s="34">
        <f t="shared" si="53"/>
        <v>5</v>
      </c>
      <c r="S376" s="273"/>
      <c r="T376" s="273"/>
      <c r="U376" s="273"/>
      <c r="V376" s="22"/>
      <c r="W376" s="272"/>
      <c r="X376" s="272"/>
      <c r="Y376" s="272"/>
      <c r="Z376" s="274"/>
      <c r="AA376" s="22"/>
      <c r="AB376" s="275"/>
      <c r="AC376" s="40"/>
      <c r="AD376" s="40"/>
    </row>
    <row r="377" spans="1:30" s="1" customFormat="1" x14ac:dyDescent="0.25">
      <c r="A377" s="162">
        <v>43648</v>
      </c>
      <c r="B377" s="316"/>
      <c r="C377" s="325" t="s">
        <v>69</v>
      </c>
      <c r="D377" s="163">
        <v>400</v>
      </c>
      <c r="E377" s="326">
        <v>9.2899999999999991</v>
      </c>
      <c r="F377" s="16">
        <f t="shared" si="54"/>
        <v>11280</v>
      </c>
      <c r="G377" s="17">
        <f t="shared" si="55"/>
        <v>8.74034796099291</v>
      </c>
      <c r="H377" s="15">
        <f t="shared" si="56"/>
        <v>98591.125000000029</v>
      </c>
      <c r="I377" s="15">
        <f t="shared" si="57"/>
        <v>6200.074999999968</v>
      </c>
      <c r="J377" s="33">
        <f t="shared" si="58"/>
        <v>6.2886745637601396E-2</v>
      </c>
      <c r="K377" s="15">
        <f t="shared" si="59"/>
        <v>104791.2</v>
      </c>
      <c r="L377" s="22">
        <f t="shared" si="51"/>
        <v>4663.2839999999851</v>
      </c>
      <c r="M377" s="22"/>
      <c r="N377" s="22"/>
      <c r="O377" s="22"/>
      <c r="P377" s="272"/>
      <c r="Q377" s="22">
        <f t="shared" si="52"/>
        <v>3707.2839999999997</v>
      </c>
      <c r="R377" s="34">
        <f t="shared" si="53"/>
        <v>8.7159999999999993</v>
      </c>
      <c r="S377" s="273"/>
      <c r="T377" s="273"/>
      <c r="U377" s="273"/>
      <c r="V377" s="22"/>
      <c r="W377" s="272"/>
      <c r="X377" s="272"/>
      <c r="Y377" s="272"/>
      <c r="Z377" s="274"/>
      <c r="AA377" s="22"/>
      <c r="AB377" s="275"/>
      <c r="AC377" s="40"/>
      <c r="AD377" s="40"/>
    </row>
    <row r="378" spans="1:30" s="1" customFormat="1" x14ac:dyDescent="0.25">
      <c r="A378" s="162">
        <v>43650</v>
      </c>
      <c r="B378" s="316" t="s">
        <v>946</v>
      </c>
      <c r="C378" s="325" t="s">
        <v>922</v>
      </c>
      <c r="D378" s="163">
        <v>400</v>
      </c>
      <c r="E378" s="326">
        <v>8.84</v>
      </c>
      <c r="F378" s="16">
        <f t="shared" si="54"/>
        <v>11680</v>
      </c>
      <c r="G378" s="17">
        <f t="shared" si="55"/>
        <v>8.7441887842465782</v>
      </c>
      <c r="H378" s="15">
        <f t="shared" si="56"/>
        <v>102132.12500000003</v>
      </c>
      <c r="I378" s="15">
        <f t="shared" si="57"/>
        <v>1119.074999999968</v>
      </c>
      <c r="J378" s="33">
        <f t="shared" si="58"/>
        <v>1.095713028589158E-2</v>
      </c>
      <c r="K378" s="15">
        <f t="shared" si="59"/>
        <v>103251.2</v>
      </c>
      <c r="L378" s="22">
        <f t="shared" si="51"/>
        <v>-5081</v>
      </c>
      <c r="M378" s="22"/>
      <c r="N378" s="22"/>
      <c r="O378" s="22"/>
      <c r="P378" s="272"/>
      <c r="Q378" s="22">
        <f t="shared" si="52"/>
        <v>-3541</v>
      </c>
      <c r="R378" s="34">
        <f t="shared" si="53"/>
        <v>5</v>
      </c>
      <c r="S378" s="273"/>
      <c r="T378" s="273"/>
      <c r="U378" s="273"/>
      <c r="V378" s="22"/>
      <c r="W378" s="272"/>
      <c r="X378" s="272"/>
      <c r="Y378" s="272"/>
      <c r="Z378" s="274"/>
      <c r="AA378" s="22"/>
      <c r="AB378" s="275"/>
      <c r="AC378" s="40"/>
      <c r="AD378" s="40"/>
    </row>
    <row r="379" spans="1:30" s="1" customFormat="1" x14ac:dyDescent="0.25">
      <c r="A379" s="162">
        <v>43650</v>
      </c>
      <c r="B379" s="316" t="s">
        <v>947</v>
      </c>
      <c r="C379" s="325" t="s">
        <v>922</v>
      </c>
      <c r="D379" s="163">
        <v>400</v>
      </c>
      <c r="E379" s="326">
        <v>8.68</v>
      </c>
      <c r="F379" s="16">
        <f t="shared" si="54"/>
        <v>12080</v>
      </c>
      <c r="G379" s="17">
        <f t="shared" si="55"/>
        <v>8.74247723509934</v>
      </c>
      <c r="H379" s="15">
        <f t="shared" si="56"/>
        <v>105609.12500000003</v>
      </c>
      <c r="I379" s="15">
        <f t="shared" si="57"/>
        <v>-754.72500000003492</v>
      </c>
      <c r="J379" s="33">
        <f t="shared" si="58"/>
        <v>-7.1463995180343649E-3</v>
      </c>
      <c r="K379" s="15">
        <f t="shared" si="59"/>
        <v>104854.39999999999</v>
      </c>
      <c r="L379" s="22">
        <f t="shared" si="51"/>
        <v>-1873.8000000000029</v>
      </c>
      <c r="M379" s="22"/>
      <c r="N379" s="22"/>
      <c r="O379" s="22"/>
      <c r="P379" s="272"/>
      <c r="Q379" s="22">
        <f t="shared" si="52"/>
        <v>-3477</v>
      </c>
      <c r="R379" s="34">
        <f t="shared" si="53"/>
        <v>5</v>
      </c>
      <c r="S379" s="273"/>
      <c r="T379" s="273"/>
      <c r="U379" s="273"/>
      <c r="V379" s="22"/>
      <c r="W379" s="272"/>
      <c r="X379" s="272"/>
      <c r="Y379" s="272"/>
      <c r="Z379" s="274"/>
      <c r="AA379" s="22"/>
      <c r="AB379" s="275"/>
      <c r="AC379" s="40"/>
      <c r="AD379" s="40"/>
    </row>
    <row r="380" spans="1:30" s="1" customFormat="1" x14ac:dyDescent="0.25">
      <c r="A380" s="162">
        <v>43654</v>
      </c>
      <c r="B380" s="316" t="s">
        <v>948</v>
      </c>
      <c r="C380" s="325" t="s">
        <v>922</v>
      </c>
      <c r="D380" s="163">
        <v>500</v>
      </c>
      <c r="E380" s="326">
        <v>8.5</v>
      </c>
      <c r="F380" s="16">
        <f t="shared" si="54"/>
        <v>12580</v>
      </c>
      <c r="G380" s="17">
        <f t="shared" si="55"/>
        <v>8.7332372813990489</v>
      </c>
      <c r="H380" s="15">
        <f t="shared" si="56"/>
        <v>109864.12500000003</v>
      </c>
      <c r="I380" s="15">
        <f t="shared" si="57"/>
        <v>-2934.1250000000291</v>
      </c>
      <c r="J380" s="33">
        <f t="shared" si="58"/>
        <v>-2.6706852669149586E-2</v>
      </c>
      <c r="K380" s="15">
        <f t="shared" si="59"/>
        <v>106930</v>
      </c>
      <c r="L380" s="22">
        <f t="shared" si="51"/>
        <v>-2179.3999999999942</v>
      </c>
      <c r="M380" s="22"/>
      <c r="N380" s="22"/>
      <c r="O380" s="22"/>
      <c r="P380" s="272"/>
      <c r="Q380" s="22">
        <f t="shared" si="52"/>
        <v>-4255</v>
      </c>
      <c r="R380" s="34">
        <f t="shared" si="53"/>
        <v>5</v>
      </c>
      <c r="S380" s="273"/>
      <c r="T380" s="273"/>
      <c r="U380" s="273"/>
      <c r="V380" s="22"/>
      <c r="W380" s="272"/>
      <c r="X380" s="272"/>
      <c r="Y380" s="272"/>
      <c r="Z380" s="274"/>
      <c r="AA380" s="22"/>
      <c r="AB380" s="275"/>
      <c r="AC380" s="40"/>
      <c r="AD380" s="40"/>
    </row>
    <row r="381" spans="1:30" s="1" customFormat="1" x14ac:dyDescent="0.25">
      <c r="A381" s="162">
        <v>43654</v>
      </c>
      <c r="B381" s="316" t="s">
        <v>949</v>
      </c>
      <c r="C381" s="325" t="s">
        <v>922</v>
      </c>
      <c r="D381" s="163">
        <v>500</v>
      </c>
      <c r="E381" s="326">
        <v>8.31</v>
      </c>
      <c r="F381" s="16">
        <f t="shared" si="54"/>
        <v>13080</v>
      </c>
      <c r="G381" s="17">
        <f t="shared" si="55"/>
        <v>8.7174407492354771</v>
      </c>
      <c r="H381" s="15">
        <f t="shared" si="56"/>
        <v>114024.12500000003</v>
      </c>
      <c r="I381" s="15">
        <f t="shared" si="57"/>
        <v>-5329.3250000000262</v>
      </c>
      <c r="J381" s="33">
        <f t="shared" si="58"/>
        <v>-4.673857396406271E-2</v>
      </c>
      <c r="K381" s="15">
        <f t="shared" si="59"/>
        <v>108694.8</v>
      </c>
      <c r="L381" s="22">
        <f t="shared" si="51"/>
        <v>-2395.1999999999971</v>
      </c>
      <c r="M381" s="22"/>
      <c r="N381" s="22"/>
      <c r="O381" s="22"/>
      <c r="P381" s="272"/>
      <c r="Q381" s="22">
        <f t="shared" si="52"/>
        <v>-4160</v>
      </c>
      <c r="R381" s="34">
        <f t="shared" si="53"/>
        <v>5</v>
      </c>
      <c r="S381" s="273"/>
      <c r="T381" s="273"/>
      <c r="U381" s="273"/>
      <c r="V381" s="22"/>
      <c r="W381" s="272"/>
      <c r="X381" s="272"/>
      <c r="Y381" s="272"/>
      <c r="Z381" s="274"/>
      <c r="AA381" s="22"/>
      <c r="AB381" s="275"/>
      <c r="AC381" s="40"/>
      <c r="AD381" s="40"/>
    </row>
    <row r="382" spans="1:30" s="1" customFormat="1" x14ac:dyDescent="0.25">
      <c r="A382" s="162">
        <v>43654</v>
      </c>
      <c r="B382" s="316"/>
      <c r="C382" s="325" t="s">
        <v>63</v>
      </c>
      <c r="D382" s="163">
        <v>400</v>
      </c>
      <c r="E382" s="326">
        <v>8.1199999999999992</v>
      </c>
      <c r="F382" s="16">
        <f t="shared" si="54"/>
        <v>13480</v>
      </c>
      <c r="G382" s="17">
        <f t="shared" si="55"/>
        <v>8.7000834569732959</v>
      </c>
      <c r="H382" s="15">
        <f t="shared" si="56"/>
        <v>117277.12500000003</v>
      </c>
      <c r="I382" s="15">
        <f t="shared" si="57"/>
        <v>-7819.5250000000378</v>
      </c>
      <c r="J382" s="33">
        <f t="shared" si="58"/>
        <v>-6.6675619819295859E-2</v>
      </c>
      <c r="K382" s="15">
        <f t="shared" si="59"/>
        <v>109457.59999999999</v>
      </c>
      <c r="L382" s="22">
        <f t="shared" si="51"/>
        <v>-2490.2000000000116</v>
      </c>
      <c r="M382" s="22"/>
      <c r="N382" s="22"/>
      <c r="O382" s="22"/>
      <c r="P382" s="272"/>
      <c r="Q382" s="22">
        <f t="shared" si="52"/>
        <v>-3253</v>
      </c>
      <c r="R382" s="34">
        <f t="shared" si="53"/>
        <v>5</v>
      </c>
      <c r="S382" s="273"/>
      <c r="T382" s="273"/>
      <c r="U382" s="273"/>
      <c r="V382" s="22"/>
      <c r="W382" s="272"/>
      <c r="X382" s="272"/>
      <c r="Y382" s="272"/>
      <c r="Z382" s="274"/>
      <c r="AA382" s="22"/>
      <c r="AB382" s="275"/>
      <c r="AC382" s="40"/>
      <c r="AD382" s="40"/>
    </row>
    <row r="383" spans="1:30" s="1" customFormat="1" x14ac:dyDescent="0.25">
      <c r="A383" s="162">
        <v>43655</v>
      </c>
      <c r="B383" s="316"/>
      <c r="C383" s="325" t="s">
        <v>63</v>
      </c>
      <c r="D383" s="163">
        <v>500</v>
      </c>
      <c r="E383" s="326">
        <v>7.99</v>
      </c>
      <c r="F383" s="16">
        <f t="shared" si="54"/>
        <v>13980</v>
      </c>
      <c r="G383" s="17">
        <f t="shared" si="55"/>
        <v>8.6750447067238934</v>
      </c>
      <c r="H383" s="15">
        <f t="shared" si="56"/>
        <v>121277.12500000003</v>
      </c>
      <c r="I383" s="15">
        <f t="shared" si="57"/>
        <v>-9576.925000000032</v>
      </c>
      <c r="J383" s="33">
        <f t="shared" si="58"/>
        <v>-7.8967282576990705E-2</v>
      </c>
      <c r="K383" s="15">
        <f t="shared" si="59"/>
        <v>111700.2</v>
      </c>
      <c r="L383" s="22">
        <f t="shared" si="51"/>
        <v>-1757.3999999999942</v>
      </c>
      <c r="M383" s="22"/>
      <c r="N383" s="22"/>
      <c r="O383" s="22"/>
      <c r="P383" s="272"/>
      <c r="Q383" s="22">
        <f t="shared" si="52"/>
        <v>-4000</v>
      </c>
      <c r="R383" s="34">
        <f t="shared" si="53"/>
        <v>5</v>
      </c>
      <c r="S383" s="273"/>
      <c r="T383" s="273"/>
      <c r="U383" s="273"/>
      <c r="V383" s="22"/>
      <c r="W383" s="272"/>
      <c r="X383" s="272"/>
      <c r="Y383" s="272"/>
      <c r="Z383" s="274"/>
      <c r="AA383" s="22"/>
      <c r="AB383" s="275"/>
      <c r="AC383" s="40"/>
      <c r="AD383" s="40"/>
    </row>
    <row r="384" spans="1:30" s="1" customFormat="1" x14ac:dyDescent="0.25">
      <c r="A384" s="162">
        <v>43655</v>
      </c>
      <c r="B384" s="316" t="s">
        <v>950</v>
      </c>
      <c r="C384" s="325" t="s">
        <v>69</v>
      </c>
      <c r="D384" s="163">
        <v>400</v>
      </c>
      <c r="E384" s="326">
        <v>8.17</v>
      </c>
      <c r="F384" s="16">
        <f t="shared" si="54"/>
        <v>13580</v>
      </c>
      <c r="G384" s="17">
        <f t="shared" si="55"/>
        <v>8.6905296759941102</v>
      </c>
      <c r="H384" s="15">
        <f t="shared" si="56"/>
        <v>118017.39300000003</v>
      </c>
      <c r="I384" s="15">
        <f t="shared" si="57"/>
        <v>-7068.7930000000197</v>
      </c>
      <c r="J384" s="33">
        <f t="shared" si="58"/>
        <v>-5.9896196825835801E-2</v>
      </c>
      <c r="K384" s="15">
        <f t="shared" si="59"/>
        <v>110948.6</v>
      </c>
      <c r="L384" s="22">
        <f t="shared" si="51"/>
        <v>2508.1320000000123</v>
      </c>
      <c r="M384" s="22"/>
      <c r="N384" s="22"/>
      <c r="O384" s="22"/>
      <c r="P384" s="272"/>
      <c r="Q384" s="22">
        <f t="shared" si="52"/>
        <v>3259.7320000000036</v>
      </c>
      <c r="R384" s="34">
        <f t="shared" si="53"/>
        <v>8.2680000000000007</v>
      </c>
      <c r="S384" s="273"/>
      <c r="T384" s="273"/>
      <c r="U384" s="273"/>
      <c r="V384" s="22"/>
      <c r="W384" s="272"/>
      <c r="X384" s="272"/>
      <c r="Y384" s="272"/>
      <c r="Z384" s="274"/>
      <c r="AA384" s="22"/>
      <c r="AB384" s="275"/>
      <c r="AC384" s="40"/>
      <c r="AD384" s="40"/>
    </row>
    <row r="385" spans="1:30" s="1" customFormat="1" x14ac:dyDescent="0.25">
      <c r="A385" s="162">
        <v>43661</v>
      </c>
      <c r="B385" s="316"/>
      <c r="C385" s="325" t="s">
        <v>69</v>
      </c>
      <c r="D385" s="163">
        <v>400</v>
      </c>
      <c r="E385" s="326">
        <v>8.3699999999999992</v>
      </c>
      <c r="F385" s="16">
        <f t="shared" si="54"/>
        <v>13180</v>
      </c>
      <c r="G385" s="17">
        <f t="shared" si="55"/>
        <v>8.7008908194233712</v>
      </c>
      <c r="H385" s="15">
        <f t="shared" si="56"/>
        <v>114677.74100000002</v>
      </c>
      <c r="I385" s="15">
        <f t="shared" si="57"/>
        <v>-4361.1410000000324</v>
      </c>
      <c r="J385" s="33">
        <f t="shared" si="58"/>
        <v>-3.8029533560484427E-2</v>
      </c>
      <c r="K385" s="15">
        <f t="shared" si="59"/>
        <v>110316.59999999999</v>
      </c>
      <c r="L385" s="22">
        <f t="shared" si="51"/>
        <v>2707.6519999999873</v>
      </c>
      <c r="M385" s="22"/>
      <c r="N385" s="22"/>
      <c r="O385" s="22"/>
      <c r="P385" s="272"/>
      <c r="Q385" s="22">
        <f t="shared" si="52"/>
        <v>3339.6520000000019</v>
      </c>
      <c r="R385" s="34">
        <f t="shared" si="53"/>
        <v>8.347999999999999</v>
      </c>
      <c r="S385" s="273"/>
      <c r="T385" s="273"/>
      <c r="U385" s="273"/>
      <c r="V385" s="22"/>
      <c r="W385" s="272"/>
      <c r="X385" s="272"/>
      <c r="Y385" s="272"/>
      <c r="Z385" s="274"/>
      <c r="AA385" s="22"/>
      <c r="AB385" s="275"/>
      <c r="AC385" s="40"/>
      <c r="AD385" s="40"/>
    </row>
    <row r="386" spans="1:30" s="1" customFormat="1" x14ac:dyDescent="0.25">
      <c r="A386" s="162">
        <v>43662</v>
      </c>
      <c r="B386" s="316"/>
      <c r="C386" s="325" t="s">
        <v>69</v>
      </c>
      <c r="D386" s="163">
        <v>400</v>
      </c>
      <c r="E386" s="326">
        <v>8.5</v>
      </c>
      <c r="F386" s="16">
        <f t="shared" si="54"/>
        <v>12780</v>
      </c>
      <c r="G386" s="17">
        <f t="shared" si="55"/>
        <v>8.7078357589984368</v>
      </c>
      <c r="H386" s="15">
        <f t="shared" si="56"/>
        <v>111286.14100000002</v>
      </c>
      <c r="I386" s="15">
        <f t="shared" si="57"/>
        <v>-2656.1410000000178</v>
      </c>
      <c r="J386" s="33">
        <f t="shared" si="58"/>
        <v>-2.3867670997775196E-2</v>
      </c>
      <c r="K386" s="15">
        <f t="shared" si="59"/>
        <v>108630</v>
      </c>
      <c r="L386" s="22">
        <f t="shared" ref="L386:L449" si="60">I386-I385</f>
        <v>1705.0000000000146</v>
      </c>
      <c r="M386" s="22"/>
      <c r="N386" s="22"/>
      <c r="O386" s="22"/>
      <c r="P386" s="272"/>
      <c r="Q386" s="22">
        <f t="shared" ref="Q386:Q449" si="61">(H386-H385)*-1</f>
        <v>3391.6000000000058</v>
      </c>
      <c r="R386" s="34">
        <f t="shared" si="53"/>
        <v>8.4</v>
      </c>
      <c r="S386" s="273"/>
      <c r="T386" s="273"/>
      <c r="U386" s="273"/>
      <c r="V386" s="22"/>
      <c r="W386" s="272"/>
      <c r="X386" s="272"/>
      <c r="Y386" s="272"/>
      <c r="Z386" s="274"/>
      <c r="AA386" s="22"/>
      <c r="AB386" s="275"/>
      <c r="AC386" s="40"/>
      <c r="AD386" s="40"/>
    </row>
    <row r="387" spans="1:30" s="1" customFormat="1" x14ac:dyDescent="0.25">
      <c r="A387" s="162">
        <v>43664</v>
      </c>
      <c r="B387" s="316" t="s">
        <v>951</v>
      </c>
      <c r="C387" s="325" t="s">
        <v>63</v>
      </c>
      <c r="D387" s="163">
        <v>500</v>
      </c>
      <c r="E387" s="326">
        <v>8.14</v>
      </c>
      <c r="F387" s="16">
        <f t="shared" si="54"/>
        <v>13280</v>
      </c>
      <c r="G387" s="17">
        <f t="shared" si="55"/>
        <v>8.686832906626508</v>
      </c>
      <c r="H387" s="15">
        <f t="shared" si="56"/>
        <v>115361.14100000002</v>
      </c>
      <c r="I387" s="15">
        <f t="shared" si="57"/>
        <v>-7261.9410000000062</v>
      </c>
      <c r="J387" s="33">
        <f t="shared" si="58"/>
        <v>-6.2949628766241286E-2</v>
      </c>
      <c r="K387" s="15">
        <f t="shared" si="59"/>
        <v>108099.20000000001</v>
      </c>
      <c r="L387" s="22">
        <f t="shared" si="60"/>
        <v>-4605.7999999999884</v>
      </c>
      <c r="M387" s="22"/>
      <c r="N387" s="22"/>
      <c r="O387" s="22"/>
      <c r="P387" s="272"/>
      <c r="Q387" s="22">
        <f t="shared" si="61"/>
        <v>-4075</v>
      </c>
      <c r="R387" s="34">
        <f t="shared" si="53"/>
        <v>5</v>
      </c>
      <c r="S387" s="273"/>
      <c r="T387" s="273"/>
      <c r="U387" s="273"/>
      <c r="V387" s="22"/>
      <c r="W387" s="272"/>
      <c r="X387" s="272"/>
      <c r="Y387" s="272"/>
      <c r="Z387" s="274"/>
      <c r="AA387" s="22"/>
      <c r="AB387" s="275"/>
      <c r="AC387" s="40"/>
      <c r="AD387" s="40"/>
    </row>
    <row r="388" spans="1:30" s="1" customFormat="1" x14ac:dyDescent="0.25">
      <c r="A388" s="162">
        <v>43675</v>
      </c>
      <c r="B388" s="316" t="s">
        <v>952</v>
      </c>
      <c r="C388" s="325" t="s">
        <v>63</v>
      </c>
      <c r="D388" s="163">
        <v>500</v>
      </c>
      <c r="E388" s="326">
        <v>7.94</v>
      </c>
      <c r="F388" s="16">
        <f t="shared" si="54"/>
        <v>13780</v>
      </c>
      <c r="G388" s="17">
        <f t="shared" si="55"/>
        <v>8.6600973149492031</v>
      </c>
      <c r="H388" s="15">
        <f t="shared" si="56"/>
        <v>119336.14100000002</v>
      </c>
      <c r="I388" s="15">
        <f t="shared" si="57"/>
        <v>-9922.9410000000062</v>
      </c>
      <c r="J388" s="33">
        <f t="shared" si="58"/>
        <v>-8.3151180496108146E-2</v>
      </c>
      <c r="K388" s="15">
        <f t="shared" si="59"/>
        <v>109413.20000000001</v>
      </c>
      <c r="L388" s="22">
        <f t="shared" si="60"/>
        <v>-2661</v>
      </c>
      <c r="M388" s="22"/>
      <c r="N388" s="22"/>
      <c r="O388" s="22"/>
      <c r="P388" s="272"/>
      <c r="Q388" s="22">
        <f t="shared" si="61"/>
        <v>-3975</v>
      </c>
      <c r="R388" s="34">
        <f t="shared" ref="R388:R451" si="62">commission($B$2,C388,D388,E388)</f>
        <v>5</v>
      </c>
      <c r="S388" s="273"/>
      <c r="T388" s="273"/>
      <c r="U388" s="273"/>
      <c r="V388" s="22"/>
      <c r="W388" s="272"/>
      <c r="X388" s="272"/>
      <c r="Y388" s="272"/>
      <c r="Z388" s="274"/>
      <c r="AA388" s="22"/>
      <c r="AB388" s="275"/>
      <c r="AC388" s="40"/>
      <c r="AD388" s="40"/>
    </row>
    <row r="389" spans="1:30" s="1" customFormat="1" x14ac:dyDescent="0.25">
      <c r="A389" s="162">
        <v>43679</v>
      </c>
      <c r="B389" s="316"/>
      <c r="C389" s="325" t="s">
        <v>63</v>
      </c>
      <c r="D389" s="163">
        <v>500</v>
      </c>
      <c r="E389" s="326">
        <v>7.67</v>
      </c>
      <c r="F389" s="16">
        <f t="shared" si="54"/>
        <v>14280</v>
      </c>
      <c r="G389" s="17">
        <f t="shared" si="55"/>
        <v>8.6257801820728304</v>
      </c>
      <c r="H389" s="15">
        <f t="shared" si="56"/>
        <v>123176.14100000002</v>
      </c>
      <c r="I389" s="15">
        <f t="shared" si="57"/>
        <v>-13648.541000000012</v>
      </c>
      <c r="J389" s="33">
        <f t="shared" si="58"/>
        <v>-0.11080507060210643</v>
      </c>
      <c r="K389" s="15">
        <f t="shared" si="59"/>
        <v>109527.6</v>
      </c>
      <c r="L389" s="22">
        <f t="shared" si="60"/>
        <v>-3725.6000000000058</v>
      </c>
      <c r="M389" s="22"/>
      <c r="N389" s="22"/>
      <c r="O389" s="22"/>
      <c r="P389" s="272"/>
      <c r="Q389" s="22">
        <f t="shared" si="61"/>
        <v>-3840</v>
      </c>
      <c r="R389" s="34">
        <f t="shared" si="62"/>
        <v>5</v>
      </c>
      <c r="S389" s="273"/>
      <c r="T389" s="273"/>
      <c r="U389" s="273"/>
      <c r="V389" s="22"/>
      <c r="W389" s="272"/>
      <c r="X389" s="272"/>
      <c r="Y389" s="272"/>
      <c r="Z389" s="274"/>
      <c r="AA389" s="22"/>
      <c r="AB389" s="275"/>
      <c r="AC389" s="40"/>
      <c r="AD389" s="40"/>
    </row>
    <row r="390" spans="1:30" s="1" customFormat="1" x14ac:dyDescent="0.25">
      <c r="A390" s="162">
        <v>43689</v>
      </c>
      <c r="B390" s="316" t="s">
        <v>953</v>
      </c>
      <c r="C390" s="325" t="s">
        <v>922</v>
      </c>
      <c r="D390" s="163">
        <v>500</v>
      </c>
      <c r="E390" s="326">
        <v>7.11</v>
      </c>
      <c r="F390" s="16">
        <f t="shared" si="54"/>
        <v>14780</v>
      </c>
      <c r="G390" s="17">
        <f t="shared" si="55"/>
        <v>8.5748403924221925</v>
      </c>
      <c r="H390" s="15">
        <f t="shared" si="56"/>
        <v>126736.14100000002</v>
      </c>
      <c r="I390" s="15">
        <f t="shared" si="57"/>
        <v>-21650.341000000015</v>
      </c>
      <c r="J390" s="33">
        <f t="shared" si="58"/>
        <v>-0.17083004760260137</v>
      </c>
      <c r="K390" s="15">
        <f t="shared" si="59"/>
        <v>105085.8</v>
      </c>
      <c r="L390" s="22">
        <f t="shared" si="60"/>
        <v>-8001.8000000000029</v>
      </c>
      <c r="M390" s="22"/>
      <c r="N390" s="22"/>
      <c r="O390" s="22"/>
      <c r="P390" s="272"/>
      <c r="Q390" s="22">
        <f t="shared" si="61"/>
        <v>-3560</v>
      </c>
      <c r="R390" s="34">
        <f t="shared" si="62"/>
        <v>5</v>
      </c>
      <c r="S390" s="273"/>
      <c r="T390" s="273"/>
      <c r="U390" s="273"/>
      <c r="V390" s="22"/>
      <c r="W390" s="272"/>
      <c r="X390" s="272"/>
      <c r="Y390" s="272"/>
      <c r="Z390" s="274"/>
      <c r="AA390" s="22"/>
      <c r="AB390" s="275"/>
      <c r="AC390" s="40"/>
      <c r="AD390" s="40"/>
    </row>
    <row r="391" spans="1:30" s="1" customFormat="1" x14ac:dyDescent="0.25">
      <c r="A391" s="162">
        <v>43692</v>
      </c>
      <c r="B391" s="316" t="s">
        <v>954</v>
      </c>
      <c r="C391" s="325" t="s">
        <v>922</v>
      </c>
      <c r="D391" s="163">
        <v>500</v>
      </c>
      <c r="E391" s="326">
        <v>6.78</v>
      </c>
      <c r="F391" s="16">
        <f t="shared" si="54"/>
        <v>15280</v>
      </c>
      <c r="G391" s="17">
        <f t="shared" si="55"/>
        <v>8.516435929319373</v>
      </c>
      <c r="H391" s="15">
        <f t="shared" si="56"/>
        <v>130131.14100000002</v>
      </c>
      <c r="I391" s="15">
        <f t="shared" si="57"/>
        <v>-26532.741000000009</v>
      </c>
      <c r="J391" s="33">
        <f t="shared" si="58"/>
        <v>-0.20389232581922886</v>
      </c>
      <c r="K391" s="15">
        <f t="shared" si="59"/>
        <v>103598.40000000001</v>
      </c>
      <c r="L391" s="22">
        <f t="shared" si="60"/>
        <v>-4882.3999999999942</v>
      </c>
      <c r="M391" s="22"/>
      <c r="N391" s="22"/>
      <c r="O391" s="22"/>
      <c r="P391" s="272"/>
      <c r="Q391" s="22">
        <f t="shared" si="61"/>
        <v>-3395</v>
      </c>
      <c r="R391" s="34">
        <f t="shared" si="62"/>
        <v>5</v>
      </c>
      <c r="S391" s="273"/>
      <c r="T391" s="273"/>
      <c r="U391" s="273"/>
      <c r="V391" s="22"/>
      <c r="W391" s="272"/>
      <c r="X391" s="272"/>
      <c r="Y391" s="272"/>
      <c r="Z391" s="274"/>
      <c r="AA391" s="22"/>
      <c r="AB391" s="275"/>
      <c r="AC391" s="40"/>
      <c r="AD391" s="40"/>
    </row>
    <row r="392" spans="1:30" s="1" customFormat="1" x14ac:dyDescent="0.25">
      <c r="A392" s="162">
        <v>43696</v>
      </c>
      <c r="B392" s="316"/>
      <c r="C392" s="325" t="s">
        <v>69</v>
      </c>
      <c r="D392" s="163">
        <v>400</v>
      </c>
      <c r="E392" s="326">
        <v>7.11</v>
      </c>
      <c r="F392" s="16">
        <f t="shared" si="54"/>
        <v>14880</v>
      </c>
      <c r="G392" s="17">
        <f t="shared" si="55"/>
        <v>8.5547704973118286</v>
      </c>
      <c r="H392" s="15">
        <f t="shared" si="56"/>
        <v>127294.98500000002</v>
      </c>
      <c r="I392" s="15">
        <f t="shared" si="57"/>
        <v>-21498.185000000012</v>
      </c>
      <c r="J392" s="33">
        <f t="shared" si="58"/>
        <v>-0.16888477578280089</v>
      </c>
      <c r="K392" s="15">
        <f t="shared" si="59"/>
        <v>105796.8</v>
      </c>
      <c r="L392" s="22">
        <f t="shared" si="60"/>
        <v>5034.5559999999969</v>
      </c>
      <c r="M392" s="22"/>
      <c r="N392" s="22"/>
      <c r="O392" s="22"/>
      <c r="P392" s="272"/>
      <c r="Q392" s="22">
        <f t="shared" si="61"/>
        <v>2836.1560000000027</v>
      </c>
      <c r="R392" s="34">
        <f t="shared" si="62"/>
        <v>7.8440000000000003</v>
      </c>
      <c r="S392" s="273"/>
      <c r="T392" s="273"/>
      <c r="U392" s="273"/>
      <c r="V392" s="22"/>
      <c r="W392" s="272"/>
      <c r="X392" s="272"/>
      <c r="Y392" s="272"/>
      <c r="Z392" s="274"/>
      <c r="AA392" s="22"/>
      <c r="AB392" s="275"/>
      <c r="AC392" s="40"/>
      <c r="AD392" s="40"/>
    </row>
    <row r="393" spans="1:30" s="1" customFormat="1" x14ac:dyDescent="0.25">
      <c r="A393" s="162">
        <v>43704</v>
      </c>
      <c r="B393" s="316"/>
      <c r="C393" s="325" t="s">
        <v>69</v>
      </c>
      <c r="D393" s="163">
        <v>400</v>
      </c>
      <c r="E393" s="326">
        <v>7.26</v>
      </c>
      <c r="F393" s="16">
        <f t="shared" si="54"/>
        <v>14480</v>
      </c>
      <c r="G393" s="17">
        <f t="shared" si="55"/>
        <v>8.5910834944751393</v>
      </c>
      <c r="H393" s="15">
        <f t="shared" si="56"/>
        <v>124398.88900000001</v>
      </c>
      <c r="I393" s="15">
        <f t="shared" si="57"/>
        <v>-19274.089000000007</v>
      </c>
      <c r="J393" s="33">
        <f t="shared" si="58"/>
        <v>-0.15493779048139261</v>
      </c>
      <c r="K393" s="15">
        <f t="shared" si="59"/>
        <v>105124.8</v>
      </c>
      <c r="L393" s="22">
        <f t="shared" si="60"/>
        <v>2224.096000000005</v>
      </c>
      <c r="M393" s="22"/>
      <c r="N393" s="22"/>
      <c r="O393" s="22"/>
      <c r="P393" s="272"/>
      <c r="Q393" s="22">
        <f t="shared" si="61"/>
        <v>2896.096000000005</v>
      </c>
      <c r="R393" s="34">
        <f t="shared" si="62"/>
        <v>7.9039999999999999</v>
      </c>
      <c r="S393" s="273"/>
      <c r="T393" s="273"/>
      <c r="U393" s="273"/>
      <c r="V393" s="22"/>
      <c r="W393" s="272"/>
      <c r="X393" s="272"/>
      <c r="Y393" s="272"/>
      <c r="Z393" s="274"/>
      <c r="AA393" s="22"/>
      <c r="AB393" s="275"/>
      <c r="AC393" s="40"/>
      <c r="AD393" s="40"/>
    </row>
    <row r="394" spans="1:30" s="1" customFormat="1" x14ac:dyDescent="0.25">
      <c r="A394" s="162">
        <v>43706</v>
      </c>
      <c r="B394" s="316"/>
      <c r="C394" s="325" t="s">
        <v>69</v>
      </c>
      <c r="D394" s="163">
        <v>400</v>
      </c>
      <c r="E394" s="326">
        <v>7.44</v>
      </c>
      <c r="F394" s="16">
        <f t="shared" si="54"/>
        <v>14080</v>
      </c>
      <c r="G394" s="17">
        <f t="shared" si="55"/>
        <v>8.6243512073863648</v>
      </c>
      <c r="H394" s="15">
        <f t="shared" si="56"/>
        <v>121430.86500000001</v>
      </c>
      <c r="I394" s="15">
        <f t="shared" si="57"/>
        <v>-16675.664999999994</v>
      </c>
      <c r="J394" s="33">
        <f t="shared" si="58"/>
        <v>-0.13732641202877052</v>
      </c>
      <c r="K394" s="15">
        <f t="shared" si="59"/>
        <v>104755.20000000001</v>
      </c>
      <c r="L394" s="22">
        <f t="shared" si="60"/>
        <v>2598.4240000000136</v>
      </c>
      <c r="M394" s="22"/>
      <c r="N394" s="22"/>
      <c r="O394" s="22"/>
      <c r="P394" s="272"/>
      <c r="Q394" s="22">
        <f t="shared" si="61"/>
        <v>2968.0240000000049</v>
      </c>
      <c r="R394" s="34">
        <f t="shared" si="62"/>
        <v>7.976</v>
      </c>
      <c r="S394" s="273"/>
      <c r="T394" s="273"/>
      <c r="U394" s="273"/>
      <c r="V394" s="22"/>
      <c r="W394" s="272"/>
      <c r="X394" s="272"/>
      <c r="Y394" s="272"/>
      <c r="Z394" s="274"/>
      <c r="AA394" s="22"/>
      <c r="AB394" s="275"/>
      <c r="AC394" s="40"/>
      <c r="AD394" s="40"/>
    </row>
    <row r="395" spans="1:30" s="1" customFormat="1" x14ac:dyDescent="0.25">
      <c r="A395" s="162">
        <v>43707</v>
      </c>
      <c r="B395" s="316" t="s">
        <v>955</v>
      </c>
      <c r="C395" s="325" t="s">
        <v>63</v>
      </c>
      <c r="D395" s="163">
        <v>500</v>
      </c>
      <c r="E395" s="326">
        <v>7.2</v>
      </c>
      <c r="F395" s="16">
        <f t="shared" si="54"/>
        <v>14580</v>
      </c>
      <c r="G395" s="17">
        <f t="shared" si="55"/>
        <v>8.5758480795610428</v>
      </c>
      <c r="H395" s="15">
        <f t="shared" si="56"/>
        <v>125035.86500000001</v>
      </c>
      <c r="I395" s="15">
        <f t="shared" si="57"/>
        <v>-20059.865000000005</v>
      </c>
      <c r="J395" s="33">
        <f t="shared" si="58"/>
        <v>-0.16043288859560415</v>
      </c>
      <c r="K395" s="15">
        <f t="shared" si="59"/>
        <v>104976</v>
      </c>
      <c r="L395" s="22">
        <f t="shared" si="60"/>
        <v>-3384.2000000000116</v>
      </c>
      <c r="M395" s="22"/>
      <c r="N395" s="22"/>
      <c r="O395" s="22"/>
      <c r="P395" s="272"/>
      <c r="Q395" s="22">
        <f t="shared" si="61"/>
        <v>-3605</v>
      </c>
      <c r="R395" s="34">
        <f t="shared" si="62"/>
        <v>5</v>
      </c>
      <c r="S395" s="273"/>
      <c r="T395" s="273"/>
      <c r="U395" s="273"/>
      <c r="V395" s="22"/>
      <c r="W395" s="272"/>
      <c r="X395" s="272"/>
      <c r="Y395" s="272"/>
      <c r="Z395" s="274"/>
      <c r="AA395" s="22"/>
      <c r="AB395" s="275"/>
      <c r="AC395" s="40"/>
      <c r="AD395" s="40"/>
    </row>
    <row r="396" spans="1:30" s="1" customFormat="1" x14ac:dyDescent="0.25">
      <c r="A396" s="162">
        <v>43712</v>
      </c>
      <c r="B396" s="316"/>
      <c r="C396" s="325" t="s">
        <v>69</v>
      </c>
      <c r="D396" s="163">
        <v>400</v>
      </c>
      <c r="E396" s="326">
        <v>7.55</v>
      </c>
      <c r="F396" s="16">
        <f t="shared" ref="F396:F459" si="63">IF(C396="买",F395+D396,IF(C396="卖",F395-D396,F395))</f>
        <v>14180</v>
      </c>
      <c r="G396" s="17">
        <f t="shared" ref="G396:G459" si="64">H396/F396</f>
        <v>8.6053515514809593</v>
      </c>
      <c r="H396" s="15">
        <f t="shared" ref="H396:H459" si="65">IF(C396="买",H395+D396*E396+R396+S396,IF(C396="卖",H395-D396*E396+R396+S396,H395))</f>
        <v>122023.88500000001</v>
      </c>
      <c r="I396" s="15">
        <f t="shared" ref="I396:I459" si="66">-H396+K396</f>
        <v>-14964.885000000009</v>
      </c>
      <c r="J396" s="33">
        <f t="shared" ref="J396:J459" si="67">(E396-G396)/G396</f>
        <v>-0.12263898170427867</v>
      </c>
      <c r="K396" s="15">
        <f t="shared" ref="K396:K459" si="68">F396*E396</f>
        <v>107059</v>
      </c>
      <c r="L396" s="22">
        <f t="shared" si="60"/>
        <v>5094.9799999999959</v>
      </c>
      <c r="M396" s="22"/>
      <c r="N396" s="22"/>
      <c r="O396" s="22"/>
      <c r="P396" s="272"/>
      <c r="Q396" s="22">
        <f t="shared" si="61"/>
        <v>3011.9799999999959</v>
      </c>
      <c r="R396" s="34">
        <f t="shared" si="62"/>
        <v>8.02</v>
      </c>
      <c r="S396" s="273"/>
      <c r="T396" s="273"/>
      <c r="U396" s="273"/>
      <c r="V396" s="22"/>
      <c r="W396" s="272"/>
      <c r="X396" s="272"/>
      <c r="Y396" s="272"/>
      <c r="Z396" s="274"/>
      <c r="AA396" s="22"/>
      <c r="AB396" s="275"/>
      <c r="AC396" s="40"/>
      <c r="AD396" s="40"/>
    </row>
    <row r="397" spans="1:30" s="1" customFormat="1" x14ac:dyDescent="0.25">
      <c r="A397" s="162">
        <v>43713</v>
      </c>
      <c r="B397" s="316"/>
      <c r="C397" s="325" t="s">
        <v>69</v>
      </c>
      <c r="D397" s="163">
        <v>400</v>
      </c>
      <c r="E397" s="326">
        <v>7.74</v>
      </c>
      <c r="F397" s="16">
        <f t="shared" si="63"/>
        <v>13780</v>
      </c>
      <c r="G397" s="17">
        <f t="shared" si="64"/>
        <v>8.631058127721337</v>
      </c>
      <c r="H397" s="15">
        <f t="shared" si="65"/>
        <v>118935.98100000001</v>
      </c>
      <c r="I397" s="15">
        <f t="shared" si="66"/>
        <v>-12278.781000000017</v>
      </c>
      <c r="J397" s="33">
        <f t="shared" si="67"/>
        <v>-0.10323857336326185</v>
      </c>
      <c r="K397" s="15">
        <f t="shared" si="68"/>
        <v>106657.2</v>
      </c>
      <c r="L397" s="22">
        <f t="shared" si="60"/>
        <v>2686.1039999999921</v>
      </c>
      <c r="M397" s="22"/>
      <c r="N397" s="22"/>
      <c r="O397" s="22"/>
      <c r="P397" s="272"/>
      <c r="Q397" s="22">
        <f t="shared" si="61"/>
        <v>3087.903999999995</v>
      </c>
      <c r="R397" s="34">
        <f t="shared" si="62"/>
        <v>8.0960000000000001</v>
      </c>
      <c r="S397" s="273"/>
      <c r="T397" s="273"/>
      <c r="U397" s="273"/>
      <c r="V397" s="22"/>
      <c r="W397" s="272"/>
      <c r="X397" s="272"/>
      <c r="Y397" s="272"/>
      <c r="Z397" s="274"/>
      <c r="AA397" s="22"/>
      <c r="AB397" s="275"/>
      <c r="AC397" s="40"/>
      <c r="AD397" s="40"/>
    </row>
    <row r="398" spans="1:30" s="1" customFormat="1" x14ac:dyDescent="0.25">
      <c r="A398" s="162">
        <v>43719</v>
      </c>
      <c r="B398" s="316" t="s">
        <v>956</v>
      </c>
      <c r="C398" s="325" t="s">
        <v>69</v>
      </c>
      <c r="D398" s="163">
        <v>400</v>
      </c>
      <c r="E398" s="326">
        <v>8.0299999999999994</v>
      </c>
      <c r="F398" s="16">
        <f t="shared" si="63"/>
        <v>13380</v>
      </c>
      <c r="G398" s="17">
        <f t="shared" si="64"/>
        <v>8.6496407324364739</v>
      </c>
      <c r="H398" s="15">
        <f t="shared" si="65"/>
        <v>115732.19300000001</v>
      </c>
      <c r="I398" s="15">
        <f t="shared" si="66"/>
        <v>-8290.7930000000197</v>
      </c>
      <c r="J398" s="33">
        <f t="shared" si="67"/>
        <v>-7.1637742144919248E-2</v>
      </c>
      <c r="K398" s="15">
        <f t="shared" si="68"/>
        <v>107441.4</v>
      </c>
      <c r="L398" s="22">
        <f t="shared" si="60"/>
        <v>3987.9879999999976</v>
      </c>
      <c r="M398" s="22"/>
      <c r="N398" s="22"/>
      <c r="O398" s="22"/>
      <c r="P398" s="272"/>
      <c r="Q398" s="22">
        <f t="shared" si="61"/>
        <v>3203.7880000000005</v>
      </c>
      <c r="R398" s="34">
        <f t="shared" si="62"/>
        <v>8.2119999999999997</v>
      </c>
      <c r="S398" s="273"/>
      <c r="T398" s="273"/>
      <c r="U398" s="273"/>
      <c r="V398" s="22"/>
      <c r="W398" s="272"/>
      <c r="X398" s="272"/>
      <c r="Y398" s="272"/>
      <c r="Z398" s="274"/>
      <c r="AA398" s="22"/>
      <c r="AB398" s="275"/>
      <c r="AC398" s="40"/>
      <c r="AD398" s="40"/>
    </row>
    <row r="399" spans="1:30" s="1" customFormat="1" x14ac:dyDescent="0.25">
      <c r="A399" s="162">
        <v>43719</v>
      </c>
      <c r="B399" s="316" t="s">
        <v>957</v>
      </c>
      <c r="C399" s="325" t="s">
        <v>69</v>
      </c>
      <c r="D399" s="163">
        <v>400</v>
      </c>
      <c r="E399" s="326">
        <v>8.23</v>
      </c>
      <c r="F399" s="16">
        <f t="shared" si="63"/>
        <v>12980</v>
      </c>
      <c r="G399" s="17">
        <f t="shared" si="64"/>
        <v>8.6632114791987682</v>
      </c>
      <c r="H399" s="15">
        <f t="shared" si="65"/>
        <v>112448.48500000002</v>
      </c>
      <c r="I399" s="15">
        <f t="shared" si="66"/>
        <v>-5623.0850000000064</v>
      </c>
      <c r="J399" s="33">
        <f t="shared" si="67"/>
        <v>-5.0005876024030074E-2</v>
      </c>
      <c r="K399" s="15">
        <f t="shared" si="68"/>
        <v>106825.40000000001</v>
      </c>
      <c r="L399" s="22">
        <f t="shared" si="60"/>
        <v>2667.7080000000133</v>
      </c>
      <c r="M399" s="22"/>
      <c r="N399" s="22"/>
      <c r="O399" s="22"/>
      <c r="P399" s="272"/>
      <c r="Q399" s="22">
        <f t="shared" si="61"/>
        <v>3283.7079999999987</v>
      </c>
      <c r="R399" s="34">
        <f t="shared" si="62"/>
        <v>8.2919999999999998</v>
      </c>
      <c r="S399" s="273"/>
      <c r="T399" s="273"/>
      <c r="U399" s="273"/>
      <c r="V399" s="22"/>
      <c r="W399" s="272"/>
      <c r="X399" s="272"/>
      <c r="Y399" s="272"/>
      <c r="Z399" s="274"/>
      <c r="AA399" s="22"/>
      <c r="AB399" s="275"/>
      <c r="AC399" s="40"/>
      <c r="AD399" s="40"/>
    </row>
    <row r="400" spans="1:30" s="1" customFormat="1" x14ac:dyDescent="0.25">
      <c r="A400" s="162">
        <v>43726</v>
      </c>
      <c r="B400" s="316"/>
      <c r="C400" s="325" t="s">
        <v>63</v>
      </c>
      <c r="D400" s="163">
        <v>500</v>
      </c>
      <c r="E400" s="326">
        <v>7.91</v>
      </c>
      <c r="F400" s="16">
        <f t="shared" si="63"/>
        <v>13480</v>
      </c>
      <c r="G400" s="17">
        <f t="shared" si="64"/>
        <v>8.6356442878338289</v>
      </c>
      <c r="H400" s="15">
        <f t="shared" si="65"/>
        <v>116408.48500000002</v>
      </c>
      <c r="I400" s="15">
        <f t="shared" si="66"/>
        <v>-9781.6850000000122</v>
      </c>
      <c r="J400" s="33">
        <f t="shared" si="67"/>
        <v>-8.4028969194127126E-2</v>
      </c>
      <c r="K400" s="15">
        <f t="shared" si="68"/>
        <v>106626.8</v>
      </c>
      <c r="L400" s="22">
        <f t="shared" si="60"/>
        <v>-4158.6000000000058</v>
      </c>
      <c r="M400" s="22"/>
      <c r="N400" s="22"/>
      <c r="O400" s="22"/>
      <c r="P400" s="272"/>
      <c r="Q400" s="22">
        <f t="shared" si="61"/>
        <v>-3960</v>
      </c>
      <c r="R400" s="34">
        <f t="shared" si="62"/>
        <v>5</v>
      </c>
      <c r="S400" s="273"/>
      <c r="T400" s="273"/>
      <c r="U400" s="273"/>
      <c r="V400" s="22"/>
      <c r="W400" s="272"/>
      <c r="X400" s="272"/>
      <c r="Y400" s="272"/>
      <c r="Z400" s="274"/>
      <c r="AA400" s="22"/>
      <c r="AB400" s="275"/>
      <c r="AC400" s="40"/>
      <c r="AD400" s="40"/>
    </row>
    <row r="401" spans="1:30" s="1" customFormat="1" x14ac:dyDescent="0.25">
      <c r="A401" s="162">
        <v>43726</v>
      </c>
      <c r="B401" s="316" t="s">
        <v>958</v>
      </c>
      <c r="C401" s="325" t="s">
        <v>63</v>
      </c>
      <c r="D401" s="163">
        <v>400</v>
      </c>
      <c r="E401" s="326">
        <v>7.85</v>
      </c>
      <c r="F401" s="16">
        <f t="shared" si="63"/>
        <v>13880</v>
      </c>
      <c r="G401" s="17">
        <f t="shared" si="64"/>
        <v>8.6133634726224795</v>
      </c>
      <c r="H401" s="15">
        <f t="shared" si="65"/>
        <v>119553.48500000002</v>
      </c>
      <c r="I401" s="15">
        <f t="shared" si="66"/>
        <v>-10595.485000000015</v>
      </c>
      <c r="J401" s="33">
        <f t="shared" si="67"/>
        <v>-8.8625480051878189E-2</v>
      </c>
      <c r="K401" s="15">
        <f t="shared" si="68"/>
        <v>108958</v>
      </c>
      <c r="L401" s="22">
        <f t="shared" si="60"/>
        <v>-813.80000000000291</v>
      </c>
      <c r="M401" s="22"/>
      <c r="N401" s="22"/>
      <c r="O401" s="22"/>
      <c r="P401" s="272"/>
      <c r="Q401" s="22">
        <f t="shared" si="61"/>
        <v>-3145</v>
      </c>
      <c r="R401" s="34">
        <f t="shared" si="62"/>
        <v>5</v>
      </c>
      <c r="S401" s="273"/>
      <c r="T401" s="273"/>
      <c r="U401" s="273"/>
      <c r="V401" s="22"/>
      <c r="W401" s="272"/>
      <c r="X401" s="272"/>
      <c r="Y401" s="272"/>
      <c r="Z401" s="274"/>
      <c r="AA401" s="22"/>
      <c r="AB401" s="275"/>
      <c r="AC401" s="40"/>
      <c r="AD401" s="40"/>
    </row>
    <row r="402" spans="1:30" s="1" customFormat="1" x14ac:dyDescent="0.25">
      <c r="A402" s="162">
        <v>43732</v>
      </c>
      <c r="B402" s="316"/>
      <c r="C402" s="325" t="s">
        <v>63</v>
      </c>
      <c r="D402" s="163">
        <v>500</v>
      </c>
      <c r="E402" s="326">
        <v>7.66</v>
      </c>
      <c r="F402" s="16">
        <f t="shared" si="63"/>
        <v>14380</v>
      </c>
      <c r="G402" s="17">
        <f t="shared" si="64"/>
        <v>8.5805622392211411</v>
      </c>
      <c r="H402" s="15">
        <f t="shared" si="65"/>
        <v>123388.48500000002</v>
      </c>
      <c r="I402" s="15">
        <f t="shared" si="66"/>
        <v>-13237.685000000012</v>
      </c>
      <c r="J402" s="33">
        <f t="shared" si="67"/>
        <v>-0.10728460601489682</v>
      </c>
      <c r="K402" s="15">
        <f t="shared" si="68"/>
        <v>110150.8</v>
      </c>
      <c r="L402" s="22">
        <f t="shared" si="60"/>
        <v>-2642.1999999999971</v>
      </c>
      <c r="M402" s="22"/>
      <c r="N402" s="22"/>
      <c r="O402" s="22"/>
      <c r="P402" s="272"/>
      <c r="Q402" s="22">
        <f t="shared" si="61"/>
        <v>-3835</v>
      </c>
      <c r="R402" s="34">
        <f t="shared" si="62"/>
        <v>5</v>
      </c>
      <c r="S402" s="273"/>
      <c r="T402" s="273"/>
      <c r="U402" s="273"/>
      <c r="V402" s="22"/>
      <c r="W402" s="272"/>
      <c r="X402" s="272"/>
      <c r="Y402" s="272"/>
      <c r="Z402" s="274"/>
      <c r="AA402" s="22"/>
      <c r="AB402" s="275"/>
      <c r="AC402" s="40"/>
      <c r="AD402" s="40"/>
    </row>
    <row r="403" spans="1:30" s="1" customFormat="1" x14ac:dyDescent="0.25">
      <c r="A403" s="162">
        <v>43733</v>
      </c>
      <c r="B403" s="316" t="s">
        <v>959</v>
      </c>
      <c r="C403" s="325" t="s">
        <v>922</v>
      </c>
      <c r="D403" s="163">
        <v>500</v>
      </c>
      <c r="E403" s="326">
        <v>7.37</v>
      </c>
      <c r="F403" s="16">
        <f t="shared" si="63"/>
        <v>14880</v>
      </c>
      <c r="G403" s="17">
        <f t="shared" si="64"/>
        <v>8.5402207661290337</v>
      </c>
      <c r="H403" s="15">
        <f t="shared" si="65"/>
        <v>127078.48500000002</v>
      </c>
      <c r="I403" s="15">
        <f t="shared" si="66"/>
        <v>-17412.885000000009</v>
      </c>
      <c r="J403" s="33">
        <f t="shared" si="67"/>
        <v>-0.1370246505535537</v>
      </c>
      <c r="K403" s="15">
        <f t="shared" si="68"/>
        <v>109665.60000000001</v>
      </c>
      <c r="L403" s="22">
        <f t="shared" si="60"/>
        <v>-4175.1999999999971</v>
      </c>
      <c r="M403" s="22"/>
      <c r="N403" s="22"/>
      <c r="O403" s="22"/>
      <c r="P403" s="272"/>
      <c r="Q403" s="22">
        <f t="shared" si="61"/>
        <v>-3690</v>
      </c>
      <c r="R403" s="34">
        <f t="shared" si="62"/>
        <v>5</v>
      </c>
      <c r="S403" s="273"/>
      <c r="T403" s="273"/>
      <c r="U403" s="273"/>
      <c r="V403" s="22"/>
      <c r="W403" s="272"/>
      <c r="X403" s="272"/>
      <c r="Y403" s="272"/>
      <c r="Z403" s="274"/>
      <c r="AA403" s="22"/>
      <c r="AB403" s="275"/>
      <c r="AC403" s="40"/>
      <c r="AD403" s="40"/>
    </row>
    <row r="404" spans="1:30" s="1" customFormat="1" x14ac:dyDescent="0.25">
      <c r="A404" s="162">
        <v>43738</v>
      </c>
      <c r="B404" s="316"/>
      <c r="C404" s="325" t="s">
        <v>69</v>
      </c>
      <c r="D404" s="163">
        <v>400</v>
      </c>
      <c r="E404" s="326">
        <v>7.63</v>
      </c>
      <c r="F404" s="16">
        <f t="shared" si="63"/>
        <v>14480</v>
      </c>
      <c r="G404" s="17">
        <f t="shared" si="64"/>
        <v>8.565921063535912</v>
      </c>
      <c r="H404" s="15">
        <f t="shared" si="65"/>
        <v>124034.53700000001</v>
      </c>
      <c r="I404" s="15">
        <f t="shared" si="66"/>
        <v>-13552.137000000017</v>
      </c>
      <c r="J404" s="33">
        <f t="shared" si="67"/>
        <v>-0.10926099558867226</v>
      </c>
      <c r="K404" s="15">
        <f t="shared" si="68"/>
        <v>110482.4</v>
      </c>
      <c r="L404" s="22">
        <f t="shared" si="60"/>
        <v>3860.7479999999923</v>
      </c>
      <c r="M404" s="22"/>
      <c r="N404" s="22"/>
      <c r="O404" s="22"/>
      <c r="P404" s="272"/>
      <c r="Q404" s="22">
        <f t="shared" si="61"/>
        <v>3043.948000000004</v>
      </c>
      <c r="R404" s="34">
        <f t="shared" si="62"/>
        <v>8.0519999999999996</v>
      </c>
      <c r="S404" s="273"/>
      <c r="T404" s="273"/>
      <c r="U404" s="273"/>
      <c r="V404" s="22"/>
      <c r="W404" s="272"/>
      <c r="X404" s="272"/>
      <c r="Y404" s="272"/>
      <c r="Z404" s="274"/>
      <c r="AA404" s="22"/>
      <c r="AB404" s="275"/>
      <c r="AC404" s="40"/>
      <c r="AD404" s="40"/>
    </row>
    <row r="405" spans="1:30" s="1" customFormat="1" x14ac:dyDescent="0.25">
      <c r="A405" s="162">
        <v>43746</v>
      </c>
      <c r="B405" s="316" t="s">
        <v>960</v>
      </c>
      <c r="C405" s="325" t="s">
        <v>69</v>
      </c>
      <c r="D405" s="163">
        <v>400</v>
      </c>
      <c r="E405" s="326">
        <v>7.95</v>
      </c>
      <c r="F405" s="16">
        <f t="shared" si="63"/>
        <v>14080</v>
      </c>
      <c r="G405" s="17">
        <f t="shared" si="64"/>
        <v>8.5839997869318179</v>
      </c>
      <c r="H405" s="15">
        <f t="shared" si="65"/>
        <v>120862.717</v>
      </c>
      <c r="I405" s="15">
        <f t="shared" si="66"/>
        <v>-8926.7170000000042</v>
      </c>
      <c r="J405" s="33">
        <f t="shared" si="67"/>
        <v>-7.3858318111448662E-2</v>
      </c>
      <c r="K405" s="15">
        <f t="shared" si="68"/>
        <v>111936</v>
      </c>
      <c r="L405" s="22">
        <f t="shared" si="60"/>
        <v>4625.4200000000128</v>
      </c>
      <c r="M405" s="22"/>
      <c r="N405" s="22"/>
      <c r="O405" s="22"/>
      <c r="P405" s="272"/>
      <c r="Q405" s="22">
        <f t="shared" si="61"/>
        <v>3171.820000000007</v>
      </c>
      <c r="R405" s="34">
        <f t="shared" si="62"/>
        <v>8.18</v>
      </c>
      <c r="S405" s="273"/>
      <c r="T405" s="273"/>
      <c r="U405" s="273"/>
      <c r="V405" s="22"/>
      <c r="W405" s="272"/>
      <c r="X405" s="272"/>
      <c r="Y405" s="272"/>
      <c r="Z405" s="274"/>
      <c r="AA405" s="22"/>
      <c r="AB405" s="275"/>
      <c r="AC405" s="40"/>
      <c r="AD405" s="40"/>
    </row>
    <row r="406" spans="1:30" s="1" customFormat="1" x14ac:dyDescent="0.25">
      <c r="A406" s="162">
        <v>43747</v>
      </c>
      <c r="B406" s="316" t="s">
        <v>961</v>
      </c>
      <c r="C406" s="325" t="s">
        <v>922</v>
      </c>
      <c r="D406" s="163">
        <v>400</v>
      </c>
      <c r="E406" s="326">
        <v>7.46</v>
      </c>
      <c r="F406" s="16">
        <f t="shared" si="63"/>
        <v>14480</v>
      </c>
      <c r="G406" s="17">
        <f t="shared" si="64"/>
        <v>8.5532953729281775</v>
      </c>
      <c r="H406" s="15">
        <f t="shared" si="65"/>
        <v>123851.717</v>
      </c>
      <c r="I406" s="15">
        <f t="shared" si="66"/>
        <v>-15830.917000000001</v>
      </c>
      <c r="J406" s="33">
        <f t="shared" si="67"/>
        <v>-0.12782153839659735</v>
      </c>
      <c r="K406" s="15">
        <f t="shared" si="68"/>
        <v>108020.8</v>
      </c>
      <c r="L406" s="22">
        <f t="shared" si="60"/>
        <v>-6904.1999999999971</v>
      </c>
      <c r="M406" s="22"/>
      <c r="N406" s="22"/>
      <c r="O406" s="22"/>
      <c r="P406" s="272"/>
      <c r="Q406" s="22">
        <f t="shared" si="61"/>
        <v>-2989</v>
      </c>
      <c r="R406" s="34">
        <f t="shared" si="62"/>
        <v>5</v>
      </c>
      <c r="S406" s="273"/>
      <c r="T406" s="273"/>
      <c r="U406" s="273"/>
      <c r="V406" s="22"/>
      <c r="W406" s="272"/>
      <c r="X406" s="272"/>
      <c r="Y406" s="272"/>
      <c r="Z406" s="274"/>
      <c r="AA406" s="22"/>
      <c r="AB406" s="275"/>
      <c r="AC406" s="40"/>
      <c r="AD406" s="40"/>
    </row>
    <row r="407" spans="1:30" s="1" customFormat="1" x14ac:dyDescent="0.25">
      <c r="A407" s="162">
        <v>43752</v>
      </c>
      <c r="B407" s="316"/>
      <c r="C407" s="325" t="s">
        <v>69</v>
      </c>
      <c r="D407" s="163">
        <v>400</v>
      </c>
      <c r="E407" s="326">
        <v>7.67</v>
      </c>
      <c r="F407" s="16">
        <f t="shared" si="63"/>
        <v>14080</v>
      </c>
      <c r="G407" s="17">
        <f t="shared" si="64"/>
        <v>8.5789620028409086</v>
      </c>
      <c r="H407" s="15">
        <f t="shared" si="65"/>
        <v>120791.785</v>
      </c>
      <c r="I407" s="15">
        <f t="shared" si="66"/>
        <v>-12798.184999999998</v>
      </c>
      <c r="J407" s="33">
        <f t="shared" si="67"/>
        <v>-0.10595244535876339</v>
      </c>
      <c r="K407" s="15">
        <f t="shared" si="68"/>
        <v>107993.60000000001</v>
      </c>
      <c r="L407" s="22">
        <f t="shared" si="60"/>
        <v>3032.7320000000036</v>
      </c>
      <c r="M407" s="22"/>
      <c r="N407" s="22"/>
      <c r="O407" s="22"/>
      <c r="P407" s="272"/>
      <c r="Q407" s="22">
        <f t="shared" si="61"/>
        <v>3059.9320000000007</v>
      </c>
      <c r="R407" s="34">
        <f t="shared" si="62"/>
        <v>8.0679999999999996</v>
      </c>
      <c r="S407" s="273"/>
      <c r="T407" s="273"/>
      <c r="U407" s="273"/>
      <c r="V407" s="22"/>
      <c r="W407" s="272"/>
      <c r="X407" s="272"/>
      <c r="Y407" s="272"/>
      <c r="Z407" s="274"/>
      <c r="AA407" s="22"/>
      <c r="AB407" s="275"/>
      <c r="AC407" s="40"/>
      <c r="AD407" s="40"/>
    </row>
    <row r="408" spans="1:30" s="1" customFormat="1" x14ac:dyDescent="0.25">
      <c r="A408" s="162">
        <v>43752</v>
      </c>
      <c r="B408" s="316" t="s">
        <v>962</v>
      </c>
      <c r="C408" s="325" t="s">
        <v>926</v>
      </c>
      <c r="D408" s="163">
        <v>400</v>
      </c>
      <c r="E408" s="326">
        <v>7.77</v>
      </c>
      <c r="F408" s="16">
        <f t="shared" si="63"/>
        <v>13680</v>
      </c>
      <c r="G408" s="17">
        <f t="shared" si="64"/>
        <v>8.6032085526315782</v>
      </c>
      <c r="H408" s="15">
        <f t="shared" si="65"/>
        <v>117691.893</v>
      </c>
      <c r="I408" s="15">
        <f t="shared" si="66"/>
        <v>-11398.293000000005</v>
      </c>
      <c r="J408" s="33">
        <f t="shared" si="67"/>
        <v>-9.6848582425299229E-2</v>
      </c>
      <c r="K408" s="15">
        <f t="shared" si="68"/>
        <v>106293.59999999999</v>
      </c>
      <c r="L408" s="22">
        <f t="shared" si="60"/>
        <v>1399.8919999999925</v>
      </c>
      <c r="M408" s="22"/>
      <c r="N408" s="22"/>
      <c r="O408" s="22"/>
      <c r="P408" s="272"/>
      <c r="Q408" s="22">
        <f t="shared" si="61"/>
        <v>3099.8920000000071</v>
      </c>
      <c r="R408" s="34">
        <f t="shared" si="62"/>
        <v>8.1080000000000005</v>
      </c>
      <c r="S408" s="273"/>
      <c r="T408" s="273"/>
      <c r="U408" s="273"/>
      <c r="V408" s="22"/>
      <c r="W408" s="272"/>
      <c r="X408" s="272"/>
      <c r="Y408" s="272"/>
      <c r="Z408" s="274"/>
      <c r="AA408" s="22"/>
      <c r="AB408" s="275"/>
      <c r="AC408" s="40"/>
      <c r="AD408" s="40"/>
    </row>
    <row r="409" spans="1:30" s="1" customFormat="1" x14ac:dyDescent="0.25">
      <c r="A409" s="162">
        <v>43754</v>
      </c>
      <c r="B409" s="316" t="s">
        <v>963</v>
      </c>
      <c r="C409" s="325" t="s">
        <v>63</v>
      </c>
      <c r="D409" s="163">
        <v>400</v>
      </c>
      <c r="E409" s="326">
        <v>7.54</v>
      </c>
      <c r="F409" s="16">
        <f t="shared" si="63"/>
        <v>14080</v>
      </c>
      <c r="G409" s="17">
        <f t="shared" si="64"/>
        <v>8.5733588778409082</v>
      </c>
      <c r="H409" s="15">
        <f t="shared" si="65"/>
        <v>120712.893</v>
      </c>
      <c r="I409" s="15">
        <f t="shared" si="66"/>
        <v>-14549.692999999999</v>
      </c>
      <c r="J409" s="33">
        <f t="shared" si="67"/>
        <v>-0.12053139178761947</v>
      </c>
      <c r="K409" s="15">
        <f t="shared" si="68"/>
        <v>106163.2</v>
      </c>
      <c r="L409" s="22">
        <f t="shared" si="60"/>
        <v>-3151.3999999999942</v>
      </c>
      <c r="M409" s="22"/>
      <c r="N409" s="22"/>
      <c r="O409" s="22"/>
      <c r="P409" s="272"/>
      <c r="Q409" s="22">
        <f t="shared" si="61"/>
        <v>-3021</v>
      </c>
      <c r="R409" s="34">
        <f t="shared" si="62"/>
        <v>5</v>
      </c>
      <c r="S409" s="273"/>
      <c r="T409" s="273"/>
      <c r="U409" s="273"/>
      <c r="V409" s="22"/>
      <c r="W409" s="272"/>
      <c r="X409" s="272"/>
      <c r="Y409" s="272"/>
      <c r="Z409" s="274"/>
      <c r="AA409" s="22"/>
      <c r="AB409" s="275"/>
      <c r="AC409" s="40"/>
      <c r="AD409" s="40"/>
    </row>
    <row r="410" spans="1:30" s="1" customFormat="1" x14ac:dyDescent="0.25">
      <c r="A410" s="162">
        <v>43756</v>
      </c>
      <c r="B410" s="316" t="s">
        <v>964</v>
      </c>
      <c r="C410" s="325" t="s">
        <v>63</v>
      </c>
      <c r="D410" s="163">
        <v>400</v>
      </c>
      <c r="E410" s="326">
        <v>7.25</v>
      </c>
      <c r="F410" s="16">
        <f t="shared" si="63"/>
        <v>14480</v>
      </c>
      <c r="G410" s="17">
        <f t="shared" si="64"/>
        <v>8.5371473066298336</v>
      </c>
      <c r="H410" s="15">
        <f t="shared" si="65"/>
        <v>123617.893</v>
      </c>
      <c r="I410" s="15">
        <f t="shared" si="66"/>
        <v>-18637.892999999996</v>
      </c>
      <c r="J410" s="33">
        <f t="shared" si="67"/>
        <v>-0.15077018826069127</v>
      </c>
      <c r="K410" s="15">
        <f t="shared" si="68"/>
        <v>104980</v>
      </c>
      <c r="L410" s="22">
        <f t="shared" si="60"/>
        <v>-4088.1999999999971</v>
      </c>
      <c r="M410" s="22"/>
      <c r="N410" s="22"/>
      <c r="O410" s="22"/>
      <c r="P410" s="272"/>
      <c r="Q410" s="22">
        <f t="shared" si="61"/>
        <v>-2905</v>
      </c>
      <c r="R410" s="34">
        <f t="shared" si="62"/>
        <v>5</v>
      </c>
      <c r="S410" s="273"/>
      <c r="T410" s="273"/>
      <c r="U410" s="273"/>
      <c r="V410" s="22"/>
      <c r="W410" s="272"/>
      <c r="X410" s="272"/>
      <c r="Y410" s="272"/>
      <c r="Z410" s="274"/>
      <c r="AA410" s="22"/>
      <c r="AB410" s="275"/>
      <c r="AC410" s="40"/>
      <c r="AD410" s="40"/>
    </row>
    <row r="411" spans="1:30" s="1" customFormat="1" x14ac:dyDescent="0.25">
      <c r="A411" s="162">
        <v>43763</v>
      </c>
      <c r="B411" s="316" t="s">
        <v>965</v>
      </c>
      <c r="C411" s="325" t="s">
        <v>922</v>
      </c>
      <c r="D411" s="163">
        <v>500</v>
      </c>
      <c r="E411" s="326">
        <v>7.18</v>
      </c>
      <c r="F411" s="16">
        <f t="shared" si="63"/>
        <v>14980</v>
      </c>
      <c r="G411" s="17">
        <f t="shared" si="64"/>
        <v>8.4921824432576773</v>
      </c>
      <c r="H411" s="15">
        <f t="shared" si="65"/>
        <v>127212.893</v>
      </c>
      <c r="I411" s="15">
        <f t="shared" si="66"/>
        <v>-19656.493000000002</v>
      </c>
      <c r="J411" s="33">
        <f t="shared" si="67"/>
        <v>-0.15451651586918952</v>
      </c>
      <c r="K411" s="15">
        <f t="shared" si="68"/>
        <v>107556.4</v>
      </c>
      <c r="L411" s="22">
        <f t="shared" si="60"/>
        <v>-1018.6000000000058</v>
      </c>
      <c r="M411" s="22"/>
      <c r="N411" s="22"/>
      <c r="O411" s="22"/>
      <c r="P411" s="272"/>
      <c r="Q411" s="22">
        <f t="shared" si="61"/>
        <v>-3595</v>
      </c>
      <c r="R411" s="34">
        <f t="shared" si="62"/>
        <v>5</v>
      </c>
      <c r="S411" s="273"/>
      <c r="T411" s="273"/>
      <c r="U411" s="273"/>
      <c r="V411" s="22"/>
      <c r="W411" s="272"/>
      <c r="X411" s="272"/>
      <c r="Y411" s="272"/>
      <c r="Z411" s="274"/>
      <c r="AA411" s="22"/>
      <c r="AB411" s="275"/>
      <c r="AC411" s="40"/>
      <c r="AD411" s="40"/>
    </row>
    <row r="412" spans="1:30" s="1" customFormat="1" x14ac:dyDescent="0.25">
      <c r="A412" s="162">
        <v>43766</v>
      </c>
      <c r="B412" s="316"/>
      <c r="C412" s="325" t="s">
        <v>926</v>
      </c>
      <c r="D412" s="163">
        <v>400</v>
      </c>
      <c r="E412" s="326">
        <v>7.37</v>
      </c>
      <c r="F412" s="16">
        <f t="shared" si="63"/>
        <v>14580</v>
      </c>
      <c r="G412" s="17">
        <f t="shared" si="64"/>
        <v>8.5235144718792863</v>
      </c>
      <c r="H412" s="15">
        <f t="shared" si="65"/>
        <v>124272.841</v>
      </c>
      <c r="I412" s="15">
        <f t="shared" si="66"/>
        <v>-16818.240999999995</v>
      </c>
      <c r="J412" s="33">
        <f t="shared" si="67"/>
        <v>-0.13533319802353269</v>
      </c>
      <c r="K412" s="15">
        <f t="shared" si="68"/>
        <v>107454.6</v>
      </c>
      <c r="L412" s="31">
        <f t="shared" si="60"/>
        <v>2838.2520000000077</v>
      </c>
      <c r="M412" s="31"/>
      <c r="N412" s="31"/>
      <c r="O412" s="371"/>
      <c r="P412" s="32"/>
      <c r="Q412" s="31">
        <f t="shared" si="61"/>
        <v>2940.051999999996</v>
      </c>
      <c r="R412" s="34">
        <f t="shared" si="62"/>
        <v>7.9480000000000004</v>
      </c>
      <c r="S412" s="31"/>
      <c r="T412" s="31"/>
      <c r="U412" s="31"/>
      <c r="V412" s="31"/>
      <c r="W412" s="31"/>
      <c r="X412" s="32"/>
      <c r="Y412" s="32"/>
      <c r="Z412" s="38"/>
      <c r="AA412" s="31"/>
      <c r="AB412" s="176"/>
      <c r="AC412" s="40"/>
      <c r="AD412" s="40"/>
    </row>
    <row r="413" spans="1:30" s="1" customFormat="1" x14ac:dyDescent="0.25">
      <c r="A413" s="162">
        <v>43768</v>
      </c>
      <c r="B413" s="316" t="s">
        <v>966</v>
      </c>
      <c r="C413" s="325" t="s">
        <v>922</v>
      </c>
      <c r="D413" s="163">
        <v>500</v>
      </c>
      <c r="E413" s="326">
        <v>7.08</v>
      </c>
      <c r="F413" s="16">
        <f t="shared" si="63"/>
        <v>15080</v>
      </c>
      <c r="G413" s="17">
        <f t="shared" si="64"/>
        <v>8.475984151193634</v>
      </c>
      <c r="H413" s="15">
        <f t="shared" si="65"/>
        <v>127817.841</v>
      </c>
      <c r="I413" s="15">
        <f t="shared" si="66"/>
        <v>-21051.441000000006</v>
      </c>
      <c r="J413" s="33">
        <f t="shared" si="67"/>
        <v>-0.16469876846065645</v>
      </c>
      <c r="K413" s="15">
        <f t="shared" si="68"/>
        <v>106766.39999999999</v>
      </c>
      <c r="L413" s="31">
        <f t="shared" si="60"/>
        <v>-4233.2000000000116</v>
      </c>
      <c r="M413" s="31"/>
      <c r="N413" s="31"/>
      <c r="O413" s="371"/>
      <c r="P413" s="32"/>
      <c r="Q413" s="31">
        <f t="shared" si="61"/>
        <v>-3545</v>
      </c>
      <c r="R413" s="34">
        <f t="shared" si="62"/>
        <v>5</v>
      </c>
      <c r="S413" s="31"/>
      <c r="T413" s="31"/>
      <c r="U413" s="31"/>
      <c r="V413" s="31"/>
      <c r="W413" s="31"/>
      <c r="X413" s="32"/>
      <c r="Y413" s="32"/>
      <c r="Z413" s="38"/>
      <c r="AA413" s="31"/>
      <c r="AB413" s="176"/>
      <c r="AC413" s="40"/>
      <c r="AD413" s="40"/>
    </row>
    <row r="414" spans="1:30" s="1" customFormat="1" x14ac:dyDescent="0.25">
      <c r="A414" s="162">
        <v>43768</v>
      </c>
      <c r="B414" s="316" t="s">
        <v>967</v>
      </c>
      <c r="C414" s="325" t="s">
        <v>922</v>
      </c>
      <c r="D414" s="163">
        <v>500</v>
      </c>
      <c r="E414" s="326">
        <v>7</v>
      </c>
      <c r="F414" s="16">
        <f t="shared" si="63"/>
        <v>15580</v>
      </c>
      <c r="G414" s="17">
        <f t="shared" si="64"/>
        <v>8.4289371630295253</v>
      </c>
      <c r="H414" s="15">
        <f t="shared" si="65"/>
        <v>131322.84100000001</v>
      </c>
      <c r="I414" s="15">
        <f t="shared" si="66"/>
        <v>-22262.841000000015</v>
      </c>
      <c r="J414" s="33">
        <f t="shared" si="67"/>
        <v>-0.16952756146967612</v>
      </c>
      <c r="K414" s="15">
        <f t="shared" si="68"/>
        <v>109060</v>
      </c>
      <c r="L414" s="31">
        <f t="shared" si="60"/>
        <v>-1211.4000000000087</v>
      </c>
      <c r="M414" s="31"/>
      <c r="N414" s="31"/>
      <c r="O414" s="371"/>
      <c r="P414" s="32"/>
      <c r="Q414" s="31">
        <f t="shared" si="61"/>
        <v>-3505.0000000000146</v>
      </c>
      <c r="R414" s="34">
        <f t="shared" si="62"/>
        <v>5</v>
      </c>
      <c r="S414" s="31"/>
      <c r="T414" s="31"/>
      <c r="U414" s="31"/>
      <c r="V414" s="31"/>
      <c r="W414" s="31"/>
      <c r="X414" s="32"/>
      <c r="Y414" s="32"/>
      <c r="Z414" s="38"/>
      <c r="AA414" s="31"/>
      <c r="AB414" s="176"/>
      <c r="AC414" s="40"/>
      <c r="AD414" s="40"/>
    </row>
    <row r="415" spans="1:30" s="1" customFormat="1" x14ac:dyDescent="0.25">
      <c r="A415" s="162">
        <v>43770</v>
      </c>
      <c r="B415" s="316" t="s">
        <v>968</v>
      </c>
      <c r="C415" s="325" t="s">
        <v>922</v>
      </c>
      <c r="D415" s="163">
        <v>500</v>
      </c>
      <c r="E415" s="326">
        <v>6.91</v>
      </c>
      <c r="F415" s="16">
        <f t="shared" si="63"/>
        <v>16080</v>
      </c>
      <c r="G415" s="17">
        <f t="shared" si="64"/>
        <v>8.3820174751243783</v>
      </c>
      <c r="H415" s="15">
        <f t="shared" si="65"/>
        <v>134782.84100000001</v>
      </c>
      <c r="I415" s="15">
        <f t="shared" si="66"/>
        <v>-23670.041000000012</v>
      </c>
      <c r="J415" s="33">
        <f t="shared" si="67"/>
        <v>-0.17561613054290792</v>
      </c>
      <c r="K415" s="15">
        <f t="shared" si="68"/>
        <v>111112.8</v>
      </c>
      <c r="L415" s="31">
        <f t="shared" si="60"/>
        <v>-1407.1999999999971</v>
      </c>
      <c r="M415" s="31"/>
      <c r="N415" s="31"/>
      <c r="O415" s="371"/>
      <c r="P415" s="32"/>
      <c r="Q415" s="31">
        <f t="shared" si="61"/>
        <v>-3460</v>
      </c>
      <c r="R415" s="34">
        <f t="shared" si="62"/>
        <v>5</v>
      </c>
      <c r="S415" s="31"/>
      <c r="T415" s="31"/>
      <c r="U415" s="31"/>
      <c r="V415" s="31"/>
      <c r="W415" s="31"/>
      <c r="X415" s="32"/>
      <c r="Y415" s="32"/>
      <c r="Z415" s="38"/>
      <c r="AA415" s="31"/>
      <c r="AB415" s="176"/>
      <c r="AC415" s="40"/>
      <c r="AD415" s="40"/>
    </row>
    <row r="416" spans="1:30" s="1" customFormat="1" x14ac:dyDescent="0.25">
      <c r="A416" s="162">
        <v>43780</v>
      </c>
      <c r="B416" s="316" t="s">
        <v>969</v>
      </c>
      <c r="C416" s="325" t="s">
        <v>922</v>
      </c>
      <c r="D416" s="163">
        <v>400</v>
      </c>
      <c r="E416" s="326">
        <v>6.73</v>
      </c>
      <c r="F416" s="16">
        <f t="shared" si="63"/>
        <v>16480</v>
      </c>
      <c r="G416" s="17">
        <f t="shared" si="64"/>
        <v>8.3422233616504862</v>
      </c>
      <c r="H416" s="15">
        <f t="shared" si="65"/>
        <v>137479.84100000001</v>
      </c>
      <c r="I416" s="15">
        <f t="shared" si="66"/>
        <v>-26569.441000000006</v>
      </c>
      <c r="J416" s="33">
        <f t="shared" si="67"/>
        <v>-0.19326063229881102</v>
      </c>
      <c r="K416" s="15">
        <f t="shared" si="68"/>
        <v>110910.40000000001</v>
      </c>
      <c r="L416" s="31">
        <f t="shared" si="60"/>
        <v>-2899.3999999999942</v>
      </c>
      <c r="M416" s="31"/>
      <c r="N416" s="31"/>
      <c r="O416" s="371"/>
      <c r="P416" s="32"/>
      <c r="Q416" s="31">
        <f t="shared" si="61"/>
        <v>-2697</v>
      </c>
      <c r="R416" s="34">
        <f t="shared" si="62"/>
        <v>5</v>
      </c>
      <c r="S416" s="31"/>
      <c r="T416" s="31"/>
      <c r="U416" s="31"/>
      <c r="V416" s="31"/>
      <c r="W416" s="31"/>
      <c r="X416" s="32"/>
      <c r="Y416" s="32"/>
      <c r="Z416" s="38"/>
      <c r="AA416" s="31"/>
      <c r="AB416" s="176"/>
      <c r="AC416" s="40"/>
      <c r="AD416" s="40"/>
    </row>
    <row r="417" spans="1:30" s="1" customFormat="1" x14ac:dyDescent="0.25">
      <c r="A417" s="162">
        <v>43780</v>
      </c>
      <c r="B417" s="316" t="s">
        <v>970</v>
      </c>
      <c r="C417" s="325" t="s">
        <v>63</v>
      </c>
      <c r="D417" s="163">
        <v>500</v>
      </c>
      <c r="E417" s="326">
        <v>6.55</v>
      </c>
      <c r="F417" s="16">
        <f t="shared" si="63"/>
        <v>16980</v>
      </c>
      <c r="G417" s="17">
        <f t="shared" si="64"/>
        <v>8.2897432862190819</v>
      </c>
      <c r="H417" s="15">
        <f t="shared" si="65"/>
        <v>140759.84100000001</v>
      </c>
      <c r="I417" s="15">
        <f t="shared" si="66"/>
        <v>-29540.841000000015</v>
      </c>
      <c r="J417" s="33">
        <f t="shared" si="67"/>
        <v>-0.20986696766729093</v>
      </c>
      <c r="K417" s="15">
        <f t="shared" si="68"/>
        <v>111219</v>
      </c>
      <c r="L417" s="31">
        <f t="shared" si="60"/>
        <v>-2971.4000000000087</v>
      </c>
      <c r="M417" s="31"/>
      <c r="N417" s="31"/>
      <c r="O417" s="371"/>
      <c r="P417" s="32"/>
      <c r="Q417" s="31">
        <f t="shared" si="61"/>
        <v>-3280</v>
      </c>
      <c r="R417" s="34">
        <f t="shared" si="62"/>
        <v>5</v>
      </c>
      <c r="S417" s="31"/>
      <c r="T417" s="31"/>
      <c r="U417" s="31"/>
      <c r="V417" s="31"/>
      <c r="W417" s="31"/>
      <c r="X417" s="32"/>
      <c r="Y417" s="32"/>
      <c r="Z417" s="38"/>
      <c r="AA417" s="31"/>
      <c r="AB417" s="176"/>
      <c r="AC417" s="40"/>
      <c r="AD417" s="40"/>
    </row>
    <row r="418" spans="1:30" s="1" customFormat="1" x14ac:dyDescent="0.25">
      <c r="A418" s="162">
        <v>43784</v>
      </c>
      <c r="B418" s="316"/>
      <c r="C418" s="325" t="s">
        <v>926</v>
      </c>
      <c r="D418" s="163">
        <v>400</v>
      </c>
      <c r="E418" s="326">
        <v>6.77</v>
      </c>
      <c r="F418" s="16">
        <f t="shared" si="63"/>
        <v>16580</v>
      </c>
      <c r="G418" s="17">
        <f t="shared" si="64"/>
        <v>8.3268726779252127</v>
      </c>
      <c r="H418" s="15">
        <f t="shared" si="65"/>
        <v>138059.54900000003</v>
      </c>
      <c r="I418" s="15">
        <f t="shared" si="66"/>
        <v>-25812.949000000037</v>
      </c>
      <c r="J418" s="33">
        <f t="shared" si="67"/>
        <v>-0.18696967494801847</v>
      </c>
      <c r="K418" s="15">
        <f t="shared" si="68"/>
        <v>112246.59999999999</v>
      </c>
      <c r="L418" s="31">
        <f t="shared" si="60"/>
        <v>3727.891999999978</v>
      </c>
      <c r="M418" s="31"/>
      <c r="N418" s="31"/>
      <c r="O418" s="371"/>
      <c r="P418" s="32"/>
      <c r="Q418" s="31">
        <f t="shared" si="61"/>
        <v>2700.2919999999867</v>
      </c>
      <c r="R418" s="34">
        <f t="shared" si="62"/>
        <v>7.7080000000000002</v>
      </c>
      <c r="S418" s="31"/>
      <c r="T418" s="31"/>
      <c r="U418" s="31"/>
      <c r="V418" s="31"/>
      <c r="W418" s="31"/>
      <c r="X418" s="32"/>
      <c r="Y418" s="32"/>
      <c r="Z418" s="38"/>
      <c r="AA418" s="31"/>
      <c r="AB418" s="176"/>
      <c r="AC418" s="40"/>
      <c r="AD418" s="40"/>
    </row>
    <row r="419" spans="1:30" s="1" customFormat="1" x14ac:dyDescent="0.25">
      <c r="A419" s="162">
        <v>43798</v>
      </c>
      <c r="B419" s="316" t="s">
        <v>971</v>
      </c>
      <c r="C419" s="325" t="s">
        <v>63</v>
      </c>
      <c r="D419" s="163">
        <v>400</v>
      </c>
      <c r="E419" s="326">
        <v>6.43</v>
      </c>
      <c r="F419" s="16">
        <f t="shared" si="63"/>
        <v>16980</v>
      </c>
      <c r="G419" s="17">
        <f t="shared" si="64"/>
        <v>8.282482273262664</v>
      </c>
      <c r="H419" s="15">
        <f t="shared" si="65"/>
        <v>140636.54900000003</v>
      </c>
      <c r="I419" s="15">
        <f t="shared" si="66"/>
        <v>-31455.149000000034</v>
      </c>
      <c r="J419" s="33">
        <f t="shared" si="67"/>
        <v>-0.22366269098369324</v>
      </c>
      <c r="K419" s="15">
        <f t="shared" si="68"/>
        <v>109181.4</v>
      </c>
      <c r="L419" s="31">
        <f t="shared" si="60"/>
        <v>-5642.1999999999971</v>
      </c>
      <c r="M419" s="31"/>
      <c r="N419" s="31"/>
      <c r="O419" s="371"/>
      <c r="P419" s="32"/>
      <c r="Q419" s="31">
        <f t="shared" si="61"/>
        <v>-2577</v>
      </c>
      <c r="R419" s="34">
        <f t="shared" si="62"/>
        <v>5</v>
      </c>
      <c r="S419" s="31"/>
      <c r="T419" s="31"/>
      <c r="U419" s="31"/>
      <c r="V419" s="31"/>
      <c r="W419" s="31"/>
      <c r="X419" s="32"/>
      <c r="Y419" s="32"/>
      <c r="Z419" s="38"/>
      <c r="AA419" s="31"/>
      <c r="AB419" s="176"/>
      <c r="AC419" s="40"/>
      <c r="AD419" s="40"/>
    </row>
    <row r="420" spans="1:30" s="1" customFormat="1" x14ac:dyDescent="0.25">
      <c r="A420" s="162">
        <v>43804</v>
      </c>
      <c r="B420" s="316"/>
      <c r="C420" s="325" t="s">
        <v>69</v>
      </c>
      <c r="D420" s="163">
        <v>400</v>
      </c>
      <c r="E420" s="326">
        <v>6.64</v>
      </c>
      <c r="F420" s="16">
        <f t="shared" si="63"/>
        <v>16580</v>
      </c>
      <c r="G420" s="17">
        <f t="shared" si="64"/>
        <v>8.3225696622436676</v>
      </c>
      <c r="H420" s="15">
        <f t="shared" si="65"/>
        <v>137988.20500000002</v>
      </c>
      <c r="I420" s="15">
        <f t="shared" si="66"/>
        <v>-27897.005000000019</v>
      </c>
      <c r="J420" s="33">
        <f t="shared" si="67"/>
        <v>-0.2021694897763183</v>
      </c>
      <c r="K420" s="15">
        <f t="shared" si="68"/>
        <v>110091.2</v>
      </c>
      <c r="L420" s="31">
        <f t="shared" si="60"/>
        <v>3558.1440000000148</v>
      </c>
      <c r="M420" s="31"/>
      <c r="N420" s="31"/>
      <c r="O420" s="371"/>
      <c r="P420" s="32"/>
      <c r="Q420" s="31">
        <f t="shared" si="61"/>
        <v>2648.3440000000119</v>
      </c>
      <c r="R420" s="34">
        <f t="shared" si="62"/>
        <v>7.6559999999999997</v>
      </c>
      <c r="S420" s="31"/>
      <c r="T420" s="31"/>
      <c r="U420" s="31"/>
      <c r="V420" s="31"/>
      <c r="W420" s="31"/>
      <c r="X420" s="32"/>
      <c r="Y420" s="32"/>
      <c r="Z420" s="38"/>
      <c r="AA420" s="31"/>
      <c r="AB420" s="176"/>
      <c r="AC420" s="40"/>
      <c r="AD420" s="40"/>
    </row>
    <row r="421" spans="1:30" s="1" customFormat="1" x14ac:dyDescent="0.25">
      <c r="A421" s="162">
        <v>43815</v>
      </c>
      <c r="B421" s="316"/>
      <c r="C421" s="325" t="s">
        <v>69</v>
      </c>
      <c r="D421" s="163">
        <v>400</v>
      </c>
      <c r="E421" s="326">
        <v>6.88</v>
      </c>
      <c r="F421" s="16">
        <f t="shared" si="63"/>
        <v>16180</v>
      </c>
      <c r="G421" s="17">
        <f t="shared" si="64"/>
        <v>8.3587118046971582</v>
      </c>
      <c r="H421" s="15">
        <f t="shared" si="65"/>
        <v>135243.95700000002</v>
      </c>
      <c r="I421" s="15">
        <f t="shared" si="66"/>
        <v>-23925.55700000003</v>
      </c>
      <c r="J421" s="33">
        <f t="shared" si="67"/>
        <v>-0.17690666208472455</v>
      </c>
      <c r="K421" s="15">
        <f t="shared" si="68"/>
        <v>111318.39999999999</v>
      </c>
      <c r="L421" s="31">
        <f t="shared" si="60"/>
        <v>3971.4479999999894</v>
      </c>
      <c r="M421" s="31"/>
      <c r="N421" s="31"/>
      <c r="O421" s="371"/>
      <c r="P421" s="32"/>
      <c r="Q421" s="31">
        <f t="shared" si="61"/>
        <v>2744.2479999999923</v>
      </c>
      <c r="R421" s="34">
        <f t="shared" si="62"/>
        <v>7.7519999999999998</v>
      </c>
      <c r="S421" s="31"/>
      <c r="T421" s="31"/>
      <c r="U421" s="31"/>
      <c r="V421" s="31"/>
      <c r="W421" s="31"/>
      <c r="X421" s="32"/>
      <c r="Y421" s="32"/>
      <c r="Z421" s="38"/>
      <c r="AA421" s="31"/>
      <c r="AB421" s="176"/>
      <c r="AC421" s="40"/>
      <c r="AD421" s="40"/>
    </row>
    <row r="422" spans="1:30" s="1" customFormat="1" x14ac:dyDescent="0.25">
      <c r="A422" s="162">
        <v>43817</v>
      </c>
      <c r="B422" s="316"/>
      <c r="C422" s="325" t="s">
        <v>69</v>
      </c>
      <c r="D422" s="163">
        <v>400</v>
      </c>
      <c r="E422" s="326">
        <v>7.04</v>
      </c>
      <c r="F422" s="16">
        <f t="shared" si="63"/>
        <v>15780</v>
      </c>
      <c r="G422" s="17">
        <f t="shared" si="64"/>
        <v>8.3926345373891014</v>
      </c>
      <c r="H422" s="15">
        <f t="shared" si="65"/>
        <v>132435.77300000002</v>
      </c>
      <c r="I422" s="15">
        <f t="shared" si="66"/>
        <v>-21344.573000000019</v>
      </c>
      <c r="J422" s="33">
        <f t="shared" si="67"/>
        <v>-0.16116924088176701</v>
      </c>
      <c r="K422" s="15">
        <f t="shared" si="68"/>
        <v>111091.2</v>
      </c>
      <c r="L422" s="31">
        <f t="shared" si="60"/>
        <v>2580.9840000000113</v>
      </c>
      <c r="M422" s="31"/>
      <c r="N422" s="31"/>
      <c r="O422" s="371"/>
      <c r="P422" s="32"/>
      <c r="Q422" s="31">
        <f t="shared" si="61"/>
        <v>2808.1840000000084</v>
      </c>
      <c r="R422" s="34">
        <f t="shared" si="62"/>
        <v>7.8159999999999998</v>
      </c>
      <c r="S422" s="31"/>
      <c r="T422" s="31"/>
      <c r="U422" s="31"/>
      <c r="V422" s="31"/>
      <c r="W422" s="31"/>
      <c r="X422" s="32"/>
      <c r="Y422" s="32"/>
      <c r="Z422" s="38"/>
      <c r="AA422" s="31"/>
      <c r="AB422" s="176"/>
      <c r="AC422" s="40"/>
      <c r="AD422" s="40"/>
    </row>
    <row r="423" spans="1:30" s="1" customFormat="1" x14ac:dyDescent="0.25">
      <c r="A423" s="162">
        <v>43818</v>
      </c>
      <c r="B423" s="316"/>
      <c r="C423" s="325" t="s">
        <v>69</v>
      </c>
      <c r="D423" s="163">
        <v>400</v>
      </c>
      <c r="E423" s="326">
        <v>7.18</v>
      </c>
      <c r="F423" s="16">
        <f t="shared" si="63"/>
        <v>15380</v>
      </c>
      <c r="G423" s="17">
        <f t="shared" si="64"/>
        <v>8.4246843302990904</v>
      </c>
      <c r="H423" s="15">
        <f t="shared" si="65"/>
        <v>129571.64500000002</v>
      </c>
      <c r="I423" s="15">
        <f t="shared" si="66"/>
        <v>-19143.245000000024</v>
      </c>
      <c r="J423" s="33">
        <f t="shared" si="67"/>
        <v>-0.14774254814778351</v>
      </c>
      <c r="K423" s="15">
        <f t="shared" si="68"/>
        <v>110428.4</v>
      </c>
      <c r="L423" s="31">
        <f t="shared" si="60"/>
        <v>2201.3279999999941</v>
      </c>
      <c r="M423" s="31"/>
      <c r="N423" s="31"/>
      <c r="O423" s="371"/>
      <c r="P423" s="32"/>
      <c r="Q423" s="31">
        <f t="shared" si="61"/>
        <v>2864.127999999997</v>
      </c>
      <c r="R423" s="34">
        <f t="shared" si="62"/>
        <v>7.8719999999999999</v>
      </c>
      <c r="S423" s="31"/>
      <c r="T423" s="31"/>
      <c r="U423" s="31"/>
      <c r="V423" s="31"/>
      <c r="W423" s="31"/>
      <c r="X423" s="32"/>
      <c r="Y423" s="32"/>
      <c r="Z423" s="38"/>
      <c r="AA423" s="31"/>
      <c r="AB423" s="176"/>
      <c r="AC423" s="40"/>
      <c r="AD423" s="40"/>
    </row>
    <row r="424" spans="1:30" s="1" customFormat="1" x14ac:dyDescent="0.25">
      <c r="A424" s="162">
        <v>43822</v>
      </c>
      <c r="B424" s="316" t="s">
        <v>972</v>
      </c>
      <c r="C424" s="325" t="s">
        <v>63</v>
      </c>
      <c r="D424" s="163">
        <v>400</v>
      </c>
      <c r="E424" s="326">
        <v>6.97</v>
      </c>
      <c r="F424" s="16">
        <f t="shared" si="63"/>
        <v>15780</v>
      </c>
      <c r="G424" s="17">
        <f t="shared" si="64"/>
        <v>8.3881270595690758</v>
      </c>
      <c r="H424" s="15">
        <f t="shared" si="65"/>
        <v>132364.64500000002</v>
      </c>
      <c r="I424" s="15">
        <f t="shared" si="66"/>
        <v>-22378.045000000027</v>
      </c>
      <c r="J424" s="33">
        <f t="shared" si="67"/>
        <v>-0.16906361211485149</v>
      </c>
      <c r="K424" s="15">
        <f t="shared" si="68"/>
        <v>109986.59999999999</v>
      </c>
      <c r="L424" s="31">
        <f t="shared" si="60"/>
        <v>-3234.8000000000029</v>
      </c>
      <c r="M424" s="31"/>
      <c r="N424" s="31"/>
      <c r="O424" s="371"/>
      <c r="P424" s="32"/>
      <c r="Q424" s="31">
        <f t="shared" si="61"/>
        <v>-2793</v>
      </c>
      <c r="R424" s="34">
        <f t="shared" si="62"/>
        <v>5</v>
      </c>
      <c r="S424" s="31"/>
      <c r="T424" s="31"/>
      <c r="U424" s="31"/>
      <c r="V424" s="31"/>
      <c r="W424" s="31"/>
      <c r="X424" s="32"/>
      <c r="Y424" s="32"/>
      <c r="Z424" s="38"/>
      <c r="AA424" s="31"/>
      <c r="AB424" s="176"/>
      <c r="AC424" s="40"/>
      <c r="AD424" s="40"/>
    </row>
    <row r="425" spans="1:30" s="1" customFormat="1" x14ac:dyDescent="0.25">
      <c r="A425" s="162">
        <v>43822</v>
      </c>
      <c r="B425" s="316" t="s">
        <v>973</v>
      </c>
      <c r="C425" s="325" t="s">
        <v>63</v>
      </c>
      <c r="D425" s="163">
        <v>400</v>
      </c>
      <c r="E425" s="326">
        <v>6.81</v>
      </c>
      <c r="F425" s="16">
        <f t="shared" si="63"/>
        <v>16180</v>
      </c>
      <c r="G425" s="17">
        <f t="shared" si="64"/>
        <v>8.3494218170580972</v>
      </c>
      <c r="H425" s="15">
        <f t="shared" si="65"/>
        <v>135093.64500000002</v>
      </c>
      <c r="I425" s="15">
        <f t="shared" si="66"/>
        <v>-24907.84500000003</v>
      </c>
      <c r="J425" s="33">
        <f t="shared" si="67"/>
        <v>-0.18437466099904268</v>
      </c>
      <c r="K425" s="15">
        <f t="shared" si="68"/>
        <v>110185.79999999999</v>
      </c>
      <c r="L425" s="31">
        <f t="shared" si="60"/>
        <v>-2529.8000000000029</v>
      </c>
      <c r="M425" s="31"/>
      <c r="N425" s="31"/>
      <c r="O425" s="371"/>
      <c r="P425" s="32"/>
      <c r="Q425" s="31">
        <f t="shared" si="61"/>
        <v>-2729</v>
      </c>
      <c r="R425" s="34">
        <f t="shared" si="62"/>
        <v>5</v>
      </c>
      <c r="S425" s="31"/>
      <c r="T425" s="31"/>
      <c r="U425" s="31"/>
      <c r="V425" s="31"/>
      <c r="W425" s="31"/>
      <c r="X425" s="32"/>
      <c r="Y425" s="32"/>
      <c r="Z425" s="38"/>
      <c r="AA425" s="31"/>
      <c r="AB425" s="176"/>
      <c r="AC425" s="40"/>
      <c r="AD425" s="40"/>
    </row>
    <row r="426" spans="1:30" s="1" customFormat="1" x14ac:dyDescent="0.25">
      <c r="A426" s="162">
        <v>43823</v>
      </c>
      <c r="B426" s="316"/>
      <c r="C426" s="325" t="s">
        <v>69</v>
      </c>
      <c r="D426" s="163">
        <v>400</v>
      </c>
      <c r="E426" s="326">
        <v>6.92</v>
      </c>
      <c r="F426" s="16">
        <f t="shared" si="63"/>
        <v>15780</v>
      </c>
      <c r="G426" s="17">
        <f t="shared" si="64"/>
        <v>8.3861478453738929</v>
      </c>
      <c r="H426" s="15">
        <f t="shared" si="65"/>
        <v>132333.41300000003</v>
      </c>
      <c r="I426" s="15">
        <f t="shared" si="66"/>
        <v>-23135.813000000024</v>
      </c>
      <c r="J426" s="33">
        <f t="shared" si="67"/>
        <v>-0.17482971590855914</v>
      </c>
      <c r="K426" s="15">
        <f t="shared" si="68"/>
        <v>109197.6</v>
      </c>
      <c r="L426" s="31">
        <f t="shared" si="60"/>
        <v>1772.0320000000065</v>
      </c>
      <c r="M426" s="31"/>
      <c r="N426" s="31"/>
      <c r="O426" s="371"/>
      <c r="P426" s="32"/>
      <c r="Q426" s="31">
        <f t="shared" si="61"/>
        <v>2760.2319999999891</v>
      </c>
      <c r="R426" s="34">
        <f t="shared" si="62"/>
        <v>7.7679999999999998</v>
      </c>
      <c r="S426" s="31"/>
      <c r="T426" s="31"/>
      <c r="U426" s="31"/>
      <c r="V426" s="31"/>
      <c r="W426" s="31"/>
      <c r="X426" s="32"/>
      <c r="Y426" s="32"/>
      <c r="Z426" s="38"/>
      <c r="AA426" s="31"/>
      <c r="AB426" s="176"/>
      <c r="AC426" s="40"/>
      <c r="AD426" s="40"/>
    </row>
    <row r="427" spans="1:30" s="1" customFormat="1" x14ac:dyDescent="0.25">
      <c r="A427" s="162">
        <v>43824</v>
      </c>
      <c r="B427" s="316"/>
      <c r="C427" s="325" t="s">
        <v>69</v>
      </c>
      <c r="D427" s="163">
        <v>400</v>
      </c>
      <c r="E427" s="326">
        <v>7.02</v>
      </c>
      <c r="F427" s="16">
        <f t="shared" si="63"/>
        <v>15380</v>
      </c>
      <c r="G427" s="17">
        <f t="shared" si="64"/>
        <v>8.4221860208062438</v>
      </c>
      <c r="H427" s="15">
        <f t="shared" si="65"/>
        <v>129533.22100000003</v>
      </c>
      <c r="I427" s="15">
        <f t="shared" si="66"/>
        <v>-21565.621000000043</v>
      </c>
      <c r="J427" s="33">
        <f t="shared" si="67"/>
        <v>-0.16648718246572461</v>
      </c>
      <c r="K427" s="15">
        <f t="shared" si="68"/>
        <v>107967.59999999999</v>
      </c>
      <c r="L427" s="31">
        <f t="shared" si="60"/>
        <v>1570.1919999999809</v>
      </c>
      <c r="M427" s="31"/>
      <c r="N427" s="31"/>
      <c r="O427" s="371"/>
      <c r="P427" s="32"/>
      <c r="Q427" s="31">
        <f t="shared" si="61"/>
        <v>2800.1919999999955</v>
      </c>
      <c r="R427" s="34">
        <f t="shared" si="62"/>
        <v>7.8079999999999998</v>
      </c>
      <c r="S427" s="31"/>
      <c r="T427" s="31"/>
      <c r="U427" s="31"/>
      <c r="V427" s="31"/>
      <c r="W427" s="31"/>
      <c r="X427" s="32"/>
      <c r="Y427" s="32"/>
      <c r="Z427" s="38"/>
      <c r="AA427" s="31"/>
      <c r="AB427" s="176"/>
      <c r="AC427" s="40"/>
      <c r="AD427" s="40"/>
    </row>
    <row r="428" spans="1:30" s="1" customFormat="1" x14ac:dyDescent="0.25">
      <c r="A428" s="162">
        <v>43829</v>
      </c>
      <c r="B428" s="316" t="s">
        <v>974</v>
      </c>
      <c r="C428" s="325" t="s">
        <v>63</v>
      </c>
      <c r="D428" s="163">
        <v>400</v>
      </c>
      <c r="E428" s="326">
        <v>6.88</v>
      </c>
      <c r="F428" s="16">
        <f t="shared" si="63"/>
        <v>15780</v>
      </c>
      <c r="G428" s="17">
        <f t="shared" si="64"/>
        <v>8.3834107097591897</v>
      </c>
      <c r="H428" s="15">
        <f t="shared" si="65"/>
        <v>132290.22100000002</v>
      </c>
      <c r="I428" s="15">
        <f t="shared" si="66"/>
        <v>-23723.821000000025</v>
      </c>
      <c r="J428" s="33">
        <f t="shared" si="67"/>
        <v>-0.17933163026464377</v>
      </c>
      <c r="K428" s="15">
        <f t="shared" si="68"/>
        <v>108566.39999999999</v>
      </c>
      <c r="L428" s="31">
        <f t="shared" si="60"/>
        <v>-2158.1999999999825</v>
      </c>
      <c r="M428" s="31"/>
      <c r="N428" s="31"/>
      <c r="O428" s="371"/>
      <c r="P428" s="32"/>
      <c r="Q428" s="31">
        <f t="shared" si="61"/>
        <v>-2756.9999999999854</v>
      </c>
      <c r="R428" s="34">
        <f t="shared" si="62"/>
        <v>5</v>
      </c>
      <c r="S428" s="31"/>
      <c r="T428" s="31"/>
      <c r="U428" s="31"/>
      <c r="V428" s="31"/>
      <c r="W428" s="31"/>
      <c r="X428" s="32"/>
      <c r="Y428" s="32"/>
      <c r="Z428" s="38"/>
      <c r="AA428" s="31"/>
      <c r="AB428" s="176"/>
      <c r="AC428" s="40"/>
      <c r="AD428" s="40"/>
    </row>
    <row r="429" spans="1:30" s="1" customFormat="1" x14ac:dyDescent="0.25">
      <c r="A429" s="162">
        <v>43832</v>
      </c>
      <c r="B429" s="316"/>
      <c r="C429" s="325" t="s">
        <v>69</v>
      </c>
      <c r="D429" s="163">
        <v>400</v>
      </c>
      <c r="E429" s="326">
        <v>7.09</v>
      </c>
      <c r="F429" s="16">
        <f t="shared" si="63"/>
        <v>15380</v>
      </c>
      <c r="G429" s="17">
        <f t="shared" si="64"/>
        <v>8.4175589726918094</v>
      </c>
      <c r="H429" s="15">
        <f t="shared" si="65"/>
        <v>129462.05700000002</v>
      </c>
      <c r="I429" s="15">
        <f t="shared" si="66"/>
        <v>-20417.857000000018</v>
      </c>
      <c r="J429" s="33">
        <f t="shared" si="67"/>
        <v>-0.15771305873812916</v>
      </c>
      <c r="K429" s="15">
        <f t="shared" si="68"/>
        <v>109044.2</v>
      </c>
      <c r="L429" s="31">
        <f t="shared" si="60"/>
        <v>3305.9640000000072</v>
      </c>
      <c r="M429" s="31"/>
      <c r="N429" s="31"/>
      <c r="O429" s="371"/>
      <c r="P429" s="32"/>
      <c r="Q429" s="31">
        <f t="shared" si="61"/>
        <v>2828.1640000000043</v>
      </c>
      <c r="R429" s="34">
        <f t="shared" si="62"/>
        <v>7.8360000000000003</v>
      </c>
      <c r="S429" s="31"/>
      <c r="T429" s="31"/>
      <c r="U429" s="31"/>
      <c r="V429" s="31"/>
      <c r="W429" s="31"/>
      <c r="X429" s="32"/>
      <c r="Y429" s="32"/>
      <c r="Z429" s="38"/>
      <c r="AA429" s="31"/>
      <c r="AB429" s="176"/>
      <c r="AC429" s="40"/>
      <c r="AD429" s="40"/>
    </row>
    <row r="430" spans="1:30" s="1" customFormat="1" x14ac:dyDescent="0.25">
      <c r="A430" s="162">
        <v>43840</v>
      </c>
      <c r="B430" s="316"/>
      <c r="C430" s="325" t="s">
        <v>69</v>
      </c>
      <c r="D430" s="163">
        <v>400</v>
      </c>
      <c r="E430" s="326">
        <v>7.25</v>
      </c>
      <c r="F430" s="16">
        <f t="shared" si="63"/>
        <v>14980</v>
      </c>
      <c r="G430" s="17">
        <f t="shared" si="64"/>
        <v>8.449262817089453</v>
      </c>
      <c r="H430" s="15">
        <f t="shared" si="65"/>
        <v>126569.95700000001</v>
      </c>
      <c r="I430" s="15">
        <f t="shared" si="66"/>
        <v>-17964.957000000009</v>
      </c>
      <c r="J430" s="33">
        <f t="shared" si="67"/>
        <v>-0.141936976402702</v>
      </c>
      <c r="K430" s="15">
        <f t="shared" si="68"/>
        <v>108605</v>
      </c>
      <c r="L430" s="31">
        <f t="shared" si="60"/>
        <v>2452.9000000000087</v>
      </c>
      <c r="M430" s="31"/>
      <c r="N430" s="31"/>
      <c r="O430" s="371"/>
      <c r="P430" s="32"/>
      <c r="Q430" s="31">
        <f t="shared" si="61"/>
        <v>2892.1000000000058</v>
      </c>
      <c r="R430" s="34">
        <f t="shared" si="62"/>
        <v>7.9</v>
      </c>
      <c r="S430" s="31"/>
      <c r="T430" s="31"/>
      <c r="U430" s="31"/>
      <c r="V430" s="31"/>
      <c r="W430" s="31"/>
      <c r="X430" s="32"/>
      <c r="Y430" s="32"/>
      <c r="Z430" s="38"/>
      <c r="AA430" s="31"/>
      <c r="AB430" s="176"/>
      <c r="AC430" s="40"/>
      <c r="AD430" s="40"/>
    </row>
    <row r="431" spans="1:30" s="1" customFormat="1" x14ac:dyDescent="0.25">
      <c r="A431" s="162">
        <v>43852</v>
      </c>
      <c r="B431" s="316" t="s">
        <v>975</v>
      </c>
      <c r="C431" s="325" t="s">
        <v>922</v>
      </c>
      <c r="D431" s="163">
        <v>400</v>
      </c>
      <c r="E431" s="326">
        <v>6.93</v>
      </c>
      <c r="F431" s="16">
        <f t="shared" si="63"/>
        <v>15380</v>
      </c>
      <c r="G431" s="17">
        <f t="shared" si="64"/>
        <v>8.4100752275682709</v>
      </c>
      <c r="H431" s="15">
        <f t="shared" si="65"/>
        <v>129346.95700000001</v>
      </c>
      <c r="I431" s="15">
        <f t="shared" si="66"/>
        <v>-22763.557000000015</v>
      </c>
      <c r="J431" s="33">
        <f t="shared" si="67"/>
        <v>-0.1759883458255613</v>
      </c>
      <c r="K431" s="15">
        <f t="shared" si="68"/>
        <v>106583.4</v>
      </c>
      <c r="L431" s="31">
        <f t="shared" si="60"/>
        <v>-4798.6000000000058</v>
      </c>
      <c r="M431" s="31"/>
      <c r="N431" s="31"/>
      <c r="O431" s="371"/>
      <c r="P431" s="32"/>
      <c r="Q431" s="31">
        <f t="shared" si="61"/>
        <v>-2777</v>
      </c>
      <c r="R431" s="34">
        <f t="shared" si="62"/>
        <v>5</v>
      </c>
      <c r="S431" s="31"/>
      <c r="T431" s="31"/>
      <c r="U431" s="31"/>
      <c r="V431" s="31"/>
      <c r="W431" s="31"/>
      <c r="X431" s="32"/>
      <c r="Y431" s="32"/>
      <c r="Z431" s="38"/>
      <c r="AA431" s="31"/>
      <c r="AB431" s="176"/>
      <c r="AC431" s="40"/>
      <c r="AD431" s="40"/>
    </row>
    <row r="432" spans="1:30" s="1" customFormat="1" x14ac:dyDescent="0.25">
      <c r="A432" s="162">
        <v>43853</v>
      </c>
      <c r="B432" s="316"/>
      <c r="C432" s="325" t="s">
        <v>922</v>
      </c>
      <c r="D432" s="163">
        <v>500</v>
      </c>
      <c r="E432" s="326">
        <v>6.78</v>
      </c>
      <c r="F432" s="16">
        <f t="shared" si="63"/>
        <v>15880</v>
      </c>
      <c r="G432" s="17">
        <f t="shared" si="64"/>
        <v>8.3590653022670018</v>
      </c>
      <c r="H432" s="15">
        <f t="shared" si="65"/>
        <v>132741.95699999999</v>
      </c>
      <c r="I432" s="15">
        <f t="shared" si="66"/>
        <v>-25075.556999999986</v>
      </c>
      <c r="J432" s="33">
        <f t="shared" si="67"/>
        <v>-0.18890453001231544</v>
      </c>
      <c r="K432" s="15">
        <f t="shared" si="68"/>
        <v>107666.40000000001</v>
      </c>
      <c r="L432" s="31">
        <f t="shared" si="60"/>
        <v>-2311.9999999999709</v>
      </c>
      <c r="M432" s="31"/>
      <c r="N432" s="31"/>
      <c r="O432" s="371"/>
      <c r="P432" s="32"/>
      <c r="Q432" s="31">
        <f t="shared" si="61"/>
        <v>-3394.9999999999854</v>
      </c>
      <c r="R432" s="34">
        <f t="shared" si="62"/>
        <v>5</v>
      </c>
      <c r="S432" s="31"/>
      <c r="T432" s="31"/>
      <c r="U432" s="31"/>
      <c r="V432" s="31"/>
      <c r="W432" s="31"/>
      <c r="X432" s="32"/>
      <c r="Y432" s="32"/>
      <c r="Z432" s="38"/>
      <c r="AA432" s="31"/>
      <c r="AB432" s="176"/>
      <c r="AC432" s="40"/>
      <c r="AD432" s="40"/>
    </row>
    <row r="433" spans="1:30" s="1" customFormat="1" x14ac:dyDescent="0.25">
      <c r="A433" s="162">
        <v>43864</v>
      </c>
      <c r="B433" s="316" t="s">
        <v>976</v>
      </c>
      <c r="C433" s="325" t="s">
        <v>922</v>
      </c>
      <c r="D433" s="163">
        <v>500</v>
      </c>
      <c r="E433" s="326">
        <v>6.11</v>
      </c>
      <c r="F433" s="16">
        <f t="shared" si="63"/>
        <v>16380</v>
      </c>
      <c r="G433" s="17">
        <f t="shared" si="64"/>
        <v>8.2907177655677646</v>
      </c>
      <c r="H433" s="15">
        <f t="shared" si="65"/>
        <v>135801.95699999999</v>
      </c>
      <c r="I433" s="15">
        <f t="shared" si="66"/>
        <v>-35720.156999999992</v>
      </c>
      <c r="J433" s="33">
        <f t="shared" si="67"/>
        <v>-0.26303123893862579</v>
      </c>
      <c r="K433" s="15">
        <f t="shared" si="68"/>
        <v>100081.8</v>
      </c>
      <c r="L433" s="31">
        <f t="shared" si="60"/>
        <v>-10644.600000000006</v>
      </c>
      <c r="M433" s="31"/>
      <c r="N433" s="31"/>
      <c r="O433" s="371"/>
      <c r="P433" s="32"/>
      <c r="Q433" s="31">
        <f t="shared" si="61"/>
        <v>-3060</v>
      </c>
      <c r="R433" s="34">
        <f t="shared" si="62"/>
        <v>5</v>
      </c>
      <c r="S433" s="31"/>
      <c r="T433" s="31"/>
      <c r="U433" s="31"/>
      <c r="V433" s="31"/>
      <c r="W433" s="31"/>
      <c r="X433" s="32"/>
      <c r="Y433" s="32"/>
      <c r="Z433" s="38"/>
      <c r="AA433" s="31"/>
      <c r="AB433" s="176"/>
      <c r="AC433" s="40"/>
      <c r="AD433" s="40"/>
    </row>
    <row r="434" spans="1:30" s="1" customFormat="1" x14ac:dyDescent="0.25">
      <c r="A434" s="162">
        <v>43865</v>
      </c>
      <c r="B434" s="316" t="s">
        <v>977</v>
      </c>
      <c r="C434" s="325" t="s">
        <v>922</v>
      </c>
      <c r="D434" s="163">
        <v>500</v>
      </c>
      <c r="E434" s="326">
        <v>5.79</v>
      </c>
      <c r="F434" s="16">
        <f t="shared" si="63"/>
        <v>16880</v>
      </c>
      <c r="G434" s="17">
        <f t="shared" si="64"/>
        <v>8.2169405805687195</v>
      </c>
      <c r="H434" s="15">
        <f t="shared" si="65"/>
        <v>138701.95699999999</v>
      </c>
      <c r="I434" s="15">
        <f t="shared" si="66"/>
        <v>-40966.756999999998</v>
      </c>
      <c r="J434" s="33">
        <f t="shared" si="67"/>
        <v>-0.29535817580425333</v>
      </c>
      <c r="K434" s="15">
        <f t="shared" si="68"/>
        <v>97735.2</v>
      </c>
      <c r="L434" s="31">
        <f t="shared" si="60"/>
        <v>-5246.6000000000058</v>
      </c>
      <c r="M434" s="31"/>
      <c r="N434" s="31"/>
      <c r="O434" s="371"/>
      <c r="P434" s="32"/>
      <c r="Q434" s="31">
        <f t="shared" si="61"/>
        <v>-2900</v>
      </c>
      <c r="R434" s="34">
        <f t="shared" si="62"/>
        <v>5</v>
      </c>
      <c r="S434" s="31"/>
      <c r="T434" s="31"/>
      <c r="U434" s="31"/>
      <c r="V434" s="31"/>
      <c r="W434" s="31"/>
      <c r="X434" s="32"/>
      <c r="Y434" s="32"/>
      <c r="Z434" s="38"/>
      <c r="AA434" s="31"/>
      <c r="AB434" s="176"/>
      <c r="AC434" s="40"/>
      <c r="AD434" s="40"/>
    </row>
    <row r="435" spans="1:30" s="1" customFormat="1" x14ac:dyDescent="0.25">
      <c r="A435" s="162">
        <v>43871</v>
      </c>
      <c r="B435" s="316" t="s">
        <v>978</v>
      </c>
      <c r="C435" s="325" t="s">
        <v>926</v>
      </c>
      <c r="D435" s="163">
        <v>400</v>
      </c>
      <c r="E435" s="326">
        <v>6.78</v>
      </c>
      <c r="F435" s="16">
        <f t="shared" si="63"/>
        <v>16480</v>
      </c>
      <c r="G435" s="17">
        <f t="shared" si="64"/>
        <v>8.2522857402912617</v>
      </c>
      <c r="H435" s="15">
        <f t="shared" si="65"/>
        <v>135997.66899999999</v>
      </c>
      <c r="I435" s="15">
        <f t="shared" si="66"/>
        <v>-24263.268999999986</v>
      </c>
      <c r="J435" s="33">
        <f t="shared" si="67"/>
        <v>-0.17840944759134064</v>
      </c>
      <c r="K435" s="15">
        <f t="shared" si="68"/>
        <v>111734.40000000001</v>
      </c>
      <c r="L435" s="31">
        <f t="shared" si="60"/>
        <v>16703.488000000012</v>
      </c>
      <c r="M435" s="31"/>
      <c r="N435" s="31"/>
      <c r="O435" s="371"/>
      <c r="P435" s="32"/>
      <c r="Q435" s="31">
        <f t="shared" si="61"/>
        <v>2704.2880000000005</v>
      </c>
      <c r="R435" s="34">
        <f t="shared" si="62"/>
        <v>7.7119999999999997</v>
      </c>
      <c r="S435" s="31"/>
      <c r="T435" s="31"/>
      <c r="U435" s="31"/>
      <c r="V435" s="31"/>
      <c r="W435" s="31"/>
      <c r="X435" s="32"/>
      <c r="Y435" s="32"/>
      <c r="Z435" s="38"/>
      <c r="AA435" s="31"/>
      <c r="AB435" s="176"/>
      <c r="AC435" s="40"/>
      <c r="AD435" s="40"/>
    </row>
    <row r="436" spans="1:30" s="1" customFormat="1" x14ac:dyDescent="0.25">
      <c r="A436" s="162">
        <v>43875</v>
      </c>
      <c r="B436" s="316"/>
      <c r="C436" s="325" t="s">
        <v>926</v>
      </c>
      <c r="D436" s="163">
        <v>400</v>
      </c>
      <c r="E436" s="326">
        <v>7.37</v>
      </c>
      <c r="F436" s="16">
        <f t="shared" si="63"/>
        <v>16080</v>
      </c>
      <c r="G436" s="17">
        <f t="shared" si="64"/>
        <v>8.2747274253731344</v>
      </c>
      <c r="H436" s="15">
        <f t="shared" si="65"/>
        <v>133057.617</v>
      </c>
      <c r="I436" s="15">
        <f t="shared" si="66"/>
        <v>-14548.016999999993</v>
      </c>
      <c r="J436" s="33">
        <f t="shared" si="67"/>
        <v>-0.10933622086437937</v>
      </c>
      <c r="K436" s="15">
        <f t="shared" si="68"/>
        <v>118509.6</v>
      </c>
      <c r="L436" s="31">
        <f t="shared" si="60"/>
        <v>9715.2519999999931</v>
      </c>
      <c r="M436" s="31"/>
      <c r="N436" s="31"/>
      <c r="O436" s="371"/>
      <c r="P436" s="32"/>
      <c r="Q436" s="31">
        <f t="shared" si="61"/>
        <v>2940.051999999996</v>
      </c>
      <c r="R436" s="34">
        <f t="shared" si="62"/>
        <v>7.9480000000000004</v>
      </c>
      <c r="S436" s="31"/>
      <c r="T436" s="31"/>
      <c r="U436" s="31"/>
      <c r="V436" s="31"/>
      <c r="W436" s="31"/>
      <c r="X436" s="32"/>
      <c r="Y436" s="32"/>
      <c r="Z436" s="38"/>
      <c r="AA436" s="31"/>
      <c r="AB436" s="176"/>
      <c r="AC436" s="40"/>
      <c r="AD436" s="40"/>
    </row>
    <row r="437" spans="1:30" s="1" customFormat="1" x14ac:dyDescent="0.25">
      <c r="A437" s="162">
        <v>43888</v>
      </c>
      <c r="B437" s="316"/>
      <c r="C437" s="325" t="s">
        <v>926</v>
      </c>
      <c r="D437" s="163">
        <v>400</v>
      </c>
      <c r="E437" s="326">
        <v>7.47</v>
      </c>
      <c r="F437" s="16">
        <f t="shared" si="63"/>
        <v>15680</v>
      </c>
      <c r="G437" s="17">
        <f t="shared" si="64"/>
        <v>8.2957656249999996</v>
      </c>
      <c r="H437" s="15">
        <f t="shared" si="65"/>
        <v>130077.605</v>
      </c>
      <c r="I437" s="15">
        <f t="shared" si="66"/>
        <v>-12948.005000000005</v>
      </c>
      <c r="J437" s="33">
        <f t="shared" si="67"/>
        <v>-9.9540616541948151E-2</v>
      </c>
      <c r="K437" s="15">
        <f t="shared" si="68"/>
        <v>117129.59999999999</v>
      </c>
      <c r="L437" s="31">
        <f t="shared" si="60"/>
        <v>1600.0119999999879</v>
      </c>
      <c r="M437" s="31"/>
      <c r="N437" s="31"/>
      <c r="O437" s="371"/>
      <c r="P437" s="32"/>
      <c r="Q437" s="31">
        <f t="shared" si="61"/>
        <v>2980.0120000000024</v>
      </c>
      <c r="R437" s="34">
        <f t="shared" si="62"/>
        <v>7.9879999999999995</v>
      </c>
      <c r="S437" s="31"/>
      <c r="T437" s="31"/>
      <c r="U437" s="31"/>
      <c r="V437" s="31"/>
      <c r="W437" s="31"/>
      <c r="X437" s="32"/>
      <c r="Y437" s="32"/>
      <c r="Z437" s="38"/>
      <c r="AA437" s="31"/>
      <c r="AB437" s="176"/>
      <c r="AC437" s="40"/>
      <c r="AD437" s="40"/>
    </row>
    <row r="438" spans="1:30" s="1" customFormat="1" x14ac:dyDescent="0.25">
      <c r="A438" s="162">
        <v>43888</v>
      </c>
      <c r="B438" s="316"/>
      <c r="C438" s="325" t="s">
        <v>926</v>
      </c>
      <c r="D438" s="163">
        <v>400</v>
      </c>
      <c r="E438" s="326">
        <v>7.78</v>
      </c>
      <c r="F438" s="16">
        <f t="shared" si="63"/>
        <v>15280</v>
      </c>
      <c r="G438" s="17">
        <f t="shared" si="64"/>
        <v>8.3097982329842921</v>
      </c>
      <c r="H438" s="15">
        <f t="shared" si="65"/>
        <v>126973.71699999999</v>
      </c>
      <c r="I438" s="15">
        <f t="shared" si="66"/>
        <v>-8095.3169999999809</v>
      </c>
      <c r="J438" s="33">
        <f t="shared" si="67"/>
        <v>-6.3755847991753919E-2</v>
      </c>
      <c r="K438" s="15">
        <f t="shared" si="68"/>
        <v>118878.40000000001</v>
      </c>
      <c r="L438" s="31">
        <f t="shared" si="60"/>
        <v>4852.6880000000237</v>
      </c>
      <c r="M438" s="31"/>
      <c r="N438" s="31"/>
      <c r="O438" s="371"/>
      <c r="P438" s="32"/>
      <c r="Q438" s="31">
        <f t="shared" si="61"/>
        <v>3103.8880000000063</v>
      </c>
      <c r="R438" s="34">
        <f t="shared" si="62"/>
        <v>8.1120000000000001</v>
      </c>
      <c r="S438" s="31"/>
      <c r="T438" s="31"/>
      <c r="U438" s="31"/>
      <c r="V438" s="31"/>
      <c r="W438" s="31"/>
      <c r="X438" s="32"/>
      <c r="Y438" s="32"/>
      <c r="Z438" s="38"/>
      <c r="AA438" s="31"/>
      <c r="AB438" s="176"/>
      <c r="AC438" s="40"/>
      <c r="AD438" s="40"/>
    </row>
    <row r="439" spans="1:30" s="1" customFormat="1" x14ac:dyDescent="0.25">
      <c r="A439" s="162">
        <v>43889</v>
      </c>
      <c r="B439" s="316" t="s">
        <v>979</v>
      </c>
      <c r="C439" s="325" t="s">
        <v>922</v>
      </c>
      <c r="D439" s="163">
        <v>400</v>
      </c>
      <c r="E439" s="326">
        <v>7.36</v>
      </c>
      <c r="F439" s="16">
        <f t="shared" si="63"/>
        <v>15680</v>
      </c>
      <c r="G439" s="17">
        <f t="shared" si="64"/>
        <v>8.2858875637755087</v>
      </c>
      <c r="H439" s="15">
        <f t="shared" si="65"/>
        <v>129922.71699999999</v>
      </c>
      <c r="I439" s="15">
        <f t="shared" si="66"/>
        <v>-14517.916999999987</v>
      </c>
      <c r="J439" s="33">
        <f t="shared" si="67"/>
        <v>-0.11174271393970289</v>
      </c>
      <c r="K439" s="15">
        <f t="shared" si="68"/>
        <v>115404.8</v>
      </c>
      <c r="L439" s="31">
        <f t="shared" si="60"/>
        <v>-6422.6000000000058</v>
      </c>
      <c r="M439" s="31"/>
      <c r="N439" s="31"/>
      <c r="O439" s="371"/>
      <c r="P439" s="32"/>
      <c r="Q439" s="31">
        <f t="shared" si="61"/>
        <v>-2949</v>
      </c>
      <c r="R439" s="34">
        <f t="shared" si="62"/>
        <v>5</v>
      </c>
      <c r="S439" s="31"/>
      <c r="T439" s="31"/>
      <c r="U439" s="31"/>
      <c r="V439" s="31"/>
      <c r="W439" s="31"/>
      <c r="X439" s="32"/>
      <c r="Y439" s="32"/>
      <c r="Z439" s="38"/>
      <c r="AA439" s="31"/>
      <c r="AB439" s="176"/>
      <c r="AC439" s="40"/>
      <c r="AD439" s="40"/>
    </row>
    <row r="440" spans="1:30" s="1" customFormat="1" x14ac:dyDescent="0.25">
      <c r="A440" s="162">
        <v>43892</v>
      </c>
      <c r="B440" s="316"/>
      <c r="C440" s="325" t="s">
        <v>926</v>
      </c>
      <c r="D440" s="163">
        <v>400</v>
      </c>
      <c r="E440" s="326">
        <v>7.68</v>
      </c>
      <c r="F440" s="16">
        <f t="shared" si="63"/>
        <v>15280</v>
      </c>
      <c r="G440" s="17">
        <f t="shared" si="64"/>
        <v>8.3022767670157069</v>
      </c>
      <c r="H440" s="15">
        <f t="shared" si="65"/>
        <v>126858.78899999999</v>
      </c>
      <c r="I440" s="15">
        <f t="shared" si="66"/>
        <v>-9508.3889999999956</v>
      </c>
      <c r="J440" s="33">
        <f t="shared" si="67"/>
        <v>-7.4952544281342667E-2</v>
      </c>
      <c r="K440" s="15">
        <f t="shared" si="68"/>
        <v>117350.39999999999</v>
      </c>
      <c r="L440" s="31">
        <f t="shared" si="60"/>
        <v>5009.5279999999912</v>
      </c>
      <c r="M440" s="31"/>
      <c r="N440" s="31"/>
      <c r="O440" s="371"/>
      <c r="P440" s="32"/>
      <c r="Q440" s="31">
        <f t="shared" si="61"/>
        <v>3063.9279999999999</v>
      </c>
      <c r="R440" s="34">
        <f t="shared" si="62"/>
        <v>8.0719999999999992</v>
      </c>
      <c r="S440" s="31"/>
      <c r="T440" s="31"/>
      <c r="U440" s="31"/>
      <c r="V440" s="31"/>
      <c r="W440" s="31"/>
      <c r="X440" s="32"/>
      <c r="Y440" s="32"/>
      <c r="Z440" s="38"/>
      <c r="AA440" s="31"/>
      <c r="AB440" s="176"/>
      <c r="AC440" s="40"/>
      <c r="AD440" s="40"/>
    </row>
    <row r="441" spans="1:30" s="1" customFormat="1" x14ac:dyDescent="0.25">
      <c r="A441" s="162">
        <v>43892</v>
      </c>
      <c r="B441" s="316"/>
      <c r="C441" s="325" t="s">
        <v>926</v>
      </c>
      <c r="D441" s="163">
        <v>400</v>
      </c>
      <c r="E441" s="326">
        <v>7.88</v>
      </c>
      <c r="F441" s="16">
        <f t="shared" si="63"/>
        <v>14880</v>
      </c>
      <c r="G441" s="17">
        <f t="shared" si="64"/>
        <v>8.3141761424731175</v>
      </c>
      <c r="H441" s="15">
        <f t="shared" si="65"/>
        <v>123714.94099999999</v>
      </c>
      <c r="I441" s="15">
        <f t="shared" si="66"/>
        <v>-6460.5409999999974</v>
      </c>
      <c r="J441" s="33">
        <f t="shared" si="67"/>
        <v>-5.22211864450551E-2</v>
      </c>
      <c r="K441" s="15">
        <f t="shared" si="68"/>
        <v>117254.39999999999</v>
      </c>
      <c r="L441" s="31">
        <f t="shared" si="60"/>
        <v>3047.8479999999981</v>
      </c>
      <c r="M441" s="31"/>
      <c r="N441" s="31"/>
      <c r="O441" s="371"/>
      <c r="P441" s="32"/>
      <c r="Q441" s="31">
        <f t="shared" si="61"/>
        <v>3143.8479999999981</v>
      </c>
      <c r="R441" s="34">
        <f t="shared" si="62"/>
        <v>8.152000000000001</v>
      </c>
      <c r="S441" s="31"/>
      <c r="T441" s="31"/>
      <c r="U441" s="31"/>
      <c r="V441" s="31"/>
      <c r="W441" s="31"/>
      <c r="X441" s="32"/>
      <c r="Y441" s="32"/>
      <c r="Z441" s="38"/>
      <c r="AA441" s="31"/>
      <c r="AB441" s="176"/>
      <c r="AC441" s="40"/>
      <c r="AD441" s="40"/>
    </row>
    <row r="442" spans="1:30" s="1" customFormat="1" x14ac:dyDescent="0.25">
      <c r="A442" s="162">
        <v>43893</v>
      </c>
      <c r="B442" s="316"/>
      <c r="C442" s="325" t="s">
        <v>926</v>
      </c>
      <c r="D442" s="163">
        <v>400</v>
      </c>
      <c r="E442" s="326">
        <v>8.24</v>
      </c>
      <c r="F442" s="16">
        <f t="shared" si="63"/>
        <v>14480</v>
      </c>
      <c r="G442" s="17">
        <f t="shared" si="64"/>
        <v>8.3167981353591163</v>
      </c>
      <c r="H442" s="15">
        <f t="shared" si="65"/>
        <v>120427.23699999999</v>
      </c>
      <c r="I442" s="15">
        <f t="shared" si="66"/>
        <v>-1112.0369999999966</v>
      </c>
      <c r="J442" s="33">
        <f t="shared" si="67"/>
        <v>-9.2340987612295755E-3</v>
      </c>
      <c r="K442" s="15">
        <f t="shared" si="68"/>
        <v>119315.2</v>
      </c>
      <c r="L442" s="31">
        <f t="shared" si="60"/>
        <v>5348.5040000000008</v>
      </c>
      <c r="M442" s="31"/>
      <c r="N442" s="31"/>
      <c r="O442" s="371"/>
      <c r="P442" s="32"/>
      <c r="Q442" s="31">
        <f t="shared" si="61"/>
        <v>3287.7039999999979</v>
      </c>
      <c r="R442" s="34">
        <f t="shared" si="62"/>
        <v>8.2959999999999994</v>
      </c>
      <c r="S442" s="31"/>
      <c r="T442" s="31"/>
      <c r="U442" s="31"/>
      <c r="V442" s="31"/>
      <c r="W442" s="31"/>
      <c r="X442" s="32"/>
      <c r="Y442" s="32"/>
      <c r="Z442" s="38"/>
      <c r="AA442" s="31"/>
      <c r="AB442" s="176"/>
      <c r="AC442" s="40"/>
      <c r="AD442" s="40"/>
    </row>
    <row r="443" spans="1:30" s="1" customFormat="1" x14ac:dyDescent="0.25">
      <c r="A443" s="162">
        <v>43893</v>
      </c>
      <c r="B443" s="316"/>
      <c r="C443" s="325" t="s">
        <v>926</v>
      </c>
      <c r="D443" s="163">
        <v>400</v>
      </c>
      <c r="E443" s="326">
        <v>8.4499999999999993</v>
      </c>
      <c r="F443" s="16">
        <f t="shared" si="63"/>
        <v>14080</v>
      </c>
      <c r="G443" s="17">
        <f t="shared" si="64"/>
        <v>8.3136091619318186</v>
      </c>
      <c r="H443" s="15">
        <f t="shared" si="65"/>
        <v>117055.617</v>
      </c>
      <c r="I443" s="15">
        <f t="shared" si="66"/>
        <v>1920.3829999999871</v>
      </c>
      <c r="J443" s="33">
        <f t="shared" si="67"/>
        <v>1.6405731302924005E-2</v>
      </c>
      <c r="K443" s="15">
        <f t="shared" si="68"/>
        <v>118975.99999999999</v>
      </c>
      <c r="L443" s="31">
        <f t="shared" si="60"/>
        <v>3032.4199999999837</v>
      </c>
      <c r="M443" s="31"/>
      <c r="N443" s="31"/>
      <c r="O443" s="371"/>
      <c r="P443" s="32"/>
      <c r="Q443" s="31">
        <f t="shared" si="61"/>
        <v>3371.6199999999953</v>
      </c>
      <c r="R443" s="34">
        <f t="shared" si="62"/>
        <v>8.379999999999999</v>
      </c>
      <c r="S443" s="31"/>
      <c r="T443" s="31"/>
      <c r="U443" s="31"/>
      <c r="V443" s="31"/>
      <c r="W443" s="31"/>
      <c r="X443" s="32"/>
      <c r="Y443" s="32"/>
      <c r="Z443" s="38"/>
      <c r="AA443" s="31"/>
      <c r="AB443" s="176"/>
      <c r="AC443" s="40"/>
      <c r="AD443" s="40"/>
    </row>
    <row r="444" spans="1:30" s="1" customFormat="1" x14ac:dyDescent="0.25">
      <c r="A444" s="162">
        <v>43895</v>
      </c>
      <c r="B444" s="316" t="s">
        <v>980</v>
      </c>
      <c r="C444" s="325" t="s">
        <v>922</v>
      </c>
      <c r="D444" s="163">
        <v>400</v>
      </c>
      <c r="E444" s="326">
        <v>8.18</v>
      </c>
      <c r="F444" s="16">
        <f t="shared" si="63"/>
        <v>14480</v>
      </c>
      <c r="G444" s="17">
        <f t="shared" si="64"/>
        <v>8.3102636049723753</v>
      </c>
      <c r="H444" s="15">
        <f t="shared" si="65"/>
        <v>120332.617</v>
      </c>
      <c r="I444" s="15">
        <f t="shared" si="66"/>
        <v>-1886.2170000000042</v>
      </c>
      <c r="J444" s="33">
        <f t="shared" si="67"/>
        <v>-1.5675026830007346E-2</v>
      </c>
      <c r="K444" s="15">
        <f t="shared" si="68"/>
        <v>118446.39999999999</v>
      </c>
      <c r="L444" s="31">
        <f t="shared" si="60"/>
        <v>-3806.5999999999913</v>
      </c>
      <c r="M444" s="31"/>
      <c r="N444" s="31"/>
      <c r="O444" s="371"/>
      <c r="P444" s="32"/>
      <c r="Q444" s="31">
        <f t="shared" si="61"/>
        <v>-3277</v>
      </c>
      <c r="R444" s="34">
        <f t="shared" si="62"/>
        <v>5</v>
      </c>
      <c r="S444" s="31"/>
      <c r="T444" s="31"/>
      <c r="U444" s="31"/>
      <c r="V444" s="31"/>
      <c r="W444" s="31"/>
      <c r="X444" s="32"/>
      <c r="Y444" s="32"/>
      <c r="Z444" s="38"/>
      <c r="AA444" s="31"/>
      <c r="AB444" s="176"/>
      <c r="AC444" s="40"/>
      <c r="AD444" s="40"/>
    </row>
    <row r="445" spans="1:30" s="1" customFormat="1" x14ac:dyDescent="0.25">
      <c r="A445" s="162">
        <v>43896</v>
      </c>
      <c r="B445" s="316" t="s">
        <v>981</v>
      </c>
      <c r="C445" s="325" t="s">
        <v>922</v>
      </c>
      <c r="D445" s="163">
        <v>400</v>
      </c>
      <c r="E445" s="326">
        <v>7.81</v>
      </c>
      <c r="F445" s="16">
        <f t="shared" si="63"/>
        <v>14880</v>
      </c>
      <c r="G445" s="17">
        <f t="shared" si="64"/>
        <v>8.2971516801075271</v>
      </c>
      <c r="H445" s="15">
        <f t="shared" si="65"/>
        <v>123461.617</v>
      </c>
      <c r="I445" s="15">
        <f t="shared" si="66"/>
        <v>-7248.81700000001</v>
      </c>
      <c r="J445" s="33">
        <f t="shared" si="67"/>
        <v>-5.8713122151964114E-2</v>
      </c>
      <c r="K445" s="15">
        <f t="shared" si="68"/>
        <v>116212.79999999999</v>
      </c>
      <c r="L445" s="31">
        <f t="shared" si="60"/>
        <v>-5362.6000000000058</v>
      </c>
      <c r="M445" s="31"/>
      <c r="N445" s="31"/>
      <c r="O445" s="371"/>
      <c r="P445" s="32"/>
      <c r="Q445" s="31">
        <f t="shared" si="61"/>
        <v>-3129</v>
      </c>
      <c r="R445" s="34">
        <f t="shared" si="62"/>
        <v>5</v>
      </c>
      <c r="S445" s="31"/>
      <c r="T445" s="31"/>
      <c r="U445" s="31"/>
      <c r="V445" s="31"/>
      <c r="W445" s="31"/>
      <c r="X445" s="32"/>
      <c r="Y445" s="32"/>
      <c r="Z445" s="38"/>
      <c r="AA445" s="31"/>
      <c r="AB445" s="176"/>
      <c r="AC445" s="40"/>
      <c r="AD445" s="40"/>
    </row>
    <row r="446" spans="1:30" s="1" customFormat="1" x14ac:dyDescent="0.25">
      <c r="A446" s="162">
        <v>43899</v>
      </c>
      <c r="B446" s="316" t="s">
        <v>982</v>
      </c>
      <c r="C446" s="325" t="s">
        <v>63</v>
      </c>
      <c r="D446" s="163">
        <v>400</v>
      </c>
      <c r="E446" s="326">
        <v>7.46</v>
      </c>
      <c r="F446" s="16">
        <f t="shared" si="63"/>
        <v>15280</v>
      </c>
      <c r="G446" s="17">
        <f t="shared" si="64"/>
        <v>8.275563939790576</v>
      </c>
      <c r="H446" s="15">
        <f t="shared" si="65"/>
        <v>126450.617</v>
      </c>
      <c r="I446" s="15">
        <f t="shared" si="66"/>
        <v>-12461.816999999995</v>
      </c>
      <c r="J446" s="33">
        <f t="shared" si="67"/>
        <v>-9.8550859581808148E-2</v>
      </c>
      <c r="K446" s="15">
        <f t="shared" si="68"/>
        <v>113988.8</v>
      </c>
      <c r="L446" s="31">
        <f t="shared" si="60"/>
        <v>-5212.9999999999854</v>
      </c>
      <c r="M446" s="31"/>
      <c r="N446" s="31"/>
      <c r="O446" s="371"/>
      <c r="P446" s="32"/>
      <c r="Q446" s="31">
        <f t="shared" si="61"/>
        <v>-2989</v>
      </c>
      <c r="R446" s="34">
        <f t="shared" si="62"/>
        <v>5</v>
      </c>
      <c r="S446" s="31"/>
      <c r="T446" s="31"/>
      <c r="U446" s="31"/>
      <c r="V446" s="31"/>
      <c r="W446" s="31"/>
      <c r="X446" s="32"/>
      <c r="Y446" s="32"/>
      <c r="Z446" s="38"/>
      <c r="AA446" s="31"/>
      <c r="AB446" s="176"/>
      <c r="AC446" s="40"/>
      <c r="AD446" s="40"/>
    </row>
    <row r="447" spans="1:30" s="1" customFormat="1" x14ac:dyDescent="0.25">
      <c r="A447" s="162">
        <v>43903</v>
      </c>
      <c r="B447" s="316" t="s">
        <v>983</v>
      </c>
      <c r="C447" s="325" t="s">
        <v>922</v>
      </c>
      <c r="D447" s="163">
        <v>400</v>
      </c>
      <c r="E447" s="326">
        <v>6.99</v>
      </c>
      <c r="F447" s="16">
        <f t="shared" si="63"/>
        <v>15680</v>
      </c>
      <c r="G447" s="17">
        <f t="shared" si="64"/>
        <v>8.2430878188775516</v>
      </c>
      <c r="H447" s="15">
        <f t="shared" si="65"/>
        <v>129251.617</v>
      </c>
      <c r="I447" s="15">
        <f t="shared" si="66"/>
        <v>-19648.417000000001</v>
      </c>
      <c r="J447" s="33">
        <f t="shared" si="67"/>
        <v>-0.15201679836624407</v>
      </c>
      <c r="K447" s="15">
        <f t="shared" si="68"/>
        <v>109603.2</v>
      </c>
      <c r="L447" s="31">
        <f t="shared" si="60"/>
        <v>-7186.6000000000058</v>
      </c>
      <c r="M447" s="31"/>
      <c r="N447" s="31"/>
      <c r="O447" s="371"/>
      <c r="P447" s="32"/>
      <c r="Q447" s="31">
        <f t="shared" si="61"/>
        <v>-2801</v>
      </c>
      <c r="R447" s="34">
        <f t="shared" si="62"/>
        <v>5</v>
      </c>
      <c r="S447" s="31"/>
      <c r="T447" s="31"/>
      <c r="U447" s="31"/>
      <c r="V447" s="31"/>
      <c r="W447" s="31"/>
      <c r="X447" s="32"/>
      <c r="Y447" s="32"/>
      <c r="Z447" s="38"/>
      <c r="AA447" s="31"/>
      <c r="AB447" s="176"/>
      <c r="AC447" s="40"/>
      <c r="AD447" s="40"/>
    </row>
    <row r="448" spans="1:30" s="1" customFormat="1" x14ac:dyDescent="0.25">
      <c r="A448" s="162">
        <v>43907</v>
      </c>
      <c r="B448" s="316" t="s">
        <v>984</v>
      </c>
      <c r="C448" s="325" t="s">
        <v>63</v>
      </c>
      <c r="D448" s="163">
        <v>400</v>
      </c>
      <c r="E448" s="326">
        <v>6.64</v>
      </c>
      <c r="F448" s="16">
        <f t="shared" si="63"/>
        <v>16080</v>
      </c>
      <c r="G448" s="17">
        <f t="shared" si="64"/>
        <v>8.2035209577114419</v>
      </c>
      <c r="H448" s="15">
        <f t="shared" si="65"/>
        <v>131912.617</v>
      </c>
      <c r="I448" s="15">
        <f t="shared" si="66"/>
        <v>-25141.417000000001</v>
      </c>
      <c r="J448" s="33">
        <f t="shared" si="67"/>
        <v>-0.19059145039931999</v>
      </c>
      <c r="K448" s="15">
        <f t="shared" si="68"/>
        <v>106771.2</v>
      </c>
      <c r="L448" s="31">
        <f t="shared" si="60"/>
        <v>-5493</v>
      </c>
      <c r="M448" s="31"/>
      <c r="N448" s="31"/>
      <c r="O448" s="371"/>
      <c r="P448" s="32"/>
      <c r="Q448" s="31">
        <f t="shared" si="61"/>
        <v>-2661</v>
      </c>
      <c r="R448" s="34">
        <f t="shared" si="62"/>
        <v>5</v>
      </c>
      <c r="S448" s="31"/>
      <c r="T448" s="31"/>
      <c r="U448" s="31"/>
      <c r="V448" s="31"/>
      <c r="W448" s="31"/>
      <c r="X448" s="32"/>
      <c r="Y448" s="32"/>
      <c r="Z448" s="38"/>
      <c r="AA448" s="31"/>
      <c r="AB448" s="176"/>
      <c r="AC448" s="40"/>
      <c r="AD448" s="40"/>
    </row>
    <row r="449" spans="1:30" s="1" customFormat="1" x14ac:dyDescent="0.25">
      <c r="A449" s="162">
        <v>43943</v>
      </c>
      <c r="B449" s="316"/>
      <c r="C449" s="325" t="s">
        <v>926</v>
      </c>
      <c r="D449" s="163">
        <v>400</v>
      </c>
      <c r="E449" s="326">
        <v>7.11</v>
      </c>
      <c r="F449" s="16">
        <f t="shared" si="63"/>
        <v>15680</v>
      </c>
      <c r="G449" s="17">
        <f t="shared" si="64"/>
        <v>8.2303227678571425</v>
      </c>
      <c r="H449" s="15">
        <f t="shared" si="65"/>
        <v>129051.461</v>
      </c>
      <c r="I449" s="15">
        <f t="shared" si="66"/>
        <v>-17566.660999999993</v>
      </c>
      <c r="J449" s="33">
        <f t="shared" si="67"/>
        <v>-0.13612136479415751</v>
      </c>
      <c r="K449" s="15">
        <f t="shared" si="68"/>
        <v>111484.8</v>
      </c>
      <c r="L449" s="31">
        <f t="shared" si="60"/>
        <v>7574.7560000000085</v>
      </c>
      <c r="M449" s="31"/>
      <c r="N449" s="31"/>
      <c r="O449" s="371"/>
      <c r="P449" s="32"/>
      <c r="Q449" s="31">
        <f t="shared" si="61"/>
        <v>2861.1560000000027</v>
      </c>
      <c r="R449" s="34">
        <f t="shared" si="62"/>
        <v>7.8440000000000003</v>
      </c>
      <c r="S449" s="31">
        <v>-25</v>
      </c>
      <c r="T449" s="31"/>
      <c r="U449" s="31"/>
      <c r="V449" s="31"/>
      <c r="W449" s="31"/>
      <c r="X449" s="32"/>
      <c r="Y449" s="32"/>
      <c r="Z449" s="38"/>
      <c r="AA449" s="31"/>
      <c r="AB449" s="176"/>
      <c r="AC449" s="40"/>
      <c r="AD449" s="40"/>
    </row>
    <row r="450" spans="1:30" s="1" customFormat="1" x14ac:dyDescent="0.25">
      <c r="A450" s="162">
        <v>43945</v>
      </c>
      <c r="B450" s="316"/>
      <c r="C450" s="325" t="s">
        <v>926</v>
      </c>
      <c r="D450" s="163">
        <v>400</v>
      </c>
      <c r="E450" s="326">
        <v>7.29</v>
      </c>
      <c r="F450" s="16">
        <f t="shared" si="63"/>
        <v>15280</v>
      </c>
      <c r="G450" s="17">
        <f t="shared" si="64"/>
        <v>8.2554566099476432</v>
      </c>
      <c r="H450" s="15">
        <f t="shared" si="65"/>
        <v>126143.37699999999</v>
      </c>
      <c r="I450" s="15">
        <f t="shared" si="66"/>
        <v>-14752.176999999996</v>
      </c>
      <c r="J450" s="33">
        <f t="shared" si="67"/>
        <v>-0.11694769357569988</v>
      </c>
      <c r="K450" s="15">
        <f t="shared" si="68"/>
        <v>111391.2</v>
      </c>
      <c r="L450" s="31">
        <f t="shared" ref="L450:L513" si="69">I450-I449</f>
        <v>2814.4839999999967</v>
      </c>
      <c r="M450" s="31"/>
      <c r="N450" s="31"/>
      <c r="O450" s="371"/>
      <c r="P450" s="32"/>
      <c r="Q450" s="31">
        <f t="shared" ref="Q450:Q513" si="70">(H450-H449)*-1</f>
        <v>2908.0840000000026</v>
      </c>
      <c r="R450" s="34">
        <f t="shared" si="62"/>
        <v>7.9160000000000004</v>
      </c>
      <c r="S450" s="31"/>
      <c r="T450" s="31"/>
      <c r="U450" s="31"/>
      <c r="V450" s="31"/>
      <c r="W450" s="31"/>
      <c r="X450" s="32"/>
      <c r="Y450" s="32"/>
      <c r="Z450" s="38"/>
      <c r="AA450" s="31"/>
      <c r="AB450" s="176"/>
      <c r="AC450" s="40"/>
      <c r="AD450" s="40"/>
    </row>
    <row r="451" spans="1:30" s="1" customFormat="1" x14ac:dyDescent="0.25">
      <c r="A451" s="162">
        <v>43950</v>
      </c>
      <c r="B451" s="316" t="s">
        <v>985</v>
      </c>
      <c r="C451" s="325" t="s">
        <v>63</v>
      </c>
      <c r="D451" s="163">
        <v>400</v>
      </c>
      <c r="E451" s="326">
        <v>7</v>
      </c>
      <c r="F451" s="16">
        <f t="shared" si="63"/>
        <v>15680</v>
      </c>
      <c r="G451" s="17">
        <f t="shared" si="64"/>
        <v>8.2237485331632652</v>
      </c>
      <c r="H451" s="15">
        <f t="shared" si="65"/>
        <v>128948.37699999999</v>
      </c>
      <c r="I451" s="15">
        <f t="shared" si="66"/>
        <v>-19188.376999999993</v>
      </c>
      <c r="J451" s="33">
        <f t="shared" si="67"/>
        <v>-0.14880665772164001</v>
      </c>
      <c r="K451" s="15">
        <f t="shared" si="68"/>
        <v>109760</v>
      </c>
      <c r="L451" s="31">
        <f t="shared" si="69"/>
        <v>-4436.1999999999971</v>
      </c>
      <c r="M451" s="31"/>
      <c r="N451" s="31"/>
      <c r="O451" s="371"/>
      <c r="P451" s="32"/>
      <c r="Q451" s="31">
        <f t="shared" si="70"/>
        <v>-2805</v>
      </c>
      <c r="R451" s="34">
        <f t="shared" si="62"/>
        <v>5</v>
      </c>
      <c r="S451" s="31"/>
      <c r="T451" s="31"/>
      <c r="U451" s="31"/>
      <c r="V451" s="31"/>
      <c r="W451" s="31"/>
      <c r="X451" s="32"/>
      <c r="Y451" s="32"/>
      <c r="Z451" s="38"/>
      <c r="AA451" s="31"/>
      <c r="AB451" s="176"/>
      <c r="AC451" s="40"/>
      <c r="AD451" s="40"/>
    </row>
    <row r="452" spans="1:30" s="1" customFormat="1" x14ac:dyDescent="0.25">
      <c r="A452" s="162">
        <v>43950</v>
      </c>
      <c r="B452" s="316"/>
      <c r="C452" s="325" t="s">
        <v>922</v>
      </c>
      <c r="D452" s="163">
        <v>400</v>
      </c>
      <c r="E452" s="326">
        <v>6.84</v>
      </c>
      <c r="F452" s="16">
        <f t="shared" si="63"/>
        <v>16080</v>
      </c>
      <c r="G452" s="17">
        <f t="shared" si="64"/>
        <v>8.1896378731343269</v>
      </c>
      <c r="H452" s="15">
        <f t="shared" si="65"/>
        <v>131689.37699999998</v>
      </c>
      <c r="I452" s="15">
        <f t="shared" si="66"/>
        <v>-21702.176999999981</v>
      </c>
      <c r="J452" s="33">
        <f t="shared" si="67"/>
        <v>-0.16479823577569194</v>
      </c>
      <c r="K452" s="15">
        <f t="shared" si="68"/>
        <v>109987.2</v>
      </c>
      <c r="L452" s="31">
        <f t="shared" si="69"/>
        <v>-2513.7999999999884</v>
      </c>
      <c r="M452" s="31"/>
      <c r="N452" s="31"/>
      <c r="O452" s="371"/>
      <c r="P452" s="32"/>
      <c r="Q452" s="31">
        <f t="shared" si="70"/>
        <v>-2740.9999999999854</v>
      </c>
      <c r="R452" s="34">
        <f t="shared" ref="R452:R515" si="71">commission($B$2,C452,D452,E452)</f>
        <v>5</v>
      </c>
      <c r="S452" s="31"/>
      <c r="T452" s="31"/>
      <c r="U452" s="31"/>
      <c r="V452" s="31"/>
      <c r="W452" s="31"/>
      <c r="X452" s="32"/>
      <c r="Y452" s="32"/>
      <c r="Z452" s="38"/>
      <c r="AA452" s="31"/>
      <c r="AB452" s="176"/>
      <c r="AC452" s="40"/>
      <c r="AD452" s="40"/>
    </row>
    <row r="453" spans="1:30" s="1" customFormat="1" x14ac:dyDescent="0.25">
      <c r="A453" s="162">
        <v>37376</v>
      </c>
      <c r="B453" s="316" t="s">
        <v>986</v>
      </c>
      <c r="C453" s="325" t="s">
        <v>926</v>
      </c>
      <c r="D453" s="163">
        <v>400</v>
      </c>
      <c r="E453" s="326">
        <v>7</v>
      </c>
      <c r="F453" s="16">
        <f t="shared" si="63"/>
        <v>15680</v>
      </c>
      <c r="G453" s="17">
        <f t="shared" si="64"/>
        <v>8.2204832270408144</v>
      </c>
      <c r="H453" s="15">
        <f t="shared" si="65"/>
        <v>128897.17699999998</v>
      </c>
      <c r="I453" s="15">
        <f t="shared" si="66"/>
        <v>-19137.176999999981</v>
      </c>
      <c r="J453" s="33">
        <f t="shared" si="67"/>
        <v>-0.14846855024606143</v>
      </c>
      <c r="K453" s="15">
        <f t="shared" si="68"/>
        <v>109760</v>
      </c>
      <c r="L453" s="31">
        <f t="shared" si="69"/>
        <v>2565</v>
      </c>
      <c r="M453" s="31"/>
      <c r="N453" s="31"/>
      <c r="O453" s="371"/>
      <c r="P453" s="32"/>
      <c r="Q453" s="31">
        <f t="shared" si="70"/>
        <v>2792.1999999999971</v>
      </c>
      <c r="R453" s="34">
        <f t="shared" si="71"/>
        <v>7.8</v>
      </c>
      <c r="S453" s="31"/>
      <c r="T453" s="31"/>
      <c r="U453" s="31"/>
      <c r="V453" s="31"/>
      <c r="W453" s="31"/>
      <c r="X453" s="32"/>
      <c r="Y453" s="32"/>
      <c r="Z453" s="38"/>
      <c r="AA453" s="31"/>
      <c r="AB453" s="176"/>
      <c r="AC453" s="40"/>
      <c r="AD453" s="40"/>
    </row>
    <row r="454" spans="1:30" s="1" customFormat="1" x14ac:dyDescent="0.25">
      <c r="A454" s="162">
        <v>43963</v>
      </c>
      <c r="B454" s="316"/>
      <c r="C454" s="325" t="s">
        <v>926</v>
      </c>
      <c r="D454" s="163">
        <v>400</v>
      </c>
      <c r="E454" s="326">
        <v>7.24</v>
      </c>
      <c r="F454" s="16">
        <f t="shared" si="63"/>
        <v>15280</v>
      </c>
      <c r="G454" s="17">
        <f t="shared" si="64"/>
        <v>8.2466670811518306</v>
      </c>
      <c r="H454" s="15">
        <f t="shared" si="65"/>
        <v>126009.07299999997</v>
      </c>
      <c r="I454" s="15">
        <f t="shared" si="66"/>
        <v>-15381.872999999978</v>
      </c>
      <c r="J454" s="33">
        <f t="shared" si="67"/>
        <v>-0.12206956716521493</v>
      </c>
      <c r="K454" s="15">
        <f t="shared" si="68"/>
        <v>110627.2</v>
      </c>
      <c r="L454" s="31">
        <f t="shared" si="69"/>
        <v>3755.3040000000037</v>
      </c>
      <c r="M454" s="31"/>
      <c r="N454" s="31"/>
      <c r="O454" s="371"/>
      <c r="P454" s="32"/>
      <c r="Q454" s="31">
        <f t="shared" si="70"/>
        <v>2888.1040000000066</v>
      </c>
      <c r="R454" s="34">
        <f t="shared" si="71"/>
        <v>7.8959999999999999</v>
      </c>
      <c r="S454" s="31"/>
      <c r="T454" s="31"/>
      <c r="U454" s="31"/>
      <c r="V454" s="31"/>
      <c r="W454" s="31"/>
      <c r="X454" s="32"/>
      <c r="Y454" s="32"/>
      <c r="Z454" s="38"/>
      <c r="AA454" s="31"/>
      <c r="AB454" s="176"/>
      <c r="AC454" s="40"/>
      <c r="AD454" s="40"/>
    </row>
    <row r="455" spans="1:30" s="1" customFormat="1" x14ac:dyDescent="0.25">
      <c r="A455" s="162">
        <v>43964</v>
      </c>
      <c r="B455" s="316" t="s">
        <v>987</v>
      </c>
      <c r="C455" s="325" t="s">
        <v>922</v>
      </c>
      <c r="D455" s="163">
        <v>400</v>
      </c>
      <c r="E455" s="326">
        <v>7.12</v>
      </c>
      <c r="F455" s="16">
        <f t="shared" si="63"/>
        <v>15680</v>
      </c>
      <c r="G455" s="17">
        <f t="shared" si="64"/>
        <v>8.2182444515306106</v>
      </c>
      <c r="H455" s="15">
        <f t="shared" si="65"/>
        <v>128862.07299999997</v>
      </c>
      <c r="I455" s="15">
        <f t="shared" si="66"/>
        <v>-17220.472999999969</v>
      </c>
      <c r="J455" s="33">
        <f t="shared" si="67"/>
        <v>-0.13363492142486311</v>
      </c>
      <c r="K455" s="15">
        <f t="shared" si="68"/>
        <v>111641.60000000001</v>
      </c>
      <c r="L455" s="31">
        <f t="shared" si="69"/>
        <v>-1838.5999999999913</v>
      </c>
      <c r="M455" s="31"/>
      <c r="N455" s="31"/>
      <c r="O455" s="371"/>
      <c r="P455" s="32"/>
      <c r="Q455" s="31">
        <f t="shared" si="70"/>
        <v>-2853</v>
      </c>
      <c r="R455" s="34">
        <f t="shared" si="71"/>
        <v>5</v>
      </c>
      <c r="S455" s="31"/>
      <c r="T455" s="31"/>
      <c r="U455" s="31"/>
      <c r="V455" s="31"/>
      <c r="W455" s="31"/>
      <c r="X455" s="32"/>
      <c r="Y455" s="32"/>
      <c r="Z455" s="38"/>
      <c r="AA455" s="31"/>
      <c r="AB455" s="176"/>
      <c r="AC455" s="40"/>
      <c r="AD455" s="40"/>
    </row>
    <row r="456" spans="1:30" s="1" customFormat="1" x14ac:dyDescent="0.25">
      <c r="A456" s="162">
        <v>43969</v>
      </c>
      <c r="B456" s="316"/>
      <c r="C456" s="325" t="s">
        <v>922</v>
      </c>
      <c r="D456" s="163">
        <v>400</v>
      </c>
      <c r="E456" s="326">
        <v>6.75</v>
      </c>
      <c r="F456" s="16">
        <f t="shared" si="63"/>
        <v>16080</v>
      </c>
      <c r="G456" s="17">
        <f t="shared" si="64"/>
        <v>8.1820319029850737</v>
      </c>
      <c r="H456" s="15">
        <f t="shared" si="65"/>
        <v>131567.07299999997</v>
      </c>
      <c r="I456" s="15">
        <f t="shared" si="66"/>
        <v>-23027.072999999975</v>
      </c>
      <c r="J456" s="33">
        <f t="shared" si="67"/>
        <v>-0.17502154965475281</v>
      </c>
      <c r="K456" s="15">
        <f t="shared" si="68"/>
        <v>108540</v>
      </c>
      <c r="L456" s="31">
        <f t="shared" si="69"/>
        <v>-5806.6000000000058</v>
      </c>
      <c r="M456" s="31"/>
      <c r="N456" s="31"/>
      <c r="O456" s="371"/>
      <c r="P456" s="32"/>
      <c r="Q456" s="31">
        <f t="shared" si="70"/>
        <v>-2705</v>
      </c>
      <c r="R456" s="34">
        <f t="shared" si="71"/>
        <v>5</v>
      </c>
      <c r="S456" s="31"/>
      <c r="T456" s="31"/>
      <c r="U456" s="31"/>
      <c r="V456" s="31"/>
      <c r="W456" s="31"/>
      <c r="X456" s="32"/>
      <c r="Y456" s="32"/>
      <c r="Z456" s="38"/>
      <c r="AA456" s="31"/>
      <c r="AB456" s="176"/>
      <c r="AC456" s="40"/>
      <c r="AD456" s="40"/>
    </row>
    <row r="457" spans="1:30" s="1" customFormat="1" x14ac:dyDescent="0.25">
      <c r="A457" s="162">
        <v>43985</v>
      </c>
      <c r="B457" s="316" t="s">
        <v>988</v>
      </c>
      <c r="C457" s="325" t="s">
        <v>926</v>
      </c>
      <c r="D457" s="163">
        <v>400</v>
      </c>
      <c r="E457" s="326">
        <v>6.87</v>
      </c>
      <c r="F457" s="16">
        <f t="shared" si="63"/>
        <v>15680</v>
      </c>
      <c r="G457" s="17">
        <f t="shared" si="64"/>
        <v>8.2159962372448962</v>
      </c>
      <c r="H457" s="15">
        <f t="shared" si="65"/>
        <v>128826.82099999998</v>
      </c>
      <c r="I457" s="15">
        <f t="shared" si="66"/>
        <v>-21105.220999999976</v>
      </c>
      <c r="J457" s="33">
        <f t="shared" si="67"/>
        <v>-0.16382629669950466</v>
      </c>
      <c r="K457" s="15">
        <f t="shared" si="68"/>
        <v>107721.60000000001</v>
      </c>
      <c r="L457" s="31">
        <f t="shared" si="69"/>
        <v>1921.851999999999</v>
      </c>
      <c r="M457" s="31"/>
      <c r="N457" s="31"/>
      <c r="O457" s="371"/>
      <c r="P457" s="32"/>
      <c r="Q457" s="31">
        <f t="shared" si="70"/>
        <v>2740.2519999999931</v>
      </c>
      <c r="R457" s="34">
        <f t="shared" si="71"/>
        <v>7.7480000000000002</v>
      </c>
      <c r="S457" s="31"/>
      <c r="T457" s="31"/>
      <c r="U457" s="31"/>
      <c r="V457" s="31"/>
      <c r="W457" s="31"/>
      <c r="X457" s="32"/>
      <c r="Y457" s="32"/>
      <c r="Z457" s="38"/>
      <c r="AA457" s="31"/>
      <c r="AB457" s="176"/>
      <c r="AC457" s="40"/>
      <c r="AD457" s="40"/>
    </row>
    <row r="458" spans="1:30" s="1" customFormat="1" x14ac:dyDescent="0.25">
      <c r="A458" s="162">
        <v>43993</v>
      </c>
      <c r="B458" s="316" t="s">
        <v>989</v>
      </c>
      <c r="C458" s="325" t="s">
        <v>922</v>
      </c>
      <c r="D458" s="163">
        <v>400</v>
      </c>
      <c r="E458" s="326">
        <v>6.65</v>
      </c>
      <c r="F458" s="16">
        <f t="shared" si="63"/>
        <v>16080</v>
      </c>
      <c r="G458" s="17">
        <f t="shared" si="64"/>
        <v>8.1773520522388061</v>
      </c>
      <c r="H458" s="15">
        <f t="shared" si="65"/>
        <v>131491.821</v>
      </c>
      <c r="I458" s="15">
        <f t="shared" si="66"/>
        <v>-24559.820999999996</v>
      </c>
      <c r="J458" s="33">
        <f t="shared" si="67"/>
        <v>-0.18677831680496687</v>
      </c>
      <c r="K458" s="15">
        <f t="shared" si="68"/>
        <v>106932</v>
      </c>
      <c r="L458" s="31">
        <f t="shared" si="69"/>
        <v>-3454.6000000000204</v>
      </c>
      <c r="M458" s="31"/>
      <c r="N458" s="31"/>
      <c r="O458" s="371"/>
      <c r="P458" s="32"/>
      <c r="Q458" s="31">
        <f t="shared" si="70"/>
        <v>-2665.0000000000146</v>
      </c>
      <c r="R458" s="34">
        <f t="shared" si="71"/>
        <v>5</v>
      </c>
      <c r="S458" s="31"/>
      <c r="T458" s="31"/>
      <c r="U458" s="31"/>
      <c r="V458" s="31"/>
      <c r="W458" s="31"/>
      <c r="X458" s="32"/>
      <c r="Y458" s="32"/>
      <c r="Z458" s="38"/>
      <c r="AA458" s="31"/>
      <c r="AB458" s="176"/>
      <c r="AC458" s="40"/>
      <c r="AD458" s="40"/>
    </row>
    <row r="459" spans="1:30" s="1" customFormat="1" x14ac:dyDescent="0.25">
      <c r="A459" s="162">
        <v>43994</v>
      </c>
      <c r="B459" s="316" t="s">
        <v>990</v>
      </c>
      <c r="C459" s="325" t="s">
        <v>63</v>
      </c>
      <c r="D459" s="163">
        <v>400</v>
      </c>
      <c r="E459" s="326">
        <v>6.48</v>
      </c>
      <c r="F459" s="16">
        <f t="shared" si="63"/>
        <v>16480</v>
      </c>
      <c r="G459" s="17">
        <f t="shared" si="64"/>
        <v>8.0413119538834952</v>
      </c>
      <c r="H459" s="15">
        <f t="shared" si="65"/>
        <v>132520.821</v>
      </c>
      <c r="I459" s="15">
        <f t="shared" si="66"/>
        <v>-25730.420999999988</v>
      </c>
      <c r="J459" s="33">
        <f t="shared" si="67"/>
        <v>-0.1941613461631059</v>
      </c>
      <c r="K459" s="15">
        <f t="shared" si="68"/>
        <v>106790.40000000001</v>
      </c>
      <c r="L459" s="31">
        <f t="shared" si="69"/>
        <v>-1170.5999999999913</v>
      </c>
      <c r="M459" s="31"/>
      <c r="N459" s="31"/>
      <c r="O459" s="371"/>
      <c r="P459" s="32"/>
      <c r="Q459" s="31">
        <f t="shared" si="70"/>
        <v>-1029</v>
      </c>
      <c r="R459" s="34">
        <f t="shared" si="71"/>
        <v>5</v>
      </c>
      <c r="S459" s="31">
        <v>-1568</v>
      </c>
      <c r="T459" s="31"/>
      <c r="U459" s="31"/>
      <c r="V459" s="31"/>
      <c r="W459" s="31"/>
      <c r="X459" s="32"/>
      <c r="Y459" s="32"/>
      <c r="Z459" s="38"/>
      <c r="AA459" s="31"/>
      <c r="AB459" s="176"/>
      <c r="AC459" s="40"/>
      <c r="AD459" s="40"/>
    </row>
    <row r="460" spans="1:30" s="1" customFormat="1" x14ac:dyDescent="0.25">
      <c r="A460" s="162">
        <v>43994</v>
      </c>
      <c r="B460" s="316"/>
      <c r="C460" s="325" t="s">
        <v>926</v>
      </c>
      <c r="D460" s="163">
        <v>400</v>
      </c>
      <c r="E460" s="326">
        <v>6.64</v>
      </c>
      <c r="F460" s="16">
        <f t="shared" ref="F460:F523" si="72">IF(C460="买",F459+D460,IF(C460="卖",F459-D460,F459))</f>
        <v>16080</v>
      </c>
      <c r="G460" s="17">
        <f t="shared" ref="G460:G523" si="73">H460/F460</f>
        <v>8.0766465796019897</v>
      </c>
      <c r="H460" s="15">
        <f t="shared" ref="H460:H523" si="74">IF(C460="买",H459+D460*E460+R460+S460,IF(C460="卖",H459-D460*E460+R460+S460,H459))</f>
        <v>129872.477</v>
      </c>
      <c r="I460" s="15">
        <f t="shared" ref="I460:I523" si="75">-H460+K460</f>
        <v>-23101.277000000002</v>
      </c>
      <c r="J460" s="33">
        <f t="shared" ref="J460:J523" si="76">(E460-G460)/G460</f>
        <v>-0.17787661815366779</v>
      </c>
      <c r="K460" s="15">
        <f t="shared" ref="K460:K523" si="77">F460*E460</f>
        <v>106771.2</v>
      </c>
      <c r="L460" s="31">
        <f t="shared" si="69"/>
        <v>2629.1439999999857</v>
      </c>
      <c r="M460" s="31"/>
      <c r="N460" s="31"/>
      <c r="O460" s="371"/>
      <c r="P460" s="32"/>
      <c r="Q460" s="31">
        <f t="shared" si="70"/>
        <v>2648.3439999999973</v>
      </c>
      <c r="R460" s="34">
        <f t="shared" si="71"/>
        <v>7.6559999999999997</v>
      </c>
      <c r="S460" s="31"/>
      <c r="T460" s="31"/>
      <c r="U460" s="31"/>
      <c r="V460" s="31"/>
      <c r="W460" s="31"/>
      <c r="X460" s="32"/>
      <c r="Y460" s="32"/>
      <c r="Z460" s="38"/>
      <c r="AA460" s="31"/>
      <c r="AB460" s="176"/>
      <c r="AC460" s="40"/>
      <c r="AD460" s="40"/>
    </row>
    <row r="461" spans="1:30" s="1" customFormat="1" x14ac:dyDescent="0.25">
      <c r="A461" s="162">
        <v>44013</v>
      </c>
      <c r="B461" s="316" t="s">
        <v>991</v>
      </c>
      <c r="C461" s="325" t="s">
        <v>63</v>
      </c>
      <c r="D461" s="163">
        <v>400</v>
      </c>
      <c r="E461" s="326">
        <v>6.54</v>
      </c>
      <c r="F461" s="16">
        <f t="shared" si="72"/>
        <v>16480</v>
      </c>
      <c r="G461" s="17">
        <f t="shared" si="73"/>
        <v>8.0396527305825245</v>
      </c>
      <c r="H461" s="15">
        <f t="shared" si="74"/>
        <v>132493.47700000001</v>
      </c>
      <c r="I461" s="15">
        <f t="shared" si="75"/>
        <v>-24714.277000000016</v>
      </c>
      <c r="J461" s="33">
        <f t="shared" si="76"/>
        <v>-0.18653202828996632</v>
      </c>
      <c r="K461" s="15">
        <f t="shared" si="77"/>
        <v>107779.2</v>
      </c>
      <c r="L461" s="31">
        <f t="shared" si="69"/>
        <v>-1613.0000000000146</v>
      </c>
      <c r="M461" s="31"/>
      <c r="N461" s="31"/>
      <c r="O461" s="371"/>
      <c r="P461" s="32"/>
      <c r="Q461" s="31">
        <f t="shared" si="70"/>
        <v>-2621.0000000000146</v>
      </c>
      <c r="R461" s="34">
        <f t="shared" si="71"/>
        <v>5</v>
      </c>
      <c r="S461" s="31"/>
      <c r="T461" s="31"/>
      <c r="U461" s="31"/>
      <c r="V461" s="31"/>
      <c r="W461" s="31"/>
      <c r="X461" s="32"/>
      <c r="Y461" s="32"/>
      <c r="Z461" s="38"/>
      <c r="AA461" s="31"/>
      <c r="AB461" s="176"/>
      <c r="AC461" s="40"/>
      <c r="AD461" s="40"/>
    </row>
    <row r="462" spans="1:30" s="1" customFormat="1" x14ac:dyDescent="0.25">
      <c r="A462" s="162">
        <v>44015</v>
      </c>
      <c r="B462" s="316"/>
      <c r="C462" s="325" t="s">
        <v>926</v>
      </c>
      <c r="D462" s="163">
        <v>400</v>
      </c>
      <c r="E462" s="326">
        <f t="shared" ref="E462:E476" si="78">E461+0.24</f>
        <v>6.78</v>
      </c>
      <c r="F462" s="16">
        <f t="shared" si="72"/>
        <v>16080</v>
      </c>
      <c r="G462" s="17">
        <f t="shared" si="73"/>
        <v>8.0714669776119408</v>
      </c>
      <c r="H462" s="15">
        <f t="shared" si="74"/>
        <v>129789.18900000001</v>
      </c>
      <c r="I462" s="15">
        <f t="shared" si="75"/>
        <v>-20766.789000000004</v>
      </c>
      <c r="J462" s="33">
        <f t="shared" si="76"/>
        <v>-0.1600039969430736</v>
      </c>
      <c r="K462" s="15">
        <f t="shared" si="77"/>
        <v>109022.40000000001</v>
      </c>
      <c r="L462" s="31">
        <f t="shared" si="69"/>
        <v>3947.4880000000121</v>
      </c>
      <c r="M462" s="31"/>
      <c r="N462" s="31"/>
      <c r="O462" s="371"/>
      <c r="P462" s="32"/>
      <c r="Q462" s="31">
        <f t="shared" si="70"/>
        <v>2704.2880000000005</v>
      </c>
      <c r="R462" s="34">
        <f t="shared" si="71"/>
        <v>7.7119999999999997</v>
      </c>
      <c r="S462" s="31"/>
      <c r="T462" s="31"/>
      <c r="U462" s="31"/>
      <c r="V462" s="31"/>
      <c r="W462" s="31"/>
      <c r="X462" s="32"/>
      <c r="Y462" s="32"/>
      <c r="Z462" s="38"/>
      <c r="AA462" s="31"/>
      <c r="AB462" s="176"/>
      <c r="AC462" s="40"/>
      <c r="AD462" s="40"/>
    </row>
    <row r="463" spans="1:30" s="1" customFormat="1" x14ac:dyDescent="0.25">
      <c r="A463" s="162">
        <v>44018</v>
      </c>
      <c r="B463" s="316"/>
      <c r="C463" s="325" t="s">
        <v>926</v>
      </c>
      <c r="D463" s="163">
        <v>400</v>
      </c>
      <c r="E463" s="326">
        <v>6.91</v>
      </c>
      <c r="F463" s="16">
        <f t="shared" si="72"/>
        <v>15680</v>
      </c>
      <c r="G463" s="17">
        <f t="shared" si="73"/>
        <v>8.1015913903061225</v>
      </c>
      <c r="H463" s="15">
        <f t="shared" si="74"/>
        <v>127032.95300000001</v>
      </c>
      <c r="I463" s="15">
        <f t="shared" si="75"/>
        <v>-18684.153000000006</v>
      </c>
      <c r="J463" s="33">
        <f t="shared" si="76"/>
        <v>-0.14708115145524484</v>
      </c>
      <c r="K463" s="15">
        <f t="shared" si="77"/>
        <v>108348.8</v>
      </c>
      <c r="L463" s="31">
        <f t="shared" si="69"/>
        <v>2082.6359999999986</v>
      </c>
      <c r="M463" s="31"/>
      <c r="N463" s="31"/>
      <c r="O463" s="371"/>
      <c r="P463" s="32"/>
      <c r="Q463" s="31">
        <f t="shared" si="70"/>
        <v>2756.2360000000044</v>
      </c>
      <c r="R463" s="34">
        <f t="shared" si="71"/>
        <v>7.7640000000000002</v>
      </c>
      <c r="S463" s="31"/>
      <c r="T463" s="31"/>
      <c r="U463" s="31"/>
      <c r="V463" s="31"/>
      <c r="W463" s="31"/>
      <c r="X463" s="32"/>
      <c r="Y463" s="32"/>
      <c r="Z463" s="38"/>
      <c r="AA463" s="31"/>
      <c r="AB463" s="176"/>
      <c r="AC463" s="40"/>
      <c r="AD463" s="40"/>
    </row>
    <row r="464" spans="1:30" s="1" customFormat="1" x14ac:dyDescent="0.25">
      <c r="A464" s="162">
        <v>44019</v>
      </c>
      <c r="B464" s="316"/>
      <c r="C464" s="325" t="s">
        <v>926</v>
      </c>
      <c r="D464" s="163">
        <v>400</v>
      </c>
      <c r="E464" s="326">
        <v>7.17</v>
      </c>
      <c r="F464" s="16">
        <f t="shared" si="72"/>
        <v>15280</v>
      </c>
      <c r="G464" s="17">
        <f t="shared" si="73"/>
        <v>8.1264935209424092</v>
      </c>
      <c r="H464" s="15">
        <f t="shared" si="74"/>
        <v>124172.82100000001</v>
      </c>
      <c r="I464" s="15">
        <f t="shared" si="75"/>
        <v>-14615.221000000005</v>
      </c>
      <c r="J464" s="33">
        <f t="shared" si="76"/>
        <v>-0.11770064400807977</v>
      </c>
      <c r="K464" s="15">
        <f t="shared" si="77"/>
        <v>109557.6</v>
      </c>
      <c r="L464" s="31">
        <f t="shared" si="69"/>
        <v>4068.9320000000007</v>
      </c>
      <c r="M464" s="31"/>
      <c r="N464" s="31"/>
      <c r="O464" s="371"/>
      <c r="P464" s="32"/>
      <c r="Q464" s="31">
        <f t="shared" si="70"/>
        <v>2860.1319999999978</v>
      </c>
      <c r="R464" s="34">
        <f t="shared" si="71"/>
        <v>7.8680000000000003</v>
      </c>
      <c r="S464" s="31"/>
      <c r="T464" s="31"/>
      <c r="U464" s="31"/>
      <c r="V464" s="31"/>
      <c r="W464" s="31"/>
      <c r="X464" s="32"/>
      <c r="Y464" s="32"/>
      <c r="Z464" s="38"/>
      <c r="AA464" s="31"/>
      <c r="AB464" s="176"/>
      <c r="AC464" s="40"/>
      <c r="AD464" s="40"/>
    </row>
    <row r="465" spans="1:30" s="1" customFormat="1" x14ac:dyDescent="0.25">
      <c r="A465" s="162">
        <v>44021</v>
      </c>
      <c r="B465" s="316"/>
      <c r="C465" s="325" t="s">
        <v>926</v>
      </c>
      <c r="D465" s="163">
        <v>400</v>
      </c>
      <c r="E465" s="326">
        <v>7.22</v>
      </c>
      <c r="F465" s="16">
        <f t="shared" si="72"/>
        <v>14880</v>
      </c>
      <c r="G465" s="17">
        <f t="shared" si="73"/>
        <v>8.1513917338709696</v>
      </c>
      <c r="H465" s="15">
        <f t="shared" si="74"/>
        <v>121292.70900000002</v>
      </c>
      <c r="I465" s="15">
        <f t="shared" si="75"/>
        <v>-13859.109000000026</v>
      </c>
      <c r="J465" s="33">
        <f t="shared" si="76"/>
        <v>-0.11426168245611555</v>
      </c>
      <c r="K465" s="15">
        <f t="shared" si="77"/>
        <v>107433.59999999999</v>
      </c>
      <c r="L465" s="31">
        <f t="shared" si="69"/>
        <v>756.11199999997916</v>
      </c>
      <c r="M465" s="31"/>
      <c r="N465" s="31"/>
      <c r="O465" s="371"/>
      <c r="P465" s="32"/>
      <c r="Q465" s="31">
        <f t="shared" si="70"/>
        <v>2880.1119999999937</v>
      </c>
      <c r="R465" s="34">
        <f t="shared" si="71"/>
        <v>7.8879999999999999</v>
      </c>
      <c r="S465" s="31"/>
      <c r="T465" s="31"/>
      <c r="U465" s="31"/>
      <c r="V465" s="31"/>
      <c r="W465" s="31"/>
      <c r="X465" s="32"/>
      <c r="Y465" s="32"/>
      <c r="Z465" s="38"/>
      <c r="AA465" s="31"/>
      <c r="AB465" s="176"/>
      <c r="AC465" s="40"/>
      <c r="AD465" s="40"/>
    </row>
    <row r="466" spans="1:30" s="1" customFormat="1" x14ac:dyDescent="0.25">
      <c r="A466" s="162">
        <v>44021</v>
      </c>
      <c r="B466" s="316"/>
      <c r="C466" s="325" t="s">
        <v>926</v>
      </c>
      <c r="D466" s="163">
        <v>400</v>
      </c>
      <c r="E466" s="326">
        <v>7.33</v>
      </c>
      <c r="F466" s="16">
        <f t="shared" si="72"/>
        <v>14480</v>
      </c>
      <c r="G466" s="17">
        <f t="shared" si="73"/>
        <v>8.1746299033149192</v>
      </c>
      <c r="H466" s="15">
        <f t="shared" si="74"/>
        <v>118368.64100000002</v>
      </c>
      <c r="I466" s="15">
        <f t="shared" si="75"/>
        <v>-12230.241000000024</v>
      </c>
      <c r="J466" s="33">
        <f t="shared" si="76"/>
        <v>-0.10332332023648076</v>
      </c>
      <c r="K466" s="15">
        <f t="shared" si="77"/>
        <v>106138.4</v>
      </c>
      <c r="L466" s="31">
        <f t="shared" si="69"/>
        <v>1628.8680000000022</v>
      </c>
      <c r="M466" s="31"/>
      <c r="N466" s="31"/>
      <c r="O466" s="371"/>
      <c r="P466" s="32"/>
      <c r="Q466" s="31">
        <f t="shared" si="70"/>
        <v>2924.0679999999993</v>
      </c>
      <c r="R466" s="34">
        <f t="shared" si="71"/>
        <v>7.9320000000000004</v>
      </c>
      <c r="S466" s="31"/>
      <c r="T466" s="31"/>
      <c r="U466" s="31"/>
      <c r="V466" s="31"/>
      <c r="W466" s="31"/>
      <c r="X466" s="32"/>
      <c r="Y466" s="32"/>
      <c r="Z466" s="38"/>
      <c r="AA466" s="31"/>
      <c r="AB466" s="176"/>
      <c r="AC466" s="40"/>
      <c r="AD466" s="40"/>
    </row>
    <row r="467" spans="1:30" s="1" customFormat="1" x14ac:dyDescent="0.25">
      <c r="A467" s="162">
        <v>44022</v>
      </c>
      <c r="B467" s="359"/>
      <c r="C467" s="325" t="s">
        <v>926</v>
      </c>
      <c r="D467" s="163">
        <v>2000</v>
      </c>
      <c r="E467" s="326">
        <v>7.24</v>
      </c>
      <c r="F467" s="16">
        <f t="shared" si="72"/>
        <v>12480</v>
      </c>
      <c r="G467" s="17">
        <f t="shared" si="73"/>
        <v>8.3261507211538479</v>
      </c>
      <c r="H467" s="15">
        <f t="shared" si="74"/>
        <v>103910.36100000002</v>
      </c>
      <c r="I467" s="15">
        <f t="shared" si="75"/>
        <v>-13555.161000000022</v>
      </c>
      <c r="J467" s="33">
        <f t="shared" si="76"/>
        <v>-0.13045052360081799</v>
      </c>
      <c r="K467" s="15">
        <f t="shared" si="77"/>
        <v>90355.199999999997</v>
      </c>
      <c r="L467" s="31">
        <f t="shared" si="69"/>
        <v>-1324.9199999999983</v>
      </c>
      <c r="M467" s="31"/>
      <c r="N467" s="31"/>
      <c r="O467" s="371"/>
      <c r="P467" s="32"/>
      <c r="Q467" s="31">
        <f t="shared" si="70"/>
        <v>14458.279999999999</v>
      </c>
      <c r="R467" s="34">
        <f t="shared" si="71"/>
        <v>21.72</v>
      </c>
      <c r="S467" s="31"/>
      <c r="T467" s="31"/>
      <c r="U467" s="31"/>
      <c r="V467" s="31"/>
      <c r="W467" s="31"/>
      <c r="X467" s="32"/>
      <c r="Y467" s="32"/>
      <c r="Z467" s="38"/>
      <c r="AA467" s="31"/>
      <c r="AB467" s="176"/>
      <c r="AC467" s="40"/>
      <c r="AD467" s="40"/>
    </row>
    <row r="468" spans="1:30" s="1" customFormat="1" x14ac:dyDescent="0.25">
      <c r="A468" s="162">
        <v>44023</v>
      </c>
      <c r="B468" s="316"/>
      <c r="C468" s="325" t="s">
        <v>926</v>
      </c>
      <c r="D468" s="163">
        <v>400</v>
      </c>
      <c r="E468" s="326">
        <v>7.41</v>
      </c>
      <c r="F468" s="16">
        <f t="shared" si="72"/>
        <v>12080</v>
      </c>
      <c r="G468" s="17">
        <f t="shared" si="73"/>
        <v>8.3571461092715253</v>
      </c>
      <c r="H468" s="15">
        <f t="shared" si="74"/>
        <v>100954.32500000003</v>
      </c>
      <c r="I468" s="15">
        <f t="shared" si="75"/>
        <v>-11441.525000000023</v>
      </c>
      <c r="J468" s="33">
        <f t="shared" si="76"/>
        <v>-0.11333367837385888</v>
      </c>
      <c r="K468" s="15">
        <f t="shared" si="77"/>
        <v>89512.8</v>
      </c>
      <c r="L468" s="31">
        <f t="shared" si="69"/>
        <v>2113.6359999999986</v>
      </c>
      <c r="M468" s="31"/>
      <c r="N468" s="31"/>
      <c r="O468" s="371"/>
      <c r="P468" s="32"/>
      <c r="Q468" s="31">
        <f t="shared" si="70"/>
        <v>2956.0359999999928</v>
      </c>
      <c r="R468" s="34">
        <f t="shared" si="71"/>
        <v>7.9640000000000004</v>
      </c>
      <c r="S468" s="31"/>
      <c r="T468" s="31"/>
      <c r="U468" s="31"/>
      <c r="V468" s="31"/>
      <c r="W468" s="31"/>
      <c r="X468" s="32"/>
      <c r="Y468" s="32"/>
      <c r="Z468" s="38"/>
      <c r="AA468" s="31"/>
      <c r="AB468" s="176"/>
      <c r="AC468" s="40"/>
      <c r="AD468" s="40"/>
    </row>
    <row r="469" spans="1:30" s="1" customFormat="1" x14ac:dyDescent="0.25">
      <c r="A469" s="162">
        <v>44029</v>
      </c>
      <c r="B469" s="316" t="s">
        <v>992</v>
      </c>
      <c r="C469" s="325" t="s">
        <v>63</v>
      </c>
      <c r="D469" s="163">
        <v>400</v>
      </c>
      <c r="E469" s="326">
        <v>7.07</v>
      </c>
      <c r="F469" s="16">
        <f t="shared" si="72"/>
        <v>12480</v>
      </c>
      <c r="G469" s="17">
        <f t="shared" si="73"/>
        <v>8.3162920673076943</v>
      </c>
      <c r="H469" s="15">
        <f t="shared" si="74"/>
        <v>103787.32500000003</v>
      </c>
      <c r="I469" s="15">
        <f t="shared" si="75"/>
        <v>-15553.72500000002</v>
      </c>
      <c r="J469" s="33">
        <f t="shared" si="76"/>
        <v>-0.14986150765519796</v>
      </c>
      <c r="K469" s="15">
        <f t="shared" si="77"/>
        <v>88233.600000000006</v>
      </c>
      <c r="L469" s="31">
        <f t="shared" si="69"/>
        <v>-4112.1999999999971</v>
      </c>
      <c r="M469" s="31"/>
      <c r="N469" s="31"/>
      <c r="O469" s="371"/>
      <c r="P469" s="32"/>
      <c r="Q469" s="31">
        <f t="shared" si="70"/>
        <v>-2833</v>
      </c>
      <c r="R469" s="34">
        <f t="shared" si="71"/>
        <v>5</v>
      </c>
      <c r="S469" s="31"/>
      <c r="T469" s="31"/>
      <c r="U469" s="31"/>
      <c r="V469" s="31"/>
      <c r="W469" s="31"/>
      <c r="X469" s="32"/>
      <c r="Y469" s="32"/>
      <c r="Z469" s="38"/>
      <c r="AA469" s="31"/>
      <c r="AB469" s="176"/>
      <c r="AC469" s="40"/>
      <c r="AD469" s="40"/>
    </row>
    <row r="470" spans="1:30" s="1" customFormat="1" x14ac:dyDescent="0.25">
      <c r="A470" s="162">
        <v>44032</v>
      </c>
      <c r="B470" s="316"/>
      <c r="C470" s="325" t="s">
        <v>926</v>
      </c>
      <c r="D470" s="163">
        <v>400</v>
      </c>
      <c r="E470" s="326">
        <v>7.3</v>
      </c>
      <c r="F470" s="16">
        <f t="shared" si="72"/>
        <v>12080</v>
      </c>
      <c r="G470" s="17">
        <f t="shared" si="73"/>
        <v>8.350599751655631</v>
      </c>
      <c r="H470" s="15">
        <f t="shared" si="74"/>
        <v>100875.24500000002</v>
      </c>
      <c r="I470" s="15">
        <f t="shared" si="75"/>
        <v>-12691.245000000024</v>
      </c>
      <c r="J470" s="33">
        <f t="shared" si="76"/>
        <v>-0.12581129294902849</v>
      </c>
      <c r="K470" s="15">
        <f t="shared" si="77"/>
        <v>88184</v>
      </c>
      <c r="L470" s="31">
        <f t="shared" si="69"/>
        <v>2862.4799999999959</v>
      </c>
      <c r="M470" s="31"/>
      <c r="N470" s="31"/>
      <c r="O470" s="371"/>
      <c r="P470" s="32"/>
      <c r="Q470" s="31">
        <f t="shared" si="70"/>
        <v>2912.0800000000017</v>
      </c>
      <c r="R470" s="34">
        <f t="shared" si="71"/>
        <v>7.92</v>
      </c>
      <c r="S470" s="31"/>
      <c r="T470" s="31"/>
      <c r="U470" s="31"/>
      <c r="V470" s="31"/>
      <c r="W470" s="31"/>
      <c r="X470" s="32"/>
      <c r="Y470" s="32"/>
      <c r="Z470" s="38"/>
      <c r="AA470" s="31"/>
      <c r="AB470" s="176"/>
      <c r="AC470" s="40"/>
      <c r="AD470" s="40"/>
    </row>
    <row r="471" spans="1:30" s="1" customFormat="1" x14ac:dyDescent="0.25">
      <c r="A471" s="162">
        <v>44032</v>
      </c>
      <c r="B471" s="316"/>
      <c r="C471" s="325" t="s">
        <v>926</v>
      </c>
      <c r="D471" s="163">
        <v>400</v>
      </c>
      <c r="E471" s="326">
        <v>7.34</v>
      </c>
      <c r="F471" s="16">
        <f t="shared" si="72"/>
        <v>11680</v>
      </c>
      <c r="G471" s="17">
        <f t="shared" si="73"/>
        <v>8.3858887842465784</v>
      </c>
      <c r="H471" s="15">
        <f t="shared" si="74"/>
        <v>97947.181000000026</v>
      </c>
      <c r="I471" s="15">
        <f t="shared" si="75"/>
        <v>-12215.981000000029</v>
      </c>
      <c r="J471" s="33">
        <f t="shared" si="76"/>
        <v>-0.12472008765622394</v>
      </c>
      <c r="K471" s="15">
        <f t="shared" si="77"/>
        <v>85731.199999999997</v>
      </c>
      <c r="L471" s="31">
        <f t="shared" si="69"/>
        <v>475.26399999999558</v>
      </c>
      <c r="M471" s="31"/>
      <c r="N471" s="31"/>
      <c r="O471" s="371"/>
      <c r="P471" s="32"/>
      <c r="Q471" s="31">
        <f t="shared" si="70"/>
        <v>2928.0639999999985</v>
      </c>
      <c r="R471" s="34">
        <f t="shared" si="71"/>
        <v>7.9359999999999999</v>
      </c>
      <c r="S471" s="31"/>
      <c r="T471" s="31"/>
      <c r="U471" s="31"/>
      <c r="V471" s="31"/>
      <c r="W471" s="31"/>
      <c r="X471" s="32"/>
      <c r="Y471" s="32"/>
      <c r="Z471" s="38"/>
      <c r="AA471" s="31"/>
      <c r="AB471" s="176"/>
      <c r="AC471" s="40"/>
      <c r="AD471" s="40"/>
    </row>
    <row r="472" spans="1:30" s="1" customFormat="1" x14ac:dyDescent="0.25">
      <c r="A472" s="162">
        <v>44033</v>
      </c>
      <c r="B472" s="316" t="s">
        <v>993</v>
      </c>
      <c r="C472" s="325" t="s">
        <v>63</v>
      </c>
      <c r="D472" s="163">
        <v>400</v>
      </c>
      <c r="E472" s="326">
        <v>7.23</v>
      </c>
      <c r="F472" s="16">
        <f t="shared" si="72"/>
        <v>12080</v>
      </c>
      <c r="G472" s="17">
        <f t="shared" si="73"/>
        <v>8.3480282284768226</v>
      </c>
      <c r="H472" s="15">
        <f t="shared" si="74"/>
        <v>100844.18100000003</v>
      </c>
      <c r="I472" s="15">
        <f t="shared" si="75"/>
        <v>-13505.781000000017</v>
      </c>
      <c r="J472" s="33">
        <f t="shared" si="76"/>
        <v>-0.133927221839404</v>
      </c>
      <c r="K472" s="15">
        <f t="shared" si="77"/>
        <v>87338.400000000009</v>
      </c>
      <c r="L472" s="31">
        <f t="shared" si="69"/>
        <v>-1289.7999999999884</v>
      </c>
      <c r="M472" s="31"/>
      <c r="N472" s="31"/>
      <c r="O472" s="371"/>
      <c r="P472" s="32"/>
      <c r="Q472" s="31">
        <f t="shared" si="70"/>
        <v>-2897</v>
      </c>
      <c r="R472" s="34">
        <f t="shared" si="71"/>
        <v>5</v>
      </c>
      <c r="S472" s="31"/>
      <c r="T472" s="31"/>
      <c r="U472" s="31"/>
      <c r="V472" s="31"/>
      <c r="W472" s="31"/>
      <c r="X472" s="32"/>
      <c r="Y472" s="32"/>
      <c r="Z472" s="38"/>
      <c r="AA472" s="31"/>
      <c r="AB472" s="176"/>
      <c r="AC472" s="40"/>
      <c r="AD472" s="40"/>
    </row>
    <row r="473" spans="1:30" s="1" customFormat="1" x14ac:dyDescent="0.25">
      <c r="A473" s="162">
        <v>44035</v>
      </c>
      <c r="B473" s="316" t="s">
        <v>994</v>
      </c>
      <c r="C473" s="325" t="s">
        <v>63</v>
      </c>
      <c r="D473" s="163">
        <v>400</v>
      </c>
      <c r="E473" s="326">
        <v>7</v>
      </c>
      <c r="F473" s="16">
        <f t="shared" si="72"/>
        <v>12480</v>
      </c>
      <c r="G473" s="17">
        <f t="shared" si="73"/>
        <v>8.3052228365384639</v>
      </c>
      <c r="H473" s="15">
        <f t="shared" si="74"/>
        <v>103649.18100000003</v>
      </c>
      <c r="I473" s="15">
        <f t="shared" si="75"/>
        <v>-16289.181000000026</v>
      </c>
      <c r="J473" s="33">
        <f t="shared" si="76"/>
        <v>-0.15715687131189224</v>
      </c>
      <c r="K473" s="15">
        <f t="shared" si="77"/>
        <v>87360</v>
      </c>
      <c r="L473" s="31">
        <f t="shared" si="69"/>
        <v>-2783.4000000000087</v>
      </c>
      <c r="M473" s="31"/>
      <c r="N473" s="31"/>
      <c r="O473" s="371"/>
      <c r="P473" s="32"/>
      <c r="Q473" s="31">
        <f t="shared" si="70"/>
        <v>-2805</v>
      </c>
      <c r="R473" s="34">
        <f t="shared" si="71"/>
        <v>5</v>
      </c>
      <c r="S473" s="31"/>
      <c r="T473" s="31"/>
      <c r="U473" s="31"/>
      <c r="V473" s="31"/>
      <c r="W473" s="31"/>
      <c r="X473" s="32"/>
      <c r="Y473" s="32"/>
      <c r="Z473" s="38"/>
      <c r="AA473" s="31"/>
      <c r="AB473" s="176"/>
      <c r="AC473" s="40"/>
      <c r="AD473" s="40"/>
    </row>
    <row r="474" spans="1:30" s="1" customFormat="1" x14ac:dyDescent="0.25">
      <c r="A474" s="162">
        <v>44035</v>
      </c>
      <c r="B474" s="316" t="s">
        <v>995</v>
      </c>
      <c r="C474" s="325" t="s">
        <v>63</v>
      </c>
      <c r="D474" s="163">
        <v>400</v>
      </c>
      <c r="E474" s="326">
        <v>6.98</v>
      </c>
      <c r="F474" s="16">
        <f t="shared" si="72"/>
        <v>12880</v>
      </c>
      <c r="G474" s="17">
        <f t="shared" si="73"/>
        <v>8.2644550465838531</v>
      </c>
      <c r="H474" s="15">
        <f t="shared" si="74"/>
        <v>106446.18100000003</v>
      </c>
      <c r="I474" s="15">
        <f t="shared" si="75"/>
        <v>-16543.781000000017</v>
      </c>
      <c r="J474" s="33">
        <f t="shared" si="76"/>
        <v>-0.15541920663175335</v>
      </c>
      <c r="K474" s="15">
        <f t="shared" si="77"/>
        <v>89902.400000000009</v>
      </c>
      <c r="L474" s="31">
        <f t="shared" si="69"/>
        <v>-254.59999999999127</v>
      </c>
      <c r="M474" s="31"/>
      <c r="N474" s="31"/>
      <c r="O474" s="371"/>
      <c r="P474" s="32"/>
      <c r="Q474" s="31">
        <f t="shared" si="70"/>
        <v>-2797</v>
      </c>
      <c r="R474" s="34">
        <f t="shared" si="71"/>
        <v>5</v>
      </c>
      <c r="S474" s="31"/>
      <c r="T474" s="31"/>
      <c r="U474" s="31"/>
      <c r="V474" s="31"/>
      <c r="W474" s="31"/>
      <c r="X474" s="32"/>
      <c r="Y474" s="32"/>
      <c r="Z474" s="38"/>
      <c r="AA474" s="31"/>
      <c r="AB474" s="176"/>
      <c r="AC474" s="40"/>
      <c r="AD474" s="40"/>
    </row>
    <row r="475" spans="1:30" s="1" customFormat="1" x14ac:dyDescent="0.25">
      <c r="A475" s="162">
        <v>44036</v>
      </c>
      <c r="B475" s="316" t="s">
        <v>996</v>
      </c>
      <c r="C475" s="325" t="s">
        <v>922</v>
      </c>
      <c r="D475" s="163">
        <v>400</v>
      </c>
      <c r="E475" s="326">
        <v>6.86</v>
      </c>
      <c r="F475" s="16">
        <f t="shared" si="72"/>
        <v>13280</v>
      </c>
      <c r="G475" s="17">
        <f t="shared" si="73"/>
        <v>8.2225286897590379</v>
      </c>
      <c r="H475" s="15">
        <f t="shared" si="74"/>
        <v>109195.18100000003</v>
      </c>
      <c r="I475" s="15">
        <f t="shared" si="75"/>
        <v>-18094.381000000023</v>
      </c>
      <c r="J475" s="33">
        <f t="shared" si="76"/>
        <v>-0.16570677235289363</v>
      </c>
      <c r="K475" s="15">
        <f t="shared" si="77"/>
        <v>91100.800000000003</v>
      </c>
      <c r="L475" s="31">
        <f t="shared" si="69"/>
        <v>-1550.6000000000058</v>
      </c>
      <c r="M475" s="31"/>
      <c r="N475" s="31"/>
      <c r="O475" s="371"/>
      <c r="P475" s="32"/>
      <c r="Q475" s="31">
        <f t="shared" si="70"/>
        <v>-2749</v>
      </c>
      <c r="R475" s="34">
        <f t="shared" si="71"/>
        <v>5</v>
      </c>
      <c r="S475" s="31"/>
      <c r="T475" s="31"/>
      <c r="U475" s="31"/>
      <c r="V475" s="31"/>
      <c r="W475" s="31"/>
      <c r="X475" s="32"/>
      <c r="Y475" s="32"/>
      <c r="Z475" s="38"/>
      <c r="AA475" s="31"/>
      <c r="AB475" s="176"/>
      <c r="AC475" s="40"/>
      <c r="AD475" s="40"/>
    </row>
    <row r="476" spans="1:30" s="1" customFormat="1" x14ac:dyDescent="0.25">
      <c r="A476" s="162">
        <v>44042</v>
      </c>
      <c r="B476" s="316"/>
      <c r="C476" s="325" t="s">
        <v>926</v>
      </c>
      <c r="D476" s="163">
        <v>400</v>
      </c>
      <c r="E476" s="326">
        <f t="shared" si="78"/>
        <v>7.1000000000000005</v>
      </c>
      <c r="F476" s="16">
        <f t="shared" si="72"/>
        <v>12880</v>
      </c>
      <c r="G476" s="17">
        <f t="shared" si="73"/>
        <v>8.257998524844723</v>
      </c>
      <c r="H476" s="15">
        <f t="shared" si="74"/>
        <v>106363.02100000002</v>
      </c>
      <c r="I476" s="15">
        <f t="shared" si="75"/>
        <v>-14915.021000000022</v>
      </c>
      <c r="J476" s="33">
        <f t="shared" si="76"/>
        <v>-0.14022750444442547</v>
      </c>
      <c r="K476" s="15">
        <f t="shared" si="77"/>
        <v>91448</v>
      </c>
      <c r="L476" s="31">
        <f t="shared" si="69"/>
        <v>3179.3600000000006</v>
      </c>
      <c r="M476" s="31"/>
      <c r="N476" s="31"/>
      <c r="O476" s="371"/>
      <c r="P476" s="32"/>
      <c r="Q476" s="31">
        <f t="shared" si="70"/>
        <v>2832.1600000000035</v>
      </c>
      <c r="R476" s="34">
        <f t="shared" si="71"/>
        <v>7.84</v>
      </c>
      <c r="S476" s="31"/>
      <c r="T476" s="31"/>
      <c r="U476" s="31"/>
      <c r="V476" s="31"/>
      <c r="W476" s="31"/>
      <c r="X476" s="32"/>
      <c r="Y476" s="32"/>
      <c r="Z476" s="38"/>
      <c r="AA476" s="31"/>
      <c r="AB476" s="176"/>
      <c r="AC476" s="40"/>
      <c r="AD476" s="40"/>
    </row>
    <row r="477" spans="1:30" s="1" customFormat="1" x14ac:dyDescent="0.25">
      <c r="A477" s="162">
        <v>44046</v>
      </c>
      <c r="B477" s="316"/>
      <c r="C477" s="325" t="s">
        <v>926</v>
      </c>
      <c r="D477" s="163">
        <v>400</v>
      </c>
      <c r="E477" s="326">
        <v>7.34</v>
      </c>
      <c r="F477" s="16">
        <f t="shared" si="72"/>
        <v>12480</v>
      </c>
      <c r="G477" s="17">
        <f t="shared" si="73"/>
        <v>8.2880574519230787</v>
      </c>
      <c r="H477" s="15">
        <f t="shared" si="74"/>
        <v>103434.95700000002</v>
      </c>
      <c r="I477" s="15">
        <f t="shared" si="75"/>
        <v>-11831.757000000027</v>
      </c>
      <c r="J477" s="33">
        <f t="shared" si="76"/>
        <v>-0.11438837838932946</v>
      </c>
      <c r="K477" s="15">
        <f t="shared" si="77"/>
        <v>91603.199999999997</v>
      </c>
      <c r="L477" s="31">
        <f t="shared" si="69"/>
        <v>3083.2639999999956</v>
      </c>
      <c r="M477" s="31"/>
      <c r="N477" s="31"/>
      <c r="O477" s="371"/>
      <c r="P477" s="32"/>
      <c r="Q477" s="31">
        <f t="shared" si="70"/>
        <v>2928.0639999999985</v>
      </c>
      <c r="R477" s="34">
        <f t="shared" si="71"/>
        <v>7.9359999999999999</v>
      </c>
      <c r="S477" s="31"/>
      <c r="T477" s="31"/>
      <c r="U477" s="31"/>
      <c r="V477" s="31"/>
      <c r="W477" s="31"/>
      <c r="X477" s="32"/>
      <c r="Y477" s="32"/>
      <c r="Z477" s="38"/>
      <c r="AA477" s="31"/>
      <c r="AB477" s="176"/>
      <c r="AC477" s="40"/>
      <c r="AD477" s="40"/>
    </row>
    <row r="478" spans="1:30" s="1" customFormat="1" x14ac:dyDescent="0.25">
      <c r="A478" s="162">
        <v>44049</v>
      </c>
      <c r="B478" s="316"/>
      <c r="C478" s="325" t="s">
        <v>926</v>
      </c>
      <c r="D478" s="163">
        <v>400</v>
      </c>
      <c r="E478" s="326">
        <v>7.44</v>
      </c>
      <c r="F478" s="16">
        <f t="shared" si="72"/>
        <v>12080</v>
      </c>
      <c r="G478" s="17">
        <f t="shared" si="73"/>
        <v>8.3167990894039754</v>
      </c>
      <c r="H478" s="15">
        <f t="shared" si="74"/>
        <v>100466.93300000002</v>
      </c>
      <c r="I478" s="15">
        <f t="shared" si="75"/>
        <v>-10591.733000000007</v>
      </c>
      <c r="J478" s="33">
        <f t="shared" si="76"/>
        <v>-0.1054250655785423</v>
      </c>
      <c r="K478" s="15">
        <f t="shared" si="77"/>
        <v>89875.200000000012</v>
      </c>
      <c r="L478" s="31">
        <f t="shared" si="69"/>
        <v>1240.0240000000194</v>
      </c>
      <c r="M478" s="31"/>
      <c r="N478" s="31"/>
      <c r="O478" s="371"/>
      <c r="P478" s="32"/>
      <c r="Q478" s="31">
        <f t="shared" si="70"/>
        <v>2968.0240000000049</v>
      </c>
      <c r="R478" s="34">
        <f t="shared" si="71"/>
        <v>7.976</v>
      </c>
      <c r="S478" s="31"/>
      <c r="T478" s="31"/>
      <c r="U478" s="31"/>
      <c r="V478" s="31"/>
      <c r="W478" s="31"/>
      <c r="X478" s="32"/>
      <c r="Y478" s="32"/>
      <c r="Z478" s="38"/>
      <c r="AA478" s="31"/>
      <c r="AB478" s="176"/>
      <c r="AC478" s="40"/>
      <c r="AD478" s="40"/>
    </row>
    <row r="479" spans="1:30" s="1" customFormat="1" x14ac:dyDescent="0.25">
      <c r="A479" s="162">
        <v>44053</v>
      </c>
      <c r="B479" s="316"/>
      <c r="C479" s="325" t="s">
        <v>926</v>
      </c>
      <c r="D479" s="163">
        <v>400</v>
      </c>
      <c r="E479" s="326">
        <v>7.58</v>
      </c>
      <c r="F479" s="16">
        <f t="shared" si="72"/>
        <v>11680</v>
      </c>
      <c r="G479" s="17">
        <f t="shared" si="73"/>
        <v>8.3427196061643851</v>
      </c>
      <c r="H479" s="15">
        <f t="shared" si="74"/>
        <v>97442.965000000026</v>
      </c>
      <c r="I479" s="15">
        <f t="shared" si="75"/>
        <v>-8908.5650000000314</v>
      </c>
      <c r="J479" s="33">
        <f t="shared" si="76"/>
        <v>-9.1423377767702527E-2</v>
      </c>
      <c r="K479" s="15">
        <f t="shared" si="77"/>
        <v>88534.399999999994</v>
      </c>
      <c r="L479" s="31">
        <f t="shared" si="69"/>
        <v>1683.167999999976</v>
      </c>
      <c r="M479" s="31"/>
      <c r="N479" s="31"/>
      <c r="O479" s="371"/>
      <c r="P479" s="32"/>
      <c r="Q479" s="31">
        <f t="shared" si="70"/>
        <v>3023.9679999999935</v>
      </c>
      <c r="R479" s="34">
        <f t="shared" si="71"/>
        <v>8.032</v>
      </c>
      <c r="S479" s="31"/>
      <c r="T479" s="31"/>
      <c r="U479" s="31"/>
      <c r="V479" s="31"/>
      <c r="W479" s="31"/>
      <c r="X479" s="32"/>
      <c r="Y479" s="32"/>
      <c r="Z479" s="38"/>
      <c r="AA479" s="31"/>
      <c r="AB479" s="176"/>
      <c r="AC479" s="40"/>
      <c r="AD479" s="40"/>
    </row>
    <row r="480" spans="1:30" s="1" customFormat="1" x14ac:dyDescent="0.25">
      <c r="A480" s="162">
        <v>44053</v>
      </c>
      <c r="B480" s="316"/>
      <c r="C480" s="325" t="s">
        <v>926</v>
      </c>
      <c r="D480" s="163">
        <v>400</v>
      </c>
      <c r="E480" s="326">
        <v>7.75</v>
      </c>
      <c r="F480" s="16">
        <f t="shared" si="72"/>
        <v>11280</v>
      </c>
      <c r="G480" s="17">
        <f t="shared" si="73"/>
        <v>8.3644561170212786</v>
      </c>
      <c r="H480" s="15">
        <f t="shared" si="74"/>
        <v>94351.065000000031</v>
      </c>
      <c r="I480" s="15">
        <f t="shared" si="75"/>
        <v>-6931.0650000000314</v>
      </c>
      <c r="J480" s="33">
        <f t="shared" si="76"/>
        <v>-7.3460379064083911E-2</v>
      </c>
      <c r="K480" s="15">
        <f t="shared" si="77"/>
        <v>87420</v>
      </c>
      <c r="L480" s="31">
        <f t="shared" si="69"/>
        <v>1977.5</v>
      </c>
      <c r="M480" s="31"/>
      <c r="N480" s="31"/>
      <c r="O480" s="371"/>
      <c r="P480" s="32"/>
      <c r="Q480" s="31">
        <f t="shared" si="70"/>
        <v>3091.8999999999942</v>
      </c>
      <c r="R480" s="34">
        <f t="shared" si="71"/>
        <v>8.1</v>
      </c>
      <c r="S480" s="31"/>
      <c r="T480" s="31"/>
      <c r="U480" s="31"/>
      <c r="V480" s="31"/>
      <c r="W480" s="31"/>
      <c r="X480" s="32"/>
      <c r="Y480" s="32"/>
      <c r="Z480" s="38"/>
      <c r="AA480" s="31"/>
      <c r="AB480" s="176"/>
      <c r="AC480" s="40"/>
      <c r="AD480" s="40"/>
    </row>
    <row r="481" spans="1:30" s="1" customFormat="1" x14ac:dyDescent="0.25">
      <c r="A481" s="162">
        <v>44054</v>
      </c>
      <c r="B481" s="316" t="s">
        <v>997</v>
      </c>
      <c r="C481" s="325" t="s">
        <v>922</v>
      </c>
      <c r="D481" s="163">
        <v>400</v>
      </c>
      <c r="E481" s="326">
        <v>7.61</v>
      </c>
      <c r="F481" s="16">
        <f t="shared" si="72"/>
        <v>11680</v>
      </c>
      <c r="G481" s="17">
        <f t="shared" si="73"/>
        <v>8.3390466609589069</v>
      </c>
      <c r="H481" s="15">
        <f t="shared" si="74"/>
        <v>97400.065000000031</v>
      </c>
      <c r="I481" s="15">
        <f t="shared" si="75"/>
        <v>-8515.2650000000285</v>
      </c>
      <c r="J481" s="33">
        <f t="shared" si="76"/>
        <v>-8.7425660342218728E-2</v>
      </c>
      <c r="K481" s="15">
        <f t="shared" si="77"/>
        <v>88884.800000000003</v>
      </c>
      <c r="L481" s="31">
        <f t="shared" si="69"/>
        <v>-1584.1999999999971</v>
      </c>
      <c r="M481" s="31"/>
      <c r="N481" s="31"/>
      <c r="O481" s="371"/>
      <c r="P481" s="32"/>
      <c r="Q481" s="31">
        <f t="shared" si="70"/>
        <v>-3049</v>
      </c>
      <c r="R481" s="34">
        <f t="shared" si="71"/>
        <v>5</v>
      </c>
      <c r="S481" s="31"/>
      <c r="T481" s="31"/>
      <c r="U481" s="31"/>
      <c r="V481" s="31"/>
      <c r="W481" s="31"/>
      <c r="X481" s="32"/>
      <c r="Y481" s="32"/>
      <c r="Z481" s="38"/>
      <c r="AA481" s="31"/>
      <c r="AB481" s="176"/>
      <c r="AC481" s="40"/>
      <c r="AD481" s="40"/>
    </row>
    <row r="482" spans="1:30" s="1" customFormat="1" x14ac:dyDescent="0.25">
      <c r="A482" s="162">
        <v>44054</v>
      </c>
      <c r="B482" s="316" t="s">
        <v>998</v>
      </c>
      <c r="C482" s="325" t="s">
        <v>922</v>
      </c>
      <c r="D482" s="163">
        <v>400</v>
      </c>
      <c r="E482" s="326">
        <v>7.52</v>
      </c>
      <c r="F482" s="16">
        <f t="shared" si="72"/>
        <v>12080</v>
      </c>
      <c r="G482" s="17">
        <f t="shared" si="73"/>
        <v>8.3123398178807975</v>
      </c>
      <c r="H482" s="15">
        <f t="shared" si="74"/>
        <v>100413.06500000003</v>
      </c>
      <c r="I482" s="15">
        <f t="shared" si="75"/>
        <v>-9571.4650000000402</v>
      </c>
      <c r="J482" s="33">
        <f t="shared" si="76"/>
        <v>-9.5320912672071462E-2</v>
      </c>
      <c r="K482" s="15">
        <f t="shared" si="77"/>
        <v>90841.599999999991</v>
      </c>
      <c r="L482" s="31">
        <f t="shared" si="69"/>
        <v>-1056.2000000000116</v>
      </c>
      <c r="M482" s="31"/>
      <c r="N482" s="31"/>
      <c r="O482" s="371"/>
      <c r="P482" s="32"/>
      <c r="Q482" s="31">
        <f t="shared" si="70"/>
        <v>-3013</v>
      </c>
      <c r="R482" s="34">
        <f t="shared" si="71"/>
        <v>5</v>
      </c>
      <c r="S482" s="31"/>
      <c r="T482" s="31"/>
      <c r="U482" s="31"/>
      <c r="V482" s="31"/>
      <c r="W482" s="31"/>
      <c r="X482" s="32"/>
      <c r="Y482" s="32"/>
      <c r="Z482" s="38"/>
      <c r="AA482" s="31"/>
      <c r="AB482" s="176"/>
      <c r="AC482" s="40"/>
      <c r="AD482" s="40"/>
    </row>
    <row r="483" spans="1:30" s="1" customFormat="1" x14ac:dyDescent="0.25">
      <c r="A483" s="162">
        <v>44055</v>
      </c>
      <c r="B483" s="316"/>
      <c r="C483" s="325" t="s">
        <v>926</v>
      </c>
      <c r="D483" s="163">
        <v>400</v>
      </c>
      <c r="E483" s="326">
        <v>7.63</v>
      </c>
      <c r="F483" s="16">
        <f t="shared" si="72"/>
        <v>11680</v>
      </c>
      <c r="G483" s="17">
        <f t="shared" si="73"/>
        <v>8.3363970034246595</v>
      </c>
      <c r="H483" s="15">
        <f t="shared" si="74"/>
        <v>97369.117000000027</v>
      </c>
      <c r="I483" s="15">
        <f t="shared" si="75"/>
        <v>-8250.7170000000333</v>
      </c>
      <c r="J483" s="33">
        <f t="shared" si="76"/>
        <v>-8.4736487853741368E-2</v>
      </c>
      <c r="K483" s="15">
        <f t="shared" si="77"/>
        <v>89118.399999999994</v>
      </c>
      <c r="L483" s="31">
        <f t="shared" si="69"/>
        <v>1320.7480000000069</v>
      </c>
      <c r="M483" s="31"/>
      <c r="N483" s="31"/>
      <c r="O483" s="371"/>
      <c r="P483" s="32"/>
      <c r="Q483" s="31">
        <f t="shared" si="70"/>
        <v>3043.948000000004</v>
      </c>
      <c r="R483" s="34">
        <f t="shared" si="71"/>
        <v>8.0519999999999996</v>
      </c>
      <c r="S483" s="31"/>
      <c r="T483" s="31"/>
      <c r="U483" s="31"/>
      <c r="V483" s="31"/>
      <c r="W483" s="31"/>
      <c r="X483" s="32"/>
      <c r="Y483" s="32"/>
      <c r="Z483" s="38"/>
      <c r="AA483" s="31"/>
      <c r="AB483" s="176"/>
      <c r="AC483" s="40"/>
      <c r="AD483" s="40"/>
    </row>
    <row r="484" spans="1:30" s="1" customFormat="1" x14ac:dyDescent="0.25">
      <c r="A484" s="162">
        <v>44057</v>
      </c>
      <c r="B484" s="316"/>
      <c r="C484" s="325" t="s">
        <v>922</v>
      </c>
      <c r="D484" s="163">
        <v>400</v>
      </c>
      <c r="E484" s="326">
        <v>7.46</v>
      </c>
      <c r="F484" s="16">
        <f t="shared" si="72"/>
        <v>12080</v>
      </c>
      <c r="G484" s="17">
        <f t="shared" si="73"/>
        <v>8.307791142384108</v>
      </c>
      <c r="H484" s="15">
        <f t="shared" si="74"/>
        <v>100358.11700000003</v>
      </c>
      <c r="I484" s="15">
        <f t="shared" si="75"/>
        <v>-10241.317000000025</v>
      </c>
      <c r="J484" s="33">
        <f t="shared" si="76"/>
        <v>-0.1020477197674008</v>
      </c>
      <c r="K484" s="15">
        <f t="shared" si="77"/>
        <v>90116.800000000003</v>
      </c>
      <c r="L484" s="31">
        <f t="shared" si="69"/>
        <v>-1990.5999999999913</v>
      </c>
      <c r="M484" s="31"/>
      <c r="N484" s="31"/>
      <c r="O484" s="371"/>
      <c r="P484" s="32"/>
      <c r="Q484" s="31">
        <f t="shared" si="70"/>
        <v>-2989</v>
      </c>
      <c r="R484" s="34">
        <f t="shared" si="71"/>
        <v>5</v>
      </c>
      <c r="S484" s="31"/>
      <c r="T484" s="31"/>
      <c r="U484" s="31"/>
      <c r="V484" s="31"/>
      <c r="W484" s="31"/>
      <c r="X484" s="32"/>
      <c r="Y484" s="32"/>
      <c r="Z484" s="38"/>
      <c r="AA484" s="31"/>
      <c r="AB484" s="176"/>
      <c r="AC484" s="40"/>
      <c r="AD484" s="40"/>
    </row>
    <row r="485" spans="1:30" s="1" customFormat="1" x14ac:dyDescent="0.25">
      <c r="A485" s="162">
        <v>44060</v>
      </c>
      <c r="B485" s="316"/>
      <c r="C485" s="325" t="s">
        <v>926</v>
      </c>
      <c r="D485" s="163">
        <v>400</v>
      </c>
      <c r="E485" s="326">
        <v>7.68</v>
      </c>
      <c r="F485" s="16">
        <f t="shared" si="72"/>
        <v>11680</v>
      </c>
      <c r="G485" s="17">
        <f t="shared" si="73"/>
        <v>8.3299819349315101</v>
      </c>
      <c r="H485" s="15">
        <f t="shared" si="74"/>
        <v>97294.189000000028</v>
      </c>
      <c r="I485" s="15">
        <f t="shared" si="75"/>
        <v>-7591.7890000000334</v>
      </c>
      <c r="J485" s="33">
        <f t="shared" si="76"/>
        <v>-7.8029213029362304E-2</v>
      </c>
      <c r="K485" s="15">
        <f t="shared" si="77"/>
        <v>89702.399999999994</v>
      </c>
      <c r="L485" s="31">
        <f t="shared" si="69"/>
        <v>2649.5279999999912</v>
      </c>
      <c r="M485" s="31"/>
      <c r="N485" s="31"/>
      <c r="O485" s="371"/>
      <c r="P485" s="32"/>
      <c r="Q485" s="31">
        <f t="shared" si="70"/>
        <v>3063.9279999999999</v>
      </c>
      <c r="R485" s="34">
        <f t="shared" si="71"/>
        <v>8.0719999999999992</v>
      </c>
      <c r="S485" s="31"/>
      <c r="T485" s="31"/>
      <c r="U485" s="31"/>
      <c r="V485" s="31"/>
      <c r="W485" s="31"/>
      <c r="X485" s="32"/>
      <c r="Y485" s="32"/>
      <c r="Z485" s="38"/>
      <c r="AA485" s="31"/>
      <c r="AB485" s="176"/>
      <c r="AC485" s="40"/>
      <c r="AD485" s="40"/>
    </row>
    <row r="486" spans="1:30" s="1" customFormat="1" x14ac:dyDescent="0.25">
      <c r="A486" s="162">
        <v>44060</v>
      </c>
      <c r="B486" s="316"/>
      <c r="C486" s="325" t="s">
        <v>926</v>
      </c>
      <c r="D486" s="163">
        <v>400</v>
      </c>
      <c r="E486" s="326">
        <v>7.75</v>
      </c>
      <c r="F486" s="16">
        <f t="shared" si="72"/>
        <v>11280</v>
      </c>
      <c r="G486" s="17">
        <f t="shared" si="73"/>
        <v>8.351266755319152</v>
      </c>
      <c r="H486" s="15">
        <f t="shared" si="74"/>
        <v>94202.289000000033</v>
      </c>
      <c r="I486" s="15">
        <f t="shared" si="75"/>
        <v>-6782.2890000000334</v>
      </c>
      <c r="J486" s="33">
        <f t="shared" si="76"/>
        <v>-7.1997072173055496E-2</v>
      </c>
      <c r="K486" s="15">
        <f t="shared" si="77"/>
        <v>87420</v>
      </c>
      <c r="L486" s="31">
        <f t="shared" si="69"/>
        <v>809.5</v>
      </c>
      <c r="M486" s="31"/>
      <c r="N486" s="31"/>
      <c r="O486" s="371"/>
      <c r="P486" s="32"/>
      <c r="Q486" s="31">
        <f t="shared" si="70"/>
        <v>3091.8999999999942</v>
      </c>
      <c r="R486" s="34">
        <f t="shared" si="71"/>
        <v>8.1</v>
      </c>
      <c r="S486" s="31"/>
      <c r="T486" s="31"/>
      <c r="U486" s="31"/>
      <c r="V486" s="31"/>
      <c r="W486" s="31"/>
      <c r="X486" s="32"/>
      <c r="Y486" s="32"/>
      <c r="Z486" s="38"/>
      <c r="AA486" s="31"/>
      <c r="AB486" s="176"/>
      <c r="AC486" s="40"/>
      <c r="AD486" s="40"/>
    </row>
    <row r="487" spans="1:30" s="1" customFormat="1" x14ac:dyDescent="0.25">
      <c r="A487" s="162">
        <v>44061</v>
      </c>
      <c r="B487" s="316"/>
      <c r="C487" s="325" t="s">
        <v>926</v>
      </c>
      <c r="D487" s="163">
        <v>400</v>
      </c>
      <c r="E487" s="326">
        <v>7.93</v>
      </c>
      <c r="F487" s="16">
        <f t="shared" si="72"/>
        <v>10880</v>
      </c>
      <c r="G487" s="17">
        <f t="shared" si="73"/>
        <v>8.3675056066176499</v>
      </c>
      <c r="H487" s="15">
        <f t="shared" si="74"/>
        <v>91038.461000000039</v>
      </c>
      <c r="I487" s="15">
        <f t="shared" si="75"/>
        <v>-4760.0610000000452</v>
      </c>
      <c r="J487" s="33">
        <f t="shared" si="76"/>
        <v>-5.2286263934097389E-2</v>
      </c>
      <c r="K487" s="15">
        <f t="shared" si="77"/>
        <v>86278.399999999994</v>
      </c>
      <c r="L487" s="31">
        <f t="shared" si="69"/>
        <v>2022.2279999999882</v>
      </c>
      <c r="M487" s="31"/>
      <c r="N487" s="31"/>
      <c r="O487" s="371"/>
      <c r="P487" s="32"/>
      <c r="Q487" s="31">
        <f t="shared" si="70"/>
        <v>3163.8279999999941</v>
      </c>
      <c r="R487" s="34">
        <f t="shared" si="71"/>
        <v>8.1720000000000006</v>
      </c>
      <c r="S487" s="31"/>
      <c r="T487" s="31"/>
      <c r="U487" s="31"/>
      <c r="V487" s="31"/>
      <c r="W487" s="31"/>
      <c r="X487" s="32"/>
      <c r="Y487" s="32"/>
      <c r="Z487" s="38"/>
      <c r="AA487" s="31"/>
      <c r="AB487" s="176"/>
      <c r="AC487" s="40"/>
      <c r="AD487" s="40"/>
    </row>
    <row r="488" spans="1:30" s="1" customFormat="1" x14ac:dyDescent="0.25">
      <c r="A488" s="162">
        <v>44061</v>
      </c>
      <c r="B488" s="316"/>
      <c r="C488" s="325" t="s">
        <v>926</v>
      </c>
      <c r="D488" s="163">
        <v>400</v>
      </c>
      <c r="E488" s="326">
        <v>8.11</v>
      </c>
      <c r="F488" s="16">
        <f t="shared" si="72"/>
        <v>10480</v>
      </c>
      <c r="G488" s="17">
        <f t="shared" si="73"/>
        <v>8.3781207061068752</v>
      </c>
      <c r="H488" s="15">
        <f t="shared" si="74"/>
        <v>87802.705000000045</v>
      </c>
      <c r="I488" s="15">
        <f t="shared" si="75"/>
        <v>-2809.905000000057</v>
      </c>
      <c r="J488" s="33">
        <f t="shared" si="76"/>
        <v>-3.2002487850460372E-2</v>
      </c>
      <c r="K488" s="15">
        <f t="shared" si="77"/>
        <v>84992.799999999988</v>
      </c>
      <c r="L488" s="31">
        <f t="shared" si="69"/>
        <v>1950.1559999999881</v>
      </c>
      <c r="M488" s="31"/>
      <c r="N488" s="31"/>
      <c r="O488" s="371"/>
      <c r="P488" s="32"/>
      <c r="Q488" s="31">
        <f t="shared" si="70"/>
        <v>3235.7559999999939</v>
      </c>
      <c r="R488" s="34">
        <f t="shared" si="71"/>
        <v>8.2439999999999998</v>
      </c>
      <c r="S488" s="31"/>
      <c r="T488" s="31"/>
      <c r="U488" s="31"/>
      <c r="V488" s="31"/>
      <c r="W488" s="31"/>
      <c r="X488" s="32"/>
      <c r="Y488" s="32"/>
      <c r="Z488" s="38"/>
      <c r="AA488" s="31"/>
      <c r="AB488" s="176"/>
      <c r="AC488" s="40"/>
      <c r="AD488" s="40"/>
    </row>
    <row r="489" spans="1:30" s="1" customFormat="1" x14ac:dyDescent="0.25">
      <c r="A489" s="162">
        <v>44061</v>
      </c>
      <c r="B489" s="316"/>
      <c r="C489" s="325" t="s">
        <v>926</v>
      </c>
      <c r="D489" s="163">
        <v>400</v>
      </c>
      <c r="E489" s="326">
        <v>8.23</v>
      </c>
      <c r="F489" s="16">
        <f t="shared" si="72"/>
        <v>10080</v>
      </c>
      <c r="G489" s="17">
        <f t="shared" si="73"/>
        <v>8.3848211309523855</v>
      </c>
      <c r="H489" s="15">
        <f t="shared" si="74"/>
        <v>84518.997000000047</v>
      </c>
      <c r="I489" s="15">
        <f t="shared" si="75"/>
        <v>-1560.597000000038</v>
      </c>
      <c r="J489" s="33">
        <f t="shared" si="76"/>
        <v>-1.8464452435468921E-2</v>
      </c>
      <c r="K489" s="15">
        <f t="shared" si="77"/>
        <v>82958.400000000009</v>
      </c>
      <c r="L489" s="31">
        <f t="shared" si="69"/>
        <v>1249.3080000000191</v>
      </c>
      <c r="M489" s="31"/>
      <c r="N489" s="31"/>
      <c r="O489" s="31"/>
      <c r="P489" s="31"/>
      <c r="Q489" s="31">
        <f t="shared" si="70"/>
        <v>3283.7079999999987</v>
      </c>
      <c r="R489" s="34">
        <f t="shared" si="71"/>
        <v>8.2919999999999998</v>
      </c>
      <c r="S489" s="31"/>
      <c r="T489" s="31"/>
      <c r="U489" s="31"/>
      <c r="V489" s="31"/>
      <c r="W489" s="31"/>
      <c r="X489" s="25"/>
      <c r="Y489" s="25"/>
      <c r="Z489" s="25"/>
      <c r="AA489" s="25"/>
      <c r="AB489" s="176"/>
      <c r="AC489" s="176"/>
      <c r="AD489" s="176"/>
    </row>
    <row r="490" spans="1:30" s="1" customFormat="1" x14ac:dyDescent="0.25">
      <c r="A490" s="162">
        <v>44062</v>
      </c>
      <c r="B490" s="316"/>
      <c r="C490" s="325" t="s">
        <v>926</v>
      </c>
      <c r="D490" s="163">
        <v>400</v>
      </c>
      <c r="E490" s="326">
        <v>8.34</v>
      </c>
      <c r="F490" s="16">
        <f t="shared" si="72"/>
        <v>9680</v>
      </c>
      <c r="G490" s="17">
        <f t="shared" si="73"/>
        <v>8.3875344008264499</v>
      </c>
      <c r="H490" s="15">
        <f t="shared" si="74"/>
        <v>81191.333000000042</v>
      </c>
      <c r="I490" s="15">
        <f t="shared" si="75"/>
        <v>-460.13300000004529</v>
      </c>
      <c r="J490" s="33">
        <f t="shared" si="76"/>
        <v>-5.6672674656054207E-3</v>
      </c>
      <c r="K490" s="15">
        <f t="shared" si="77"/>
        <v>80731.199999999997</v>
      </c>
      <c r="L490" s="31">
        <f t="shared" si="69"/>
        <v>1100.4639999999927</v>
      </c>
      <c r="M490" s="31"/>
      <c r="N490" s="31"/>
      <c r="O490" s="31"/>
      <c r="P490" s="31"/>
      <c r="Q490" s="31">
        <f t="shared" si="70"/>
        <v>3327.6640000000043</v>
      </c>
      <c r="R490" s="34">
        <f t="shared" si="71"/>
        <v>8.3360000000000003</v>
      </c>
      <c r="S490" s="31"/>
      <c r="T490" s="31"/>
      <c r="U490" s="31"/>
      <c r="V490" s="31"/>
      <c r="W490" s="31"/>
      <c r="X490" s="25"/>
      <c r="Y490" s="25"/>
      <c r="Z490" s="25"/>
      <c r="AA490" s="25"/>
      <c r="AB490" s="176"/>
      <c r="AC490" s="176"/>
      <c r="AD490" s="176"/>
    </row>
    <row r="491" spans="1:30" s="1" customFormat="1" x14ac:dyDescent="0.25">
      <c r="A491" s="162">
        <v>44062</v>
      </c>
      <c r="B491" s="316" t="s">
        <v>999</v>
      </c>
      <c r="C491" s="325" t="s">
        <v>922</v>
      </c>
      <c r="D491" s="163">
        <v>400</v>
      </c>
      <c r="E491" s="326">
        <v>8.08</v>
      </c>
      <c r="F491" s="16">
        <f t="shared" si="72"/>
        <v>10080</v>
      </c>
      <c r="G491" s="17">
        <f t="shared" si="73"/>
        <v>8.3758266865079403</v>
      </c>
      <c r="H491" s="15">
        <f t="shared" si="74"/>
        <v>84428.333000000042</v>
      </c>
      <c r="I491" s="15">
        <f t="shared" si="75"/>
        <v>-2981.9330000000482</v>
      </c>
      <c r="J491" s="33">
        <f t="shared" si="76"/>
        <v>-3.5319103126198591E-2</v>
      </c>
      <c r="K491" s="15">
        <f t="shared" si="77"/>
        <v>81446.399999999994</v>
      </c>
      <c r="L491" s="31">
        <f t="shared" si="69"/>
        <v>-2521.8000000000029</v>
      </c>
      <c r="M491" s="31"/>
      <c r="N491" s="31"/>
      <c r="O491" s="31"/>
      <c r="P491" s="31"/>
      <c r="Q491" s="31">
        <f t="shared" si="70"/>
        <v>-3237</v>
      </c>
      <c r="R491" s="34">
        <f t="shared" si="71"/>
        <v>5</v>
      </c>
      <c r="S491" s="31"/>
      <c r="T491" s="31"/>
      <c r="U491" s="31"/>
      <c r="V491" s="31"/>
      <c r="W491" s="31"/>
      <c r="X491" s="25"/>
      <c r="Y491" s="25"/>
      <c r="Z491" s="25"/>
      <c r="AA491" s="25"/>
      <c r="AB491" s="176"/>
      <c r="AC491" s="176"/>
      <c r="AD491" s="176"/>
    </row>
    <row r="492" spans="1:30" s="1" customFormat="1" x14ac:dyDescent="0.25">
      <c r="A492" s="162">
        <v>44062</v>
      </c>
      <c r="B492" s="316" t="s">
        <v>1000</v>
      </c>
      <c r="C492" s="325" t="s">
        <v>922</v>
      </c>
      <c r="D492" s="163">
        <v>400</v>
      </c>
      <c r="E492" s="326">
        <v>7.95</v>
      </c>
      <c r="F492" s="16">
        <f t="shared" si="72"/>
        <v>10480</v>
      </c>
      <c r="G492" s="17">
        <f t="shared" si="73"/>
        <v>8.3600508587786297</v>
      </c>
      <c r="H492" s="15">
        <f t="shared" si="74"/>
        <v>87613.333000000042</v>
      </c>
      <c r="I492" s="15">
        <f t="shared" si="75"/>
        <v>-4297.3330000000424</v>
      </c>
      <c r="J492" s="33">
        <f t="shared" si="76"/>
        <v>-4.9048847394038031E-2</v>
      </c>
      <c r="K492" s="15">
        <f t="shared" si="77"/>
        <v>83316</v>
      </c>
      <c r="L492" s="31">
        <f t="shared" si="69"/>
        <v>-1315.3999999999942</v>
      </c>
      <c r="M492" s="31"/>
      <c r="N492" s="31"/>
      <c r="O492" s="31"/>
      <c r="P492" s="31"/>
      <c r="Q492" s="31">
        <f t="shared" si="70"/>
        <v>-3185</v>
      </c>
      <c r="R492" s="34">
        <f t="shared" si="71"/>
        <v>5</v>
      </c>
      <c r="S492" s="31"/>
      <c r="T492" s="31"/>
      <c r="U492" s="31"/>
      <c r="V492" s="31"/>
      <c r="W492" s="31"/>
      <c r="X492" s="25"/>
      <c r="Y492" s="25"/>
      <c r="Z492" s="25"/>
      <c r="AA492" s="25"/>
      <c r="AB492" s="176"/>
      <c r="AC492" s="176"/>
      <c r="AD492" s="176"/>
    </row>
    <row r="493" spans="1:30" s="1" customFormat="1" x14ac:dyDescent="0.25">
      <c r="A493" s="162">
        <v>44063</v>
      </c>
      <c r="B493" s="316" t="s">
        <v>1001</v>
      </c>
      <c r="C493" s="325" t="s">
        <v>922</v>
      </c>
      <c r="D493" s="163">
        <v>400</v>
      </c>
      <c r="E493" s="326">
        <v>7.71</v>
      </c>
      <c r="F493" s="16">
        <f t="shared" si="72"/>
        <v>10880</v>
      </c>
      <c r="G493" s="17">
        <f t="shared" si="73"/>
        <v>8.3366114889705916</v>
      </c>
      <c r="H493" s="15">
        <f t="shared" si="74"/>
        <v>90702.333000000042</v>
      </c>
      <c r="I493" s="15">
        <f t="shared" si="75"/>
        <v>-6817.5330000000395</v>
      </c>
      <c r="J493" s="33">
        <f t="shared" si="76"/>
        <v>-7.51638108360458E-2</v>
      </c>
      <c r="K493" s="15">
        <f t="shared" si="77"/>
        <v>83884.800000000003</v>
      </c>
      <c r="L493" s="31">
        <f t="shared" si="69"/>
        <v>-2520.1999999999971</v>
      </c>
      <c r="M493" s="31"/>
      <c r="N493" s="31"/>
      <c r="O493" s="31"/>
      <c r="P493" s="31"/>
      <c r="Q493" s="31">
        <f t="shared" si="70"/>
        <v>-3089</v>
      </c>
      <c r="R493" s="34">
        <f t="shared" si="71"/>
        <v>5</v>
      </c>
      <c r="S493" s="31"/>
      <c r="T493" s="31"/>
      <c r="U493" s="31"/>
      <c r="V493" s="31"/>
      <c r="W493" s="31"/>
      <c r="X493" s="25"/>
      <c r="Y493" s="25"/>
      <c r="Z493" s="25"/>
      <c r="AA493" s="25"/>
      <c r="AB493" s="176"/>
      <c r="AC493" s="176"/>
      <c r="AD493" s="176"/>
    </row>
    <row r="494" spans="1:30" s="1" customFormat="1" x14ac:dyDescent="0.25">
      <c r="A494" s="162">
        <v>44063</v>
      </c>
      <c r="B494" s="316" t="s">
        <v>1002</v>
      </c>
      <c r="C494" s="325" t="s">
        <v>922</v>
      </c>
      <c r="D494" s="163">
        <v>400</v>
      </c>
      <c r="E494" s="326">
        <v>7.58</v>
      </c>
      <c r="F494" s="16">
        <f t="shared" si="72"/>
        <v>11280</v>
      </c>
      <c r="G494" s="17">
        <f t="shared" si="73"/>
        <v>8.3102245567375927</v>
      </c>
      <c r="H494" s="15">
        <f t="shared" si="74"/>
        <v>93739.333000000042</v>
      </c>
      <c r="I494" s="15">
        <f t="shared" si="75"/>
        <v>-8236.9330000000482</v>
      </c>
      <c r="J494" s="33">
        <f t="shared" si="76"/>
        <v>-8.7870616702596355E-2</v>
      </c>
      <c r="K494" s="15">
        <f t="shared" si="77"/>
        <v>85502.399999999994</v>
      </c>
      <c r="L494" s="31">
        <f t="shared" si="69"/>
        <v>-1419.4000000000087</v>
      </c>
      <c r="M494" s="31"/>
      <c r="N494" s="31"/>
      <c r="O494" s="31"/>
      <c r="P494" s="31"/>
      <c r="Q494" s="31">
        <f t="shared" si="70"/>
        <v>-3037</v>
      </c>
      <c r="R494" s="34">
        <f t="shared" si="71"/>
        <v>5</v>
      </c>
      <c r="S494" s="31"/>
      <c r="T494" s="31"/>
      <c r="U494" s="31"/>
      <c r="V494" s="31"/>
      <c r="W494" s="31"/>
      <c r="X494" s="25"/>
      <c r="Y494" s="25"/>
      <c r="Z494" s="25"/>
      <c r="AA494" s="25"/>
      <c r="AB494" s="176"/>
      <c r="AC494" s="176"/>
      <c r="AD494" s="176"/>
    </row>
    <row r="495" spans="1:30" s="1" customFormat="1" x14ac:dyDescent="0.25">
      <c r="A495" s="162">
        <v>44064</v>
      </c>
      <c r="B495" s="316" t="s">
        <v>1003</v>
      </c>
      <c r="C495" s="325" t="s">
        <v>922</v>
      </c>
      <c r="D495" s="163">
        <v>400</v>
      </c>
      <c r="E495" s="326">
        <v>7.49</v>
      </c>
      <c r="F495" s="16">
        <f t="shared" si="72"/>
        <v>11680</v>
      </c>
      <c r="G495" s="17">
        <f t="shared" si="73"/>
        <v>8.2825627568493179</v>
      </c>
      <c r="H495" s="15">
        <f t="shared" si="74"/>
        <v>96740.333000000042</v>
      </c>
      <c r="I495" s="15">
        <f t="shared" si="75"/>
        <v>-9257.1330000000453</v>
      </c>
      <c r="J495" s="33">
        <f t="shared" si="76"/>
        <v>-9.5690522380153756E-2</v>
      </c>
      <c r="K495" s="15">
        <f t="shared" si="77"/>
        <v>87483.199999999997</v>
      </c>
      <c r="L495" s="31">
        <f t="shared" si="69"/>
        <v>-1020.1999999999971</v>
      </c>
      <c r="M495" s="31"/>
      <c r="N495" s="31"/>
      <c r="O495" s="31"/>
      <c r="P495" s="31"/>
      <c r="Q495" s="31">
        <f t="shared" si="70"/>
        <v>-3001</v>
      </c>
      <c r="R495" s="34">
        <f t="shared" si="71"/>
        <v>5</v>
      </c>
      <c r="S495" s="31"/>
      <c r="T495" s="31"/>
      <c r="U495" s="31"/>
      <c r="V495" s="31"/>
      <c r="W495" s="31"/>
      <c r="X495" s="25"/>
      <c r="Y495" s="25"/>
      <c r="Z495" s="25"/>
      <c r="AA495" s="25"/>
      <c r="AB495" s="176"/>
      <c r="AC495" s="176"/>
      <c r="AD495" s="176"/>
    </row>
    <row r="496" spans="1:30" s="1" customFormat="1" x14ac:dyDescent="0.25">
      <c r="A496" s="162">
        <v>44071</v>
      </c>
      <c r="B496" s="316"/>
      <c r="C496" s="325" t="s">
        <v>69</v>
      </c>
      <c r="D496" s="163">
        <v>400</v>
      </c>
      <c r="E496" s="326">
        <v>7.66</v>
      </c>
      <c r="F496" s="16">
        <f t="shared" si="72"/>
        <v>11280</v>
      </c>
      <c r="G496" s="17">
        <f t="shared" si="73"/>
        <v>8.3053543439716346</v>
      </c>
      <c r="H496" s="15">
        <f t="shared" si="74"/>
        <v>93684.397000000041</v>
      </c>
      <c r="I496" s="15">
        <f t="shared" si="75"/>
        <v>-7279.597000000038</v>
      </c>
      <c r="J496" s="33">
        <f t="shared" si="76"/>
        <v>-7.7703408818439998E-2</v>
      </c>
      <c r="K496" s="15">
        <f t="shared" si="77"/>
        <v>86404.800000000003</v>
      </c>
      <c r="L496" s="31">
        <f t="shared" si="69"/>
        <v>1977.5360000000073</v>
      </c>
      <c r="M496" s="31"/>
      <c r="N496" s="31"/>
      <c r="O496" s="31"/>
      <c r="P496" s="31"/>
      <c r="Q496" s="31">
        <f t="shared" si="70"/>
        <v>3055.9360000000015</v>
      </c>
      <c r="R496" s="34">
        <f t="shared" si="71"/>
        <v>8.0640000000000001</v>
      </c>
      <c r="S496" s="31"/>
      <c r="T496" s="31"/>
      <c r="U496" s="31"/>
      <c r="V496" s="31"/>
      <c r="W496" s="31"/>
      <c r="X496" s="25"/>
      <c r="Y496" s="25"/>
      <c r="Z496" s="25"/>
      <c r="AA496" s="25"/>
      <c r="AB496" s="176"/>
      <c r="AC496" s="176"/>
      <c r="AD496" s="176"/>
    </row>
    <row r="497" spans="1:30" s="1" customFormat="1" x14ac:dyDescent="0.25">
      <c r="A497" s="162">
        <v>44071</v>
      </c>
      <c r="B497" s="314"/>
      <c r="C497" s="325" t="s">
        <v>926</v>
      </c>
      <c r="D497" s="163">
        <v>400</v>
      </c>
      <c r="E497" s="326">
        <v>7.78</v>
      </c>
      <c r="F497" s="16">
        <f t="shared" si="72"/>
        <v>10880</v>
      </c>
      <c r="G497" s="17">
        <f t="shared" si="73"/>
        <v>8.3254144301470614</v>
      </c>
      <c r="H497" s="15">
        <f t="shared" si="74"/>
        <v>90580.509000000035</v>
      </c>
      <c r="I497" s="15">
        <f t="shared" si="75"/>
        <v>-5934.1090000000258</v>
      </c>
      <c r="J497" s="33">
        <f t="shared" si="76"/>
        <v>-6.5511985586215057E-2</v>
      </c>
      <c r="K497" s="15">
        <f t="shared" si="77"/>
        <v>84646.400000000009</v>
      </c>
      <c r="L497" s="31">
        <f t="shared" si="69"/>
        <v>1345.4880000000121</v>
      </c>
      <c r="M497" s="31"/>
      <c r="N497" s="31"/>
      <c r="O497" s="31"/>
      <c r="P497" s="31"/>
      <c r="Q497" s="31">
        <f t="shared" si="70"/>
        <v>3103.8880000000063</v>
      </c>
      <c r="R497" s="34">
        <f t="shared" si="71"/>
        <v>8.1120000000000001</v>
      </c>
      <c r="S497" s="31"/>
      <c r="T497" s="31"/>
      <c r="U497" s="31"/>
      <c r="V497" s="31"/>
      <c r="W497" s="31"/>
      <c r="X497" s="25"/>
      <c r="Y497" s="25"/>
      <c r="Z497" s="25"/>
      <c r="AA497" s="25"/>
      <c r="AB497" s="176"/>
      <c r="AC497" s="176"/>
      <c r="AD497" s="176"/>
    </row>
    <row r="498" spans="1:30" s="1" customFormat="1" x14ac:dyDescent="0.25">
      <c r="A498" s="162">
        <v>44082</v>
      </c>
      <c r="B498" s="316" t="s">
        <v>1004</v>
      </c>
      <c r="C498" s="325" t="s">
        <v>922</v>
      </c>
      <c r="D498" s="163">
        <v>400</v>
      </c>
      <c r="E498" s="326">
        <v>7.33</v>
      </c>
      <c r="F498" s="16">
        <f t="shared" si="72"/>
        <v>11280</v>
      </c>
      <c r="G498" s="17">
        <f t="shared" si="73"/>
        <v>8.290559308510641</v>
      </c>
      <c r="H498" s="15">
        <f t="shared" si="74"/>
        <v>93517.509000000035</v>
      </c>
      <c r="I498" s="15">
        <f t="shared" si="75"/>
        <v>-10835.10900000004</v>
      </c>
      <c r="J498" s="33">
        <f t="shared" si="76"/>
        <v>-0.11586182219631221</v>
      </c>
      <c r="K498" s="15">
        <f t="shared" si="77"/>
        <v>82682.399999999994</v>
      </c>
      <c r="L498" s="31">
        <f t="shared" si="69"/>
        <v>-4901.0000000000146</v>
      </c>
      <c r="M498" s="31"/>
      <c r="N498" s="31"/>
      <c r="O498" s="31"/>
      <c r="P498" s="31"/>
      <c r="Q498" s="31">
        <f t="shared" si="70"/>
        <v>-2937</v>
      </c>
      <c r="R498" s="34">
        <f t="shared" si="71"/>
        <v>5</v>
      </c>
      <c r="S498" s="31"/>
      <c r="T498" s="31"/>
      <c r="U498" s="31"/>
      <c r="V498" s="31"/>
      <c r="W498" s="31"/>
      <c r="X498" s="25"/>
      <c r="Y498" s="25"/>
      <c r="Z498" s="25"/>
      <c r="AA498" s="25"/>
      <c r="AB498" s="176"/>
      <c r="AC498" s="176"/>
      <c r="AD498" s="176"/>
    </row>
    <row r="499" spans="1:30" s="1" customFormat="1" x14ac:dyDescent="0.25">
      <c r="A499" s="162">
        <v>44084</v>
      </c>
      <c r="B499" s="316" t="s">
        <v>1005</v>
      </c>
      <c r="C499" s="325" t="s">
        <v>922</v>
      </c>
      <c r="D499" s="163">
        <v>400</v>
      </c>
      <c r="E499" s="326">
        <v>7.2</v>
      </c>
      <c r="F499" s="16">
        <f t="shared" si="72"/>
        <v>11680</v>
      </c>
      <c r="G499" s="17">
        <f t="shared" si="73"/>
        <v>8.2536394691780846</v>
      </c>
      <c r="H499" s="15">
        <f t="shared" si="74"/>
        <v>96402.509000000035</v>
      </c>
      <c r="I499" s="15">
        <f t="shared" si="75"/>
        <v>-12306.509000000035</v>
      </c>
      <c r="J499" s="33">
        <f t="shared" si="76"/>
        <v>-0.12765755920315333</v>
      </c>
      <c r="K499" s="15">
        <f t="shared" si="77"/>
        <v>84096</v>
      </c>
      <c r="L499" s="31">
        <f t="shared" si="69"/>
        <v>-1471.3999999999942</v>
      </c>
      <c r="M499" s="31"/>
      <c r="N499" s="31"/>
      <c r="O499" s="31"/>
      <c r="P499" s="31"/>
      <c r="Q499" s="31">
        <f t="shared" si="70"/>
        <v>-2885</v>
      </c>
      <c r="R499" s="34">
        <f t="shared" si="71"/>
        <v>5</v>
      </c>
      <c r="S499" s="31"/>
      <c r="T499" s="31"/>
      <c r="U499" s="31"/>
      <c r="V499" s="31"/>
      <c r="W499" s="31"/>
      <c r="X499" s="25"/>
      <c r="Y499" s="25"/>
      <c r="Z499" s="25"/>
      <c r="AA499" s="25"/>
      <c r="AB499" s="176"/>
      <c r="AC499" s="176"/>
      <c r="AD499" s="176"/>
    </row>
    <row r="500" spans="1:30" s="1" customFormat="1" x14ac:dyDescent="0.25">
      <c r="A500" s="162">
        <v>44084</v>
      </c>
      <c r="B500" s="316" t="s">
        <v>1006</v>
      </c>
      <c r="C500" s="325" t="s">
        <v>922</v>
      </c>
      <c r="D500" s="163">
        <v>500</v>
      </c>
      <c r="E500" s="326">
        <v>7.06</v>
      </c>
      <c r="F500" s="16">
        <f t="shared" si="72"/>
        <v>12180</v>
      </c>
      <c r="G500" s="17">
        <f t="shared" si="73"/>
        <v>8.2050500000000035</v>
      </c>
      <c r="H500" s="15">
        <f t="shared" si="74"/>
        <v>99937.509000000035</v>
      </c>
      <c r="I500" s="15">
        <f t="shared" si="75"/>
        <v>-13946.709000000046</v>
      </c>
      <c r="J500" s="33">
        <f t="shared" si="76"/>
        <v>-0.13955429887691159</v>
      </c>
      <c r="K500" s="15">
        <f t="shared" si="77"/>
        <v>85990.799999999988</v>
      </c>
      <c r="L500" s="31">
        <f t="shared" si="69"/>
        <v>-1640.2000000000116</v>
      </c>
      <c r="M500" s="31"/>
      <c r="N500" s="31"/>
      <c r="O500" s="31"/>
      <c r="P500" s="31"/>
      <c r="Q500" s="31">
        <f t="shared" si="70"/>
        <v>-3535</v>
      </c>
      <c r="R500" s="34">
        <f t="shared" si="71"/>
        <v>5</v>
      </c>
      <c r="S500" s="31"/>
      <c r="T500" s="31"/>
      <c r="U500" s="31"/>
      <c r="V500" s="31"/>
      <c r="W500" s="31"/>
      <c r="X500" s="25"/>
      <c r="Y500" s="25"/>
      <c r="Z500" s="25"/>
      <c r="AA500" s="25"/>
      <c r="AB500" s="176"/>
      <c r="AC500" s="176"/>
      <c r="AD500" s="176"/>
    </row>
    <row r="501" spans="1:30" s="1" customFormat="1" x14ac:dyDescent="0.25">
      <c r="A501" s="162">
        <v>44085</v>
      </c>
      <c r="B501" s="316" t="s">
        <v>1006</v>
      </c>
      <c r="C501" s="325" t="s">
        <v>922</v>
      </c>
      <c r="D501" s="163">
        <v>500</v>
      </c>
      <c r="E501" s="326">
        <v>7</v>
      </c>
      <c r="F501" s="16">
        <f t="shared" si="72"/>
        <v>12680</v>
      </c>
      <c r="G501" s="17">
        <f t="shared" si="73"/>
        <v>8.1579265772870695</v>
      </c>
      <c r="H501" s="15">
        <f t="shared" si="74"/>
        <v>103442.50900000003</v>
      </c>
      <c r="I501" s="15">
        <f t="shared" si="75"/>
        <v>-14682.509000000035</v>
      </c>
      <c r="J501" s="33">
        <f t="shared" si="76"/>
        <v>-0.14193883290282561</v>
      </c>
      <c r="K501" s="15">
        <f t="shared" si="77"/>
        <v>88760</v>
      </c>
      <c r="L501" s="31">
        <f t="shared" si="69"/>
        <v>-735.79999999998836</v>
      </c>
      <c r="M501" s="31"/>
      <c r="N501" s="31"/>
      <c r="O501" s="31"/>
      <c r="P501" s="31"/>
      <c r="Q501" s="31">
        <f t="shared" si="70"/>
        <v>-3505</v>
      </c>
      <c r="R501" s="34">
        <f t="shared" si="71"/>
        <v>5</v>
      </c>
      <c r="S501" s="31"/>
      <c r="T501" s="31"/>
      <c r="U501" s="31"/>
      <c r="V501" s="31"/>
      <c r="W501" s="31"/>
      <c r="X501" s="25"/>
      <c r="Y501" s="25"/>
      <c r="Z501" s="25"/>
      <c r="AA501" s="25"/>
      <c r="AB501" s="176"/>
      <c r="AC501" s="176"/>
      <c r="AD501" s="176"/>
    </row>
    <row r="502" spans="1:30" s="1" customFormat="1" x14ac:dyDescent="0.25">
      <c r="A502" s="162">
        <v>44091</v>
      </c>
      <c r="B502" s="316"/>
      <c r="C502" s="325" t="s">
        <v>926</v>
      </c>
      <c r="D502" s="163">
        <v>400</v>
      </c>
      <c r="E502" s="326">
        <v>7.3</v>
      </c>
      <c r="F502" s="16">
        <f t="shared" si="72"/>
        <v>12280</v>
      </c>
      <c r="G502" s="17">
        <f t="shared" si="73"/>
        <v>8.1865170195439774</v>
      </c>
      <c r="H502" s="15">
        <f t="shared" si="74"/>
        <v>100530.42900000003</v>
      </c>
      <c r="I502" s="15">
        <f t="shared" si="75"/>
        <v>-10886.429000000033</v>
      </c>
      <c r="J502" s="33">
        <f t="shared" si="76"/>
        <v>-0.10828988902454638</v>
      </c>
      <c r="K502" s="15">
        <f t="shared" si="77"/>
        <v>89644</v>
      </c>
      <c r="L502" s="31">
        <f t="shared" si="69"/>
        <v>3796.0800000000017</v>
      </c>
      <c r="M502" s="31"/>
      <c r="N502" s="31"/>
      <c r="O502" s="31"/>
      <c r="P502" s="31"/>
      <c r="Q502" s="31">
        <f t="shared" si="70"/>
        <v>2912.0800000000017</v>
      </c>
      <c r="R502" s="34">
        <f t="shared" si="71"/>
        <v>7.92</v>
      </c>
      <c r="S502" s="31"/>
      <c r="T502" s="31"/>
      <c r="U502" s="31"/>
      <c r="V502" s="31"/>
      <c r="W502" s="31"/>
      <c r="X502" s="25"/>
      <c r="Y502" s="25"/>
      <c r="Z502" s="25"/>
      <c r="AA502" s="25"/>
      <c r="AB502" s="176"/>
      <c r="AC502" s="176"/>
      <c r="AD502" s="176"/>
    </row>
    <row r="503" spans="1:30" s="1" customFormat="1" x14ac:dyDescent="0.25">
      <c r="A503" s="162">
        <v>44095</v>
      </c>
      <c r="B503" s="316"/>
      <c r="C503" s="325" t="s">
        <v>926</v>
      </c>
      <c r="D503" s="163">
        <v>400</v>
      </c>
      <c r="E503" s="326">
        <v>7.49</v>
      </c>
      <c r="F503" s="16">
        <f t="shared" si="72"/>
        <v>11880</v>
      </c>
      <c r="G503" s="17">
        <f t="shared" si="73"/>
        <v>8.2106418350168369</v>
      </c>
      <c r="H503" s="15">
        <f t="shared" si="74"/>
        <v>97542.425000000032</v>
      </c>
      <c r="I503" s="15">
        <f t="shared" si="75"/>
        <v>-8561.2250000000349</v>
      </c>
      <c r="J503" s="33">
        <f t="shared" si="76"/>
        <v>-8.7769245023383596E-2</v>
      </c>
      <c r="K503" s="15">
        <f t="shared" si="77"/>
        <v>88981.2</v>
      </c>
      <c r="L503" s="31">
        <f t="shared" si="69"/>
        <v>2325.2039999999979</v>
      </c>
      <c r="M503" s="31"/>
      <c r="N503" s="31"/>
      <c r="O503" s="31"/>
      <c r="P503" s="31"/>
      <c r="Q503" s="31">
        <f t="shared" si="70"/>
        <v>2988.0040000000008</v>
      </c>
      <c r="R503" s="34">
        <f t="shared" si="71"/>
        <v>7.9960000000000004</v>
      </c>
      <c r="S503" s="31"/>
      <c r="T503" s="31"/>
      <c r="U503" s="31"/>
      <c r="V503" s="31"/>
      <c r="W503" s="31"/>
      <c r="X503" s="25"/>
      <c r="Y503" s="25"/>
      <c r="Z503" s="25"/>
      <c r="AA503" s="25"/>
      <c r="AB503" s="176"/>
      <c r="AC503" s="176"/>
      <c r="AD503" s="176"/>
    </row>
    <row r="504" spans="1:30" s="1" customFormat="1" x14ac:dyDescent="0.25">
      <c r="A504" s="162">
        <v>44098</v>
      </c>
      <c r="B504" s="316" t="s">
        <v>1006</v>
      </c>
      <c r="C504" s="325" t="s">
        <v>922</v>
      </c>
      <c r="D504" s="163">
        <v>400</v>
      </c>
      <c r="E504" s="326">
        <v>7.11</v>
      </c>
      <c r="F504" s="16">
        <f t="shared" si="72"/>
        <v>12280</v>
      </c>
      <c r="G504" s="17">
        <f t="shared" si="73"/>
        <v>8.1751974755700356</v>
      </c>
      <c r="H504" s="15">
        <f t="shared" si="74"/>
        <v>100391.42500000003</v>
      </c>
      <c r="I504" s="15">
        <f t="shared" si="75"/>
        <v>-13080.625000000029</v>
      </c>
      <c r="J504" s="33">
        <f t="shared" si="76"/>
        <v>-0.13029623795060213</v>
      </c>
      <c r="K504" s="15">
        <f t="shared" si="77"/>
        <v>87310.8</v>
      </c>
      <c r="L504" s="31">
        <f t="shared" si="69"/>
        <v>-4519.3999999999942</v>
      </c>
      <c r="M504" s="31"/>
      <c r="N504" s="31"/>
      <c r="O504" s="31"/>
      <c r="P504" s="31"/>
      <c r="Q504" s="31">
        <f t="shared" si="70"/>
        <v>-2849</v>
      </c>
      <c r="R504" s="34">
        <f t="shared" si="71"/>
        <v>5</v>
      </c>
      <c r="S504" s="31"/>
      <c r="T504" s="31"/>
      <c r="U504" s="31"/>
      <c r="V504" s="31"/>
      <c r="W504" s="31"/>
      <c r="X504" s="25"/>
      <c r="Y504" s="25"/>
      <c r="Z504" s="25"/>
      <c r="AA504" s="25"/>
      <c r="AB504" s="176"/>
      <c r="AC504" s="176"/>
      <c r="AD504" s="176"/>
    </row>
    <row r="505" spans="1:30" s="1" customFormat="1" x14ac:dyDescent="0.25">
      <c r="A505" s="162">
        <v>44116</v>
      </c>
      <c r="B505" s="316" t="s">
        <v>1007</v>
      </c>
      <c r="C505" s="325" t="s">
        <v>926</v>
      </c>
      <c r="D505" s="163">
        <v>400</v>
      </c>
      <c r="E505" s="326">
        <v>7.29</v>
      </c>
      <c r="F505" s="16">
        <f t="shared" si="72"/>
        <v>11880</v>
      </c>
      <c r="G505" s="17">
        <f t="shared" si="73"/>
        <v>8.205668434343437</v>
      </c>
      <c r="H505" s="15">
        <f t="shared" si="74"/>
        <v>97483.341000000029</v>
      </c>
      <c r="I505" s="15">
        <f t="shared" si="75"/>
        <v>-10878.141000000032</v>
      </c>
      <c r="J505" s="33">
        <f t="shared" si="76"/>
        <v>-0.11158974331829709</v>
      </c>
      <c r="K505" s="15">
        <f t="shared" si="77"/>
        <v>86605.2</v>
      </c>
      <c r="L505" s="31">
        <f t="shared" si="69"/>
        <v>2202.4839999999967</v>
      </c>
      <c r="M505" s="31"/>
      <c r="N505" s="31"/>
      <c r="O505" s="31"/>
      <c r="P505" s="31"/>
      <c r="Q505" s="31">
        <f t="shared" si="70"/>
        <v>2908.0840000000026</v>
      </c>
      <c r="R505" s="34">
        <f t="shared" si="71"/>
        <v>7.9160000000000004</v>
      </c>
      <c r="S505" s="31"/>
      <c r="T505" s="31"/>
      <c r="U505" s="31"/>
      <c r="V505" s="31"/>
      <c r="W505" s="31"/>
      <c r="X505" s="25"/>
      <c r="Y505" s="25"/>
      <c r="Z505" s="25"/>
      <c r="AA505" s="25"/>
      <c r="AB505" s="176"/>
      <c r="AC505" s="176"/>
      <c r="AD505" s="176"/>
    </row>
    <row r="506" spans="1:30" s="1" customFormat="1" x14ac:dyDescent="0.25">
      <c r="A506" s="162">
        <v>44120</v>
      </c>
      <c r="B506" s="316" t="s">
        <v>1008</v>
      </c>
      <c r="C506" s="325" t="s">
        <v>922</v>
      </c>
      <c r="D506" s="163">
        <v>2500</v>
      </c>
      <c r="E506" s="326">
        <v>7.21</v>
      </c>
      <c r="F506" s="16">
        <f t="shared" si="72"/>
        <v>14380</v>
      </c>
      <c r="G506" s="17">
        <f t="shared" si="73"/>
        <v>8.0331956536856772</v>
      </c>
      <c r="H506" s="15">
        <f t="shared" si="74"/>
        <v>115517.35350000003</v>
      </c>
      <c r="I506" s="15">
        <f t="shared" si="75"/>
        <v>-11837.553500000024</v>
      </c>
      <c r="J506" s="33">
        <f t="shared" si="76"/>
        <v>-0.10247424427014799</v>
      </c>
      <c r="K506" s="15">
        <f t="shared" si="77"/>
        <v>103679.8</v>
      </c>
      <c r="L506" s="31">
        <f t="shared" si="69"/>
        <v>-959.41249999999127</v>
      </c>
      <c r="M506" s="31"/>
      <c r="N506" s="31"/>
      <c r="O506" s="31"/>
      <c r="P506" s="31"/>
      <c r="Q506" s="31">
        <f t="shared" si="70"/>
        <v>-18034.012499999997</v>
      </c>
      <c r="R506" s="34">
        <f t="shared" si="71"/>
        <v>9.0124999999999993</v>
      </c>
      <c r="S506" s="31"/>
      <c r="T506" s="31"/>
      <c r="U506" s="31"/>
      <c r="V506" s="31"/>
      <c r="W506" s="31"/>
      <c r="X506" s="25"/>
      <c r="Y506" s="25"/>
      <c r="Z506" s="25"/>
      <c r="AA506" s="25"/>
      <c r="AB506" s="176"/>
      <c r="AC506" s="176"/>
      <c r="AD506" s="176"/>
    </row>
    <row r="507" spans="1:30" s="1" customFormat="1" x14ac:dyDescent="0.25">
      <c r="A507" s="162">
        <v>44124</v>
      </c>
      <c r="B507" s="316" t="s">
        <v>1006</v>
      </c>
      <c r="C507" s="325" t="s">
        <v>922</v>
      </c>
      <c r="D507" s="163">
        <v>600</v>
      </c>
      <c r="E507" s="326">
        <v>7.03</v>
      </c>
      <c r="F507" s="16">
        <f t="shared" si="72"/>
        <v>14980</v>
      </c>
      <c r="G507" s="17">
        <f t="shared" si="73"/>
        <v>7.9933480307076117</v>
      </c>
      <c r="H507" s="15">
        <f t="shared" si="74"/>
        <v>119740.35350000003</v>
      </c>
      <c r="I507" s="15">
        <f t="shared" si="75"/>
        <v>-14430.953500000018</v>
      </c>
      <c r="J507" s="33">
        <f t="shared" si="76"/>
        <v>-0.12051871468710852</v>
      </c>
      <c r="K507" s="15">
        <f t="shared" si="77"/>
        <v>105309.40000000001</v>
      </c>
      <c r="L507" s="31">
        <f t="shared" si="69"/>
        <v>-2593.3999999999942</v>
      </c>
      <c r="M507" s="31"/>
      <c r="N507" s="31"/>
      <c r="O507" s="31"/>
      <c r="P507" s="31"/>
      <c r="Q507" s="31">
        <f t="shared" si="70"/>
        <v>-4223</v>
      </c>
      <c r="R507" s="34">
        <f t="shared" si="71"/>
        <v>5</v>
      </c>
      <c r="S507" s="31"/>
      <c r="T507" s="31"/>
      <c r="U507" s="31"/>
      <c r="V507" s="31"/>
      <c r="W507" s="31"/>
      <c r="X507" s="25"/>
      <c r="Y507" s="25"/>
      <c r="Z507" s="25"/>
      <c r="AA507" s="25"/>
      <c r="AB507" s="176"/>
      <c r="AC507" s="176"/>
      <c r="AD507" s="176"/>
    </row>
    <row r="508" spans="1:30" s="1" customFormat="1" x14ac:dyDescent="0.25">
      <c r="A508" s="162">
        <v>44127</v>
      </c>
      <c r="B508" s="316" t="s">
        <v>1009</v>
      </c>
      <c r="C508" s="325" t="s">
        <v>922</v>
      </c>
      <c r="D508" s="163">
        <v>400</v>
      </c>
      <c r="E508" s="326">
        <v>6.97</v>
      </c>
      <c r="F508" s="16">
        <f t="shared" si="72"/>
        <v>15380</v>
      </c>
      <c r="G508" s="17">
        <f t="shared" si="73"/>
        <v>7.9670580949284799</v>
      </c>
      <c r="H508" s="15">
        <f t="shared" si="74"/>
        <v>122533.35350000003</v>
      </c>
      <c r="I508" s="15">
        <f t="shared" si="75"/>
        <v>-15334.753500000035</v>
      </c>
      <c r="J508" s="33">
        <f t="shared" si="76"/>
        <v>-0.12514758685683097</v>
      </c>
      <c r="K508" s="15">
        <f t="shared" si="77"/>
        <v>107198.59999999999</v>
      </c>
      <c r="L508" s="31">
        <f t="shared" si="69"/>
        <v>-903.80000000001746</v>
      </c>
      <c r="M508" s="31"/>
      <c r="N508" s="31"/>
      <c r="O508" s="31"/>
      <c r="P508" s="31"/>
      <c r="Q508" s="31">
        <f t="shared" si="70"/>
        <v>-2793</v>
      </c>
      <c r="R508" s="34">
        <f t="shared" si="71"/>
        <v>5</v>
      </c>
      <c r="S508" s="31"/>
      <c r="T508" s="31"/>
      <c r="U508" s="31"/>
      <c r="V508" s="31"/>
      <c r="W508" s="31"/>
      <c r="X508" s="25"/>
      <c r="Y508" s="25"/>
      <c r="Z508" s="25"/>
      <c r="AA508" s="25"/>
      <c r="AB508" s="176"/>
      <c r="AC508" s="176"/>
      <c r="AD508" s="176"/>
    </row>
    <row r="509" spans="1:30" s="1" customFormat="1" x14ac:dyDescent="0.25">
      <c r="A509" s="162">
        <v>44148</v>
      </c>
      <c r="B509" s="316"/>
      <c r="C509" s="325" t="s">
        <v>926</v>
      </c>
      <c r="D509" s="163">
        <v>400</v>
      </c>
      <c r="E509" s="326">
        <v>7.12</v>
      </c>
      <c r="F509" s="16">
        <f t="shared" si="72"/>
        <v>14980</v>
      </c>
      <c r="G509" s="17">
        <f t="shared" si="73"/>
        <v>7.9902003671562101</v>
      </c>
      <c r="H509" s="15">
        <f t="shared" si="74"/>
        <v>119693.20150000002</v>
      </c>
      <c r="I509" s="15">
        <f t="shared" si="75"/>
        <v>-13035.601500000019</v>
      </c>
      <c r="J509" s="33">
        <f t="shared" si="76"/>
        <v>-0.10890845375207064</v>
      </c>
      <c r="K509" s="15">
        <f t="shared" si="77"/>
        <v>106657.60000000001</v>
      </c>
      <c r="L509" s="31">
        <f t="shared" si="69"/>
        <v>2299.1520000000164</v>
      </c>
      <c r="M509" s="31"/>
      <c r="N509" s="31"/>
      <c r="O509" s="31"/>
      <c r="P509" s="31"/>
      <c r="Q509" s="31">
        <f t="shared" si="70"/>
        <v>2840.1520000000019</v>
      </c>
      <c r="R509" s="34">
        <f t="shared" si="71"/>
        <v>7.8479999999999999</v>
      </c>
      <c r="S509" s="31"/>
      <c r="T509" s="31"/>
      <c r="U509" s="31"/>
      <c r="V509" s="31"/>
      <c r="W509" s="31"/>
      <c r="X509" s="25"/>
      <c r="Y509" s="25"/>
      <c r="Z509" s="25"/>
      <c r="AA509" s="25"/>
      <c r="AB509" s="176"/>
      <c r="AC509" s="176"/>
      <c r="AD509" s="176"/>
    </row>
    <row r="510" spans="1:30" s="1" customFormat="1" x14ac:dyDescent="0.25">
      <c r="A510" s="162">
        <v>44151</v>
      </c>
      <c r="B510" s="316"/>
      <c r="C510" s="325" t="s">
        <v>926</v>
      </c>
      <c r="D510" s="163">
        <v>400</v>
      </c>
      <c r="E510" s="326">
        <v>7.44</v>
      </c>
      <c r="F510" s="16">
        <f t="shared" si="72"/>
        <v>14580</v>
      </c>
      <c r="G510" s="17">
        <f t="shared" si="73"/>
        <v>8.0058420781893016</v>
      </c>
      <c r="H510" s="15">
        <f t="shared" si="74"/>
        <v>116725.17750000002</v>
      </c>
      <c r="I510" s="15">
        <f t="shared" si="75"/>
        <v>-8249.9775000000081</v>
      </c>
      <c r="J510" s="33">
        <f t="shared" si="76"/>
        <v>-7.0678646001630721E-2</v>
      </c>
      <c r="K510" s="15">
        <f t="shared" si="77"/>
        <v>108475.20000000001</v>
      </c>
      <c r="L510" s="31">
        <f t="shared" si="69"/>
        <v>4785.6240000000107</v>
      </c>
      <c r="M510" s="31"/>
      <c r="N510" s="31"/>
      <c r="O510" s="31"/>
      <c r="P510" s="31"/>
      <c r="Q510" s="31">
        <f t="shared" si="70"/>
        <v>2968.0240000000049</v>
      </c>
      <c r="R510" s="34">
        <f t="shared" si="71"/>
        <v>7.976</v>
      </c>
      <c r="S510" s="31"/>
      <c r="T510" s="31"/>
      <c r="U510" s="31"/>
      <c r="V510" s="31"/>
      <c r="W510" s="31"/>
      <c r="X510" s="25"/>
      <c r="Y510" s="25"/>
      <c r="Z510" s="25"/>
      <c r="AA510" s="25"/>
      <c r="AB510" s="176"/>
      <c r="AC510" s="176"/>
      <c r="AD510" s="176"/>
    </row>
    <row r="511" spans="1:30" s="1" customFormat="1" x14ac:dyDescent="0.25">
      <c r="A511" s="162">
        <v>44152</v>
      </c>
      <c r="B511" s="316"/>
      <c r="C511" s="325" t="s">
        <v>926</v>
      </c>
      <c r="D511" s="163">
        <v>400</v>
      </c>
      <c r="E511" s="326">
        <v>7.59</v>
      </c>
      <c r="F511" s="16">
        <f t="shared" si="72"/>
        <v>14180</v>
      </c>
      <c r="G511" s="17">
        <f t="shared" si="73"/>
        <v>8.0181391748942179</v>
      </c>
      <c r="H511" s="15">
        <f t="shared" si="74"/>
        <v>113697.21350000001</v>
      </c>
      <c r="I511" s="15">
        <f t="shared" si="75"/>
        <v>-6071.0135000000155</v>
      </c>
      <c r="J511" s="33">
        <f t="shared" si="76"/>
        <v>-5.3396326199322476E-2</v>
      </c>
      <c r="K511" s="15">
        <f t="shared" si="77"/>
        <v>107626.2</v>
      </c>
      <c r="L511" s="31">
        <f t="shared" si="69"/>
        <v>2178.9639999999927</v>
      </c>
      <c r="M511" s="31"/>
      <c r="N511" s="31"/>
      <c r="O511" s="31"/>
      <c r="P511" s="31"/>
      <c r="Q511" s="31">
        <f t="shared" si="70"/>
        <v>3027.9640000000072</v>
      </c>
      <c r="R511" s="34">
        <f t="shared" si="71"/>
        <v>8.0359999999999996</v>
      </c>
      <c r="S511" s="31"/>
      <c r="T511" s="31"/>
      <c r="U511" s="31"/>
      <c r="V511" s="31"/>
      <c r="W511" s="31"/>
      <c r="X511" s="25"/>
      <c r="Y511" s="25"/>
      <c r="Z511" s="25"/>
      <c r="AA511" s="25"/>
      <c r="AB511" s="176"/>
      <c r="AC511" s="176"/>
      <c r="AD511" s="176"/>
    </row>
    <row r="512" spans="1:30" s="1" customFormat="1" x14ac:dyDescent="0.25">
      <c r="A512" s="162">
        <v>44155</v>
      </c>
      <c r="B512" s="316" t="s">
        <v>1010</v>
      </c>
      <c r="C512" s="325" t="s">
        <v>922</v>
      </c>
      <c r="D512" s="163">
        <v>400</v>
      </c>
      <c r="E512" s="326">
        <v>7.35</v>
      </c>
      <c r="F512" s="16">
        <f t="shared" si="72"/>
        <v>14580</v>
      </c>
      <c r="G512" s="17">
        <f t="shared" si="73"/>
        <v>8.0001518175582991</v>
      </c>
      <c r="H512" s="15">
        <f t="shared" si="74"/>
        <v>116642.21350000001</v>
      </c>
      <c r="I512" s="15">
        <f t="shared" si="75"/>
        <v>-9479.2135000000126</v>
      </c>
      <c r="J512" s="33">
        <f t="shared" si="76"/>
        <v>-8.1267434966844188E-2</v>
      </c>
      <c r="K512" s="15">
        <f t="shared" si="77"/>
        <v>107163</v>
      </c>
      <c r="L512" s="31">
        <f t="shared" si="69"/>
        <v>-3408.1999999999971</v>
      </c>
      <c r="M512" s="31"/>
      <c r="N512" s="31"/>
      <c r="O512" s="31"/>
      <c r="P512" s="31"/>
      <c r="Q512" s="31">
        <f t="shared" si="70"/>
        <v>-2945</v>
      </c>
      <c r="R512" s="34">
        <f t="shared" si="71"/>
        <v>5</v>
      </c>
      <c r="S512" s="31"/>
      <c r="T512" s="31"/>
      <c r="U512" s="31"/>
      <c r="V512" s="31"/>
      <c r="W512" s="31"/>
      <c r="X512" s="25"/>
      <c r="Y512" s="25"/>
      <c r="Z512" s="25"/>
      <c r="AA512" s="25"/>
      <c r="AB512" s="176"/>
      <c r="AC512" s="176"/>
      <c r="AD512" s="176"/>
    </row>
    <row r="513" spans="1:30" s="1" customFormat="1" x14ac:dyDescent="0.25">
      <c r="A513" s="162">
        <v>44158</v>
      </c>
      <c r="B513" s="316"/>
      <c r="C513" s="325" t="s">
        <v>634</v>
      </c>
      <c r="D513" s="163">
        <v>400</v>
      </c>
      <c r="E513" s="326">
        <v>7.56</v>
      </c>
      <c r="F513" s="16">
        <f t="shared" si="72"/>
        <v>14180</v>
      </c>
      <c r="G513" s="17">
        <f t="shared" si="73"/>
        <v>8.0131338152327238</v>
      </c>
      <c r="H513" s="15">
        <f t="shared" si="74"/>
        <v>113626.23750000002</v>
      </c>
      <c r="I513" s="15">
        <f t="shared" si="75"/>
        <v>-6425.4375000000291</v>
      </c>
      <c r="J513" s="33">
        <f t="shared" si="76"/>
        <v>-5.6548889071505411E-2</v>
      </c>
      <c r="K513" s="15">
        <f t="shared" si="77"/>
        <v>107200.79999999999</v>
      </c>
      <c r="L513" s="31">
        <f t="shared" si="69"/>
        <v>3053.7759999999835</v>
      </c>
      <c r="M513" s="31"/>
      <c r="N513" s="31"/>
      <c r="O513" s="31"/>
      <c r="P513" s="31"/>
      <c r="Q513" s="31">
        <f t="shared" si="70"/>
        <v>3015.9759999999951</v>
      </c>
      <c r="R513" s="34">
        <f t="shared" si="71"/>
        <v>8.0240000000000009</v>
      </c>
      <c r="S513" s="31"/>
      <c r="T513" s="31"/>
      <c r="U513" s="31"/>
      <c r="V513" s="31"/>
      <c r="W513" s="31"/>
      <c r="X513" s="25"/>
      <c r="Y513" s="25"/>
      <c r="Z513" s="25"/>
      <c r="AA513" s="25"/>
      <c r="AB513" s="176"/>
      <c r="AC513" s="176"/>
      <c r="AD513" s="176"/>
    </row>
    <row r="514" spans="1:30" s="1" customFormat="1" x14ac:dyDescent="0.25">
      <c r="A514" s="162">
        <v>44158</v>
      </c>
      <c r="B514" s="316"/>
      <c r="C514" s="325" t="s">
        <v>926</v>
      </c>
      <c r="D514" s="163">
        <v>400</v>
      </c>
      <c r="E514" s="326">
        <v>7.64</v>
      </c>
      <c r="F514" s="16">
        <f t="shared" si="72"/>
        <v>13780</v>
      </c>
      <c r="G514" s="17">
        <f t="shared" si="73"/>
        <v>8.024549600870829</v>
      </c>
      <c r="H514" s="15">
        <f t="shared" si="74"/>
        <v>110578.29350000001</v>
      </c>
      <c r="I514" s="15">
        <f t="shared" si="75"/>
        <v>-5299.0935000000172</v>
      </c>
      <c r="J514" s="33">
        <f t="shared" si="76"/>
        <v>-4.7921642957892342E-2</v>
      </c>
      <c r="K514" s="15">
        <f t="shared" si="77"/>
        <v>105279.2</v>
      </c>
      <c r="L514" s="31">
        <f t="shared" ref="L514:L532" si="79">I514-I513</f>
        <v>1126.3440000000119</v>
      </c>
      <c r="M514" s="31"/>
      <c r="N514" s="31"/>
      <c r="O514" s="31"/>
      <c r="P514" s="31"/>
      <c r="Q514" s="31">
        <f t="shared" ref="Q514:Q532" si="80">(H514-H513)*-1</f>
        <v>3047.9440000000031</v>
      </c>
      <c r="R514" s="34">
        <f t="shared" si="71"/>
        <v>8.0560000000000009</v>
      </c>
      <c r="S514" s="31"/>
      <c r="T514" s="31"/>
      <c r="U514" s="31"/>
      <c r="V514" s="31"/>
      <c r="W514" s="31"/>
      <c r="X514" s="25"/>
      <c r="Y514" s="25"/>
      <c r="Z514" s="25"/>
      <c r="AA514" s="25"/>
      <c r="AB514" s="176"/>
      <c r="AC514" s="176"/>
      <c r="AD514" s="176"/>
    </row>
    <row r="515" spans="1:30" s="1" customFormat="1" x14ac:dyDescent="0.25">
      <c r="A515" s="162">
        <v>44160</v>
      </c>
      <c r="B515" s="337" t="s">
        <v>757</v>
      </c>
      <c r="C515" s="282" t="s">
        <v>63</v>
      </c>
      <c r="D515" s="132">
        <v>400</v>
      </c>
      <c r="E515" s="22">
        <v>7.43</v>
      </c>
      <c r="F515" s="16">
        <f t="shared" si="72"/>
        <v>14180</v>
      </c>
      <c r="G515" s="17">
        <f t="shared" si="73"/>
        <v>8.0081307122708054</v>
      </c>
      <c r="H515" s="15">
        <f t="shared" si="74"/>
        <v>113555.29350000001</v>
      </c>
      <c r="I515" s="15">
        <f t="shared" si="75"/>
        <v>-8197.8935000000201</v>
      </c>
      <c r="J515" s="33">
        <f t="shared" si="76"/>
        <v>-7.2192966504023195E-2</v>
      </c>
      <c r="K515" s="15">
        <f t="shared" si="77"/>
        <v>105357.4</v>
      </c>
      <c r="L515" s="31">
        <f t="shared" si="79"/>
        <v>-2898.8000000000029</v>
      </c>
      <c r="M515" s="31"/>
      <c r="N515" s="31"/>
      <c r="O515" s="31"/>
      <c r="P515" s="31"/>
      <c r="Q515" s="31">
        <f t="shared" si="80"/>
        <v>-2977</v>
      </c>
      <c r="R515" s="34">
        <f t="shared" si="71"/>
        <v>5</v>
      </c>
      <c r="S515" s="31"/>
      <c r="T515" s="31"/>
      <c r="U515" s="31"/>
      <c r="V515" s="31"/>
      <c r="W515" s="31"/>
      <c r="X515" s="25"/>
      <c r="Y515" s="25"/>
      <c r="Z515" s="25"/>
      <c r="AA515" s="25"/>
      <c r="AB515" s="176"/>
      <c r="AC515" s="176"/>
      <c r="AD515" s="176"/>
    </row>
    <row r="516" spans="1:30" s="1" customFormat="1" x14ac:dyDescent="0.25">
      <c r="A516" s="162">
        <v>44162</v>
      </c>
      <c r="B516" s="337" t="s">
        <v>1144</v>
      </c>
      <c r="C516" s="282" t="s">
        <v>623</v>
      </c>
      <c r="D516" s="132">
        <v>400</v>
      </c>
      <c r="E516" s="22">
        <v>7.38</v>
      </c>
      <c r="F516" s="16">
        <f t="shared" si="72"/>
        <v>14580</v>
      </c>
      <c r="G516" s="17">
        <f t="shared" si="73"/>
        <v>7.9912409807956113</v>
      </c>
      <c r="H516" s="15">
        <f t="shared" si="74"/>
        <v>116512.29350000001</v>
      </c>
      <c r="I516" s="15">
        <f t="shared" si="75"/>
        <v>-8911.8935000000201</v>
      </c>
      <c r="J516" s="33">
        <f t="shared" si="76"/>
        <v>-7.6488868533001741E-2</v>
      </c>
      <c r="K516" s="15">
        <f t="shared" si="77"/>
        <v>107600.4</v>
      </c>
      <c r="L516" s="31">
        <f t="shared" si="79"/>
        <v>-714</v>
      </c>
      <c r="M516" s="31"/>
      <c r="N516" s="31"/>
      <c r="O516" s="31"/>
      <c r="P516" s="31"/>
      <c r="Q516" s="31">
        <f t="shared" si="80"/>
        <v>-2957</v>
      </c>
      <c r="R516" s="34">
        <f t="shared" ref="R516:R532" si="81">commission($B$2,C516,D516,E516)</f>
        <v>5</v>
      </c>
      <c r="S516" s="31"/>
      <c r="T516" s="31"/>
      <c r="U516" s="31"/>
      <c r="V516" s="31"/>
      <c r="W516" s="31"/>
      <c r="X516" s="25"/>
      <c r="Y516" s="25"/>
      <c r="Z516" s="25"/>
      <c r="AA516" s="25"/>
      <c r="AB516" s="176"/>
      <c r="AC516" s="176"/>
      <c r="AD516" s="176"/>
    </row>
    <row r="517" spans="1:30" s="1" customFormat="1" x14ac:dyDescent="0.25">
      <c r="A517" s="162">
        <v>44165</v>
      </c>
      <c r="B517" s="319"/>
      <c r="C517" s="282" t="s">
        <v>634</v>
      </c>
      <c r="D517" s="132">
        <v>400</v>
      </c>
      <c r="E517" s="22">
        <v>7.5</v>
      </c>
      <c r="F517" s="16">
        <f t="shared" si="72"/>
        <v>14180</v>
      </c>
      <c r="G517" s="17">
        <f t="shared" si="73"/>
        <v>8.0056624471086053</v>
      </c>
      <c r="H517" s="15">
        <f t="shared" si="74"/>
        <v>113520.29350000001</v>
      </c>
      <c r="I517" s="15">
        <f t="shared" si="75"/>
        <v>-7170.2935000000143</v>
      </c>
      <c r="J517" s="33">
        <f t="shared" si="76"/>
        <v>-6.3163098675392534E-2</v>
      </c>
      <c r="K517" s="15">
        <f t="shared" si="77"/>
        <v>106350</v>
      </c>
      <c r="L517" s="31">
        <f t="shared" si="79"/>
        <v>1741.6000000000058</v>
      </c>
      <c r="M517" s="31"/>
      <c r="N517" s="31"/>
      <c r="O517" s="31"/>
      <c r="P517" s="31"/>
      <c r="Q517" s="31">
        <f t="shared" si="80"/>
        <v>2992</v>
      </c>
      <c r="R517" s="34">
        <f t="shared" si="81"/>
        <v>8</v>
      </c>
      <c r="S517" s="31"/>
      <c r="T517" s="31"/>
      <c r="U517" s="31"/>
      <c r="V517" s="31"/>
      <c r="W517" s="31"/>
      <c r="X517" s="25"/>
      <c r="Y517" s="25"/>
      <c r="Z517" s="25"/>
      <c r="AA517" s="25"/>
      <c r="AB517" s="176"/>
      <c r="AC517" s="176"/>
      <c r="AD517" s="176"/>
    </row>
    <row r="518" spans="1:30" s="1" customFormat="1" x14ac:dyDescent="0.25">
      <c r="A518" s="162">
        <v>44167</v>
      </c>
      <c r="B518" s="337" t="s">
        <v>1151</v>
      </c>
      <c r="C518" s="282" t="s">
        <v>623</v>
      </c>
      <c r="D518" s="132">
        <v>800</v>
      </c>
      <c r="E518" s="22">
        <v>7.52</v>
      </c>
      <c r="F518" s="16">
        <f t="shared" si="72"/>
        <v>14980</v>
      </c>
      <c r="G518" s="17">
        <f t="shared" si="73"/>
        <v>7.9800596461949276</v>
      </c>
      <c r="H518" s="15">
        <f t="shared" si="74"/>
        <v>119541.29350000001</v>
      </c>
      <c r="I518" s="15">
        <f t="shared" si="75"/>
        <v>-6891.6935000000231</v>
      </c>
      <c r="J518" s="33">
        <f t="shared" si="76"/>
        <v>-5.7651153824933479E-2</v>
      </c>
      <c r="K518" s="15">
        <f t="shared" si="77"/>
        <v>112649.59999999999</v>
      </c>
      <c r="L518" s="31">
        <f t="shared" si="79"/>
        <v>278.59999999999127</v>
      </c>
      <c r="M518" s="31"/>
      <c r="N518" s="31"/>
      <c r="O518" s="31"/>
      <c r="P518" s="31"/>
      <c r="Q518" s="31">
        <f t="shared" si="80"/>
        <v>-6021</v>
      </c>
      <c r="R518" s="34">
        <f t="shared" si="81"/>
        <v>5</v>
      </c>
      <c r="S518" s="31"/>
      <c r="T518" s="31"/>
      <c r="U518" s="31"/>
      <c r="V518" s="31"/>
      <c r="W518" s="31"/>
      <c r="X518" s="25"/>
      <c r="Y518" s="25"/>
      <c r="Z518" s="25"/>
      <c r="AA518" s="25"/>
      <c r="AB518" s="176"/>
      <c r="AC518" s="176"/>
      <c r="AD518" s="176"/>
    </row>
    <row r="519" spans="1:30" s="1" customFormat="1" x14ac:dyDescent="0.25">
      <c r="A519" s="162">
        <v>44172</v>
      </c>
      <c r="B519" s="319"/>
      <c r="C519" s="282" t="s">
        <v>634</v>
      </c>
      <c r="D519" s="132">
        <v>400</v>
      </c>
      <c r="E519" s="22">
        <v>7.65</v>
      </c>
      <c r="F519" s="16">
        <f t="shared" si="72"/>
        <v>14580</v>
      </c>
      <c r="G519" s="17">
        <f t="shared" si="73"/>
        <v>7.9896675925925935</v>
      </c>
      <c r="H519" s="15">
        <f t="shared" si="74"/>
        <v>116489.35350000001</v>
      </c>
      <c r="I519" s="15">
        <f t="shared" si="75"/>
        <v>-4952.353500000012</v>
      </c>
      <c r="J519" s="33">
        <f t="shared" si="76"/>
        <v>-4.2513357239981661E-2</v>
      </c>
      <c r="K519" s="15">
        <f t="shared" si="77"/>
        <v>111537</v>
      </c>
      <c r="L519" s="31">
        <f t="shared" si="79"/>
        <v>1939.3400000000111</v>
      </c>
      <c r="M519" s="31"/>
      <c r="N519" s="31"/>
      <c r="O519" s="31"/>
      <c r="P519" s="31"/>
      <c r="Q519" s="31">
        <f t="shared" si="80"/>
        <v>3051.9400000000023</v>
      </c>
      <c r="R519" s="34">
        <f t="shared" si="81"/>
        <v>8.06</v>
      </c>
      <c r="S519" s="31"/>
      <c r="T519" s="31"/>
      <c r="U519" s="31"/>
      <c r="V519" s="31"/>
      <c r="W519" s="31"/>
      <c r="X519" s="25"/>
      <c r="Y519" s="25"/>
      <c r="Z519" s="25"/>
      <c r="AA519" s="25"/>
      <c r="AB519" s="176"/>
      <c r="AC519" s="176"/>
      <c r="AD519" s="176"/>
    </row>
    <row r="520" spans="1:30" s="1" customFormat="1" x14ac:dyDescent="0.25">
      <c r="A520" s="162">
        <v>44172</v>
      </c>
      <c r="B520" s="319"/>
      <c r="C520" s="282" t="s">
        <v>634</v>
      </c>
      <c r="D520" s="132">
        <v>400</v>
      </c>
      <c r="E520" s="22">
        <v>7.8</v>
      </c>
      <c r="F520" s="16">
        <f t="shared" si="72"/>
        <v>14180</v>
      </c>
      <c r="G520" s="17">
        <f t="shared" si="73"/>
        <v>7.9955905148095914</v>
      </c>
      <c r="H520" s="15">
        <f t="shared" si="74"/>
        <v>113377.47350000001</v>
      </c>
      <c r="I520" s="15">
        <f t="shared" si="75"/>
        <v>-2773.4735000000073</v>
      </c>
      <c r="J520" s="33">
        <f t="shared" si="76"/>
        <v>-2.4462297618583009E-2</v>
      </c>
      <c r="K520" s="15">
        <f t="shared" si="77"/>
        <v>110604</v>
      </c>
      <c r="L520" s="31">
        <f t="shared" si="79"/>
        <v>2178.8800000000047</v>
      </c>
      <c r="M520" s="31"/>
      <c r="N520" s="31"/>
      <c r="O520" s="31"/>
      <c r="P520" s="31"/>
      <c r="Q520" s="31">
        <f t="shared" si="80"/>
        <v>3111.8800000000047</v>
      </c>
      <c r="R520" s="34">
        <f t="shared" si="81"/>
        <v>8.120000000000001</v>
      </c>
      <c r="S520" s="31"/>
      <c r="T520" s="31"/>
      <c r="U520" s="31"/>
      <c r="V520" s="31"/>
      <c r="W520" s="31"/>
      <c r="X520" s="25"/>
      <c r="Y520" s="25"/>
      <c r="Z520" s="25"/>
      <c r="AA520" s="25"/>
      <c r="AB520" s="176"/>
      <c r="AC520" s="176"/>
      <c r="AD520" s="176"/>
    </row>
    <row r="521" spans="1:30" s="1" customFormat="1" x14ac:dyDescent="0.25">
      <c r="A521" s="162">
        <v>44172</v>
      </c>
      <c r="B521" s="337" t="s">
        <v>815</v>
      </c>
      <c r="C521" s="282" t="s">
        <v>623</v>
      </c>
      <c r="D521" s="132">
        <v>400</v>
      </c>
      <c r="E521" s="22">
        <v>7.58</v>
      </c>
      <c r="F521" s="16">
        <f t="shared" si="72"/>
        <v>14580</v>
      </c>
      <c r="G521" s="17">
        <f t="shared" si="73"/>
        <v>7.9845317901234569</v>
      </c>
      <c r="H521" s="15">
        <f t="shared" si="74"/>
        <v>116414.47350000001</v>
      </c>
      <c r="I521" s="15">
        <f t="shared" si="75"/>
        <v>-5898.0735000000132</v>
      </c>
      <c r="J521" s="33">
        <f t="shared" si="76"/>
        <v>-5.0664434779237315E-2</v>
      </c>
      <c r="K521" s="15">
        <f t="shared" si="77"/>
        <v>110516.4</v>
      </c>
      <c r="L521" s="31">
        <f t="shared" si="79"/>
        <v>-3124.6000000000058</v>
      </c>
      <c r="M521" s="31"/>
      <c r="N521" s="31"/>
      <c r="O521" s="31"/>
      <c r="P521" s="31"/>
      <c r="Q521" s="31">
        <f t="shared" si="80"/>
        <v>-3037</v>
      </c>
      <c r="R521" s="34">
        <f t="shared" si="81"/>
        <v>5</v>
      </c>
      <c r="S521" s="31"/>
      <c r="T521" s="31"/>
      <c r="U521" s="31"/>
      <c r="V521" s="31"/>
      <c r="W521" s="31"/>
      <c r="X521" s="25"/>
      <c r="Y521" s="25"/>
      <c r="Z521" s="25"/>
      <c r="AA521" s="25"/>
      <c r="AB521" s="176"/>
      <c r="AC521" s="176"/>
      <c r="AD521" s="176"/>
    </row>
    <row r="522" spans="1:30" s="1" customFormat="1" x14ac:dyDescent="0.25">
      <c r="A522" s="162">
        <v>44176</v>
      </c>
      <c r="B522" s="337" t="s">
        <v>1163</v>
      </c>
      <c r="C522" s="282" t="s">
        <v>623</v>
      </c>
      <c r="D522" s="132">
        <v>400</v>
      </c>
      <c r="E522" s="22">
        <v>7.1</v>
      </c>
      <c r="F522" s="16">
        <f t="shared" si="72"/>
        <v>14980</v>
      </c>
      <c r="G522" s="17">
        <f t="shared" si="73"/>
        <v>7.9612465620827777</v>
      </c>
      <c r="H522" s="15">
        <f t="shared" si="74"/>
        <v>119259.47350000001</v>
      </c>
      <c r="I522" s="15">
        <f t="shared" si="75"/>
        <v>-12901.473500000007</v>
      </c>
      <c r="J522" s="33">
        <f t="shared" si="76"/>
        <v>-0.10817986296074009</v>
      </c>
      <c r="K522" s="15">
        <f t="shared" si="77"/>
        <v>106358</v>
      </c>
      <c r="L522" s="31">
        <f t="shared" si="79"/>
        <v>-7003.3999999999942</v>
      </c>
      <c r="M522" s="31"/>
      <c r="N522" s="31"/>
      <c r="O522" s="31"/>
      <c r="P522" s="31"/>
      <c r="Q522" s="31">
        <f t="shared" si="80"/>
        <v>-2845</v>
      </c>
      <c r="R522" s="34">
        <f t="shared" si="81"/>
        <v>5</v>
      </c>
      <c r="S522" s="31"/>
      <c r="T522" s="31"/>
      <c r="U522" s="31"/>
      <c r="V522" s="31"/>
      <c r="W522" s="31"/>
      <c r="X522" s="25"/>
      <c r="Y522" s="25"/>
      <c r="Z522" s="25"/>
      <c r="AA522" s="25"/>
      <c r="AB522" s="176"/>
      <c r="AC522" s="176"/>
      <c r="AD522" s="176"/>
    </row>
    <row r="523" spans="1:30" s="1" customFormat="1" x14ac:dyDescent="0.25">
      <c r="A523" s="162">
        <v>44188</v>
      </c>
      <c r="B523" s="337" t="s">
        <v>624</v>
      </c>
      <c r="C523" s="282" t="s">
        <v>623</v>
      </c>
      <c r="D523" s="132">
        <v>300</v>
      </c>
      <c r="E523" s="22">
        <v>6.74</v>
      </c>
      <c r="F523" s="16">
        <f t="shared" si="72"/>
        <v>15280</v>
      </c>
      <c r="G523" s="17">
        <f t="shared" si="73"/>
        <v>7.9375964332460738</v>
      </c>
      <c r="H523" s="15">
        <f t="shared" si="74"/>
        <v>121286.47350000001</v>
      </c>
      <c r="I523" s="15">
        <f t="shared" si="75"/>
        <v>-18299.27350000001</v>
      </c>
      <c r="J523" s="33">
        <f t="shared" si="76"/>
        <v>-0.15087645779395178</v>
      </c>
      <c r="K523" s="15">
        <f t="shared" si="77"/>
        <v>102987.2</v>
      </c>
      <c r="L523" s="31">
        <f t="shared" si="79"/>
        <v>-5397.8000000000029</v>
      </c>
      <c r="M523" s="31"/>
      <c r="N523" s="31"/>
      <c r="O523" s="31"/>
      <c r="P523" s="31"/>
      <c r="Q523" s="31">
        <f t="shared" si="80"/>
        <v>-2027</v>
      </c>
      <c r="R523" s="34">
        <f t="shared" si="81"/>
        <v>5</v>
      </c>
      <c r="S523" s="31"/>
      <c r="T523" s="31"/>
      <c r="U523" s="31"/>
      <c r="V523" s="31"/>
      <c r="W523" s="31"/>
      <c r="X523" s="25"/>
      <c r="Y523" s="25"/>
      <c r="Z523" s="25"/>
      <c r="AA523" s="25"/>
      <c r="AB523" s="176"/>
      <c r="AC523" s="176"/>
      <c r="AD523" s="176"/>
    </row>
    <row r="524" spans="1:30" s="1" customFormat="1" x14ac:dyDescent="0.25">
      <c r="A524" s="162">
        <v>44209</v>
      </c>
      <c r="B524" s="337" t="s">
        <v>1169</v>
      </c>
      <c r="C524" s="282" t="s">
        <v>63</v>
      </c>
      <c r="D524" s="132">
        <v>400</v>
      </c>
      <c r="E524" s="22">
        <v>6.19</v>
      </c>
      <c r="F524" s="16">
        <f t="shared" ref="F524:F532" si="82">IF(C524="买",F523+D524,IF(C524="卖",F523-D524,F523))</f>
        <v>15680</v>
      </c>
      <c r="G524" s="17">
        <f t="shared" ref="G524:G532" si="83">H524/F524</f>
        <v>7.8933337691326537</v>
      </c>
      <c r="H524" s="15">
        <f t="shared" ref="H524:H531" si="84">IF(C524="买",H523+D524*E524+R524+S524,IF(C524="卖",H523-D524*E524+R524+S524,H523))</f>
        <v>123767.47350000001</v>
      </c>
      <c r="I524" s="15">
        <f t="shared" ref="I524:I532" si="85">-H524+K524</f>
        <v>-26708.273499999996</v>
      </c>
      <c r="J524" s="33">
        <f t="shared" ref="J524:J532" si="86">(E524-G524)/G524</f>
        <v>-0.21579396221576747</v>
      </c>
      <c r="K524" s="15">
        <f t="shared" ref="K524:K531" si="87">F524*E524</f>
        <v>97059.200000000012</v>
      </c>
      <c r="L524" s="31">
        <f t="shared" si="79"/>
        <v>-8408.9999999999854</v>
      </c>
      <c r="M524" s="31"/>
      <c r="N524" s="31"/>
      <c r="O524" s="31"/>
      <c r="P524" s="31"/>
      <c r="Q524" s="31">
        <f t="shared" si="80"/>
        <v>-2481</v>
      </c>
      <c r="R524" s="34">
        <f t="shared" si="81"/>
        <v>5</v>
      </c>
      <c r="S524" s="31"/>
      <c r="T524" s="31"/>
      <c r="U524" s="31"/>
      <c r="V524" s="31"/>
      <c r="W524" s="31"/>
      <c r="X524" s="25"/>
      <c r="Y524" s="25"/>
      <c r="Z524" s="25"/>
      <c r="AA524" s="25"/>
      <c r="AB524" s="176"/>
      <c r="AC524" s="176"/>
      <c r="AD524" s="176"/>
    </row>
    <row r="525" spans="1:30" s="1" customFormat="1" x14ac:dyDescent="0.25">
      <c r="A525" s="162">
        <v>44214</v>
      </c>
      <c r="B525" s="337"/>
      <c r="C525" s="282" t="s">
        <v>69</v>
      </c>
      <c r="D525" s="132">
        <v>400</v>
      </c>
      <c r="E525" s="22">
        <v>6.39</v>
      </c>
      <c r="F525" s="16">
        <f t="shared" si="82"/>
        <v>15280</v>
      </c>
      <c r="G525" s="17">
        <f t="shared" si="83"/>
        <v>7.9331825589005236</v>
      </c>
      <c r="H525" s="15">
        <f t="shared" si="84"/>
        <v>121219.0295</v>
      </c>
      <c r="I525" s="15">
        <f t="shared" si="85"/>
        <v>-23579.829500000007</v>
      </c>
      <c r="J525" s="33">
        <f t="shared" si="86"/>
        <v>-0.19452250688081946</v>
      </c>
      <c r="K525" s="15">
        <f t="shared" si="87"/>
        <v>97639.2</v>
      </c>
      <c r="L525" s="31">
        <f t="shared" si="79"/>
        <v>3128.4439999999886</v>
      </c>
      <c r="M525" s="31"/>
      <c r="N525" s="31"/>
      <c r="O525" s="31"/>
      <c r="P525" s="31"/>
      <c r="Q525" s="31">
        <f t="shared" si="80"/>
        <v>2548.4440000000031</v>
      </c>
      <c r="R525" s="34">
        <f t="shared" si="81"/>
        <v>7.556</v>
      </c>
      <c r="S525" s="31"/>
      <c r="T525" s="31"/>
      <c r="U525" s="31"/>
      <c r="V525" s="31"/>
      <c r="W525" s="31"/>
      <c r="X525" s="25"/>
      <c r="Y525" s="25"/>
      <c r="Z525" s="25"/>
      <c r="AA525" s="25"/>
      <c r="AB525" s="176"/>
      <c r="AC525" s="176"/>
      <c r="AD525" s="176"/>
    </row>
    <row r="526" spans="1:30" s="1" customFormat="1" x14ac:dyDescent="0.25">
      <c r="A526" s="162">
        <v>44228</v>
      </c>
      <c r="B526" s="319"/>
      <c r="C526" s="282" t="s">
        <v>69</v>
      </c>
      <c r="D526" s="132">
        <v>400</v>
      </c>
      <c r="E526" s="22">
        <v>6.5</v>
      </c>
      <c r="F526" s="16">
        <f t="shared" si="82"/>
        <v>14880</v>
      </c>
      <c r="G526" s="17">
        <f t="shared" si="83"/>
        <v>7.9722197244623665</v>
      </c>
      <c r="H526" s="15">
        <f t="shared" si="84"/>
        <v>118626.62950000001</v>
      </c>
      <c r="I526" s="15">
        <f t="shared" si="85"/>
        <v>-21906.62950000001</v>
      </c>
      <c r="J526" s="33">
        <f t="shared" si="86"/>
        <v>-0.1846687340973471</v>
      </c>
      <c r="K526" s="15">
        <f t="shared" si="87"/>
        <v>96720</v>
      </c>
      <c r="L526" s="31">
        <f t="shared" si="79"/>
        <v>1673.1999999999971</v>
      </c>
      <c r="M526" s="31"/>
      <c r="N526" s="31"/>
      <c r="O526" s="31"/>
      <c r="P526" s="31"/>
      <c r="Q526" s="31">
        <f t="shared" si="80"/>
        <v>2592.3999999999942</v>
      </c>
      <c r="R526" s="34">
        <f t="shared" si="81"/>
        <v>7.6</v>
      </c>
      <c r="S526" s="31"/>
      <c r="T526" s="31"/>
      <c r="U526" s="31"/>
      <c r="V526" s="31"/>
      <c r="W526" s="31"/>
      <c r="X526" s="25"/>
      <c r="Y526" s="25"/>
      <c r="Z526" s="25"/>
      <c r="AA526" s="25"/>
      <c r="AB526" s="176"/>
      <c r="AC526" s="176"/>
      <c r="AD526" s="176"/>
    </row>
    <row r="527" spans="1:30" s="1" customFormat="1" x14ac:dyDescent="0.25">
      <c r="A527" s="162">
        <v>44229</v>
      </c>
      <c r="B527" s="319"/>
      <c r="C527" s="282" t="s">
        <v>69</v>
      </c>
      <c r="D527" s="132">
        <v>400</v>
      </c>
      <c r="E527" s="22">
        <v>6.65</v>
      </c>
      <c r="F527" s="16">
        <f t="shared" si="82"/>
        <v>14480</v>
      </c>
      <c r="G527" s="17">
        <f t="shared" si="83"/>
        <v>8.0092741367403324</v>
      </c>
      <c r="H527" s="15">
        <f t="shared" si="84"/>
        <v>115974.28950000001</v>
      </c>
      <c r="I527" s="15">
        <f t="shared" si="85"/>
        <v>-19682.289500000014</v>
      </c>
      <c r="J527" s="33">
        <f t="shared" si="86"/>
        <v>-0.16971252494717812</v>
      </c>
      <c r="K527" s="15">
        <f t="shared" si="87"/>
        <v>96292</v>
      </c>
      <c r="L527" s="31">
        <f t="shared" si="79"/>
        <v>2224.3399999999965</v>
      </c>
      <c r="M527" s="31"/>
      <c r="N527" s="31"/>
      <c r="O527" s="31"/>
      <c r="P527" s="31"/>
      <c r="Q527" s="31">
        <f t="shared" si="80"/>
        <v>2652.3399999999965</v>
      </c>
      <c r="R527" s="34">
        <f t="shared" si="81"/>
        <v>7.66</v>
      </c>
      <c r="S527" s="31"/>
      <c r="T527" s="31"/>
      <c r="U527" s="31"/>
      <c r="V527" s="31"/>
      <c r="W527" s="31"/>
      <c r="X527" s="25"/>
      <c r="Y527" s="25"/>
      <c r="Z527" s="25"/>
      <c r="AA527" s="25"/>
      <c r="AB527" s="176"/>
      <c r="AC527" s="176"/>
      <c r="AD527" s="176"/>
    </row>
    <row r="528" spans="1:30" s="1" customFormat="1" x14ac:dyDescent="0.25">
      <c r="A528" s="162">
        <v>44231</v>
      </c>
      <c r="B528" s="337" t="s">
        <v>733</v>
      </c>
      <c r="C528" s="282" t="s">
        <v>63</v>
      </c>
      <c r="D528" s="132">
        <v>400</v>
      </c>
      <c r="E528" s="22">
        <v>6.28</v>
      </c>
      <c r="F528" s="16">
        <f t="shared" si="82"/>
        <v>14880</v>
      </c>
      <c r="G528" s="17">
        <f t="shared" si="83"/>
        <v>7.9631242943548397</v>
      </c>
      <c r="H528" s="15">
        <f t="shared" si="84"/>
        <v>118491.28950000001</v>
      </c>
      <c r="I528" s="15">
        <f t="shared" si="85"/>
        <v>-25044.889500000005</v>
      </c>
      <c r="J528" s="33">
        <f t="shared" si="86"/>
        <v>-0.21136481513267696</v>
      </c>
      <c r="K528" s="15">
        <f t="shared" si="87"/>
        <v>93446.400000000009</v>
      </c>
      <c r="L528" s="31">
        <f t="shared" si="79"/>
        <v>-5362.5999999999913</v>
      </c>
      <c r="M528" s="31"/>
      <c r="N528" s="31"/>
      <c r="O528" s="31"/>
      <c r="P528" s="31"/>
      <c r="Q528" s="31">
        <f t="shared" si="80"/>
        <v>-2517</v>
      </c>
      <c r="R528" s="34">
        <f t="shared" si="81"/>
        <v>5</v>
      </c>
      <c r="S528" s="31"/>
      <c r="T528" s="31"/>
      <c r="U528" s="31"/>
      <c r="V528" s="31"/>
      <c r="W528" s="31"/>
      <c r="X528" s="25"/>
      <c r="Y528" s="25"/>
      <c r="Z528" s="25"/>
      <c r="AA528" s="25"/>
      <c r="AB528" s="176"/>
      <c r="AC528" s="176"/>
      <c r="AD528" s="176"/>
    </row>
    <row r="529" spans="1:33" s="1" customFormat="1" x14ac:dyDescent="0.25">
      <c r="A529" s="162">
        <v>44235</v>
      </c>
      <c r="B529" s="337" t="s">
        <v>711</v>
      </c>
      <c r="C529" s="282" t="s">
        <v>623</v>
      </c>
      <c r="D529" s="132">
        <v>400</v>
      </c>
      <c r="E529" s="22">
        <v>6.14</v>
      </c>
      <c r="F529" s="16">
        <f t="shared" si="82"/>
        <v>15280</v>
      </c>
      <c r="G529" s="17">
        <f t="shared" si="83"/>
        <v>7.915725752617802</v>
      </c>
      <c r="H529" s="15">
        <f t="shared" si="84"/>
        <v>120952.28950000001</v>
      </c>
      <c r="I529" s="15">
        <f t="shared" si="85"/>
        <v>-27133.089500000016</v>
      </c>
      <c r="J529" s="33">
        <f t="shared" si="86"/>
        <v>-0.2243288623321183</v>
      </c>
      <c r="K529" s="15">
        <f t="shared" si="87"/>
        <v>93819.199999999997</v>
      </c>
      <c r="L529" s="31">
        <f t="shared" si="79"/>
        <v>-2088.2000000000116</v>
      </c>
      <c r="M529" s="31"/>
      <c r="N529" s="31"/>
      <c r="O529" s="31"/>
      <c r="P529" s="31"/>
      <c r="Q529" s="31">
        <f t="shared" si="80"/>
        <v>-2461</v>
      </c>
      <c r="R529" s="34">
        <f t="shared" si="81"/>
        <v>5</v>
      </c>
      <c r="S529" s="31"/>
      <c r="T529" s="31"/>
      <c r="U529" s="31"/>
      <c r="V529" s="31"/>
      <c r="W529" s="31"/>
      <c r="X529" s="25"/>
      <c r="Y529" s="25"/>
      <c r="Z529" s="25"/>
      <c r="AA529" s="25"/>
      <c r="AB529" s="176"/>
      <c r="AC529" s="176"/>
      <c r="AD529" s="176"/>
    </row>
    <row r="530" spans="1:33" s="1" customFormat="1" x14ac:dyDescent="0.25">
      <c r="A530" s="162">
        <v>44236</v>
      </c>
      <c r="B530" s="319"/>
      <c r="C530" s="282" t="s">
        <v>69</v>
      </c>
      <c r="D530" s="132">
        <v>400</v>
      </c>
      <c r="E530" s="22">
        <v>6.31</v>
      </c>
      <c r="F530" s="16">
        <f t="shared" si="82"/>
        <v>14880</v>
      </c>
      <c r="G530" s="17">
        <f t="shared" si="83"/>
        <v>7.9593960685483882</v>
      </c>
      <c r="H530" s="15">
        <f t="shared" si="84"/>
        <v>118435.81350000002</v>
      </c>
      <c r="I530" s="15">
        <f t="shared" si="85"/>
        <v>-24543.01350000003</v>
      </c>
      <c r="J530" s="33">
        <f t="shared" si="86"/>
        <v>-0.20722628379632838</v>
      </c>
      <c r="K530" s="15">
        <f t="shared" si="87"/>
        <v>93892.799999999988</v>
      </c>
      <c r="L530" s="31">
        <f t="shared" si="79"/>
        <v>2590.0759999999864</v>
      </c>
      <c r="M530" s="31"/>
      <c r="N530" s="31"/>
      <c r="O530" s="31"/>
      <c r="P530" s="31"/>
      <c r="Q530" s="31">
        <f t="shared" si="80"/>
        <v>2516.4759999999951</v>
      </c>
      <c r="R530" s="34">
        <f t="shared" si="81"/>
        <v>7.524</v>
      </c>
      <c r="S530" s="31"/>
      <c r="T530" s="31"/>
      <c r="U530" s="31"/>
      <c r="V530" s="31"/>
      <c r="W530" s="31"/>
      <c r="X530" s="25"/>
      <c r="Y530" s="25"/>
      <c r="Z530" s="25"/>
      <c r="AA530" s="25"/>
      <c r="AB530" s="176"/>
      <c r="AC530" s="176"/>
      <c r="AD530" s="176"/>
    </row>
    <row r="531" spans="1:33" s="1" customFormat="1" x14ac:dyDescent="0.25">
      <c r="A531" s="162">
        <v>44245</v>
      </c>
      <c r="B531" s="319"/>
      <c r="C531" s="282" t="s">
        <v>69</v>
      </c>
      <c r="D531" s="132">
        <v>400</v>
      </c>
      <c r="E531" s="22">
        <v>6.52</v>
      </c>
      <c r="F531" s="16">
        <f t="shared" si="82"/>
        <v>14480</v>
      </c>
      <c r="G531" s="17">
        <f t="shared" si="83"/>
        <v>7.9996838052486199</v>
      </c>
      <c r="H531" s="15">
        <f t="shared" si="84"/>
        <v>115835.42150000001</v>
      </c>
      <c r="I531" s="15">
        <f t="shared" si="85"/>
        <v>-21425.82150000002</v>
      </c>
      <c r="J531" s="33">
        <f t="shared" si="86"/>
        <v>-0.18496778638648126</v>
      </c>
      <c r="K531" s="15">
        <f t="shared" si="87"/>
        <v>94409.599999999991</v>
      </c>
      <c r="L531" s="31">
        <f t="shared" si="79"/>
        <v>3117.19200000001</v>
      </c>
      <c r="M531" s="31"/>
      <c r="N531" s="390"/>
      <c r="O531" s="31"/>
      <c r="P531" s="31"/>
      <c r="Q531" s="31">
        <f t="shared" si="80"/>
        <v>2600.3920000000071</v>
      </c>
      <c r="R531" s="34">
        <f t="shared" si="81"/>
        <v>7.6079999999999997</v>
      </c>
      <c r="S531" s="31"/>
      <c r="T531" s="31"/>
      <c r="U531" s="31"/>
      <c r="V531" s="31"/>
      <c r="W531" s="31"/>
      <c r="X531" s="25"/>
      <c r="Y531" s="25"/>
      <c r="Z531" s="25"/>
      <c r="AA531" s="25"/>
      <c r="AB531" s="176"/>
      <c r="AC531" s="176"/>
      <c r="AD531" s="176"/>
    </row>
    <row r="532" spans="1:33" s="70" customFormat="1" x14ac:dyDescent="0.25">
      <c r="A532" s="162">
        <v>44246</v>
      </c>
      <c r="B532" s="400"/>
      <c r="C532" s="306" t="s">
        <v>69</v>
      </c>
      <c r="D532" s="16">
        <v>400</v>
      </c>
      <c r="E532" s="15">
        <v>6.64</v>
      </c>
      <c r="F532" s="102">
        <f t="shared" si="82"/>
        <v>14080</v>
      </c>
      <c r="G532" s="32">
        <f t="shared" si="83"/>
        <v>8.0388549360795469</v>
      </c>
      <c r="H532" s="390">
        <f>IF(C532="买",H531+D532*E532+R532+S532,IF(C532="卖",H531-D532*E532+R532+S532,H531))</f>
        <v>113187.07750000001</v>
      </c>
      <c r="I532" s="390">
        <f t="shared" si="85"/>
        <v>-19695.877500000017</v>
      </c>
      <c r="J532" s="391">
        <f t="shared" si="86"/>
        <v>-0.17401171525079814</v>
      </c>
      <c r="K532" s="390">
        <f>IF(C532="买",F532*E532,IF(C532="卖",F532*E532,K531))</f>
        <v>93491.199999999997</v>
      </c>
      <c r="L532" s="390">
        <f t="shared" si="79"/>
        <v>1729.9440000000031</v>
      </c>
      <c r="M532" s="390"/>
      <c r="N532" s="390"/>
      <c r="O532" s="390"/>
      <c r="P532" s="32"/>
      <c r="Q532" s="31">
        <f t="shared" si="80"/>
        <v>2648.3439999999973</v>
      </c>
      <c r="R532" s="393">
        <f t="shared" si="81"/>
        <v>7.6559999999999997</v>
      </c>
      <c r="S532" s="393"/>
      <c r="T532" s="393"/>
      <c r="U532" s="393"/>
      <c r="V532" s="31"/>
      <c r="W532" s="32"/>
      <c r="X532" s="32"/>
      <c r="Y532" s="32"/>
      <c r="Z532" s="394"/>
      <c r="AA532" s="31"/>
      <c r="AB532" s="322"/>
      <c r="AC532" s="237"/>
      <c r="AD532" s="237"/>
      <c r="AE532" s="165"/>
      <c r="AF532" s="165"/>
      <c r="AG532" s="165"/>
    </row>
    <row r="533" spans="1:33" x14ac:dyDescent="0.25">
      <c r="A533" s="162">
        <v>44249</v>
      </c>
      <c r="B533" s="400"/>
      <c r="C533" s="306" t="s">
        <v>69</v>
      </c>
      <c r="D533" s="16">
        <v>400</v>
      </c>
      <c r="E533" s="15">
        <v>6.81</v>
      </c>
      <c r="F533" s="102">
        <f>IF(C533="买",F532+D533,IF(C533="卖",F532-D533,F532))</f>
        <v>13680</v>
      </c>
      <c r="G533" s="32">
        <f t="shared" ref="G533" si="88">H533/F533</f>
        <v>8.0753509868421069</v>
      </c>
      <c r="H533" s="390">
        <f>IF(C533="买",H532+D533*E533+R533+S533,IF(C533="卖",H532-D533*E533+R533+S533,H532))</f>
        <v>110470.80150000002</v>
      </c>
      <c r="I533" s="390">
        <f t="shared" ref="I533:I539" si="89">-H533+K533</f>
        <v>-17310.001500000028</v>
      </c>
      <c r="J533" s="391">
        <f t="shared" ref="J533:J539" si="90">(E533-G533)/G533</f>
        <v>-0.1566930018155071</v>
      </c>
      <c r="K533" s="390">
        <f t="shared" ref="K533:K539" si="91">F533*E533</f>
        <v>93160.799999999988</v>
      </c>
      <c r="L533" s="390">
        <f>I533-I532</f>
        <v>2385.8759999999893</v>
      </c>
      <c r="M533" s="390" t="str">
        <f>Uncovered(0)</f>
        <v>0@0</v>
      </c>
      <c r="N533" s="390" t="str">
        <f>Uncovered(1)</f>
        <v>0@0</v>
      </c>
      <c r="O533" s="143"/>
      <c r="P533" s="32"/>
      <c r="Q533" s="31">
        <f>(H533-H532)*-1</f>
        <v>2716.275999999998</v>
      </c>
      <c r="R533" s="393">
        <f t="shared" ref="R533:R539" si="92">commission($B$2,C533,D533,E533)</f>
        <v>7.7240000000000002</v>
      </c>
      <c r="S533" s="393"/>
      <c r="T533" s="393"/>
      <c r="U533" s="393"/>
      <c r="V533" s="31"/>
      <c r="W533" s="32"/>
      <c r="X533" s="32"/>
      <c r="Y533" s="32"/>
      <c r="Z533" s="394" t="e">
        <f t="shared" ref="Z533:Z539" si="93">F533/U533</f>
        <v>#DIV/0!</v>
      </c>
      <c r="AA533" s="31"/>
      <c r="AB533" s="322"/>
      <c r="AC533" s="40">
        <f t="shared" ref="AC533:AC539" si="94">I533/E533*(1-0.0005)</f>
        <v>-2540.5795153083745</v>
      </c>
      <c r="AD533" s="40">
        <f t="shared" ref="AD533:AD539" si="95">AC533-F533</f>
        <v>-16220.579515308375</v>
      </c>
    </row>
    <row r="534" spans="1:33" x14ac:dyDescent="0.25">
      <c r="A534" s="162">
        <v>44249</v>
      </c>
      <c r="B534" s="400"/>
      <c r="C534" s="306" t="s">
        <v>69</v>
      </c>
      <c r="D534" s="16">
        <v>400</v>
      </c>
      <c r="E534" s="15">
        <v>6.92</v>
      </c>
      <c r="F534" s="102">
        <f t="shared" ref="F534:F553" si="96">IF(C534="买",F533+D534,IF(C534="卖",F533-D534,F533))</f>
        <v>13280</v>
      </c>
      <c r="G534" s="32">
        <f t="shared" ref="G534:G553" si="97">H534/F534</f>
        <v>8.1107356551204823</v>
      </c>
      <c r="H534" s="390">
        <f t="shared" ref="H534:H553" si="98">IF(C534="买",H533+D534*E534+R534+S534,IF(C534="卖",H533-D534*E534+R534+S534,H533))</f>
        <v>107710.56950000001</v>
      </c>
      <c r="I534" s="390">
        <f t="shared" si="89"/>
        <v>-15812.969500000007</v>
      </c>
      <c r="J534" s="391">
        <f t="shared" si="90"/>
        <v>-0.14680982166750131</v>
      </c>
      <c r="K534" s="390">
        <f t="shared" si="91"/>
        <v>91897.600000000006</v>
      </c>
      <c r="L534" s="390">
        <f t="shared" ref="L534:L539" si="99">I534-I533</f>
        <v>1497.0320000000211</v>
      </c>
      <c r="M534" s="390"/>
      <c r="N534" s="390" t="str">
        <f>Uncovered(1)</f>
        <v>0@0</v>
      </c>
      <c r="O534" s="143" t="str">
        <f>Covered(0)</f>
        <v>0@0</v>
      </c>
      <c r="P534" s="32" t="str">
        <f>Covered(1)</f>
        <v>0@0</v>
      </c>
      <c r="Q534" s="31">
        <f t="shared" ref="Q534:Q539" si="100">(H534-H533)*-1</f>
        <v>2760.2320000000036</v>
      </c>
      <c r="R534" s="393">
        <f t="shared" si="92"/>
        <v>7.7679999999999998</v>
      </c>
      <c r="S534" s="393"/>
      <c r="T534" s="393"/>
      <c r="U534" s="393"/>
      <c r="V534" s="31"/>
      <c r="W534" s="32"/>
      <c r="X534" s="32"/>
      <c r="Y534" s="32"/>
      <c r="Z534" s="394" t="e">
        <f t="shared" si="93"/>
        <v>#DIV/0!</v>
      </c>
      <c r="AA534" s="31"/>
      <c r="AB534" s="322"/>
      <c r="AC534" s="40">
        <f t="shared" si="94"/>
        <v>-2283.9686438222557</v>
      </c>
      <c r="AD534" s="40">
        <f t="shared" si="95"/>
        <v>-15563.968643822256</v>
      </c>
    </row>
    <row r="535" spans="1:33" x14ac:dyDescent="0.25">
      <c r="B535" s="400"/>
      <c r="C535" s="306" t="s">
        <v>69</v>
      </c>
      <c r="D535" s="16">
        <v>400</v>
      </c>
      <c r="E535" s="15">
        <f t="shared" ref="E535:E553" si="101">E534+0.1</f>
        <v>7.02</v>
      </c>
      <c r="F535" s="102">
        <f t="shared" si="96"/>
        <v>12880</v>
      </c>
      <c r="G535" s="32">
        <f t="shared" si="97"/>
        <v>8.1452156444099391</v>
      </c>
      <c r="H535" s="390">
        <f t="shared" si="98"/>
        <v>104910.37750000002</v>
      </c>
      <c r="I535" s="390">
        <f t="shared" si="89"/>
        <v>-14492.777500000026</v>
      </c>
      <c r="J535" s="391">
        <f t="shared" si="90"/>
        <v>-0.13814436517493248</v>
      </c>
      <c r="K535" s="390">
        <f t="shared" si="91"/>
        <v>90417.599999999991</v>
      </c>
      <c r="L535" s="390">
        <f t="shared" si="99"/>
        <v>1320.1919999999809</v>
      </c>
      <c r="M535" s="390"/>
      <c r="N535" s="390"/>
      <c r="O535" s="143"/>
      <c r="P535" s="32"/>
      <c r="Q535" s="31">
        <f t="shared" si="100"/>
        <v>2800.1919999999955</v>
      </c>
      <c r="R535" s="393">
        <f t="shared" si="92"/>
        <v>7.8079999999999998</v>
      </c>
      <c r="S535" s="393"/>
      <c r="T535" s="393"/>
      <c r="U535" s="393"/>
      <c r="V535" s="31"/>
      <c r="W535" s="32"/>
      <c r="X535" s="32"/>
      <c r="Y535" s="32"/>
      <c r="Z535" s="394" t="e">
        <f t="shared" si="93"/>
        <v>#DIV/0!</v>
      </c>
      <c r="AA535" s="31"/>
      <c r="AB535" s="322"/>
      <c r="AC535" s="40">
        <f t="shared" si="94"/>
        <v>-2063.4659702635367</v>
      </c>
      <c r="AD535" s="40">
        <f t="shared" si="95"/>
        <v>-14943.465970263536</v>
      </c>
    </row>
    <row r="536" spans="1:33" x14ac:dyDescent="0.25">
      <c r="B536" s="400"/>
      <c r="C536" s="306" t="s">
        <v>69</v>
      </c>
      <c r="D536" s="16">
        <v>400</v>
      </c>
      <c r="E536" s="15">
        <f t="shared" si="101"/>
        <v>7.1199999999999992</v>
      </c>
      <c r="F536" s="102">
        <f t="shared" si="96"/>
        <v>12480</v>
      </c>
      <c r="G536" s="32">
        <f t="shared" si="97"/>
        <v>8.1787039663461556</v>
      </c>
      <c r="H536" s="390">
        <f t="shared" si="98"/>
        <v>102070.22550000002</v>
      </c>
      <c r="I536" s="390">
        <f t="shared" si="89"/>
        <v>-13212.625500000024</v>
      </c>
      <c r="J536" s="391">
        <f t="shared" si="90"/>
        <v>-0.1294464221596143</v>
      </c>
      <c r="K536" s="390">
        <f t="shared" si="91"/>
        <v>88857.599999999991</v>
      </c>
      <c r="L536" s="390">
        <f t="shared" si="99"/>
        <v>1280.1520000000019</v>
      </c>
      <c r="M536" s="390"/>
      <c r="N536" s="390"/>
      <c r="O536" s="143"/>
      <c r="P536" s="32"/>
      <c r="Q536" s="31">
        <f t="shared" si="100"/>
        <v>2840.1520000000019</v>
      </c>
      <c r="R536" s="393">
        <f t="shared" si="92"/>
        <v>7.8479999999999999</v>
      </c>
      <c r="S536" s="393"/>
      <c r="T536" s="393"/>
      <c r="U536" s="393"/>
      <c r="V536" s="31"/>
      <c r="W536" s="32"/>
      <c r="X536" s="32"/>
      <c r="Y536" s="32"/>
      <c r="Z536" s="394" t="e">
        <f t="shared" si="93"/>
        <v>#DIV/0!</v>
      </c>
      <c r="AA536" s="31"/>
      <c r="AB536" s="322"/>
      <c r="AC536" s="40">
        <f t="shared" si="94"/>
        <v>-1854.7779757373632</v>
      </c>
      <c r="AD536" s="40">
        <f t="shared" si="95"/>
        <v>-14334.777975737363</v>
      </c>
    </row>
    <row r="537" spans="1:33" x14ac:dyDescent="0.25">
      <c r="B537" s="400"/>
      <c r="C537" s="306" t="s">
        <v>69</v>
      </c>
      <c r="D537" s="16">
        <v>400</v>
      </c>
      <c r="E537" s="15">
        <f t="shared" si="101"/>
        <v>7.2199999999999989</v>
      </c>
      <c r="F537" s="102">
        <f t="shared" si="96"/>
        <v>12080</v>
      </c>
      <c r="G537" s="32">
        <f t="shared" si="97"/>
        <v>8.211102110927154</v>
      </c>
      <c r="H537" s="390">
        <f t="shared" si="98"/>
        <v>99190.113500000021</v>
      </c>
      <c r="I537" s="390">
        <f t="shared" si="89"/>
        <v>-11972.51350000003</v>
      </c>
      <c r="J537" s="391">
        <f t="shared" si="90"/>
        <v>-0.12070268978974434</v>
      </c>
      <c r="K537" s="390">
        <f t="shared" si="91"/>
        <v>87217.599999999991</v>
      </c>
      <c r="L537" s="390">
        <f t="shared" si="99"/>
        <v>1240.1119999999937</v>
      </c>
      <c r="M537" s="390"/>
      <c r="N537" s="390"/>
      <c r="O537" s="143"/>
      <c r="P537" s="32"/>
      <c r="Q537" s="31">
        <f t="shared" si="100"/>
        <v>2880.1119999999937</v>
      </c>
      <c r="R537" s="393">
        <f t="shared" si="92"/>
        <v>7.8879999999999999</v>
      </c>
      <c r="S537" s="393"/>
      <c r="T537" s="393"/>
      <c r="U537" s="393"/>
      <c r="V537" s="31"/>
      <c r="W537" s="32"/>
      <c r="X537" s="32"/>
      <c r="Y537" s="32"/>
      <c r="Z537" s="394" t="e">
        <f t="shared" si="93"/>
        <v>#DIV/0!</v>
      </c>
      <c r="AA537" s="31"/>
      <c r="AB537" s="322"/>
      <c r="AC537" s="40">
        <f t="shared" si="94"/>
        <v>-1657.4137456024976</v>
      </c>
      <c r="AD537" s="40">
        <f t="shared" si="95"/>
        <v>-13737.413745602498</v>
      </c>
    </row>
    <row r="538" spans="1:33" x14ac:dyDescent="0.25">
      <c r="B538" s="400"/>
      <c r="C538" s="306" t="s">
        <v>69</v>
      </c>
      <c r="D538" s="16">
        <v>400</v>
      </c>
      <c r="E538" s="15">
        <f t="shared" si="101"/>
        <v>7.3199999999999985</v>
      </c>
      <c r="F538" s="102">
        <f t="shared" si="96"/>
        <v>11680</v>
      </c>
      <c r="G538" s="32">
        <f t="shared" si="97"/>
        <v>8.2422980736301383</v>
      </c>
      <c r="H538" s="390">
        <f t="shared" si="98"/>
        <v>96270.041500000021</v>
      </c>
      <c r="I538" s="390">
        <f t="shared" si="89"/>
        <v>-10772.441500000044</v>
      </c>
      <c r="J538" s="391">
        <f t="shared" si="90"/>
        <v>-0.11189817031500948</v>
      </c>
      <c r="K538" s="390">
        <f t="shared" si="91"/>
        <v>85497.599999999977</v>
      </c>
      <c r="L538" s="390">
        <f t="shared" si="99"/>
        <v>1200.0719999999856</v>
      </c>
      <c r="M538" s="390"/>
      <c r="N538" s="390"/>
      <c r="O538" s="143"/>
      <c r="P538" s="32"/>
      <c r="Q538" s="31">
        <f t="shared" si="100"/>
        <v>2920.0720000000001</v>
      </c>
      <c r="R538" s="393">
        <f t="shared" si="92"/>
        <v>7.927999999999999</v>
      </c>
      <c r="S538" s="393"/>
      <c r="T538" s="393"/>
      <c r="U538" s="393"/>
      <c r="V538" s="31"/>
      <c r="W538" s="32"/>
      <c r="X538" s="32"/>
      <c r="Y538" s="32"/>
      <c r="Z538" s="394" t="e">
        <f t="shared" si="93"/>
        <v>#DIV/0!</v>
      </c>
      <c r="AA538" s="31"/>
      <c r="AB538" s="322"/>
      <c r="AC538" s="40">
        <f t="shared" si="94"/>
        <v>-1470.909191154378</v>
      </c>
      <c r="AD538" s="40">
        <f t="shared" si="95"/>
        <v>-13150.909191154378</v>
      </c>
    </row>
    <row r="539" spans="1:33" x14ac:dyDescent="0.25">
      <c r="B539" s="401"/>
      <c r="C539" s="306" t="s">
        <v>69</v>
      </c>
      <c r="D539" s="16">
        <v>400</v>
      </c>
      <c r="E539" s="15">
        <f t="shared" si="101"/>
        <v>7.4199999999999982</v>
      </c>
      <c r="F539" s="102">
        <f t="shared" si="96"/>
        <v>11280</v>
      </c>
      <c r="G539" s="32">
        <f t="shared" si="97"/>
        <v>8.2721639627659584</v>
      </c>
      <c r="H539" s="390">
        <f t="shared" si="98"/>
        <v>93310.009500000015</v>
      </c>
      <c r="I539" s="392">
        <f t="shared" si="89"/>
        <v>-9612.409500000038</v>
      </c>
      <c r="J539" s="397">
        <f t="shared" si="90"/>
        <v>-0.1030158452614886</v>
      </c>
      <c r="K539" s="392">
        <f t="shared" si="91"/>
        <v>83697.599999999977</v>
      </c>
      <c r="L539" s="392">
        <f t="shared" si="99"/>
        <v>1160.0320000000065</v>
      </c>
      <c r="M539" s="392"/>
      <c r="N539" s="392"/>
      <c r="O539" s="143"/>
      <c r="P539" s="303"/>
      <c r="Q539" s="278">
        <f t="shared" si="100"/>
        <v>2960.0320000000065</v>
      </c>
      <c r="R539" s="398">
        <f t="shared" si="92"/>
        <v>7.9679999999999991</v>
      </c>
      <c r="S539" s="398"/>
      <c r="T539" s="398"/>
      <c r="U539" s="398"/>
      <c r="V539" s="278"/>
      <c r="W539" s="303"/>
      <c r="X539" s="303"/>
      <c r="Y539" s="303"/>
      <c r="Z539" s="399" t="e">
        <f t="shared" si="93"/>
        <v>#DIV/0!</v>
      </c>
      <c r="AA539" s="278"/>
      <c r="AB539" s="275"/>
      <c r="AC539" s="237">
        <f t="shared" si="94"/>
        <v>-1294.825241947445</v>
      </c>
      <c r="AD539" s="237">
        <f t="shared" si="95"/>
        <v>-12574.825241947445</v>
      </c>
    </row>
    <row r="540" spans="1:33" x14ac:dyDescent="0.25">
      <c r="B540" s="400"/>
      <c r="C540" s="306" t="s">
        <v>69</v>
      </c>
      <c r="D540" s="16">
        <v>400</v>
      </c>
      <c r="E540" s="15">
        <f t="shared" si="101"/>
        <v>7.5199999999999978</v>
      </c>
      <c r="F540" s="102">
        <f t="shared" si="96"/>
        <v>10880</v>
      </c>
      <c r="G540" s="32">
        <f t="shared" si="97"/>
        <v>8.3005530790441195</v>
      </c>
      <c r="H540" s="390">
        <f t="shared" si="98"/>
        <v>90310.017500000016</v>
      </c>
      <c r="I540" s="390">
        <f t="shared" ref="I540:I553" si="102">-H540+K540</f>
        <v>-8492.4175000000396</v>
      </c>
      <c r="J540" s="391">
        <f t="shared" ref="J540:J553" si="103">(E540-G540)/G540</f>
        <v>-9.4036273439987342E-2</v>
      </c>
      <c r="K540" s="390">
        <f t="shared" ref="K540:K553" si="104">F540*E540</f>
        <v>81817.599999999977</v>
      </c>
      <c r="L540" s="390">
        <f t="shared" ref="L540:L553" si="105">I540-I539</f>
        <v>1119.9919999999984</v>
      </c>
      <c r="M540" s="390"/>
      <c r="N540" s="390"/>
      <c r="O540" s="392"/>
      <c r="P540" s="32"/>
      <c r="Q540" s="31">
        <f t="shared" ref="Q540:Q553" si="106">(H540-H539)*-1</f>
        <v>2999.9919999999984</v>
      </c>
      <c r="R540" s="393">
        <f t="shared" ref="R540:R553" si="107">commission($B$2,C540,D540,E540)</f>
        <v>8.0079999999999991</v>
      </c>
      <c r="S540" s="393"/>
      <c r="T540" s="393"/>
      <c r="U540" s="393"/>
      <c r="V540" s="31"/>
      <c r="W540" s="32"/>
      <c r="X540" s="32"/>
      <c r="Y540" s="32"/>
      <c r="Z540" s="394"/>
      <c r="AA540" s="31"/>
      <c r="AB540" s="322"/>
      <c r="AC540" s="40"/>
      <c r="AD540" s="40"/>
    </row>
    <row r="541" spans="1:33" x14ac:dyDescent="0.25">
      <c r="B541" s="400"/>
      <c r="C541" s="306" t="s">
        <v>69</v>
      </c>
      <c r="D541" s="16">
        <v>400</v>
      </c>
      <c r="E541" s="15">
        <f t="shared" si="101"/>
        <v>7.6199999999999974</v>
      </c>
      <c r="F541" s="102">
        <f t="shared" si="96"/>
        <v>10480</v>
      </c>
      <c r="G541" s="32">
        <f t="shared" si="97"/>
        <v>8.3272963263358797</v>
      </c>
      <c r="H541" s="390">
        <f t="shared" si="98"/>
        <v>87270.065500000012</v>
      </c>
      <c r="I541" s="390">
        <f t="shared" si="102"/>
        <v>-7412.4655000000348</v>
      </c>
      <c r="J541" s="391">
        <f t="shared" si="103"/>
        <v>-8.4937091057873032E-2</v>
      </c>
      <c r="K541" s="390">
        <f t="shared" si="104"/>
        <v>79857.599999999977</v>
      </c>
      <c r="L541" s="390">
        <f t="shared" si="105"/>
        <v>1079.9520000000048</v>
      </c>
      <c r="M541" s="390"/>
      <c r="N541" s="390"/>
      <c r="O541" s="143"/>
      <c r="P541" s="32"/>
      <c r="Q541" s="31">
        <f t="shared" si="106"/>
        <v>3039.9520000000048</v>
      </c>
      <c r="R541" s="393">
        <f t="shared" si="107"/>
        <v>8.0479999999999983</v>
      </c>
      <c r="S541" s="393"/>
      <c r="T541" s="393"/>
      <c r="U541" s="393"/>
      <c r="V541" s="31"/>
      <c r="W541" s="32"/>
      <c r="X541" s="32"/>
      <c r="Y541" s="32"/>
      <c r="Z541" s="394"/>
      <c r="AA541" s="31"/>
      <c r="AB541" s="322"/>
      <c r="AC541" s="40"/>
      <c r="AD541" s="40"/>
    </row>
    <row r="542" spans="1:33" x14ac:dyDescent="0.25">
      <c r="B542" s="400"/>
      <c r="C542" s="306" t="s">
        <v>69</v>
      </c>
      <c r="D542" s="16">
        <v>400</v>
      </c>
      <c r="E542" s="15">
        <f t="shared" si="101"/>
        <v>7.7199999999999971</v>
      </c>
      <c r="F542" s="102">
        <f t="shared" si="96"/>
        <v>10080</v>
      </c>
      <c r="G542" s="32">
        <f t="shared" si="97"/>
        <v>8.3521977678571435</v>
      </c>
      <c r="H542" s="390">
        <f t="shared" si="98"/>
        <v>84190.153500000015</v>
      </c>
      <c r="I542" s="390">
        <f t="shared" si="102"/>
        <v>-6372.5535000000382</v>
      </c>
      <c r="J542" s="391">
        <f t="shared" si="103"/>
        <v>-7.5692384858284348E-2</v>
      </c>
      <c r="K542" s="390">
        <f t="shared" si="104"/>
        <v>77817.599999999977</v>
      </c>
      <c r="L542" s="390">
        <f t="shared" si="105"/>
        <v>1039.9119999999966</v>
      </c>
      <c r="M542" s="390"/>
      <c r="N542" s="390"/>
      <c r="O542" s="143"/>
      <c r="P542" s="32"/>
      <c r="Q542" s="31">
        <f t="shared" si="106"/>
        <v>3079.9119999999966</v>
      </c>
      <c r="R542" s="393">
        <f t="shared" si="107"/>
        <v>8.0879999999999992</v>
      </c>
      <c r="S542" s="393"/>
      <c r="T542" s="393"/>
      <c r="U542" s="393"/>
      <c r="V542" s="31"/>
      <c r="W542" s="32"/>
      <c r="X542" s="32"/>
      <c r="Y542" s="32"/>
      <c r="Z542" s="394"/>
      <c r="AA542" s="31"/>
      <c r="AB542" s="322"/>
      <c r="AC542" s="40"/>
      <c r="AD542" s="40"/>
    </row>
    <row r="543" spans="1:33" x14ac:dyDescent="0.25">
      <c r="B543" s="400"/>
      <c r="C543" s="306" t="s">
        <v>69</v>
      </c>
      <c r="D543" s="16">
        <v>400</v>
      </c>
      <c r="E543" s="15">
        <f t="shared" si="101"/>
        <v>7.8199999999999967</v>
      </c>
      <c r="F543" s="102">
        <f t="shared" si="96"/>
        <v>9680</v>
      </c>
      <c r="G543" s="32">
        <f t="shared" si="97"/>
        <v>8.3750290805785141</v>
      </c>
      <c r="H543" s="390">
        <f t="shared" si="98"/>
        <v>81070.281500000012</v>
      </c>
      <c r="I543" s="390">
        <f t="shared" si="102"/>
        <v>-5372.6815000000497</v>
      </c>
      <c r="J543" s="391">
        <f t="shared" si="103"/>
        <v>-6.6271898907863641E-2</v>
      </c>
      <c r="K543" s="390">
        <f t="shared" si="104"/>
        <v>75697.599999999962</v>
      </c>
      <c r="L543" s="390">
        <f t="shared" si="105"/>
        <v>999.87199999998847</v>
      </c>
      <c r="M543" s="390"/>
      <c r="N543" s="390"/>
      <c r="O543" s="143"/>
      <c r="P543" s="32"/>
      <c r="Q543" s="31">
        <f t="shared" si="106"/>
        <v>3119.872000000003</v>
      </c>
      <c r="R543" s="393">
        <f t="shared" si="107"/>
        <v>8.1279999999999983</v>
      </c>
      <c r="S543" s="393"/>
      <c r="T543" s="393"/>
      <c r="U543" s="393"/>
      <c r="V543" s="31"/>
      <c r="W543" s="32"/>
      <c r="X543" s="32"/>
      <c r="Y543" s="32"/>
      <c r="Z543" s="394"/>
      <c r="AA543" s="31"/>
      <c r="AB543" s="322"/>
      <c r="AC543" s="40"/>
      <c r="AD543" s="40"/>
    </row>
    <row r="544" spans="1:33" x14ac:dyDescent="0.25">
      <c r="B544" s="400"/>
      <c r="C544" s="306" t="s">
        <v>69</v>
      </c>
      <c r="D544" s="16">
        <v>400</v>
      </c>
      <c r="E544" s="15">
        <f t="shared" si="101"/>
        <v>7.9199999999999964</v>
      </c>
      <c r="F544" s="102">
        <f t="shared" si="96"/>
        <v>9280</v>
      </c>
      <c r="G544" s="32">
        <f t="shared" si="97"/>
        <v>8.3955225754310359</v>
      </c>
      <c r="H544" s="390">
        <f t="shared" si="98"/>
        <v>77910.449500000017</v>
      </c>
      <c r="I544" s="390">
        <f t="shared" si="102"/>
        <v>-4412.8495000000548</v>
      </c>
      <c r="J544" s="391">
        <f t="shared" si="103"/>
        <v>-5.6640021053915829E-2</v>
      </c>
      <c r="K544" s="390">
        <f t="shared" si="104"/>
        <v>73497.599999999962</v>
      </c>
      <c r="L544" s="390">
        <f t="shared" si="105"/>
        <v>959.83199999999488</v>
      </c>
      <c r="M544" s="390"/>
      <c r="N544" s="390"/>
      <c r="O544" s="143"/>
      <c r="P544" s="32"/>
      <c r="Q544" s="31">
        <f t="shared" si="106"/>
        <v>3159.8319999999949</v>
      </c>
      <c r="R544" s="393">
        <f t="shared" si="107"/>
        <v>8.1679999999999993</v>
      </c>
      <c r="S544" s="393"/>
      <c r="T544" s="393"/>
      <c r="U544" s="393"/>
      <c r="V544" s="31"/>
      <c r="W544" s="32"/>
      <c r="X544" s="32"/>
      <c r="Y544" s="32"/>
      <c r="Z544" s="394"/>
      <c r="AA544" s="31"/>
      <c r="AB544" s="322"/>
      <c r="AC544" s="40"/>
      <c r="AD544" s="40"/>
    </row>
    <row r="545" spans="2:30" x14ac:dyDescent="0.25">
      <c r="B545" s="400"/>
      <c r="C545" s="306" t="s">
        <v>69</v>
      </c>
      <c r="D545" s="16">
        <v>400</v>
      </c>
      <c r="E545" s="15">
        <f t="shared" si="101"/>
        <v>8.019999999999996</v>
      </c>
      <c r="F545" s="102">
        <f t="shared" si="96"/>
        <v>8880</v>
      </c>
      <c r="G545" s="32">
        <f t="shared" si="97"/>
        <v>8.4133623310810837</v>
      </c>
      <c r="H545" s="390">
        <f t="shared" si="98"/>
        <v>74710.657500000016</v>
      </c>
      <c r="I545" s="390">
        <f t="shared" si="102"/>
        <v>-3493.0575000000536</v>
      </c>
      <c r="J545" s="391">
        <f t="shared" si="103"/>
        <v>-4.6754474085575502E-2</v>
      </c>
      <c r="K545" s="390">
        <f t="shared" si="104"/>
        <v>71217.599999999962</v>
      </c>
      <c r="L545" s="390">
        <f t="shared" si="105"/>
        <v>919.79200000000128</v>
      </c>
      <c r="M545" s="390"/>
      <c r="N545" s="390"/>
      <c r="O545" s="143"/>
      <c r="P545" s="32"/>
      <c r="Q545" s="31">
        <f t="shared" si="106"/>
        <v>3199.7920000000013</v>
      </c>
      <c r="R545" s="393">
        <f t="shared" si="107"/>
        <v>8.2079999999999984</v>
      </c>
      <c r="S545" s="393"/>
      <c r="T545" s="393"/>
      <c r="U545" s="393"/>
      <c r="V545" s="31"/>
      <c r="W545" s="32"/>
      <c r="X545" s="32"/>
      <c r="Y545" s="32"/>
      <c r="Z545" s="394"/>
      <c r="AA545" s="31"/>
      <c r="AB545" s="322"/>
      <c r="AC545" s="40"/>
      <c r="AD545" s="40"/>
    </row>
    <row r="546" spans="2:30" x14ac:dyDescent="0.25">
      <c r="B546" s="400"/>
      <c r="C546" s="306" t="s">
        <v>69</v>
      </c>
      <c r="D546" s="16">
        <v>400</v>
      </c>
      <c r="E546" s="15">
        <f t="shared" si="101"/>
        <v>8.1199999999999957</v>
      </c>
      <c r="F546" s="102">
        <f t="shared" si="96"/>
        <v>8480</v>
      </c>
      <c r="G546" s="32">
        <f t="shared" si="97"/>
        <v>8.428172818396229</v>
      </c>
      <c r="H546" s="390">
        <f t="shared" si="98"/>
        <v>71470.905500000023</v>
      </c>
      <c r="I546" s="390">
        <f t="shared" si="102"/>
        <v>-2613.3055000000604</v>
      </c>
      <c r="J546" s="391">
        <f t="shared" si="103"/>
        <v>-3.6564605999011138E-2</v>
      </c>
      <c r="K546" s="390">
        <f t="shared" si="104"/>
        <v>68857.599999999962</v>
      </c>
      <c r="L546" s="390">
        <f t="shared" si="105"/>
        <v>879.75199999999313</v>
      </c>
      <c r="M546" s="390"/>
      <c r="N546" s="390"/>
      <c r="O546" s="143"/>
      <c r="P546" s="32"/>
      <c r="Q546" s="31">
        <f t="shared" si="106"/>
        <v>3239.7519999999931</v>
      </c>
      <c r="R546" s="393">
        <f t="shared" si="107"/>
        <v>8.2479999999999976</v>
      </c>
      <c r="S546" s="393"/>
      <c r="T546" s="393"/>
      <c r="U546" s="393"/>
      <c r="V546" s="31"/>
      <c r="W546" s="32"/>
      <c r="X546" s="32"/>
      <c r="Y546" s="32"/>
      <c r="Z546" s="394"/>
      <c r="AA546" s="31"/>
      <c r="AB546" s="322"/>
      <c r="AC546" s="40"/>
      <c r="AD546" s="40"/>
    </row>
    <row r="547" spans="2:30" x14ac:dyDescent="0.25">
      <c r="B547" s="400"/>
      <c r="C547" s="306" t="s">
        <v>69</v>
      </c>
      <c r="D547" s="16">
        <v>400</v>
      </c>
      <c r="E547" s="15">
        <f t="shared" si="101"/>
        <v>8.2199999999999953</v>
      </c>
      <c r="F547" s="102">
        <f t="shared" si="96"/>
        <v>8080</v>
      </c>
      <c r="G547" s="32">
        <f t="shared" si="97"/>
        <v>8.4395041460396065</v>
      </c>
      <c r="H547" s="390">
        <f t="shared" si="98"/>
        <v>68191.193500000023</v>
      </c>
      <c r="I547" s="390">
        <f t="shared" si="102"/>
        <v>-1773.5935000000609</v>
      </c>
      <c r="J547" s="391">
        <f t="shared" si="103"/>
        <v>-2.600912829015169E-2</v>
      </c>
      <c r="K547" s="390">
        <f t="shared" si="104"/>
        <v>66417.599999999962</v>
      </c>
      <c r="L547" s="390">
        <f t="shared" si="105"/>
        <v>839.71199999999953</v>
      </c>
      <c r="M547" s="390"/>
      <c r="N547" s="390"/>
      <c r="O547" s="143"/>
      <c r="P547" s="32"/>
      <c r="Q547" s="31">
        <f t="shared" si="106"/>
        <v>3279.7119999999995</v>
      </c>
      <c r="R547" s="393">
        <f t="shared" si="107"/>
        <v>8.2879999999999985</v>
      </c>
      <c r="S547" s="393"/>
      <c r="T547" s="393"/>
      <c r="U547" s="393"/>
      <c r="V547" s="31"/>
      <c r="W547" s="32"/>
      <c r="X547" s="32"/>
      <c r="Y547" s="32"/>
      <c r="Z547" s="394"/>
      <c r="AA547" s="31"/>
      <c r="AB547" s="322"/>
      <c r="AC547" s="40"/>
      <c r="AD547" s="40"/>
    </row>
    <row r="548" spans="2:30" x14ac:dyDescent="0.25">
      <c r="B548" s="400"/>
      <c r="C548" s="306" t="s">
        <v>69</v>
      </c>
      <c r="D548" s="16">
        <v>400</v>
      </c>
      <c r="E548" s="15">
        <f t="shared" si="101"/>
        <v>8.319999999999995</v>
      </c>
      <c r="F548" s="102">
        <f t="shared" si="96"/>
        <v>7680</v>
      </c>
      <c r="G548" s="32">
        <f t="shared" si="97"/>
        <v>8.446812695312504</v>
      </c>
      <c r="H548" s="390">
        <f t="shared" si="98"/>
        <v>64871.521500000024</v>
      </c>
      <c r="I548" s="390">
        <f t="shared" si="102"/>
        <v>-973.92150000006222</v>
      </c>
      <c r="J548" s="391">
        <f t="shared" si="103"/>
        <v>-1.5013082435565645E-2</v>
      </c>
      <c r="K548" s="390">
        <f t="shared" si="104"/>
        <v>63897.599999999962</v>
      </c>
      <c r="L548" s="390">
        <f t="shared" si="105"/>
        <v>799.67199999999866</v>
      </c>
      <c r="M548" s="390"/>
      <c r="N548" s="390"/>
      <c r="O548" s="143"/>
      <c r="P548" s="32"/>
      <c r="Q548" s="31">
        <f t="shared" si="106"/>
        <v>3319.6719999999987</v>
      </c>
      <c r="R548" s="393">
        <f t="shared" si="107"/>
        <v>8.3279999999999976</v>
      </c>
      <c r="S548" s="393"/>
      <c r="T548" s="393"/>
      <c r="U548" s="393"/>
      <c r="V548" s="31"/>
      <c r="W548" s="32"/>
      <c r="X548" s="32"/>
      <c r="Y548" s="32"/>
      <c r="Z548" s="394"/>
      <c r="AA548" s="31"/>
      <c r="AB548" s="322"/>
      <c r="AC548" s="40"/>
      <c r="AD548" s="40"/>
    </row>
    <row r="549" spans="2:30" x14ac:dyDescent="0.25">
      <c r="B549" s="400"/>
      <c r="C549" s="306" t="s">
        <v>69</v>
      </c>
      <c r="D549" s="16">
        <v>400</v>
      </c>
      <c r="E549" s="15">
        <f t="shared" si="101"/>
        <v>8.4199999999999946</v>
      </c>
      <c r="F549" s="102">
        <f t="shared" si="96"/>
        <v>7280</v>
      </c>
      <c r="G549" s="32">
        <f t="shared" si="97"/>
        <v>8.4494353708791241</v>
      </c>
      <c r="H549" s="390">
        <f t="shared" si="98"/>
        <v>61511.889500000027</v>
      </c>
      <c r="I549" s="390">
        <f t="shared" si="102"/>
        <v>-214.28950000006444</v>
      </c>
      <c r="J549" s="391">
        <f t="shared" si="103"/>
        <v>-3.4837086251441316E-3</v>
      </c>
      <c r="K549" s="390">
        <f t="shared" si="104"/>
        <v>61297.599999999962</v>
      </c>
      <c r="L549" s="390">
        <f t="shared" si="105"/>
        <v>759.63199999999779</v>
      </c>
      <c r="M549" s="390"/>
      <c r="N549" s="390"/>
      <c r="O549" s="143"/>
      <c r="P549" s="32"/>
      <c r="Q549" s="31">
        <f t="shared" si="106"/>
        <v>3359.6319999999978</v>
      </c>
      <c r="R549" s="393">
        <f t="shared" si="107"/>
        <v>8.3679999999999986</v>
      </c>
      <c r="S549" s="393"/>
      <c r="T549" s="393"/>
      <c r="U549" s="393"/>
      <c r="V549" s="31"/>
      <c r="W549" s="32"/>
      <c r="X549" s="32"/>
      <c r="Y549" s="32"/>
      <c r="Z549" s="394"/>
      <c r="AA549" s="31"/>
      <c r="AB549" s="322"/>
      <c r="AC549" s="40"/>
      <c r="AD549" s="40"/>
    </row>
    <row r="550" spans="2:30" x14ac:dyDescent="0.25">
      <c r="B550" s="400"/>
      <c r="C550" s="306" t="s">
        <v>69</v>
      </c>
      <c r="D550" s="16">
        <v>400</v>
      </c>
      <c r="E550" s="15">
        <f t="shared" si="101"/>
        <v>8.5199999999999942</v>
      </c>
      <c r="F550" s="102">
        <f t="shared" si="96"/>
        <v>6880</v>
      </c>
      <c r="G550" s="32">
        <f t="shared" si="97"/>
        <v>8.4465548691860501</v>
      </c>
      <c r="H550" s="390">
        <f t="shared" si="98"/>
        <v>58112.29750000003</v>
      </c>
      <c r="I550" s="390">
        <f t="shared" si="102"/>
        <v>505.30249999993248</v>
      </c>
      <c r="J550" s="391">
        <f t="shared" si="103"/>
        <v>8.6952765892612527E-3</v>
      </c>
      <c r="K550" s="390">
        <f t="shared" si="104"/>
        <v>58617.599999999962</v>
      </c>
      <c r="L550" s="390">
        <f t="shared" si="105"/>
        <v>719.59199999999691</v>
      </c>
      <c r="M550" s="390"/>
      <c r="N550" s="390"/>
      <c r="O550" s="143"/>
      <c r="P550" s="32"/>
      <c r="Q550" s="31">
        <f t="shared" si="106"/>
        <v>3399.5919999999969</v>
      </c>
      <c r="R550" s="393">
        <f t="shared" si="107"/>
        <v>8.4079999999999977</v>
      </c>
      <c r="S550" s="393"/>
      <c r="T550" s="393"/>
      <c r="U550" s="393"/>
      <c r="V550" s="31"/>
      <c r="W550" s="32"/>
      <c r="X550" s="32"/>
      <c r="Y550" s="32"/>
      <c r="Z550" s="394"/>
      <c r="AA550" s="31"/>
      <c r="AB550" s="322"/>
      <c r="AC550" s="40"/>
      <c r="AD550" s="40"/>
    </row>
    <row r="551" spans="2:30" x14ac:dyDescent="0.25">
      <c r="B551" s="400"/>
      <c r="C551" s="306" t="s">
        <v>69</v>
      </c>
      <c r="D551" s="16">
        <v>400</v>
      </c>
      <c r="E551" s="15">
        <f t="shared" si="101"/>
        <v>8.6199999999999939</v>
      </c>
      <c r="F551" s="102">
        <f t="shared" si="96"/>
        <v>6480</v>
      </c>
      <c r="G551" s="32">
        <f t="shared" si="97"/>
        <v>8.4371520833333378</v>
      </c>
      <c r="H551" s="390">
        <f t="shared" si="98"/>
        <v>54672.745500000026</v>
      </c>
      <c r="I551" s="390">
        <f t="shared" si="102"/>
        <v>1184.8544999999358</v>
      </c>
      <c r="J551" s="391">
        <f t="shared" si="103"/>
        <v>2.1671757823099099E-2</v>
      </c>
      <c r="K551" s="390">
        <f t="shared" si="104"/>
        <v>55857.599999999962</v>
      </c>
      <c r="L551" s="390">
        <f t="shared" si="105"/>
        <v>679.55200000000332</v>
      </c>
      <c r="M551" s="390"/>
      <c r="N551" s="390"/>
      <c r="O551" s="143"/>
      <c r="P551" s="32"/>
      <c r="Q551" s="31">
        <f t="shared" si="106"/>
        <v>3439.5520000000033</v>
      </c>
      <c r="R551" s="393">
        <f t="shared" si="107"/>
        <v>8.4479999999999968</v>
      </c>
      <c r="S551" s="393"/>
      <c r="T551" s="393"/>
      <c r="U551" s="393"/>
      <c r="V551" s="31"/>
      <c r="W551" s="32"/>
      <c r="X551" s="32"/>
      <c r="Y551" s="32"/>
      <c r="Z551" s="394"/>
      <c r="AA551" s="31"/>
      <c r="AB551" s="322"/>
      <c r="AC551" s="40"/>
      <c r="AD551" s="40"/>
    </row>
    <row r="552" spans="2:30" x14ac:dyDescent="0.25">
      <c r="B552" s="400"/>
      <c r="C552" s="306" t="s">
        <v>69</v>
      </c>
      <c r="D552" s="16">
        <v>400</v>
      </c>
      <c r="E552" s="15">
        <f t="shared" si="101"/>
        <v>8.7199999999999935</v>
      </c>
      <c r="F552" s="102">
        <f t="shared" si="96"/>
        <v>6080</v>
      </c>
      <c r="G552" s="32">
        <f t="shared" si="97"/>
        <v>8.4199397203947406</v>
      </c>
      <c r="H552" s="390">
        <f t="shared" si="98"/>
        <v>51193.233500000024</v>
      </c>
      <c r="I552" s="390">
        <f t="shared" si="102"/>
        <v>1824.3664999999382</v>
      </c>
      <c r="J552" s="391">
        <f t="shared" si="103"/>
        <v>3.5636867907551439E-2</v>
      </c>
      <c r="K552" s="390">
        <f t="shared" si="104"/>
        <v>53017.599999999962</v>
      </c>
      <c r="L552" s="390">
        <f t="shared" si="105"/>
        <v>639.51200000000244</v>
      </c>
      <c r="M552" s="390"/>
      <c r="N552" s="390"/>
      <c r="O552" s="143"/>
      <c r="P552" s="32"/>
      <c r="Q552" s="31">
        <f t="shared" si="106"/>
        <v>3479.5120000000024</v>
      </c>
      <c r="R552" s="393">
        <f t="shared" si="107"/>
        <v>8.4879999999999978</v>
      </c>
      <c r="S552" s="393"/>
      <c r="T552" s="393"/>
      <c r="U552" s="393"/>
      <c r="V552" s="31"/>
      <c r="W552" s="32"/>
      <c r="X552" s="32"/>
      <c r="Y552" s="32"/>
      <c r="Z552" s="394"/>
      <c r="AA552" s="31"/>
      <c r="AB552" s="322"/>
      <c r="AC552" s="40"/>
      <c r="AD552" s="40"/>
    </row>
    <row r="553" spans="2:30" x14ac:dyDescent="0.25">
      <c r="B553" s="401"/>
      <c r="C553" s="306" t="s">
        <v>69</v>
      </c>
      <c r="D553" s="16">
        <v>400</v>
      </c>
      <c r="E553" s="15">
        <f t="shared" si="101"/>
        <v>8.8199999999999932</v>
      </c>
      <c r="F553" s="102">
        <f t="shared" si="96"/>
        <v>5680</v>
      </c>
      <c r="G553" s="32">
        <f t="shared" si="97"/>
        <v>8.3932678697183132</v>
      </c>
      <c r="H553" s="390">
        <f t="shared" si="98"/>
        <v>47673.761500000022</v>
      </c>
      <c r="I553" s="392">
        <f t="shared" si="102"/>
        <v>2423.8384999999398</v>
      </c>
      <c r="J553" s="397">
        <f t="shared" si="103"/>
        <v>5.0842191254406081E-2</v>
      </c>
      <c r="K553" s="392">
        <f t="shared" si="104"/>
        <v>50097.599999999962</v>
      </c>
      <c r="L553" s="392">
        <f t="shared" si="105"/>
        <v>599.47200000000157</v>
      </c>
      <c r="M553" s="392"/>
      <c r="N553" s="392"/>
      <c r="O553" s="143"/>
      <c r="P553" s="303"/>
      <c r="Q553" s="278">
        <f t="shared" si="106"/>
        <v>3519.4720000000016</v>
      </c>
      <c r="R553" s="398">
        <f t="shared" si="107"/>
        <v>8.5279999999999969</v>
      </c>
      <c r="S553" s="398"/>
      <c r="T553" s="398"/>
      <c r="U553" s="398"/>
      <c r="V553" s="278"/>
      <c r="W553" s="303"/>
      <c r="X553" s="303"/>
      <c r="Y553" s="303"/>
      <c r="Z553" s="399"/>
      <c r="AA553" s="278"/>
      <c r="AB553" s="275"/>
      <c r="AC553" s="237"/>
      <c r="AD553" s="237"/>
    </row>
  </sheetData>
  <phoneticPr fontId="16" type="noConversion"/>
  <conditionalFormatting sqref="Y1">
    <cfRule type="top10" dxfId="291" priority="1" bottom="1" rank="10"/>
  </conditionalFormatting>
  <dataValidations disablePrompts="1" count="2">
    <dataValidation type="list" allowBlank="1" showInputMessage="1" showErrorMessage="1" sqref="C2:C531">
      <formula1>"买,卖"</formula1>
    </dataValidation>
    <dataValidation type="list" allowBlank="1" showInputMessage="1" showErrorMessage="1" sqref="C532:C553">
      <formula1>"买,卖,转买,转卖"</formula1>
    </dataValidation>
  </dataValidations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G188"/>
  <sheetViews>
    <sheetView workbookViewId="0">
      <pane ySplit="1" topLeftCell="A158" activePane="bottomLeft" state="frozen"/>
      <selection pane="bottomLeft" activeCell="P177" sqref="P177"/>
    </sheetView>
  </sheetViews>
  <sheetFormatPr defaultRowHeight="14.4" x14ac:dyDescent="0.25"/>
  <cols>
    <col min="1" max="1" width="11.6640625" style="9" bestFit="1" customWidth="1"/>
    <col min="2" max="2" width="13.88671875" style="1" bestFit="1" customWidth="1"/>
    <col min="7" max="7" width="15.109375" customWidth="1"/>
    <col min="8" max="8" width="14.44140625" bestFit="1" customWidth="1"/>
    <col min="9" max="10" width="14.44140625" style="1" bestFit="1" customWidth="1"/>
    <col min="11" max="11" width="10.5546875" style="1" bestFit="1" customWidth="1"/>
    <col min="12" max="12" width="15.21875" style="1" customWidth="1"/>
    <col min="13" max="14" width="12.33203125" style="1" bestFit="1" customWidth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1" width="8.88671875" style="1"/>
    <col min="22" max="22" width="19.109375" style="1" bestFit="1" customWidth="1"/>
    <col min="23" max="26" width="8.88671875" style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9" t="s">
        <v>3</v>
      </c>
      <c r="B1" s="360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360" t="s">
        <v>7</v>
      </c>
      <c r="J1" s="360" t="s">
        <v>157</v>
      </c>
      <c r="K1" s="360" t="s">
        <v>5</v>
      </c>
      <c r="L1" s="360" t="s">
        <v>158</v>
      </c>
      <c r="M1" s="360" t="s">
        <v>1185</v>
      </c>
      <c r="N1" s="360" t="s">
        <v>1186</v>
      </c>
      <c r="O1" s="360" t="s">
        <v>1187</v>
      </c>
      <c r="P1" s="361" t="s">
        <v>1188</v>
      </c>
      <c r="Q1" s="360" t="s">
        <v>163</v>
      </c>
      <c r="R1" s="360" t="s">
        <v>1189</v>
      </c>
      <c r="S1" s="360" t="s">
        <v>1190</v>
      </c>
      <c r="T1" s="360" t="s">
        <v>166</v>
      </c>
      <c r="U1" s="360" t="s">
        <v>167</v>
      </c>
      <c r="V1" s="360" t="s">
        <v>17</v>
      </c>
      <c r="W1" s="361" t="s">
        <v>168</v>
      </c>
      <c r="X1" s="361" t="s">
        <v>169</v>
      </c>
      <c r="Y1" s="361" t="s">
        <v>170</v>
      </c>
      <c r="Z1" s="361" t="s">
        <v>171</v>
      </c>
      <c r="AA1" s="360" t="s">
        <v>106</v>
      </c>
      <c r="AB1" s="362" t="s">
        <v>172</v>
      </c>
      <c r="AC1" s="363" t="s">
        <v>50</v>
      </c>
      <c r="AD1" s="363" t="s">
        <v>173</v>
      </c>
    </row>
    <row r="2" spans="1:30" s="1" customFormat="1" ht="15" thickTop="1" x14ac:dyDescent="0.25">
      <c r="A2" s="53">
        <v>42355</v>
      </c>
      <c r="B2" s="266" t="s">
        <v>71</v>
      </c>
      <c r="C2" s="10"/>
      <c r="D2" s="11"/>
      <c r="E2" s="12">
        <v>7.46</v>
      </c>
      <c r="F2" s="12">
        <v>0</v>
      </c>
      <c r="G2" s="13">
        <v>0</v>
      </c>
      <c r="H2" s="12">
        <v>0</v>
      </c>
      <c r="I2" s="15">
        <v>0</v>
      </c>
      <c r="J2" s="33" t="e">
        <v>#DIV/0!</v>
      </c>
      <c r="K2" s="15">
        <v>0</v>
      </c>
      <c r="L2" s="15" t="e">
        <f t="shared" ref="L2:L65" si="0">I2-I1</f>
        <v>#VALUE!</v>
      </c>
      <c r="M2" s="15"/>
      <c r="N2" s="15"/>
      <c r="O2" s="15"/>
      <c r="P2" s="17"/>
      <c r="Q2" s="10" t="e">
        <f t="shared" ref="Q2:Q65" si="1">(H2-H1)*-1</f>
        <v>#VALUE!</v>
      </c>
      <c r="R2" s="10"/>
      <c r="S2" s="10"/>
      <c r="T2" s="10"/>
      <c r="U2" s="10"/>
      <c r="V2" s="10"/>
      <c r="W2" s="28"/>
      <c r="X2" s="28"/>
      <c r="Y2" s="28"/>
      <c r="Z2" s="38"/>
      <c r="AA2" s="31"/>
      <c r="AB2" s="39"/>
      <c r="AC2" s="40"/>
      <c r="AD2" s="40"/>
    </row>
    <row r="3" spans="1:30" s="1" customFormat="1" x14ac:dyDescent="0.25">
      <c r="A3" s="9">
        <v>42355</v>
      </c>
      <c r="B3" s="14"/>
      <c r="C3" s="15" t="s">
        <v>63</v>
      </c>
      <c r="D3" s="16">
        <v>600</v>
      </c>
      <c r="E3" s="15">
        <v>7.46</v>
      </c>
      <c r="F3" s="16">
        <f>IF(C3="买",F2+D3,IF(C3="卖",F2-D3,F2))</f>
        <v>600</v>
      </c>
      <c r="G3" s="17">
        <f t="shared" ref="G3:G66" si="2">H3/F3</f>
        <v>7.4683333333333337</v>
      </c>
      <c r="H3" s="15">
        <f>IF(C3="买",H2+D3*E3+R3+S3,IF(C3="卖",H2-D3*E3+R3+S3,H2))</f>
        <v>4481</v>
      </c>
      <c r="I3" s="15">
        <f t="shared" ref="I3:I66" si="3">-H3+K3</f>
        <v>-5</v>
      </c>
      <c r="J3" s="33">
        <f t="shared" ref="J3:J66" si="4">(E3-G3)/G3</f>
        <v>-1.1158223610801714E-3</v>
      </c>
      <c r="K3" s="15">
        <f t="shared" ref="K3:K66" si="5">F3*E3</f>
        <v>4476</v>
      </c>
      <c r="L3" s="15">
        <f t="shared" si="0"/>
        <v>-5</v>
      </c>
      <c r="M3" s="15"/>
      <c r="N3" s="15"/>
      <c r="O3" s="15"/>
      <c r="P3" s="17"/>
      <c r="Q3" s="31">
        <f t="shared" si="1"/>
        <v>-4481</v>
      </c>
      <c r="R3" s="34">
        <f>commission($B$2,C3,D3,E3)</f>
        <v>5</v>
      </c>
      <c r="S3" s="31"/>
      <c r="T3" s="34"/>
      <c r="U3" s="34"/>
      <c r="V3" s="31"/>
      <c r="W3" s="32"/>
      <c r="X3" s="32"/>
      <c r="Y3" s="32"/>
      <c r="Z3" s="38"/>
      <c r="AA3" s="31"/>
      <c r="AB3" s="39"/>
      <c r="AC3" s="40"/>
      <c r="AD3" s="40"/>
    </row>
    <row r="4" spans="1:30" s="1" customFormat="1" x14ac:dyDescent="0.25">
      <c r="A4" s="53">
        <v>42356</v>
      </c>
      <c r="B4" s="14" t="s">
        <v>177</v>
      </c>
      <c r="C4" s="10" t="s">
        <v>69</v>
      </c>
      <c r="D4" s="11">
        <v>500</v>
      </c>
      <c r="E4" s="10">
        <v>7.69</v>
      </c>
      <c r="F4" s="16">
        <f t="shared" ref="F4:F67" si="6">IF(C4="买",F3+D4,IF(C4="卖",F3-D4,F3))</f>
        <v>100</v>
      </c>
      <c r="G4" s="17">
        <f t="shared" si="2"/>
        <v>6.4484500000000002</v>
      </c>
      <c r="H4" s="15">
        <f t="shared" ref="H4:H67" si="7">IF(C4="买",H3+D4*E4+R4+S4,IF(C4="卖",H3-D4*E4+R4+S4,H3))</f>
        <v>644.84500000000003</v>
      </c>
      <c r="I4" s="15">
        <f t="shared" si="3"/>
        <v>124.15499999999997</v>
      </c>
      <c r="J4" s="33">
        <f t="shared" si="4"/>
        <v>0.19253464010731264</v>
      </c>
      <c r="K4" s="15">
        <f t="shared" si="5"/>
        <v>769</v>
      </c>
      <c r="L4" s="15">
        <f t="shared" si="0"/>
        <v>129.15499999999997</v>
      </c>
      <c r="M4" s="15"/>
      <c r="N4" s="15"/>
      <c r="O4" s="15"/>
      <c r="P4" s="17"/>
      <c r="Q4" s="31">
        <f t="shared" si="1"/>
        <v>3836.1549999999997</v>
      </c>
      <c r="R4" s="34">
        <f t="shared" ref="R4:R67" si="8">commission($B$2,C4,D4,E4)</f>
        <v>8.8450000000000006</v>
      </c>
      <c r="S4" s="15"/>
      <c r="T4" s="34"/>
      <c r="U4" s="34"/>
      <c r="V4" s="31"/>
      <c r="W4" s="32"/>
      <c r="X4" s="32"/>
      <c r="Y4" s="32"/>
      <c r="Z4" s="38"/>
      <c r="AA4" s="31"/>
      <c r="AB4" s="39"/>
      <c r="AC4" s="40"/>
      <c r="AD4" s="40"/>
    </row>
    <row r="5" spans="1:30" s="1" customFormat="1" x14ac:dyDescent="0.25">
      <c r="A5" s="9">
        <v>42479</v>
      </c>
      <c r="B5" s="14"/>
      <c r="C5" s="15" t="s">
        <v>63</v>
      </c>
      <c r="D5" s="16">
        <v>500</v>
      </c>
      <c r="E5" s="15">
        <v>5.98</v>
      </c>
      <c r="F5" s="16">
        <f t="shared" si="6"/>
        <v>600</v>
      </c>
      <c r="G5" s="17">
        <f t="shared" si="2"/>
        <v>6.0664083333333334</v>
      </c>
      <c r="H5" s="15">
        <f t="shared" si="7"/>
        <v>3639.8450000000003</v>
      </c>
      <c r="I5" s="15">
        <f t="shared" si="3"/>
        <v>-51.8449999999998</v>
      </c>
      <c r="J5" s="33">
        <f t="shared" si="4"/>
        <v>-1.4243738400948332E-2</v>
      </c>
      <c r="K5" s="15">
        <f t="shared" si="5"/>
        <v>3588.0000000000005</v>
      </c>
      <c r="L5" s="15">
        <f t="shared" si="0"/>
        <v>-175.99999999999977</v>
      </c>
      <c r="M5" s="15"/>
      <c r="N5" s="15"/>
      <c r="O5" s="15"/>
      <c r="P5" s="17"/>
      <c r="Q5" s="31">
        <f t="shared" si="1"/>
        <v>-2995</v>
      </c>
      <c r="R5" s="34">
        <f t="shared" si="8"/>
        <v>5</v>
      </c>
      <c r="S5" s="15"/>
      <c r="T5" s="34"/>
      <c r="U5" s="34"/>
      <c r="V5" s="31"/>
      <c r="W5" s="32"/>
      <c r="X5" s="32"/>
      <c r="Y5" s="32"/>
      <c r="Z5" s="38"/>
      <c r="AA5" s="31"/>
      <c r="AB5" s="39"/>
      <c r="AC5" s="40"/>
      <c r="AD5" s="40"/>
    </row>
    <row r="6" spans="1:30" s="1" customFormat="1" x14ac:dyDescent="0.25">
      <c r="A6" s="53">
        <v>42480</v>
      </c>
      <c r="B6" s="18"/>
      <c r="C6" s="10" t="s">
        <v>63</v>
      </c>
      <c r="D6" s="11">
        <v>500</v>
      </c>
      <c r="E6" s="10">
        <v>5.82</v>
      </c>
      <c r="F6" s="16">
        <f t="shared" si="6"/>
        <v>1100</v>
      </c>
      <c r="G6" s="17">
        <f t="shared" si="2"/>
        <v>5.9589500000000006</v>
      </c>
      <c r="H6" s="15">
        <f t="shared" si="7"/>
        <v>6554.8450000000003</v>
      </c>
      <c r="I6" s="15">
        <f t="shared" si="3"/>
        <v>-152.84500000000025</v>
      </c>
      <c r="J6" s="33">
        <f t="shared" si="4"/>
        <v>-2.3317866402638106E-2</v>
      </c>
      <c r="K6" s="15">
        <f t="shared" si="5"/>
        <v>6402</v>
      </c>
      <c r="L6" s="15">
        <f t="shared" si="0"/>
        <v>-101.00000000000045</v>
      </c>
      <c r="M6" s="15"/>
      <c r="N6" s="15"/>
      <c r="O6" s="15"/>
      <c r="P6" s="17"/>
      <c r="Q6" s="31">
        <f t="shared" si="1"/>
        <v>-2915</v>
      </c>
      <c r="R6" s="34">
        <f t="shared" si="8"/>
        <v>5</v>
      </c>
      <c r="S6" s="15"/>
      <c r="T6" s="34"/>
      <c r="U6" s="34"/>
      <c r="V6" s="31"/>
      <c r="W6" s="32"/>
      <c r="X6" s="32"/>
      <c r="Y6" s="32"/>
      <c r="Z6" s="38"/>
      <c r="AA6" s="31"/>
      <c r="AB6" s="39"/>
      <c r="AC6" s="40"/>
      <c r="AD6" s="40"/>
    </row>
    <row r="7" spans="1:30" s="1" customFormat="1" x14ac:dyDescent="0.25">
      <c r="A7" s="9">
        <v>42493</v>
      </c>
      <c r="B7" s="18" t="s">
        <v>221</v>
      </c>
      <c r="C7" s="15" t="s">
        <v>69</v>
      </c>
      <c r="D7" s="16">
        <v>500</v>
      </c>
      <c r="E7" s="15">
        <v>5.97</v>
      </c>
      <c r="F7" s="16">
        <f t="shared" si="6"/>
        <v>600</v>
      </c>
      <c r="G7" s="17">
        <f t="shared" si="2"/>
        <v>5.9630500000000008</v>
      </c>
      <c r="H7" s="15">
        <f t="shared" si="7"/>
        <v>3577.8300000000004</v>
      </c>
      <c r="I7" s="15">
        <f t="shared" si="3"/>
        <v>4.169999999999618</v>
      </c>
      <c r="J7" s="33">
        <f t="shared" si="4"/>
        <v>1.165510938194196E-3</v>
      </c>
      <c r="K7" s="15">
        <f t="shared" si="5"/>
        <v>3582</v>
      </c>
      <c r="L7" s="15">
        <f t="shared" si="0"/>
        <v>157.01499999999987</v>
      </c>
      <c r="M7" s="15"/>
      <c r="N7" s="15"/>
      <c r="O7" s="15"/>
      <c r="P7" s="17"/>
      <c r="Q7" s="31">
        <f t="shared" si="1"/>
        <v>2977.0149999999999</v>
      </c>
      <c r="R7" s="34">
        <f t="shared" si="8"/>
        <v>7.9849999999999994</v>
      </c>
      <c r="S7" s="15"/>
      <c r="T7" s="34"/>
      <c r="U7" s="34"/>
      <c r="V7" s="31"/>
      <c r="W7" s="32"/>
      <c r="X7" s="32"/>
      <c r="Y7" s="32"/>
      <c r="Z7" s="38"/>
      <c r="AA7" s="31"/>
      <c r="AB7" s="39"/>
      <c r="AC7" s="40"/>
      <c r="AD7" s="40"/>
    </row>
    <row r="8" spans="1:30" s="1" customFormat="1" x14ac:dyDescent="0.25">
      <c r="A8" s="53">
        <v>42500</v>
      </c>
      <c r="B8" s="18"/>
      <c r="C8" s="10" t="s">
        <v>63</v>
      </c>
      <c r="D8" s="11">
        <v>500</v>
      </c>
      <c r="E8" s="10">
        <v>5.59</v>
      </c>
      <c r="F8" s="16">
        <f t="shared" si="6"/>
        <v>1100</v>
      </c>
      <c r="G8" s="17">
        <f t="shared" si="2"/>
        <v>5.798027272727273</v>
      </c>
      <c r="H8" s="15">
        <f t="shared" si="7"/>
        <v>6377.83</v>
      </c>
      <c r="I8" s="15">
        <f t="shared" si="3"/>
        <v>-228.82999999999993</v>
      </c>
      <c r="J8" s="33">
        <f t="shared" si="4"/>
        <v>-3.5878974510139106E-2</v>
      </c>
      <c r="K8" s="15">
        <f t="shared" si="5"/>
        <v>6149</v>
      </c>
      <c r="L8" s="15">
        <f t="shared" si="0"/>
        <v>-232.99999999999955</v>
      </c>
      <c r="M8" s="15"/>
      <c r="N8" s="15"/>
      <c r="O8" s="15"/>
      <c r="P8" s="17"/>
      <c r="Q8" s="31">
        <f t="shared" si="1"/>
        <v>-2799.9999999999995</v>
      </c>
      <c r="R8" s="34">
        <f t="shared" si="8"/>
        <v>5</v>
      </c>
      <c r="S8" s="15"/>
      <c r="T8" s="34"/>
      <c r="U8" s="34"/>
      <c r="V8" s="31"/>
      <c r="W8" s="32"/>
      <c r="X8" s="32"/>
      <c r="Y8" s="32"/>
      <c r="Z8" s="38"/>
      <c r="AA8" s="31"/>
      <c r="AB8" s="39"/>
      <c r="AC8" s="40"/>
      <c r="AD8" s="40"/>
    </row>
    <row r="9" spans="1:30" s="1" customFormat="1" x14ac:dyDescent="0.25">
      <c r="A9" s="9">
        <v>42521</v>
      </c>
      <c r="B9" s="18" t="s">
        <v>185</v>
      </c>
      <c r="C9" s="15" t="s">
        <v>69</v>
      </c>
      <c r="D9" s="16">
        <v>500</v>
      </c>
      <c r="E9" s="15">
        <v>5.72</v>
      </c>
      <c r="F9" s="16">
        <f t="shared" si="6"/>
        <v>600</v>
      </c>
      <c r="G9" s="17">
        <f t="shared" si="2"/>
        <v>5.87615</v>
      </c>
      <c r="H9" s="15">
        <f t="shared" si="7"/>
        <v>3525.69</v>
      </c>
      <c r="I9" s="15">
        <f t="shared" si="3"/>
        <v>-93.690000000000055</v>
      </c>
      <c r="J9" s="33">
        <f t="shared" si="4"/>
        <v>-2.6573521778715695E-2</v>
      </c>
      <c r="K9" s="15">
        <f t="shared" si="5"/>
        <v>3432</v>
      </c>
      <c r="L9" s="15">
        <f t="shared" si="0"/>
        <v>135.13999999999987</v>
      </c>
      <c r="M9" s="15"/>
      <c r="N9" s="15"/>
      <c r="O9" s="15"/>
      <c r="P9" s="17"/>
      <c r="Q9" s="31">
        <f t="shared" si="1"/>
        <v>2852.14</v>
      </c>
      <c r="R9" s="34">
        <f t="shared" si="8"/>
        <v>7.8599999999999994</v>
      </c>
      <c r="S9" s="15"/>
      <c r="T9" s="34"/>
      <c r="U9" s="34"/>
      <c r="V9" s="31"/>
      <c r="W9" s="32"/>
      <c r="X9" s="32"/>
      <c r="Y9" s="32"/>
      <c r="Z9" s="38"/>
      <c r="AA9" s="31"/>
      <c r="AB9" s="39"/>
      <c r="AC9" s="40"/>
      <c r="AD9" s="40"/>
    </row>
    <row r="10" spans="1:30" s="1" customFormat="1" x14ac:dyDescent="0.25">
      <c r="A10" s="53">
        <v>42536</v>
      </c>
      <c r="B10" s="18"/>
      <c r="C10" s="10" t="s">
        <v>63</v>
      </c>
      <c r="D10" s="11">
        <v>500</v>
      </c>
      <c r="E10" s="10">
        <v>5.52</v>
      </c>
      <c r="F10" s="16">
        <f t="shared" si="6"/>
        <v>1100</v>
      </c>
      <c r="G10" s="17">
        <f t="shared" si="2"/>
        <v>5.7188090909090912</v>
      </c>
      <c r="H10" s="15">
        <f t="shared" si="7"/>
        <v>6290.6900000000005</v>
      </c>
      <c r="I10" s="15">
        <f t="shared" si="3"/>
        <v>-218.69000000000142</v>
      </c>
      <c r="J10" s="33">
        <f t="shared" si="4"/>
        <v>-3.4764071985744133E-2</v>
      </c>
      <c r="K10" s="15">
        <f t="shared" si="5"/>
        <v>6071.9999999999991</v>
      </c>
      <c r="L10" s="15">
        <f t="shared" si="0"/>
        <v>-125.00000000000136</v>
      </c>
      <c r="M10" s="15"/>
      <c r="N10" s="15"/>
      <c r="O10" s="15"/>
      <c r="P10" s="17"/>
      <c r="Q10" s="31">
        <f t="shared" si="1"/>
        <v>-2765.0000000000005</v>
      </c>
      <c r="R10" s="34">
        <f t="shared" si="8"/>
        <v>5</v>
      </c>
      <c r="S10" s="15"/>
      <c r="T10" s="34"/>
      <c r="U10" s="34"/>
      <c r="V10" s="31"/>
      <c r="W10" s="32"/>
      <c r="X10" s="32"/>
      <c r="Y10" s="32"/>
      <c r="Z10" s="38"/>
      <c r="AA10" s="31"/>
      <c r="AB10" s="39"/>
      <c r="AC10" s="40"/>
      <c r="AD10" s="40"/>
    </row>
    <row r="11" spans="1:30" s="1" customFormat="1" x14ac:dyDescent="0.25">
      <c r="A11" s="9">
        <v>42555</v>
      </c>
      <c r="B11" s="18" t="s">
        <v>188</v>
      </c>
      <c r="C11" s="15" t="s">
        <v>69</v>
      </c>
      <c r="D11" s="16">
        <v>500</v>
      </c>
      <c r="E11" s="15">
        <v>5.72</v>
      </c>
      <c r="F11" s="16">
        <f t="shared" si="6"/>
        <v>600</v>
      </c>
      <c r="G11" s="17">
        <f t="shared" si="2"/>
        <v>5.7309166666666673</v>
      </c>
      <c r="H11" s="15">
        <f t="shared" si="7"/>
        <v>3438.5500000000006</v>
      </c>
      <c r="I11" s="15">
        <f t="shared" si="3"/>
        <v>-6.5500000000006366</v>
      </c>
      <c r="J11" s="33">
        <f t="shared" si="4"/>
        <v>-1.9048726934319826E-3</v>
      </c>
      <c r="K11" s="15">
        <f t="shared" si="5"/>
        <v>3432</v>
      </c>
      <c r="L11" s="15">
        <f t="shared" si="0"/>
        <v>212.14000000000078</v>
      </c>
      <c r="M11" s="15"/>
      <c r="N11" s="15"/>
      <c r="O11" s="15"/>
      <c r="P11" s="17"/>
      <c r="Q11" s="31">
        <f t="shared" si="1"/>
        <v>2852.14</v>
      </c>
      <c r="R11" s="34">
        <f t="shared" si="8"/>
        <v>7.8599999999999994</v>
      </c>
      <c r="S11" s="15"/>
      <c r="T11" s="34"/>
      <c r="U11" s="34"/>
      <c r="V11" s="31"/>
      <c r="W11" s="32"/>
      <c r="X11" s="32"/>
      <c r="Y11" s="32"/>
      <c r="Z11" s="38"/>
      <c r="AA11" s="31"/>
      <c r="AB11" s="39"/>
      <c r="AC11" s="40"/>
      <c r="AD11" s="40"/>
    </row>
    <row r="12" spans="1:30" s="1" customFormat="1" x14ac:dyDescent="0.25">
      <c r="A12" s="53">
        <v>42564</v>
      </c>
      <c r="B12" s="18" t="s">
        <v>220</v>
      </c>
      <c r="C12" s="10" t="s">
        <v>69</v>
      </c>
      <c r="D12" s="11">
        <v>500</v>
      </c>
      <c r="E12" s="10">
        <v>6.15</v>
      </c>
      <c r="F12" s="16">
        <f t="shared" si="6"/>
        <v>100</v>
      </c>
      <c r="G12" s="17">
        <f t="shared" si="2"/>
        <v>3.4542500000000063</v>
      </c>
      <c r="H12" s="15">
        <f t="shared" si="7"/>
        <v>345.42500000000064</v>
      </c>
      <c r="I12" s="15">
        <f t="shared" si="3"/>
        <v>269.57499999999936</v>
      </c>
      <c r="J12" s="33">
        <f t="shared" si="4"/>
        <v>0.78041543026705917</v>
      </c>
      <c r="K12" s="15">
        <f t="shared" si="5"/>
        <v>615</v>
      </c>
      <c r="L12" s="15">
        <f t="shared" si="0"/>
        <v>276.125</v>
      </c>
      <c r="M12" s="15"/>
      <c r="N12" s="15"/>
      <c r="O12" s="15"/>
      <c r="P12" s="17"/>
      <c r="Q12" s="31">
        <f t="shared" si="1"/>
        <v>3093.125</v>
      </c>
      <c r="R12" s="34">
        <f t="shared" si="8"/>
        <v>8.0749999999999993</v>
      </c>
      <c r="S12" s="15">
        <v>-26.2</v>
      </c>
      <c r="T12" s="34"/>
      <c r="U12" s="34"/>
      <c r="V12" s="31"/>
      <c r="W12" s="32"/>
      <c r="X12" s="32"/>
      <c r="Y12" s="32"/>
      <c r="Z12" s="38"/>
      <c r="AA12" s="31"/>
      <c r="AB12" s="39"/>
      <c r="AC12" s="40"/>
      <c r="AD12" s="40"/>
    </row>
    <row r="13" spans="1:30" s="1" customFormat="1" x14ac:dyDescent="0.25">
      <c r="A13" s="51">
        <v>42576</v>
      </c>
      <c r="B13" s="129" t="s">
        <v>592</v>
      </c>
      <c r="C13" s="19"/>
      <c r="D13" s="52"/>
      <c r="E13" s="19">
        <v>5.88</v>
      </c>
      <c r="F13" s="16">
        <f t="shared" si="6"/>
        <v>100</v>
      </c>
      <c r="G13" s="17">
        <f t="shared" si="2"/>
        <v>3.4542500000000063</v>
      </c>
      <c r="H13" s="15">
        <f t="shared" si="7"/>
        <v>345.42500000000064</v>
      </c>
      <c r="I13" s="15">
        <f t="shared" si="3"/>
        <v>242.57499999999936</v>
      </c>
      <c r="J13" s="33">
        <f t="shared" si="4"/>
        <v>0.70225085040167601</v>
      </c>
      <c r="K13" s="15">
        <f t="shared" si="5"/>
        <v>588</v>
      </c>
      <c r="L13" s="15">
        <f t="shared" si="0"/>
        <v>-27</v>
      </c>
      <c r="M13" s="15"/>
      <c r="N13" s="15"/>
      <c r="O13" s="15"/>
      <c r="P13" s="17"/>
      <c r="Q13" s="31">
        <f t="shared" si="1"/>
        <v>0</v>
      </c>
      <c r="R13" s="34">
        <f t="shared" si="8"/>
        <v>0</v>
      </c>
      <c r="S13" s="15"/>
      <c r="T13" s="34"/>
      <c r="U13" s="34"/>
      <c r="V13" s="31"/>
      <c r="W13" s="32"/>
      <c r="X13" s="32"/>
      <c r="Y13" s="32"/>
      <c r="Z13" s="38"/>
      <c r="AA13" s="31"/>
      <c r="AB13" s="39"/>
      <c r="AC13" s="40"/>
      <c r="AD13" s="40"/>
    </row>
    <row r="14" spans="1:30" s="1" customFormat="1" x14ac:dyDescent="0.25">
      <c r="A14" s="9">
        <v>42627</v>
      </c>
      <c r="B14" s="18"/>
      <c r="C14" s="15" t="s">
        <v>63</v>
      </c>
      <c r="D14" s="16">
        <v>500</v>
      </c>
      <c r="E14" s="15">
        <v>5.92</v>
      </c>
      <c r="F14" s="16">
        <f t="shared" si="6"/>
        <v>600</v>
      </c>
      <c r="G14" s="17">
        <f t="shared" si="2"/>
        <v>5.5173750000000013</v>
      </c>
      <c r="H14" s="15">
        <f t="shared" si="7"/>
        <v>3310.4250000000006</v>
      </c>
      <c r="I14" s="15">
        <f t="shared" si="3"/>
        <v>241.57499999999936</v>
      </c>
      <c r="J14" s="33">
        <f t="shared" si="4"/>
        <v>7.2974013910600349E-2</v>
      </c>
      <c r="K14" s="15">
        <f t="shared" si="5"/>
        <v>3552</v>
      </c>
      <c r="L14" s="15">
        <f t="shared" si="0"/>
        <v>-1</v>
      </c>
      <c r="M14" s="15"/>
      <c r="N14" s="15"/>
      <c r="O14" s="15"/>
      <c r="P14" s="17"/>
      <c r="Q14" s="31">
        <f t="shared" si="1"/>
        <v>-2965</v>
      </c>
      <c r="R14" s="34">
        <f t="shared" si="8"/>
        <v>5</v>
      </c>
      <c r="S14" s="15"/>
      <c r="T14" s="34"/>
      <c r="U14" s="34"/>
      <c r="V14" s="31"/>
      <c r="W14" s="32"/>
      <c r="X14" s="32"/>
      <c r="Y14" s="32"/>
      <c r="Z14" s="38"/>
      <c r="AA14" s="31"/>
      <c r="AB14" s="41"/>
      <c r="AC14" s="40"/>
      <c r="AD14" s="40"/>
    </row>
    <row r="15" spans="1:30" s="1" customFormat="1" x14ac:dyDescent="0.25">
      <c r="A15" s="51">
        <v>42627</v>
      </c>
      <c r="B15" s="18"/>
      <c r="C15" s="19" t="s">
        <v>63</v>
      </c>
      <c r="D15" s="52">
        <v>500</v>
      </c>
      <c r="E15" s="19">
        <v>5.86</v>
      </c>
      <c r="F15" s="16">
        <f t="shared" si="6"/>
        <v>1100</v>
      </c>
      <c r="G15" s="17">
        <f t="shared" si="2"/>
        <v>5.677659090909092</v>
      </c>
      <c r="H15" s="15">
        <f t="shared" si="7"/>
        <v>6245.4250000000011</v>
      </c>
      <c r="I15" s="15">
        <f t="shared" si="3"/>
        <v>200.57499999999891</v>
      </c>
      <c r="J15" s="33">
        <f t="shared" si="4"/>
        <v>3.2115508552260107E-2</v>
      </c>
      <c r="K15" s="15">
        <f t="shared" si="5"/>
        <v>6446</v>
      </c>
      <c r="L15" s="15">
        <f t="shared" si="0"/>
        <v>-41.000000000000455</v>
      </c>
      <c r="M15" s="15"/>
      <c r="N15" s="15"/>
      <c r="O15" s="15"/>
      <c r="P15" s="17"/>
      <c r="Q15" s="31">
        <f t="shared" si="1"/>
        <v>-2935.0000000000005</v>
      </c>
      <c r="R15" s="34">
        <f t="shared" si="8"/>
        <v>5</v>
      </c>
      <c r="S15" s="15"/>
      <c r="T15" s="34"/>
      <c r="U15" s="34"/>
      <c r="V15" s="31"/>
      <c r="W15" s="32"/>
      <c r="X15" s="32"/>
      <c r="Y15" s="32"/>
      <c r="Z15" s="38"/>
      <c r="AA15" s="31"/>
      <c r="AB15" s="41"/>
      <c r="AC15" s="40"/>
      <c r="AD15" s="40"/>
    </row>
    <row r="16" spans="1:30" s="1" customFormat="1" x14ac:dyDescent="0.25">
      <c r="A16" s="9">
        <v>42653</v>
      </c>
      <c r="B16" s="18" t="s">
        <v>593</v>
      </c>
      <c r="C16" s="15" t="s">
        <v>69</v>
      </c>
      <c r="D16" s="16">
        <v>500</v>
      </c>
      <c r="E16" s="15">
        <v>6</v>
      </c>
      <c r="F16" s="16">
        <f t="shared" si="6"/>
        <v>600</v>
      </c>
      <c r="G16" s="17">
        <f t="shared" si="2"/>
        <v>5.4223750000000015</v>
      </c>
      <c r="H16" s="15">
        <f t="shared" si="7"/>
        <v>3253.4250000000011</v>
      </c>
      <c r="I16" s="15">
        <f t="shared" si="3"/>
        <v>346.57499999999891</v>
      </c>
      <c r="J16" s="33">
        <f t="shared" si="4"/>
        <v>0.10652619931303134</v>
      </c>
      <c r="K16" s="15">
        <f t="shared" si="5"/>
        <v>3600</v>
      </c>
      <c r="L16" s="15">
        <f t="shared" si="0"/>
        <v>146</v>
      </c>
      <c r="M16" s="15"/>
      <c r="N16" s="15"/>
      <c r="O16" s="15"/>
      <c r="P16" s="17"/>
      <c r="Q16" s="31">
        <f t="shared" si="1"/>
        <v>2992</v>
      </c>
      <c r="R16" s="34">
        <f t="shared" si="8"/>
        <v>8</v>
      </c>
      <c r="S16" s="15"/>
      <c r="T16" s="34"/>
      <c r="U16" s="34"/>
      <c r="V16" s="31"/>
      <c r="W16" s="32"/>
      <c r="X16" s="32"/>
      <c r="Y16" s="32"/>
      <c r="Z16" s="38"/>
      <c r="AA16" s="31"/>
      <c r="AB16" s="41"/>
      <c r="AC16" s="40"/>
      <c r="AD16" s="40"/>
    </row>
    <row r="17" spans="1:30" s="1" customFormat="1" x14ac:dyDescent="0.25">
      <c r="A17" s="51">
        <v>42696</v>
      </c>
      <c r="B17" s="18" t="s">
        <v>594</v>
      </c>
      <c r="C17" s="19" t="s">
        <v>69</v>
      </c>
      <c r="D17" s="52">
        <v>500</v>
      </c>
      <c r="E17" s="19">
        <v>6.63</v>
      </c>
      <c r="F17" s="16">
        <f t="shared" si="6"/>
        <v>100</v>
      </c>
      <c r="G17" s="17">
        <f t="shared" si="2"/>
        <v>-0.53259999999998908</v>
      </c>
      <c r="H17" s="15">
        <f t="shared" si="7"/>
        <v>-53.259999999998911</v>
      </c>
      <c r="I17" s="15">
        <f t="shared" si="3"/>
        <v>716.25999999999885</v>
      </c>
      <c r="J17" s="33">
        <f t="shared" si="4"/>
        <v>-13.448366503943175</v>
      </c>
      <c r="K17" s="15">
        <f t="shared" si="5"/>
        <v>663</v>
      </c>
      <c r="L17" s="15">
        <f t="shared" si="0"/>
        <v>369.68499999999995</v>
      </c>
      <c r="M17" s="15"/>
      <c r="N17" s="15"/>
      <c r="O17" s="15"/>
      <c r="P17" s="17"/>
      <c r="Q17" s="31">
        <f t="shared" si="1"/>
        <v>3306.6849999999999</v>
      </c>
      <c r="R17" s="34">
        <f t="shared" si="8"/>
        <v>8.3149999999999995</v>
      </c>
      <c r="S17" s="15"/>
      <c r="T17" s="34"/>
      <c r="U17" s="34"/>
      <c r="V17" s="31"/>
      <c r="W17" s="32"/>
      <c r="X17" s="32"/>
      <c r="Y17" s="32"/>
      <c r="Z17" s="38"/>
      <c r="AA17" s="31"/>
      <c r="AB17" s="41"/>
      <c r="AC17" s="40"/>
      <c r="AD17" s="40"/>
    </row>
    <row r="18" spans="1:30" s="1" customFormat="1" x14ac:dyDescent="0.25">
      <c r="A18" s="9">
        <v>42774</v>
      </c>
      <c r="B18" s="18"/>
      <c r="C18" s="15" t="s">
        <v>63</v>
      </c>
      <c r="D18" s="16">
        <v>500</v>
      </c>
      <c r="E18" s="15">
        <v>6.8</v>
      </c>
      <c r="F18" s="16">
        <f t="shared" si="6"/>
        <v>600</v>
      </c>
      <c r="G18" s="17">
        <f t="shared" si="2"/>
        <v>5.5862333333333352</v>
      </c>
      <c r="H18" s="15">
        <f t="shared" si="7"/>
        <v>3351.7400000000011</v>
      </c>
      <c r="I18" s="15">
        <f t="shared" si="3"/>
        <v>728.25999999999885</v>
      </c>
      <c r="J18" s="33">
        <f t="shared" si="4"/>
        <v>0.21727818983572669</v>
      </c>
      <c r="K18" s="15">
        <f t="shared" si="5"/>
        <v>4080</v>
      </c>
      <c r="L18" s="15">
        <f t="shared" si="0"/>
        <v>12</v>
      </c>
      <c r="M18" s="15"/>
      <c r="N18" s="15"/>
      <c r="O18" s="15"/>
      <c r="P18" s="17"/>
      <c r="Q18" s="31">
        <f t="shared" si="1"/>
        <v>-3405</v>
      </c>
      <c r="R18" s="34">
        <f t="shared" si="8"/>
        <v>5</v>
      </c>
      <c r="S18" s="15"/>
      <c r="T18" s="34"/>
      <c r="U18" s="34"/>
      <c r="V18" s="31"/>
      <c r="W18" s="32"/>
      <c r="X18" s="32"/>
      <c r="Y18" s="32"/>
      <c r="Z18" s="38"/>
      <c r="AA18" s="31"/>
      <c r="AB18" s="41"/>
      <c r="AC18" s="40"/>
      <c r="AD18" s="40"/>
    </row>
    <row r="19" spans="1:30" s="1" customFormat="1" x14ac:dyDescent="0.25">
      <c r="A19" s="9">
        <v>42779</v>
      </c>
      <c r="B19" s="18" t="s">
        <v>457</v>
      </c>
      <c r="C19" s="15" t="s">
        <v>69</v>
      </c>
      <c r="D19" s="16">
        <v>500</v>
      </c>
      <c r="E19" s="15">
        <v>6.97</v>
      </c>
      <c r="F19" s="16">
        <f t="shared" si="6"/>
        <v>100</v>
      </c>
      <c r="G19" s="17">
        <f t="shared" si="2"/>
        <v>-1.2477499999999886</v>
      </c>
      <c r="H19" s="15">
        <f t="shared" si="7"/>
        <v>-124.77499999999885</v>
      </c>
      <c r="I19" s="15">
        <f t="shared" si="3"/>
        <v>821.77499999999884</v>
      </c>
      <c r="J19" s="33">
        <f t="shared" si="4"/>
        <v>-6.5860548988179231</v>
      </c>
      <c r="K19" s="15">
        <f t="shared" si="5"/>
        <v>697</v>
      </c>
      <c r="L19" s="15">
        <f t="shared" si="0"/>
        <v>93.514999999999986</v>
      </c>
      <c r="M19" s="15"/>
      <c r="N19" s="15"/>
      <c r="O19" s="15"/>
      <c r="P19" s="17"/>
      <c r="Q19" s="31">
        <f t="shared" si="1"/>
        <v>3476.5149999999999</v>
      </c>
      <c r="R19" s="34">
        <f t="shared" si="8"/>
        <v>8.4849999999999994</v>
      </c>
      <c r="S19" s="15"/>
      <c r="T19" s="34"/>
      <c r="U19" s="34"/>
      <c r="V19" s="31"/>
      <c r="W19" s="32"/>
      <c r="X19" s="32"/>
      <c r="Y19" s="32"/>
      <c r="Z19" s="38"/>
      <c r="AA19" s="31"/>
      <c r="AB19" s="41"/>
      <c r="AC19" s="40"/>
      <c r="AD19" s="40"/>
    </row>
    <row r="20" spans="1:30" s="1" customFormat="1" x14ac:dyDescent="0.25">
      <c r="A20" s="9">
        <v>42794</v>
      </c>
      <c r="B20" s="18"/>
      <c r="C20" s="15" t="s">
        <v>63</v>
      </c>
      <c r="D20" s="16">
        <v>500</v>
      </c>
      <c r="E20" s="15">
        <v>6.86</v>
      </c>
      <c r="F20" s="16">
        <f t="shared" si="6"/>
        <v>600</v>
      </c>
      <c r="G20" s="17">
        <f t="shared" si="2"/>
        <v>5.5170416666666684</v>
      </c>
      <c r="H20" s="15">
        <f t="shared" si="7"/>
        <v>3310.2250000000013</v>
      </c>
      <c r="I20" s="15">
        <f t="shared" si="3"/>
        <v>805.77499999999873</v>
      </c>
      <c r="J20" s="33">
        <f t="shared" si="4"/>
        <v>0.24342000921387486</v>
      </c>
      <c r="K20" s="15">
        <f t="shared" si="5"/>
        <v>4116</v>
      </c>
      <c r="L20" s="15">
        <f t="shared" si="0"/>
        <v>-16.000000000000114</v>
      </c>
      <c r="M20" s="15"/>
      <c r="N20" s="15"/>
      <c r="O20" s="15"/>
      <c r="P20" s="17"/>
      <c r="Q20" s="31">
        <f t="shared" si="1"/>
        <v>-3435</v>
      </c>
      <c r="R20" s="34">
        <f t="shared" si="8"/>
        <v>5</v>
      </c>
      <c r="S20" s="15"/>
      <c r="T20" s="34"/>
      <c r="U20" s="34"/>
      <c r="V20" s="31"/>
      <c r="W20" s="32"/>
      <c r="X20" s="32"/>
      <c r="Y20" s="32"/>
      <c r="Z20" s="38"/>
      <c r="AA20" s="31"/>
      <c r="AB20" s="41"/>
      <c r="AC20" s="40"/>
      <c r="AD20" s="40"/>
    </row>
    <row r="21" spans="1:30" s="1" customFormat="1" x14ac:dyDescent="0.25">
      <c r="A21" s="9">
        <v>42801</v>
      </c>
      <c r="B21" s="18"/>
      <c r="C21" s="15" t="s">
        <v>63</v>
      </c>
      <c r="D21" s="16">
        <v>500</v>
      </c>
      <c r="E21" s="15">
        <v>6.79</v>
      </c>
      <c r="F21" s="16">
        <f t="shared" si="6"/>
        <v>1100</v>
      </c>
      <c r="G21" s="17">
        <f t="shared" si="2"/>
        <v>6.100204545454547</v>
      </c>
      <c r="H21" s="15">
        <f t="shared" si="7"/>
        <v>6710.2250000000013</v>
      </c>
      <c r="I21" s="15">
        <f t="shared" si="3"/>
        <v>758.77499999999873</v>
      </c>
      <c r="J21" s="33">
        <f t="shared" si="4"/>
        <v>0.11307743033951888</v>
      </c>
      <c r="K21" s="15">
        <f t="shared" si="5"/>
        <v>7469</v>
      </c>
      <c r="L21" s="15">
        <f t="shared" si="0"/>
        <v>-47</v>
      </c>
      <c r="M21" s="15"/>
      <c r="N21" s="15"/>
      <c r="O21" s="15"/>
      <c r="P21" s="17"/>
      <c r="Q21" s="31">
        <f t="shared" si="1"/>
        <v>-3400</v>
      </c>
      <c r="R21" s="34">
        <f t="shared" si="8"/>
        <v>5</v>
      </c>
      <c r="S21" s="15"/>
      <c r="T21" s="34"/>
      <c r="U21" s="34"/>
      <c r="V21" s="31"/>
      <c r="W21" s="32"/>
      <c r="X21" s="32"/>
      <c r="Y21" s="32"/>
      <c r="Z21" s="38"/>
      <c r="AA21" s="31"/>
      <c r="AB21" s="41"/>
      <c r="AC21" s="40"/>
      <c r="AD21" s="40"/>
    </row>
    <row r="22" spans="1:30" s="1" customFormat="1" x14ac:dyDescent="0.25">
      <c r="A22" s="9">
        <v>42801</v>
      </c>
      <c r="B22" s="18"/>
      <c r="C22" s="15" t="s">
        <v>63</v>
      </c>
      <c r="D22" s="16">
        <v>500</v>
      </c>
      <c r="E22" s="15">
        <v>6.79</v>
      </c>
      <c r="F22" s="16">
        <f t="shared" si="6"/>
        <v>1600</v>
      </c>
      <c r="G22" s="17">
        <f t="shared" si="2"/>
        <v>6.3188906250000016</v>
      </c>
      <c r="H22" s="15">
        <f t="shared" si="7"/>
        <v>10110.225000000002</v>
      </c>
      <c r="I22" s="15">
        <f t="shared" si="3"/>
        <v>753.77499999999782</v>
      </c>
      <c r="J22" s="33">
        <f t="shared" si="4"/>
        <v>7.4555709689942337E-2</v>
      </c>
      <c r="K22" s="15">
        <f t="shared" si="5"/>
        <v>10864</v>
      </c>
      <c r="L22" s="15">
        <f t="shared" si="0"/>
        <v>-5.0000000000009095</v>
      </c>
      <c r="M22" s="15"/>
      <c r="N22" s="15"/>
      <c r="O22" s="15"/>
      <c r="P22" s="17"/>
      <c r="Q22" s="31">
        <f t="shared" si="1"/>
        <v>-3400.0000000000009</v>
      </c>
      <c r="R22" s="34">
        <f t="shared" si="8"/>
        <v>5</v>
      </c>
      <c r="S22" s="15"/>
      <c r="T22" s="34"/>
      <c r="U22" s="34"/>
      <c r="V22" s="31"/>
      <c r="W22" s="32"/>
      <c r="X22" s="32"/>
      <c r="Y22" s="32"/>
      <c r="Z22" s="38"/>
      <c r="AA22" s="31"/>
      <c r="AB22" s="41"/>
      <c r="AC22" s="40"/>
      <c r="AD22" s="40"/>
    </row>
    <row r="23" spans="1:30" s="1" customFormat="1" x14ac:dyDescent="0.25">
      <c r="A23" s="9">
        <v>42804</v>
      </c>
      <c r="B23" s="18"/>
      <c r="C23" s="15" t="s">
        <v>63</v>
      </c>
      <c r="D23" s="16">
        <v>500</v>
      </c>
      <c r="E23" s="15">
        <v>6.71</v>
      </c>
      <c r="F23" s="16">
        <f t="shared" si="6"/>
        <v>2100</v>
      </c>
      <c r="G23" s="17">
        <f t="shared" si="2"/>
        <v>6.4143928571428583</v>
      </c>
      <c r="H23" s="15">
        <f t="shared" si="7"/>
        <v>13470.225000000002</v>
      </c>
      <c r="I23" s="15">
        <f t="shared" si="3"/>
        <v>620.77499999999782</v>
      </c>
      <c r="J23" s="33">
        <f t="shared" si="4"/>
        <v>4.6084976308858785E-2</v>
      </c>
      <c r="K23" s="15">
        <f t="shared" si="5"/>
        <v>14091</v>
      </c>
      <c r="L23" s="15">
        <f t="shared" si="0"/>
        <v>-133</v>
      </c>
      <c r="M23" s="15"/>
      <c r="N23" s="15"/>
      <c r="O23" s="15"/>
      <c r="P23" s="17"/>
      <c r="Q23" s="31">
        <f t="shared" si="1"/>
        <v>-3360</v>
      </c>
      <c r="R23" s="34">
        <f t="shared" si="8"/>
        <v>5</v>
      </c>
      <c r="S23" s="15"/>
      <c r="T23" s="34"/>
      <c r="U23" s="34"/>
      <c r="V23" s="31"/>
      <c r="W23" s="32"/>
      <c r="X23" s="32"/>
      <c r="Y23" s="32"/>
      <c r="Z23" s="38"/>
      <c r="AA23" s="31"/>
      <c r="AB23" s="41"/>
      <c r="AC23" s="40"/>
      <c r="AD23" s="40"/>
    </row>
    <row r="24" spans="1:30" s="1" customFormat="1" x14ac:dyDescent="0.25">
      <c r="A24" s="9">
        <v>42808</v>
      </c>
      <c r="B24" s="18" t="s">
        <v>187</v>
      </c>
      <c r="C24" s="15" t="s">
        <v>69</v>
      </c>
      <c r="D24" s="16">
        <v>500</v>
      </c>
      <c r="E24" s="15">
        <v>6.8</v>
      </c>
      <c r="F24" s="16">
        <f t="shared" si="6"/>
        <v>1600</v>
      </c>
      <c r="G24" s="17">
        <f t="shared" si="2"/>
        <v>6.2991406250000015</v>
      </c>
      <c r="H24" s="15">
        <f t="shared" si="7"/>
        <v>10078.625000000002</v>
      </c>
      <c r="I24" s="15">
        <f t="shared" si="3"/>
        <v>801.37499999999818</v>
      </c>
      <c r="J24" s="33">
        <f t="shared" si="4"/>
        <v>7.9512334271787777E-2</v>
      </c>
      <c r="K24" s="15">
        <f t="shared" si="5"/>
        <v>10880</v>
      </c>
      <c r="L24" s="15">
        <f t="shared" si="0"/>
        <v>180.60000000000036</v>
      </c>
      <c r="M24" s="15"/>
      <c r="N24" s="15"/>
      <c r="O24" s="15"/>
      <c r="P24" s="17"/>
      <c r="Q24" s="31">
        <f t="shared" si="1"/>
        <v>3391.6000000000004</v>
      </c>
      <c r="R24" s="34">
        <f t="shared" si="8"/>
        <v>8.4</v>
      </c>
      <c r="S24" s="15"/>
      <c r="T24" s="34"/>
      <c r="U24" s="34"/>
      <c r="V24" s="31"/>
      <c r="W24" s="32"/>
      <c r="X24" s="32"/>
      <c r="Y24" s="32"/>
      <c r="Z24" s="38"/>
      <c r="AA24" s="31"/>
      <c r="AB24" s="41"/>
      <c r="AC24" s="40"/>
      <c r="AD24" s="40"/>
    </row>
    <row r="25" spans="1:30" s="1" customFormat="1" x14ac:dyDescent="0.25">
      <c r="A25" s="9">
        <v>42814</v>
      </c>
      <c r="B25" s="20"/>
      <c r="C25" s="22" t="s">
        <v>63</v>
      </c>
      <c r="D25" s="16">
        <v>500</v>
      </c>
      <c r="E25" s="15">
        <v>6.66</v>
      </c>
      <c r="F25" s="16">
        <f t="shared" si="6"/>
        <v>2100</v>
      </c>
      <c r="G25" s="17">
        <f t="shared" si="2"/>
        <v>6.3874404761904771</v>
      </c>
      <c r="H25" s="15">
        <f t="shared" si="7"/>
        <v>13413.625000000002</v>
      </c>
      <c r="I25" s="15">
        <f t="shared" si="3"/>
        <v>572.37499999999818</v>
      </c>
      <c r="J25" s="33">
        <f t="shared" si="4"/>
        <v>4.2671164580789935E-2</v>
      </c>
      <c r="K25" s="15">
        <f t="shared" si="5"/>
        <v>13986</v>
      </c>
      <c r="L25" s="15">
        <f t="shared" si="0"/>
        <v>-229</v>
      </c>
      <c r="M25" s="15"/>
      <c r="N25" s="15"/>
      <c r="O25" s="15"/>
      <c r="P25" s="17"/>
      <c r="Q25" s="31">
        <f t="shared" si="1"/>
        <v>-3335</v>
      </c>
      <c r="R25" s="34">
        <f t="shared" si="8"/>
        <v>5</v>
      </c>
      <c r="S25" s="15"/>
      <c r="T25" s="34"/>
      <c r="U25" s="34"/>
      <c r="V25" s="31"/>
      <c r="W25" s="32"/>
      <c r="X25" s="32"/>
      <c r="Y25" s="32"/>
      <c r="Z25" s="38"/>
      <c r="AA25" s="31"/>
      <c r="AB25" s="42"/>
      <c r="AC25" s="40"/>
      <c r="AD25" s="40"/>
    </row>
    <row r="26" spans="1:30" s="1" customFormat="1" x14ac:dyDescent="0.25">
      <c r="A26" s="9">
        <v>42816</v>
      </c>
      <c r="B26" s="20"/>
      <c r="C26" s="22" t="s">
        <v>63</v>
      </c>
      <c r="D26" s="16">
        <v>500</v>
      </c>
      <c r="E26" s="15">
        <v>6.55</v>
      </c>
      <c r="F26" s="16">
        <f t="shared" si="6"/>
        <v>2600</v>
      </c>
      <c r="G26" s="17">
        <f t="shared" si="2"/>
        <v>6.4206250000000002</v>
      </c>
      <c r="H26" s="15">
        <f t="shared" si="7"/>
        <v>16693.625</v>
      </c>
      <c r="I26" s="15">
        <f t="shared" si="3"/>
        <v>336.375</v>
      </c>
      <c r="J26" s="33">
        <f t="shared" si="4"/>
        <v>2.0149907524578927E-2</v>
      </c>
      <c r="K26" s="15">
        <f t="shared" si="5"/>
        <v>17030</v>
      </c>
      <c r="L26" s="15">
        <f t="shared" si="0"/>
        <v>-235.99999999999818</v>
      </c>
      <c r="M26" s="15"/>
      <c r="N26" s="15"/>
      <c r="O26" s="15"/>
      <c r="P26" s="17"/>
      <c r="Q26" s="31">
        <f t="shared" si="1"/>
        <v>-3279.9999999999982</v>
      </c>
      <c r="R26" s="34">
        <f t="shared" si="8"/>
        <v>5</v>
      </c>
      <c r="S26" s="15"/>
      <c r="T26" s="34"/>
      <c r="U26" s="34"/>
      <c r="V26" s="31"/>
      <c r="W26" s="32"/>
      <c r="X26" s="32"/>
      <c r="Y26" s="32"/>
      <c r="Z26" s="38"/>
      <c r="AA26" s="31"/>
      <c r="AB26" s="43"/>
      <c r="AC26" s="40"/>
      <c r="AD26" s="40"/>
    </row>
    <row r="27" spans="1:30" s="1" customFormat="1" x14ac:dyDescent="0.25">
      <c r="A27" s="9">
        <v>42818</v>
      </c>
      <c r="B27" s="20"/>
      <c r="C27" s="22" t="s">
        <v>69</v>
      </c>
      <c r="D27" s="16">
        <v>400</v>
      </c>
      <c r="E27" s="15">
        <v>6.66</v>
      </c>
      <c r="F27" s="16">
        <f t="shared" si="6"/>
        <v>2200</v>
      </c>
      <c r="G27" s="17">
        <f t="shared" si="2"/>
        <v>6.3805859090909092</v>
      </c>
      <c r="H27" s="15">
        <f t="shared" si="7"/>
        <v>14037.289000000001</v>
      </c>
      <c r="I27" s="15">
        <f t="shared" si="3"/>
        <v>614.71099999999933</v>
      </c>
      <c r="J27" s="33">
        <f t="shared" si="4"/>
        <v>4.3791290469263694E-2</v>
      </c>
      <c r="K27" s="15">
        <f t="shared" si="5"/>
        <v>14652</v>
      </c>
      <c r="L27" s="15">
        <f t="shared" si="0"/>
        <v>278.33599999999933</v>
      </c>
      <c r="M27" s="15"/>
      <c r="N27" s="15"/>
      <c r="O27" s="15"/>
      <c r="P27" s="17"/>
      <c r="Q27" s="31">
        <f t="shared" si="1"/>
        <v>2656.3359999999993</v>
      </c>
      <c r="R27" s="34">
        <f t="shared" si="8"/>
        <v>7.6639999999999997</v>
      </c>
      <c r="S27" s="15"/>
      <c r="T27" s="34"/>
      <c r="U27" s="34"/>
      <c r="V27" s="31"/>
      <c r="W27" s="32"/>
      <c r="X27" s="32"/>
      <c r="Y27" s="32"/>
      <c r="Z27" s="38"/>
      <c r="AA27" s="31"/>
      <c r="AB27" s="43"/>
      <c r="AC27" s="40"/>
      <c r="AD27" s="40"/>
    </row>
    <row r="28" spans="1:30" s="1" customFormat="1" x14ac:dyDescent="0.25">
      <c r="A28" s="9">
        <v>42818</v>
      </c>
      <c r="B28" s="20" t="s">
        <v>178</v>
      </c>
      <c r="C28" s="22" t="s">
        <v>69</v>
      </c>
      <c r="D28" s="16">
        <v>400</v>
      </c>
      <c r="E28" s="15">
        <v>6.7</v>
      </c>
      <c r="F28" s="16">
        <f t="shared" si="6"/>
        <v>1800</v>
      </c>
      <c r="G28" s="17">
        <f t="shared" si="2"/>
        <v>6.3138716666666674</v>
      </c>
      <c r="H28" s="15">
        <f t="shared" si="7"/>
        <v>11364.969000000001</v>
      </c>
      <c r="I28" s="15">
        <f t="shared" si="3"/>
        <v>695.03099999999904</v>
      </c>
      <c r="J28" s="33">
        <f t="shared" si="4"/>
        <v>6.1155556165617242E-2</v>
      </c>
      <c r="K28" s="15">
        <f t="shared" si="5"/>
        <v>12060</v>
      </c>
      <c r="L28" s="15">
        <f t="shared" si="0"/>
        <v>80.319999999999709</v>
      </c>
      <c r="M28" s="15"/>
      <c r="N28" s="15"/>
      <c r="O28" s="15"/>
      <c r="P28" s="17"/>
      <c r="Q28" s="31">
        <f t="shared" si="1"/>
        <v>2672.3199999999997</v>
      </c>
      <c r="R28" s="34">
        <f t="shared" si="8"/>
        <v>7.68</v>
      </c>
      <c r="S28" s="15"/>
      <c r="T28" s="34"/>
      <c r="U28" s="34"/>
      <c r="V28" s="31"/>
      <c r="W28" s="32"/>
      <c r="X28" s="32"/>
      <c r="Y28" s="32"/>
      <c r="Z28" s="38"/>
      <c r="AA28" s="31"/>
      <c r="AB28" s="43"/>
      <c r="AC28" s="40"/>
      <c r="AD28" s="40"/>
    </row>
    <row r="29" spans="1:30" s="1" customFormat="1" x14ac:dyDescent="0.25">
      <c r="A29" s="9">
        <v>42823</v>
      </c>
      <c r="B29" s="20" t="s">
        <v>595</v>
      </c>
      <c r="C29" s="22" t="s">
        <v>63</v>
      </c>
      <c r="D29" s="16">
        <v>500</v>
      </c>
      <c r="E29" s="15">
        <v>6.61</v>
      </c>
      <c r="F29" s="16">
        <f t="shared" si="6"/>
        <v>2300</v>
      </c>
      <c r="G29" s="17">
        <f t="shared" si="2"/>
        <v>6.3804213043478262</v>
      </c>
      <c r="H29" s="15">
        <f t="shared" si="7"/>
        <v>14674.969000000001</v>
      </c>
      <c r="I29" s="15">
        <f t="shared" si="3"/>
        <v>528.03099999999904</v>
      </c>
      <c r="J29" s="33">
        <f t="shared" si="4"/>
        <v>3.5981745515101297E-2</v>
      </c>
      <c r="K29" s="15">
        <f t="shared" si="5"/>
        <v>15203</v>
      </c>
      <c r="L29" s="15">
        <f t="shared" si="0"/>
        <v>-167</v>
      </c>
      <c r="M29" s="15"/>
      <c r="N29" s="15"/>
      <c r="O29" s="15"/>
      <c r="P29" s="17"/>
      <c r="Q29" s="31">
        <f t="shared" si="1"/>
        <v>-3310</v>
      </c>
      <c r="R29" s="34">
        <f t="shared" si="8"/>
        <v>5</v>
      </c>
      <c r="S29" s="15"/>
      <c r="T29" s="34"/>
      <c r="U29" s="34"/>
      <c r="V29" s="31"/>
      <c r="W29" s="32"/>
      <c r="X29" s="32"/>
      <c r="Y29" s="32"/>
      <c r="Z29" s="38"/>
      <c r="AA29" s="31"/>
      <c r="AB29" s="43"/>
      <c r="AC29" s="40"/>
      <c r="AD29" s="40"/>
    </row>
    <row r="30" spans="1:30" s="1" customFormat="1" x14ac:dyDescent="0.25">
      <c r="A30" s="9">
        <v>42825</v>
      </c>
      <c r="B30" s="20" t="s">
        <v>596</v>
      </c>
      <c r="C30" s="22" t="s">
        <v>69</v>
      </c>
      <c r="D30" s="16">
        <v>500</v>
      </c>
      <c r="E30" s="15">
        <v>6.69</v>
      </c>
      <c r="F30" s="16">
        <f t="shared" si="6"/>
        <v>1800</v>
      </c>
      <c r="G30" s="17">
        <f t="shared" si="2"/>
        <v>6.2990633333333337</v>
      </c>
      <c r="H30" s="15">
        <f t="shared" si="7"/>
        <v>11338.314</v>
      </c>
      <c r="I30" s="15">
        <f t="shared" si="3"/>
        <v>703.68599999999969</v>
      </c>
      <c r="J30" s="33">
        <f t="shared" si="4"/>
        <v>6.2062666459933996E-2</v>
      </c>
      <c r="K30" s="15">
        <f t="shared" si="5"/>
        <v>12042</v>
      </c>
      <c r="L30" s="15">
        <f t="shared" si="0"/>
        <v>175.65500000000065</v>
      </c>
      <c r="M30" s="15"/>
      <c r="N30" s="15"/>
      <c r="O30" s="15"/>
      <c r="P30" s="17"/>
      <c r="Q30" s="31">
        <f t="shared" si="1"/>
        <v>3336.6550000000007</v>
      </c>
      <c r="R30" s="34">
        <f t="shared" si="8"/>
        <v>8.3450000000000006</v>
      </c>
      <c r="S30" s="15"/>
      <c r="T30" s="34"/>
      <c r="U30" s="34"/>
      <c r="V30" s="31"/>
      <c r="W30" s="32"/>
      <c r="X30" s="32"/>
      <c r="Y30" s="32"/>
      <c r="Z30" s="38"/>
      <c r="AA30" s="31"/>
      <c r="AB30" s="43"/>
      <c r="AC30" s="40"/>
      <c r="AD30" s="40"/>
    </row>
    <row r="31" spans="1:30" s="1" customFormat="1" x14ac:dyDescent="0.25">
      <c r="A31" s="9">
        <v>42838</v>
      </c>
      <c r="B31" s="20"/>
      <c r="C31" s="22" t="s">
        <v>63</v>
      </c>
      <c r="D31" s="16">
        <v>500</v>
      </c>
      <c r="E31" s="15">
        <v>6.62</v>
      </c>
      <c r="F31" s="16">
        <f t="shared" si="6"/>
        <v>2300</v>
      </c>
      <c r="G31" s="17">
        <f t="shared" si="2"/>
        <v>6.3710060869565215</v>
      </c>
      <c r="H31" s="15">
        <f t="shared" si="7"/>
        <v>14653.314</v>
      </c>
      <c r="I31" s="15">
        <f t="shared" si="3"/>
        <v>572.68599999999969</v>
      </c>
      <c r="J31" s="33">
        <f t="shared" si="4"/>
        <v>3.9082353657336547E-2</v>
      </c>
      <c r="K31" s="15">
        <f t="shared" si="5"/>
        <v>15226</v>
      </c>
      <c r="L31" s="15">
        <f t="shared" si="0"/>
        <v>-131</v>
      </c>
      <c r="M31" s="15"/>
      <c r="N31" s="15"/>
      <c r="O31" s="15"/>
      <c r="P31" s="17"/>
      <c r="Q31" s="31">
        <f t="shared" si="1"/>
        <v>-3315</v>
      </c>
      <c r="R31" s="34">
        <f t="shared" si="8"/>
        <v>5</v>
      </c>
      <c r="S31" s="15"/>
      <c r="T31" s="34"/>
      <c r="U31" s="34"/>
      <c r="V31" s="31"/>
      <c r="W31" s="32"/>
      <c r="X31" s="32"/>
      <c r="Y31" s="32"/>
      <c r="Z31" s="38"/>
      <c r="AA31" s="31"/>
      <c r="AB31" s="43"/>
      <c r="AC31" s="40"/>
      <c r="AD31" s="40"/>
    </row>
    <row r="32" spans="1:30" s="1" customFormat="1" x14ac:dyDescent="0.25">
      <c r="A32" s="9">
        <v>42839</v>
      </c>
      <c r="B32" s="20"/>
      <c r="C32" s="22" t="s">
        <v>63</v>
      </c>
      <c r="D32" s="16">
        <v>500</v>
      </c>
      <c r="E32" s="15">
        <v>6.52</v>
      </c>
      <c r="F32" s="16">
        <f t="shared" si="6"/>
        <v>2800</v>
      </c>
      <c r="G32" s="17">
        <f t="shared" si="2"/>
        <v>6.3993978571428567</v>
      </c>
      <c r="H32" s="15">
        <f t="shared" si="7"/>
        <v>17918.313999999998</v>
      </c>
      <c r="I32" s="15">
        <f t="shared" si="3"/>
        <v>337.68600000000151</v>
      </c>
      <c r="J32" s="33">
        <f t="shared" si="4"/>
        <v>1.8845857930606644E-2</v>
      </c>
      <c r="K32" s="15">
        <f t="shared" si="5"/>
        <v>18256</v>
      </c>
      <c r="L32" s="15">
        <f t="shared" si="0"/>
        <v>-234.99999999999818</v>
      </c>
      <c r="M32" s="15"/>
      <c r="N32" s="15"/>
      <c r="O32" s="15"/>
      <c r="P32" s="17"/>
      <c r="Q32" s="31">
        <f t="shared" si="1"/>
        <v>-3264.9999999999982</v>
      </c>
      <c r="R32" s="34">
        <f t="shared" si="8"/>
        <v>5</v>
      </c>
      <c r="S32" s="15"/>
      <c r="T32" s="34"/>
      <c r="U32" s="34"/>
      <c r="V32" s="31"/>
      <c r="W32" s="32"/>
      <c r="X32" s="32"/>
      <c r="Y32" s="32"/>
      <c r="Z32" s="38"/>
      <c r="AA32" s="31"/>
      <c r="AB32" s="43"/>
      <c r="AC32" s="40"/>
      <c r="AD32" s="40"/>
    </row>
    <row r="33" spans="1:30" s="1" customFormat="1" x14ac:dyDescent="0.25">
      <c r="A33" s="9">
        <v>42842</v>
      </c>
      <c r="B33" s="20"/>
      <c r="C33" s="22" t="s">
        <v>63</v>
      </c>
      <c r="D33" s="16">
        <v>500</v>
      </c>
      <c r="E33" s="15">
        <v>6.33</v>
      </c>
      <c r="F33" s="16">
        <f t="shared" si="6"/>
        <v>3300</v>
      </c>
      <c r="G33" s="17">
        <f t="shared" si="2"/>
        <v>6.3903981818181812</v>
      </c>
      <c r="H33" s="15">
        <f t="shared" si="7"/>
        <v>21088.313999999998</v>
      </c>
      <c r="I33" s="15">
        <f t="shared" si="3"/>
        <v>-199.31399999999849</v>
      </c>
      <c r="J33" s="33">
        <f t="shared" si="4"/>
        <v>-9.4513956876779125E-3</v>
      </c>
      <c r="K33" s="15">
        <f t="shared" si="5"/>
        <v>20889</v>
      </c>
      <c r="L33" s="15">
        <f t="shared" si="0"/>
        <v>-537</v>
      </c>
      <c r="M33" s="15"/>
      <c r="N33" s="15"/>
      <c r="O33" s="15"/>
      <c r="P33" s="17"/>
      <c r="Q33" s="31">
        <f t="shared" si="1"/>
        <v>-3170</v>
      </c>
      <c r="R33" s="34">
        <f t="shared" si="8"/>
        <v>5</v>
      </c>
      <c r="S33" s="15"/>
      <c r="T33" s="34"/>
      <c r="U33" s="34"/>
      <c r="V33" s="31"/>
      <c r="W33" s="32"/>
      <c r="X33" s="32"/>
      <c r="Y33" s="32"/>
      <c r="Z33" s="38"/>
      <c r="AA33" s="31"/>
      <c r="AB33" s="43"/>
      <c r="AC33" s="40"/>
      <c r="AD33" s="40"/>
    </row>
    <row r="34" spans="1:30" s="1" customFormat="1" x14ac:dyDescent="0.25">
      <c r="A34" s="9">
        <v>42844</v>
      </c>
      <c r="B34" s="20"/>
      <c r="C34" s="22" t="s">
        <v>63</v>
      </c>
      <c r="D34" s="16">
        <v>500</v>
      </c>
      <c r="E34" s="15">
        <v>6.18</v>
      </c>
      <c r="F34" s="16">
        <f t="shared" si="6"/>
        <v>3800</v>
      </c>
      <c r="G34" s="17">
        <f t="shared" si="2"/>
        <v>6.3640299999999996</v>
      </c>
      <c r="H34" s="15">
        <f t="shared" si="7"/>
        <v>24183.313999999998</v>
      </c>
      <c r="I34" s="15">
        <f t="shared" si="3"/>
        <v>-699.31399999999849</v>
      </c>
      <c r="J34" s="33">
        <f t="shared" si="4"/>
        <v>-2.8917211263931805E-2</v>
      </c>
      <c r="K34" s="15">
        <f t="shared" si="5"/>
        <v>23484</v>
      </c>
      <c r="L34" s="15">
        <f t="shared" si="0"/>
        <v>-500</v>
      </c>
      <c r="M34" s="15"/>
      <c r="N34" s="15"/>
      <c r="O34" s="15"/>
      <c r="P34" s="17"/>
      <c r="Q34" s="31">
        <f t="shared" si="1"/>
        <v>-3095</v>
      </c>
      <c r="R34" s="34">
        <f t="shared" si="8"/>
        <v>5</v>
      </c>
      <c r="S34" s="15"/>
      <c r="T34" s="34"/>
      <c r="U34" s="34"/>
      <c r="V34" s="31"/>
      <c r="W34" s="32"/>
      <c r="X34" s="32"/>
      <c r="Y34" s="32"/>
      <c r="Z34" s="38"/>
      <c r="AA34" s="31"/>
      <c r="AB34" s="43"/>
      <c r="AC34" s="40"/>
      <c r="AD34" s="40"/>
    </row>
    <row r="35" spans="1:30" s="1" customFormat="1" x14ac:dyDescent="0.25">
      <c r="A35" s="9">
        <v>42851</v>
      </c>
      <c r="B35" s="20"/>
      <c r="C35" s="22" t="s">
        <v>63</v>
      </c>
      <c r="D35" s="16">
        <v>500</v>
      </c>
      <c r="E35" s="15">
        <v>6.04</v>
      </c>
      <c r="F35" s="16">
        <f t="shared" si="6"/>
        <v>4300</v>
      </c>
      <c r="G35" s="17">
        <f t="shared" si="2"/>
        <v>6.3275148837209301</v>
      </c>
      <c r="H35" s="15">
        <f t="shared" si="7"/>
        <v>27208.313999999998</v>
      </c>
      <c r="I35" s="15">
        <f t="shared" si="3"/>
        <v>-1236.3139999999985</v>
      </c>
      <c r="J35" s="33">
        <f t="shared" si="4"/>
        <v>-4.5438831674759386E-2</v>
      </c>
      <c r="K35" s="15">
        <f t="shared" si="5"/>
        <v>25972</v>
      </c>
      <c r="L35" s="15">
        <f t="shared" si="0"/>
        <v>-537</v>
      </c>
      <c r="M35" s="15"/>
      <c r="N35" s="15"/>
      <c r="O35" s="15"/>
      <c r="P35" s="17"/>
      <c r="Q35" s="31">
        <f t="shared" si="1"/>
        <v>-3025</v>
      </c>
      <c r="R35" s="34">
        <f t="shared" si="8"/>
        <v>5</v>
      </c>
      <c r="S35" s="15"/>
      <c r="T35" s="34"/>
      <c r="U35" s="34"/>
      <c r="V35" s="31"/>
      <c r="W35" s="32"/>
      <c r="X35" s="32"/>
      <c r="Y35" s="32"/>
      <c r="Z35" s="38"/>
      <c r="AA35" s="31"/>
      <c r="AB35" s="43"/>
      <c r="AC35" s="40"/>
      <c r="AD35" s="40"/>
    </row>
    <row r="36" spans="1:30" s="1" customFormat="1" x14ac:dyDescent="0.25">
      <c r="A36" s="9">
        <v>42852</v>
      </c>
      <c r="B36" s="20"/>
      <c r="C36" s="22" t="s">
        <v>63</v>
      </c>
      <c r="D36" s="16">
        <v>500</v>
      </c>
      <c r="E36" s="15">
        <v>5.94</v>
      </c>
      <c r="F36" s="16">
        <f t="shared" si="6"/>
        <v>4800</v>
      </c>
      <c r="G36" s="17">
        <f t="shared" si="2"/>
        <v>6.2881904166666667</v>
      </c>
      <c r="H36" s="15">
        <f t="shared" si="7"/>
        <v>30183.313999999998</v>
      </c>
      <c r="I36" s="15">
        <f t="shared" si="3"/>
        <v>-1671.3139999999948</v>
      </c>
      <c r="J36" s="33">
        <f t="shared" si="4"/>
        <v>-5.5372117190312438E-2</v>
      </c>
      <c r="K36" s="15">
        <f t="shared" si="5"/>
        <v>28512.000000000004</v>
      </c>
      <c r="L36" s="15">
        <f t="shared" si="0"/>
        <v>-434.99999999999636</v>
      </c>
      <c r="M36" s="15"/>
      <c r="N36" s="15"/>
      <c r="O36" s="15"/>
      <c r="P36" s="17"/>
      <c r="Q36" s="31">
        <f t="shared" si="1"/>
        <v>-2975</v>
      </c>
      <c r="R36" s="34">
        <f t="shared" si="8"/>
        <v>5</v>
      </c>
      <c r="S36" s="15"/>
      <c r="T36" s="34"/>
      <c r="U36" s="34"/>
      <c r="V36" s="31"/>
      <c r="W36" s="32"/>
      <c r="X36" s="32"/>
      <c r="Y36" s="32"/>
      <c r="Z36" s="38"/>
      <c r="AA36" s="31"/>
      <c r="AB36" s="43"/>
      <c r="AC36" s="40"/>
      <c r="AD36" s="40"/>
    </row>
    <row r="37" spans="1:30" s="1" customFormat="1" x14ac:dyDescent="0.25">
      <c r="A37" s="9">
        <v>42867</v>
      </c>
      <c r="B37" s="20" t="s">
        <v>393</v>
      </c>
      <c r="C37" s="22" t="s">
        <v>69</v>
      </c>
      <c r="D37" s="16">
        <v>500</v>
      </c>
      <c r="E37" s="15">
        <v>6.05</v>
      </c>
      <c r="F37" s="16">
        <f t="shared" si="6"/>
        <v>4300</v>
      </c>
      <c r="G37" s="17">
        <f t="shared" si="2"/>
        <v>6.3177532558139537</v>
      </c>
      <c r="H37" s="15">
        <f t="shared" si="7"/>
        <v>27166.339</v>
      </c>
      <c r="I37" s="15">
        <f t="shared" si="3"/>
        <v>-1151.3389999999999</v>
      </c>
      <c r="J37" s="33">
        <f t="shared" si="4"/>
        <v>-4.2381087860237698E-2</v>
      </c>
      <c r="K37" s="15">
        <f t="shared" si="5"/>
        <v>26015</v>
      </c>
      <c r="L37" s="15">
        <f t="shared" si="0"/>
        <v>519.97499999999491</v>
      </c>
      <c r="M37" s="15"/>
      <c r="N37" s="15"/>
      <c r="O37" s="15"/>
      <c r="P37" s="17"/>
      <c r="Q37" s="31">
        <f t="shared" si="1"/>
        <v>3016.9749999999985</v>
      </c>
      <c r="R37" s="34">
        <f t="shared" si="8"/>
        <v>8.0250000000000004</v>
      </c>
      <c r="S37" s="15"/>
      <c r="T37" s="34"/>
      <c r="U37" s="34"/>
      <c r="V37" s="31"/>
      <c r="W37" s="32"/>
      <c r="X37" s="32"/>
      <c r="Y37" s="32"/>
      <c r="Z37" s="38"/>
      <c r="AA37" s="31"/>
      <c r="AB37" s="43"/>
      <c r="AC37" s="40"/>
      <c r="AD37" s="40"/>
    </row>
    <row r="38" spans="1:30" s="1" customFormat="1" x14ac:dyDescent="0.25">
      <c r="A38" s="9">
        <v>42867</v>
      </c>
      <c r="B38" s="20" t="s">
        <v>183</v>
      </c>
      <c r="C38" s="22" t="s">
        <v>69</v>
      </c>
      <c r="D38" s="16">
        <v>500</v>
      </c>
      <c r="E38" s="15">
        <v>6.13</v>
      </c>
      <c r="F38" s="16">
        <f t="shared" si="6"/>
        <v>3800</v>
      </c>
      <c r="G38" s="17">
        <f t="shared" si="2"/>
        <v>6.3445799999999997</v>
      </c>
      <c r="H38" s="15">
        <f t="shared" si="7"/>
        <v>24109.403999999999</v>
      </c>
      <c r="I38" s="15">
        <f t="shared" si="3"/>
        <v>-815.40399999999863</v>
      </c>
      <c r="J38" s="33">
        <f t="shared" si="4"/>
        <v>-3.3820993667035448E-2</v>
      </c>
      <c r="K38" s="15">
        <f t="shared" si="5"/>
        <v>23294</v>
      </c>
      <c r="L38" s="15">
        <f t="shared" si="0"/>
        <v>335.93500000000131</v>
      </c>
      <c r="M38" s="15"/>
      <c r="N38" s="15"/>
      <c r="O38" s="15"/>
      <c r="P38" s="17"/>
      <c r="Q38" s="31">
        <f t="shared" si="1"/>
        <v>3056.9350000000013</v>
      </c>
      <c r="R38" s="34">
        <f t="shared" si="8"/>
        <v>8.0649999999999995</v>
      </c>
      <c r="S38" s="15"/>
      <c r="T38" s="34"/>
      <c r="U38" s="34"/>
      <c r="V38" s="31"/>
      <c r="W38" s="32"/>
      <c r="X38" s="32"/>
      <c r="Y38" s="32"/>
      <c r="Z38" s="38"/>
      <c r="AA38" s="31"/>
      <c r="AB38" s="43"/>
      <c r="AC38" s="40"/>
      <c r="AD38" s="40"/>
    </row>
    <row r="39" spans="1:30" s="1" customFormat="1" x14ac:dyDescent="0.25">
      <c r="A39" s="9">
        <v>42873</v>
      </c>
      <c r="B39" s="20"/>
      <c r="C39" s="22" t="s">
        <v>63</v>
      </c>
      <c r="D39" s="16">
        <v>500</v>
      </c>
      <c r="E39" s="15">
        <v>5.93</v>
      </c>
      <c r="F39" s="16">
        <f t="shared" si="6"/>
        <v>4300</v>
      </c>
      <c r="G39" s="17">
        <f t="shared" si="2"/>
        <v>6.2975358139534885</v>
      </c>
      <c r="H39" s="15">
        <f t="shared" si="7"/>
        <v>27079.403999999999</v>
      </c>
      <c r="I39" s="15">
        <f t="shared" si="3"/>
        <v>-1580.4039999999986</v>
      </c>
      <c r="J39" s="33">
        <f t="shared" si="4"/>
        <v>-5.8361845777698866E-2</v>
      </c>
      <c r="K39" s="15">
        <f t="shared" si="5"/>
        <v>25499</v>
      </c>
      <c r="L39" s="15">
        <f t="shared" si="0"/>
        <v>-765</v>
      </c>
      <c r="M39" s="15"/>
      <c r="N39" s="15"/>
      <c r="O39" s="15"/>
      <c r="P39" s="17"/>
      <c r="Q39" s="31">
        <f t="shared" si="1"/>
        <v>-2970</v>
      </c>
      <c r="R39" s="34">
        <f t="shared" si="8"/>
        <v>5</v>
      </c>
      <c r="S39" s="15"/>
      <c r="T39" s="34"/>
      <c r="U39" s="34"/>
      <c r="V39" s="31"/>
      <c r="W39" s="32"/>
      <c r="X39" s="32"/>
      <c r="Y39" s="32"/>
      <c r="Z39" s="38"/>
      <c r="AA39" s="31"/>
      <c r="AB39" s="43"/>
      <c r="AC39" s="40"/>
      <c r="AD39" s="40"/>
    </row>
    <row r="40" spans="1:30" s="1" customFormat="1" x14ac:dyDescent="0.25">
      <c r="A40" s="9">
        <v>42880</v>
      </c>
      <c r="B40" s="20" t="s">
        <v>392</v>
      </c>
      <c r="C40" s="22" t="s">
        <v>69</v>
      </c>
      <c r="D40" s="16">
        <v>500</v>
      </c>
      <c r="E40" s="15">
        <v>6.18</v>
      </c>
      <c r="F40" s="16">
        <f t="shared" si="6"/>
        <v>3800</v>
      </c>
      <c r="G40" s="17">
        <f t="shared" si="2"/>
        <v>6.3151299999999999</v>
      </c>
      <c r="H40" s="15">
        <f t="shared" si="7"/>
        <v>23997.493999999999</v>
      </c>
      <c r="I40" s="15">
        <f t="shared" si="3"/>
        <v>-513.49399999999878</v>
      </c>
      <c r="J40" s="33">
        <f t="shared" si="4"/>
        <v>-2.1397817622123408E-2</v>
      </c>
      <c r="K40" s="15">
        <f t="shared" si="5"/>
        <v>23484</v>
      </c>
      <c r="L40" s="15">
        <f t="shared" si="0"/>
        <v>1066.9099999999999</v>
      </c>
      <c r="M40" s="15"/>
      <c r="N40" s="15"/>
      <c r="O40" s="15"/>
      <c r="P40" s="17"/>
      <c r="Q40" s="31">
        <f t="shared" si="1"/>
        <v>3081.91</v>
      </c>
      <c r="R40" s="34">
        <f t="shared" si="8"/>
        <v>8.09</v>
      </c>
      <c r="S40" s="15"/>
      <c r="T40" s="34"/>
      <c r="U40" s="34"/>
      <c r="V40" s="31"/>
      <c r="W40" s="32"/>
      <c r="X40" s="32"/>
      <c r="Y40" s="32"/>
      <c r="Z40" s="38"/>
      <c r="AA40" s="31"/>
      <c r="AB40" s="43"/>
      <c r="AC40" s="40"/>
      <c r="AD40" s="40"/>
    </row>
    <row r="41" spans="1:30" s="1" customFormat="1" x14ac:dyDescent="0.25">
      <c r="A41" s="9">
        <v>42888</v>
      </c>
      <c r="B41" s="20"/>
      <c r="C41" s="22" t="s">
        <v>63</v>
      </c>
      <c r="D41" s="16">
        <v>500</v>
      </c>
      <c r="E41" s="15">
        <v>6.1</v>
      </c>
      <c r="F41" s="16">
        <f t="shared" si="6"/>
        <v>4300</v>
      </c>
      <c r="G41" s="17">
        <f t="shared" si="2"/>
        <v>6.2912776744186045</v>
      </c>
      <c r="H41" s="15">
        <f t="shared" si="7"/>
        <v>27052.493999999999</v>
      </c>
      <c r="I41" s="15">
        <f t="shared" si="3"/>
        <v>-822.49399999999878</v>
      </c>
      <c r="J41" s="33">
        <f t="shared" si="4"/>
        <v>-3.0403629328963202E-2</v>
      </c>
      <c r="K41" s="15">
        <f t="shared" si="5"/>
        <v>26230</v>
      </c>
      <c r="L41" s="15">
        <f t="shared" si="0"/>
        <v>-309</v>
      </c>
      <c r="M41" s="15"/>
      <c r="N41" s="15"/>
      <c r="O41" s="15"/>
      <c r="P41" s="17"/>
      <c r="Q41" s="31">
        <f t="shared" si="1"/>
        <v>-3055</v>
      </c>
      <c r="R41" s="34">
        <f t="shared" si="8"/>
        <v>5</v>
      </c>
      <c r="S41" s="15"/>
      <c r="T41" s="34"/>
      <c r="U41" s="34"/>
      <c r="V41" s="31"/>
      <c r="W41" s="32"/>
      <c r="X41" s="32"/>
      <c r="Y41" s="32"/>
      <c r="Z41" s="38"/>
      <c r="AA41" s="31"/>
      <c r="AB41" s="43"/>
      <c r="AC41" s="40"/>
      <c r="AD41" s="40"/>
    </row>
    <row r="42" spans="1:30" s="1" customFormat="1" x14ac:dyDescent="0.25">
      <c r="A42" s="9">
        <v>42908</v>
      </c>
      <c r="B42" s="18" t="s">
        <v>197</v>
      </c>
      <c r="C42" s="22" t="s">
        <v>69</v>
      </c>
      <c r="D42" s="16">
        <v>500</v>
      </c>
      <c r="E42" s="15">
        <v>6.24</v>
      </c>
      <c r="F42" s="16">
        <f t="shared" si="6"/>
        <v>3800</v>
      </c>
      <c r="G42" s="17">
        <f t="shared" si="2"/>
        <v>6.3001615789473675</v>
      </c>
      <c r="H42" s="15">
        <f t="shared" si="7"/>
        <v>23940.613999999998</v>
      </c>
      <c r="I42" s="15">
        <f t="shared" si="3"/>
        <v>-228.61399999999776</v>
      </c>
      <c r="J42" s="33">
        <f t="shared" si="4"/>
        <v>-9.5492120628149196E-3</v>
      </c>
      <c r="K42" s="15">
        <f t="shared" si="5"/>
        <v>23712</v>
      </c>
      <c r="L42" s="15">
        <f t="shared" si="0"/>
        <v>593.88000000000102</v>
      </c>
      <c r="M42" s="15"/>
      <c r="N42" s="15"/>
      <c r="O42" s="15"/>
      <c r="P42" s="17"/>
      <c r="Q42" s="31">
        <f t="shared" si="1"/>
        <v>3111.880000000001</v>
      </c>
      <c r="R42" s="34">
        <f t="shared" si="8"/>
        <v>8.120000000000001</v>
      </c>
      <c r="S42" s="15"/>
      <c r="T42" s="34"/>
      <c r="U42" s="34"/>
      <c r="V42" s="31"/>
      <c r="W42" s="32"/>
      <c r="X42" s="32"/>
      <c r="Y42" s="32"/>
      <c r="Z42" s="38"/>
      <c r="AA42" s="31"/>
      <c r="AB42" s="44"/>
      <c r="AC42" s="40"/>
      <c r="AD42" s="40"/>
    </row>
    <row r="43" spans="1:30" s="1" customFormat="1" x14ac:dyDescent="0.25">
      <c r="A43" s="9">
        <v>42913</v>
      </c>
      <c r="B43" s="130" t="s">
        <v>390</v>
      </c>
      <c r="C43" s="22" t="s">
        <v>69</v>
      </c>
      <c r="D43" s="16">
        <v>500</v>
      </c>
      <c r="E43" s="15">
        <v>6.37</v>
      </c>
      <c r="F43" s="16">
        <f t="shared" si="6"/>
        <v>3300</v>
      </c>
      <c r="G43" s="17">
        <f t="shared" si="2"/>
        <v>6.2920603030303024</v>
      </c>
      <c r="H43" s="15">
        <f t="shared" si="7"/>
        <v>20763.798999999999</v>
      </c>
      <c r="I43" s="15">
        <f t="shared" si="3"/>
        <v>257.20100000000093</v>
      </c>
      <c r="J43" s="33">
        <f t="shared" si="4"/>
        <v>1.2386991417129518E-2</v>
      </c>
      <c r="K43" s="15">
        <f t="shared" si="5"/>
        <v>21021</v>
      </c>
      <c r="L43" s="15">
        <f t="shared" si="0"/>
        <v>485.81499999999869</v>
      </c>
      <c r="M43" s="15"/>
      <c r="N43" s="15"/>
      <c r="O43" s="15"/>
      <c r="P43" s="17"/>
      <c r="Q43" s="31">
        <f t="shared" si="1"/>
        <v>3176.8149999999987</v>
      </c>
      <c r="R43" s="34">
        <f t="shared" si="8"/>
        <v>8.1850000000000005</v>
      </c>
      <c r="S43" s="15"/>
      <c r="T43" s="273"/>
      <c r="U43" s="273"/>
      <c r="V43" s="22"/>
      <c r="W43" s="272"/>
      <c r="X43" s="272"/>
      <c r="Y43" s="272"/>
      <c r="Z43" s="274"/>
      <c r="AA43" s="22"/>
      <c r="AB43" s="275"/>
      <c r="AC43" s="40"/>
      <c r="AD43" s="40"/>
    </row>
    <row r="44" spans="1:30" s="1" customFormat="1" x14ac:dyDescent="0.25">
      <c r="A44" s="9">
        <v>42920</v>
      </c>
      <c r="B44" s="18"/>
      <c r="C44" s="22" t="s">
        <v>63</v>
      </c>
      <c r="D44" s="16">
        <v>500</v>
      </c>
      <c r="E44" s="15">
        <v>6.19</v>
      </c>
      <c r="F44" s="16">
        <f t="shared" si="6"/>
        <v>3800</v>
      </c>
      <c r="G44" s="17">
        <f t="shared" si="2"/>
        <v>6.2799471052631572</v>
      </c>
      <c r="H44" s="15">
        <f t="shared" si="7"/>
        <v>23863.798999999999</v>
      </c>
      <c r="I44" s="15">
        <f t="shared" si="3"/>
        <v>-341.79899999999907</v>
      </c>
      <c r="J44" s="33">
        <f t="shared" si="4"/>
        <v>-1.4322908100256632E-2</v>
      </c>
      <c r="K44" s="15">
        <f t="shared" si="5"/>
        <v>23522</v>
      </c>
      <c r="L44" s="15">
        <f t="shared" si="0"/>
        <v>-599</v>
      </c>
      <c r="M44" s="15"/>
      <c r="N44" s="15"/>
      <c r="O44" s="15"/>
      <c r="P44" s="17"/>
      <c r="Q44" s="31">
        <f t="shared" si="1"/>
        <v>-3100</v>
      </c>
      <c r="R44" s="34">
        <f t="shared" si="8"/>
        <v>5</v>
      </c>
      <c r="S44" s="15"/>
      <c r="T44" s="273"/>
      <c r="U44" s="273"/>
      <c r="V44" s="22"/>
      <c r="W44" s="272"/>
      <c r="X44" s="272"/>
      <c r="Y44" s="272"/>
      <c r="Z44" s="274"/>
      <c r="AA44" s="22"/>
      <c r="AB44" s="275"/>
      <c r="AC44" s="40"/>
      <c r="AD44" s="40"/>
    </row>
    <row r="45" spans="1:30" s="1" customFormat="1" x14ac:dyDescent="0.25">
      <c r="A45" s="9">
        <v>42927</v>
      </c>
      <c r="B45" s="130" t="s">
        <v>597</v>
      </c>
      <c r="C45" s="22" t="s">
        <v>69</v>
      </c>
      <c r="D45" s="16">
        <v>400</v>
      </c>
      <c r="E45" s="15">
        <v>6.31</v>
      </c>
      <c r="F45" s="16">
        <f t="shared" si="6"/>
        <v>3400</v>
      </c>
      <c r="G45" s="17">
        <f t="shared" si="2"/>
        <v>6.2786244117647056</v>
      </c>
      <c r="H45" s="15">
        <f t="shared" si="7"/>
        <v>21347.323</v>
      </c>
      <c r="I45" s="15">
        <f t="shared" si="3"/>
        <v>106.67699999999968</v>
      </c>
      <c r="J45" s="33">
        <f t="shared" si="4"/>
        <v>4.9972073781803681E-3</v>
      </c>
      <c r="K45" s="15">
        <f t="shared" si="5"/>
        <v>21454</v>
      </c>
      <c r="L45" s="15">
        <f t="shared" si="0"/>
        <v>448.47599999999875</v>
      </c>
      <c r="M45" s="15"/>
      <c r="N45" s="15"/>
      <c r="O45" s="15"/>
      <c r="P45" s="17"/>
      <c r="Q45" s="31">
        <f t="shared" si="1"/>
        <v>2516.4759999999987</v>
      </c>
      <c r="R45" s="34">
        <f t="shared" si="8"/>
        <v>7.524</v>
      </c>
      <c r="S45" s="15"/>
      <c r="T45" s="273"/>
      <c r="U45" s="273"/>
      <c r="V45" s="22"/>
      <c r="W45" s="272"/>
      <c r="X45" s="272"/>
      <c r="Y45" s="272"/>
      <c r="Z45" s="274"/>
      <c r="AA45" s="22"/>
      <c r="AB45" s="275"/>
      <c r="AC45" s="40"/>
      <c r="AD45" s="40"/>
    </row>
    <row r="46" spans="1:30" s="1" customFormat="1" x14ac:dyDescent="0.25">
      <c r="A46" s="9">
        <v>42928</v>
      </c>
      <c r="B46" s="20" t="s">
        <v>396</v>
      </c>
      <c r="C46" s="22" t="s">
        <v>69</v>
      </c>
      <c r="D46" s="16">
        <v>400</v>
      </c>
      <c r="E46" s="15">
        <v>6.43</v>
      </c>
      <c r="F46" s="16">
        <f t="shared" si="6"/>
        <v>3000</v>
      </c>
      <c r="G46" s="17">
        <f t="shared" si="2"/>
        <v>6.2609650000000006</v>
      </c>
      <c r="H46" s="15">
        <f t="shared" si="7"/>
        <v>18782.895</v>
      </c>
      <c r="I46" s="15">
        <f t="shared" si="3"/>
        <v>507.10499999999956</v>
      </c>
      <c r="J46" s="33">
        <f t="shared" si="4"/>
        <v>2.6998234297747895E-2</v>
      </c>
      <c r="K46" s="15">
        <f t="shared" si="5"/>
        <v>19290</v>
      </c>
      <c r="L46" s="15">
        <f t="shared" si="0"/>
        <v>400.42799999999988</v>
      </c>
      <c r="M46" s="15"/>
      <c r="N46" s="15"/>
      <c r="O46" s="15"/>
      <c r="P46" s="17"/>
      <c r="Q46" s="31">
        <f t="shared" si="1"/>
        <v>2564.4279999999999</v>
      </c>
      <c r="R46" s="34">
        <f t="shared" si="8"/>
        <v>7.5720000000000001</v>
      </c>
      <c r="S46" s="15"/>
      <c r="T46" s="273"/>
      <c r="U46" s="273"/>
      <c r="V46" s="22"/>
      <c r="W46" s="272"/>
      <c r="X46" s="272"/>
      <c r="Y46" s="272"/>
      <c r="Z46" s="274"/>
      <c r="AA46" s="22"/>
      <c r="AB46" s="275"/>
      <c r="AC46" s="40"/>
      <c r="AD46" s="40"/>
    </row>
    <row r="47" spans="1:30" s="1" customFormat="1" x14ac:dyDescent="0.25">
      <c r="A47" s="9">
        <v>42928</v>
      </c>
      <c r="B47" s="20" t="s">
        <v>181</v>
      </c>
      <c r="C47" s="22" t="s">
        <v>69</v>
      </c>
      <c r="D47" s="16">
        <v>400</v>
      </c>
      <c r="E47" s="15">
        <v>6.51</v>
      </c>
      <c r="F47" s="16">
        <f t="shared" si="6"/>
        <v>2600</v>
      </c>
      <c r="G47" s="17">
        <f t="shared" si="2"/>
        <v>6.2255765384615387</v>
      </c>
      <c r="H47" s="15">
        <f t="shared" si="7"/>
        <v>16186.499</v>
      </c>
      <c r="I47" s="15">
        <f t="shared" si="3"/>
        <v>739.5010000000002</v>
      </c>
      <c r="J47" s="33">
        <f t="shared" si="4"/>
        <v>4.5686284600517928E-2</v>
      </c>
      <c r="K47" s="15">
        <f t="shared" si="5"/>
        <v>16926</v>
      </c>
      <c r="L47" s="15">
        <f t="shared" si="0"/>
        <v>232.39600000000064</v>
      </c>
      <c r="M47" s="15"/>
      <c r="N47" s="15"/>
      <c r="O47" s="15"/>
      <c r="P47" s="17"/>
      <c r="Q47" s="31">
        <f t="shared" si="1"/>
        <v>2596.3960000000006</v>
      </c>
      <c r="R47" s="34">
        <f t="shared" si="8"/>
        <v>7.6040000000000001</v>
      </c>
      <c r="S47" s="15"/>
      <c r="T47" s="273"/>
      <c r="U47" s="273"/>
      <c r="V47" s="22"/>
      <c r="W47" s="272"/>
      <c r="X47" s="272"/>
      <c r="Y47" s="272"/>
      <c r="Z47" s="274"/>
      <c r="AA47" s="22"/>
      <c r="AB47" s="275"/>
      <c r="AC47" s="40"/>
      <c r="AD47" s="40"/>
    </row>
    <row r="48" spans="1:30" s="1" customFormat="1" x14ac:dyDescent="0.25">
      <c r="A48" s="9">
        <v>42930</v>
      </c>
      <c r="B48" s="20" t="s">
        <v>184</v>
      </c>
      <c r="C48" s="22" t="s">
        <v>69</v>
      </c>
      <c r="D48" s="16">
        <v>500</v>
      </c>
      <c r="E48" s="15">
        <v>6.62</v>
      </c>
      <c r="F48" s="16">
        <f t="shared" si="6"/>
        <v>2100</v>
      </c>
      <c r="G48" s="17">
        <f t="shared" si="2"/>
        <v>6.1356233333333332</v>
      </c>
      <c r="H48" s="15">
        <f t="shared" si="7"/>
        <v>12884.808999999999</v>
      </c>
      <c r="I48" s="15">
        <f t="shared" si="3"/>
        <v>1017.1910000000007</v>
      </c>
      <c r="J48" s="33">
        <f t="shared" si="4"/>
        <v>7.8944980868556183E-2</v>
      </c>
      <c r="K48" s="15">
        <f t="shared" si="5"/>
        <v>13902</v>
      </c>
      <c r="L48" s="15">
        <f t="shared" si="0"/>
        <v>277.69000000000051</v>
      </c>
      <c r="M48" s="15"/>
      <c r="N48" s="15"/>
      <c r="O48" s="15"/>
      <c r="P48" s="17"/>
      <c r="Q48" s="31">
        <f t="shared" si="1"/>
        <v>3301.6900000000005</v>
      </c>
      <c r="R48" s="34">
        <f t="shared" si="8"/>
        <v>8.31</v>
      </c>
      <c r="S48" s="15"/>
      <c r="T48" s="273"/>
      <c r="U48" s="273"/>
      <c r="V48" s="22"/>
      <c r="W48" s="272"/>
      <c r="X48" s="272"/>
      <c r="Y48" s="272"/>
      <c r="Z48" s="274"/>
      <c r="AA48" s="22"/>
      <c r="AB48" s="275"/>
      <c r="AC48" s="40"/>
      <c r="AD48" s="40"/>
    </row>
    <row r="49" spans="1:30" s="1" customFormat="1" x14ac:dyDescent="0.25">
      <c r="A49" s="9">
        <v>42930</v>
      </c>
      <c r="B49" s="20" t="s">
        <v>179</v>
      </c>
      <c r="C49" s="22" t="s">
        <v>69</v>
      </c>
      <c r="D49" s="16">
        <v>500</v>
      </c>
      <c r="E49" s="15">
        <v>6.68</v>
      </c>
      <c r="F49" s="16">
        <f t="shared" si="6"/>
        <v>1600</v>
      </c>
      <c r="G49" s="17">
        <f t="shared" si="2"/>
        <v>5.9707181249999994</v>
      </c>
      <c r="H49" s="15">
        <f t="shared" si="7"/>
        <v>9553.1489999999994</v>
      </c>
      <c r="I49" s="15">
        <f t="shared" si="3"/>
        <v>1134.8510000000006</v>
      </c>
      <c r="J49" s="33">
        <f t="shared" si="4"/>
        <v>0.11879339472251511</v>
      </c>
      <c r="K49" s="15">
        <f t="shared" si="5"/>
        <v>10688</v>
      </c>
      <c r="L49" s="15">
        <f t="shared" si="0"/>
        <v>117.65999999999985</v>
      </c>
      <c r="M49" s="15"/>
      <c r="N49" s="15"/>
      <c r="O49" s="15"/>
      <c r="P49" s="17"/>
      <c r="Q49" s="31">
        <f t="shared" si="1"/>
        <v>3331.66</v>
      </c>
      <c r="R49" s="34">
        <f t="shared" si="8"/>
        <v>8.34</v>
      </c>
      <c r="S49" s="15"/>
      <c r="T49" s="273"/>
      <c r="U49" s="273"/>
      <c r="V49" s="22"/>
      <c r="W49" s="272"/>
      <c r="X49" s="272"/>
      <c r="Y49" s="272"/>
      <c r="Z49" s="274"/>
      <c r="AA49" s="22"/>
      <c r="AB49" s="275"/>
      <c r="AC49" s="40"/>
      <c r="AD49" s="40"/>
    </row>
    <row r="50" spans="1:30" s="1" customFormat="1" x14ac:dyDescent="0.25">
      <c r="A50" s="9">
        <v>42933</v>
      </c>
      <c r="B50" s="20" t="s">
        <v>223</v>
      </c>
      <c r="C50" s="22" t="s">
        <v>69</v>
      </c>
      <c r="D50" s="16">
        <v>500</v>
      </c>
      <c r="E50" s="15">
        <v>6.82</v>
      </c>
      <c r="F50" s="16">
        <f t="shared" si="6"/>
        <v>1100</v>
      </c>
      <c r="G50" s="17">
        <f t="shared" si="2"/>
        <v>5.5923263636363627</v>
      </c>
      <c r="H50" s="15">
        <f t="shared" si="7"/>
        <v>6151.5589999999993</v>
      </c>
      <c r="I50" s="15">
        <f t="shared" si="3"/>
        <v>1350.4410000000007</v>
      </c>
      <c r="J50" s="33">
        <f t="shared" si="4"/>
        <v>0.21952825291930086</v>
      </c>
      <c r="K50" s="15">
        <f t="shared" si="5"/>
        <v>7502</v>
      </c>
      <c r="L50" s="15">
        <f t="shared" si="0"/>
        <v>215.59000000000015</v>
      </c>
      <c r="M50" s="15"/>
      <c r="N50" s="15"/>
      <c r="O50" s="15"/>
      <c r="P50" s="17"/>
      <c r="Q50" s="31">
        <f t="shared" si="1"/>
        <v>3401.59</v>
      </c>
      <c r="R50" s="34">
        <f t="shared" si="8"/>
        <v>8.41</v>
      </c>
      <c r="S50" s="15"/>
      <c r="T50" s="273"/>
      <c r="U50" s="273"/>
      <c r="V50" s="22"/>
      <c r="W50" s="272"/>
      <c r="X50" s="272"/>
      <c r="Y50" s="272"/>
      <c r="Z50" s="274"/>
      <c r="AA50" s="22"/>
      <c r="AB50" s="275"/>
      <c r="AC50" s="40"/>
      <c r="AD50" s="40"/>
    </row>
    <row r="51" spans="1:30" s="1" customFormat="1" x14ac:dyDescent="0.25">
      <c r="A51" s="9">
        <v>42933</v>
      </c>
      <c r="B51" s="20" t="s">
        <v>598</v>
      </c>
      <c r="C51" s="22" t="s">
        <v>69</v>
      </c>
      <c r="D51" s="16">
        <v>500</v>
      </c>
      <c r="E51" s="15">
        <v>7.18</v>
      </c>
      <c r="F51" s="16">
        <f t="shared" si="6"/>
        <v>600</v>
      </c>
      <c r="G51" s="17">
        <f t="shared" si="2"/>
        <v>4.0419149999999995</v>
      </c>
      <c r="H51" s="15">
        <f t="shared" si="7"/>
        <v>2425.1489999999994</v>
      </c>
      <c r="I51" s="15">
        <f t="shared" si="3"/>
        <v>1882.8510000000006</v>
      </c>
      <c r="J51" s="33">
        <f t="shared" si="4"/>
        <v>0.77638569836327598</v>
      </c>
      <c r="K51" s="15">
        <f t="shared" si="5"/>
        <v>4308</v>
      </c>
      <c r="L51" s="15">
        <f t="shared" si="0"/>
        <v>532.40999999999985</v>
      </c>
      <c r="M51" s="15"/>
      <c r="N51" s="15"/>
      <c r="O51" s="15"/>
      <c r="P51" s="17"/>
      <c r="Q51" s="31">
        <f t="shared" si="1"/>
        <v>3726.41</v>
      </c>
      <c r="R51" s="34">
        <f t="shared" si="8"/>
        <v>8.59</v>
      </c>
      <c r="S51" s="15">
        <v>-145</v>
      </c>
      <c r="T51" s="273"/>
      <c r="U51" s="273"/>
      <c r="V51" s="22"/>
      <c r="W51" s="272"/>
      <c r="X51" s="272"/>
      <c r="Y51" s="272"/>
      <c r="Z51" s="274"/>
      <c r="AA51" s="22"/>
      <c r="AB51" s="275"/>
      <c r="AC51" s="40"/>
      <c r="AD51" s="40"/>
    </row>
    <row r="52" spans="1:30" s="1" customFormat="1" x14ac:dyDescent="0.25">
      <c r="A52" s="9">
        <v>42940</v>
      </c>
      <c r="B52" s="129" t="s">
        <v>599</v>
      </c>
      <c r="C52" s="22"/>
      <c r="D52" s="16"/>
      <c r="E52" s="15">
        <v>6.81</v>
      </c>
      <c r="F52" s="16">
        <f t="shared" si="6"/>
        <v>600</v>
      </c>
      <c r="G52" s="17">
        <f t="shared" si="2"/>
        <v>4.0419149999999995</v>
      </c>
      <c r="H52" s="15">
        <f t="shared" si="7"/>
        <v>2425.1489999999994</v>
      </c>
      <c r="I52" s="15">
        <f t="shared" si="3"/>
        <v>1660.8510000000001</v>
      </c>
      <c r="J52" s="33">
        <f t="shared" si="4"/>
        <v>0.68484493117742473</v>
      </c>
      <c r="K52" s="15">
        <f t="shared" si="5"/>
        <v>4085.9999999999995</v>
      </c>
      <c r="L52" s="15">
        <f t="shared" si="0"/>
        <v>-222.00000000000045</v>
      </c>
      <c r="M52" s="15"/>
      <c r="N52" s="15"/>
      <c r="O52" s="15"/>
      <c r="P52" s="17"/>
      <c r="Q52" s="31">
        <f t="shared" si="1"/>
        <v>0</v>
      </c>
      <c r="R52" s="34">
        <f t="shared" si="8"/>
        <v>0</v>
      </c>
      <c r="S52" s="15"/>
      <c r="T52" s="273"/>
      <c r="U52" s="273"/>
      <c r="V52" s="22"/>
      <c r="W52" s="272"/>
      <c r="X52" s="272"/>
      <c r="Y52" s="272"/>
      <c r="Z52" s="274"/>
      <c r="AA52" s="22"/>
      <c r="AB52" s="275"/>
      <c r="AC52" s="237"/>
      <c r="AD52" s="237"/>
    </row>
    <row r="53" spans="1:30" s="1" customFormat="1" x14ac:dyDescent="0.25">
      <c r="A53" s="9">
        <v>42940</v>
      </c>
      <c r="B53" s="20"/>
      <c r="C53" s="22" t="s">
        <v>63</v>
      </c>
      <c r="D53" s="16">
        <v>500</v>
      </c>
      <c r="E53" s="15">
        <v>6.74</v>
      </c>
      <c r="F53" s="16">
        <f t="shared" si="6"/>
        <v>1100</v>
      </c>
      <c r="G53" s="17">
        <f t="shared" si="2"/>
        <v>5.2728627272727264</v>
      </c>
      <c r="H53" s="15">
        <f t="shared" si="7"/>
        <v>5800.1489999999994</v>
      </c>
      <c r="I53" s="15">
        <f t="shared" si="3"/>
        <v>1613.8510000000006</v>
      </c>
      <c r="J53" s="33">
        <f t="shared" si="4"/>
        <v>0.27824302444644117</v>
      </c>
      <c r="K53" s="15">
        <f t="shared" si="5"/>
        <v>7414</v>
      </c>
      <c r="L53" s="15">
        <f t="shared" si="0"/>
        <v>-46.999999999999545</v>
      </c>
      <c r="M53" s="15"/>
      <c r="N53" s="15"/>
      <c r="O53" s="15"/>
      <c r="P53" s="17"/>
      <c r="Q53" s="31">
        <f t="shared" si="1"/>
        <v>-3375</v>
      </c>
      <c r="R53" s="34">
        <f t="shared" si="8"/>
        <v>5</v>
      </c>
      <c r="S53" s="15"/>
      <c r="T53" s="273"/>
      <c r="U53" s="273"/>
      <c r="V53" s="22"/>
      <c r="W53" s="272"/>
      <c r="X53" s="272"/>
      <c r="Y53" s="272"/>
      <c r="Z53" s="274"/>
      <c r="AA53" s="22"/>
      <c r="AB53" s="275"/>
      <c r="AC53" s="40"/>
      <c r="AD53" s="40"/>
    </row>
    <row r="54" spans="1:30" s="1" customFormat="1" x14ac:dyDescent="0.25">
      <c r="A54" s="9">
        <v>42942</v>
      </c>
      <c r="B54" s="20"/>
      <c r="C54" s="22" t="s">
        <v>63</v>
      </c>
      <c r="D54" s="16">
        <v>500</v>
      </c>
      <c r="E54" s="15">
        <v>6.64</v>
      </c>
      <c r="F54" s="16">
        <f t="shared" si="6"/>
        <v>1600</v>
      </c>
      <c r="G54" s="17">
        <f t="shared" si="2"/>
        <v>5.7032181249999994</v>
      </c>
      <c r="H54" s="15">
        <f t="shared" si="7"/>
        <v>9125.1489999999994</v>
      </c>
      <c r="I54" s="15">
        <f t="shared" si="3"/>
        <v>1498.8510000000006</v>
      </c>
      <c r="J54" s="33">
        <f t="shared" si="4"/>
        <v>0.16425496175459717</v>
      </c>
      <c r="K54" s="15">
        <f t="shared" si="5"/>
        <v>10624</v>
      </c>
      <c r="L54" s="15">
        <f t="shared" si="0"/>
        <v>-115</v>
      </c>
      <c r="M54" s="15"/>
      <c r="N54" s="15"/>
      <c r="O54" s="15"/>
      <c r="P54" s="17"/>
      <c r="Q54" s="31">
        <f t="shared" si="1"/>
        <v>-3325</v>
      </c>
      <c r="R54" s="34">
        <f t="shared" si="8"/>
        <v>5</v>
      </c>
      <c r="S54" s="15"/>
      <c r="T54" s="273"/>
      <c r="U54" s="273"/>
      <c r="V54" s="22"/>
      <c r="W54" s="272"/>
      <c r="X54" s="272"/>
      <c r="Y54" s="272"/>
      <c r="Z54" s="274"/>
      <c r="AA54" s="22"/>
      <c r="AB54" s="275"/>
      <c r="AC54" s="40"/>
      <c r="AD54" s="40"/>
    </row>
    <row r="55" spans="1:30" s="1" customFormat="1" x14ac:dyDescent="0.25">
      <c r="A55" s="9">
        <v>42947</v>
      </c>
      <c r="B55" s="20"/>
      <c r="C55" s="22" t="s">
        <v>63</v>
      </c>
      <c r="D55" s="16">
        <v>500</v>
      </c>
      <c r="E55" s="15">
        <v>6.62</v>
      </c>
      <c r="F55" s="16">
        <f t="shared" si="6"/>
        <v>2100</v>
      </c>
      <c r="G55" s="17">
        <f t="shared" si="2"/>
        <v>5.923880476190476</v>
      </c>
      <c r="H55" s="15">
        <f t="shared" si="7"/>
        <v>12440.148999999999</v>
      </c>
      <c r="I55" s="15">
        <f t="shared" si="3"/>
        <v>1461.8510000000006</v>
      </c>
      <c r="J55" s="33">
        <f t="shared" si="4"/>
        <v>0.11751073077983236</v>
      </c>
      <c r="K55" s="15">
        <f t="shared" si="5"/>
        <v>13902</v>
      </c>
      <c r="L55" s="15">
        <f t="shared" si="0"/>
        <v>-37</v>
      </c>
      <c r="M55" s="15"/>
      <c r="N55" s="15"/>
      <c r="O55" s="15"/>
      <c r="P55" s="17"/>
      <c r="Q55" s="31">
        <f t="shared" si="1"/>
        <v>-3315</v>
      </c>
      <c r="R55" s="34">
        <f t="shared" si="8"/>
        <v>5</v>
      </c>
      <c r="S55" s="15"/>
      <c r="T55" s="273"/>
      <c r="U55" s="273"/>
      <c r="V55" s="22"/>
      <c r="W55" s="272"/>
      <c r="X55" s="272"/>
      <c r="Y55" s="272"/>
      <c r="Z55" s="274"/>
      <c r="AA55" s="22"/>
      <c r="AB55" s="275"/>
      <c r="AC55" s="40"/>
      <c r="AD55" s="40"/>
    </row>
    <row r="56" spans="1:30" s="1" customFormat="1" x14ac:dyDescent="0.25">
      <c r="A56" s="9">
        <v>42949</v>
      </c>
      <c r="B56" s="20" t="s">
        <v>400</v>
      </c>
      <c r="C56" s="22" t="s">
        <v>69</v>
      </c>
      <c r="D56" s="16">
        <v>400</v>
      </c>
      <c r="E56" s="15">
        <v>6.74</v>
      </c>
      <c r="F56" s="16">
        <f t="shared" si="6"/>
        <v>1700</v>
      </c>
      <c r="G56" s="17">
        <f t="shared" si="2"/>
        <v>5.7363794117647053</v>
      </c>
      <c r="H56" s="15">
        <f t="shared" si="7"/>
        <v>9751.8449999999993</v>
      </c>
      <c r="I56" s="15">
        <f t="shared" si="3"/>
        <v>1706.1550000000007</v>
      </c>
      <c r="J56" s="33">
        <f t="shared" si="4"/>
        <v>0.17495714913434343</v>
      </c>
      <c r="K56" s="15">
        <f t="shared" si="5"/>
        <v>11458</v>
      </c>
      <c r="L56" s="15">
        <f t="shared" si="0"/>
        <v>244.30400000000009</v>
      </c>
      <c r="M56" s="15" t="str">
        <f>Uncovered((0))</f>
        <v>0@0</v>
      </c>
      <c r="N56" s="15"/>
      <c r="O56" s="15"/>
      <c r="P56" s="17" t="str">
        <f>Covered(1)</f>
        <v>0@0</v>
      </c>
      <c r="Q56" s="31">
        <f t="shared" si="1"/>
        <v>2688.3040000000001</v>
      </c>
      <c r="R56" s="34">
        <f t="shared" si="8"/>
        <v>7.6959999999999997</v>
      </c>
      <c r="S56" s="15"/>
      <c r="T56" s="273"/>
      <c r="U56" s="273"/>
      <c r="V56" s="22"/>
      <c r="W56" s="272"/>
      <c r="X56" s="272"/>
      <c r="Y56" s="272"/>
      <c r="Z56" s="274"/>
      <c r="AA56" s="22"/>
      <c r="AB56" s="275"/>
      <c r="AC56" s="40"/>
      <c r="AD56" s="40"/>
    </row>
    <row r="57" spans="1:30" s="1" customFormat="1" x14ac:dyDescent="0.25">
      <c r="A57" s="9">
        <v>42950</v>
      </c>
      <c r="B57" s="20"/>
      <c r="C57" s="22" t="s">
        <v>63</v>
      </c>
      <c r="D57" s="16">
        <v>500</v>
      </c>
      <c r="E57" s="15">
        <v>6.62</v>
      </c>
      <c r="F57" s="16">
        <f t="shared" si="6"/>
        <v>2200</v>
      </c>
      <c r="G57" s="17">
        <f t="shared" si="2"/>
        <v>5.9394749999999998</v>
      </c>
      <c r="H57" s="15">
        <f t="shared" si="7"/>
        <v>13066.844999999999</v>
      </c>
      <c r="I57" s="15">
        <f t="shared" si="3"/>
        <v>1497.1550000000007</v>
      </c>
      <c r="J57" s="33">
        <f t="shared" si="4"/>
        <v>0.11457662503840832</v>
      </c>
      <c r="K57" s="15">
        <f t="shared" si="5"/>
        <v>14564</v>
      </c>
      <c r="L57" s="15">
        <f t="shared" si="0"/>
        <v>-209</v>
      </c>
      <c r="M57" s="15"/>
      <c r="N57" s="15"/>
      <c r="O57" s="15"/>
      <c r="P57" s="17"/>
      <c r="Q57" s="31">
        <f t="shared" si="1"/>
        <v>-3315</v>
      </c>
      <c r="R57" s="34">
        <f t="shared" si="8"/>
        <v>5</v>
      </c>
      <c r="S57" s="15"/>
      <c r="T57" s="273"/>
      <c r="U57" s="273"/>
      <c r="V57" s="22"/>
      <c r="W57" s="272"/>
      <c r="X57" s="272"/>
      <c r="Y57" s="272"/>
      <c r="Z57" s="274"/>
      <c r="AA57" s="22"/>
      <c r="AB57" s="275"/>
      <c r="AC57" s="40"/>
      <c r="AD57" s="40"/>
    </row>
    <row r="58" spans="1:30" s="1" customFormat="1" x14ac:dyDescent="0.25">
      <c r="A58" s="9">
        <v>42954</v>
      </c>
      <c r="B58" s="20"/>
      <c r="C58" s="22" t="s">
        <v>63</v>
      </c>
      <c r="D58" s="16">
        <v>500</v>
      </c>
      <c r="E58" s="15">
        <v>6.44</v>
      </c>
      <c r="F58" s="16">
        <f t="shared" si="6"/>
        <v>2700</v>
      </c>
      <c r="G58" s="17">
        <f t="shared" si="2"/>
        <v>6.0340166666666661</v>
      </c>
      <c r="H58" s="15">
        <f t="shared" si="7"/>
        <v>16291.844999999999</v>
      </c>
      <c r="I58" s="15">
        <f t="shared" si="3"/>
        <v>1096.1550000000007</v>
      </c>
      <c r="J58" s="33">
        <f t="shared" si="4"/>
        <v>6.7282434862349999E-2</v>
      </c>
      <c r="K58" s="15">
        <f t="shared" si="5"/>
        <v>17388</v>
      </c>
      <c r="L58" s="15">
        <f t="shared" si="0"/>
        <v>-401</v>
      </c>
      <c r="M58" s="15"/>
      <c r="N58" s="15"/>
      <c r="O58" s="15"/>
      <c r="P58" s="17"/>
      <c r="Q58" s="31">
        <f t="shared" si="1"/>
        <v>-3225</v>
      </c>
      <c r="R58" s="34">
        <f t="shared" si="8"/>
        <v>5</v>
      </c>
      <c r="S58" s="15"/>
      <c r="T58" s="273"/>
      <c r="U58" s="273"/>
      <c r="V58" s="22"/>
      <c r="W58" s="272"/>
      <c r="X58" s="272"/>
      <c r="Y58" s="272"/>
      <c r="Z58" s="274"/>
      <c r="AA58" s="22"/>
      <c r="AB58" s="275"/>
      <c r="AC58" s="40"/>
      <c r="AD58" s="40"/>
    </row>
    <row r="59" spans="1:30" s="1" customFormat="1" x14ac:dyDescent="0.25">
      <c r="A59" s="9">
        <v>42958</v>
      </c>
      <c r="B59" s="20"/>
      <c r="C59" s="22" t="s">
        <v>63</v>
      </c>
      <c r="D59" s="16">
        <v>500</v>
      </c>
      <c r="E59" s="15">
        <v>6.35</v>
      </c>
      <c r="F59" s="16">
        <f t="shared" si="6"/>
        <v>3200</v>
      </c>
      <c r="G59" s="17">
        <f t="shared" si="2"/>
        <v>6.0849515625000006</v>
      </c>
      <c r="H59" s="15">
        <f t="shared" si="7"/>
        <v>19471.845000000001</v>
      </c>
      <c r="I59" s="15">
        <f t="shared" si="3"/>
        <v>848.15499999999884</v>
      </c>
      <c r="J59" s="33">
        <f t="shared" si="4"/>
        <v>4.3558019283740035E-2</v>
      </c>
      <c r="K59" s="15">
        <f t="shared" si="5"/>
        <v>20320</v>
      </c>
      <c r="L59" s="15">
        <f t="shared" si="0"/>
        <v>-248.00000000000182</v>
      </c>
      <c r="M59" s="15"/>
      <c r="N59" s="15"/>
      <c r="O59" s="15"/>
      <c r="P59" s="17"/>
      <c r="Q59" s="31">
        <f t="shared" si="1"/>
        <v>-3180.0000000000018</v>
      </c>
      <c r="R59" s="34">
        <f t="shared" si="8"/>
        <v>5</v>
      </c>
      <c r="S59" s="15"/>
      <c r="T59" s="273"/>
      <c r="U59" s="273"/>
      <c r="V59" s="22"/>
      <c r="W59" s="272"/>
      <c r="X59" s="272"/>
      <c r="Y59" s="272"/>
      <c r="Z59" s="274"/>
      <c r="AA59" s="22"/>
      <c r="AB59" s="275"/>
      <c r="AC59" s="40"/>
      <c r="AD59" s="40"/>
    </row>
    <row r="60" spans="1:30" s="1" customFormat="1" x14ac:dyDescent="0.25">
      <c r="A60" s="9">
        <v>42965</v>
      </c>
      <c r="B60" s="20"/>
      <c r="C60" s="22" t="s">
        <v>63</v>
      </c>
      <c r="D60" s="16">
        <v>500</v>
      </c>
      <c r="E60" s="15">
        <v>6.31</v>
      </c>
      <c r="F60" s="16">
        <f t="shared" si="6"/>
        <v>3700</v>
      </c>
      <c r="G60" s="17">
        <f t="shared" si="2"/>
        <v>6.116714864864865</v>
      </c>
      <c r="H60" s="15">
        <f t="shared" si="7"/>
        <v>22631.845000000001</v>
      </c>
      <c r="I60" s="15">
        <f t="shared" si="3"/>
        <v>715.15499999999884</v>
      </c>
      <c r="J60" s="33">
        <f t="shared" si="4"/>
        <v>3.1599500615172908E-2</v>
      </c>
      <c r="K60" s="15">
        <f t="shared" si="5"/>
        <v>23347</v>
      </c>
      <c r="L60" s="15">
        <f t="shared" si="0"/>
        <v>-133</v>
      </c>
      <c r="M60" s="15"/>
      <c r="N60" s="15"/>
      <c r="O60" s="15"/>
      <c r="P60" s="17"/>
      <c r="Q60" s="31">
        <f t="shared" si="1"/>
        <v>-3160</v>
      </c>
      <c r="R60" s="34">
        <f t="shared" si="8"/>
        <v>5</v>
      </c>
      <c r="S60" s="15"/>
      <c r="T60" s="273"/>
      <c r="U60" s="273"/>
      <c r="V60" s="22"/>
      <c r="W60" s="272"/>
      <c r="X60" s="272"/>
      <c r="Y60" s="272"/>
      <c r="Z60" s="274"/>
      <c r="AA60" s="22"/>
      <c r="AB60" s="275"/>
      <c r="AC60" s="40"/>
      <c r="AD60" s="40"/>
    </row>
    <row r="61" spans="1:30" s="1" customFormat="1" x14ac:dyDescent="0.25">
      <c r="A61" s="9">
        <v>42970</v>
      </c>
      <c r="B61" s="20" t="s">
        <v>411</v>
      </c>
      <c r="C61" s="22" t="s">
        <v>69</v>
      </c>
      <c r="D61" s="16">
        <v>400</v>
      </c>
      <c r="E61" s="15">
        <v>6.44</v>
      </c>
      <c r="F61" s="16">
        <f t="shared" si="6"/>
        <v>3300</v>
      </c>
      <c r="G61" s="17">
        <f t="shared" si="2"/>
        <v>6.0798245454545459</v>
      </c>
      <c r="H61" s="15">
        <f t="shared" si="7"/>
        <v>20063.421000000002</v>
      </c>
      <c r="I61" s="15">
        <f t="shared" si="3"/>
        <v>1188.5789999999979</v>
      </c>
      <c r="J61" s="33">
        <f t="shared" si="4"/>
        <v>5.9241093530360542E-2</v>
      </c>
      <c r="K61" s="15">
        <f t="shared" si="5"/>
        <v>21252</v>
      </c>
      <c r="L61" s="15">
        <f t="shared" si="0"/>
        <v>473.42399999999907</v>
      </c>
      <c r="M61" s="15"/>
      <c r="N61" s="15"/>
      <c r="O61" s="15"/>
      <c r="P61" s="17"/>
      <c r="Q61" s="31">
        <f t="shared" si="1"/>
        <v>2568.4239999999991</v>
      </c>
      <c r="R61" s="34">
        <f t="shared" si="8"/>
        <v>7.5760000000000005</v>
      </c>
      <c r="S61" s="15"/>
      <c r="T61" s="273"/>
      <c r="U61" s="273"/>
      <c r="V61" s="22"/>
      <c r="W61" s="272"/>
      <c r="X61" s="272"/>
      <c r="Y61" s="272"/>
      <c r="Z61" s="274"/>
      <c r="AA61" s="22"/>
      <c r="AB61" s="275"/>
      <c r="AC61" s="40"/>
      <c r="AD61" s="40"/>
    </row>
    <row r="62" spans="1:30" s="1" customFormat="1" x14ac:dyDescent="0.25">
      <c r="A62" s="9">
        <v>42972</v>
      </c>
      <c r="B62" s="20"/>
      <c r="C62" s="22" t="s">
        <v>69</v>
      </c>
      <c r="D62" s="16">
        <v>400</v>
      </c>
      <c r="E62" s="15">
        <v>6.53</v>
      </c>
      <c r="F62" s="16">
        <f t="shared" si="6"/>
        <v>2900</v>
      </c>
      <c r="G62" s="17">
        <f t="shared" si="2"/>
        <v>6.0203562068965528</v>
      </c>
      <c r="H62" s="15">
        <f t="shared" si="7"/>
        <v>17459.033000000003</v>
      </c>
      <c r="I62" s="15">
        <f t="shared" si="3"/>
        <v>1477.9669999999969</v>
      </c>
      <c r="J62" s="33">
        <f t="shared" si="4"/>
        <v>8.4653428400072173E-2</v>
      </c>
      <c r="K62" s="15">
        <f t="shared" si="5"/>
        <v>18937</v>
      </c>
      <c r="L62" s="15">
        <f t="shared" si="0"/>
        <v>289.38799999999901</v>
      </c>
      <c r="M62" s="15"/>
      <c r="N62" s="15"/>
      <c r="O62" s="15"/>
      <c r="P62" s="17"/>
      <c r="Q62" s="31">
        <f t="shared" si="1"/>
        <v>2604.387999999999</v>
      </c>
      <c r="R62" s="34">
        <f t="shared" si="8"/>
        <v>7.6120000000000001</v>
      </c>
      <c r="S62" s="15"/>
      <c r="T62" s="273"/>
      <c r="U62" s="273"/>
      <c r="V62" s="22"/>
      <c r="W62" s="272"/>
      <c r="X62" s="272"/>
      <c r="Y62" s="272"/>
      <c r="Z62" s="274"/>
      <c r="AA62" s="22"/>
      <c r="AB62" s="275"/>
      <c r="AC62" s="40"/>
      <c r="AD62" s="40"/>
    </row>
    <row r="63" spans="1:30" s="1" customFormat="1" x14ac:dyDescent="0.25">
      <c r="A63" s="9">
        <v>42975</v>
      </c>
      <c r="B63" s="20" t="s">
        <v>394</v>
      </c>
      <c r="C63" s="22" t="s">
        <v>69</v>
      </c>
      <c r="D63" s="16">
        <v>400</v>
      </c>
      <c r="E63" s="15">
        <v>6.62</v>
      </c>
      <c r="F63" s="16">
        <f t="shared" si="6"/>
        <v>2500</v>
      </c>
      <c r="G63" s="17">
        <f t="shared" si="2"/>
        <v>5.927472400000001</v>
      </c>
      <c r="H63" s="15">
        <f t="shared" si="7"/>
        <v>14818.681000000002</v>
      </c>
      <c r="I63" s="15">
        <f t="shared" si="3"/>
        <v>1731.3189999999977</v>
      </c>
      <c r="J63" s="33">
        <f t="shared" si="4"/>
        <v>0.1168335427424342</v>
      </c>
      <c r="K63" s="15">
        <f t="shared" si="5"/>
        <v>16550</v>
      </c>
      <c r="L63" s="15">
        <f t="shared" si="0"/>
        <v>253.35200000000077</v>
      </c>
      <c r="M63" s="15"/>
      <c r="N63" s="15"/>
      <c r="O63" s="15"/>
      <c r="P63" s="17"/>
      <c r="Q63" s="31">
        <f t="shared" si="1"/>
        <v>2640.3520000000008</v>
      </c>
      <c r="R63" s="34">
        <f t="shared" si="8"/>
        <v>7.6479999999999997</v>
      </c>
      <c r="S63" s="15"/>
      <c r="T63" s="320"/>
      <c r="U63" s="320"/>
      <c r="V63" s="15"/>
      <c r="W63" s="17"/>
      <c r="X63" s="17"/>
      <c r="Y63" s="17"/>
      <c r="Z63" s="321"/>
      <c r="AA63" s="15"/>
      <c r="AB63" s="322"/>
      <c r="AC63" s="40"/>
      <c r="AD63" s="40"/>
    </row>
    <row r="64" spans="1:30" s="1" customFormat="1" x14ac:dyDescent="0.25">
      <c r="A64" s="9">
        <v>42977</v>
      </c>
      <c r="B64" s="20" t="s">
        <v>189</v>
      </c>
      <c r="C64" s="22" t="s">
        <v>69</v>
      </c>
      <c r="D64" s="16">
        <v>400</v>
      </c>
      <c r="E64" s="15">
        <v>6.66</v>
      </c>
      <c r="F64" s="16">
        <f t="shared" si="6"/>
        <v>2100</v>
      </c>
      <c r="G64" s="17">
        <f t="shared" si="2"/>
        <v>5.7915928571428585</v>
      </c>
      <c r="H64" s="15">
        <f t="shared" si="7"/>
        <v>12162.345000000003</v>
      </c>
      <c r="I64" s="15">
        <f t="shared" si="3"/>
        <v>1823.654999999997</v>
      </c>
      <c r="J64" s="33">
        <f t="shared" si="4"/>
        <v>0.14994271252788807</v>
      </c>
      <c r="K64" s="15">
        <f t="shared" si="5"/>
        <v>13986</v>
      </c>
      <c r="L64" s="15">
        <f t="shared" si="0"/>
        <v>92.335999999999331</v>
      </c>
      <c r="M64" s="15"/>
      <c r="N64" s="15"/>
      <c r="O64" s="15"/>
      <c r="P64" s="17"/>
      <c r="Q64" s="31">
        <f t="shared" si="1"/>
        <v>2656.3359999999993</v>
      </c>
      <c r="R64" s="34">
        <f t="shared" si="8"/>
        <v>7.6639999999999997</v>
      </c>
      <c r="S64" s="15"/>
      <c r="T64" s="273"/>
      <c r="U64" s="273"/>
      <c r="V64" s="22"/>
      <c r="W64" s="272"/>
      <c r="X64" s="272"/>
      <c r="Y64" s="272"/>
      <c r="Z64" s="274"/>
      <c r="AA64" s="22"/>
      <c r="AB64" s="275"/>
      <c r="AC64" s="40"/>
      <c r="AD64" s="40"/>
    </row>
    <row r="65" spans="1:30" s="1" customFormat="1" x14ac:dyDescent="0.25">
      <c r="A65" s="9">
        <v>42977</v>
      </c>
      <c r="B65" s="20"/>
      <c r="C65" s="22" t="s">
        <v>63</v>
      </c>
      <c r="D65" s="16">
        <v>500</v>
      </c>
      <c r="E65" s="15">
        <v>6.59</v>
      </c>
      <c r="F65" s="16">
        <f t="shared" si="6"/>
        <v>2600</v>
      </c>
      <c r="G65" s="17">
        <f t="shared" si="2"/>
        <v>5.9470557692307704</v>
      </c>
      <c r="H65" s="15">
        <f t="shared" si="7"/>
        <v>15462.345000000003</v>
      </c>
      <c r="I65" s="15">
        <f t="shared" si="3"/>
        <v>1671.654999999997</v>
      </c>
      <c r="J65" s="33">
        <f t="shared" si="4"/>
        <v>0.10811135050989978</v>
      </c>
      <c r="K65" s="15">
        <f t="shared" si="5"/>
        <v>17134</v>
      </c>
      <c r="L65" s="15">
        <f t="shared" si="0"/>
        <v>-152</v>
      </c>
      <c r="M65" s="15"/>
      <c r="N65" s="15"/>
      <c r="O65" s="15"/>
      <c r="P65" s="17"/>
      <c r="Q65" s="31">
        <f t="shared" si="1"/>
        <v>-3300</v>
      </c>
      <c r="R65" s="34">
        <f t="shared" si="8"/>
        <v>5</v>
      </c>
      <c r="S65" s="15"/>
      <c r="T65" s="273"/>
      <c r="U65" s="273"/>
      <c r="V65" s="22"/>
      <c r="W65" s="272"/>
      <c r="X65" s="272"/>
      <c r="Y65" s="272"/>
      <c r="Z65" s="274"/>
      <c r="AA65" s="22"/>
      <c r="AB65" s="275"/>
      <c r="AC65" s="40"/>
      <c r="AD65" s="40"/>
    </row>
    <row r="66" spans="1:30" s="1" customFormat="1" x14ac:dyDescent="0.25">
      <c r="A66" s="9">
        <v>42977</v>
      </c>
      <c r="B66" s="20" t="s">
        <v>600</v>
      </c>
      <c r="C66" s="22" t="s">
        <v>63</v>
      </c>
      <c r="D66" s="16">
        <v>500</v>
      </c>
      <c r="E66" s="15">
        <v>6.48</v>
      </c>
      <c r="F66" s="16">
        <f t="shared" si="6"/>
        <v>3100</v>
      </c>
      <c r="G66" s="17">
        <f t="shared" si="2"/>
        <v>6.0346274193548393</v>
      </c>
      <c r="H66" s="15">
        <f t="shared" si="7"/>
        <v>18707.345000000001</v>
      </c>
      <c r="I66" s="15">
        <f t="shared" si="3"/>
        <v>1380.6549999999988</v>
      </c>
      <c r="J66" s="33">
        <f t="shared" si="4"/>
        <v>7.3802829851055796E-2</v>
      </c>
      <c r="K66" s="15">
        <f t="shared" si="5"/>
        <v>20088</v>
      </c>
      <c r="L66" s="15">
        <f t="shared" ref="L66:L129" si="9">I66-I65</f>
        <v>-290.99999999999818</v>
      </c>
      <c r="M66" s="15"/>
      <c r="N66" s="15"/>
      <c r="O66" s="15"/>
      <c r="P66" s="17"/>
      <c r="Q66" s="31">
        <f t="shared" ref="Q66:Q129" si="10">(H66-H65)*-1</f>
        <v>-3244.9999999999982</v>
      </c>
      <c r="R66" s="34">
        <f t="shared" si="8"/>
        <v>5</v>
      </c>
      <c r="S66" s="15"/>
      <c r="T66" s="273"/>
      <c r="U66" s="273"/>
      <c r="V66" s="22"/>
      <c r="W66" s="272"/>
      <c r="X66" s="272"/>
      <c r="Y66" s="272"/>
      <c r="Z66" s="274"/>
      <c r="AA66" s="22"/>
      <c r="AB66" s="275"/>
      <c r="AC66" s="40"/>
      <c r="AD66" s="40"/>
    </row>
    <row r="67" spans="1:30" s="1" customFormat="1" x14ac:dyDescent="0.25">
      <c r="A67" s="9">
        <v>42983</v>
      </c>
      <c r="B67" s="20" t="s">
        <v>405</v>
      </c>
      <c r="C67" s="22" t="s">
        <v>69</v>
      </c>
      <c r="D67" s="16">
        <v>400</v>
      </c>
      <c r="E67" s="15">
        <v>6.62</v>
      </c>
      <c r="F67" s="16">
        <f t="shared" si="6"/>
        <v>2700</v>
      </c>
      <c r="G67" s="17">
        <f t="shared" ref="G67:G75" si="11">H67/F67</f>
        <v>5.9507381481481483</v>
      </c>
      <c r="H67" s="15">
        <f t="shared" si="7"/>
        <v>16066.993</v>
      </c>
      <c r="I67" s="15">
        <f t="shared" ref="I67:I75" si="12">-H67+K67</f>
        <v>1807.0069999999996</v>
      </c>
      <c r="J67" s="33">
        <f t="shared" ref="J67:J75" si="13">(E67-G67)/G67</f>
        <v>0.11246703101196347</v>
      </c>
      <c r="K67" s="15">
        <f t="shared" ref="K67:K75" si="14">F67*E67</f>
        <v>17874</v>
      </c>
      <c r="L67" s="15">
        <f t="shared" si="9"/>
        <v>426.35200000000077</v>
      </c>
      <c r="M67" s="15"/>
      <c r="N67" s="15"/>
      <c r="O67" s="15"/>
      <c r="P67" s="17"/>
      <c r="Q67" s="31">
        <f t="shared" si="10"/>
        <v>2640.3520000000008</v>
      </c>
      <c r="R67" s="34">
        <f t="shared" si="8"/>
        <v>7.6479999999999997</v>
      </c>
      <c r="S67" s="15"/>
      <c r="T67" s="273"/>
      <c r="U67" s="273"/>
      <c r="V67" s="22"/>
      <c r="W67" s="272"/>
      <c r="X67" s="272"/>
      <c r="Y67" s="272"/>
      <c r="Z67" s="274"/>
      <c r="AA67" s="22"/>
      <c r="AB67" s="275"/>
      <c r="AC67" s="40"/>
      <c r="AD67" s="40"/>
    </row>
    <row r="68" spans="1:30" s="1" customFormat="1" x14ac:dyDescent="0.25">
      <c r="A68" s="9">
        <v>42990</v>
      </c>
      <c r="B68" s="20"/>
      <c r="C68" s="22" t="s">
        <v>63</v>
      </c>
      <c r="D68" s="16">
        <v>500</v>
      </c>
      <c r="E68" s="15">
        <v>6.45</v>
      </c>
      <c r="F68" s="16">
        <f t="shared" ref="F68:F75" si="15">IF(C68="买",F67+D68,IF(C68="卖",F67-D68,F67))</f>
        <v>3200</v>
      </c>
      <c r="G68" s="17">
        <f t="shared" si="11"/>
        <v>6.030310312500001</v>
      </c>
      <c r="H68" s="15">
        <f t="shared" ref="H68:H75" si="16">IF(C68="买",H67+D68*E68+R68+S68,IF(C68="卖",H67-D68*E68+R68+S68,H67))</f>
        <v>19296.993000000002</v>
      </c>
      <c r="I68" s="15">
        <f t="shared" si="12"/>
        <v>1343.0069999999978</v>
      </c>
      <c r="J68" s="33">
        <f t="shared" si="13"/>
        <v>6.959669830423823E-2</v>
      </c>
      <c r="K68" s="15">
        <f t="shared" si="14"/>
        <v>20640</v>
      </c>
      <c r="L68" s="15">
        <f t="shared" si="9"/>
        <v>-464.00000000000182</v>
      </c>
      <c r="M68" s="15"/>
      <c r="N68" s="15"/>
      <c r="O68" s="15"/>
      <c r="P68" s="17"/>
      <c r="Q68" s="31">
        <f t="shared" si="10"/>
        <v>-3230.0000000000018</v>
      </c>
      <c r="R68" s="34">
        <f t="shared" ref="R68:R131" si="17">commission($B$2,C68,D68,E68)</f>
        <v>5</v>
      </c>
      <c r="S68" s="15"/>
      <c r="T68" s="273"/>
      <c r="U68" s="273"/>
      <c r="V68" s="22"/>
      <c r="W68" s="272"/>
      <c r="X68" s="272"/>
      <c r="Y68" s="272"/>
      <c r="Z68" s="274"/>
      <c r="AA68" s="22"/>
      <c r="AB68" s="275"/>
      <c r="AC68" s="40"/>
      <c r="AD68" s="40"/>
    </row>
    <row r="69" spans="1:30" s="1" customFormat="1" x14ac:dyDescent="0.25">
      <c r="A69" s="9">
        <v>42991</v>
      </c>
      <c r="B69" s="20"/>
      <c r="C69" s="22" t="s">
        <v>63</v>
      </c>
      <c r="D69" s="16">
        <v>500</v>
      </c>
      <c r="E69" s="15">
        <v>6.42</v>
      </c>
      <c r="F69" s="16">
        <f t="shared" si="15"/>
        <v>3700</v>
      </c>
      <c r="G69" s="17">
        <f t="shared" si="11"/>
        <v>6.0843224324324332</v>
      </c>
      <c r="H69" s="15">
        <f t="shared" si="16"/>
        <v>22511.993000000002</v>
      </c>
      <c r="I69" s="15">
        <f t="shared" si="12"/>
        <v>1242.0069999999978</v>
      </c>
      <c r="J69" s="33">
        <f t="shared" si="13"/>
        <v>5.5170903793369017E-2</v>
      </c>
      <c r="K69" s="15">
        <f t="shared" si="14"/>
        <v>23754</v>
      </c>
      <c r="L69" s="15">
        <f t="shared" si="9"/>
        <v>-101</v>
      </c>
      <c r="M69" s="15"/>
      <c r="N69" s="15"/>
      <c r="O69" s="15"/>
      <c r="P69" s="17"/>
      <c r="Q69" s="31">
        <f t="shared" si="10"/>
        <v>-3215</v>
      </c>
      <c r="R69" s="34">
        <f t="shared" si="17"/>
        <v>5</v>
      </c>
      <c r="S69" s="15"/>
      <c r="T69" s="273"/>
      <c r="U69" s="273"/>
      <c r="V69" s="22"/>
      <c r="W69" s="272"/>
      <c r="X69" s="272"/>
      <c r="Y69" s="272"/>
      <c r="Z69" s="274"/>
      <c r="AA69" s="22"/>
      <c r="AB69" s="275"/>
      <c r="AC69" s="40"/>
      <c r="AD69" s="40"/>
    </row>
    <row r="70" spans="1:30" s="1" customFormat="1" x14ac:dyDescent="0.25">
      <c r="A70" s="9">
        <v>42993</v>
      </c>
      <c r="B70" s="18"/>
      <c r="C70" s="22" t="s">
        <v>63</v>
      </c>
      <c r="D70" s="16">
        <v>500</v>
      </c>
      <c r="E70" s="15">
        <v>6.36</v>
      </c>
      <c r="F70" s="16">
        <f t="shared" si="15"/>
        <v>4200</v>
      </c>
      <c r="G70" s="17">
        <f t="shared" si="11"/>
        <v>6.1183316666666672</v>
      </c>
      <c r="H70" s="15">
        <f t="shared" si="16"/>
        <v>25696.993000000002</v>
      </c>
      <c r="I70" s="15">
        <f t="shared" si="12"/>
        <v>1015.0069999999978</v>
      </c>
      <c r="J70" s="33">
        <f t="shared" si="13"/>
        <v>3.9499057341067075E-2</v>
      </c>
      <c r="K70" s="15">
        <f t="shared" si="14"/>
        <v>26712</v>
      </c>
      <c r="L70" s="15">
        <f t="shared" si="9"/>
        <v>-227</v>
      </c>
      <c r="M70" s="15"/>
      <c r="N70" s="15"/>
      <c r="O70" s="15"/>
      <c r="P70" s="17"/>
      <c r="Q70" s="31">
        <f t="shared" si="10"/>
        <v>-3185</v>
      </c>
      <c r="R70" s="34">
        <f t="shared" si="17"/>
        <v>5</v>
      </c>
      <c r="S70" s="15"/>
      <c r="T70" s="273"/>
      <c r="U70" s="273"/>
      <c r="V70" s="22"/>
      <c r="W70" s="272"/>
      <c r="X70" s="272"/>
      <c r="Y70" s="272"/>
      <c r="Z70" s="274"/>
      <c r="AA70" s="22"/>
      <c r="AB70" s="275"/>
      <c r="AC70" s="40"/>
      <c r="AD70" s="40"/>
    </row>
    <row r="71" spans="1:30" s="1" customFormat="1" x14ac:dyDescent="0.25">
      <c r="A71" s="9">
        <v>43003</v>
      </c>
      <c r="B71" s="20" t="s">
        <v>399</v>
      </c>
      <c r="C71" s="22" t="s">
        <v>63</v>
      </c>
      <c r="D71" s="16">
        <v>500</v>
      </c>
      <c r="E71" s="15">
        <v>6.32</v>
      </c>
      <c r="F71" s="16">
        <f t="shared" si="15"/>
        <v>4700</v>
      </c>
      <c r="G71" s="17">
        <f t="shared" si="11"/>
        <v>6.1408495744680858</v>
      </c>
      <c r="H71" s="15">
        <f t="shared" si="16"/>
        <v>28861.993000000002</v>
      </c>
      <c r="I71" s="15">
        <f t="shared" si="12"/>
        <v>842.00699999999779</v>
      </c>
      <c r="J71" s="33">
        <f t="shared" si="13"/>
        <v>2.9173557072098177E-2</v>
      </c>
      <c r="K71" s="15">
        <f t="shared" si="14"/>
        <v>29704</v>
      </c>
      <c r="L71" s="15">
        <f t="shared" si="9"/>
        <v>-173</v>
      </c>
      <c r="M71" s="15"/>
      <c r="N71" s="15"/>
      <c r="O71" s="15"/>
      <c r="P71" s="17"/>
      <c r="Q71" s="31">
        <f t="shared" si="10"/>
        <v>-3165</v>
      </c>
      <c r="R71" s="34">
        <f t="shared" si="17"/>
        <v>5</v>
      </c>
      <c r="S71" s="15"/>
      <c r="T71" s="273"/>
      <c r="U71" s="273"/>
      <c r="V71" s="22"/>
      <c r="W71" s="272"/>
      <c r="X71" s="272"/>
      <c r="Y71" s="272"/>
      <c r="Z71" s="274"/>
      <c r="AA71" s="22"/>
      <c r="AB71" s="275"/>
      <c r="AC71" s="40"/>
      <c r="AD71" s="40"/>
    </row>
    <row r="72" spans="1:30" s="1" customFormat="1" x14ac:dyDescent="0.25">
      <c r="A72" s="9">
        <v>43017</v>
      </c>
      <c r="B72" s="20" t="s">
        <v>206</v>
      </c>
      <c r="C72" s="22" t="s">
        <v>69</v>
      </c>
      <c r="D72" s="16">
        <v>500</v>
      </c>
      <c r="E72" s="15">
        <v>6.47</v>
      </c>
      <c r="F72" s="16">
        <f t="shared" si="15"/>
        <v>4200</v>
      </c>
      <c r="G72" s="17">
        <f t="shared" si="11"/>
        <v>6.1036257142857151</v>
      </c>
      <c r="H72" s="15">
        <f t="shared" si="16"/>
        <v>25635.228000000003</v>
      </c>
      <c r="I72" s="15">
        <f t="shared" si="12"/>
        <v>1538.7719999999972</v>
      </c>
      <c r="J72" s="33">
        <f t="shared" si="13"/>
        <v>6.0025680286518043E-2</v>
      </c>
      <c r="K72" s="15">
        <f t="shared" si="14"/>
        <v>27174</v>
      </c>
      <c r="L72" s="15">
        <f t="shared" si="9"/>
        <v>696.76499999999942</v>
      </c>
      <c r="M72" s="15"/>
      <c r="N72" s="15"/>
      <c r="O72" s="15"/>
      <c r="P72" s="17"/>
      <c r="Q72" s="31">
        <f t="shared" si="10"/>
        <v>3226.7649999999994</v>
      </c>
      <c r="R72" s="34">
        <f t="shared" si="17"/>
        <v>8.2349999999999994</v>
      </c>
      <c r="S72" s="15"/>
      <c r="T72" s="273"/>
      <c r="U72" s="273"/>
      <c r="V72" s="22"/>
      <c r="W72" s="272"/>
      <c r="X72" s="272"/>
      <c r="Y72" s="272"/>
      <c r="Z72" s="274"/>
      <c r="AA72" s="22"/>
      <c r="AB72" s="275"/>
      <c r="AC72" s="40"/>
      <c r="AD72" s="40"/>
    </row>
    <row r="73" spans="1:30" s="1" customFormat="1" x14ac:dyDescent="0.25">
      <c r="A73" s="9">
        <v>43034</v>
      </c>
      <c r="B73" s="20"/>
      <c r="C73" s="22" t="s">
        <v>63</v>
      </c>
      <c r="D73" s="16">
        <v>500</v>
      </c>
      <c r="E73" s="15">
        <v>6.31</v>
      </c>
      <c r="F73" s="16">
        <f t="shared" si="15"/>
        <v>4700</v>
      </c>
      <c r="G73" s="17">
        <f t="shared" si="11"/>
        <v>6.1266442553191496</v>
      </c>
      <c r="H73" s="15">
        <f t="shared" si="16"/>
        <v>28795.228000000003</v>
      </c>
      <c r="I73" s="15">
        <f t="shared" si="12"/>
        <v>861.77199999999357</v>
      </c>
      <c r="J73" s="33">
        <f t="shared" si="13"/>
        <v>2.9927597725567412E-2</v>
      </c>
      <c r="K73" s="15">
        <f t="shared" si="14"/>
        <v>29656.999999999996</v>
      </c>
      <c r="L73" s="15">
        <f t="shared" si="9"/>
        <v>-677.00000000000364</v>
      </c>
      <c r="M73" s="15"/>
      <c r="N73" s="15"/>
      <c r="O73" s="15"/>
      <c r="P73" s="17"/>
      <c r="Q73" s="31">
        <f t="shared" si="10"/>
        <v>-3160</v>
      </c>
      <c r="R73" s="34">
        <f t="shared" si="17"/>
        <v>5</v>
      </c>
      <c r="S73" s="15"/>
      <c r="T73" s="273"/>
      <c r="U73" s="273"/>
      <c r="V73" s="22"/>
      <c r="W73" s="272"/>
      <c r="X73" s="272"/>
      <c r="Y73" s="272"/>
      <c r="Z73" s="274"/>
      <c r="AA73" s="22"/>
      <c r="AB73" s="275"/>
      <c r="AC73" s="40"/>
      <c r="AD73" s="40"/>
    </row>
    <row r="74" spans="1:30" s="1" customFormat="1" x14ac:dyDescent="0.25">
      <c r="A74" s="9">
        <v>43038</v>
      </c>
      <c r="B74" s="20"/>
      <c r="C74" s="22" t="s">
        <v>63</v>
      </c>
      <c r="D74" s="16">
        <v>500</v>
      </c>
      <c r="E74" s="15">
        <v>6.22</v>
      </c>
      <c r="F74" s="16">
        <f t="shared" si="15"/>
        <v>5200</v>
      </c>
      <c r="G74" s="17">
        <f t="shared" si="11"/>
        <v>6.1365823076923078</v>
      </c>
      <c r="H74" s="15">
        <f t="shared" si="16"/>
        <v>31910.228000000003</v>
      </c>
      <c r="I74" s="15">
        <f t="shared" si="12"/>
        <v>433.77199999999721</v>
      </c>
      <c r="J74" s="33">
        <f t="shared" si="13"/>
        <v>1.3593509892815494E-2</v>
      </c>
      <c r="K74" s="15">
        <f t="shared" si="14"/>
        <v>32344</v>
      </c>
      <c r="L74" s="15">
        <f t="shared" si="9"/>
        <v>-427.99999999999636</v>
      </c>
      <c r="M74" s="15"/>
      <c r="N74" s="15"/>
      <c r="O74" s="15"/>
      <c r="P74" s="17"/>
      <c r="Q74" s="31">
        <f t="shared" si="10"/>
        <v>-3115</v>
      </c>
      <c r="R74" s="34">
        <f t="shared" si="17"/>
        <v>5</v>
      </c>
      <c r="S74" s="15"/>
      <c r="T74" s="273"/>
      <c r="U74" s="273"/>
      <c r="V74" s="22"/>
      <c r="W74" s="272"/>
      <c r="X74" s="272"/>
      <c r="Y74" s="272"/>
      <c r="Z74" s="274"/>
      <c r="AA74" s="22"/>
      <c r="AB74" s="275"/>
      <c r="AC74" s="40"/>
      <c r="AD74" s="40"/>
    </row>
    <row r="75" spans="1:30" s="1" customFormat="1" x14ac:dyDescent="0.25">
      <c r="A75" s="131">
        <v>43042</v>
      </c>
      <c r="B75" s="20"/>
      <c r="C75" s="22" t="s">
        <v>63</v>
      </c>
      <c r="D75" s="16">
        <v>500</v>
      </c>
      <c r="E75" s="15">
        <v>6.08</v>
      </c>
      <c r="F75" s="16">
        <f t="shared" si="15"/>
        <v>5700</v>
      </c>
      <c r="G75" s="17">
        <f t="shared" si="11"/>
        <v>6.1324961403508773</v>
      </c>
      <c r="H75" s="15">
        <f t="shared" si="16"/>
        <v>34955.228000000003</v>
      </c>
      <c r="I75" s="15">
        <f t="shared" si="12"/>
        <v>-299.22800000000279</v>
      </c>
      <c r="J75" s="33">
        <f t="shared" si="13"/>
        <v>-8.5603217922080293E-3</v>
      </c>
      <c r="K75" s="15">
        <f t="shared" si="14"/>
        <v>34656</v>
      </c>
      <c r="L75" s="15">
        <f t="shared" si="9"/>
        <v>-733</v>
      </c>
      <c r="M75" s="15" t="str">
        <f>Uncovered(0)</f>
        <v>0@0</v>
      </c>
      <c r="N75" s="15"/>
      <c r="O75" s="15" t="str">
        <f>Covered(0)</f>
        <v>0@0</v>
      </c>
      <c r="P75" s="17"/>
      <c r="Q75" s="31">
        <f t="shared" si="10"/>
        <v>-3045</v>
      </c>
      <c r="R75" s="34">
        <f t="shared" si="17"/>
        <v>5</v>
      </c>
      <c r="S75" s="15"/>
      <c r="T75" s="273"/>
      <c r="U75" s="273"/>
      <c r="V75" s="22"/>
      <c r="W75" s="272"/>
      <c r="X75" s="272"/>
      <c r="Y75" s="272"/>
      <c r="Z75" s="274"/>
      <c r="AA75" s="22"/>
      <c r="AB75" s="275"/>
      <c r="AC75" s="40"/>
      <c r="AD75" s="40"/>
    </row>
    <row r="76" spans="1:30" s="1" customFormat="1" x14ac:dyDescent="0.25">
      <c r="A76" s="131">
        <v>43047</v>
      </c>
      <c r="B76" s="20" t="s">
        <v>601</v>
      </c>
      <c r="C76" s="22" t="s">
        <v>69</v>
      </c>
      <c r="D76" s="16">
        <v>400</v>
      </c>
      <c r="E76" s="15">
        <v>6.2</v>
      </c>
      <c r="F76" s="16">
        <f t="shared" ref="F76:F139" si="18">IF(C76="买",F75+D76,IF(C76="卖",F75-D76,F75))</f>
        <v>5300</v>
      </c>
      <c r="G76" s="17">
        <f t="shared" ref="G76:G139" si="19">H76/F76</f>
        <v>6.1288128301886795</v>
      </c>
      <c r="H76" s="15">
        <f t="shared" ref="H76:H139" si="20">IF(C76="买",H75+D76*E76+R76+S76,IF(C76="卖",H75-D76*E76+R76+S76,H75))</f>
        <v>32482.708000000002</v>
      </c>
      <c r="I76" s="15">
        <f t="shared" ref="I76:I139" si="21">-H76+K76</f>
        <v>377.29199999999764</v>
      </c>
      <c r="J76" s="33">
        <f t="shared" ref="J76:J139" si="22">(E76-G76)/G76</f>
        <v>1.1615164597729953E-2</v>
      </c>
      <c r="K76" s="15">
        <f t="shared" ref="K76:K139" si="23">F76*E76</f>
        <v>32860</v>
      </c>
      <c r="L76" s="15">
        <f t="shared" si="9"/>
        <v>676.52000000000044</v>
      </c>
      <c r="M76" s="15"/>
      <c r="N76" s="15"/>
      <c r="O76" s="15"/>
      <c r="P76" s="17"/>
      <c r="Q76" s="31">
        <f t="shared" si="10"/>
        <v>2472.5200000000004</v>
      </c>
      <c r="R76" s="34">
        <f t="shared" si="17"/>
        <v>7.48</v>
      </c>
      <c r="S76" s="15"/>
      <c r="T76" s="273"/>
      <c r="U76" s="273"/>
      <c r="V76" s="22"/>
      <c r="W76" s="272"/>
      <c r="X76" s="272"/>
      <c r="Y76" s="272"/>
      <c r="Z76" s="274"/>
      <c r="AA76" s="22"/>
      <c r="AB76" s="275"/>
      <c r="AC76" s="40"/>
      <c r="AD76" s="40"/>
    </row>
    <row r="77" spans="1:30" s="1" customFormat="1" x14ac:dyDescent="0.25">
      <c r="A77" s="131">
        <v>43055</v>
      </c>
      <c r="B77" s="20"/>
      <c r="C77" s="22" t="s">
        <v>63</v>
      </c>
      <c r="D77" s="16">
        <v>500</v>
      </c>
      <c r="E77" s="15">
        <v>6</v>
      </c>
      <c r="F77" s="16">
        <f t="shared" si="18"/>
        <v>5800</v>
      </c>
      <c r="G77" s="17">
        <f t="shared" si="19"/>
        <v>6.1185703448275861</v>
      </c>
      <c r="H77" s="15">
        <f t="shared" si="20"/>
        <v>35487.707999999999</v>
      </c>
      <c r="I77" s="15">
        <f t="shared" si="21"/>
        <v>-687.70799999999872</v>
      </c>
      <c r="J77" s="33">
        <f t="shared" si="22"/>
        <v>-1.9378766304096039E-2</v>
      </c>
      <c r="K77" s="15">
        <f t="shared" si="23"/>
        <v>34800</v>
      </c>
      <c r="L77" s="15">
        <f t="shared" si="9"/>
        <v>-1064.9999999999964</v>
      </c>
      <c r="M77" s="15"/>
      <c r="N77" s="15"/>
      <c r="O77" s="15"/>
      <c r="P77" s="17"/>
      <c r="Q77" s="31">
        <f t="shared" si="10"/>
        <v>-3004.9999999999964</v>
      </c>
      <c r="R77" s="34">
        <f t="shared" si="17"/>
        <v>5</v>
      </c>
      <c r="S77" s="15"/>
      <c r="T77" s="273"/>
      <c r="U77" s="273"/>
      <c r="V77" s="22"/>
      <c r="W77" s="272"/>
      <c r="X77" s="272"/>
      <c r="Y77" s="272"/>
      <c r="Z77" s="274"/>
      <c r="AA77" s="22"/>
      <c r="AB77" s="275"/>
      <c r="AC77" s="40"/>
      <c r="AD77" s="40"/>
    </row>
    <row r="78" spans="1:30" s="1" customFormat="1" x14ac:dyDescent="0.25">
      <c r="A78" s="131">
        <v>43056</v>
      </c>
      <c r="B78" s="20" t="s">
        <v>202</v>
      </c>
      <c r="C78" s="22" t="s">
        <v>69</v>
      </c>
      <c r="D78" s="16">
        <v>500</v>
      </c>
      <c r="E78" s="15">
        <v>6.09</v>
      </c>
      <c r="F78" s="16">
        <f t="shared" si="18"/>
        <v>5300</v>
      </c>
      <c r="G78" s="17">
        <f t="shared" si="19"/>
        <v>6.12278358490566</v>
      </c>
      <c r="H78" s="15">
        <f t="shared" si="20"/>
        <v>32450.752999999997</v>
      </c>
      <c r="I78" s="15">
        <f t="shared" si="21"/>
        <v>-173.75299999999697</v>
      </c>
      <c r="J78" s="33">
        <f t="shared" si="22"/>
        <v>-5.3543595737207926E-3</v>
      </c>
      <c r="K78" s="15">
        <f t="shared" si="23"/>
        <v>32277</v>
      </c>
      <c r="L78" s="15">
        <f t="shared" si="9"/>
        <v>513.95500000000175</v>
      </c>
      <c r="M78" s="15"/>
      <c r="N78" s="15"/>
      <c r="O78" s="15"/>
      <c r="P78" s="17"/>
      <c r="Q78" s="31">
        <f t="shared" si="10"/>
        <v>3036.9550000000017</v>
      </c>
      <c r="R78" s="34">
        <f t="shared" si="17"/>
        <v>8.0449999999999999</v>
      </c>
      <c r="S78" s="15"/>
      <c r="T78" s="273"/>
      <c r="U78" s="273"/>
      <c r="V78" s="22"/>
      <c r="W78" s="272"/>
      <c r="X78" s="272"/>
      <c r="Y78" s="272"/>
      <c r="Z78" s="274"/>
      <c r="AA78" s="22"/>
      <c r="AB78" s="275"/>
      <c r="AC78" s="40"/>
      <c r="AD78" s="40"/>
    </row>
    <row r="79" spans="1:30" s="1" customFormat="1" x14ac:dyDescent="0.25">
      <c r="A79" s="131">
        <v>43056</v>
      </c>
      <c r="B79" s="20" t="s">
        <v>216</v>
      </c>
      <c r="C79" s="22" t="s">
        <v>69</v>
      </c>
      <c r="D79" s="16">
        <v>400</v>
      </c>
      <c r="E79" s="15">
        <v>6.13</v>
      </c>
      <c r="F79" s="16">
        <f t="shared" si="18"/>
        <v>4900</v>
      </c>
      <c r="G79" s="17">
        <f t="shared" si="19"/>
        <v>6.123715306122449</v>
      </c>
      <c r="H79" s="15">
        <f t="shared" si="20"/>
        <v>30006.204999999998</v>
      </c>
      <c r="I79" s="15">
        <f t="shared" si="21"/>
        <v>30.795000000001892</v>
      </c>
      <c r="J79" s="33">
        <f t="shared" si="22"/>
        <v>1.0262877294879358E-3</v>
      </c>
      <c r="K79" s="15">
        <f t="shared" si="23"/>
        <v>30037</v>
      </c>
      <c r="L79" s="15">
        <f t="shared" si="9"/>
        <v>204.54799999999886</v>
      </c>
      <c r="M79" s="15"/>
      <c r="N79" s="15"/>
      <c r="O79" s="15"/>
      <c r="P79" s="17"/>
      <c r="Q79" s="31">
        <f t="shared" si="10"/>
        <v>2444.5479999999989</v>
      </c>
      <c r="R79" s="34">
        <f t="shared" si="17"/>
        <v>7.452</v>
      </c>
      <c r="S79" s="15"/>
      <c r="T79" s="273"/>
      <c r="U79" s="273"/>
      <c r="V79" s="22"/>
      <c r="W79" s="272"/>
      <c r="X79" s="272"/>
      <c r="Y79" s="272"/>
      <c r="Z79" s="274"/>
      <c r="AA79" s="22"/>
      <c r="AB79" s="275"/>
      <c r="AC79" s="40"/>
      <c r="AD79" s="40"/>
    </row>
    <row r="80" spans="1:30" s="1" customFormat="1" x14ac:dyDescent="0.25">
      <c r="A80" s="131">
        <v>43060</v>
      </c>
      <c r="B80" s="20" t="s">
        <v>204</v>
      </c>
      <c r="C80" s="22" t="s">
        <v>69</v>
      </c>
      <c r="D80" s="16">
        <v>400</v>
      </c>
      <c r="E80" s="15">
        <v>6.33</v>
      </c>
      <c r="F80" s="16">
        <f t="shared" si="18"/>
        <v>4500</v>
      </c>
      <c r="G80" s="17">
        <f t="shared" si="19"/>
        <v>6.1070526666666662</v>
      </c>
      <c r="H80" s="15">
        <f t="shared" si="20"/>
        <v>27481.736999999997</v>
      </c>
      <c r="I80" s="15">
        <f t="shared" si="21"/>
        <v>1003.2630000000026</v>
      </c>
      <c r="J80" s="33">
        <f t="shared" si="22"/>
        <v>3.6506535231015505E-2</v>
      </c>
      <c r="K80" s="15">
        <f t="shared" si="23"/>
        <v>28485</v>
      </c>
      <c r="L80" s="15">
        <f t="shared" si="9"/>
        <v>972.46800000000076</v>
      </c>
      <c r="M80" s="15"/>
      <c r="N80" s="15"/>
      <c r="O80" s="15"/>
      <c r="P80" s="17"/>
      <c r="Q80" s="31">
        <f t="shared" si="10"/>
        <v>2524.4680000000008</v>
      </c>
      <c r="R80" s="34">
        <f t="shared" si="17"/>
        <v>7.532</v>
      </c>
      <c r="S80" s="15"/>
      <c r="T80" s="273"/>
      <c r="U80" s="273"/>
      <c r="V80" s="22"/>
      <c r="W80" s="272"/>
      <c r="X80" s="272"/>
      <c r="Y80" s="272"/>
      <c r="Z80" s="274"/>
      <c r="AA80" s="22"/>
      <c r="AB80" s="275"/>
      <c r="AC80" s="40"/>
      <c r="AD80" s="40"/>
    </row>
    <row r="81" spans="1:30" s="1" customFormat="1" x14ac:dyDescent="0.25">
      <c r="A81" s="131">
        <v>43060</v>
      </c>
      <c r="B81" s="18" t="s">
        <v>218</v>
      </c>
      <c r="C81" s="22" t="s">
        <v>69</v>
      </c>
      <c r="D81" s="16">
        <v>400</v>
      </c>
      <c r="E81" s="15">
        <v>6.37</v>
      </c>
      <c r="F81" s="16">
        <f t="shared" si="18"/>
        <v>4100</v>
      </c>
      <c r="G81" s="17">
        <f t="shared" si="19"/>
        <v>6.0832402439024378</v>
      </c>
      <c r="H81" s="15">
        <f t="shared" si="20"/>
        <v>24941.284999999996</v>
      </c>
      <c r="I81" s="15">
        <f t="shared" si="21"/>
        <v>1175.7150000000038</v>
      </c>
      <c r="J81" s="33">
        <f t="shared" si="22"/>
        <v>4.7139311386723087E-2</v>
      </c>
      <c r="K81" s="15">
        <f t="shared" si="23"/>
        <v>26117</v>
      </c>
      <c r="L81" s="15">
        <f t="shared" si="9"/>
        <v>172.45200000000114</v>
      </c>
      <c r="M81" s="15"/>
      <c r="N81" s="15"/>
      <c r="O81" s="15"/>
      <c r="P81" s="17"/>
      <c r="Q81" s="31">
        <f t="shared" si="10"/>
        <v>2540.4520000000011</v>
      </c>
      <c r="R81" s="34">
        <f t="shared" si="17"/>
        <v>7.548</v>
      </c>
      <c r="S81" s="15"/>
      <c r="T81" s="273"/>
      <c r="U81" s="273"/>
      <c r="V81" s="22"/>
      <c r="W81" s="272"/>
      <c r="X81" s="272"/>
      <c r="Y81" s="272"/>
      <c r="Z81" s="274"/>
      <c r="AA81" s="22"/>
      <c r="AB81" s="275"/>
      <c r="AC81" s="40"/>
      <c r="AD81" s="40"/>
    </row>
    <row r="82" spans="1:30" s="1" customFormat="1" x14ac:dyDescent="0.25">
      <c r="A82" s="131">
        <v>43061</v>
      </c>
      <c r="B82" s="18" t="s">
        <v>398</v>
      </c>
      <c r="C82" s="22" t="s">
        <v>69</v>
      </c>
      <c r="D82" s="16">
        <v>400</v>
      </c>
      <c r="E82" s="15">
        <v>6.52</v>
      </c>
      <c r="F82" s="16">
        <f t="shared" si="18"/>
        <v>3700</v>
      </c>
      <c r="G82" s="17">
        <f t="shared" si="19"/>
        <v>6.0380791891891885</v>
      </c>
      <c r="H82" s="15">
        <f t="shared" si="20"/>
        <v>22340.892999999996</v>
      </c>
      <c r="I82" s="15">
        <f t="shared" si="21"/>
        <v>1783.1070000000036</v>
      </c>
      <c r="J82" s="33">
        <f t="shared" si="22"/>
        <v>7.981359563380036E-2</v>
      </c>
      <c r="K82" s="15">
        <f t="shared" si="23"/>
        <v>24124</v>
      </c>
      <c r="L82" s="15">
        <f t="shared" si="9"/>
        <v>607.39199999999983</v>
      </c>
      <c r="M82" s="15"/>
      <c r="N82" s="15"/>
      <c r="O82" s="15"/>
      <c r="P82" s="17"/>
      <c r="Q82" s="31">
        <f t="shared" si="10"/>
        <v>2600.3919999999998</v>
      </c>
      <c r="R82" s="34">
        <f t="shared" si="17"/>
        <v>7.6079999999999997</v>
      </c>
      <c r="S82" s="15"/>
      <c r="T82" s="273"/>
      <c r="U82" s="273"/>
      <c r="V82" s="22"/>
      <c r="W82" s="272"/>
      <c r="X82" s="272"/>
      <c r="Y82" s="272"/>
      <c r="Z82" s="274"/>
      <c r="AA82" s="22"/>
      <c r="AB82" s="275"/>
      <c r="AC82" s="40"/>
      <c r="AD82" s="40"/>
    </row>
    <row r="83" spans="1:30" s="1" customFormat="1" x14ac:dyDescent="0.25">
      <c r="A83" s="131">
        <v>43063</v>
      </c>
      <c r="B83" s="18"/>
      <c r="C83" s="22" t="s">
        <v>69</v>
      </c>
      <c r="D83" s="16">
        <v>500</v>
      </c>
      <c r="E83" s="15">
        <v>6.33</v>
      </c>
      <c r="F83" s="16">
        <f t="shared" si="18"/>
        <v>3200</v>
      </c>
      <c r="G83" s="17">
        <f t="shared" si="19"/>
        <v>5.9950181249999988</v>
      </c>
      <c r="H83" s="15">
        <f t="shared" si="20"/>
        <v>19184.057999999997</v>
      </c>
      <c r="I83" s="15">
        <f t="shared" si="21"/>
        <v>1071.9420000000027</v>
      </c>
      <c r="J83" s="33">
        <f t="shared" si="22"/>
        <v>5.5876707628803271E-2</v>
      </c>
      <c r="K83" s="15">
        <f t="shared" si="23"/>
        <v>20256</v>
      </c>
      <c r="L83" s="15">
        <f t="shared" si="9"/>
        <v>-711.16500000000087</v>
      </c>
      <c r="M83" s="15"/>
      <c r="N83" s="15"/>
      <c r="O83" s="15"/>
      <c r="P83" s="17"/>
      <c r="Q83" s="31">
        <f t="shared" si="10"/>
        <v>3156.8349999999991</v>
      </c>
      <c r="R83" s="34">
        <f t="shared" si="17"/>
        <v>8.1649999999999991</v>
      </c>
      <c r="S83" s="15"/>
      <c r="T83" s="273"/>
      <c r="U83" s="273"/>
      <c r="V83" s="22"/>
      <c r="W83" s="272"/>
      <c r="X83" s="272"/>
      <c r="Y83" s="272"/>
      <c r="Z83" s="274"/>
      <c r="AA83" s="22"/>
      <c r="AB83" s="275"/>
      <c r="AC83" s="40"/>
      <c r="AD83" s="40"/>
    </row>
    <row r="84" spans="1:30" s="1" customFormat="1" x14ac:dyDescent="0.25">
      <c r="A84" s="131">
        <v>43073</v>
      </c>
      <c r="B84" s="18"/>
      <c r="C84" s="22" t="s">
        <v>69</v>
      </c>
      <c r="D84" s="16">
        <v>400</v>
      </c>
      <c r="E84" s="15">
        <v>6.47</v>
      </c>
      <c r="F84" s="16">
        <f t="shared" si="18"/>
        <v>2800</v>
      </c>
      <c r="G84" s="17">
        <f t="shared" si="19"/>
        <v>5.92987357142857</v>
      </c>
      <c r="H84" s="15">
        <f t="shared" si="20"/>
        <v>16603.645999999997</v>
      </c>
      <c r="I84" s="15">
        <f t="shared" si="21"/>
        <v>1512.354000000003</v>
      </c>
      <c r="J84" s="33">
        <f t="shared" si="22"/>
        <v>9.1085656728648864E-2</v>
      </c>
      <c r="K84" s="15">
        <f t="shared" si="23"/>
        <v>18116</v>
      </c>
      <c r="L84" s="15">
        <f t="shared" si="9"/>
        <v>440.41200000000026</v>
      </c>
      <c r="M84" s="15"/>
      <c r="N84" s="15"/>
      <c r="O84" s="15"/>
      <c r="P84" s="17"/>
      <c r="Q84" s="31">
        <f t="shared" si="10"/>
        <v>2580.4120000000003</v>
      </c>
      <c r="R84" s="34">
        <f t="shared" si="17"/>
        <v>7.5880000000000001</v>
      </c>
      <c r="S84" s="15"/>
      <c r="T84" s="273"/>
      <c r="U84" s="273"/>
      <c r="V84" s="22"/>
      <c r="W84" s="272"/>
      <c r="X84" s="272"/>
      <c r="Y84" s="272"/>
      <c r="Z84" s="274"/>
      <c r="AA84" s="22"/>
      <c r="AB84" s="275"/>
      <c r="AC84" s="40"/>
      <c r="AD84" s="40"/>
    </row>
    <row r="85" spans="1:30" s="1" customFormat="1" x14ac:dyDescent="0.25">
      <c r="A85" s="131">
        <v>43108</v>
      </c>
      <c r="B85" s="18"/>
      <c r="C85" s="22" t="s">
        <v>69</v>
      </c>
      <c r="D85" s="16">
        <v>400</v>
      </c>
      <c r="E85" s="15">
        <v>6.52</v>
      </c>
      <c r="F85" s="16">
        <f t="shared" si="18"/>
        <v>2400</v>
      </c>
      <c r="G85" s="17">
        <f t="shared" si="19"/>
        <v>5.8346891666666654</v>
      </c>
      <c r="H85" s="15">
        <f t="shared" si="20"/>
        <v>14003.253999999997</v>
      </c>
      <c r="I85" s="15">
        <f t="shared" si="21"/>
        <v>1644.746000000001</v>
      </c>
      <c r="J85" s="33">
        <f t="shared" si="22"/>
        <v>0.11745455734788518</v>
      </c>
      <c r="K85" s="15">
        <f t="shared" si="23"/>
        <v>15647.999999999998</v>
      </c>
      <c r="L85" s="15">
        <f t="shared" si="9"/>
        <v>132.39199999999801</v>
      </c>
      <c r="M85" s="15"/>
      <c r="N85" s="15"/>
      <c r="O85" s="15"/>
      <c r="P85" s="17"/>
      <c r="Q85" s="31">
        <f t="shared" si="10"/>
        <v>2600.3919999999998</v>
      </c>
      <c r="R85" s="34">
        <f t="shared" si="17"/>
        <v>7.6079999999999997</v>
      </c>
      <c r="S85" s="15"/>
      <c r="T85" s="273"/>
      <c r="U85" s="273"/>
      <c r="V85" s="22"/>
      <c r="W85" s="272"/>
      <c r="X85" s="272"/>
      <c r="Y85" s="272"/>
      <c r="Z85" s="274"/>
      <c r="AA85" s="22"/>
      <c r="AB85" s="275"/>
      <c r="AC85" s="40"/>
      <c r="AD85" s="40"/>
    </row>
    <row r="86" spans="1:30" s="1" customFormat="1" x14ac:dyDescent="0.25">
      <c r="A86" s="131">
        <v>43110</v>
      </c>
      <c r="B86" s="18" t="s">
        <v>407</v>
      </c>
      <c r="C86" s="22" t="s">
        <v>69</v>
      </c>
      <c r="D86" s="16">
        <v>400</v>
      </c>
      <c r="E86" s="15">
        <v>6.66</v>
      </c>
      <c r="F86" s="16">
        <f t="shared" si="18"/>
        <v>2000</v>
      </c>
      <c r="G86" s="17">
        <f t="shared" si="19"/>
        <v>5.6734589999999994</v>
      </c>
      <c r="H86" s="15">
        <f t="shared" si="20"/>
        <v>11346.917999999998</v>
      </c>
      <c r="I86" s="15">
        <f t="shared" si="21"/>
        <v>1973.0820000000022</v>
      </c>
      <c r="J86" s="33">
        <f t="shared" si="22"/>
        <v>0.17388704139749681</v>
      </c>
      <c r="K86" s="15">
        <f t="shared" si="23"/>
        <v>13320</v>
      </c>
      <c r="L86" s="15">
        <f t="shared" si="9"/>
        <v>328.33600000000115</v>
      </c>
      <c r="M86" s="15"/>
      <c r="N86" s="15"/>
      <c r="O86" s="15"/>
      <c r="P86" s="17"/>
      <c r="Q86" s="31">
        <f t="shared" si="10"/>
        <v>2656.3359999999993</v>
      </c>
      <c r="R86" s="34">
        <f t="shared" si="17"/>
        <v>7.6639999999999997</v>
      </c>
      <c r="S86" s="15"/>
      <c r="T86" s="273"/>
      <c r="U86" s="273"/>
      <c r="V86" s="22"/>
      <c r="W86" s="272"/>
      <c r="X86" s="272"/>
      <c r="Y86" s="272"/>
      <c r="Z86" s="274"/>
      <c r="AA86" s="22"/>
      <c r="AB86" s="275"/>
      <c r="AC86" s="40"/>
      <c r="AD86" s="40"/>
    </row>
    <row r="87" spans="1:30" s="1" customFormat="1" x14ac:dyDescent="0.25">
      <c r="A87" s="131">
        <v>43111</v>
      </c>
      <c r="B87" s="18"/>
      <c r="C87" s="22" t="s">
        <v>69</v>
      </c>
      <c r="D87" s="16">
        <v>400</v>
      </c>
      <c r="E87" s="15">
        <v>6.75</v>
      </c>
      <c r="F87" s="16">
        <f t="shared" si="18"/>
        <v>1600</v>
      </c>
      <c r="G87" s="17">
        <f t="shared" si="19"/>
        <v>5.4091362499999995</v>
      </c>
      <c r="H87" s="15">
        <f t="shared" si="20"/>
        <v>8654.6179999999986</v>
      </c>
      <c r="I87" s="15">
        <f t="shared" si="21"/>
        <v>2145.3820000000014</v>
      </c>
      <c r="J87" s="33">
        <f t="shared" si="22"/>
        <v>0.2478886994203558</v>
      </c>
      <c r="K87" s="15">
        <f t="shared" si="23"/>
        <v>10800</v>
      </c>
      <c r="L87" s="15">
        <f t="shared" si="9"/>
        <v>172.29999999999927</v>
      </c>
      <c r="M87" s="15"/>
      <c r="N87" s="15"/>
      <c r="O87" s="15"/>
      <c r="P87" s="17"/>
      <c r="Q87" s="31">
        <f t="shared" si="10"/>
        <v>2692.2999999999993</v>
      </c>
      <c r="R87" s="34">
        <f t="shared" si="17"/>
        <v>7.7</v>
      </c>
      <c r="S87" s="15"/>
      <c r="T87" s="273"/>
      <c r="U87" s="273"/>
      <c r="V87" s="22"/>
      <c r="W87" s="272"/>
      <c r="X87" s="272"/>
      <c r="Y87" s="272"/>
      <c r="Z87" s="274"/>
      <c r="AA87" s="22"/>
      <c r="AB87" s="275"/>
      <c r="AC87" s="40"/>
      <c r="AD87" s="40"/>
    </row>
    <row r="88" spans="1:30" s="1" customFormat="1" x14ac:dyDescent="0.25">
      <c r="A88" s="131">
        <v>43112</v>
      </c>
      <c r="B88" s="18"/>
      <c r="C88" s="22" t="s">
        <v>69</v>
      </c>
      <c r="D88" s="16">
        <v>400</v>
      </c>
      <c r="E88" s="15">
        <v>6.85</v>
      </c>
      <c r="F88" s="16">
        <f t="shared" si="18"/>
        <v>1200</v>
      </c>
      <c r="G88" s="17">
        <f t="shared" si="19"/>
        <v>4.9286316666666652</v>
      </c>
      <c r="H88" s="15">
        <f t="shared" si="20"/>
        <v>5914.3579999999984</v>
      </c>
      <c r="I88" s="15">
        <f t="shared" si="21"/>
        <v>2305.6420000000016</v>
      </c>
      <c r="J88" s="33">
        <f t="shared" si="22"/>
        <v>0.38983808555383392</v>
      </c>
      <c r="K88" s="15">
        <f t="shared" si="23"/>
        <v>8220</v>
      </c>
      <c r="L88" s="15">
        <f t="shared" si="9"/>
        <v>160.26000000000022</v>
      </c>
      <c r="M88" s="15"/>
      <c r="N88" s="15"/>
      <c r="O88" s="15"/>
      <c r="P88" s="17"/>
      <c r="Q88" s="31">
        <f t="shared" si="10"/>
        <v>2740.26</v>
      </c>
      <c r="R88" s="34">
        <f t="shared" si="17"/>
        <v>7.74</v>
      </c>
      <c r="S88" s="15">
        <v>-8</v>
      </c>
      <c r="T88" s="273"/>
      <c r="U88" s="273"/>
      <c r="V88" s="22"/>
      <c r="W88" s="272"/>
      <c r="X88" s="272"/>
      <c r="Y88" s="272"/>
      <c r="Z88" s="274"/>
      <c r="AA88" s="22"/>
      <c r="AB88" s="275"/>
      <c r="AC88" s="40"/>
      <c r="AD88" s="40"/>
    </row>
    <row r="89" spans="1:30" s="1" customFormat="1" x14ac:dyDescent="0.25">
      <c r="A89" s="131">
        <v>43112</v>
      </c>
      <c r="B89" s="18"/>
      <c r="C89" s="22" t="s">
        <v>69</v>
      </c>
      <c r="D89" s="16">
        <v>400</v>
      </c>
      <c r="E89" s="15">
        <v>6.91</v>
      </c>
      <c r="F89" s="16">
        <f t="shared" si="18"/>
        <v>800</v>
      </c>
      <c r="G89" s="17">
        <f t="shared" si="19"/>
        <v>3.947652499999998</v>
      </c>
      <c r="H89" s="15">
        <f t="shared" si="20"/>
        <v>3158.1219999999985</v>
      </c>
      <c r="I89" s="15">
        <f t="shared" si="21"/>
        <v>2369.8780000000015</v>
      </c>
      <c r="J89" s="33">
        <f t="shared" si="22"/>
        <v>0.75040736235015715</v>
      </c>
      <c r="K89" s="15">
        <f t="shared" si="23"/>
        <v>5528</v>
      </c>
      <c r="L89" s="15">
        <f t="shared" si="9"/>
        <v>64.235999999999876</v>
      </c>
      <c r="M89" s="15"/>
      <c r="N89" s="15"/>
      <c r="O89" s="15"/>
      <c r="P89" s="17"/>
      <c r="Q89" s="31">
        <f t="shared" si="10"/>
        <v>2756.2359999999999</v>
      </c>
      <c r="R89" s="34">
        <f t="shared" si="17"/>
        <v>7.7640000000000002</v>
      </c>
      <c r="S89" s="15"/>
      <c r="T89" s="273"/>
      <c r="U89" s="273"/>
      <c r="V89" s="22"/>
      <c r="W89" s="272"/>
      <c r="X89" s="272"/>
      <c r="Y89" s="272"/>
      <c r="Z89" s="274"/>
      <c r="AA89" s="22"/>
      <c r="AB89" s="275"/>
      <c r="AC89" s="40"/>
      <c r="AD89" s="40"/>
    </row>
    <row r="90" spans="1:30" s="1" customFormat="1" x14ac:dyDescent="0.25">
      <c r="A90" s="131">
        <v>43115</v>
      </c>
      <c r="B90" s="18" t="s">
        <v>409</v>
      </c>
      <c r="C90" s="22" t="s">
        <v>69</v>
      </c>
      <c r="D90" s="16">
        <v>400</v>
      </c>
      <c r="E90" s="15">
        <v>6.98</v>
      </c>
      <c r="F90" s="16">
        <f t="shared" si="18"/>
        <v>400</v>
      </c>
      <c r="G90" s="17">
        <f t="shared" si="19"/>
        <v>0.93478499999999609</v>
      </c>
      <c r="H90" s="15">
        <f t="shared" si="20"/>
        <v>373.91399999999845</v>
      </c>
      <c r="I90" s="15">
        <f t="shared" si="21"/>
        <v>2418.0860000000016</v>
      </c>
      <c r="J90" s="33">
        <f t="shared" si="22"/>
        <v>6.466957642666527</v>
      </c>
      <c r="K90" s="15">
        <f t="shared" si="23"/>
        <v>2792</v>
      </c>
      <c r="L90" s="15">
        <f t="shared" si="9"/>
        <v>48.208000000000084</v>
      </c>
      <c r="M90" s="15"/>
      <c r="N90" s="15"/>
      <c r="O90" s="15"/>
      <c r="P90" s="17"/>
      <c r="Q90" s="31">
        <f t="shared" si="10"/>
        <v>2784.2080000000001</v>
      </c>
      <c r="R90" s="34">
        <f t="shared" si="17"/>
        <v>7.7919999999999998</v>
      </c>
      <c r="S90" s="15"/>
      <c r="T90" s="273"/>
      <c r="U90" s="273"/>
      <c r="V90" s="22"/>
      <c r="W90" s="272"/>
      <c r="X90" s="272"/>
      <c r="Y90" s="272"/>
      <c r="Z90" s="274"/>
      <c r="AA90" s="22"/>
      <c r="AB90" s="275"/>
      <c r="AC90" s="40"/>
      <c r="AD90" s="40"/>
    </row>
    <row r="91" spans="1:30" s="1" customFormat="1" x14ac:dyDescent="0.25">
      <c r="A91" s="131">
        <v>43115</v>
      </c>
      <c r="B91" s="18"/>
      <c r="C91" s="22" t="s">
        <v>69</v>
      </c>
      <c r="D91" s="16">
        <v>300</v>
      </c>
      <c r="E91" s="15">
        <v>7.08</v>
      </c>
      <c r="F91" s="16">
        <f t="shared" si="18"/>
        <v>100</v>
      </c>
      <c r="G91" s="17">
        <f t="shared" si="19"/>
        <v>-17.429620000000014</v>
      </c>
      <c r="H91" s="15">
        <f t="shared" si="20"/>
        <v>-1742.9620000000016</v>
      </c>
      <c r="I91" s="15">
        <f t="shared" si="21"/>
        <v>2450.9620000000014</v>
      </c>
      <c r="J91" s="33">
        <f t="shared" si="22"/>
        <v>-1.4062050693015677</v>
      </c>
      <c r="K91" s="15">
        <f t="shared" si="23"/>
        <v>708</v>
      </c>
      <c r="L91" s="15">
        <f t="shared" si="9"/>
        <v>32.875999999999749</v>
      </c>
      <c r="M91" s="15"/>
      <c r="N91" s="15"/>
      <c r="O91" s="15"/>
      <c r="P91" s="17"/>
      <c r="Q91" s="31">
        <f t="shared" si="10"/>
        <v>2116.8760000000002</v>
      </c>
      <c r="R91" s="34">
        <f t="shared" si="17"/>
        <v>7.1240000000000006</v>
      </c>
      <c r="S91" s="15"/>
      <c r="T91" s="273"/>
      <c r="U91" s="273"/>
      <c r="V91" s="22"/>
      <c r="W91" s="272"/>
      <c r="X91" s="272"/>
      <c r="Y91" s="272"/>
      <c r="Z91" s="274"/>
      <c r="AA91" s="22"/>
      <c r="AB91" s="275"/>
      <c r="AC91" s="40"/>
      <c r="AD91" s="40"/>
    </row>
    <row r="92" spans="1:30" s="1" customFormat="1" x14ac:dyDescent="0.25">
      <c r="A92" s="131">
        <v>43159</v>
      </c>
      <c r="B92" s="18" t="s">
        <v>215</v>
      </c>
      <c r="C92" s="22" t="s">
        <v>63</v>
      </c>
      <c r="D92" s="16">
        <v>500</v>
      </c>
      <c r="E92" s="15">
        <v>6.86</v>
      </c>
      <c r="F92" s="16">
        <f t="shared" si="18"/>
        <v>600</v>
      </c>
      <c r="G92" s="17">
        <f t="shared" si="19"/>
        <v>2.8200633333333305</v>
      </c>
      <c r="H92" s="15">
        <f t="shared" si="20"/>
        <v>1692.0379999999984</v>
      </c>
      <c r="I92" s="15">
        <f t="shared" si="21"/>
        <v>2423.9620000000014</v>
      </c>
      <c r="J92" s="33">
        <f t="shared" si="22"/>
        <v>1.4325694813000678</v>
      </c>
      <c r="K92" s="15">
        <f t="shared" si="23"/>
        <v>4116</v>
      </c>
      <c r="L92" s="15">
        <f t="shared" si="9"/>
        <v>-27</v>
      </c>
      <c r="M92" s="15"/>
      <c r="N92" s="15"/>
      <c r="O92" s="15"/>
      <c r="P92" s="17"/>
      <c r="Q92" s="31">
        <f t="shared" si="10"/>
        <v>-3435</v>
      </c>
      <c r="R92" s="34">
        <f t="shared" si="17"/>
        <v>5</v>
      </c>
      <c r="S92" s="15"/>
      <c r="T92" s="273"/>
      <c r="U92" s="273"/>
      <c r="V92" s="22"/>
      <c r="W92" s="272"/>
      <c r="X92" s="272"/>
      <c r="Y92" s="272"/>
      <c r="Z92" s="274"/>
      <c r="AA92" s="22"/>
      <c r="AB92" s="275"/>
      <c r="AC92" s="40"/>
      <c r="AD92" s="40"/>
    </row>
    <row r="93" spans="1:30" s="1" customFormat="1" x14ac:dyDescent="0.25">
      <c r="A93" s="131">
        <v>43161</v>
      </c>
      <c r="B93" s="18" t="s">
        <v>401</v>
      </c>
      <c r="C93" s="22" t="s">
        <v>63</v>
      </c>
      <c r="D93" s="16">
        <v>500</v>
      </c>
      <c r="E93" s="15">
        <v>6.68</v>
      </c>
      <c r="F93" s="16">
        <f t="shared" si="18"/>
        <v>1100</v>
      </c>
      <c r="G93" s="17">
        <f t="shared" si="19"/>
        <v>4.5791254545454532</v>
      </c>
      <c r="H93" s="15">
        <f t="shared" si="20"/>
        <v>5037.0379999999986</v>
      </c>
      <c r="I93" s="15">
        <f t="shared" si="21"/>
        <v>2310.9620000000014</v>
      </c>
      <c r="J93" s="33">
        <f t="shared" si="22"/>
        <v>0.45879383876000179</v>
      </c>
      <c r="K93" s="15">
        <f t="shared" si="23"/>
        <v>7348</v>
      </c>
      <c r="L93" s="15">
        <f t="shared" si="9"/>
        <v>-113</v>
      </c>
      <c r="M93" s="15"/>
      <c r="N93" s="15"/>
      <c r="O93" s="15"/>
      <c r="P93" s="17"/>
      <c r="Q93" s="31">
        <f t="shared" si="10"/>
        <v>-3345</v>
      </c>
      <c r="R93" s="34">
        <f t="shared" si="17"/>
        <v>5</v>
      </c>
      <c r="S93" s="15"/>
      <c r="T93" s="273"/>
      <c r="U93" s="273"/>
      <c r="V93" s="22"/>
      <c r="W93" s="272"/>
      <c r="X93" s="272"/>
      <c r="Y93" s="272"/>
      <c r="Z93" s="274"/>
      <c r="AA93" s="22"/>
      <c r="AB93" s="275"/>
      <c r="AC93" s="40"/>
      <c r="AD93" s="40"/>
    </row>
    <row r="94" spans="1:30" s="1" customFormat="1" x14ac:dyDescent="0.25">
      <c r="A94" s="131">
        <v>43185</v>
      </c>
      <c r="B94" s="18" t="s">
        <v>210</v>
      </c>
      <c r="C94" s="22" t="s">
        <v>63</v>
      </c>
      <c r="D94" s="16">
        <v>500</v>
      </c>
      <c r="E94" s="15">
        <v>6.36</v>
      </c>
      <c r="F94" s="16">
        <f t="shared" si="18"/>
        <v>1600</v>
      </c>
      <c r="G94" s="17">
        <f t="shared" si="19"/>
        <v>5.1387737499999995</v>
      </c>
      <c r="H94" s="15">
        <f t="shared" si="20"/>
        <v>8222.0379999999986</v>
      </c>
      <c r="I94" s="15">
        <f t="shared" si="21"/>
        <v>1953.9620000000014</v>
      </c>
      <c r="J94" s="33">
        <f t="shared" si="22"/>
        <v>0.23764935165709541</v>
      </c>
      <c r="K94" s="15">
        <f t="shared" si="23"/>
        <v>10176</v>
      </c>
      <c r="L94" s="15">
        <f t="shared" si="9"/>
        <v>-357</v>
      </c>
      <c r="M94" s="15"/>
      <c r="N94" s="15"/>
      <c r="O94" s="15"/>
      <c r="P94" s="17"/>
      <c r="Q94" s="31">
        <f t="shared" si="10"/>
        <v>-3185</v>
      </c>
      <c r="R94" s="34">
        <f t="shared" si="17"/>
        <v>5</v>
      </c>
      <c r="S94" s="15"/>
      <c r="T94" s="273"/>
      <c r="U94" s="273"/>
      <c r="V94" s="22"/>
      <c r="W94" s="272"/>
      <c r="X94" s="272"/>
      <c r="Y94" s="272"/>
      <c r="Z94" s="274"/>
      <c r="AA94" s="22"/>
      <c r="AB94" s="275"/>
      <c r="AC94" s="40"/>
      <c r="AD94" s="40"/>
    </row>
    <row r="95" spans="1:30" s="1" customFormat="1" x14ac:dyDescent="0.25">
      <c r="A95" s="131">
        <v>43201</v>
      </c>
      <c r="B95" s="18"/>
      <c r="C95" s="22" t="s">
        <v>69</v>
      </c>
      <c r="D95" s="16">
        <v>400</v>
      </c>
      <c r="E95" s="22">
        <v>6.64</v>
      </c>
      <c r="F95" s="16">
        <f t="shared" si="18"/>
        <v>1200</v>
      </c>
      <c r="G95" s="17">
        <f t="shared" si="19"/>
        <v>4.6447449999999986</v>
      </c>
      <c r="H95" s="15">
        <f t="shared" si="20"/>
        <v>5573.6939999999986</v>
      </c>
      <c r="I95" s="15">
        <f t="shared" si="21"/>
        <v>2394.3060000000014</v>
      </c>
      <c r="J95" s="33">
        <f t="shared" si="22"/>
        <v>0.42957255995754379</v>
      </c>
      <c r="K95" s="15">
        <f t="shared" si="23"/>
        <v>7968</v>
      </c>
      <c r="L95" s="15">
        <f t="shared" si="9"/>
        <v>440.34400000000005</v>
      </c>
      <c r="M95" s="15"/>
      <c r="N95" s="15"/>
      <c r="O95" s="15"/>
      <c r="P95" s="17"/>
      <c r="Q95" s="31">
        <f t="shared" si="10"/>
        <v>2648.3440000000001</v>
      </c>
      <c r="R95" s="34">
        <f t="shared" si="17"/>
        <v>7.6559999999999997</v>
      </c>
      <c r="S95" s="15"/>
      <c r="T95" s="273"/>
      <c r="U95" s="273"/>
      <c r="V95" s="22"/>
      <c r="W95" s="272"/>
      <c r="X95" s="272"/>
      <c r="Y95" s="272"/>
      <c r="Z95" s="274"/>
      <c r="AA95" s="22"/>
      <c r="AB95" s="275"/>
      <c r="AC95" s="40"/>
      <c r="AD95" s="40"/>
    </row>
    <row r="96" spans="1:30" s="1" customFormat="1" x14ac:dyDescent="0.25">
      <c r="A96" s="131">
        <v>43202</v>
      </c>
      <c r="B96" s="18" t="s">
        <v>602</v>
      </c>
      <c r="C96" s="22" t="s">
        <v>63</v>
      </c>
      <c r="D96" s="16">
        <v>500</v>
      </c>
      <c r="E96" s="22">
        <v>6.48</v>
      </c>
      <c r="F96" s="16">
        <f t="shared" si="18"/>
        <v>1700</v>
      </c>
      <c r="G96" s="17">
        <f t="shared" si="19"/>
        <v>5.187467058823529</v>
      </c>
      <c r="H96" s="15">
        <f t="shared" si="20"/>
        <v>8818.6939999999995</v>
      </c>
      <c r="I96" s="15">
        <f t="shared" si="21"/>
        <v>2197.3060000000005</v>
      </c>
      <c r="J96" s="33">
        <f t="shared" si="22"/>
        <v>0.24916455883376853</v>
      </c>
      <c r="K96" s="15">
        <f t="shared" si="23"/>
        <v>11016</v>
      </c>
      <c r="L96" s="15">
        <f t="shared" si="9"/>
        <v>-197.00000000000091</v>
      </c>
      <c r="M96" s="15"/>
      <c r="N96" s="15"/>
      <c r="O96" s="15"/>
      <c r="P96" s="17"/>
      <c r="Q96" s="31">
        <f t="shared" si="10"/>
        <v>-3245.0000000000009</v>
      </c>
      <c r="R96" s="34">
        <f t="shared" si="17"/>
        <v>5</v>
      </c>
      <c r="S96" s="15"/>
      <c r="T96" s="273"/>
      <c r="U96" s="273"/>
      <c r="V96" s="22"/>
      <c r="W96" s="272"/>
      <c r="X96" s="272"/>
      <c r="Y96" s="272"/>
      <c r="Z96" s="274"/>
      <c r="AA96" s="22"/>
      <c r="AB96" s="275"/>
      <c r="AC96" s="40"/>
      <c r="AD96" s="40"/>
    </row>
    <row r="97" spans="1:30" s="1" customFormat="1" x14ac:dyDescent="0.25">
      <c r="A97" s="131">
        <v>43228</v>
      </c>
      <c r="B97" s="18"/>
      <c r="C97" s="22" t="s">
        <v>69</v>
      </c>
      <c r="D97" s="16">
        <v>400</v>
      </c>
      <c r="E97" s="22">
        <v>6.65</v>
      </c>
      <c r="F97" s="16">
        <f t="shared" si="18"/>
        <v>1300</v>
      </c>
      <c r="G97" s="17">
        <f t="shared" si="19"/>
        <v>4.7433492307692307</v>
      </c>
      <c r="H97" s="15">
        <f t="shared" si="20"/>
        <v>6166.3539999999994</v>
      </c>
      <c r="I97" s="15">
        <f t="shared" si="21"/>
        <v>2478.6460000000006</v>
      </c>
      <c r="J97" s="33">
        <f t="shared" si="22"/>
        <v>0.40196297520382396</v>
      </c>
      <c r="K97" s="15">
        <f t="shared" si="23"/>
        <v>8645</v>
      </c>
      <c r="L97" s="15">
        <f t="shared" si="9"/>
        <v>281.34000000000015</v>
      </c>
      <c r="M97" s="15"/>
      <c r="N97" s="15"/>
      <c r="O97" s="15"/>
      <c r="P97" s="17"/>
      <c r="Q97" s="31">
        <f t="shared" si="10"/>
        <v>2652.34</v>
      </c>
      <c r="R97" s="34">
        <f t="shared" si="17"/>
        <v>7.66</v>
      </c>
      <c r="S97" s="15"/>
      <c r="T97" s="273"/>
      <c r="U97" s="273"/>
      <c r="V97" s="22"/>
      <c r="W97" s="272"/>
      <c r="X97" s="272"/>
      <c r="Y97" s="272"/>
      <c r="Z97" s="274"/>
      <c r="AA97" s="22"/>
      <c r="AB97" s="275"/>
      <c r="AC97" s="40"/>
      <c r="AD97" s="40"/>
    </row>
    <row r="98" spans="1:30" s="1" customFormat="1" x14ac:dyDescent="0.25">
      <c r="A98" s="131">
        <v>43249</v>
      </c>
      <c r="B98" s="18" t="s">
        <v>603</v>
      </c>
      <c r="C98" s="22" t="s">
        <v>63</v>
      </c>
      <c r="D98" s="16">
        <v>500</v>
      </c>
      <c r="E98" s="22">
        <v>6.47</v>
      </c>
      <c r="F98" s="16">
        <f t="shared" si="18"/>
        <v>1800</v>
      </c>
      <c r="G98" s="17">
        <f t="shared" si="19"/>
        <v>5.2257522222222219</v>
      </c>
      <c r="H98" s="15">
        <f t="shared" si="20"/>
        <v>9406.3539999999994</v>
      </c>
      <c r="I98" s="15">
        <f t="shared" si="21"/>
        <v>2239.6460000000006</v>
      </c>
      <c r="J98" s="33">
        <f t="shared" si="22"/>
        <v>0.23809926779281326</v>
      </c>
      <c r="K98" s="15">
        <f t="shared" si="23"/>
        <v>11646</v>
      </c>
      <c r="L98" s="15">
        <f t="shared" si="9"/>
        <v>-239</v>
      </c>
      <c r="M98" s="15"/>
      <c r="N98" s="15"/>
      <c r="O98" s="15"/>
      <c r="P98" s="17"/>
      <c r="Q98" s="31">
        <f t="shared" si="10"/>
        <v>-3240</v>
      </c>
      <c r="R98" s="34">
        <f t="shared" si="17"/>
        <v>5</v>
      </c>
      <c r="S98" s="15"/>
      <c r="T98" s="273"/>
      <c r="U98" s="273"/>
      <c r="V98" s="22"/>
      <c r="W98" s="272"/>
      <c r="X98" s="272"/>
      <c r="Y98" s="272"/>
      <c r="Z98" s="274"/>
      <c r="AA98" s="22"/>
      <c r="AB98" s="275"/>
      <c r="AC98" s="40"/>
      <c r="AD98" s="40"/>
    </row>
    <row r="99" spans="1:30" s="1" customFormat="1" x14ac:dyDescent="0.25">
      <c r="A99" s="131">
        <v>43262</v>
      </c>
      <c r="B99" s="18" t="s">
        <v>604</v>
      </c>
      <c r="C99" s="22" t="s">
        <v>63</v>
      </c>
      <c r="D99" s="16">
        <v>500</v>
      </c>
      <c r="E99" s="22">
        <v>6.19</v>
      </c>
      <c r="F99" s="16">
        <f t="shared" si="18"/>
        <v>2300</v>
      </c>
      <c r="G99" s="17">
        <f t="shared" si="19"/>
        <v>5.1766626086956515</v>
      </c>
      <c r="H99" s="15">
        <f t="shared" si="20"/>
        <v>11906.323999999999</v>
      </c>
      <c r="I99" s="15">
        <f t="shared" si="21"/>
        <v>2330.6760000000013</v>
      </c>
      <c r="J99" s="33">
        <f t="shared" si="22"/>
        <v>0.19575109832388254</v>
      </c>
      <c r="K99" s="15">
        <f t="shared" si="23"/>
        <v>14237</v>
      </c>
      <c r="L99" s="15">
        <f t="shared" si="9"/>
        <v>91.030000000000655</v>
      </c>
      <c r="M99" s="15"/>
      <c r="N99" s="15"/>
      <c r="O99" s="15"/>
      <c r="P99" s="17"/>
      <c r="Q99" s="31">
        <f t="shared" si="10"/>
        <v>-2499.9699999999993</v>
      </c>
      <c r="R99" s="34">
        <f t="shared" si="17"/>
        <v>5</v>
      </c>
      <c r="S99" s="15">
        <v>-600.03</v>
      </c>
      <c r="T99" s="273"/>
      <c r="U99" s="273"/>
      <c r="V99" s="22"/>
      <c r="W99" s="272"/>
      <c r="X99" s="272"/>
      <c r="Y99" s="272"/>
      <c r="Z99" s="274"/>
      <c r="AA99" s="22"/>
      <c r="AB99" s="275"/>
      <c r="AC99" s="40"/>
      <c r="AD99" s="40"/>
    </row>
    <row r="100" spans="1:30" s="1" customFormat="1" x14ac:dyDescent="0.25">
      <c r="A100" s="131">
        <v>43284</v>
      </c>
      <c r="B100" s="18" t="s">
        <v>406</v>
      </c>
      <c r="C100" s="22" t="s">
        <v>63</v>
      </c>
      <c r="D100" s="16">
        <v>500</v>
      </c>
      <c r="E100" s="22">
        <v>5.73</v>
      </c>
      <c r="F100" s="16">
        <f t="shared" si="18"/>
        <v>2800</v>
      </c>
      <c r="G100" s="17">
        <f t="shared" si="19"/>
        <v>5.2772585714285709</v>
      </c>
      <c r="H100" s="15">
        <f t="shared" si="20"/>
        <v>14776.323999999999</v>
      </c>
      <c r="I100" s="15">
        <f t="shared" si="21"/>
        <v>1267.6760000000031</v>
      </c>
      <c r="J100" s="33">
        <f t="shared" si="22"/>
        <v>8.5791026239002532E-2</v>
      </c>
      <c r="K100" s="15">
        <f t="shared" si="23"/>
        <v>16044.000000000002</v>
      </c>
      <c r="L100" s="15">
        <f t="shared" si="9"/>
        <v>-1062.9999999999982</v>
      </c>
      <c r="M100" s="15"/>
      <c r="N100" s="15"/>
      <c r="O100" s="15"/>
      <c r="P100" s="17"/>
      <c r="Q100" s="31">
        <f t="shared" si="10"/>
        <v>-2870</v>
      </c>
      <c r="R100" s="34">
        <f t="shared" si="17"/>
        <v>5</v>
      </c>
      <c r="S100" s="15"/>
      <c r="T100" s="273"/>
      <c r="U100" s="273"/>
      <c r="V100" s="22"/>
      <c r="W100" s="272"/>
      <c r="X100" s="272"/>
      <c r="Y100" s="272"/>
      <c r="Z100" s="274"/>
      <c r="AA100" s="22"/>
      <c r="AB100" s="275"/>
      <c r="AC100" s="40"/>
      <c r="AD100" s="40"/>
    </row>
    <row r="101" spans="1:30" s="1" customFormat="1" x14ac:dyDescent="0.25">
      <c r="A101" s="131">
        <v>43293</v>
      </c>
      <c r="B101" s="18"/>
      <c r="C101" s="22" t="s">
        <v>69</v>
      </c>
      <c r="D101" s="16">
        <v>400</v>
      </c>
      <c r="E101" s="22">
        <v>5.95</v>
      </c>
      <c r="F101" s="16">
        <f t="shared" si="18"/>
        <v>2400</v>
      </c>
      <c r="G101" s="17">
        <f t="shared" si="19"/>
        <v>5.1682099999999993</v>
      </c>
      <c r="H101" s="15">
        <f t="shared" si="20"/>
        <v>12403.703999999998</v>
      </c>
      <c r="I101" s="15">
        <f t="shared" si="21"/>
        <v>1876.2960000000021</v>
      </c>
      <c r="J101" s="33">
        <f t="shared" si="22"/>
        <v>0.15126900803179455</v>
      </c>
      <c r="K101" s="15">
        <f t="shared" si="23"/>
        <v>14280</v>
      </c>
      <c r="L101" s="15">
        <f t="shared" si="9"/>
        <v>608.61999999999898</v>
      </c>
      <c r="M101" s="15"/>
      <c r="N101" s="15"/>
      <c r="O101" s="15"/>
      <c r="P101" s="17"/>
      <c r="Q101" s="31">
        <f t="shared" si="10"/>
        <v>2372.6200000000008</v>
      </c>
      <c r="R101" s="34">
        <f t="shared" si="17"/>
        <v>7.38</v>
      </c>
      <c r="S101" s="15"/>
      <c r="T101" s="273"/>
      <c r="U101" s="273"/>
      <c r="V101" s="22"/>
      <c r="W101" s="272"/>
      <c r="X101" s="272"/>
      <c r="Y101" s="272"/>
      <c r="Z101" s="274"/>
      <c r="AA101" s="22"/>
      <c r="AB101" s="275"/>
      <c r="AC101" s="40"/>
      <c r="AD101" s="40"/>
    </row>
    <row r="102" spans="1:30" s="1" customFormat="1" x14ac:dyDescent="0.25">
      <c r="A102" s="131">
        <v>43301</v>
      </c>
      <c r="B102" s="18"/>
      <c r="C102" s="22" t="s">
        <v>69</v>
      </c>
      <c r="D102" s="16">
        <v>400</v>
      </c>
      <c r="E102" s="22">
        <v>6.13</v>
      </c>
      <c r="F102" s="16">
        <f t="shared" si="18"/>
        <v>2000</v>
      </c>
      <c r="G102" s="17">
        <f t="shared" si="19"/>
        <v>4.9795779999999983</v>
      </c>
      <c r="H102" s="15">
        <f t="shared" si="20"/>
        <v>9959.1559999999972</v>
      </c>
      <c r="I102" s="15">
        <f t="shared" si="21"/>
        <v>2300.8440000000028</v>
      </c>
      <c r="J102" s="33">
        <f t="shared" si="22"/>
        <v>0.23102801080734192</v>
      </c>
      <c r="K102" s="15">
        <f t="shared" si="23"/>
        <v>12260</v>
      </c>
      <c r="L102" s="15">
        <f t="shared" si="9"/>
        <v>424.54800000000068</v>
      </c>
      <c r="M102" s="15"/>
      <c r="N102" s="15"/>
      <c r="O102" s="15"/>
      <c r="P102" s="17"/>
      <c r="Q102" s="31">
        <f t="shared" si="10"/>
        <v>2444.5480000000007</v>
      </c>
      <c r="R102" s="34">
        <f t="shared" si="17"/>
        <v>7.452</v>
      </c>
      <c r="S102" s="15"/>
      <c r="T102" s="273"/>
      <c r="U102" s="273"/>
      <c r="V102" s="22"/>
      <c r="W102" s="272"/>
      <c r="X102" s="272"/>
      <c r="Y102" s="272"/>
      <c r="Z102" s="274"/>
      <c r="AA102" s="22"/>
      <c r="AB102" s="275"/>
      <c r="AC102" s="40"/>
      <c r="AD102" s="40"/>
    </row>
    <row r="103" spans="1:30" s="1" customFormat="1" x14ac:dyDescent="0.25">
      <c r="A103" s="131">
        <v>43312</v>
      </c>
      <c r="B103" s="18"/>
      <c r="C103" s="22" t="s">
        <v>69</v>
      </c>
      <c r="D103" s="16">
        <v>400</v>
      </c>
      <c r="E103" s="22">
        <v>6.29</v>
      </c>
      <c r="F103" s="16">
        <f t="shared" si="18"/>
        <v>1600</v>
      </c>
      <c r="G103" s="17">
        <f t="shared" si="19"/>
        <v>4.6566699999999983</v>
      </c>
      <c r="H103" s="15">
        <f t="shared" si="20"/>
        <v>7450.6719999999968</v>
      </c>
      <c r="I103" s="15">
        <f t="shared" si="21"/>
        <v>2613.3280000000032</v>
      </c>
      <c r="J103" s="33">
        <f t="shared" si="22"/>
        <v>0.3507506437003271</v>
      </c>
      <c r="K103" s="15">
        <f t="shared" si="23"/>
        <v>10064</v>
      </c>
      <c r="L103" s="15">
        <f t="shared" si="9"/>
        <v>312.48400000000038</v>
      </c>
      <c r="M103" s="15"/>
      <c r="N103" s="15"/>
      <c r="O103" s="15"/>
      <c r="P103" s="17"/>
      <c r="Q103" s="31">
        <f t="shared" si="10"/>
        <v>2508.4840000000004</v>
      </c>
      <c r="R103" s="34">
        <f t="shared" si="17"/>
        <v>7.516</v>
      </c>
      <c r="S103" s="15"/>
      <c r="T103" s="273"/>
      <c r="U103" s="273"/>
      <c r="V103" s="22"/>
      <c r="W103" s="272"/>
      <c r="X103" s="272"/>
      <c r="Y103" s="272"/>
      <c r="Z103" s="274"/>
      <c r="AA103" s="22"/>
      <c r="AB103" s="275"/>
      <c r="AC103" s="40"/>
      <c r="AD103" s="40"/>
    </row>
    <row r="104" spans="1:30" s="1" customFormat="1" x14ac:dyDescent="0.25">
      <c r="A104" s="131">
        <v>43313</v>
      </c>
      <c r="B104" s="18" t="s">
        <v>226</v>
      </c>
      <c r="C104" s="15" t="s">
        <v>63</v>
      </c>
      <c r="D104" s="16">
        <v>500</v>
      </c>
      <c r="E104" s="22">
        <v>5.97</v>
      </c>
      <c r="F104" s="16">
        <f t="shared" si="18"/>
        <v>2100</v>
      </c>
      <c r="G104" s="17">
        <f t="shared" si="19"/>
        <v>4.9717485714285701</v>
      </c>
      <c r="H104" s="15">
        <f t="shared" si="20"/>
        <v>10440.671999999997</v>
      </c>
      <c r="I104" s="15">
        <f t="shared" si="21"/>
        <v>2096.3280000000032</v>
      </c>
      <c r="J104" s="33">
        <f t="shared" si="22"/>
        <v>0.20078477707182094</v>
      </c>
      <c r="K104" s="15">
        <f t="shared" si="23"/>
        <v>12537</v>
      </c>
      <c r="L104" s="15">
        <f t="shared" si="9"/>
        <v>-517</v>
      </c>
      <c r="M104" s="15"/>
      <c r="N104" s="15"/>
      <c r="O104" s="15"/>
      <c r="P104" s="17"/>
      <c r="Q104" s="31">
        <f t="shared" si="10"/>
        <v>-2990</v>
      </c>
      <c r="R104" s="34">
        <f t="shared" si="17"/>
        <v>5</v>
      </c>
      <c r="S104" s="15"/>
      <c r="T104" s="273"/>
      <c r="U104" s="273"/>
      <c r="V104" s="22"/>
      <c r="W104" s="272"/>
      <c r="X104" s="272"/>
      <c r="Y104" s="272"/>
      <c r="Z104" s="274"/>
      <c r="AA104" s="22"/>
      <c r="AB104" s="275"/>
      <c r="AC104" s="40"/>
      <c r="AD104" s="40"/>
    </row>
    <row r="105" spans="1:30" s="1" customFormat="1" x14ac:dyDescent="0.25">
      <c r="A105" s="131">
        <v>43339</v>
      </c>
      <c r="B105" s="18"/>
      <c r="C105" s="15" t="s">
        <v>69</v>
      </c>
      <c r="D105" s="16">
        <v>400</v>
      </c>
      <c r="E105" s="22">
        <v>6.03</v>
      </c>
      <c r="F105" s="16">
        <f t="shared" si="18"/>
        <v>1700</v>
      </c>
      <c r="G105" s="17">
        <f t="shared" si="19"/>
        <v>4.7271082352941161</v>
      </c>
      <c r="H105" s="15">
        <f t="shared" si="20"/>
        <v>8036.0839999999971</v>
      </c>
      <c r="I105" s="15">
        <f t="shared" si="21"/>
        <v>2214.9160000000029</v>
      </c>
      <c r="J105" s="33">
        <f t="shared" si="22"/>
        <v>0.2756213100808807</v>
      </c>
      <c r="K105" s="15">
        <f t="shared" si="23"/>
        <v>10251</v>
      </c>
      <c r="L105" s="15">
        <f t="shared" si="9"/>
        <v>118.58799999999974</v>
      </c>
      <c r="M105" s="15"/>
      <c r="N105" s="15"/>
      <c r="O105" s="15"/>
      <c r="P105" s="17"/>
      <c r="Q105" s="31">
        <f t="shared" si="10"/>
        <v>2404.5879999999997</v>
      </c>
      <c r="R105" s="34">
        <f t="shared" si="17"/>
        <v>7.4119999999999999</v>
      </c>
      <c r="S105" s="15"/>
      <c r="T105" s="273"/>
      <c r="U105" s="273"/>
      <c r="V105" s="22"/>
      <c r="W105" s="272"/>
      <c r="X105" s="272"/>
      <c r="Y105" s="272"/>
      <c r="Z105" s="274"/>
      <c r="AA105" s="22"/>
      <c r="AB105" s="275"/>
      <c r="AC105" s="40"/>
      <c r="AD105" s="40"/>
    </row>
    <row r="106" spans="1:30" s="1" customFormat="1" x14ac:dyDescent="0.25">
      <c r="A106" s="131">
        <v>43347</v>
      </c>
      <c r="B106" s="18"/>
      <c r="C106" s="22" t="s">
        <v>69</v>
      </c>
      <c r="D106" s="132">
        <v>400</v>
      </c>
      <c r="E106" s="22">
        <v>6.07</v>
      </c>
      <c r="F106" s="16">
        <f t="shared" si="18"/>
        <v>1300</v>
      </c>
      <c r="G106" s="17">
        <f t="shared" si="19"/>
        <v>4.3196246153846127</v>
      </c>
      <c r="H106" s="15">
        <f t="shared" si="20"/>
        <v>5615.511999999997</v>
      </c>
      <c r="I106" s="15">
        <f t="shared" si="21"/>
        <v>2275.488000000003</v>
      </c>
      <c r="J106" s="33">
        <f t="shared" si="22"/>
        <v>0.40521469814328687</v>
      </c>
      <c r="K106" s="15">
        <f t="shared" si="23"/>
        <v>7891</v>
      </c>
      <c r="L106" s="15">
        <f t="shared" si="9"/>
        <v>60.572000000000116</v>
      </c>
      <c r="M106" s="15"/>
      <c r="N106" s="15"/>
      <c r="O106" s="15"/>
      <c r="P106" s="17"/>
      <c r="Q106" s="31">
        <f t="shared" si="10"/>
        <v>2420.5720000000001</v>
      </c>
      <c r="R106" s="34">
        <f t="shared" si="17"/>
        <v>7.4279999999999999</v>
      </c>
      <c r="S106" s="15"/>
      <c r="T106" s="273"/>
      <c r="U106" s="273"/>
      <c r="V106" s="22"/>
      <c r="W106" s="272"/>
      <c r="X106" s="272"/>
      <c r="Y106" s="272"/>
      <c r="Z106" s="274"/>
      <c r="AA106" s="22"/>
      <c r="AB106" s="275"/>
      <c r="AC106" s="40"/>
      <c r="AD106" s="40"/>
    </row>
    <row r="107" spans="1:30" s="1" customFormat="1" x14ac:dyDescent="0.25">
      <c r="A107" s="131">
        <v>43521</v>
      </c>
      <c r="B107" s="18"/>
      <c r="C107" s="22" t="s">
        <v>69</v>
      </c>
      <c r="D107" s="132">
        <v>400</v>
      </c>
      <c r="E107" s="22">
        <v>6.43</v>
      </c>
      <c r="F107" s="16">
        <f t="shared" si="18"/>
        <v>900</v>
      </c>
      <c r="G107" s="17">
        <f t="shared" si="19"/>
        <v>3.3900933333333301</v>
      </c>
      <c r="H107" s="15">
        <f t="shared" si="20"/>
        <v>3051.0839999999971</v>
      </c>
      <c r="I107" s="15">
        <f t="shared" si="21"/>
        <v>2735.9160000000029</v>
      </c>
      <c r="J107" s="33">
        <f t="shared" si="22"/>
        <v>0.89670294229854219</v>
      </c>
      <c r="K107" s="15">
        <f t="shared" si="23"/>
        <v>5787</v>
      </c>
      <c r="L107" s="15">
        <f t="shared" si="9"/>
        <v>460.42799999999988</v>
      </c>
      <c r="M107" s="15"/>
      <c r="N107" s="15"/>
      <c r="O107" s="15"/>
      <c r="P107" s="17"/>
      <c r="Q107" s="31">
        <f t="shared" si="10"/>
        <v>2564.4279999999999</v>
      </c>
      <c r="R107" s="34">
        <f t="shared" si="17"/>
        <v>7.5720000000000001</v>
      </c>
      <c r="S107" s="15"/>
      <c r="T107" s="273"/>
      <c r="U107" s="273"/>
      <c r="V107" s="22"/>
      <c r="W107" s="272"/>
      <c r="X107" s="272"/>
      <c r="Y107" s="272"/>
      <c r="Z107" s="274"/>
      <c r="AA107" s="22"/>
      <c r="AB107" s="275"/>
      <c r="AC107" s="40"/>
      <c r="AD107" s="40"/>
    </row>
    <row r="108" spans="1:30" s="1" customFormat="1" x14ac:dyDescent="0.25">
      <c r="A108" s="131">
        <v>43524</v>
      </c>
      <c r="B108" s="18"/>
      <c r="C108" s="22" t="s">
        <v>69</v>
      </c>
      <c r="D108" s="132">
        <v>400</v>
      </c>
      <c r="E108" s="22">
        <v>6.56</v>
      </c>
      <c r="F108" s="16">
        <f t="shared" si="18"/>
        <v>500</v>
      </c>
      <c r="G108" s="17">
        <f t="shared" si="19"/>
        <v>0.8694159999999943</v>
      </c>
      <c r="H108" s="15">
        <f t="shared" si="20"/>
        <v>434.70799999999713</v>
      </c>
      <c r="I108" s="15">
        <f t="shared" si="21"/>
        <v>2845.2920000000031</v>
      </c>
      <c r="J108" s="33">
        <f t="shared" si="22"/>
        <v>6.5452947725830244</v>
      </c>
      <c r="K108" s="15">
        <f t="shared" si="23"/>
        <v>3280</v>
      </c>
      <c r="L108" s="15">
        <f t="shared" si="9"/>
        <v>109.3760000000002</v>
      </c>
      <c r="M108" s="15"/>
      <c r="N108" s="15"/>
      <c r="O108" s="15"/>
      <c r="P108" s="17"/>
      <c r="Q108" s="31">
        <f t="shared" si="10"/>
        <v>2616.3760000000002</v>
      </c>
      <c r="R108" s="34">
        <f t="shared" si="17"/>
        <v>7.6239999999999997</v>
      </c>
      <c r="S108" s="15"/>
      <c r="T108" s="273"/>
      <c r="U108" s="273"/>
      <c r="V108" s="22"/>
      <c r="W108" s="272"/>
      <c r="X108" s="272"/>
      <c r="Y108" s="272"/>
      <c r="Z108" s="274"/>
      <c r="AA108" s="22"/>
      <c r="AB108" s="275"/>
      <c r="AC108" s="40"/>
      <c r="AD108" s="40"/>
    </row>
    <row r="109" spans="1:30" s="1" customFormat="1" x14ac:dyDescent="0.25">
      <c r="A109" s="131">
        <v>43524</v>
      </c>
      <c r="B109" s="18"/>
      <c r="C109" s="22" t="s">
        <v>69</v>
      </c>
      <c r="D109" s="132">
        <v>400</v>
      </c>
      <c r="E109" s="22">
        <v>6.65</v>
      </c>
      <c r="F109" s="16">
        <f t="shared" si="18"/>
        <v>100</v>
      </c>
      <c r="G109" s="17">
        <f t="shared" si="19"/>
        <v>-22.176320000000032</v>
      </c>
      <c r="H109" s="15">
        <f t="shared" si="20"/>
        <v>-2217.6320000000032</v>
      </c>
      <c r="I109" s="15">
        <f t="shared" si="21"/>
        <v>2882.6320000000032</v>
      </c>
      <c r="J109" s="33">
        <f t="shared" si="22"/>
        <v>-1.2998694102538197</v>
      </c>
      <c r="K109" s="15">
        <f t="shared" si="23"/>
        <v>665</v>
      </c>
      <c r="L109" s="15">
        <f t="shared" si="9"/>
        <v>37.340000000000146</v>
      </c>
      <c r="M109" s="15"/>
      <c r="N109" s="15"/>
      <c r="O109" s="15"/>
      <c r="P109" s="17"/>
      <c r="Q109" s="31">
        <f t="shared" si="10"/>
        <v>2652.34</v>
      </c>
      <c r="R109" s="34">
        <f t="shared" si="17"/>
        <v>7.66</v>
      </c>
      <c r="S109" s="15"/>
      <c r="T109" s="273"/>
      <c r="U109" s="273"/>
      <c r="V109" s="22"/>
      <c r="W109" s="272"/>
      <c r="X109" s="272"/>
      <c r="Y109" s="272"/>
      <c r="Z109" s="274"/>
      <c r="AA109" s="22"/>
      <c r="AB109" s="275"/>
      <c r="AC109" s="40"/>
      <c r="AD109" s="40"/>
    </row>
    <row r="110" spans="1:30" s="1" customFormat="1" x14ac:dyDescent="0.25">
      <c r="A110" s="131">
        <v>43532</v>
      </c>
      <c r="B110" s="283" t="s">
        <v>1011</v>
      </c>
      <c r="C110" s="282" t="s">
        <v>922</v>
      </c>
      <c r="D110" s="132">
        <v>500</v>
      </c>
      <c r="E110" s="22">
        <v>6.37</v>
      </c>
      <c r="F110" s="16">
        <f t="shared" si="18"/>
        <v>600</v>
      </c>
      <c r="G110" s="17">
        <f t="shared" si="19"/>
        <v>1.6206133333333279</v>
      </c>
      <c r="H110" s="15">
        <f t="shared" si="20"/>
        <v>972.36799999999675</v>
      </c>
      <c r="I110" s="15">
        <f t="shared" si="21"/>
        <v>2849.6320000000032</v>
      </c>
      <c r="J110" s="33">
        <f t="shared" si="22"/>
        <v>2.9306106330113835</v>
      </c>
      <c r="K110" s="15">
        <f t="shared" si="23"/>
        <v>3822</v>
      </c>
      <c r="L110" s="15">
        <f t="shared" si="9"/>
        <v>-33</v>
      </c>
      <c r="M110" s="15"/>
      <c r="N110" s="15"/>
      <c r="O110" s="15"/>
      <c r="P110" s="17"/>
      <c r="Q110" s="31">
        <f t="shared" si="10"/>
        <v>-3190</v>
      </c>
      <c r="R110" s="34">
        <f t="shared" si="17"/>
        <v>5</v>
      </c>
      <c r="S110" s="22"/>
      <c r="T110" s="273"/>
      <c r="U110" s="273"/>
      <c r="V110" s="22"/>
      <c r="W110" s="272"/>
      <c r="X110" s="272"/>
      <c r="Y110" s="272"/>
      <c r="Z110" s="274"/>
      <c r="AA110" s="22"/>
      <c r="AB110" s="275"/>
      <c r="AC110" s="40"/>
      <c r="AD110" s="40"/>
    </row>
    <row r="111" spans="1:30" s="1" customFormat="1" x14ac:dyDescent="0.25">
      <c r="A111" s="131">
        <v>43549</v>
      </c>
      <c r="B111" s="283" t="s">
        <v>1012</v>
      </c>
      <c r="C111" s="282" t="s">
        <v>922</v>
      </c>
      <c r="D111" s="132">
        <v>500</v>
      </c>
      <c r="E111" s="22">
        <v>6.24</v>
      </c>
      <c r="F111" s="16">
        <f t="shared" si="18"/>
        <v>1100</v>
      </c>
      <c r="G111" s="17">
        <f t="shared" si="19"/>
        <v>3.7248799999999971</v>
      </c>
      <c r="H111" s="15">
        <f t="shared" si="20"/>
        <v>4097.3679999999968</v>
      </c>
      <c r="I111" s="15">
        <f t="shared" si="21"/>
        <v>2766.6320000000032</v>
      </c>
      <c r="J111" s="33">
        <f t="shared" si="22"/>
        <v>0.67522175211013646</v>
      </c>
      <c r="K111" s="15">
        <f t="shared" si="23"/>
        <v>6864</v>
      </c>
      <c r="L111" s="15">
        <f t="shared" si="9"/>
        <v>-83</v>
      </c>
      <c r="M111" s="15"/>
      <c r="N111" s="15"/>
      <c r="O111" s="15"/>
      <c r="P111" s="17"/>
      <c r="Q111" s="31">
        <f t="shared" si="10"/>
        <v>-3125</v>
      </c>
      <c r="R111" s="34">
        <f t="shared" si="17"/>
        <v>5</v>
      </c>
      <c r="S111" s="22"/>
      <c r="T111" s="273"/>
      <c r="U111" s="273"/>
      <c r="V111" s="22"/>
      <c r="W111" s="272"/>
      <c r="X111" s="272"/>
      <c r="Y111" s="272"/>
      <c r="Z111" s="274"/>
      <c r="AA111" s="22"/>
      <c r="AB111" s="275"/>
      <c r="AC111" s="40"/>
      <c r="AD111" s="40"/>
    </row>
    <row r="112" spans="1:30" s="1" customFormat="1" x14ac:dyDescent="0.25">
      <c r="A112" s="131">
        <v>43556</v>
      </c>
      <c r="B112" s="283"/>
      <c r="C112" s="282" t="s">
        <v>926</v>
      </c>
      <c r="D112" s="132">
        <v>400</v>
      </c>
      <c r="E112" s="22">
        <v>6.41</v>
      </c>
      <c r="F112" s="16">
        <f t="shared" si="18"/>
        <v>700</v>
      </c>
      <c r="G112" s="17">
        <f t="shared" si="19"/>
        <v>2.2013314285714238</v>
      </c>
      <c r="H112" s="15">
        <f t="shared" si="20"/>
        <v>1540.9319999999968</v>
      </c>
      <c r="I112" s="15">
        <f t="shared" si="21"/>
        <v>2946.0680000000029</v>
      </c>
      <c r="J112" s="33">
        <f t="shared" si="22"/>
        <v>1.9118741125500736</v>
      </c>
      <c r="K112" s="15">
        <f t="shared" si="23"/>
        <v>4487</v>
      </c>
      <c r="L112" s="15">
        <f t="shared" si="9"/>
        <v>179.43599999999969</v>
      </c>
      <c r="M112" s="15"/>
      <c r="N112" s="15"/>
      <c r="O112" s="15"/>
      <c r="P112" s="17"/>
      <c r="Q112" s="31">
        <f t="shared" si="10"/>
        <v>2556.4359999999997</v>
      </c>
      <c r="R112" s="34">
        <f t="shared" si="17"/>
        <v>7.5640000000000001</v>
      </c>
      <c r="S112" s="22"/>
      <c r="T112" s="273"/>
      <c r="U112" s="273"/>
      <c r="V112" s="22"/>
      <c r="W112" s="272"/>
      <c r="X112" s="272"/>
      <c r="Y112" s="272"/>
      <c r="Z112" s="274"/>
      <c r="AA112" s="22"/>
      <c r="AB112" s="275"/>
      <c r="AC112" s="40"/>
      <c r="AD112" s="40"/>
    </row>
    <row r="113" spans="1:30" s="1" customFormat="1" x14ac:dyDescent="0.25">
      <c r="A113" s="131">
        <v>43563</v>
      </c>
      <c r="B113" s="283"/>
      <c r="C113" s="282" t="s">
        <v>926</v>
      </c>
      <c r="D113" s="132">
        <v>400</v>
      </c>
      <c r="E113" s="22">
        <v>6.57</v>
      </c>
      <c r="F113" s="16">
        <f t="shared" si="18"/>
        <v>300</v>
      </c>
      <c r="G113" s="17">
        <f t="shared" si="19"/>
        <v>-3.5981333333333443</v>
      </c>
      <c r="H113" s="15">
        <f t="shared" si="20"/>
        <v>-1079.4400000000032</v>
      </c>
      <c r="I113" s="15">
        <f t="shared" si="21"/>
        <v>3050.4400000000032</v>
      </c>
      <c r="J113" s="33">
        <f t="shared" si="22"/>
        <v>-2.8259467872229989</v>
      </c>
      <c r="K113" s="15">
        <f t="shared" si="23"/>
        <v>1971</v>
      </c>
      <c r="L113" s="15">
        <f t="shared" si="9"/>
        <v>104.3720000000003</v>
      </c>
      <c r="M113" s="15"/>
      <c r="N113" s="15"/>
      <c r="O113" s="15"/>
      <c r="P113" s="17"/>
      <c r="Q113" s="31">
        <f t="shared" si="10"/>
        <v>2620.3720000000003</v>
      </c>
      <c r="R113" s="34">
        <f t="shared" si="17"/>
        <v>7.6280000000000001</v>
      </c>
      <c r="S113" s="22"/>
      <c r="T113" s="273"/>
      <c r="U113" s="273"/>
      <c r="V113" s="22"/>
      <c r="W113" s="272"/>
      <c r="X113" s="272"/>
      <c r="Y113" s="272"/>
      <c r="Z113" s="274"/>
      <c r="AA113" s="22"/>
      <c r="AB113" s="275"/>
      <c r="AC113" s="40"/>
      <c r="AD113" s="40"/>
    </row>
    <row r="114" spans="1:30" s="1" customFormat="1" x14ac:dyDescent="0.25">
      <c r="A114" s="131">
        <v>43565</v>
      </c>
      <c r="B114" s="283" t="s">
        <v>1013</v>
      </c>
      <c r="C114" s="282" t="s">
        <v>922</v>
      </c>
      <c r="D114" s="132">
        <v>500</v>
      </c>
      <c r="E114" s="22">
        <v>6.4</v>
      </c>
      <c r="F114" s="16">
        <f t="shared" si="18"/>
        <v>800</v>
      </c>
      <c r="G114" s="17">
        <f t="shared" si="19"/>
        <v>2.6569499999999961</v>
      </c>
      <c r="H114" s="15">
        <f t="shared" si="20"/>
        <v>2125.5599999999968</v>
      </c>
      <c r="I114" s="15">
        <f t="shared" si="21"/>
        <v>2994.4400000000032</v>
      </c>
      <c r="J114" s="33">
        <f t="shared" si="22"/>
        <v>1.4087769811249777</v>
      </c>
      <c r="K114" s="15">
        <f t="shared" si="23"/>
        <v>5120</v>
      </c>
      <c r="L114" s="15">
        <f t="shared" si="9"/>
        <v>-56</v>
      </c>
      <c r="M114" s="15"/>
      <c r="N114" s="15"/>
      <c r="O114" s="15"/>
      <c r="P114" s="17"/>
      <c r="Q114" s="31">
        <f t="shared" si="10"/>
        <v>-3205</v>
      </c>
      <c r="R114" s="34">
        <f t="shared" si="17"/>
        <v>5</v>
      </c>
      <c r="S114" s="22"/>
      <c r="T114" s="273"/>
      <c r="U114" s="273"/>
      <c r="V114" s="22"/>
      <c r="W114" s="272"/>
      <c r="X114" s="272"/>
      <c r="Y114" s="272"/>
      <c r="Z114" s="274"/>
      <c r="AA114" s="22"/>
      <c r="AB114" s="275"/>
      <c r="AC114" s="40"/>
      <c r="AD114" s="40"/>
    </row>
    <row r="115" spans="1:30" s="1" customFormat="1" x14ac:dyDescent="0.25">
      <c r="A115" s="131">
        <v>43571</v>
      </c>
      <c r="B115" s="283"/>
      <c r="C115" s="282" t="s">
        <v>926</v>
      </c>
      <c r="D115" s="132">
        <v>400</v>
      </c>
      <c r="E115" s="22">
        <v>6.58</v>
      </c>
      <c r="F115" s="16">
        <f t="shared" si="18"/>
        <v>400</v>
      </c>
      <c r="G115" s="17">
        <f t="shared" si="19"/>
        <v>-1.247020000000008</v>
      </c>
      <c r="H115" s="15">
        <f t="shared" si="20"/>
        <v>-498.80800000000323</v>
      </c>
      <c r="I115" s="15">
        <f t="shared" si="21"/>
        <v>3130.8080000000032</v>
      </c>
      <c r="J115" s="33">
        <f t="shared" si="22"/>
        <v>-6.2765793652066186</v>
      </c>
      <c r="K115" s="15">
        <f t="shared" si="23"/>
        <v>2632</v>
      </c>
      <c r="L115" s="15">
        <f t="shared" si="9"/>
        <v>136.36799999999994</v>
      </c>
      <c r="M115" s="15"/>
      <c r="N115" s="15"/>
      <c r="O115" s="15"/>
      <c r="P115" s="17"/>
      <c r="Q115" s="31">
        <f t="shared" si="10"/>
        <v>2624.3679999999999</v>
      </c>
      <c r="R115" s="34">
        <f t="shared" si="17"/>
        <v>7.6319999999999997</v>
      </c>
      <c r="S115" s="22"/>
      <c r="T115" s="273"/>
      <c r="U115" s="273"/>
      <c r="V115" s="22"/>
      <c r="W115" s="272"/>
      <c r="X115" s="272"/>
      <c r="Y115" s="272"/>
      <c r="Z115" s="274"/>
      <c r="AA115" s="22"/>
      <c r="AB115" s="275"/>
      <c r="AC115" s="40"/>
      <c r="AD115" s="40"/>
    </row>
    <row r="116" spans="1:30" s="1" customFormat="1" x14ac:dyDescent="0.25">
      <c r="A116" s="131">
        <v>43578</v>
      </c>
      <c r="B116" s="283" t="s">
        <v>1014</v>
      </c>
      <c r="C116" s="282" t="s">
        <v>922</v>
      </c>
      <c r="D116" s="132">
        <v>500</v>
      </c>
      <c r="E116" s="22">
        <v>6.35</v>
      </c>
      <c r="F116" s="16">
        <f t="shared" si="18"/>
        <v>900</v>
      </c>
      <c r="G116" s="17">
        <f t="shared" si="19"/>
        <v>2.9791022222222185</v>
      </c>
      <c r="H116" s="15">
        <f t="shared" si="20"/>
        <v>2681.1919999999968</v>
      </c>
      <c r="I116" s="15">
        <f t="shared" si="21"/>
        <v>3033.8080000000032</v>
      </c>
      <c r="J116" s="33">
        <f t="shared" si="22"/>
        <v>1.1315146397572449</v>
      </c>
      <c r="K116" s="15">
        <f t="shared" si="23"/>
        <v>5715</v>
      </c>
      <c r="L116" s="15">
        <f t="shared" si="9"/>
        <v>-97</v>
      </c>
      <c r="M116" s="15"/>
      <c r="N116" s="15"/>
      <c r="O116" s="15"/>
      <c r="P116" s="17"/>
      <c r="Q116" s="31">
        <f t="shared" si="10"/>
        <v>-3180</v>
      </c>
      <c r="R116" s="34">
        <f t="shared" si="17"/>
        <v>5</v>
      </c>
      <c r="S116" s="22"/>
      <c r="T116" s="273"/>
      <c r="U116" s="273"/>
      <c r="V116" s="22"/>
      <c r="W116" s="272"/>
      <c r="X116" s="272"/>
      <c r="Y116" s="272"/>
      <c r="Z116" s="274"/>
      <c r="AA116" s="22"/>
      <c r="AB116" s="275"/>
      <c r="AC116" s="40"/>
      <c r="AD116" s="40"/>
    </row>
    <row r="117" spans="1:30" s="1" customFormat="1" x14ac:dyDescent="0.25">
      <c r="A117" s="131">
        <v>43579</v>
      </c>
      <c r="B117" s="283" t="s">
        <v>1015</v>
      </c>
      <c r="C117" s="282" t="s">
        <v>922</v>
      </c>
      <c r="D117" s="132">
        <v>1500</v>
      </c>
      <c r="E117" s="22">
        <v>6.33</v>
      </c>
      <c r="F117" s="16">
        <f t="shared" si="18"/>
        <v>2400</v>
      </c>
      <c r="G117" s="17">
        <f t="shared" si="19"/>
        <v>5.0754966666666652</v>
      </c>
      <c r="H117" s="15">
        <f t="shared" si="20"/>
        <v>12181.191999999997</v>
      </c>
      <c r="I117" s="15">
        <f t="shared" si="21"/>
        <v>3010.8080000000027</v>
      </c>
      <c r="J117" s="33">
        <f t="shared" si="22"/>
        <v>0.24716858580014209</v>
      </c>
      <c r="K117" s="15">
        <f t="shared" si="23"/>
        <v>15192</v>
      </c>
      <c r="L117" s="15">
        <f t="shared" si="9"/>
        <v>-23.000000000000455</v>
      </c>
      <c r="M117" s="15"/>
      <c r="N117" s="15"/>
      <c r="O117" s="15"/>
      <c r="P117" s="17"/>
      <c r="Q117" s="31">
        <f t="shared" si="10"/>
        <v>-9500</v>
      </c>
      <c r="R117" s="34">
        <f t="shared" si="17"/>
        <v>5</v>
      </c>
      <c r="S117" s="22"/>
      <c r="T117" s="273"/>
      <c r="U117" s="273"/>
      <c r="V117" s="22"/>
      <c r="W117" s="272"/>
      <c r="X117" s="272"/>
      <c r="Y117" s="272"/>
      <c r="Z117" s="274"/>
      <c r="AA117" s="22"/>
      <c r="AB117" s="275"/>
      <c r="AC117" s="40"/>
      <c r="AD117" s="40"/>
    </row>
    <row r="118" spans="1:30" s="1" customFormat="1" x14ac:dyDescent="0.25">
      <c r="A118" s="131">
        <v>43593</v>
      </c>
      <c r="B118" s="283" t="s">
        <v>1016</v>
      </c>
      <c r="C118" s="282" t="s">
        <v>922</v>
      </c>
      <c r="D118" s="132">
        <v>500</v>
      </c>
      <c r="E118" s="22">
        <v>6.03</v>
      </c>
      <c r="F118" s="16">
        <f t="shared" si="18"/>
        <v>2900</v>
      </c>
      <c r="G118" s="17">
        <f t="shared" si="19"/>
        <v>5.2417903448275851</v>
      </c>
      <c r="H118" s="15">
        <f t="shared" si="20"/>
        <v>15201.191999999997</v>
      </c>
      <c r="I118" s="15">
        <f t="shared" si="21"/>
        <v>2285.8080000000027</v>
      </c>
      <c r="J118" s="33">
        <f t="shared" si="22"/>
        <v>0.1503703130649231</v>
      </c>
      <c r="K118" s="15">
        <f t="shared" si="23"/>
        <v>17487</v>
      </c>
      <c r="L118" s="15">
        <f t="shared" si="9"/>
        <v>-725</v>
      </c>
      <c r="M118" s="15"/>
      <c r="N118" s="15"/>
      <c r="O118" s="15"/>
      <c r="P118" s="17"/>
      <c r="Q118" s="31">
        <f t="shared" si="10"/>
        <v>-3020</v>
      </c>
      <c r="R118" s="34">
        <f t="shared" si="17"/>
        <v>5</v>
      </c>
      <c r="S118" s="22"/>
      <c r="T118" s="273"/>
      <c r="U118" s="273"/>
      <c r="V118" s="22"/>
      <c r="W118" s="272"/>
      <c r="X118" s="272"/>
      <c r="Y118" s="272"/>
      <c r="Z118" s="274"/>
      <c r="AA118" s="22"/>
      <c r="AB118" s="275"/>
      <c r="AC118" s="40"/>
      <c r="AD118" s="40"/>
    </row>
    <row r="119" spans="1:30" s="1" customFormat="1" x14ac:dyDescent="0.25">
      <c r="A119" s="131">
        <v>43599</v>
      </c>
      <c r="B119" s="283" t="s">
        <v>1017</v>
      </c>
      <c r="C119" s="282" t="s">
        <v>922</v>
      </c>
      <c r="D119" s="132">
        <v>500</v>
      </c>
      <c r="E119" s="22">
        <v>5.85</v>
      </c>
      <c r="F119" s="16">
        <f t="shared" si="18"/>
        <v>3400</v>
      </c>
      <c r="G119" s="17">
        <f t="shared" si="19"/>
        <v>5.3327035294117637</v>
      </c>
      <c r="H119" s="15">
        <f t="shared" si="20"/>
        <v>18131.191999999995</v>
      </c>
      <c r="I119" s="15">
        <f t="shared" si="21"/>
        <v>1758.8080000000045</v>
      </c>
      <c r="J119" s="33">
        <f t="shared" si="22"/>
        <v>9.7004543330631673E-2</v>
      </c>
      <c r="K119" s="15">
        <f t="shared" si="23"/>
        <v>19890</v>
      </c>
      <c r="L119" s="15">
        <f t="shared" si="9"/>
        <v>-526.99999999999818</v>
      </c>
      <c r="M119" s="15"/>
      <c r="N119" s="15"/>
      <c r="O119" s="15"/>
      <c r="P119" s="17"/>
      <c r="Q119" s="31">
        <f t="shared" si="10"/>
        <v>-2929.9999999999982</v>
      </c>
      <c r="R119" s="34">
        <f t="shared" si="17"/>
        <v>5</v>
      </c>
      <c r="S119" s="22"/>
      <c r="T119" s="273"/>
      <c r="U119" s="273"/>
      <c r="V119" s="22"/>
      <c r="W119" s="272"/>
      <c r="X119" s="272"/>
      <c r="Y119" s="272"/>
      <c r="Z119" s="274"/>
      <c r="AA119" s="22"/>
      <c r="AB119" s="275"/>
      <c r="AC119" s="40"/>
      <c r="AD119" s="40"/>
    </row>
    <row r="120" spans="1:30" s="1" customFormat="1" x14ac:dyDescent="0.25">
      <c r="A120" s="131">
        <v>43636</v>
      </c>
      <c r="B120" s="283"/>
      <c r="C120" s="282" t="s">
        <v>926</v>
      </c>
      <c r="D120" s="132">
        <v>400</v>
      </c>
      <c r="E120" s="22">
        <v>6.06</v>
      </c>
      <c r="F120" s="16">
        <f t="shared" si="18"/>
        <v>3000</v>
      </c>
      <c r="G120" s="17">
        <f t="shared" si="19"/>
        <v>5.2382053333333323</v>
      </c>
      <c r="H120" s="15">
        <f t="shared" si="20"/>
        <v>15714.615999999996</v>
      </c>
      <c r="I120" s="15">
        <f t="shared" si="21"/>
        <v>2465.3840000000037</v>
      </c>
      <c r="J120" s="33">
        <f t="shared" si="22"/>
        <v>0.15688477529454123</v>
      </c>
      <c r="K120" s="15">
        <f t="shared" si="23"/>
        <v>18180</v>
      </c>
      <c r="L120" s="15">
        <f t="shared" si="9"/>
        <v>706.57599999999911</v>
      </c>
      <c r="M120" s="15"/>
      <c r="N120" s="15"/>
      <c r="O120" s="15"/>
      <c r="P120" s="17"/>
      <c r="Q120" s="31">
        <f t="shared" si="10"/>
        <v>2416.5759999999991</v>
      </c>
      <c r="R120" s="34">
        <f t="shared" si="17"/>
        <v>7.4239999999999995</v>
      </c>
      <c r="S120" s="22"/>
      <c r="T120" s="273"/>
      <c r="U120" s="273"/>
      <c r="V120" s="22"/>
      <c r="W120" s="272"/>
      <c r="X120" s="272"/>
      <c r="Y120" s="272"/>
      <c r="Z120" s="274"/>
      <c r="AA120" s="22"/>
      <c r="AB120" s="275"/>
      <c r="AC120" s="40"/>
      <c r="AD120" s="40"/>
    </row>
    <row r="121" spans="1:30" s="1" customFormat="1" x14ac:dyDescent="0.25">
      <c r="A121" s="131">
        <v>43665</v>
      </c>
      <c r="B121" s="283" t="s">
        <v>1018</v>
      </c>
      <c r="C121" s="282" t="s">
        <v>922</v>
      </c>
      <c r="D121" s="132">
        <v>500</v>
      </c>
      <c r="E121" s="22">
        <v>5.93</v>
      </c>
      <c r="F121" s="16">
        <f t="shared" si="18"/>
        <v>3500</v>
      </c>
      <c r="G121" s="17">
        <f t="shared" si="19"/>
        <v>5.1084617142857125</v>
      </c>
      <c r="H121" s="15">
        <f t="shared" si="20"/>
        <v>17879.615999999995</v>
      </c>
      <c r="I121" s="15">
        <f t="shared" si="21"/>
        <v>2875.3840000000055</v>
      </c>
      <c r="J121" s="33">
        <f t="shared" si="22"/>
        <v>0.16081911378857389</v>
      </c>
      <c r="K121" s="15">
        <f t="shared" si="23"/>
        <v>20755</v>
      </c>
      <c r="L121" s="15">
        <f t="shared" si="9"/>
        <v>410.00000000000182</v>
      </c>
      <c r="M121" s="15"/>
      <c r="N121" s="15"/>
      <c r="O121" s="15"/>
      <c r="P121" s="17"/>
      <c r="Q121" s="31">
        <f t="shared" si="10"/>
        <v>-2164.9999999999982</v>
      </c>
      <c r="R121" s="34">
        <f t="shared" si="17"/>
        <v>5</v>
      </c>
      <c r="S121" s="22">
        <v>-805</v>
      </c>
      <c r="T121" s="273"/>
      <c r="U121" s="273"/>
      <c r="V121" s="22"/>
      <c r="W121" s="272"/>
      <c r="X121" s="272"/>
      <c r="Y121" s="272"/>
      <c r="Z121" s="274"/>
      <c r="AA121" s="22"/>
      <c r="AB121" s="275"/>
      <c r="AC121" s="40"/>
      <c r="AD121" s="40"/>
    </row>
    <row r="122" spans="1:30" s="1" customFormat="1" x14ac:dyDescent="0.25">
      <c r="A122" s="131">
        <v>43668</v>
      </c>
      <c r="B122" s="283" t="s">
        <v>1019</v>
      </c>
      <c r="C122" s="282" t="s">
        <v>922</v>
      </c>
      <c r="D122" s="132">
        <v>500</v>
      </c>
      <c r="E122" s="22">
        <v>5.67</v>
      </c>
      <c r="F122" s="16">
        <f t="shared" si="18"/>
        <v>4000</v>
      </c>
      <c r="G122" s="17">
        <f t="shared" si="19"/>
        <v>5.1799039999999987</v>
      </c>
      <c r="H122" s="15">
        <f t="shared" si="20"/>
        <v>20719.615999999995</v>
      </c>
      <c r="I122" s="15">
        <f t="shared" si="21"/>
        <v>1960.3840000000055</v>
      </c>
      <c r="J122" s="33">
        <f t="shared" si="22"/>
        <v>9.4614880893545777E-2</v>
      </c>
      <c r="K122" s="15">
        <f t="shared" si="23"/>
        <v>22680</v>
      </c>
      <c r="L122" s="15">
        <f t="shared" si="9"/>
        <v>-915</v>
      </c>
      <c r="M122" s="15"/>
      <c r="N122" s="15"/>
      <c r="O122" s="15"/>
      <c r="P122" s="17"/>
      <c r="Q122" s="31">
        <f t="shared" si="10"/>
        <v>-2840</v>
      </c>
      <c r="R122" s="34">
        <f t="shared" si="17"/>
        <v>5</v>
      </c>
      <c r="S122" s="22"/>
      <c r="T122" s="273"/>
      <c r="U122" s="273"/>
      <c r="V122" s="22"/>
      <c r="W122" s="272"/>
      <c r="X122" s="272"/>
      <c r="Y122" s="272"/>
      <c r="Z122" s="274"/>
      <c r="AA122" s="22"/>
      <c r="AB122" s="275"/>
      <c r="AC122" s="40"/>
      <c r="AD122" s="40"/>
    </row>
    <row r="123" spans="1:30" s="1" customFormat="1" x14ac:dyDescent="0.25">
      <c r="A123" s="131">
        <v>43669</v>
      </c>
      <c r="B123" s="283"/>
      <c r="C123" s="282" t="s">
        <v>926</v>
      </c>
      <c r="D123" s="132">
        <v>400</v>
      </c>
      <c r="E123" s="22">
        <f>E122+0.15</f>
        <v>5.82</v>
      </c>
      <c r="F123" s="16">
        <f t="shared" si="18"/>
        <v>3600</v>
      </c>
      <c r="G123" s="17">
        <f t="shared" si="19"/>
        <v>5.1108177777777763</v>
      </c>
      <c r="H123" s="15">
        <f t="shared" si="20"/>
        <v>18398.943999999996</v>
      </c>
      <c r="I123" s="15">
        <f t="shared" si="21"/>
        <v>2553.0560000000041</v>
      </c>
      <c r="J123" s="33">
        <f t="shared" si="22"/>
        <v>0.13876100715345441</v>
      </c>
      <c r="K123" s="15">
        <f t="shared" si="23"/>
        <v>20952</v>
      </c>
      <c r="L123" s="15">
        <f t="shared" si="9"/>
        <v>592.67199999999866</v>
      </c>
      <c r="M123" s="15"/>
      <c r="N123" s="15"/>
      <c r="O123" s="15"/>
      <c r="P123" s="17"/>
      <c r="Q123" s="31">
        <f t="shared" si="10"/>
        <v>2320.6719999999987</v>
      </c>
      <c r="R123" s="34">
        <f t="shared" si="17"/>
        <v>7.3280000000000003</v>
      </c>
      <c r="S123" s="22"/>
      <c r="T123" s="273"/>
      <c r="U123" s="273"/>
      <c r="V123" s="22"/>
      <c r="W123" s="272"/>
      <c r="X123" s="272"/>
      <c r="Y123" s="272"/>
      <c r="Z123" s="274"/>
      <c r="AA123" s="22"/>
      <c r="AB123" s="275"/>
      <c r="AC123" s="40"/>
      <c r="AD123" s="40"/>
    </row>
    <row r="124" spans="1:30" s="1" customFormat="1" x14ac:dyDescent="0.25">
      <c r="A124" s="131">
        <v>43747</v>
      </c>
      <c r="B124" s="283"/>
      <c r="C124" s="282" t="s">
        <v>926</v>
      </c>
      <c r="D124" s="132">
        <v>400</v>
      </c>
      <c r="E124" s="22">
        <v>5.92</v>
      </c>
      <c r="F124" s="16">
        <f t="shared" si="18"/>
        <v>3200</v>
      </c>
      <c r="G124" s="17">
        <f t="shared" si="19"/>
        <v>5.0119724999999988</v>
      </c>
      <c r="H124" s="15">
        <f t="shared" si="20"/>
        <v>16038.311999999996</v>
      </c>
      <c r="I124" s="15">
        <f t="shared" si="21"/>
        <v>2905.6880000000037</v>
      </c>
      <c r="J124" s="33">
        <f t="shared" si="22"/>
        <v>0.18117168440170039</v>
      </c>
      <c r="K124" s="15">
        <f t="shared" si="23"/>
        <v>18944</v>
      </c>
      <c r="L124" s="15">
        <f t="shared" si="9"/>
        <v>352.63199999999961</v>
      </c>
      <c r="M124" s="15"/>
      <c r="N124" s="15"/>
      <c r="O124" s="15"/>
      <c r="P124" s="17"/>
      <c r="Q124" s="31">
        <f t="shared" si="10"/>
        <v>2360.6319999999996</v>
      </c>
      <c r="R124" s="34">
        <f t="shared" si="17"/>
        <v>7.3680000000000003</v>
      </c>
      <c r="S124" s="22"/>
      <c r="T124" s="273"/>
      <c r="U124" s="273"/>
      <c r="V124" s="22"/>
      <c r="W124" s="272"/>
      <c r="X124" s="272"/>
      <c r="Y124" s="272"/>
      <c r="Z124" s="274"/>
      <c r="AA124" s="22"/>
      <c r="AB124" s="275"/>
      <c r="AC124" s="40"/>
      <c r="AD124" s="40"/>
    </row>
    <row r="125" spans="1:30" s="1" customFormat="1" x14ac:dyDescent="0.25">
      <c r="A125" s="131">
        <v>43752</v>
      </c>
      <c r="B125" s="283"/>
      <c r="C125" s="282" t="s">
        <v>926</v>
      </c>
      <c r="D125" s="132">
        <v>400</v>
      </c>
      <c r="E125" s="22">
        <v>6.14</v>
      </c>
      <c r="F125" s="16">
        <f t="shared" si="18"/>
        <v>2800</v>
      </c>
      <c r="G125" s="17">
        <f t="shared" si="19"/>
        <v>4.8534885714285698</v>
      </c>
      <c r="H125" s="15">
        <f t="shared" si="20"/>
        <v>13589.767999999996</v>
      </c>
      <c r="I125" s="15">
        <f t="shared" si="21"/>
        <v>3602.2320000000036</v>
      </c>
      <c r="J125" s="33">
        <f t="shared" si="22"/>
        <v>0.26506942576208842</v>
      </c>
      <c r="K125" s="15">
        <f t="shared" si="23"/>
        <v>17192</v>
      </c>
      <c r="L125" s="15">
        <f t="shared" si="9"/>
        <v>696.54399999999987</v>
      </c>
      <c r="M125" s="15"/>
      <c r="N125" s="15"/>
      <c r="O125" s="15"/>
      <c r="P125" s="17"/>
      <c r="Q125" s="31">
        <f t="shared" si="10"/>
        <v>2448.5439999999999</v>
      </c>
      <c r="R125" s="34">
        <f t="shared" si="17"/>
        <v>7.4559999999999995</v>
      </c>
      <c r="S125" s="22"/>
      <c r="T125" s="273"/>
      <c r="U125" s="273"/>
      <c r="V125" s="22"/>
      <c r="W125" s="272"/>
      <c r="X125" s="272"/>
      <c r="Y125" s="272"/>
      <c r="Z125" s="274"/>
      <c r="AA125" s="22"/>
      <c r="AB125" s="275"/>
      <c r="AC125" s="40"/>
      <c r="AD125" s="40"/>
    </row>
    <row r="126" spans="1:30" s="1" customFormat="1" x14ac:dyDescent="0.25">
      <c r="A126" s="131">
        <v>43759</v>
      </c>
      <c r="B126" s="283"/>
      <c r="C126" s="282" t="s">
        <v>926</v>
      </c>
      <c r="D126" s="132">
        <v>400</v>
      </c>
      <c r="E126" s="22">
        <v>6.21</v>
      </c>
      <c r="F126" s="16">
        <f t="shared" si="18"/>
        <v>2400</v>
      </c>
      <c r="G126" s="17">
        <f t="shared" si="19"/>
        <v>4.6305216666666658</v>
      </c>
      <c r="H126" s="15">
        <f t="shared" si="20"/>
        <v>11113.251999999997</v>
      </c>
      <c r="I126" s="15">
        <f t="shared" si="21"/>
        <v>3790.7480000000032</v>
      </c>
      <c r="J126" s="33">
        <f t="shared" si="22"/>
        <v>0.34110159654437811</v>
      </c>
      <c r="K126" s="15">
        <f t="shared" si="23"/>
        <v>14904</v>
      </c>
      <c r="L126" s="15">
        <f t="shared" si="9"/>
        <v>188.51599999999962</v>
      </c>
      <c r="M126" s="15"/>
      <c r="N126" s="15"/>
      <c r="O126" s="15"/>
      <c r="P126" s="17"/>
      <c r="Q126" s="31">
        <f t="shared" si="10"/>
        <v>2476.5159999999996</v>
      </c>
      <c r="R126" s="34">
        <f t="shared" si="17"/>
        <v>7.484</v>
      </c>
      <c r="S126" s="22"/>
      <c r="T126" s="273"/>
      <c r="U126" s="273"/>
      <c r="V126" s="22"/>
      <c r="W126" s="272"/>
      <c r="X126" s="272"/>
      <c r="Y126" s="272"/>
      <c r="Z126" s="274"/>
      <c r="AA126" s="22"/>
      <c r="AB126" s="275"/>
      <c r="AC126" s="40"/>
      <c r="AD126" s="40"/>
    </row>
    <row r="127" spans="1:30" s="1" customFormat="1" x14ac:dyDescent="0.25">
      <c r="A127" s="131">
        <v>43773</v>
      </c>
      <c r="B127" s="283"/>
      <c r="C127" s="282" t="s">
        <v>926</v>
      </c>
      <c r="D127" s="132">
        <v>400</v>
      </c>
      <c r="E127" s="22">
        <f>E126+0.15</f>
        <v>6.36</v>
      </c>
      <c r="F127" s="16">
        <f t="shared" si="18"/>
        <v>2000</v>
      </c>
      <c r="G127" s="17">
        <f t="shared" si="19"/>
        <v>4.2883979999999982</v>
      </c>
      <c r="H127" s="15">
        <f t="shared" si="20"/>
        <v>8576.7959999999966</v>
      </c>
      <c r="I127" s="15">
        <f t="shared" si="21"/>
        <v>4143.2040000000034</v>
      </c>
      <c r="J127" s="33">
        <f t="shared" si="22"/>
        <v>0.48307130075147015</v>
      </c>
      <c r="K127" s="15">
        <f t="shared" si="23"/>
        <v>12720</v>
      </c>
      <c r="L127" s="15">
        <f t="shared" si="9"/>
        <v>352.45600000000013</v>
      </c>
      <c r="M127" s="15"/>
      <c r="N127" s="15"/>
      <c r="O127" s="15"/>
      <c r="P127" s="17"/>
      <c r="Q127" s="31">
        <f t="shared" si="10"/>
        <v>2536.4560000000001</v>
      </c>
      <c r="R127" s="34">
        <f t="shared" si="17"/>
        <v>7.5440000000000005</v>
      </c>
      <c r="S127" s="22"/>
      <c r="T127" s="273"/>
      <c r="U127" s="273"/>
      <c r="V127" s="22"/>
      <c r="W127" s="272"/>
      <c r="X127" s="272"/>
      <c r="Y127" s="272"/>
      <c r="Z127" s="274"/>
      <c r="AA127" s="22"/>
      <c r="AB127" s="275"/>
      <c r="AC127" s="40"/>
      <c r="AD127" s="40"/>
    </row>
    <row r="128" spans="1:30" s="1" customFormat="1" x14ac:dyDescent="0.25">
      <c r="A128" s="131">
        <v>43774</v>
      </c>
      <c r="B128" s="283">
        <v>1600</v>
      </c>
      <c r="C128" s="282" t="s">
        <v>926</v>
      </c>
      <c r="D128" s="132">
        <v>400</v>
      </c>
      <c r="E128" s="22">
        <v>6.39</v>
      </c>
      <c r="F128" s="16">
        <f t="shared" si="18"/>
        <v>1600</v>
      </c>
      <c r="G128" s="17">
        <f t="shared" si="19"/>
        <v>3.7677199999999975</v>
      </c>
      <c r="H128" s="15">
        <f t="shared" si="20"/>
        <v>6028.3519999999962</v>
      </c>
      <c r="I128" s="15">
        <f t="shared" si="21"/>
        <v>4195.6480000000038</v>
      </c>
      <c r="J128" s="33">
        <f t="shared" si="22"/>
        <v>0.69598590128778248</v>
      </c>
      <c r="K128" s="15">
        <f t="shared" si="23"/>
        <v>10224</v>
      </c>
      <c r="L128" s="15">
        <f t="shared" si="9"/>
        <v>52.444000000000415</v>
      </c>
      <c r="M128" s="15"/>
      <c r="N128" s="15"/>
      <c r="O128" s="15"/>
      <c r="P128" s="17"/>
      <c r="Q128" s="31">
        <f t="shared" si="10"/>
        <v>2548.4440000000004</v>
      </c>
      <c r="R128" s="34">
        <f t="shared" si="17"/>
        <v>7.556</v>
      </c>
      <c r="S128" s="22"/>
      <c r="T128" s="273"/>
      <c r="U128" s="273"/>
      <c r="V128" s="22"/>
      <c r="W128" s="272"/>
      <c r="X128" s="272"/>
      <c r="Y128" s="272"/>
      <c r="Z128" s="274"/>
      <c r="AA128" s="22"/>
      <c r="AB128" s="275"/>
      <c r="AC128" s="40"/>
      <c r="AD128" s="40"/>
    </row>
    <row r="129" spans="1:30" s="1" customFormat="1" x14ac:dyDescent="0.25">
      <c r="A129" s="131">
        <v>43774</v>
      </c>
      <c r="B129" s="283">
        <v>1600</v>
      </c>
      <c r="C129" s="282" t="s">
        <v>926</v>
      </c>
      <c r="D129" s="132">
        <v>400</v>
      </c>
      <c r="E129" s="22">
        <v>6.42</v>
      </c>
      <c r="F129" s="16">
        <f t="shared" si="18"/>
        <v>1200</v>
      </c>
      <c r="G129" s="17">
        <f t="shared" si="19"/>
        <v>2.8899333333333304</v>
      </c>
      <c r="H129" s="15">
        <f t="shared" si="20"/>
        <v>3467.9199999999964</v>
      </c>
      <c r="I129" s="15">
        <f t="shared" si="21"/>
        <v>4236.0800000000036</v>
      </c>
      <c r="J129" s="33">
        <f t="shared" si="22"/>
        <v>1.2215045329765415</v>
      </c>
      <c r="K129" s="15">
        <f t="shared" si="23"/>
        <v>7704</v>
      </c>
      <c r="L129" s="15">
        <f t="shared" si="9"/>
        <v>40.431999999999789</v>
      </c>
      <c r="M129" s="15"/>
      <c r="N129" s="15"/>
      <c r="O129" s="15"/>
      <c r="P129" s="17"/>
      <c r="Q129" s="31">
        <f t="shared" si="10"/>
        <v>2560.4319999999998</v>
      </c>
      <c r="R129" s="34">
        <f t="shared" si="17"/>
        <v>7.5679999999999996</v>
      </c>
      <c r="S129" s="22"/>
      <c r="T129" s="273"/>
      <c r="U129" s="273"/>
      <c r="V129" s="22"/>
      <c r="W129" s="272"/>
      <c r="X129" s="272"/>
      <c r="Y129" s="272"/>
      <c r="Z129" s="274"/>
      <c r="AA129" s="22"/>
      <c r="AB129" s="275"/>
      <c r="AC129" s="40"/>
      <c r="AD129" s="40"/>
    </row>
    <row r="130" spans="1:30" s="1" customFormat="1" x14ac:dyDescent="0.25">
      <c r="A130" s="131">
        <v>43774</v>
      </c>
      <c r="B130" s="283">
        <v>1600</v>
      </c>
      <c r="C130" s="282" t="s">
        <v>926</v>
      </c>
      <c r="D130" s="132">
        <v>400</v>
      </c>
      <c r="E130" s="22">
        <v>6.45</v>
      </c>
      <c r="F130" s="16">
        <f t="shared" si="18"/>
        <v>800</v>
      </c>
      <c r="G130" s="17">
        <f t="shared" si="19"/>
        <v>1.1193749999999956</v>
      </c>
      <c r="H130" s="15">
        <f t="shared" si="20"/>
        <v>895.49999999999648</v>
      </c>
      <c r="I130" s="15">
        <f t="shared" si="21"/>
        <v>4264.5000000000036</v>
      </c>
      <c r="J130" s="33">
        <f t="shared" si="22"/>
        <v>4.7621440536013635</v>
      </c>
      <c r="K130" s="15">
        <f t="shared" si="23"/>
        <v>5160</v>
      </c>
      <c r="L130" s="15">
        <f t="shared" ref="L130:L176" si="24">I130-I129</f>
        <v>28.420000000000073</v>
      </c>
      <c r="M130" s="15"/>
      <c r="N130" s="15"/>
      <c r="O130" s="15"/>
      <c r="P130" s="17"/>
      <c r="Q130" s="31">
        <f t="shared" ref="Q130:Q176" si="25">(H130-H129)*-1</f>
        <v>2572.42</v>
      </c>
      <c r="R130" s="34">
        <f t="shared" si="17"/>
        <v>7.58</v>
      </c>
      <c r="S130" s="22"/>
      <c r="T130" s="273"/>
      <c r="U130" s="273"/>
      <c r="V130" s="22"/>
      <c r="W130" s="272"/>
      <c r="X130" s="272"/>
      <c r="Y130" s="272"/>
      <c r="Z130" s="274"/>
      <c r="AA130" s="22"/>
      <c r="AB130" s="275"/>
      <c r="AC130" s="40"/>
      <c r="AD130" s="40"/>
    </row>
    <row r="131" spans="1:30" s="1" customFormat="1" x14ac:dyDescent="0.25">
      <c r="A131" s="131">
        <v>43774</v>
      </c>
      <c r="B131" s="283">
        <v>1600</v>
      </c>
      <c r="C131" s="282" t="s">
        <v>926</v>
      </c>
      <c r="D131" s="132">
        <v>400</v>
      </c>
      <c r="E131" s="22">
        <v>6.47</v>
      </c>
      <c r="F131" s="16">
        <f t="shared" si="18"/>
        <v>400</v>
      </c>
      <c r="G131" s="17">
        <f t="shared" si="19"/>
        <v>-4.2122800000000096</v>
      </c>
      <c r="H131" s="15">
        <f t="shared" si="20"/>
        <v>-1684.9120000000037</v>
      </c>
      <c r="I131" s="15">
        <f t="shared" si="21"/>
        <v>4272.9120000000039</v>
      </c>
      <c r="J131" s="33">
        <f t="shared" si="22"/>
        <v>-2.5359852621383157</v>
      </c>
      <c r="K131" s="15">
        <f t="shared" si="23"/>
        <v>2588</v>
      </c>
      <c r="L131" s="15">
        <f t="shared" si="24"/>
        <v>8.4120000000002619</v>
      </c>
      <c r="M131" s="15"/>
      <c r="N131" s="15"/>
      <c r="O131" s="15"/>
      <c r="P131" s="17"/>
      <c r="Q131" s="31">
        <f t="shared" si="25"/>
        <v>2580.4120000000003</v>
      </c>
      <c r="R131" s="34">
        <f t="shared" si="17"/>
        <v>7.5880000000000001</v>
      </c>
      <c r="S131" s="22"/>
      <c r="T131" s="273"/>
      <c r="U131" s="273"/>
      <c r="V131" s="22"/>
      <c r="W131" s="272"/>
      <c r="X131" s="272"/>
      <c r="Y131" s="272"/>
      <c r="Z131" s="274"/>
      <c r="AA131" s="22"/>
      <c r="AB131" s="275"/>
      <c r="AC131" s="40"/>
      <c r="AD131" s="40"/>
    </row>
    <row r="132" spans="1:30" s="1" customFormat="1" x14ac:dyDescent="0.25">
      <c r="A132" s="131">
        <v>43791</v>
      </c>
      <c r="B132" s="283" t="s">
        <v>1020</v>
      </c>
      <c r="C132" s="282" t="s">
        <v>922</v>
      </c>
      <c r="D132" s="132">
        <v>400</v>
      </c>
      <c r="E132" s="22">
        <v>6.02</v>
      </c>
      <c r="F132" s="16">
        <f t="shared" si="18"/>
        <v>800</v>
      </c>
      <c r="G132" s="17">
        <f t="shared" si="19"/>
        <v>0.91010999999999542</v>
      </c>
      <c r="H132" s="15">
        <f t="shared" si="20"/>
        <v>728.08799999999633</v>
      </c>
      <c r="I132" s="15">
        <f t="shared" si="21"/>
        <v>4087.9120000000039</v>
      </c>
      <c r="J132" s="33">
        <f t="shared" si="22"/>
        <v>5.614585050158805</v>
      </c>
      <c r="K132" s="15">
        <f t="shared" si="23"/>
        <v>4816</v>
      </c>
      <c r="L132" s="15">
        <f t="shared" si="24"/>
        <v>-185</v>
      </c>
      <c r="M132" s="15"/>
      <c r="N132" s="15"/>
      <c r="O132" s="15"/>
      <c r="P132" s="17"/>
      <c r="Q132" s="31">
        <f t="shared" si="25"/>
        <v>-2413</v>
      </c>
      <c r="R132" s="34">
        <f t="shared" ref="R132:R188" si="26">commission($B$2,C132,D132,E132)</f>
        <v>5</v>
      </c>
      <c r="S132" s="22"/>
      <c r="T132" s="273"/>
      <c r="U132" s="273"/>
      <c r="V132" s="22"/>
      <c r="W132" s="272"/>
      <c r="X132" s="272"/>
      <c r="Y132" s="272"/>
      <c r="Z132" s="274"/>
      <c r="AA132" s="22"/>
      <c r="AB132" s="275"/>
      <c r="AC132" s="40"/>
      <c r="AD132" s="40"/>
    </row>
    <row r="133" spans="1:30" s="1" customFormat="1" x14ac:dyDescent="0.25">
      <c r="A133" s="131">
        <v>43802</v>
      </c>
      <c r="B133" s="283" t="s">
        <v>1021</v>
      </c>
      <c r="C133" s="282" t="s">
        <v>922</v>
      </c>
      <c r="D133" s="132">
        <v>400</v>
      </c>
      <c r="E133" s="22">
        <v>5.92</v>
      </c>
      <c r="F133" s="16">
        <f t="shared" si="18"/>
        <v>1200</v>
      </c>
      <c r="G133" s="17">
        <f t="shared" si="19"/>
        <v>2.5842399999999968</v>
      </c>
      <c r="H133" s="15">
        <f t="shared" si="20"/>
        <v>3101.0879999999961</v>
      </c>
      <c r="I133" s="15">
        <f t="shared" si="21"/>
        <v>4002.9120000000039</v>
      </c>
      <c r="J133" s="33">
        <f t="shared" si="22"/>
        <v>1.2908089031978482</v>
      </c>
      <c r="K133" s="15">
        <f t="shared" si="23"/>
        <v>7104</v>
      </c>
      <c r="L133" s="15">
        <f t="shared" si="24"/>
        <v>-85</v>
      </c>
      <c r="M133" s="15"/>
      <c r="N133" s="15"/>
      <c r="O133" s="15"/>
      <c r="P133" s="17"/>
      <c r="Q133" s="31">
        <f t="shared" si="25"/>
        <v>-2373</v>
      </c>
      <c r="R133" s="34">
        <f t="shared" si="26"/>
        <v>5</v>
      </c>
      <c r="S133" s="22"/>
      <c r="T133" s="273"/>
      <c r="U133" s="273"/>
      <c r="V133" s="22"/>
      <c r="W133" s="272"/>
      <c r="X133" s="272"/>
      <c r="Y133" s="272"/>
      <c r="Z133" s="274"/>
      <c r="AA133" s="22"/>
      <c r="AB133" s="275"/>
      <c r="AC133" s="40"/>
      <c r="AD133" s="40"/>
    </row>
    <row r="134" spans="1:30" s="1" customFormat="1" x14ac:dyDescent="0.25">
      <c r="A134" s="131">
        <v>43812</v>
      </c>
      <c r="B134" s="283"/>
      <c r="C134" s="282" t="s">
        <v>926</v>
      </c>
      <c r="D134" s="132">
        <v>400</v>
      </c>
      <c r="E134" s="22">
        <v>6.04</v>
      </c>
      <c r="F134" s="16">
        <f t="shared" si="18"/>
        <v>800</v>
      </c>
      <c r="G134" s="17">
        <f t="shared" si="19"/>
        <v>0.86562999999999524</v>
      </c>
      <c r="H134" s="15">
        <f t="shared" si="20"/>
        <v>692.50399999999615</v>
      </c>
      <c r="I134" s="15">
        <f t="shared" si="21"/>
        <v>4139.4960000000037</v>
      </c>
      <c r="J134" s="33">
        <f t="shared" si="22"/>
        <v>5.9775770248258882</v>
      </c>
      <c r="K134" s="15">
        <f t="shared" si="23"/>
        <v>4832</v>
      </c>
      <c r="L134" s="15">
        <f t="shared" si="24"/>
        <v>136.58399999999983</v>
      </c>
      <c r="M134" s="15"/>
      <c r="N134" s="15"/>
      <c r="O134" s="15"/>
      <c r="P134" s="17"/>
      <c r="Q134" s="31">
        <f t="shared" si="25"/>
        <v>2408.5839999999998</v>
      </c>
      <c r="R134" s="34">
        <f t="shared" si="26"/>
        <v>7.4160000000000004</v>
      </c>
      <c r="S134" s="22"/>
      <c r="T134" s="273"/>
      <c r="U134" s="273"/>
      <c r="V134" s="22"/>
      <c r="W134" s="272"/>
      <c r="X134" s="272"/>
      <c r="Y134" s="272"/>
      <c r="Z134" s="274"/>
      <c r="AA134" s="22"/>
      <c r="AB134" s="275"/>
      <c r="AC134" s="40"/>
      <c r="AD134" s="40"/>
    </row>
    <row r="135" spans="1:30" s="1" customFormat="1" x14ac:dyDescent="0.25">
      <c r="A135" s="131">
        <v>43815</v>
      </c>
      <c r="B135" s="283"/>
      <c r="C135" s="282" t="s">
        <v>926</v>
      </c>
      <c r="D135" s="132">
        <v>400</v>
      </c>
      <c r="E135" s="22">
        <v>6.14</v>
      </c>
      <c r="F135" s="16">
        <f t="shared" si="18"/>
        <v>400</v>
      </c>
      <c r="G135" s="17">
        <f t="shared" si="19"/>
        <v>-4.3901000000000092</v>
      </c>
      <c r="H135" s="15">
        <f t="shared" si="20"/>
        <v>-1756.0400000000038</v>
      </c>
      <c r="I135" s="15">
        <f t="shared" si="21"/>
        <v>4212.0400000000036</v>
      </c>
      <c r="J135" s="33">
        <f t="shared" si="22"/>
        <v>-2.3986013986013952</v>
      </c>
      <c r="K135" s="15">
        <f t="shared" si="23"/>
        <v>2456</v>
      </c>
      <c r="L135" s="15">
        <f t="shared" si="24"/>
        <v>72.543999999999869</v>
      </c>
      <c r="M135" s="15"/>
      <c r="N135" s="15"/>
      <c r="O135" s="15"/>
      <c r="P135" s="17"/>
      <c r="Q135" s="31">
        <f t="shared" si="25"/>
        <v>2448.5439999999999</v>
      </c>
      <c r="R135" s="34">
        <f t="shared" si="26"/>
        <v>7.4559999999999995</v>
      </c>
      <c r="S135" s="22"/>
      <c r="T135" s="273"/>
      <c r="U135" s="273"/>
      <c r="V135" s="22"/>
      <c r="W135" s="272"/>
      <c r="X135" s="272"/>
      <c r="Y135" s="272"/>
      <c r="Z135" s="274"/>
      <c r="AA135" s="22"/>
      <c r="AB135" s="275"/>
      <c r="AC135" s="40"/>
      <c r="AD135" s="40"/>
    </row>
    <row r="136" spans="1:30" s="1" customFormat="1" x14ac:dyDescent="0.25">
      <c r="A136" s="131">
        <v>43819</v>
      </c>
      <c r="B136" s="283"/>
      <c r="C136" s="282" t="s">
        <v>926</v>
      </c>
      <c r="D136" s="132">
        <v>300</v>
      </c>
      <c r="E136" s="22">
        <v>6.18</v>
      </c>
      <c r="F136" s="16">
        <f t="shared" si="18"/>
        <v>100</v>
      </c>
      <c r="G136" s="17">
        <f t="shared" si="19"/>
        <v>-36.031860000000037</v>
      </c>
      <c r="H136" s="15">
        <f t="shared" si="20"/>
        <v>-3603.1860000000038</v>
      </c>
      <c r="I136" s="15">
        <f t="shared" si="21"/>
        <v>4221.1860000000033</v>
      </c>
      <c r="J136" s="33">
        <f t="shared" si="22"/>
        <v>-1.1715148760014051</v>
      </c>
      <c r="K136" s="15">
        <f t="shared" si="23"/>
        <v>618</v>
      </c>
      <c r="L136" s="15">
        <f t="shared" si="24"/>
        <v>9.1459999999997308</v>
      </c>
      <c r="M136" s="15"/>
      <c r="N136" s="15"/>
      <c r="O136" s="15"/>
      <c r="P136" s="17"/>
      <c r="Q136" s="31">
        <f t="shared" si="25"/>
        <v>1847.146</v>
      </c>
      <c r="R136" s="34">
        <f t="shared" si="26"/>
        <v>6.8540000000000001</v>
      </c>
      <c r="S136" s="22"/>
      <c r="T136" s="273"/>
      <c r="U136" s="273"/>
      <c r="V136" s="22"/>
      <c r="W136" s="272"/>
      <c r="X136" s="272"/>
      <c r="Y136" s="272"/>
      <c r="Z136" s="274"/>
      <c r="AA136" s="22"/>
      <c r="AB136" s="275"/>
      <c r="AC136" s="40"/>
      <c r="AD136" s="40"/>
    </row>
    <row r="137" spans="1:30" s="1" customFormat="1" x14ac:dyDescent="0.25">
      <c r="A137" s="270">
        <v>43846</v>
      </c>
      <c r="B137" s="283" t="s">
        <v>1022</v>
      </c>
      <c r="C137" s="282" t="s">
        <v>922</v>
      </c>
      <c r="D137" s="132">
        <v>400</v>
      </c>
      <c r="E137" s="22">
        <v>6.02</v>
      </c>
      <c r="F137" s="16">
        <f t="shared" si="18"/>
        <v>500</v>
      </c>
      <c r="G137" s="17">
        <f t="shared" si="19"/>
        <v>-2.3803720000000075</v>
      </c>
      <c r="H137" s="15">
        <f t="shared" si="20"/>
        <v>-1190.1860000000038</v>
      </c>
      <c r="I137" s="15">
        <f t="shared" si="21"/>
        <v>4200.1860000000033</v>
      </c>
      <c r="J137" s="33">
        <f t="shared" si="22"/>
        <v>-3.5290164730554641</v>
      </c>
      <c r="K137" s="15">
        <f t="shared" si="23"/>
        <v>3010</v>
      </c>
      <c r="L137" s="15">
        <f t="shared" si="24"/>
        <v>-21</v>
      </c>
      <c r="M137" s="15"/>
      <c r="N137" s="15"/>
      <c r="O137" s="15"/>
      <c r="P137" s="17"/>
      <c r="Q137" s="31">
        <f t="shared" si="25"/>
        <v>-2413</v>
      </c>
      <c r="R137" s="34">
        <f t="shared" si="26"/>
        <v>5</v>
      </c>
      <c r="S137" s="22"/>
      <c r="T137" s="273"/>
      <c r="U137" s="273"/>
      <c r="V137" s="22"/>
      <c r="W137" s="272"/>
      <c r="X137" s="272"/>
      <c r="Y137" s="272"/>
      <c r="Z137" s="274"/>
      <c r="AA137" s="22"/>
      <c r="AB137" s="275"/>
      <c r="AC137" s="40"/>
      <c r="AD137" s="40"/>
    </row>
    <row r="138" spans="1:30" s="1" customFormat="1" x14ac:dyDescent="0.25">
      <c r="A138" s="270">
        <v>43852</v>
      </c>
      <c r="B138" s="283" t="s">
        <v>1023</v>
      </c>
      <c r="C138" s="282" t="s">
        <v>922</v>
      </c>
      <c r="D138" s="132">
        <v>400</v>
      </c>
      <c r="E138" s="22">
        <v>5.86</v>
      </c>
      <c r="F138" s="16">
        <f t="shared" si="18"/>
        <v>900</v>
      </c>
      <c r="G138" s="17">
        <f t="shared" si="19"/>
        <v>1.287571111111107</v>
      </c>
      <c r="H138" s="15">
        <f t="shared" si="20"/>
        <v>1158.8139999999962</v>
      </c>
      <c r="I138" s="15">
        <f t="shared" si="21"/>
        <v>4115.1860000000033</v>
      </c>
      <c r="J138" s="33">
        <f t="shared" si="22"/>
        <v>3.5512049388426594</v>
      </c>
      <c r="K138" s="15">
        <f t="shared" si="23"/>
        <v>5274</v>
      </c>
      <c r="L138" s="15">
        <f t="shared" si="24"/>
        <v>-85</v>
      </c>
      <c r="M138" s="15"/>
      <c r="N138" s="15"/>
      <c r="O138" s="15"/>
      <c r="P138" s="17"/>
      <c r="Q138" s="31">
        <f t="shared" si="25"/>
        <v>-2349</v>
      </c>
      <c r="R138" s="34">
        <f t="shared" si="26"/>
        <v>5</v>
      </c>
      <c r="S138" s="22"/>
      <c r="T138" s="273"/>
      <c r="U138" s="273"/>
      <c r="V138" s="22"/>
      <c r="W138" s="272"/>
      <c r="X138" s="272"/>
      <c r="Y138" s="272"/>
      <c r="Z138" s="274"/>
      <c r="AA138" s="22"/>
      <c r="AB138" s="275"/>
      <c r="AC138" s="40"/>
      <c r="AD138" s="40"/>
    </row>
    <row r="139" spans="1:30" s="1" customFormat="1" x14ac:dyDescent="0.25">
      <c r="A139" s="131">
        <v>43864</v>
      </c>
      <c r="B139" s="283" t="s">
        <v>1024</v>
      </c>
      <c r="C139" s="282" t="s">
        <v>922</v>
      </c>
      <c r="D139" s="132">
        <v>500</v>
      </c>
      <c r="E139" s="22">
        <v>5.39</v>
      </c>
      <c r="F139" s="16">
        <f t="shared" si="18"/>
        <v>1400</v>
      </c>
      <c r="G139" s="17">
        <f t="shared" si="19"/>
        <v>2.7562957142857116</v>
      </c>
      <c r="H139" s="15">
        <f t="shared" si="20"/>
        <v>3858.8139999999962</v>
      </c>
      <c r="I139" s="15">
        <f t="shared" si="21"/>
        <v>3687.1860000000038</v>
      </c>
      <c r="J139" s="33">
        <f t="shared" si="22"/>
        <v>0.95552312187112587</v>
      </c>
      <c r="K139" s="15">
        <f t="shared" si="23"/>
        <v>7546</v>
      </c>
      <c r="L139" s="15">
        <f t="shared" si="24"/>
        <v>-427.99999999999955</v>
      </c>
      <c r="M139" s="15"/>
      <c r="N139" s="15"/>
      <c r="O139" s="15"/>
      <c r="P139" s="17"/>
      <c r="Q139" s="31">
        <f t="shared" si="25"/>
        <v>-2700</v>
      </c>
      <c r="R139" s="34">
        <f t="shared" si="26"/>
        <v>5</v>
      </c>
      <c r="S139" s="22"/>
      <c r="T139" s="273"/>
      <c r="U139" s="273"/>
      <c r="V139" s="22"/>
      <c r="W139" s="272"/>
      <c r="X139" s="272"/>
      <c r="Y139" s="272"/>
      <c r="Z139" s="274"/>
      <c r="AA139" s="22"/>
      <c r="AB139" s="275"/>
      <c r="AC139" s="40"/>
      <c r="AD139" s="40"/>
    </row>
    <row r="140" spans="1:30" s="1" customFormat="1" x14ac:dyDescent="0.25">
      <c r="A140" s="131">
        <v>43878</v>
      </c>
      <c r="B140" s="283"/>
      <c r="C140" s="282" t="s">
        <v>926</v>
      </c>
      <c r="D140" s="132">
        <v>400</v>
      </c>
      <c r="E140" s="22">
        <v>5.64</v>
      </c>
      <c r="F140" s="16">
        <f t="shared" ref="F140:F176" si="27">IF(C140="买",F139+D140,IF(C140="卖",F139-D140,F139))</f>
        <v>1000</v>
      </c>
      <c r="G140" s="17">
        <f t="shared" ref="G140:G188" si="28">H140/F140</f>
        <v>1.6100699999999963</v>
      </c>
      <c r="H140" s="15">
        <f t="shared" ref="H140:H176" si="29">IF(C140="买",H139+D140*E140+R140+S140,IF(C140="卖",H139-D140*E140+R140+S140,H139))</f>
        <v>1610.0699999999963</v>
      </c>
      <c r="I140" s="15">
        <f t="shared" ref="I140:I188" si="30">-H140+K140</f>
        <v>4029.9300000000039</v>
      </c>
      <c r="J140" s="33">
        <f t="shared" ref="J140:J188" si="31">(E140-G140)/G140</f>
        <v>2.5029532877452612</v>
      </c>
      <c r="K140" s="15">
        <f t="shared" ref="K140:K176" si="32">F140*E140</f>
        <v>5640</v>
      </c>
      <c r="L140" s="15">
        <f t="shared" si="24"/>
        <v>342.74400000000014</v>
      </c>
      <c r="M140" s="15"/>
      <c r="N140" s="15"/>
      <c r="O140" s="15"/>
      <c r="P140" s="17"/>
      <c r="Q140" s="31">
        <f t="shared" si="25"/>
        <v>2248.7439999999997</v>
      </c>
      <c r="R140" s="34">
        <f t="shared" si="26"/>
        <v>7.2560000000000002</v>
      </c>
      <c r="S140" s="22"/>
      <c r="T140" s="273"/>
      <c r="U140" s="273"/>
      <c r="V140" s="22"/>
      <c r="W140" s="272"/>
      <c r="X140" s="272"/>
      <c r="Y140" s="272"/>
      <c r="Z140" s="274"/>
      <c r="AA140" s="22"/>
      <c r="AB140" s="275"/>
      <c r="AC140" s="40"/>
      <c r="AD140" s="40"/>
    </row>
    <row r="141" spans="1:30" s="1" customFormat="1" x14ac:dyDescent="0.25">
      <c r="A141" s="131">
        <v>43899</v>
      </c>
      <c r="B141" s="283" t="s">
        <v>1025</v>
      </c>
      <c r="C141" s="282" t="s">
        <v>922</v>
      </c>
      <c r="D141" s="132">
        <v>500</v>
      </c>
      <c r="E141" s="22">
        <v>5.46</v>
      </c>
      <c r="F141" s="16">
        <f t="shared" si="27"/>
        <v>1500</v>
      </c>
      <c r="G141" s="17">
        <f t="shared" si="28"/>
        <v>2.8967133333333308</v>
      </c>
      <c r="H141" s="15">
        <f t="shared" si="29"/>
        <v>4345.0699999999961</v>
      </c>
      <c r="I141" s="15">
        <f t="shared" si="30"/>
        <v>3844.9300000000039</v>
      </c>
      <c r="J141" s="33">
        <f t="shared" si="31"/>
        <v>0.884894834835804</v>
      </c>
      <c r="K141" s="15">
        <f t="shared" si="32"/>
        <v>8190</v>
      </c>
      <c r="L141" s="15">
        <f t="shared" si="24"/>
        <v>-185</v>
      </c>
      <c r="M141" s="15"/>
      <c r="N141" s="15"/>
      <c r="O141" s="15"/>
      <c r="P141" s="17"/>
      <c r="Q141" s="31">
        <f t="shared" si="25"/>
        <v>-2735</v>
      </c>
      <c r="R141" s="34">
        <f t="shared" si="26"/>
        <v>5</v>
      </c>
      <c r="S141" s="22"/>
      <c r="T141" s="273"/>
      <c r="U141" s="273"/>
      <c r="V141" s="22"/>
      <c r="W141" s="272"/>
      <c r="X141" s="272"/>
      <c r="Y141" s="272"/>
      <c r="Z141" s="274"/>
      <c r="AA141" s="22"/>
      <c r="AB141" s="275"/>
      <c r="AC141" s="40"/>
      <c r="AD141" s="40"/>
    </row>
    <row r="142" spans="1:30" s="1" customFormat="1" x14ac:dyDescent="0.25">
      <c r="A142" s="131">
        <v>43915</v>
      </c>
      <c r="B142" s="283" t="s">
        <v>1026</v>
      </c>
      <c r="C142" s="282" t="s">
        <v>922</v>
      </c>
      <c r="D142" s="132">
        <v>2000</v>
      </c>
      <c r="E142" s="22">
        <v>5.25</v>
      </c>
      <c r="F142" s="16">
        <f t="shared" si="27"/>
        <v>3500</v>
      </c>
      <c r="G142" s="17">
        <f t="shared" si="28"/>
        <v>4.2429485714285704</v>
      </c>
      <c r="H142" s="15">
        <f t="shared" si="29"/>
        <v>14850.319999999996</v>
      </c>
      <c r="I142" s="15">
        <f t="shared" si="30"/>
        <v>3524.6800000000039</v>
      </c>
      <c r="J142" s="33">
        <f t="shared" si="31"/>
        <v>0.23734707400244603</v>
      </c>
      <c r="K142" s="15">
        <f t="shared" si="32"/>
        <v>18375</v>
      </c>
      <c r="L142" s="15">
        <f t="shared" si="24"/>
        <v>-320.25</v>
      </c>
      <c r="M142" s="15"/>
      <c r="N142" s="15"/>
      <c r="O142" s="15"/>
      <c r="P142" s="17"/>
      <c r="Q142" s="31">
        <f t="shared" si="25"/>
        <v>-10505.25</v>
      </c>
      <c r="R142" s="34">
        <f t="shared" si="26"/>
        <v>5.25</v>
      </c>
      <c r="S142" s="22"/>
      <c r="T142" s="273"/>
      <c r="U142" s="273"/>
      <c r="V142" s="22"/>
      <c r="W142" s="272"/>
      <c r="X142" s="272"/>
      <c r="Y142" s="272"/>
      <c r="Z142" s="274"/>
      <c r="AA142" s="22"/>
      <c r="AB142" s="275"/>
      <c r="AC142" s="40"/>
      <c r="AD142" s="40"/>
    </row>
    <row r="143" spans="1:30" s="1" customFormat="1" x14ac:dyDescent="0.25">
      <c r="A143" s="131">
        <v>43941</v>
      </c>
      <c r="B143" s="283">
        <v>1600</v>
      </c>
      <c r="C143" s="282" t="s">
        <v>922</v>
      </c>
      <c r="D143" s="132">
        <v>1000</v>
      </c>
      <c r="E143" s="22">
        <v>5.1100000000000003</v>
      </c>
      <c r="F143" s="16">
        <f t="shared" si="27"/>
        <v>4500</v>
      </c>
      <c r="G143" s="17">
        <f t="shared" si="28"/>
        <v>4.4367377777777772</v>
      </c>
      <c r="H143" s="15">
        <f t="shared" si="29"/>
        <v>19965.319999999996</v>
      </c>
      <c r="I143" s="15">
        <f t="shared" si="30"/>
        <v>3029.6800000000039</v>
      </c>
      <c r="J143" s="33">
        <f t="shared" si="31"/>
        <v>0.15174712952259239</v>
      </c>
      <c r="K143" s="15">
        <f t="shared" si="32"/>
        <v>22995</v>
      </c>
      <c r="L143" s="15">
        <f t="shared" si="24"/>
        <v>-495</v>
      </c>
      <c r="M143" s="15"/>
      <c r="N143" s="15"/>
      <c r="O143" s="15"/>
      <c r="P143" s="17"/>
      <c r="Q143" s="31">
        <f t="shared" si="25"/>
        <v>-5115</v>
      </c>
      <c r="R143" s="34">
        <f t="shared" si="26"/>
        <v>5</v>
      </c>
      <c r="S143" s="22"/>
      <c r="T143" s="273"/>
      <c r="U143" s="273"/>
      <c r="V143" s="22"/>
      <c r="W143" s="272"/>
      <c r="X143" s="272"/>
      <c r="Y143" s="272"/>
      <c r="Z143" s="274"/>
      <c r="AA143" s="22"/>
      <c r="AB143" s="275"/>
      <c r="AC143" s="40"/>
      <c r="AD143" s="40"/>
    </row>
    <row r="144" spans="1:30" s="1" customFormat="1" x14ac:dyDescent="0.25">
      <c r="A144" s="131">
        <v>43950</v>
      </c>
      <c r="B144" s="283"/>
      <c r="C144" s="282" t="s">
        <v>926</v>
      </c>
      <c r="D144" s="132">
        <v>400</v>
      </c>
      <c r="E144" s="22">
        <v>5.21</v>
      </c>
      <c r="F144" s="16">
        <f t="shared" si="27"/>
        <v>4100</v>
      </c>
      <c r="G144" s="17">
        <f t="shared" si="28"/>
        <v>4.3630253658536571</v>
      </c>
      <c r="H144" s="15">
        <f t="shared" si="29"/>
        <v>17888.403999999995</v>
      </c>
      <c r="I144" s="15">
        <f t="shared" si="30"/>
        <v>3472.596000000005</v>
      </c>
      <c r="J144" s="33">
        <f t="shared" si="31"/>
        <v>0.194125535179103</v>
      </c>
      <c r="K144" s="15">
        <f t="shared" si="32"/>
        <v>21361</v>
      </c>
      <c r="L144" s="15">
        <f t="shared" si="24"/>
        <v>442.91600000000108</v>
      </c>
      <c r="M144" s="15"/>
      <c r="N144" s="15"/>
      <c r="O144" s="15"/>
      <c r="P144" s="17"/>
      <c r="Q144" s="31">
        <f t="shared" si="25"/>
        <v>2076.9160000000011</v>
      </c>
      <c r="R144" s="34">
        <f t="shared" si="26"/>
        <v>7.0839999999999996</v>
      </c>
      <c r="S144" s="22"/>
      <c r="T144" s="273"/>
      <c r="U144" s="273"/>
      <c r="V144" s="22"/>
      <c r="W144" s="272"/>
      <c r="X144" s="272"/>
      <c r="Y144" s="272"/>
      <c r="Z144" s="274"/>
      <c r="AA144" s="22"/>
      <c r="AB144" s="275"/>
      <c r="AC144" s="40"/>
      <c r="AD144" s="40"/>
    </row>
    <row r="145" spans="1:30" s="1" customFormat="1" x14ac:dyDescent="0.25">
      <c r="A145" s="131">
        <v>43964</v>
      </c>
      <c r="B145" s="283" t="s">
        <v>1027</v>
      </c>
      <c r="C145" s="282" t="s">
        <v>922</v>
      </c>
      <c r="D145" s="132">
        <v>400</v>
      </c>
      <c r="E145" s="22">
        <v>5.09</v>
      </c>
      <c r="F145" s="16">
        <f t="shared" si="27"/>
        <v>4500</v>
      </c>
      <c r="G145" s="17">
        <f t="shared" si="28"/>
        <v>4.4287564444444429</v>
      </c>
      <c r="H145" s="15">
        <f t="shared" si="29"/>
        <v>19929.403999999995</v>
      </c>
      <c r="I145" s="15">
        <f t="shared" si="30"/>
        <v>2975.596000000005</v>
      </c>
      <c r="J145" s="33">
        <f t="shared" si="31"/>
        <v>0.14930682322461861</v>
      </c>
      <c r="K145" s="15">
        <f t="shared" si="32"/>
        <v>22905</v>
      </c>
      <c r="L145" s="15">
        <f t="shared" si="24"/>
        <v>-497</v>
      </c>
      <c r="M145" s="15"/>
      <c r="N145" s="15"/>
      <c r="O145" s="15"/>
      <c r="P145" s="17"/>
      <c r="Q145" s="31">
        <f t="shared" si="25"/>
        <v>-2041</v>
      </c>
      <c r="R145" s="34">
        <f t="shared" si="26"/>
        <v>5</v>
      </c>
      <c r="S145" s="22"/>
      <c r="T145" s="273"/>
      <c r="U145" s="273"/>
      <c r="V145" s="22"/>
      <c r="W145" s="272"/>
      <c r="X145" s="272"/>
      <c r="Y145" s="272"/>
      <c r="Z145" s="274"/>
      <c r="AA145" s="22"/>
      <c r="AB145" s="275"/>
      <c r="AC145" s="40"/>
      <c r="AD145" s="40"/>
    </row>
    <row r="146" spans="1:30" s="1" customFormat="1" x14ac:dyDescent="0.25">
      <c r="A146" s="131">
        <v>43993</v>
      </c>
      <c r="B146" s="283">
        <v>1600</v>
      </c>
      <c r="C146" s="282" t="s">
        <v>922</v>
      </c>
      <c r="D146" s="132">
        <v>600</v>
      </c>
      <c r="E146" s="22">
        <v>5.0599999999999996</v>
      </c>
      <c r="F146" s="16">
        <f t="shared" si="27"/>
        <v>5100</v>
      </c>
      <c r="G146" s="17">
        <f t="shared" si="28"/>
        <v>4.5040007843137246</v>
      </c>
      <c r="H146" s="15">
        <f t="shared" si="29"/>
        <v>22970.403999999995</v>
      </c>
      <c r="I146" s="15">
        <f t="shared" si="30"/>
        <v>2835.5960000000014</v>
      </c>
      <c r="J146" s="33">
        <f t="shared" si="31"/>
        <v>0.12344563029888385</v>
      </c>
      <c r="K146" s="15">
        <f t="shared" si="32"/>
        <v>25805.999999999996</v>
      </c>
      <c r="L146" s="15">
        <f t="shared" si="24"/>
        <v>-140.00000000000364</v>
      </c>
      <c r="M146" s="15"/>
      <c r="N146" s="15"/>
      <c r="O146" s="15"/>
      <c r="P146" s="17"/>
      <c r="Q146" s="31">
        <f t="shared" si="25"/>
        <v>-3041</v>
      </c>
      <c r="R146" s="34">
        <f t="shared" si="26"/>
        <v>5</v>
      </c>
      <c r="S146" s="22"/>
      <c r="T146" s="273"/>
      <c r="U146" s="273"/>
      <c r="V146" s="22"/>
      <c r="W146" s="272"/>
      <c r="X146" s="272"/>
      <c r="Y146" s="272"/>
      <c r="Z146" s="274"/>
      <c r="AA146" s="22"/>
      <c r="AB146" s="275"/>
      <c r="AC146" s="40"/>
      <c r="AD146" s="40"/>
    </row>
    <row r="147" spans="1:30" s="1" customFormat="1" x14ac:dyDescent="0.25">
      <c r="A147" s="131">
        <v>43998</v>
      </c>
      <c r="B147" s="283"/>
      <c r="C147" s="282" t="s">
        <v>922</v>
      </c>
      <c r="D147" s="132">
        <v>500</v>
      </c>
      <c r="E147" s="22">
        <v>5.0199999999999996</v>
      </c>
      <c r="F147" s="16">
        <f t="shared" si="27"/>
        <v>5600</v>
      </c>
      <c r="G147" s="17">
        <f t="shared" si="28"/>
        <v>4.5509649999999988</v>
      </c>
      <c r="H147" s="15">
        <f t="shared" si="29"/>
        <v>25485.403999999995</v>
      </c>
      <c r="I147" s="15">
        <f t="shared" si="30"/>
        <v>2626.5960000000014</v>
      </c>
      <c r="J147" s="33">
        <f t="shared" si="31"/>
        <v>0.10306275701966525</v>
      </c>
      <c r="K147" s="15">
        <f t="shared" si="32"/>
        <v>28111.999999999996</v>
      </c>
      <c r="L147" s="15">
        <f t="shared" si="24"/>
        <v>-209</v>
      </c>
      <c r="M147" s="15"/>
      <c r="N147" s="15"/>
      <c r="O147" s="15"/>
      <c r="P147" s="17"/>
      <c r="Q147" s="31">
        <f t="shared" si="25"/>
        <v>-2515</v>
      </c>
      <c r="R147" s="34">
        <f t="shared" si="26"/>
        <v>5</v>
      </c>
      <c r="S147" s="22"/>
      <c r="T147" s="273"/>
      <c r="U147" s="273"/>
      <c r="V147" s="22"/>
      <c r="W147" s="272"/>
      <c r="X147" s="272"/>
      <c r="Y147" s="272"/>
      <c r="Z147" s="274"/>
      <c r="AA147" s="22"/>
      <c r="AB147" s="275"/>
      <c r="AC147" s="40"/>
      <c r="AD147" s="40"/>
    </row>
    <row r="148" spans="1:30" s="1" customFormat="1" x14ac:dyDescent="0.25">
      <c r="A148" s="131">
        <v>43998</v>
      </c>
      <c r="B148" s="283"/>
      <c r="C148" s="282" t="s">
        <v>922</v>
      </c>
      <c r="D148" s="132">
        <v>500</v>
      </c>
      <c r="E148" s="22">
        <v>5.04</v>
      </c>
      <c r="F148" s="16">
        <f t="shared" si="27"/>
        <v>6100</v>
      </c>
      <c r="G148" s="17">
        <f t="shared" si="28"/>
        <v>4.5918695081967202</v>
      </c>
      <c r="H148" s="15">
        <f t="shared" si="29"/>
        <v>28010.403999999995</v>
      </c>
      <c r="I148" s="15">
        <f t="shared" si="30"/>
        <v>2733.596000000005</v>
      </c>
      <c r="J148" s="33">
        <f t="shared" si="31"/>
        <v>9.7592166110849643E-2</v>
      </c>
      <c r="K148" s="15">
        <f t="shared" si="32"/>
        <v>30744</v>
      </c>
      <c r="L148" s="15">
        <f t="shared" si="24"/>
        <v>107.00000000000364</v>
      </c>
      <c r="M148" s="15"/>
      <c r="N148" s="15"/>
      <c r="O148" s="15"/>
      <c r="P148" s="17"/>
      <c r="Q148" s="31">
        <f t="shared" si="25"/>
        <v>-2525</v>
      </c>
      <c r="R148" s="34">
        <f t="shared" si="26"/>
        <v>5</v>
      </c>
      <c r="S148" s="22"/>
      <c r="T148" s="273"/>
      <c r="U148" s="273"/>
      <c r="V148" s="22"/>
      <c r="W148" s="272"/>
      <c r="X148" s="272"/>
      <c r="Y148" s="272"/>
      <c r="Z148" s="274"/>
      <c r="AA148" s="22"/>
      <c r="AB148" s="275"/>
      <c r="AC148" s="40"/>
      <c r="AD148" s="40"/>
    </row>
    <row r="149" spans="1:30" s="1" customFormat="1" x14ac:dyDescent="0.25">
      <c r="A149" s="131">
        <v>44011</v>
      </c>
      <c r="B149" s="283" t="s">
        <v>1028</v>
      </c>
      <c r="C149" s="282" t="s">
        <v>926</v>
      </c>
      <c r="D149" s="132">
        <v>1000</v>
      </c>
      <c r="E149" s="22">
        <v>5.28</v>
      </c>
      <c r="F149" s="16">
        <f t="shared" si="27"/>
        <v>5100</v>
      </c>
      <c r="G149" s="17">
        <f t="shared" si="28"/>
        <v>4.4589576470588224</v>
      </c>
      <c r="H149" s="15">
        <f t="shared" si="29"/>
        <v>22740.683999999994</v>
      </c>
      <c r="I149" s="15">
        <f t="shared" si="30"/>
        <v>4187.3160000000062</v>
      </c>
      <c r="J149" s="33">
        <f t="shared" si="31"/>
        <v>0.18413324770706141</v>
      </c>
      <c r="K149" s="15">
        <f t="shared" si="32"/>
        <v>26928</v>
      </c>
      <c r="L149" s="15">
        <f t="shared" si="24"/>
        <v>1453.7200000000012</v>
      </c>
      <c r="M149" s="15"/>
      <c r="N149" s="15"/>
      <c r="O149" s="15"/>
      <c r="P149" s="17"/>
      <c r="Q149" s="31">
        <f t="shared" si="25"/>
        <v>5269.7200000000012</v>
      </c>
      <c r="R149" s="34">
        <f t="shared" si="26"/>
        <v>10.280000000000001</v>
      </c>
      <c r="S149" s="22"/>
      <c r="T149" s="273"/>
      <c r="U149" s="273"/>
      <c r="V149" s="22"/>
      <c r="W149" s="272"/>
      <c r="X149" s="272"/>
      <c r="Y149" s="272"/>
      <c r="Z149" s="274"/>
      <c r="AA149" s="22"/>
      <c r="AB149" s="275"/>
      <c r="AC149" s="40"/>
      <c r="AD149" s="40"/>
    </row>
    <row r="150" spans="1:30" s="1" customFormat="1" x14ac:dyDescent="0.25">
      <c r="A150" s="131">
        <v>44014</v>
      </c>
      <c r="B150" s="283"/>
      <c r="C150" s="282" t="s">
        <v>926</v>
      </c>
      <c r="D150" s="132">
        <v>400</v>
      </c>
      <c r="E150" s="22">
        <v>5.44</v>
      </c>
      <c r="F150" s="16">
        <f t="shared" si="27"/>
        <v>4700</v>
      </c>
      <c r="G150" s="17">
        <f t="shared" si="28"/>
        <v>4.3769914893617008</v>
      </c>
      <c r="H150" s="15">
        <f t="shared" si="29"/>
        <v>20571.859999999993</v>
      </c>
      <c r="I150" s="15">
        <f t="shared" si="30"/>
        <v>4996.1400000000103</v>
      </c>
      <c r="J150" s="33">
        <f t="shared" si="31"/>
        <v>0.24286282329356751</v>
      </c>
      <c r="K150" s="15">
        <f t="shared" si="32"/>
        <v>25568.000000000004</v>
      </c>
      <c r="L150" s="15">
        <f t="shared" si="24"/>
        <v>808.82400000000416</v>
      </c>
      <c r="M150" s="15"/>
      <c r="N150" s="15"/>
      <c r="O150" s="15"/>
      <c r="P150" s="17"/>
      <c r="Q150" s="31">
        <f t="shared" si="25"/>
        <v>2168.8240000000005</v>
      </c>
      <c r="R150" s="34">
        <f t="shared" si="26"/>
        <v>7.1760000000000002</v>
      </c>
      <c r="S150" s="22"/>
      <c r="T150" s="273"/>
      <c r="U150" s="273"/>
      <c r="V150" s="22"/>
      <c r="W150" s="272"/>
      <c r="X150" s="272"/>
      <c r="Y150" s="272"/>
      <c r="Z150" s="274"/>
      <c r="AA150" s="22"/>
      <c r="AB150" s="275"/>
      <c r="AC150" s="40"/>
      <c r="AD150" s="40"/>
    </row>
    <row r="151" spans="1:30" s="1" customFormat="1" x14ac:dyDescent="0.25">
      <c r="A151" s="131">
        <v>44015</v>
      </c>
      <c r="B151" s="283"/>
      <c r="C151" s="282" t="s">
        <v>926</v>
      </c>
      <c r="D151" s="132">
        <v>400</v>
      </c>
      <c r="E151" s="22">
        <v>5.59</v>
      </c>
      <c r="F151" s="16">
        <f t="shared" si="27"/>
        <v>4300</v>
      </c>
      <c r="G151" s="17">
        <f t="shared" si="28"/>
        <v>4.2658362790697657</v>
      </c>
      <c r="H151" s="15">
        <f t="shared" si="29"/>
        <v>18343.095999999994</v>
      </c>
      <c r="I151" s="15">
        <f t="shared" si="30"/>
        <v>5693.9040000000059</v>
      </c>
      <c r="J151" s="33">
        <f t="shared" si="31"/>
        <v>0.31041128498700599</v>
      </c>
      <c r="K151" s="15">
        <f t="shared" si="32"/>
        <v>24037</v>
      </c>
      <c r="L151" s="15">
        <f t="shared" si="24"/>
        <v>697.76399999999558</v>
      </c>
      <c r="M151" s="15"/>
      <c r="N151" s="15"/>
      <c r="O151" s="15"/>
      <c r="P151" s="17"/>
      <c r="Q151" s="31">
        <f t="shared" si="25"/>
        <v>2228.7639999999992</v>
      </c>
      <c r="R151" s="34">
        <f t="shared" si="26"/>
        <v>7.2359999999999998</v>
      </c>
      <c r="S151" s="22"/>
      <c r="T151" s="273"/>
      <c r="U151" s="273"/>
      <c r="V151" s="22"/>
      <c r="W151" s="272"/>
      <c r="X151" s="272"/>
      <c r="Y151" s="272"/>
      <c r="Z151" s="274"/>
      <c r="AA151" s="22"/>
      <c r="AB151" s="275"/>
      <c r="AC151" s="40"/>
      <c r="AD151" s="40"/>
    </row>
    <row r="152" spans="1:30" s="1" customFormat="1" x14ac:dyDescent="0.25">
      <c r="A152" s="131">
        <v>44018</v>
      </c>
      <c r="B152" s="283"/>
      <c r="C152" s="282" t="s">
        <v>926</v>
      </c>
      <c r="D152" s="132">
        <v>400</v>
      </c>
      <c r="E152" s="22">
        <v>5.72</v>
      </c>
      <c r="F152" s="16">
        <f t="shared" si="27"/>
        <v>3900</v>
      </c>
      <c r="G152" s="17">
        <f t="shared" si="28"/>
        <v>4.1185599999999987</v>
      </c>
      <c r="H152" s="15">
        <f t="shared" si="29"/>
        <v>16062.383999999995</v>
      </c>
      <c r="I152" s="15">
        <f t="shared" si="30"/>
        <v>6245.6160000000054</v>
      </c>
      <c r="J152" s="33">
        <f t="shared" si="31"/>
        <v>0.38883493259780155</v>
      </c>
      <c r="K152" s="15">
        <f t="shared" si="32"/>
        <v>22308</v>
      </c>
      <c r="L152" s="15">
        <f t="shared" si="24"/>
        <v>551.71199999999953</v>
      </c>
      <c r="M152" s="15"/>
      <c r="N152" s="15"/>
      <c r="O152" s="15"/>
      <c r="P152" s="17"/>
      <c r="Q152" s="31">
        <f t="shared" si="25"/>
        <v>2280.7119999999995</v>
      </c>
      <c r="R152" s="34">
        <f t="shared" si="26"/>
        <v>7.2880000000000003</v>
      </c>
      <c r="S152" s="22"/>
      <c r="T152" s="273"/>
      <c r="U152" s="273"/>
      <c r="V152" s="22"/>
      <c r="W152" s="272"/>
      <c r="X152" s="272"/>
      <c r="Y152" s="272"/>
      <c r="Z152" s="274"/>
      <c r="AA152" s="22"/>
      <c r="AB152" s="275"/>
      <c r="AC152" s="40"/>
      <c r="AD152" s="40"/>
    </row>
    <row r="153" spans="1:30" s="1" customFormat="1" x14ac:dyDescent="0.25">
      <c r="A153" s="131">
        <v>44018</v>
      </c>
      <c r="B153" s="283"/>
      <c r="C153" s="282" t="s">
        <v>926</v>
      </c>
      <c r="D153" s="132">
        <v>400</v>
      </c>
      <c r="E153" s="22">
        <v>6.11</v>
      </c>
      <c r="F153" s="16">
        <f t="shared" si="27"/>
        <v>3500</v>
      </c>
      <c r="G153" s="17">
        <f t="shared" si="28"/>
        <v>3.8930937142857127</v>
      </c>
      <c r="H153" s="15">
        <f t="shared" si="29"/>
        <v>13625.827999999994</v>
      </c>
      <c r="I153" s="15">
        <f t="shared" si="30"/>
        <v>7759.1720000000059</v>
      </c>
      <c r="J153" s="33">
        <f t="shared" si="31"/>
        <v>0.56944590816793006</v>
      </c>
      <c r="K153" s="15">
        <f t="shared" si="32"/>
        <v>21385</v>
      </c>
      <c r="L153" s="15">
        <f t="shared" si="24"/>
        <v>1513.5560000000005</v>
      </c>
      <c r="M153" s="15"/>
      <c r="N153" s="15"/>
      <c r="O153" s="15"/>
      <c r="P153" s="17"/>
      <c r="Q153" s="31">
        <f t="shared" si="25"/>
        <v>2436.5560000000005</v>
      </c>
      <c r="R153" s="34">
        <f t="shared" si="26"/>
        <v>7.444</v>
      </c>
      <c r="S153" s="22"/>
      <c r="T153" s="273"/>
      <c r="U153" s="273"/>
      <c r="V153" s="22"/>
      <c r="W153" s="272"/>
      <c r="X153" s="272"/>
      <c r="Y153" s="272"/>
      <c r="Z153" s="274"/>
      <c r="AA153" s="22"/>
      <c r="AB153" s="275"/>
      <c r="AC153" s="40"/>
      <c r="AD153" s="40"/>
    </row>
    <row r="154" spans="1:30" s="1" customFormat="1" x14ac:dyDescent="0.25">
      <c r="A154" s="131">
        <v>44027</v>
      </c>
      <c r="B154" s="283" t="s">
        <v>1029</v>
      </c>
      <c r="C154" s="282" t="s">
        <v>922</v>
      </c>
      <c r="D154" s="132">
        <v>400</v>
      </c>
      <c r="E154" s="22">
        <v>5.42</v>
      </c>
      <c r="F154" s="16">
        <f t="shared" si="27"/>
        <v>3900</v>
      </c>
      <c r="G154" s="17">
        <f t="shared" si="28"/>
        <v>3.8364943589743574</v>
      </c>
      <c r="H154" s="15">
        <f t="shared" si="29"/>
        <v>14962.327999999994</v>
      </c>
      <c r="I154" s="15">
        <f t="shared" si="30"/>
        <v>6175.6720000000059</v>
      </c>
      <c r="J154" s="33">
        <f t="shared" si="31"/>
        <v>0.41274806968541317</v>
      </c>
      <c r="K154" s="15">
        <f t="shared" si="32"/>
        <v>21138</v>
      </c>
      <c r="L154" s="15">
        <f t="shared" si="24"/>
        <v>-1583.5</v>
      </c>
      <c r="M154" s="15"/>
      <c r="N154" s="15"/>
      <c r="O154" s="15"/>
      <c r="P154" s="17"/>
      <c r="Q154" s="31">
        <f t="shared" si="25"/>
        <v>-1336.5</v>
      </c>
      <c r="R154" s="34">
        <f t="shared" si="26"/>
        <v>5</v>
      </c>
      <c r="S154" s="22">
        <v>-836.5</v>
      </c>
      <c r="T154" s="273"/>
      <c r="U154" s="273"/>
      <c r="V154" s="22"/>
      <c r="W154" s="272"/>
      <c r="X154" s="272"/>
      <c r="Y154" s="272"/>
      <c r="Z154" s="274"/>
      <c r="AA154" s="22"/>
      <c r="AB154" s="275"/>
      <c r="AC154" s="40"/>
      <c r="AD154" s="40"/>
    </row>
    <row r="155" spans="1:30" s="1" customFormat="1" x14ac:dyDescent="0.25">
      <c r="A155" s="131">
        <v>44029</v>
      </c>
      <c r="B155" s="283" t="s">
        <v>1030</v>
      </c>
      <c r="C155" s="282" t="s">
        <v>922</v>
      </c>
      <c r="D155" s="132">
        <v>400</v>
      </c>
      <c r="E155" s="22">
        <v>5.27</v>
      </c>
      <c r="F155" s="16">
        <f t="shared" si="27"/>
        <v>4300</v>
      </c>
      <c r="G155" s="17">
        <f t="shared" si="28"/>
        <v>3.9710065116279054</v>
      </c>
      <c r="H155" s="15">
        <f t="shared" si="29"/>
        <v>17075.327999999994</v>
      </c>
      <c r="I155" s="15">
        <f t="shared" si="30"/>
        <v>5585.6720000000023</v>
      </c>
      <c r="J155" s="33">
        <f t="shared" si="31"/>
        <v>0.32711945562627009</v>
      </c>
      <c r="K155" s="15">
        <f t="shared" si="32"/>
        <v>22660.999999999996</v>
      </c>
      <c r="L155" s="15">
        <f t="shared" si="24"/>
        <v>-590.00000000000364</v>
      </c>
      <c r="M155" s="15"/>
      <c r="N155" s="15"/>
      <c r="O155" s="15"/>
      <c r="P155" s="17"/>
      <c r="Q155" s="31">
        <f t="shared" si="25"/>
        <v>-2113</v>
      </c>
      <c r="R155" s="34">
        <f t="shared" si="26"/>
        <v>5</v>
      </c>
      <c r="S155" s="22"/>
      <c r="T155" s="273"/>
      <c r="U155" s="273"/>
      <c r="V155" s="22"/>
      <c r="W155" s="272"/>
      <c r="X155" s="272"/>
      <c r="Y155" s="272"/>
      <c r="Z155" s="274"/>
      <c r="AA155" s="22"/>
      <c r="AB155" s="275"/>
      <c r="AC155" s="40"/>
      <c r="AD155" s="40"/>
    </row>
    <row r="156" spans="1:30" s="1" customFormat="1" x14ac:dyDescent="0.25">
      <c r="A156" s="131">
        <v>44032</v>
      </c>
      <c r="B156" s="283"/>
      <c r="C156" s="282" t="s">
        <v>926</v>
      </c>
      <c r="D156" s="132">
        <v>400</v>
      </c>
      <c r="E156" s="22">
        <v>5.37</v>
      </c>
      <c r="F156" s="16">
        <f t="shared" si="27"/>
        <v>3900</v>
      </c>
      <c r="G156" s="17">
        <f t="shared" si="28"/>
        <v>3.8293528205128187</v>
      </c>
      <c r="H156" s="15">
        <f t="shared" si="29"/>
        <v>14934.475999999993</v>
      </c>
      <c r="I156" s="15">
        <f t="shared" si="30"/>
        <v>6008.5240000000067</v>
      </c>
      <c r="J156" s="33">
        <f t="shared" si="31"/>
        <v>0.40232573275419981</v>
      </c>
      <c r="K156" s="15">
        <f t="shared" si="32"/>
        <v>20943</v>
      </c>
      <c r="L156" s="15">
        <f t="shared" si="24"/>
        <v>422.85200000000441</v>
      </c>
      <c r="M156" s="15"/>
      <c r="N156" s="15"/>
      <c r="O156" s="15"/>
      <c r="P156" s="17"/>
      <c r="Q156" s="31">
        <f t="shared" si="25"/>
        <v>2140.8520000000008</v>
      </c>
      <c r="R156" s="34">
        <f t="shared" si="26"/>
        <v>7.1479999999999997</v>
      </c>
      <c r="S156" s="22"/>
      <c r="T156" s="273"/>
      <c r="U156" s="273"/>
      <c r="V156" s="22"/>
      <c r="W156" s="272"/>
      <c r="X156" s="272"/>
      <c r="Y156" s="272"/>
      <c r="Z156" s="274"/>
      <c r="AA156" s="22"/>
      <c r="AB156" s="275"/>
      <c r="AC156" s="40"/>
      <c r="AD156" s="40"/>
    </row>
    <row r="157" spans="1:30" s="1" customFormat="1" x14ac:dyDescent="0.25">
      <c r="A157" s="131">
        <v>44035</v>
      </c>
      <c r="B157" s="283" t="s">
        <v>1031</v>
      </c>
      <c r="C157" s="282" t="s">
        <v>922</v>
      </c>
      <c r="D157" s="132">
        <v>400</v>
      </c>
      <c r="E157" s="22">
        <v>5.21</v>
      </c>
      <c r="F157" s="16">
        <f t="shared" si="27"/>
        <v>4300</v>
      </c>
      <c r="G157" s="17">
        <f t="shared" si="28"/>
        <v>3.9589479069767433</v>
      </c>
      <c r="H157" s="15">
        <f t="shared" si="29"/>
        <v>17023.475999999995</v>
      </c>
      <c r="I157" s="15">
        <f t="shared" si="30"/>
        <v>5379.5240000000049</v>
      </c>
      <c r="J157" s="33">
        <f t="shared" si="31"/>
        <v>0.31600620225857545</v>
      </c>
      <c r="K157" s="15">
        <f t="shared" si="32"/>
        <v>22403</v>
      </c>
      <c r="L157" s="15">
        <f t="shared" si="24"/>
        <v>-629.00000000000182</v>
      </c>
      <c r="M157" s="15"/>
      <c r="N157" s="15"/>
      <c r="O157" s="15"/>
      <c r="P157" s="17"/>
      <c r="Q157" s="31">
        <f t="shared" si="25"/>
        <v>-2089.0000000000018</v>
      </c>
      <c r="R157" s="34">
        <f t="shared" si="26"/>
        <v>5</v>
      </c>
      <c r="S157" s="22"/>
      <c r="T157" s="273"/>
      <c r="U157" s="273"/>
      <c r="V157" s="22"/>
      <c r="W157" s="272"/>
      <c r="X157" s="272"/>
      <c r="Y157" s="272"/>
      <c r="Z157" s="274"/>
      <c r="AA157" s="22"/>
      <c r="AB157" s="275"/>
      <c r="AC157" s="40"/>
      <c r="AD157" s="40"/>
    </row>
    <row r="158" spans="1:30" s="1" customFormat="1" x14ac:dyDescent="0.25">
      <c r="A158" s="131">
        <v>44036</v>
      </c>
      <c r="B158" s="283" t="s">
        <v>1032</v>
      </c>
      <c r="C158" s="282" t="s">
        <v>922</v>
      </c>
      <c r="D158" s="132">
        <v>400</v>
      </c>
      <c r="E158" s="22">
        <v>5.14</v>
      </c>
      <c r="F158" s="16">
        <f t="shared" si="27"/>
        <v>4700</v>
      </c>
      <c r="G158" s="17">
        <f t="shared" si="28"/>
        <v>4.0605268085106374</v>
      </c>
      <c r="H158" s="15">
        <f t="shared" si="29"/>
        <v>19084.475999999995</v>
      </c>
      <c r="I158" s="15">
        <f t="shared" si="30"/>
        <v>5073.5240000000049</v>
      </c>
      <c r="J158" s="33">
        <f t="shared" si="31"/>
        <v>0.26584560141970909</v>
      </c>
      <c r="K158" s="15">
        <f t="shared" si="32"/>
        <v>24158</v>
      </c>
      <c r="L158" s="15">
        <f t="shared" si="24"/>
        <v>-306</v>
      </c>
      <c r="M158" s="15"/>
      <c r="N158" s="15"/>
      <c r="O158" s="15"/>
      <c r="P158" s="17"/>
      <c r="Q158" s="31">
        <f t="shared" si="25"/>
        <v>-2061</v>
      </c>
      <c r="R158" s="34">
        <f t="shared" si="26"/>
        <v>5</v>
      </c>
      <c r="S158" s="22"/>
      <c r="T158" s="273"/>
      <c r="U158" s="273"/>
      <c r="V158" s="22"/>
      <c r="W158" s="272"/>
      <c r="X158" s="272"/>
      <c r="Y158" s="272"/>
      <c r="Z158" s="274"/>
      <c r="AA158" s="22"/>
      <c r="AB158" s="275"/>
      <c r="AC158" s="40"/>
      <c r="AD158" s="40"/>
    </row>
    <row r="159" spans="1:30" s="1" customFormat="1" x14ac:dyDescent="0.25">
      <c r="A159" s="131">
        <v>44046</v>
      </c>
      <c r="B159" s="283"/>
      <c r="C159" s="282" t="s">
        <v>922</v>
      </c>
      <c r="D159" s="132">
        <v>1500</v>
      </c>
      <c r="E159" s="22">
        <v>5.18</v>
      </c>
      <c r="F159" s="16">
        <f t="shared" si="27"/>
        <v>6200</v>
      </c>
      <c r="G159" s="17">
        <f t="shared" si="28"/>
        <v>4.3321735483870958</v>
      </c>
      <c r="H159" s="15">
        <f t="shared" si="29"/>
        <v>26859.475999999995</v>
      </c>
      <c r="I159" s="15">
        <f t="shared" si="30"/>
        <v>5256.5240000000049</v>
      </c>
      <c r="J159" s="33">
        <f t="shared" si="31"/>
        <v>0.19570463697802615</v>
      </c>
      <c r="K159" s="15">
        <f t="shared" si="32"/>
        <v>32116</v>
      </c>
      <c r="L159" s="15">
        <f t="shared" si="24"/>
        <v>183</v>
      </c>
      <c r="M159" s="15"/>
      <c r="N159" s="15"/>
      <c r="O159" s="15"/>
      <c r="P159" s="17"/>
      <c r="Q159" s="31">
        <f t="shared" si="25"/>
        <v>-7775</v>
      </c>
      <c r="R159" s="34">
        <f t="shared" si="26"/>
        <v>5</v>
      </c>
      <c r="S159" s="22"/>
      <c r="T159" s="273"/>
      <c r="U159" s="273"/>
      <c r="V159" s="22"/>
      <c r="W159" s="272"/>
      <c r="X159" s="272"/>
      <c r="Y159" s="272"/>
      <c r="Z159" s="274"/>
      <c r="AA159" s="22"/>
      <c r="AB159" s="275"/>
      <c r="AC159" s="40"/>
      <c r="AD159" s="40"/>
    </row>
    <row r="160" spans="1:30" s="1" customFormat="1" x14ac:dyDescent="0.25">
      <c r="A160" s="131">
        <v>44047</v>
      </c>
      <c r="B160" s="283"/>
      <c r="C160" s="282" t="s">
        <v>926</v>
      </c>
      <c r="D160" s="132">
        <v>400</v>
      </c>
      <c r="E160" s="22">
        <v>5.26</v>
      </c>
      <c r="F160" s="16">
        <f t="shared" si="27"/>
        <v>5800</v>
      </c>
      <c r="G160" s="17">
        <f t="shared" si="28"/>
        <v>4.2694103448275849</v>
      </c>
      <c r="H160" s="15">
        <f t="shared" si="29"/>
        <v>24762.579999999994</v>
      </c>
      <c r="I160" s="15">
        <f t="shared" si="30"/>
        <v>5745.4200000000055</v>
      </c>
      <c r="J160" s="33">
        <f t="shared" si="31"/>
        <v>0.23202024990933934</v>
      </c>
      <c r="K160" s="15">
        <f t="shared" si="32"/>
        <v>30508</v>
      </c>
      <c r="L160" s="15">
        <f t="shared" si="24"/>
        <v>488.89600000000064</v>
      </c>
      <c r="M160" s="15"/>
      <c r="N160" s="15"/>
      <c r="O160" s="15"/>
      <c r="P160" s="17"/>
      <c r="Q160" s="31">
        <f t="shared" si="25"/>
        <v>2096.8960000000006</v>
      </c>
      <c r="R160" s="34">
        <f t="shared" si="26"/>
        <v>7.1040000000000001</v>
      </c>
      <c r="S160" s="22"/>
      <c r="T160" s="273"/>
      <c r="U160" s="273"/>
      <c r="V160" s="22"/>
      <c r="W160" s="272"/>
      <c r="X160" s="272"/>
      <c r="Y160" s="272"/>
      <c r="Z160" s="274"/>
      <c r="AA160" s="22"/>
      <c r="AB160" s="275"/>
      <c r="AC160" s="40"/>
      <c r="AD160" s="40"/>
    </row>
    <row r="161" spans="1:30" s="1" customFormat="1" x14ac:dyDescent="0.25">
      <c r="A161" s="131">
        <v>44060</v>
      </c>
      <c r="B161" s="283"/>
      <c r="C161" s="282" t="s">
        <v>926</v>
      </c>
      <c r="D161" s="132">
        <v>400</v>
      </c>
      <c r="E161" s="22">
        <v>5.41</v>
      </c>
      <c r="F161" s="16">
        <f t="shared" si="27"/>
        <v>5400</v>
      </c>
      <c r="G161" s="17">
        <f t="shared" si="28"/>
        <v>4.1862488888888878</v>
      </c>
      <c r="H161" s="15">
        <f t="shared" si="29"/>
        <v>22605.743999999995</v>
      </c>
      <c r="I161" s="15">
        <f t="shared" si="30"/>
        <v>6608.2560000000049</v>
      </c>
      <c r="J161" s="33">
        <f t="shared" si="31"/>
        <v>0.2923264104910685</v>
      </c>
      <c r="K161" s="15">
        <f t="shared" si="32"/>
        <v>29214</v>
      </c>
      <c r="L161" s="15">
        <f t="shared" si="24"/>
        <v>862.83599999999933</v>
      </c>
      <c r="M161" s="15"/>
      <c r="N161" s="15"/>
      <c r="O161" s="15"/>
      <c r="P161" s="17"/>
      <c r="Q161" s="31">
        <f t="shared" si="25"/>
        <v>2156.8359999999993</v>
      </c>
      <c r="R161" s="34">
        <f t="shared" si="26"/>
        <v>7.1639999999999997</v>
      </c>
      <c r="S161" s="22"/>
      <c r="T161" s="273"/>
      <c r="U161" s="273"/>
      <c r="V161" s="22"/>
      <c r="W161" s="272"/>
      <c r="X161" s="272"/>
      <c r="Y161" s="272"/>
      <c r="Z161" s="274"/>
      <c r="AA161" s="22"/>
      <c r="AB161" s="275"/>
      <c r="AC161" s="40"/>
      <c r="AD161" s="40"/>
    </row>
    <row r="162" spans="1:30" s="1" customFormat="1" x14ac:dyDescent="0.25">
      <c r="A162" s="131">
        <v>44067</v>
      </c>
      <c r="B162" s="283" t="s">
        <v>1033</v>
      </c>
      <c r="C162" s="282" t="s">
        <v>922</v>
      </c>
      <c r="D162" s="132">
        <v>400</v>
      </c>
      <c r="E162" s="22">
        <v>5.26</v>
      </c>
      <c r="F162" s="16">
        <f t="shared" si="27"/>
        <v>5800</v>
      </c>
      <c r="G162" s="17">
        <f t="shared" si="28"/>
        <v>4.2611627586206886</v>
      </c>
      <c r="H162" s="15">
        <f t="shared" si="29"/>
        <v>24714.743999999995</v>
      </c>
      <c r="I162" s="15">
        <f t="shared" si="30"/>
        <v>5793.2560000000049</v>
      </c>
      <c r="J162" s="33">
        <f t="shared" si="31"/>
        <v>0.23440485566024905</v>
      </c>
      <c r="K162" s="15">
        <f t="shared" si="32"/>
        <v>30508</v>
      </c>
      <c r="L162" s="15">
        <f t="shared" si="24"/>
        <v>-815</v>
      </c>
      <c r="M162" s="15"/>
      <c r="N162" s="15"/>
      <c r="O162" s="15"/>
      <c r="P162" s="17"/>
      <c r="Q162" s="31">
        <f t="shared" si="25"/>
        <v>-2109</v>
      </c>
      <c r="R162" s="34">
        <f t="shared" si="26"/>
        <v>5</v>
      </c>
      <c r="S162" s="22"/>
      <c r="T162" s="273"/>
      <c r="U162" s="273"/>
      <c r="V162" s="22"/>
      <c r="W162" s="272"/>
      <c r="X162" s="272"/>
      <c r="Y162" s="272"/>
      <c r="Z162" s="274"/>
      <c r="AA162" s="22"/>
      <c r="AB162" s="275"/>
      <c r="AC162" s="40"/>
      <c r="AD162" s="40"/>
    </row>
    <row r="163" spans="1:30" s="1" customFormat="1" x14ac:dyDescent="0.25">
      <c r="A163" s="131">
        <v>44070</v>
      </c>
      <c r="B163" s="283" t="s">
        <v>1034</v>
      </c>
      <c r="C163" s="282" t="s">
        <v>922</v>
      </c>
      <c r="D163" s="132">
        <v>400</v>
      </c>
      <c r="E163" s="22">
        <v>5.19</v>
      </c>
      <c r="F163" s="16">
        <f t="shared" si="27"/>
        <v>6200</v>
      </c>
      <c r="G163" s="17">
        <f t="shared" si="28"/>
        <v>4.3218941935483866</v>
      </c>
      <c r="H163" s="15">
        <f t="shared" si="29"/>
        <v>26795.743999999995</v>
      </c>
      <c r="I163" s="15">
        <f t="shared" si="30"/>
        <v>5382.2560000000085</v>
      </c>
      <c r="J163" s="33">
        <f t="shared" si="31"/>
        <v>0.20086234590090152</v>
      </c>
      <c r="K163" s="15">
        <f t="shared" si="32"/>
        <v>32178.000000000004</v>
      </c>
      <c r="L163" s="15">
        <f t="shared" si="24"/>
        <v>-410.99999999999636</v>
      </c>
      <c r="M163" s="15"/>
      <c r="N163" s="15"/>
      <c r="O163" s="15"/>
      <c r="P163" s="17"/>
      <c r="Q163" s="31">
        <f t="shared" si="25"/>
        <v>-2081</v>
      </c>
      <c r="R163" s="34">
        <f t="shared" si="26"/>
        <v>5</v>
      </c>
      <c r="S163" s="22"/>
      <c r="T163" s="273"/>
      <c r="U163" s="273"/>
      <c r="V163" s="22"/>
      <c r="W163" s="272"/>
      <c r="X163" s="272"/>
      <c r="Y163" s="272"/>
      <c r="Z163" s="274"/>
      <c r="AA163" s="22"/>
      <c r="AB163" s="275"/>
      <c r="AC163" s="40"/>
      <c r="AD163" s="40"/>
    </row>
    <row r="164" spans="1:30" s="1" customFormat="1" x14ac:dyDescent="0.25">
      <c r="A164" s="131">
        <v>44082</v>
      </c>
      <c r="B164" s="283" t="s">
        <v>1035</v>
      </c>
      <c r="C164" s="282" t="s">
        <v>922</v>
      </c>
      <c r="D164" s="132">
        <v>500</v>
      </c>
      <c r="E164" s="22">
        <v>5.15</v>
      </c>
      <c r="F164" s="16">
        <f t="shared" si="27"/>
        <v>6700</v>
      </c>
      <c r="G164" s="17">
        <f t="shared" si="28"/>
        <v>4.3844394029850742</v>
      </c>
      <c r="H164" s="15">
        <f t="shared" si="29"/>
        <v>29375.743999999995</v>
      </c>
      <c r="I164" s="15">
        <f t="shared" si="30"/>
        <v>5129.2560000000049</v>
      </c>
      <c r="J164" s="33">
        <f t="shared" si="31"/>
        <v>0.17460854778690901</v>
      </c>
      <c r="K164" s="15">
        <f t="shared" si="32"/>
        <v>34505</v>
      </c>
      <c r="L164" s="15">
        <f t="shared" si="24"/>
        <v>-253.00000000000364</v>
      </c>
      <c r="M164" s="15"/>
      <c r="N164" s="15"/>
      <c r="O164" s="15"/>
      <c r="P164" s="17"/>
      <c r="Q164" s="31">
        <f t="shared" si="25"/>
        <v>-2580</v>
      </c>
      <c r="R164" s="34">
        <f t="shared" si="26"/>
        <v>5</v>
      </c>
      <c r="S164" s="22"/>
      <c r="T164" s="273"/>
      <c r="U164" s="273"/>
      <c r="V164" s="22"/>
      <c r="W164" s="272"/>
      <c r="X164" s="272"/>
      <c r="Y164" s="272"/>
      <c r="Z164" s="274"/>
      <c r="AA164" s="22"/>
      <c r="AB164" s="275"/>
      <c r="AC164" s="40"/>
      <c r="AD164" s="40"/>
    </row>
    <row r="165" spans="1:30" s="1" customFormat="1" x14ac:dyDescent="0.25">
      <c r="A165" s="131">
        <v>44089</v>
      </c>
      <c r="B165" s="283"/>
      <c r="C165" s="282" t="s">
        <v>922</v>
      </c>
      <c r="D165" s="132">
        <v>500</v>
      </c>
      <c r="E165" s="22">
        <v>5.1100000000000003</v>
      </c>
      <c r="F165" s="16">
        <f t="shared" si="27"/>
        <v>7200</v>
      </c>
      <c r="G165" s="17">
        <f t="shared" si="28"/>
        <v>4.4355199999999995</v>
      </c>
      <c r="H165" s="15">
        <f t="shared" si="29"/>
        <v>31935.743999999995</v>
      </c>
      <c r="I165" s="15">
        <f t="shared" si="30"/>
        <v>4856.2560000000049</v>
      </c>
      <c r="J165" s="33">
        <f t="shared" si="31"/>
        <v>0.15206334319313203</v>
      </c>
      <c r="K165" s="15">
        <f t="shared" si="32"/>
        <v>36792</v>
      </c>
      <c r="L165" s="15">
        <f t="shared" si="24"/>
        <v>-273</v>
      </c>
      <c r="M165" s="15"/>
      <c r="N165" s="15"/>
      <c r="O165" s="15"/>
      <c r="P165" s="17"/>
      <c r="Q165" s="31">
        <f t="shared" si="25"/>
        <v>-2560</v>
      </c>
      <c r="R165" s="34">
        <f t="shared" si="26"/>
        <v>5</v>
      </c>
      <c r="S165" s="22"/>
      <c r="T165" s="273"/>
      <c r="U165" s="273"/>
      <c r="V165" s="22"/>
      <c r="W165" s="272"/>
      <c r="X165" s="272"/>
      <c r="Y165" s="272"/>
      <c r="Z165" s="274"/>
      <c r="AA165" s="22"/>
      <c r="AB165" s="275"/>
      <c r="AC165" s="40"/>
      <c r="AD165" s="40"/>
    </row>
    <row r="166" spans="1:30" s="1" customFormat="1" x14ac:dyDescent="0.25">
      <c r="A166" s="131">
        <v>44119</v>
      </c>
      <c r="B166" s="283" t="s">
        <v>1036</v>
      </c>
      <c r="C166" s="282" t="s">
        <v>926</v>
      </c>
      <c r="D166" s="132">
        <v>400</v>
      </c>
      <c r="E166" s="22">
        <v>5.22</v>
      </c>
      <c r="F166" s="16">
        <f t="shared" si="27"/>
        <v>6800</v>
      </c>
      <c r="G166" s="17">
        <f t="shared" si="28"/>
        <v>4.3904164705882343</v>
      </c>
      <c r="H166" s="15">
        <f t="shared" si="29"/>
        <v>29854.831999999995</v>
      </c>
      <c r="I166" s="15">
        <f t="shared" si="30"/>
        <v>5641.1680000000051</v>
      </c>
      <c r="J166" s="33">
        <f t="shared" si="31"/>
        <v>0.18895326558863257</v>
      </c>
      <c r="K166" s="15">
        <f t="shared" si="32"/>
        <v>35496</v>
      </c>
      <c r="L166" s="15">
        <f t="shared" si="24"/>
        <v>784.91200000000026</v>
      </c>
      <c r="M166" s="15"/>
      <c r="N166" s="15"/>
      <c r="O166" s="15"/>
      <c r="P166" s="17"/>
      <c r="Q166" s="31">
        <f t="shared" si="25"/>
        <v>2080.9120000000003</v>
      </c>
      <c r="R166" s="34">
        <f t="shared" si="26"/>
        <v>7.0880000000000001</v>
      </c>
      <c r="S166" s="22"/>
      <c r="T166" s="273"/>
      <c r="U166" s="273"/>
      <c r="V166" s="22"/>
      <c r="W166" s="272"/>
      <c r="X166" s="272"/>
      <c r="Y166" s="272"/>
      <c r="Z166" s="274"/>
      <c r="AA166" s="22"/>
      <c r="AB166" s="275"/>
      <c r="AC166" s="40"/>
      <c r="AD166" s="40"/>
    </row>
    <row r="167" spans="1:30" s="1" customFormat="1" x14ac:dyDescent="0.25">
      <c r="A167" s="131">
        <v>44120</v>
      </c>
      <c r="B167" s="283" t="s">
        <v>1036</v>
      </c>
      <c r="C167" s="282" t="s">
        <v>926</v>
      </c>
      <c r="D167" s="132">
        <v>400</v>
      </c>
      <c r="E167" s="22">
        <v>5.27</v>
      </c>
      <c r="F167" s="16">
        <f t="shared" si="27"/>
        <v>6400</v>
      </c>
      <c r="G167" s="17">
        <f t="shared" si="28"/>
        <v>4.3365531249999991</v>
      </c>
      <c r="H167" s="15">
        <f t="shared" si="29"/>
        <v>27753.939999999995</v>
      </c>
      <c r="I167" s="15">
        <f t="shared" si="30"/>
        <v>5974.0600000000049</v>
      </c>
      <c r="J167" s="33">
        <f t="shared" si="31"/>
        <v>0.21525087969491913</v>
      </c>
      <c r="K167" s="15">
        <f t="shared" si="32"/>
        <v>33728</v>
      </c>
      <c r="L167" s="15">
        <f t="shared" si="24"/>
        <v>332.89199999999983</v>
      </c>
      <c r="M167" s="15"/>
      <c r="N167" s="15"/>
      <c r="O167" s="15"/>
      <c r="P167" s="17"/>
      <c r="Q167" s="31">
        <f t="shared" si="25"/>
        <v>2100.8919999999998</v>
      </c>
      <c r="R167" s="34">
        <f t="shared" si="26"/>
        <v>7.1079999999999997</v>
      </c>
      <c r="S167" s="22"/>
      <c r="T167" s="273"/>
      <c r="U167" s="273"/>
      <c r="V167" s="22"/>
      <c r="W167" s="272"/>
      <c r="X167" s="272"/>
      <c r="Y167" s="272"/>
      <c r="Z167" s="274"/>
      <c r="AA167" s="22"/>
      <c r="AB167" s="275"/>
      <c r="AC167" s="40"/>
      <c r="AD167" s="40"/>
    </row>
    <row r="168" spans="1:30" s="1" customFormat="1" x14ac:dyDescent="0.25">
      <c r="A168" s="131">
        <v>44152</v>
      </c>
      <c r="B168" s="337"/>
      <c r="C168" s="306" t="s">
        <v>922</v>
      </c>
      <c r="D168" s="16">
        <v>400</v>
      </c>
      <c r="E168" s="15">
        <v>5.07</v>
      </c>
      <c r="F168" s="16">
        <f t="shared" si="27"/>
        <v>6800</v>
      </c>
      <c r="G168" s="17">
        <f t="shared" si="28"/>
        <v>4.3804323529411757</v>
      </c>
      <c r="H168" s="15">
        <f t="shared" si="29"/>
        <v>29786.939999999995</v>
      </c>
      <c r="I168" s="15">
        <f t="shared" si="30"/>
        <v>4689.0600000000049</v>
      </c>
      <c r="J168" s="33">
        <f t="shared" si="31"/>
        <v>0.15741999681739741</v>
      </c>
      <c r="K168" s="15">
        <f t="shared" si="32"/>
        <v>34476</v>
      </c>
      <c r="L168" s="15">
        <f t="shared" si="24"/>
        <v>-1285</v>
      </c>
      <c r="M168" s="15"/>
      <c r="N168" s="15"/>
      <c r="O168" s="15"/>
      <c r="P168" s="17"/>
      <c r="Q168" s="31">
        <f t="shared" si="25"/>
        <v>-2033</v>
      </c>
      <c r="R168" s="34">
        <f t="shared" si="26"/>
        <v>5</v>
      </c>
      <c r="S168" s="15"/>
      <c r="T168" s="273"/>
      <c r="U168" s="273"/>
      <c r="V168" s="22"/>
      <c r="W168" s="272"/>
      <c r="X168" s="272"/>
      <c r="Y168" s="272"/>
      <c r="Z168" s="274"/>
      <c r="AA168" s="22"/>
      <c r="AB168" s="275"/>
      <c r="AC168" s="40"/>
      <c r="AD168" s="40"/>
    </row>
    <row r="169" spans="1:30" s="1" customFormat="1" x14ac:dyDescent="0.25">
      <c r="A169" s="131">
        <v>44153</v>
      </c>
      <c r="B169" s="283" t="s">
        <v>1036</v>
      </c>
      <c r="C169" s="282" t="s">
        <v>926</v>
      </c>
      <c r="D169" s="132">
        <v>400</v>
      </c>
      <c r="E169" s="22">
        <v>5.17</v>
      </c>
      <c r="F169" s="16">
        <f t="shared" si="27"/>
        <v>6400</v>
      </c>
      <c r="G169" s="17">
        <f t="shared" si="28"/>
        <v>4.3321887499999994</v>
      </c>
      <c r="H169" s="15">
        <f t="shared" si="29"/>
        <v>27726.007999999994</v>
      </c>
      <c r="I169" s="15">
        <f t="shared" si="30"/>
        <v>5361.9920000000056</v>
      </c>
      <c r="J169" s="33">
        <f t="shared" si="31"/>
        <v>0.19339213925062723</v>
      </c>
      <c r="K169" s="15">
        <f t="shared" si="32"/>
        <v>33088</v>
      </c>
      <c r="L169" s="15">
        <f t="shared" si="24"/>
        <v>672.9320000000007</v>
      </c>
      <c r="M169" s="15"/>
      <c r="N169" s="15"/>
      <c r="O169" s="15"/>
      <c r="P169" s="17"/>
      <c r="Q169" s="31">
        <f t="shared" si="25"/>
        <v>2060.9320000000007</v>
      </c>
      <c r="R169" s="34">
        <f t="shared" si="26"/>
        <v>7.0679999999999996</v>
      </c>
      <c r="S169" s="22"/>
      <c r="T169" s="273"/>
      <c r="U169" s="273"/>
      <c r="V169" s="22"/>
      <c r="W169" s="272"/>
      <c r="X169" s="272"/>
      <c r="Y169" s="272"/>
      <c r="Z169" s="274"/>
      <c r="AA169" s="22"/>
      <c r="AB169" s="275"/>
      <c r="AC169" s="40"/>
      <c r="AD169" s="40"/>
    </row>
    <row r="170" spans="1:30" s="1" customFormat="1" x14ac:dyDescent="0.25">
      <c r="A170" s="131">
        <v>44161</v>
      </c>
      <c r="B170" s="283" t="s">
        <v>1162</v>
      </c>
      <c r="C170" s="282" t="s">
        <v>634</v>
      </c>
      <c r="D170" s="132">
        <v>400</v>
      </c>
      <c r="E170" s="22">
        <v>5.26</v>
      </c>
      <c r="F170" s="16">
        <f t="shared" si="27"/>
        <v>6000</v>
      </c>
      <c r="G170" s="17">
        <f t="shared" si="28"/>
        <v>4.2715186666666654</v>
      </c>
      <c r="H170" s="15">
        <f t="shared" si="29"/>
        <v>25629.111999999994</v>
      </c>
      <c r="I170" s="15">
        <f t="shared" si="30"/>
        <v>5930.8880000000063</v>
      </c>
      <c r="J170" s="33">
        <f t="shared" si="31"/>
        <v>0.23141215349170149</v>
      </c>
      <c r="K170" s="15">
        <f t="shared" si="32"/>
        <v>31560</v>
      </c>
      <c r="L170" s="15">
        <f t="shared" si="24"/>
        <v>568.89600000000064</v>
      </c>
      <c r="M170" s="15"/>
      <c r="N170" s="15"/>
      <c r="O170" s="15"/>
      <c r="P170" s="17"/>
      <c r="Q170" s="31">
        <f t="shared" si="25"/>
        <v>2096.8960000000006</v>
      </c>
      <c r="R170" s="34">
        <f t="shared" si="26"/>
        <v>7.1040000000000001</v>
      </c>
      <c r="S170" s="22"/>
      <c r="T170" s="273"/>
      <c r="U170" s="273"/>
      <c r="V170" s="22"/>
      <c r="W170" s="272"/>
      <c r="X170" s="272"/>
      <c r="Y170" s="272"/>
      <c r="Z170" s="274"/>
      <c r="AA170" s="22"/>
      <c r="AB170" s="275"/>
      <c r="AC170" s="40"/>
      <c r="AD170" s="40"/>
    </row>
    <row r="171" spans="1:30" s="1" customFormat="1" x14ac:dyDescent="0.25">
      <c r="A171" s="131">
        <v>44162</v>
      </c>
      <c r="B171" s="283"/>
      <c r="C171" s="282" t="s">
        <v>634</v>
      </c>
      <c r="D171" s="132">
        <v>400</v>
      </c>
      <c r="E171" s="22">
        <v>5.37</v>
      </c>
      <c r="F171" s="16">
        <f t="shared" si="27"/>
        <v>5600</v>
      </c>
      <c r="G171" s="17">
        <f t="shared" si="28"/>
        <v>4.1943321428571423</v>
      </c>
      <c r="H171" s="15">
        <f t="shared" si="29"/>
        <v>23488.259999999995</v>
      </c>
      <c r="I171" s="15">
        <f t="shared" si="30"/>
        <v>6583.7400000000052</v>
      </c>
      <c r="J171" s="33">
        <f t="shared" si="31"/>
        <v>0.28029917924954872</v>
      </c>
      <c r="K171" s="15">
        <f t="shared" si="32"/>
        <v>30072</v>
      </c>
      <c r="L171" s="15">
        <f t="shared" si="24"/>
        <v>652.85199999999895</v>
      </c>
      <c r="M171" s="15"/>
      <c r="N171" s="15"/>
      <c r="O171" s="15"/>
      <c r="P171" s="17"/>
      <c r="Q171" s="31">
        <f t="shared" si="25"/>
        <v>2140.851999999999</v>
      </c>
      <c r="R171" s="34">
        <f t="shared" si="26"/>
        <v>7.1479999999999997</v>
      </c>
      <c r="S171" s="22"/>
      <c r="T171" s="273"/>
      <c r="U171" s="273"/>
      <c r="V171" s="22"/>
      <c r="W171" s="272"/>
      <c r="X171" s="272"/>
      <c r="Y171" s="272"/>
      <c r="Z171" s="274"/>
      <c r="AA171" s="22"/>
      <c r="AB171" s="275"/>
      <c r="AC171" s="40"/>
      <c r="AD171" s="40"/>
    </row>
    <row r="172" spans="1:30" s="1" customFormat="1" x14ac:dyDescent="0.25">
      <c r="A172" s="131">
        <v>44162</v>
      </c>
      <c r="B172" s="283"/>
      <c r="C172" s="282" t="s">
        <v>634</v>
      </c>
      <c r="D172" s="132">
        <v>400</v>
      </c>
      <c r="E172" s="22">
        <v>5.46</v>
      </c>
      <c r="F172" s="16">
        <f t="shared" si="27"/>
        <v>5200</v>
      </c>
      <c r="G172" s="17">
        <f t="shared" si="28"/>
        <v>4.0983546153846149</v>
      </c>
      <c r="H172" s="15">
        <f t="shared" si="29"/>
        <v>21311.443999999996</v>
      </c>
      <c r="I172" s="15">
        <f t="shared" si="30"/>
        <v>7080.5560000000041</v>
      </c>
      <c r="J172" s="33">
        <f t="shared" si="31"/>
        <v>0.33224196351969409</v>
      </c>
      <c r="K172" s="15">
        <f t="shared" si="32"/>
        <v>28392</v>
      </c>
      <c r="L172" s="15">
        <f t="shared" si="24"/>
        <v>496.81599999999889</v>
      </c>
      <c r="M172" s="15"/>
      <c r="N172" s="15"/>
      <c r="O172" s="15"/>
      <c r="P172" s="17"/>
      <c r="Q172" s="31">
        <f t="shared" si="25"/>
        <v>2176.8159999999989</v>
      </c>
      <c r="R172" s="34">
        <f t="shared" si="26"/>
        <v>7.1840000000000002</v>
      </c>
      <c r="S172" s="22"/>
      <c r="T172" s="273"/>
      <c r="U172" s="273"/>
      <c r="V172" s="22"/>
      <c r="W172" s="272"/>
      <c r="X172" s="272"/>
      <c r="Y172" s="272"/>
      <c r="Z172" s="274"/>
      <c r="AA172" s="22"/>
      <c r="AB172" s="275"/>
      <c r="AC172" s="40"/>
      <c r="AD172" s="40"/>
    </row>
    <row r="173" spans="1:30" s="1" customFormat="1" x14ac:dyDescent="0.25">
      <c r="A173" s="131">
        <v>44173</v>
      </c>
      <c r="B173" s="283" t="s">
        <v>1159</v>
      </c>
      <c r="C173" s="282" t="s">
        <v>623</v>
      </c>
      <c r="D173" s="132">
        <v>400</v>
      </c>
      <c r="E173" s="22">
        <v>5.18</v>
      </c>
      <c r="F173" s="16">
        <f t="shared" si="27"/>
        <v>5600</v>
      </c>
      <c r="G173" s="17">
        <f t="shared" si="28"/>
        <v>4.1765078571428562</v>
      </c>
      <c r="H173" s="15">
        <f t="shared" si="29"/>
        <v>23388.443999999996</v>
      </c>
      <c r="I173" s="15">
        <f t="shared" si="30"/>
        <v>5619.5560000000041</v>
      </c>
      <c r="J173" s="33">
        <f t="shared" si="31"/>
        <v>0.24027062253478704</v>
      </c>
      <c r="K173" s="15">
        <f t="shared" si="32"/>
        <v>29008</v>
      </c>
      <c r="L173" s="15">
        <f t="shared" si="24"/>
        <v>-1461</v>
      </c>
      <c r="M173" s="15"/>
      <c r="N173" s="15"/>
      <c r="O173" s="15"/>
      <c r="P173" s="17"/>
      <c r="Q173" s="31">
        <f t="shared" si="25"/>
        <v>-2077</v>
      </c>
      <c r="R173" s="34">
        <f t="shared" si="26"/>
        <v>5</v>
      </c>
      <c r="S173" s="22"/>
      <c r="T173" s="273"/>
      <c r="U173" s="273"/>
      <c r="V173" s="22"/>
      <c r="W173" s="272"/>
      <c r="X173" s="272"/>
      <c r="Y173" s="272"/>
      <c r="Z173" s="274"/>
      <c r="AA173" s="22"/>
      <c r="AB173" s="275"/>
      <c r="AC173" s="40"/>
      <c r="AD173" s="40"/>
    </row>
    <row r="174" spans="1:30" s="1" customFormat="1" x14ac:dyDescent="0.25">
      <c r="A174" s="131">
        <v>44176</v>
      </c>
      <c r="B174" s="283" t="s">
        <v>1173</v>
      </c>
      <c r="C174" s="282" t="s">
        <v>623</v>
      </c>
      <c r="D174" s="132">
        <v>400</v>
      </c>
      <c r="E174" s="22">
        <v>5.07</v>
      </c>
      <c r="F174" s="16">
        <f t="shared" si="27"/>
        <v>6000</v>
      </c>
      <c r="G174" s="17">
        <f t="shared" si="28"/>
        <v>4.2369073333333329</v>
      </c>
      <c r="H174" s="15">
        <f t="shared" si="29"/>
        <v>25421.443999999996</v>
      </c>
      <c r="I174" s="15">
        <f t="shared" si="30"/>
        <v>4998.5560000000041</v>
      </c>
      <c r="J174" s="33">
        <f t="shared" si="31"/>
        <v>0.19662754011927902</v>
      </c>
      <c r="K174" s="15">
        <f t="shared" si="32"/>
        <v>30420</v>
      </c>
      <c r="L174" s="15">
        <f t="shared" si="24"/>
        <v>-621</v>
      </c>
      <c r="M174" s="15"/>
      <c r="N174" s="15"/>
      <c r="O174" s="15"/>
      <c r="P174" s="17"/>
      <c r="Q174" s="31">
        <f t="shared" si="25"/>
        <v>-2033</v>
      </c>
      <c r="R174" s="34">
        <f t="shared" si="26"/>
        <v>5</v>
      </c>
      <c r="S174" s="22"/>
      <c r="T174" s="273"/>
      <c r="U174" s="273"/>
      <c r="V174" s="22"/>
      <c r="W174" s="272"/>
      <c r="X174" s="272"/>
      <c r="Y174" s="272"/>
      <c r="Z174" s="274"/>
      <c r="AA174" s="22"/>
      <c r="AB174" s="275"/>
      <c r="AC174" s="40"/>
      <c r="AD174" s="40"/>
    </row>
    <row r="175" spans="1:30" s="1" customFormat="1" x14ac:dyDescent="0.25">
      <c r="A175" s="131">
        <v>44211</v>
      </c>
      <c r="B175" s="283" t="s">
        <v>1170</v>
      </c>
      <c r="C175" s="282" t="s">
        <v>926</v>
      </c>
      <c r="D175" s="132">
        <v>400</v>
      </c>
      <c r="E175" s="22">
        <v>5.26</v>
      </c>
      <c r="F175" s="16">
        <f t="shared" si="27"/>
        <v>5600</v>
      </c>
      <c r="G175" s="17">
        <f t="shared" si="28"/>
        <v>4.1650978571428565</v>
      </c>
      <c r="H175" s="15">
        <f t="shared" si="29"/>
        <v>23324.547999999995</v>
      </c>
      <c r="I175" s="15">
        <f t="shared" si="30"/>
        <v>6131.4520000000048</v>
      </c>
      <c r="J175" s="33">
        <f t="shared" si="31"/>
        <v>0.26287549066331334</v>
      </c>
      <c r="K175" s="15">
        <f t="shared" si="32"/>
        <v>29456</v>
      </c>
      <c r="L175" s="15">
        <f t="shared" si="24"/>
        <v>1132.8960000000006</v>
      </c>
      <c r="M175" s="15"/>
      <c r="N175" s="15"/>
      <c r="O175" s="15"/>
      <c r="P175" s="17"/>
      <c r="Q175" s="31">
        <f t="shared" si="25"/>
        <v>2096.8960000000006</v>
      </c>
      <c r="R175" s="34">
        <f t="shared" si="26"/>
        <v>7.1040000000000001</v>
      </c>
      <c r="S175" s="22"/>
      <c r="T175" s="273"/>
      <c r="U175" s="273"/>
      <c r="V175" s="22"/>
      <c r="W175" s="272"/>
      <c r="X175" s="272"/>
      <c r="Y175" s="272"/>
      <c r="Z175" s="274"/>
      <c r="AA175" s="22"/>
      <c r="AB175" s="275"/>
      <c r="AC175" s="40"/>
      <c r="AD175" s="40"/>
    </row>
    <row r="176" spans="1:30" s="1" customFormat="1" x14ac:dyDescent="0.25">
      <c r="A176" s="131">
        <v>44232</v>
      </c>
      <c r="B176" s="271"/>
      <c r="C176" s="282" t="s">
        <v>634</v>
      </c>
      <c r="D176" s="132">
        <v>400</v>
      </c>
      <c r="E176" s="22">
        <v>5.32</v>
      </c>
      <c r="F176" s="16">
        <f t="shared" si="27"/>
        <v>5200</v>
      </c>
      <c r="G176" s="17">
        <f t="shared" si="28"/>
        <v>4.0776299999999992</v>
      </c>
      <c r="H176" s="15">
        <f t="shared" si="29"/>
        <v>21203.675999999996</v>
      </c>
      <c r="I176" s="15">
        <f t="shared" si="30"/>
        <v>6460.3240000000042</v>
      </c>
      <c r="J176" s="33">
        <f t="shared" si="31"/>
        <v>0.30467943388684143</v>
      </c>
      <c r="K176" s="15">
        <f t="shared" si="32"/>
        <v>27664</v>
      </c>
      <c r="L176" s="15">
        <f t="shared" si="24"/>
        <v>328.87199999999939</v>
      </c>
      <c r="M176" s="15" t="str">
        <f>Uncovered(0)</f>
        <v>0@0</v>
      </c>
      <c r="N176" s="15" t="str">
        <f>Uncovered(1)</f>
        <v>5.32@400</v>
      </c>
      <c r="O176" s="15" t="str">
        <f>Covered(0)</f>
        <v>5.997@43800</v>
      </c>
      <c r="P176" s="17" t="str">
        <f>Covered(1)</f>
        <v>6.231@38200</v>
      </c>
      <c r="Q176" s="31">
        <f t="shared" si="25"/>
        <v>2120.8719999999994</v>
      </c>
      <c r="R176" s="34">
        <f t="shared" si="26"/>
        <v>7.1280000000000001</v>
      </c>
      <c r="S176" s="22"/>
      <c r="T176" s="273"/>
      <c r="U176" s="273"/>
      <c r="V176" s="22"/>
      <c r="W176" s="272"/>
      <c r="X176" s="272"/>
      <c r="Y176" s="272"/>
      <c r="Z176" s="274"/>
      <c r="AA176" s="22"/>
      <c r="AB176" s="275"/>
      <c r="AC176" s="40"/>
      <c r="AD176" s="40"/>
    </row>
    <row r="177" spans="1:33" s="70" customFormat="1" x14ac:dyDescent="0.25">
      <c r="A177" s="270"/>
      <c r="B177" s="400"/>
      <c r="C177" s="282" t="s">
        <v>634</v>
      </c>
      <c r="D177" s="132">
        <v>400</v>
      </c>
      <c r="E177" s="22">
        <v>5.32</v>
      </c>
      <c r="F177" s="16">
        <f t="shared" ref="F177:F187" si="33">IF(C177="买",F176+D177,IF(C177="卖",F176-D177,F176))</f>
        <v>4800</v>
      </c>
      <c r="G177" s="17">
        <f t="shared" ref="G177:G187" si="34">H177/F177</f>
        <v>3.9755841666666658</v>
      </c>
      <c r="H177" s="15">
        <f t="shared" ref="H177:H187" si="35">IF(C177="买",H176+D177*E177+R177+S177,IF(C177="卖",H176-D177*E177+R177+S177,H176))</f>
        <v>19082.803999999996</v>
      </c>
      <c r="I177" s="15">
        <f t="shared" ref="I177:I187" si="36">-H177+K177</f>
        <v>6453.1960000000036</v>
      </c>
      <c r="J177" s="33">
        <f t="shared" ref="J177:J187" si="37">(E177-G177)/G177</f>
        <v>0.33816812246250638</v>
      </c>
      <c r="K177" s="15">
        <f t="shared" ref="K177:K187" si="38">F177*E177</f>
        <v>25536</v>
      </c>
      <c r="L177" s="15">
        <f t="shared" ref="L177:L187" si="39">I177-I176</f>
        <v>-7.1280000000006112</v>
      </c>
      <c r="M177" s="390"/>
      <c r="N177" s="390"/>
      <c r="O177" s="390"/>
      <c r="P177" s="32"/>
      <c r="Q177" s="31">
        <f t="shared" ref="Q177:Q187" si="40">(H177-H176)*-1</f>
        <v>2120.8719999999994</v>
      </c>
      <c r="R177" s="393">
        <f t="shared" ref="R177:R187" si="41">commission($B$2,C177,D177,E177)</f>
        <v>7.1280000000000001</v>
      </c>
      <c r="S177" s="393"/>
      <c r="T177" s="393"/>
      <c r="U177" s="393"/>
      <c r="V177" s="31"/>
      <c r="W177" s="32"/>
      <c r="X177" s="32"/>
      <c r="Y177" s="32"/>
      <c r="Z177" s="394" t="e">
        <f t="shared" ref="Z177:Z187" si="42">F177/U177</f>
        <v>#DIV/0!</v>
      </c>
      <c r="AA177" s="31"/>
      <c r="AB177" s="322"/>
      <c r="AC177" s="40">
        <f t="shared" ref="AC177:AC187" si="43">I177/E177*(1-0.0005)</f>
        <v>1212.4002635338352</v>
      </c>
      <c r="AD177" s="40">
        <f t="shared" ref="AD177:AD187" si="44">AC177-F177</f>
        <v>-3587.5997364661648</v>
      </c>
      <c r="AE177" s="165"/>
      <c r="AF177" s="165"/>
      <c r="AG177" s="165"/>
    </row>
    <row r="178" spans="1:33" x14ac:dyDescent="0.25">
      <c r="A178" s="270"/>
      <c r="B178" s="400"/>
      <c r="C178" s="282" t="s">
        <v>634</v>
      </c>
      <c r="D178" s="132">
        <v>400</v>
      </c>
      <c r="E178" s="22">
        <v>5.32</v>
      </c>
      <c r="F178" s="16">
        <f t="shared" si="33"/>
        <v>4400</v>
      </c>
      <c r="G178" s="17">
        <f t="shared" si="34"/>
        <v>3.8549845454545446</v>
      </c>
      <c r="H178" s="15">
        <f t="shared" si="35"/>
        <v>16961.931999999997</v>
      </c>
      <c r="I178" s="15">
        <f t="shared" si="36"/>
        <v>6446.0680000000029</v>
      </c>
      <c r="J178" s="33">
        <f t="shared" si="37"/>
        <v>0.38003147282986433</v>
      </c>
      <c r="K178" s="15">
        <f t="shared" si="38"/>
        <v>23408</v>
      </c>
      <c r="L178" s="15">
        <f t="shared" si="39"/>
        <v>-7.1280000000006112</v>
      </c>
      <c r="M178" s="390"/>
      <c r="N178" s="390"/>
      <c r="O178" s="39"/>
      <c r="P178" s="32"/>
      <c r="Q178" s="31">
        <f t="shared" si="40"/>
        <v>2120.8719999999994</v>
      </c>
      <c r="R178" s="393">
        <f t="shared" si="41"/>
        <v>7.1280000000000001</v>
      </c>
      <c r="S178" s="393"/>
      <c r="T178" s="393"/>
      <c r="U178" s="393"/>
      <c r="V178" s="31"/>
      <c r="W178" s="32"/>
      <c r="X178" s="32"/>
      <c r="Y178" s="32"/>
      <c r="Z178" s="394" t="e">
        <f t="shared" si="42"/>
        <v>#DIV/0!</v>
      </c>
      <c r="AA178" s="31"/>
      <c r="AB178" s="322"/>
      <c r="AC178" s="40">
        <f t="shared" si="43"/>
        <v>1211.061083834587</v>
      </c>
      <c r="AD178" s="40">
        <f t="shared" si="44"/>
        <v>-3188.938916165413</v>
      </c>
    </row>
    <row r="179" spans="1:33" x14ac:dyDescent="0.25">
      <c r="A179" s="270"/>
      <c r="B179" s="400"/>
      <c r="C179" s="282" t="s">
        <v>634</v>
      </c>
      <c r="D179" s="132">
        <v>400</v>
      </c>
      <c r="E179" s="22">
        <v>5.32</v>
      </c>
      <c r="F179" s="16">
        <f t="shared" si="33"/>
        <v>4000</v>
      </c>
      <c r="G179" s="17">
        <f t="shared" si="34"/>
        <v>3.7102649999999993</v>
      </c>
      <c r="H179" s="15">
        <f t="shared" si="35"/>
        <v>14841.059999999998</v>
      </c>
      <c r="I179" s="15">
        <f t="shared" si="36"/>
        <v>6438.9400000000023</v>
      </c>
      <c r="J179" s="33">
        <f t="shared" si="37"/>
        <v>0.43385984559054441</v>
      </c>
      <c r="K179" s="15">
        <f t="shared" si="38"/>
        <v>21280</v>
      </c>
      <c r="L179" s="15">
        <f t="shared" si="39"/>
        <v>-7.1280000000006112</v>
      </c>
      <c r="M179" s="390"/>
      <c r="N179" s="390"/>
      <c r="O179" s="39"/>
      <c r="P179" s="32"/>
      <c r="Q179" s="31">
        <f t="shared" si="40"/>
        <v>2120.8719999999994</v>
      </c>
      <c r="R179" s="393">
        <f t="shared" si="41"/>
        <v>7.1280000000000001</v>
      </c>
      <c r="S179" s="393"/>
      <c r="T179" s="393"/>
      <c r="U179" s="393"/>
      <c r="V179" s="31"/>
      <c r="W179" s="32"/>
      <c r="X179" s="32"/>
      <c r="Y179" s="32"/>
      <c r="Z179" s="394" t="e">
        <f t="shared" si="42"/>
        <v>#DIV/0!</v>
      </c>
      <c r="AA179" s="31"/>
      <c r="AB179" s="322"/>
      <c r="AC179" s="40">
        <f t="shared" si="43"/>
        <v>1209.7219041353389</v>
      </c>
      <c r="AD179" s="40">
        <f t="shared" si="44"/>
        <v>-2790.2780958646608</v>
      </c>
    </row>
    <row r="180" spans="1:33" x14ac:dyDescent="0.25">
      <c r="A180" s="270"/>
      <c r="B180" s="400"/>
      <c r="C180" s="282" t="s">
        <v>634</v>
      </c>
      <c r="D180" s="132">
        <v>400</v>
      </c>
      <c r="E180" s="22">
        <v>5.32</v>
      </c>
      <c r="F180" s="16">
        <f t="shared" si="33"/>
        <v>3600</v>
      </c>
      <c r="G180" s="17">
        <f t="shared" si="34"/>
        <v>3.5333855555555549</v>
      </c>
      <c r="H180" s="15">
        <f t="shared" si="35"/>
        <v>12720.187999999998</v>
      </c>
      <c r="I180" s="15">
        <f t="shared" si="36"/>
        <v>6431.8120000000017</v>
      </c>
      <c r="J180" s="33">
        <f t="shared" si="37"/>
        <v>0.50563812421640342</v>
      </c>
      <c r="K180" s="15">
        <f t="shared" si="38"/>
        <v>19152</v>
      </c>
      <c r="L180" s="15">
        <f t="shared" si="39"/>
        <v>-7.1280000000006112</v>
      </c>
      <c r="M180" s="390"/>
      <c r="N180" s="390"/>
      <c r="O180" s="39"/>
      <c r="P180" s="32"/>
      <c r="Q180" s="31">
        <f t="shared" si="40"/>
        <v>2120.8719999999994</v>
      </c>
      <c r="R180" s="393">
        <f t="shared" si="41"/>
        <v>7.1280000000000001</v>
      </c>
      <c r="S180" s="393"/>
      <c r="T180" s="393"/>
      <c r="U180" s="393"/>
      <c r="V180" s="31"/>
      <c r="W180" s="32"/>
      <c r="X180" s="32"/>
      <c r="Y180" s="32"/>
      <c r="Z180" s="394" t="e">
        <f t="shared" si="42"/>
        <v>#DIV/0!</v>
      </c>
      <c r="AA180" s="31"/>
      <c r="AB180" s="322"/>
      <c r="AC180" s="40">
        <f t="shared" si="43"/>
        <v>1208.3827244360905</v>
      </c>
      <c r="AD180" s="40">
        <f t="shared" si="44"/>
        <v>-2391.6172755639095</v>
      </c>
    </row>
    <row r="181" spans="1:33" x14ac:dyDescent="0.25">
      <c r="A181" s="270"/>
      <c r="B181" s="400"/>
      <c r="C181" s="282" t="s">
        <v>634</v>
      </c>
      <c r="D181" s="132">
        <v>400</v>
      </c>
      <c r="E181" s="22">
        <v>5.32</v>
      </c>
      <c r="F181" s="16">
        <f t="shared" si="33"/>
        <v>3200</v>
      </c>
      <c r="G181" s="17">
        <f t="shared" si="34"/>
        <v>3.3122862499999997</v>
      </c>
      <c r="H181" s="15">
        <f t="shared" si="35"/>
        <v>10599.315999999999</v>
      </c>
      <c r="I181" s="15">
        <f t="shared" si="36"/>
        <v>6424.6840000000011</v>
      </c>
      <c r="J181" s="33">
        <f t="shared" si="37"/>
        <v>0.60614137742473218</v>
      </c>
      <c r="K181" s="15">
        <f t="shared" si="38"/>
        <v>17024</v>
      </c>
      <c r="L181" s="15">
        <f t="shared" si="39"/>
        <v>-7.1280000000006112</v>
      </c>
      <c r="M181" s="390"/>
      <c r="N181" s="390"/>
      <c r="O181" s="39"/>
      <c r="P181" s="32"/>
      <c r="Q181" s="31">
        <f t="shared" si="40"/>
        <v>2120.8719999999994</v>
      </c>
      <c r="R181" s="393">
        <f t="shared" si="41"/>
        <v>7.1280000000000001</v>
      </c>
      <c r="S181" s="393"/>
      <c r="T181" s="393"/>
      <c r="U181" s="393"/>
      <c r="V181" s="31"/>
      <c r="W181" s="32"/>
      <c r="X181" s="32"/>
      <c r="Y181" s="32"/>
      <c r="Z181" s="394" t="e">
        <f t="shared" si="42"/>
        <v>#DIV/0!</v>
      </c>
      <c r="AA181" s="31"/>
      <c r="AB181" s="322"/>
      <c r="AC181" s="40">
        <f t="shared" si="43"/>
        <v>1207.0435447368423</v>
      </c>
      <c r="AD181" s="40">
        <f t="shared" si="44"/>
        <v>-1992.9564552631577</v>
      </c>
    </row>
    <row r="182" spans="1:33" x14ac:dyDescent="0.25">
      <c r="A182" s="270"/>
      <c r="B182" s="400"/>
      <c r="C182" s="282" t="s">
        <v>634</v>
      </c>
      <c r="D182" s="132">
        <v>400</v>
      </c>
      <c r="E182" s="22">
        <v>5.32</v>
      </c>
      <c r="F182" s="16">
        <f t="shared" si="33"/>
        <v>2800</v>
      </c>
      <c r="G182" s="17">
        <f t="shared" si="34"/>
        <v>3.028015714285714</v>
      </c>
      <c r="H182" s="15">
        <f t="shared" si="35"/>
        <v>8478.4439999999995</v>
      </c>
      <c r="I182" s="15">
        <f t="shared" si="36"/>
        <v>6417.5560000000005</v>
      </c>
      <c r="J182" s="33">
        <f t="shared" si="37"/>
        <v>0.75692615295919885</v>
      </c>
      <c r="K182" s="15">
        <f t="shared" si="38"/>
        <v>14896</v>
      </c>
      <c r="L182" s="15">
        <f t="shared" si="39"/>
        <v>-7.1280000000006112</v>
      </c>
      <c r="M182" s="390"/>
      <c r="N182" s="390"/>
      <c r="O182" s="39"/>
      <c r="P182" s="32"/>
      <c r="Q182" s="31">
        <f t="shared" si="40"/>
        <v>2120.8719999999994</v>
      </c>
      <c r="R182" s="393">
        <f t="shared" si="41"/>
        <v>7.1280000000000001</v>
      </c>
      <c r="S182" s="393"/>
      <c r="T182" s="393"/>
      <c r="U182" s="393"/>
      <c r="V182" s="31"/>
      <c r="W182" s="32"/>
      <c r="X182" s="32"/>
      <c r="Y182" s="32"/>
      <c r="Z182" s="394" t="e">
        <f t="shared" si="42"/>
        <v>#DIV/0!</v>
      </c>
      <c r="AA182" s="31"/>
      <c r="AB182" s="322"/>
      <c r="AC182" s="40">
        <f t="shared" si="43"/>
        <v>1205.704365037594</v>
      </c>
      <c r="AD182" s="40">
        <f t="shared" si="44"/>
        <v>-1594.295634962406</v>
      </c>
    </row>
    <row r="183" spans="1:33" x14ac:dyDescent="0.25">
      <c r="A183" s="270"/>
      <c r="B183" s="400"/>
      <c r="C183" s="282" t="s">
        <v>634</v>
      </c>
      <c r="D183" s="132">
        <v>400</v>
      </c>
      <c r="E183" s="22">
        <v>5.32</v>
      </c>
      <c r="F183" s="16">
        <f t="shared" si="33"/>
        <v>2400</v>
      </c>
      <c r="G183" s="17">
        <f t="shared" si="34"/>
        <v>2.6489883333333331</v>
      </c>
      <c r="H183" s="15">
        <f t="shared" si="35"/>
        <v>6357.5719999999992</v>
      </c>
      <c r="I183" s="15">
        <f t="shared" si="36"/>
        <v>6410.4280000000008</v>
      </c>
      <c r="J183" s="33">
        <f t="shared" si="37"/>
        <v>1.0083138657336483</v>
      </c>
      <c r="K183" s="15">
        <f t="shared" si="38"/>
        <v>12768</v>
      </c>
      <c r="L183" s="15">
        <f t="shared" si="39"/>
        <v>-7.1279999999997017</v>
      </c>
      <c r="M183" s="390"/>
      <c r="N183" s="390"/>
      <c r="O183" s="39"/>
      <c r="P183" s="32"/>
      <c r="Q183" s="31">
        <f t="shared" si="40"/>
        <v>2120.8720000000003</v>
      </c>
      <c r="R183" s="393">
        <f t="shared" si="41"/>
        <v>7.1280000000000001</v>
      </c>
      <c r="S183" s="393"/>
      <c r="T183" s="393"/>
      <c r="U183" s="393"/>
      <c r="V183" s="31"/>
      <c r="W183" s="32"/>
      <c r="X183" s="32"/>
      <c r="Y183" s="32"/>
      <c r="Z183" s="394" t="e">
        <f t="shared" si="42"/>
        <v>#DIV/0!</v>
      </c>
      <c r="AA183" s="31"/>
      <c r="AB183" s="322"/>
      <c r="AC183" s="40">
        <f t="shared" si="43"/>
        <v>1204.365185338346</v>
      </c>
      <c r="AD183" s="40">
        <f t="shared" si="44"/>
        <v>-1195.634814661654</v>
      </c>
    </row>
    <row r="184" spans="1:33" x14ac:dyDescent="0.25">
      <c r="A184" s="270"/>
      <c r="B184" s="400"/>
      <c r="C184" s="282" t="s">
        <v>634</v>
      </c>
      <c r="D184" s="132">
        <v>400</v>
      </c>
      <c r="E184" s="22">
        <v>5.32</v>
      </c>
      <c r="F184" s="16">
        <f t="shared" si="33"/>
        <v>2000</v>
      </c>
      <c r="G184" s="17">
        <f t="shared" si="34"/>
        <v>2.1183499999999995</v>
      </c>
      <c r="H184" s="15">
        <f t="shared" si="35"/>
        <v>4236.6999999999989</v>
      </c>
      <c r="I184" s="15">
        <f t="shared" si="36"/>
        <v>6403.3000000000011</v>
      </c>
      <c r="J184" s="33">
        <f t="shared" si="37"/>
        <v>1.5113885807350067</v>
      </c>
      <c r="K184" s="15">
        <f t="shared" si="38"/>
        <v>10640</v>
      </c>
      <c r="L184" s="15">
        <f t="shared" si="39"/>
        <v>-7.1279999999997017</v>
      </c>
      <c r="M184" s="390"/>
      <c r="N184" s="390"/>
      <c r="O184" s="39"/>
      <c r="P184" s="32"/>
      <c r="Q184" s="31">
        <f t="shared" si="40"/>
        <v>2120.8720000000003</v>
      </c>
      <c r="R184" s="393">
        <f t="shared" si="41"/>
        <v>7.1280000000000001</v>
      </c>
      <c r="S184" s="393"/>
      <c r="T184" s="393"/>
      <c r="U184" s="393"/>
      <c r="V184" s="31"/>
      <c r="W184" s="32"/>
      <c r="X184" s="32"/>
      <c r="Y184" s="32"/>
      <c r="Z184" s="394" t="e">
        <f t="shared" si="42"/>
        <v>#DIV/0!</v>
      </c>
      <c r="AA184" s="31"/>
      <c r="AB184" s="322"/>
      <c r="AC184" s="40">
        <f t="shared" si="43"/>
        <v>1203.026005639098</v>
      </c>
      <c r="AD184" s="40">
        <f t="shared" si="44"/>
        <v>-796.973994360902</v>
      </c>
    </row>
    <row r="185" spans="1:33" x14ac:dyDescent="0.25">
      <c r="A185" s="270"/>
      <c r="B185" s="400"/>
      <c r="C185" s="282" t="s">
        <v>634</v>
      </c>
      <c r="D185" s="132">
        <v>400</v>
      </c>
      <c r="E185" s="22">
        <v>5.32</v>
      </c>
      <c r="F185" s="16">
        <f t="shared" si="33"/>
        <v>1600</v>
      </c>
      <c r="G185" s="17">
        <f t="shared" si="34"/>
        <v>1.3223924999999994</v>
      </c>
      <c r="H185" s="15">
        <f t="shared" si="35"/>
        <v>2115.8279999999991</v>
      </c>
      <c r="I185" s="15">
        <f t="shared" si="36"/>
        <v>6396.1720000000005</v>
      </c>
      <c r="J185" s="33">
        <f t="shared" si="37"/>
        <v>3.0230113222813975</v>
      </c>
      <c r="K185" s="15">
        <f t="shared" si="38"/>
        <v>8512</v>
      </c>
      <c r="L185" s="15">
        <f t="shared" si="39"/>
        <v>-7.1280000000006112</v>
      </c>
      <c r="M185" s="390"/>
      <c r="N185" s="390"/>
      <c r="O185" s="39"/>
      <c r="P185" s="32"/>
      <c r="Q185" s="31">
        <f t="shared" si="40"/>
        <v>2120.8719999999998</v>
      </c>
      <c r="R185" s="393">
        <f t="shared" si="41"/>
        <v>7.1280000000000001</v>
      </c>
      <c r="S185" s="393"/>
      <c r="T185" s="393"/>
      <c r="U185" s="393"/>
      <c r="V185" s="31"/>
      <c r="W185" s="32"/>
      <c r="X185" s="32"/>
      <c r="Y185" s="32"/>
      <c r="Z185" s="394" t="e">
        <f t="shared" si="42"/>
        <v>#DIV/0!</v>
      </c>
      <c r="AA185" s="31"/>
      <c r="AB185" s="322"/>
      <c r="AC185" s="40">
        <f t="shared" si="43"/>
        <v>1201.6868259398498</v>
      </c>
      <c r="AD185" s="40">
        <f t="shared" si="44"/>
        <v>-398.31317406015023</v>
      </c>
    </row>
    <row r="186" spans="1:33" x14ac:dyDescent="0.25">
      <c r="A186" s="270"/>
      <c r="B186" s="400"/>
      <c r="C186" s="282" t="s">
        <v>634</v>
      </c>
      <c r="D186" s="132">
        <v>400</v>
      </c>
      <c r="E186" s="22">
        <v>5.32</v>
      </c>
      <c r="F186" s="16">
        <f t="shared" si="33"/>
        <v>1200</v>
      </c>
      <c r="G186" s="17">
        <f t="shared" si="34"/>
        <v>-4.2033333333341121E-3</v>
      </c>
      <c r="H186" s="15">
        <f t="shared" si="35"/>
        <v>-5.0440000000009348</v>
      </c>
      <c r="I186" s="15">
        <f t="shared" si="36"/>
        <v>6389.0440000000008</v>
      </c>
      <c r="J186" s="33">
        <f t="shared" si="37"/>
        <v>-1266.6621728784332</v>
      </c>
      <c r="K186" s="15">
        <f t="shared" si="38"/>
        <v>6384</v>
      </c>
      <c r="L186" s="15">
        <f t="shared" si="39"/>
        <v>-7.1279999999997017</v>
      </c>
      <c r="M186" s="390"/>
      <c r="N186" s="390"/>
      <c r="O186" s="39"/>
      <c r="P186" s="32"/>
      <c r="Q186" s="31">
        <f t="shared" si="40"/>
        <v>2120.8719999999998</v>
      </c>
      <c r="R186" s="393">
        <f t="shared" si="41"/>
        <v>7.1280000000000001</v>
      </c>
      <c r="S186" s="393"/>
      <c r="T186" s="393"/>
      <c r="U186" s="393"/>
      <c r="V186" s="31"/>
      <c r="W186" s="32"/>
      <c r="X186" s="32"/>
      <c r="Y186" s="32"/>
      <c r="Z186" s="394" t="e">
        <f t="shared" si="42"/>
        <v>#DIV/0!</v>
      </c>
      <c r="AA186" s="31"/>
      <c r="AB186" s="322"/>
      <c r="AC186" s="40">
        <f t="shared" si="43"/>
        <v>1200.3476462406015</v>
      </c>
      <c r="AD186" s="40">
        <f t="shared" si="44"/>
        <v>0.34764624060153437</v>
      </c>
    </row>
    <row r="187" spans="1:33" x14ac:dyDescent="0.25">
      <c r="A187" s="270"/>
      <c r="B187" s="400"/>
      <c r="C187" s="282" t="s">
        <v>634</v>
      </c>
      <c r="D187" s="132">
        <v>400</v>
      </c>
      <c r="E187" s="22">
        <v>5.32</v>
      </c>
      <c r="F187" s="16">
        <f t="shared" si="33"/>
        <v>800</v>
      </c>
      <c r="G187" s="17">
        <f t="shared" si="34"/>
        <v>-2.6573950000000006</v>
      </c>
      <c r="H187" s="15">
        <f t="shared" si="35"/>
        <v>-2125.9160000000006</v>
      </c>
      <c r="I187" s="15">
        <f t="shared" si="36"/>
        <v>6381.9160000000011</v>
      </c>
      <c r="J187" s="33">
        <f t="shared" si="37"/>
        <v>-3.0019605666451543</v>
      </c>
      <c r="K187" s="15">
        <f t="shared" si="38"/>
        <v>4256</v>
      </c>
      <c r="L187" s="15">
        <f t="shared" si="39"/>
        <v>-7.1279999999997017</v>
      </c>
      <c r="M187" s="390" t="str">
        <f t="shared" ref="M187" si="45">Uncovered(0)</f>
        <v>0@0</v>
      </c>
      <c r="N187" s="390"/>
      <c r="O187" s="143" t="str">
        <f t="shared" ref="O187" si="46">Covered(0)</f>
        <v>0@0</v>
      </c>
      <c r="P187" s="32"/>
      <c r="Q187" s="31">
        <f t="shared" si="40"/>
        <v>2120.8719999999998</v>
      </c>
      <c r="R187" s="393">
        <f t="shared" si="41"/>
        <v>7.1280000000000001</v>
      </c>
      <c r="S187" s="393"/>
      <c r="T187" s="393"/>
      <c r="U187" s="393"/>
      <c r="V187" s="31"/>
      <c r="W187" s="32"/>
      <c r="X187" s="32"/>
      <c r="Y187" s="32"/>
      <c r="Z187" s="394" t="e">
        <f t="shared" si="42"/>
        <v>#DIV/0!</v>
      </c>
      <c r="AA187" s="31"/>
      <c r="AB187" s="322"/>
      <c r="AC187" s="40">
        <f t="shared" si="43"/>
        <v>1199.0084665413538</v>
      </c>
      <c r="AD187" s="40">
        <f t="shared" si="44"/>
        <v>399.00846654135376</v>
      </c>
    </row>
    <row r="188" spans="1:33" x14ac:dyDescent="0.25">
      <c r="A188" s="174"/>
      <c r="B188" s="365" t="s">
        <v>1193</v>
      </c>
      <c r="C188" s="315" t="s">
        <v>1192</v>
      </c>
      <c r="D188" s="64">
        <v>600</v>
      </c>
      <c r="E188" s="64">
        <v>5.88</v>
      </c>
      <c r="F188" s="16">
        <f>IF(C188="买",F176+D188,IF(C188="卖",F176-D188,F176))</f>
        <v>4600</v>
      </c>
      <c r="G188" s="17">
        <f t="shared" si="28"/>
        <v>3.8443921739130422</v>
      </c>
      <c r="H188" s="15">
        <f>IF(C188="买",H176+D188*E188+R188+S188,IF(C188="卖",H176-D188*E188+R188+S188,H176))</f>
        <v>17684.203999999994</v>
      </c>
      <c r="I188" s="15">
        <f t="shared" si="30"/>
        <v>9363.7960000000057</v>
      </c>
      <c r="J188" s="33">
        <f t="shared" si="31"/>
        <v>0.5295005644585421</v>
      </c>
      <c r="K188" s="15">
        <f>IF(C188="买",F188*E188,IF(C188="卖",F188*E188,K176))</f>
        <v>27048</v>
      </c>
      <c r="L188" s="15">
        <f>I188-I176</f>
        <v>2903.4720000000016</v>
      </c>
      <c r="M188" s="15"/>
      <c r="N188" s="15"/>
      <c r="O188" s="15"/>
      <c r="P188" s="17"/>
      <c r="Q188" s="31">
        <f>(H188-H176)*-1</f>
        <v>3519.4720000000016</v>
      </c>
      <c r="R188" s="34">
        <f t="shared" si="26"/>
        <v>8.5280000000000005</v>
      </c>
      <c r="S188" s="273"/>
      <c r="T188" s="273"/>
      <c r="U188" s="273"/>
      <c r="V188" s="22"/>
      <c r="W188" s="272"/>
      <c r="X188" s="272"/>
      <c r="Y188" s="272"/>
      <c r="Z188" s="274"/>
      <c r="AA188" s="31"/>
      <c r="AB188" s="322"/>
      <c r="AC188" s="237"/>
      <c r="AD188" s="237"/>
    </row>
  </sheetData>
  <phoneticPr fontId="16" type="noConversion"/>
  <conditionalFormatting sqref="Y1">
    <cfRule type="top10" dxfId="259" priority="1" bottom="1" rank="10"/>
  </conditionalFormatting>
  <dataValidations count="2">
    <dataValidation type="list" allowBlank="1" showInputMessage="1" showErrorMessage="1" sqref="C2:C187">
      <formula1>"买,卖"</formula1>
    </dataValidation>
    <dataValidation type="list" allowBlank="1" showInputMessage="1" showErrorMessage="1" sqref="C188">
      <formula1>"买,卖,转买,转卖"</formula1>
    </dataValidation>
  </dataValidations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G163"/>
  <sheetViews>
    <sheetView topLeftCell="A135" workbookViewId="0">
      <selection activeCell="G155" sqref="G155"/>
    </sheetView>
  </sheetViews>
  <sheetFormatPr defaultRowHeight="14.4" x14ac:dyDescent="0.25"/>
  <cols>
    <col min="1" max="1" width="11.6640625" style="9" bestFit="1" customWidth="1"/>
    <col min="2" max="2" width="13.88671875" style="1" bestFit="1" customWidth="1"/>
    <col min="7" max="7" width="15.109375" customWidth="1"/>
    <col min="8" max="8" width="14.44140625" bestFit="1" customWidth="1"/>
    <col min="9" max="10" width="14.44140625" style="1" bestFit="1" customWidth="1"/>
    <col min="11" max="11" width="10.5546875" style="1" bestFit="1" customWidth="1"/>
    <col min="12" max="12" width="15.21875" style="1" customWidth="1"/>
    <col min="13" max="14" width="12.33203125" style="1" bestFit="1" customWidth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1" width="8.88671875" style="1"/>
    <col min="22" max="22" width="19.109375" style="1" bestFit="1" customWidth="1"/>
    <col min="23" max="26" width="8.88671875" style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9" t="s">
        <v>3</v>
      </c>
      <c r="B1" s="360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360" t="s">
        <v>7</v>
      </c>
      <c r="J1" s="360" t="s">
        <v>157</v>
      </c>
      <c r="K1" s="360" t="s">
        <v>5</v>
      </c>
      <c r="L1" s="360" t="s">
        <v>158</v>
      </c>
      <c r="M1" s="360" t="s">
        <v>1185</v>
      </c>
      <c r="N1" s="360" t="s">
        <v>1186</v>
      </c>
      <c r="O1" s="360" t="s">
        <v>1187</v>
      </c>
      <c r="P1" s="361" t="s">
        <v>1188</v>
      </c>
      <c r="Q1" s="360" t="s">
        <v>163</v>
      </c>
      <c r="R1" s="360" t="s">
        <v>1189</v>
      </c>
      <c r="S1" s="360" t="s">
        <v>1190</v>
      </c>
      <c r="T1" s="360" t="s">
        <v>166</v>
      </c>
      <c r="U1" s="360" t="s">
        <v>167</v>
      </c>
      <c r="V1" s="360" t="s">
        <v>17</v>
      </c>
      <c r="W1" s="361" t="s">
        <v>168</v>
      </c>
      <c r="X1" s="361" t="s">
        <v>169</v>
      </c>
      <c r="Y1" s="361" t="s">
        <v>170</v>
      </c>
      <c r="Z1" s="361" t="s">
        <v>171</v>
      </c>
      <c r="AA1" s="360" t="s">
        <v>106</v>
      </c>
      <c r="AB1" s="362" t="s">
        <v>172</v>
      </c>
      <c r="AC1" s="363" t="s">
        <v>50</v>
      </c>
      <c r="AD1" s="363" t="s">
        <v>173</v>
      </c>
    </row>
    <row r="2" spans="1:30" s="1" customFormat="1" ht="15" thickTop="1" x14ac:dyDescent="0.25">
      <c r="A2" s="47">
        <v>42327</v>
      </c>
      <c r="B2" s="266" t="s">
        <v>77</v>
      </c>
      <c r="C2" s="48"/>
      <c r="D2" s="49"/>
      <c r="E2" s="50"/>
      <c r="F2" s="12">
        <v>0</v>
      </c>
      <c r="G2" s="13">
        <v>0</v>
      </c>
      <c r="H2" s="12">
        <v>0</v>
      </c>
      <c r="I2" s="15">
        <v>0</v>
      </c>
      <c r="J2" s="33" t="e">
        <v>#DIV/0!</v>
      </c>
      <c r="K2" s="15">
        <v>0</v>
      </c>
      <c r="L2" s="15" t="e">
        <f t="shared" ref="L2:L65" si="0">I2-I1</f>
        <v>#VALUE!</v>
      </c>
      <c r="M2" s="15"/>
      <c r="N2" s="15"/>
      <c r="O2" s="15"/>
      <c r="P2" s="17"/>
      <c r="Q2" s="10" t="e">
        <f t="shared" ref="Q2:Q65" si="1">(H2-H1)*-1</f>
        <v>#VALUE!</v>
      </c>
      <c r="R2" s="10"/>
      <c r="S2" s="48"/>
      <c r="T2" s="10"/>
      <c r="U2" s="10"/>
      <c r="V2" s="10"/>
      <c r="W2" s="28"/>
      <c r="X2" s="28"/>
      <c r="Y2" s="28"/>
      <c r="Z2" s="38"/>
      <c r="AA2" s="31"/>
      <c r="AB2" s="39"/>
      <c r="AC2" s="40"/>
      <c r="AD2" s="40"/>
    </row>
    <row r="3" spans="1:30" s="1" customFormat="1" x14ac:dyDescent="0.25">
      <c r="A3" s="51">
        <v>42327</v>
      </c>
      <c r="B3" s="14"/>
      <c r="C3" s="19" t="s">
        <v>63</v>
      </c>
      <c r="D3" s="52">
        <v>600</v>
      </c>
      <c r="E3" s="19">
        <v>9.09</v>
      </c>
      <c r="F3" s="16">
        <f>IF(C3="买",F2+D3,IF(C3="卖",F2-D3,F2))</f>
        <v>600</v>
      </c>
      <c r="G3" s="17">
        <f t="shared" ref="G3:G66" si="2">H3/F3</f>
        <v>9.0983333333333327</v>
      </c>
      <c r="H3" s="15">
        <f>IF(C3="买",H2+D3*E3+R3+S3,IF(C3="卖",H2-D3*E3+R3+S3,H2))</f>
        <v>5459</v>
      </c>
      <c r="I3" s="15">
        <f t="shared" ref="I3:I66" si="3">-H3+K3</f>
        <v>-5</v>
      </c>
      <c r="J3" s="33">
        <f t="shared" ref="J3:J66" si="4">(E3-G3)/G3</f>
        <v>-9.159186664223697E-4</v>
      </c>
      <c r="K3" s="15">
        <f t="shared" ref="K3:K66" si="5">F3*E3</f>
        <v>5454</v>
      </c>
      <c r="L3" s="15">
        <f t="shared" si="0"/>
        <v>-5</v>
      </c>
      <c r="M3" s="15"/>
      <c r="N3" s="15"/>
      <c r="O3" s="15"/>
      <c r="P3" s="17"/>
      <c r="Q3" s="31">
        <f t="shared" si="1"/>
        <v>-5459</v>
      </c>
      <c r="R3" s="34">
        <f>commission($B$2,C3,D3,E3)</f>
        <v>5</v>
      </c>
      <c r="S3" s="19"/>
      <c r="T3" s="34"/>
      <c r="U3" s="34"/>
      <c r="V3" s="31"/>
      <c r="W3" s="32"/>
      <c r="X3" s="32"/>
      <c r="Y3" s="32"/>
      <c r="Z3" s="38"/>
      <c r="AA3" s="31"/>
      <c r="AB3" s="39"/>
      <c r="AC3" s="40"/>
      <c r="AD3" s="40"/>
    </row>
    <row r="4" spans="1:30" s="1" customFormat="1" x14ac:dyDescent="0.25">
      <c r="A4" s="53">
        <v>42328</v>
      </c>
      <c r="B4" s="14"/>
      <c r="C4" s="10" t="s">
        <v>69</v>
      </c>
      <c r="D4" s="11">
        <v>500</v>
      </c>
      <c r="E4" s="10">
        <v>9.2200000000000006</v>
      </c>
      <c r="F4" s="16">
        <f t="shared" ref="F4:F67" si="6">IF(C4="买",F3+D4,IF(C4="卖",F3-D4,F3))</f>
        <v>100</v>
      </c>
      <c r="G4" s="17">
        <f t="shared" si="2"/>
        <v>8.5861000000000001</v>
      </c>
      <c r="H4" s="15">
        <f t="shared" ref="H4:H67" si="7">IF(C4="买",H3+D4*E4+R4+S4,IF(C4="卖",H3-D4*E4+R4+S4,H3))</f>
        <v>858.61</v>
      </c>
      <c r="I4" s="15">
        <f t="shared" si="3"/>
        <v>63.3900000000001</v>
      </c>
      <c r="J4" s="33">
        <f t="shared" si="4"/>
        <v>7.3828629994991971E-2</v>
      </c>
      <c r="K4" s="15">
        <f t="shared" si="5"/>
        <v>922.00000000000011</v>
      </c>
      <c r="L4" s="15">
        <f t="shared" si="0"/>
        <v>68.3900000000001</v>
      </c>
      <c r="M4" s="15"/>
      <c r="N4" s="15"/>
      <c r="O4" s="15"/>
      <c r="P4" s="17"/>
      <c r="Q4" s="31">
        <f t="shared" si="1"/>
        <v>4600.3900000000003</v>
      </c>
      <c r="R4" s="34">
        <f t="shared" ref="R4:R67" si="8">commission($B$2,C4,D4,E4)</f>
        <v>9.61</v>
      </c>
      <c r="S4" s="10"/>
      <c r="T4" s="34"/>
      <c r="U4" s="34"/>
      <c r="V4" s="31"/>
      <c r="W4" s="32"/>
      <c r="X4" s="32"/>
      <c r="Y4" s="32"/>
      <c r="Z4" s="38"/>
      <c r="AA4" s="31"/>
      <c r="AB4" s="39"/>
      <c r="AC4" s="40"/>
      <c r="AD4" s="40"/>
    </row>
    <row r="5" spans="1:30" s="1" customFormat="1" x14ac:dyDescent="0.25">
      <c r="A5" s="51">
        <v>42328</v>
      </c>
      <c r="B5" s="14"/>
      <c r="C5" s="19" t="s">
        <v>63</v>
      </c>
      <c r="D5" s="52">
        <v>500</v>
      </c>
      <c r="E5" s="19">
        <v>9.06</v>
      </c>
      <c r="F5" s="16">
        <f t="shared" si="6"/>
        <v>600</v>
      </c>
      <c r="G5" s="17">
        <f t="shared" si="2"/>
        <v>8.98935</v>
      </c>
      <c r="H5" s="15">
        <f t="shared" si="7"/>
        <v>5393.61</v>
      </c>
      <c r="I5" s="15">
        <f t="shared" si="3"/>
        <v>42.390000000000327</v>
      </c>
      <c r="J5" s="33">
        <f t="shared" si="4"/>
        <v>7.8593001718701063E-3</v>
      </c>
      <c r="K5" s="15">
        <f t="shared" si="5"/>
        <v>5436</v>
      </c>
      <c r="L5" s="15">
        <f t="shared" si="0"/>
        <v>-20.999999999999773</v>
      </c>
      <c r="M5" s="15"/>
      <c r="N5" s="15"/>
      <c r="O5" s="15"/>
      <c r="P5" s="17"/>
      <c r="Q5" s="31">
        <f t="shared" si="1"/>
        <v>-4535</v>
      </c>
      <c r="R5" s="34">
        <f t="shared" si="8"/>
        <v>5</v>
      </c>
      <c r="S5" s="19"/>
      <c r="T5" s="34"/>
      <c r="U5" s="34"/>
      <c r="V5" s="31"/>
      <c r="W5" s="32"/>
      <c r="X5" s="32"/>
      <c r="Y5" s="32"/>
      <c r="Z5" s="38"/>
      <c r="AA5" s="31"/>
      <c r="AB5" s="39"/>
      <c r="AC5" s="40"/>
      <c r="AD5" s="40"/>
    </row>
    <row r="6" spans="1:30" s="1" customFormat="1" x14ac:dyDescent="0.25">
      <c r="A6" s="53">
        <v>42332</v>
      </c>
      <c r="B6" s="18"/>
      <c r="C6" s="10" t="s">
        <v>63</v>
      </c>
      <c r="D6" s="11">
        <v>500</v>
      </c>
      <c r="E6" s="10">
        <v>8.9499999999999993</v>
      </c>
      <c r="F6" s="16">
        <f t="shared" si="6"/>
        <v>1100</v>
      </c>
      <c r="G6" s="17">
        <f t="shared" si="2"/>
        <v>8.9760090909090913</v>
      </c>
      <c r="H6" s="15">
        <f t="shared" si="7"/>
        <v>9873.61</v>
      </c>
      <c r="I6" s="15">
        <f t="shared" si="3"/>
        <v>-28.610000000000582</v>
      </c>
      <c r="J6" s="33">
        <f t="shared" si="4"/>
        <v>-2.8976230578280061E-3</v>
      </c>
      <c r="K6" s="15">
        <f t="shared" si="5"/>
        <v>9845</v>
      </c>
      <c r="L6" s="15">
        <f t="shared" si="0"/>
        <v>-71.000000000000909</v>
      </c>
      <c r="M6" s="15"/>
      <c r="N6" s="15"/>
      <c r="O6" s="15"/>
      <c r="P6" s="17"/>
      <c r="Q6" s="31">
        <f t="shared" si="1"/>
        <v>-4480.0000000000009</v>
      </c>
      <c r="R6" s="34">
        <f t="shared" si="8"/>
        <v>5</v>
      </c>
      <c r="S6" s="10"/>
      <c r="T6" s="34"/>
      <c r="U6" s="34"/>
      <c r="V6" s="31"/>
      <c r="W6" s="32"/>
      <c r="X6" s="32"/>
      <c r="Y6" s="32"/>
      <c r="Z6" s="38"/>
      <c r="AA6" s="31"/>
      <c r="AB6" s="39"/>
      <c r="AC6" s="40"/>
      <c r="AD6" s="40"/>
    </row>
    <row r="7" spans="1:30" s="1" customFormat="1" x14ac:dyDescent="0.25">
      <c r="A7" s="51">
        <v>42333</v>
      </c>
      <c r="B7" s="18"/>
      <c r="C7" s="19" t="s">
        <v>69</v>
      </c>
      <c r="D7" s="52">
        <v>500</v>
      </c>
      <c r="E7" s="19">
        <v>9.07</v>
      </c>
      <c r="F7" s="16">
        <f t="shared" si="6"/>
        <v>600</v>
      </c>
      <c r="G7" s="17">
        <f t="shared" si="2"/>
        <v>8.9135750000000016</v>
      </c>
      <c r="H7" s="15">
        <f t="shared" si="7"/>
        <v>5348.1450000000004</v>
      </c>
      <c r="I7" s="15">
        <f t="shared" si="3"/>
        <v>93.854999999999563</v>
      </c>
      <c r="J7" s="33">
        <f t="shared" si="4"/>
        <v>1.7549075427087186E-2</v>
      </c>
      <c r="K7" s="15">
        <f t="shared" si="5"/>
        <v>5442</v>
      </c>
      <c r="L7" s="15">
        <f t="shared" si="0"/>
        <v>122.46500000000015</v>
      </c>
      <c r="M7" s="15"/>
      <c r="N7" s="15"/>
      <c r="O7" s="15"/>
      <c r="P7" s="17"/>
      <c r="Q7" s="31">
        <f t="shared" si="1"/>
        <v>4525.4650000000001</v>
      </c>
      <c r="R7" s="34">
        <f t="shared" si="8"/>
        <v>9.5350000000000001</v>
      </c>
      <c r="S7" s="19"/>
      <c r="T7" s="34"/>
      <c r="U7" s="34"/>
      <c r="V7" s="31"/>
      <c r="W7" s="32"/>
      <c r="X7" s="32"/>
      <c r="Y7" s="32"/>
      <c r="Z7" s="38"/>
      <c r="AA7" s="31"/>
      <c r="AB7" s="39"/>
      <c r="AC7" s="40"/>
      <c r="AD7" s="40"/>
    </row>
    <row r="8" spans="1:30" s="1" customFormat="1" x14ac:dyDescent="0.25">
      <c r="A8" s="53">
        <v>42334</v>
      </c>
      <c r="B8" s="18"/>
      <c r="C8" s="10" t="s">
        <v>69</v>
      </c>
      <c r="D8" s="11">
        <v>500</v>
      </c>
      <c r="E8" s="10">
        <v>9.24</v>
      </c>
      <c r="F8" s="16">
        <f t="shared" si="6"/>
        <v>100</v>
      </c>
      <c r="G8" s="17">
        <f t="shared" si="2"/>
        <v>7.3776500000000045</v>
      </c>
      <c r="H8" s="15">
        <f t="shared" si="7"/>
        <v>737.76500000000044</v>
      </c>
      <c r="I8" s="15">
        <f t="shared" si="3"/>
        <v>186.23499999999956</v>
      </c>
      <c r="J8" s="33">
        <f t="shared" si="4"/>
        <v>0.25243132975947552</v>
      </c>
      <c r="K8" s="15">
        <f t="shared" si="5"/>
        <v>924</v>
      </c>
      <c r="L8" s="15">
        <f t="shared" si="0"/>
        <v>92.38</v>
      </c>
      <c r="M8" s="15"/>
      <c r="N8" s="15"/>
      <c r="O8" s="15"/>
      <c r="P8" s="17"/>
      <c r="Q8" s="31">
        <f t="shared" si="1"/>
        <v>4610.38</v>
      </c>
      <c r="R8" s="34">
        <f t="shared" si="8"/>
        <v>9.620000000000001</v>
      </c>
      <c r="S8" s="10"/>
      <c r="T8" s="34"/>
      <c r="U8" s="34"/>
      <c r="V8" s="31"/>
      <c r="W8" s="32"/>
      <c r="X8" s="32"/>
      <c r="Y8" s="32"/>
      <c r="Z8" s="38"/>
      <c r="AA8" s="31"/>
      <c r="AB8" s="39"/>
      <c r="AC8" s="40"/>
      <c r="AD8" s="40"/>
    </row>
    <row r="9" spans="1:30" s="1" customFormat="1" x14ac:dyDescent="0.25">
      <c r="A9" s="51">
        <v>42335</v>
      </c>
      <c r="B9" s="18"/>
      <c r="C9" s="19" t="s">
        <v>63</v>
      </c>
      <c r="D9" s="52">
        <v>500</v>
      </c>
      <c r="E9" s="19">
        <v>9.0399999999999991</v>
      </c>
      <c r="F9" s="16">
        <f t="shared" si="6"/>
        <v>600</v>
      </c>
      <c r="G9" s="17">
        <f t="shared" si="2"/>
        <v>8.771275000000001</v>
      </c>
      <c r="H9" s="15">
        <f t="shared" si="7"/>
        <v>5262.7650000000003</v>
      </c>
      <c r="I9" s="15">
        <f t="shared" si="3"/>
        <v>161.23499999999876</v>
      </c>
      <c r="J9" s="33">
        <f t="shared" si="4"/>
        <v>3.0636937047350366E-2</v>
      </c>
      <c r="K9" s="15">
        <f t="shared" si="5"/>
        <v>5423.9999999999991</v>
      </c>
      <c r="L9" s="15">
        <f t="shared" si="0"/>
        <v>-25.000000000000796</v>
      </c>
      <c r="M9" s="15"/>
      <c r="N9" s="15"/>
      <c r="O9" s="15"/>
      <c r="P9" s="17"/>
      <c r="Q9" s="31">
        <f t="shared" si="1"/>
        <v>-4525</v>
      </c>
      <c r="R9" s="34">
        <f t="shared" si="8"/>
        <v>5</v>
      </c>
      <c r="S9" s="19"/>
      <c r="T9" s="34"/>
      <c r="U9" s="34"/>
      <c r="V9" s="31"/>
      <c r="W9" s="32"/>
      <c r="X9" s="32"/>
      <c r="Y9" s="32"/>
      <c r="Z9" s="38"/>
      <c r="AA9" s="31"/>
      <c r="AB9" s="39"/>
      <c r="AC9" s="40"/>
      <c r="AD9" s="40"/>
    </row>
    <row r="10" spans="1:30" s="1" customFormat="1" x14ac:dyDescent="0.25">
      <c r="A10" s="53">
        <v>42338</v>
      </c>
      <c r="B10" s="54"/>
      <c r="C10" s="10" t="s">
        <v>63</v>
      </c>
      <c r="D10" s="11">
        <v>500</v>
      </c>
      <c r="E10" s="10">
        <v>8.3800000000000008</v>
      </c>
      <c r="F10" s="16">
        <f t="shared" si="6"/>
        <v>1100</v>
      </c>
      <c r="G10" s="17">
        <f t="shared" si="2"/>
        <v>8.5979681818181817</v>
      </c>
      <c r="H10" s="15">
        <f t="shared" si="7"/>
        <v>9457.7649999999994</v>
      </c>
      <c r="I10" s="15">
        <f t="shared" si="3"/>
        <v>-239.76499999999942</v>
      </c>
      <c r="J10" s="33">
        <f t="shared" si="4"/>
        <v>-2.5351126825417947E-2</v>
      </c>
      <c r="K10" s="15">
        <f t="shared" si="5"/>
        <v>9218</v>
      </c>
      <c r="L10" s="15">
        <f t="shared" si="0"/>
        <v>-400.99999999999818</v>
      </c>
      <c r="M10" s="15"/>
      <c r="N10" s="15"/>
      <c r="O10" s="15"/>
      <c r="P10" s="17"/>
      <c r="Q10" s="31">
        <f t="shared" si="1"/>
        <v>-4194.9999999999991</v>
      </c>
      <c r="R10" s="34">
        <f t="shared" si="8"/>
        <v>5</v>
      </c>
      <c r="S10" s="66"/>
      <c r="T10" s="34"/>
      <c r="U10" s="34"/>
      <c r="V10" s="31"/>
      <c r="W10" s="32"/>
      <c r="X10" s="32"/>
      <c r="Y10" s="32"/>
      <c r="Z10" s="38"/>
      <c r="AA10" s="31"/>
      <c r="AB10" s="39"/>
      <c r="AC10" s="40"/>
      <c r="AD10" s="40"/>
    </row>
    <row r="11" spans="1:30" s="1" customFormat="1" x14ac:dyDescent="0.25">
      <c r="A11" s="51">
        <v>42338</v>
      </c>
      <c r="B11" s="54"/>
      <c r="C11" s="19" t="s">
        <v>69</v>
      </c>
      <c r="D11" s="52">
        <v>500</v>
      </c>
      <c r="E11" s="19">
        <v>8.64</v>
      </c>
      <c r="F11" s="16">
        <f t="shared" si="6"/>
        <v>600</v>
      </c>
      <c r="G11" s="17">
        <f t="shared" si="2"/>
        <v>8.5784749999999992</v>
      </c>
      <c r="H11" s="15">
        <f t="shared" si="7"/>
        <v>5147.0849999999991</v>
      </c>
      <c r="I11" s="15">
        <f t="shared" si="3"/>
        <v>36.915000000000873</v>
      </c>
      <c r="J11" s="33">
        <f t="shared" si="4"/>
        <v>7.1720206680093365E-3</v>
      </c>
      <c r="K11" s="15">
        <f t="shared" si="5"/>
        <v>5184</v>
      </c>
      <c r="L11" s="15">
        <f t="shared" si="0"/>
        <v>276.68000000000029</v>
      </c>
      <c r="M11" s="15"/>
      <c r="N11" s="15"/>
      <c r="O11" s="15"/>
      <c r="P11" s="17"/>
      <c r="Q11" s="31">
        <f t="shared" si="1"/>
        <v>4310.68</v>
      </c>
      <c r="R11" s="34">
        <f t="shared" si="8"/>
        <v>9.32</v>
      </c>
      <c r="S11" s="67"/>
      <c r="T11" s="34"/>
      <c r="U11" s="34"/>
      <c r="V11" s="31"/>
      <c r="W11" s="32"/>
      <c r="X11" s="32"/>
      <c r="Y11" s="32"/>
      <c r="Z11" s="38"/>
      <c r="AA11" s="31"/>
      <c r="AB11" s="39"/>
      <c r="AC11" s="40"/>
      <c r="AD11" s="40"/>
    </row>
    <row r="12" spans="1:30" s="1" customFormat="1" x14ac:dyDescent="0.25">
      <c r="A12" s="53">
        <v>42339</v>
      </c>
      <c r="B12" s="54"/>
      <c r="C12" s="10" t="s">
        <v>69</v>
      </c>
      <c r="D12" s="11">
        <v>500</v>
      </c>
      <c r="E12" s="10">
        <v>8.99</v>
      </c>
      <c r="F12" s="16">
        <f t="shared" si="6"/>
        <v>100</v>
      </c>
      <c r="G12" s="17">
        <f t="shared" si="2"/>
        <v>6.6157999999999912</v>
      </c>
      <c r="H12" s="15">
        <f t="shared" si="7"/>
        <v>661.57999999999913</v>
      </c>
      <c r="I12" s="15">
        <f t="shared" si="3"/>
        <v>237.42000000000087</v>
      </c>
      <c r="J12" s="33">
        <f t="shared" si="4"/>
        <v>0.35886816409202393</v>
      </c>
      <c r="K12" s="15">
        <f t="shared" si="5"/>
        <v>899</v>
      </c>
      <c r="L12" s="15">
        <f t="shared" si="0"/>
        <v>200.505</v>
      </c>
      <c r="M12" s="15"/>
      <c r="N12" s="15"/>
      <c r="O12" s="15"/>
      <c r="P12" s="17"/>
      <c r="Q12" s="31">
        <f t="shared" si="1"/>
        <v>4485.5050000000001</v>
      </c>
      <c r="R12" s="34">
        <f t="shared" si="8"/>
        <v>9.495000000000001</v>
      </c>
      <c r="S12" s="66"/>
      <c r="T12" s="34"/>
      <c r="U12" s="34"/>
      <c r="V12" s="31"/>
      <c r="W12" s="32"/>
      <c r="X12" s="32"/>
      <c r="Y12" s="32"/>
      <c r="Z12" s="38"/>
      <c r="AA12" s="31"/>
      <c r="AB12" s="39"/>
      <c r="AC12" s="40"/>
      <c r="AD12" s="40"/>
    </row>
    <row r="13" spans="1:30" s="1" customFormat="1" x14ac:dyDescent="0.25">
      <c r="A13" s="51">
        <v>42340</v>
      </c>
      <c r="B13" s="54"/>
      <c r="C13" s="19" t="s">
        <v>63</v>
      </c>
      <c r="D13" s="52">
        <v>500</v>
      </c>
      <c r="E13" s="19">
        <v>8.83</v>
      </c>
      <c r="F13" s="16">
        <f t="shared" si="6"/>
        <v>600</v>
      </c>
      <c r="G13" s="17">
        <f t="shared" si="2"/>
        <v>8.4692999999999987</v>
      </c>
      <c r="H13" s="15">
        <f t="shared" si="7"/>
        <v>5081.579999999999</v>
      </c>
      <c r="I13" s="15">
        <f t="shared" si="3"/>
        <v>216.42000000000098</v>
      </c>
      <c r="J13" s="33">
        <f t="shared" si="4"/>
        <v>4.2589115983611564E-2</v>
      </c>
      <c r="K13" s="15">
        <f t="shared" si="5"/>
        <v>5298</v>
      </c>
      <c r="L13" s="15">
        <f t="shared" si="0"/>
        <v>-20.999999999999886</v>
      </c>
      <c r="M13" s="15"/>
      <c r="N13" s="15"/>
      <c r="O13" s="15"/>
      <c r="P13" s="17"/>
      <c r="Q13" s="31">
        <f t="shared" si="1"/>
        <v>-4420</v>
      </c>
      <c r="R13" s="34">
        <f t="shared" si="8"/>
        <v>5</v>
      </c>
      <c r="S13" s="67"/>
      <c r="T13" s="34"/>
      <c r="U13" s="34"/>
      <c r="V13" s="31"/>
      <c r="W13" s="32"/>
      <c r="X13" s="32"/>
      <c r="Y13" s="32"/>
      <c r="Z13" s="38"/>
      <c r="AA13" s="31"/>
      <c r="AB13" s="39"/>
      <c r="AC13" s="40"/>
      <c r="AD13" s="40"/>
    </row>
    <row r="14" spans="1:30" s="1" customFormat="1" x14ac:dyDescent="0.25">
      <c r="A14" s="53">
        <v>42341</v>
      </c>
      <c r="B14" s="54"/>
      <c r="C14" s="10" t="s">
        <v>69</v>
      </c>
      <c r="D14" s="11">
        <v>500</v>
      </c>
      <c r="E14" s="10">
        <v>9.41</v>
      </c>
      <c r="F14" s="16">
        <f t="shared" si="6"/>
        <v>100</v>
      </c>
      <c r="G14" s="17">
        <f t="shared" si="2"/>
        <v>3.8628499999999901</v>
      </c>
      <c r="H14" s="15">
        <f t="shared" si="7"/>
        <v>386.284999999999</v>
      </c>
      <c r="I14" s="15">
        <f t="shared" si="3"/>
        <v>554.71500000000106</v>
      </c>
      <c r="J14" s="33">
        <f t="shared" si="4"/>
        <v>1.4360252145436723</v>
      </c>
      <c r="K14" s="15">
        <f t="shared" si="5"/>
        <v>941</v>
      </c>
      <c r="L14" s="15">
        <f t="shared" si="0"/>
        <v>338.29500000000007</v>
      </c>
      <c r="M14" s="15"/>
      <c r="N14" s="15"/>
      <c r="O14" s="15"/>
      <c r="P14" s="17"/>
      <c r="Q14" s="31">
        <f t="shared" si="1"/>
        <v>4695.2950000000001</v>
      </c>
      <c r="R14" s="34">
        <f t="shared" si="8"/>
        <v>9.7050000000000001</v>
      </c>
      <c r="S14" s="66"/>
      <c r="T14" s="34"/>
      <c r="U14" s="34"/>
      <c r="V14" s="31"/>
      <c r="W14" s="32"/>
      <c r="X14" s="32"/>
      <c r="Y14" s="32"/>
      <c r="Z14" s="38"/>
      <c r="AA14" s="31"/>
      <c r="AB14" s="41"/>
      <c r="AC14" s="40"/>
      <c r="AD14" s="40"/>
    </row>
    <row r="15" spans="1:30" s="1" customFormat="1" x14ac:dyDescent="0.25">
      <c r="A15" s="51">
        <v>42342</v>
      </c>
      <c r="B15" s="54"/>
      <c r="C15" s="19" t="s">
        <v>63</v>
      </c>
      <c r="D15" s="52">
        <v>500</v>
      </c>
      <c r="E15" s="19">
        <v>9.17</v>
      </c>
      <c r="F15" s="16">
        <f t="shared" si="6"/>
        <v>600</v>
      </c>
      <c r="G15" s="17">
        <f t="shared" si="2"/>
        <v>8.293808333333331</v>
      </c>
      <c r="H15" s="15">
        <f t="shared" si="7"/>
        <v>4976.2849999999989</v>
      </c>
      <c r="I15" s="15">
        <f t="shared" si="3"/>
        <v>525.71500000000106</v>
      </c>
      <c r="J15" s="33">
        <f t="shared" si="4"/>
        <v>0.10564406982317161</v>
      </c>
      <c r="K15" s="15">
        <f t="shared" si="5"/>
        <v>5502</v>
      </c>
      <c r="L15" s="15">
        <f t="shared" si="0"/>
        <v>-29</v>
      </c>
      <c r="M15" s="15"/>
      <c r="N15" s="15"/>
      <c r="O15" s="15"/>
      <c r="P15" s="17"/>
      <c r="Q15" s="31">
        <f t="shared" si="1"/>
        <v>-4590</v>
      </c>
      <c r="R15" s="34">
        <f t="shared" si="8"/>
        <v>5</v>
      </c>
      <c r="S15" s="67"/>
      <c r="T15" s="34"/>
      <c r="U15" s="34"/>
      <c r="V15" s="31"/>
      <c r="W15" s="32"/>
      <c r="X15" s="32"/>
      <c r="Y15" s="32"/>
      <c r="Z15" s="38"/>
      <c r="AA15" s="31"/>
      <c r="AB15" s="41"/>
      <c r="AC15" s="40"/>
      <c r="AD15" s="40"/>
    </row>
    <row r="16" spans="1:30" s="1" customFormat="1" x14ac:dyDescent="0.25">
      <c r="A16" s="53">
        <v>42346</v>
      </c>
      <c r="B16" s="54"/>
      <c r="C16" s="10" t="s">
        <v>63</v>
      </c>
      <c r="D16" s="11">
        <v>500</v>
      </c>
      <c r="E16" s="10">
        <v>8.94</v>
      </c>
      <c r="F16" s="16">
        <f t="shared" si="6"/>
        <v>1100</v>
      </c>
      <c r="G16" s="17">
        <f t="shared" si="2"/>
        <v>8.5920772727272734</v>
      </c>
      <c r="H16" s="15">
        <f t="shared" si="7"/>
        <v>9451.2849999999999</v>
      </c>
      <c r="I16" s="15">
        <f t="shared" si="3"/>
        <v>382.71500000000015</v>
      </c>
      <c r="J16" s="33">
        <f t="shared" si="4"/>
        <v>4.049343554871096E-2</v>
      </c>
      <c r="K16" s="15">
        <f t="shared" si="5"/>
        <v>9834</v>
      </c>
      <c r="L16" s="15">
        <f t="shared" si="0"/>
        <v>-143.00000000000091</v>
      </c>
      <c r="M16" s="15"/>
      <c r="N16" s="15"/>
      <c r="O16" s="15"/>
      <c r="P16" s="17"/>
      <c r="Q16" s="31">
        <f t="shared" si="1"/>
        <v>-4475.0000000000009</v>
      </c>
      <c r="R16" s="34">
        <f t="shared" si="8"/>
        <v>5</v>
      </c>
      <c r="S16" s="66"/>
      <c r="T16" s="34"/>
      <c r="U16" s="34"/>
      <c r="V16" s="31"/>
      <c r="W16" s="32"/>
      <c r="X16" s="32"/>
      <c r="Y16" s="32"/>
      <c r="Z16" s="38"/>
      <c r="AA16" s="31"/>
      <c r="AB16" s="41"/>
      <c r="AC16" s="40"/>
      <c r="AD16" s="40"/>
    </row>
    <row r="17" spans="1:30" s="1" customFormat="1" x14ac:dyDescent="0.25">
      <c r="A17" s="51">
        <v>42349</v>
      </c>
      <c r="B17" s="54"/>
      <c r="C17" s="19" t="s">
        <v>63</v>
      </c>
      <c r="D17" s="52">
        <v>500</v>
      </c>
      <c r="E17" s="19">
        <v>8.66</v>
      </c>
      <c r="F17" s="16">
        <f t="shared" si="6"/>
        <v>1600</v>
      </c>
      <c r="G17" s="17">
        <f t="shared" si="2"/>
        <v>8.6164281250000005</v>
      </c>
      <c r="H17" s="15">
        <f t="shared" si="7"/>
        <v>13786.285</v>
      </c>
      <c r="I17" s="15">
        <f t="shared" si="3"/>
        <v>69.715000000000146</v>
      </c>
      <c r="J17" s="33">
        <f t="shared" si="4"/>
        <v>5.056837284300981E-3</v>
      </c>
      <c r="K17" s="15">
        <f t="shared" si="5"/>
        <v>13856</v>
      </c>
      <c r="L17" s="15">
        <f t="shared" si="0"/>
        <v>-313</v>
      </c>
      <c r="M17" s="15"/>
      <c r="N17" s="15"/>
      <c r="O17" s="15"/>
      <c r="P17" s="17"/>
      <c r="Q17" s="31">
        <f t="shared" si="1"/>
        <v>-4335</v>
      </c>
      <c r="R17" s="34">
        <f t="shared" si="8"/>
        <v>5</v>
      </c>
      <c r="S17" s="67"/>
      <c r="T17" s="34"/>
      <c r="U17" s="34"/>
      <c r="V17" s="31"/>
      <c r="W17" s="32"/>
      <c r="X17" s="32"/>
      <c r="Y17" s="32"/>
      <c r="Z17" s="38"/>
      <c r="AA17" s="31"/>
      <c r="AB17" s="41"/>
      <c r="AC17" s="40"/>
      <c r="AD17" s="40"/>
    </row>
    <row r="18" spans="1:30" s="1" customFormat="1" x14ac:dyDescent="0.25">
      <c r="A18" s="53">
        <v>42352</v>
      </c>
      <c r="B18" s="54"/>
      <c r="C18" s="10" t="s">
        <v>63</v>
      </c>
      <c r="D18" s="11">
        <v>500</v>
      </c>
      <c r="E18" s="10">
        <v>8.44</v>
      </c>
      <c r="F18" s="16">
        <f t="shared" si="6"/>
        <v>2100</v>
      </c>
      <c r="G18" s="17">
        <f t="shared" si="2"/>
        <v>8.5768023809523815</v>
      </c>
      <c r="H18" s="15">
        <f t="shared" si="7"/>
        <v>18011.285</v>
      </c>
      <c r="I18" s="15">
        <f t="shared" si="3"/>
        <v>-287.28499999999985</v>
      </c>
      <c r="J18" s="33">
        <f t="shared" si="4"/>
        <v>-1.5950277839698948E-2</v>
      </c>
      <c r="K18" s="15">
        <f t="shared" si="5"/>
        <v>17724</v>
      </c>
      <c r="L18" s="15">
        <f t="shared" si="0"/>
        <v>-357</v>
      </c>
      <c r="M18" s="15"/>
      <c r="N18" s="15"/>
      <c r="O18" s="15"/>
      <c r="P18" s="17"/>
      <c r="Q18" s="31">
        <f t="shared" si="1"/>
        <v>-4225</v>
      </c>
      <c r="R18" s="34">
        <f t="shared" si="8"/>
        <v>5</v>
      </c>
      <c r="S18" s="66"/>
      <c r="T18" s="34"/>
      <c r="U18" s="34"/>
      <c r="V18" s="31"/>
      <c r="W18" s="32"/>
      <c r="X18" s="32"/>
      <c r="Y18" s="32"/>
      <c r="Z18" s="38"/>
      <c r="AA18" s="31"/>
      <c r="AB18" s="41"/>
      <c r="AC18" s="40"/>
      <c r="AD18" s="40"/>
    </row>
    <row r="19" spans="1:30" s="1" customFormat="1" x14ac:dyDescent="0.25">
      <c r="A19" s="51">
        <v>42352</v>
      </c>
      <c r="B19" s="54" t="s">
        <v>186</v>
      </c>
      <c r="C19" s="19" t="s">
        <v>69</v>
      </c>
      <c r="D19" s="52">
        <v>500</v>
      </c>
      <c r="E19" s="19">
        <v>8.6300000000000008</v>
      </c>
      <c r="F19" s="16">
        <f t="shared" si="6"/>
        <v>1600</v>
      </c>
      <c r="G19" s="17">
        <f t="shared" si="2"/>
        <v>8.5660000000000007</v>
      </c>
      <c r="H19" s="15">
        <f t="shared" si="7"/>
        <v>13705.6</v>
      </c>
      <c r="I19" s="15">
        <f t="shared" si="3"/>
        <v>102.40000000000146</v>
      </c>
      <c r="J19" s="33">
        <f t="shared" si="4"/>
        <v>7.4713985524165367E-3</v>
      </c>
      <c r="K19" s="15">
        <f t="shared" si="5"/>
        <v>13808.000000000002</v>
      </c>
      <c r="L19" s="15">
        <f t="shared" si="0"/>
        <v>389.68500000000131</v>
      </c>
      <c r="M19" s="15"/>
      <c r="N19" s="15"/>
      <c r="O19" s="15"/>
      <c r="P19" s="17"/>
      <c r="Q19" s="31">
        <f t="shared" si="1"/>
        <v>4305.6849999999995</v>
      </c>
      <c r="R19" s="34">
        <f t="shared" si="8"/>
        <v>9.3150000000000013</v>
      </c>
      <c r="S19" s="67"/>
      <c r="T19" s="34"/>
      <c r="U19" s="34"/>
      <c r="V19" s="31"/>
      <c r="W19" s="32"/>
      <c r="X19" s="32"/>
      <c r="Y19" s="32"/>
      <c r="Z19" s="38"/>
      <c r="AA19" s="31"/>
      <c r="AB19" s="41"/>
      <c r="AC19" s="40"/>
      <c r="AD19" s="40"/>
    </row>
    <row r="20" spans="1:30" s="1" customFormat="1" x14ac:dyDescent="0.25">
      <c r="A20" s="53">
        <v>42353</v>
      </c>
      <c r="B20" s="54" t="s">
        <v>611</v>
      </c>
      <c r="C20" s="10" t="s">
        <v>69</v>
      </c>
      <c r="D20" s="11">
        <v>500</v>
      </c>
      <c r="E20" s="10">
        <v>8.86</v>
      </c>
      <c r="F20" s="16">
        <f t="shared" si="6"/>
        <v>1100</v>
      </c>
      <c r="G20" s="17">
        <f t="shared" si="2"/>
        <v>8.4409363636363643</v>
      </c>
      <c r="H20" s="15">
        <f t="shared" si="7"/>
        <v>9285.0300000000007</v>
      </c>
      <c r="I20" s="15">
        <f t="shared" si="3"/>
        <v>460.96999999999935</v>
      </c>
      <c r="J20" s="33">
        <f t="shared" si="4"/>
        <v>4.9646581648093602E-2</v>
      </c>
      <c r="K20" s="15">
        <f t="shared" si="5"/>
        <v>9746</v>
      </c>
      <c r="L20" s="15">
        <f t="shared" si="0"/>
        <v>358.56999999999789</v>
      </c>
      <c r="M20" s="15"/>
      <c r="N20" s="15"/>
      <c r="O20" s="15"/>
      <c r="P20" s="17"/>
      <c r="Q20" s="31">
        <f t="shared" si="1"/>
        <v>4420.57</v>
      </c>
      <c r="R20" s="34">
        <f t="shared" si="8"/>
        <v>9.43</v>
      </c>
      <c r="S20" s="66"/>
      <c r="T20" s="34"/>
      <c r="U20" s="34"/>
      <c r="V20" s="31"/>
      <c r="W20" s="32"/>
      <c r="X20" s="32"/>
      <c r="Y20" s="32"/>
      <c r="Z20" s="38"/>
      <c r="AA20" s="31"/>
      <c r="AB20" s="41"/>
      <c r="AC20" s="40"/>
      <c r="AD20" s="40"/>
    </row>
    <row r="21" spans="1:30" s="1" customFormat="1" x14ac:dyDescent="0.25">
      <c r="A21" s="51">
        <v>42359</v>
      </c>
      <c r="B21" s="54" t="s">
        <v>612</v>
      </c>
      <c r="C21" s="19" t="s">
        <v>69</v>
      </c>
      <c r="D21" s="52">
        <v>500</v>
      </c>
      <c r="E21" s="19">
        <v>9.06</v>
      </c>
      <c r="F21" s="16">
        <f t="shared" si="6"/>
        <v>600</v>
      </c>
      <c r="G21" s="17">
        <f t="shared" si="2"/>
        <v>7.9409333333333336</v>
      </c>
      <c r="H21" s="15">
        <f t="shared" si="7"/>
        <v>4764.5600000000004</v>
      </c>
      <c r="I21" s="15">
        <f t="shared" si="3"/>
        <v>671.4399999999996</v>
      </c>
      <c r="J21" s="33">
        <f t="shared" si="4"/>
        <v>0.14092382087747873</v>
      </c>
      <c r="K21" s="15">
        <f t="shared" si="5"/>
        <v>5436</v>
      </c>
      <c r="L21" s="15">
        <f t="shared" si="0"/>
        <v>210.47000000000025</v>
      </c>
      <c r="M21" s="15"/>
      <c r="N21" s="15"/>
      <c r="O21" s="15"/>
      <c r="P21" s="17"/>
      <c r="Q21" s="31">
        <f t="shared" si="1"/>
        <v>4520.47</v>
      </c>
      <c r="R21" s="34">
        <f t="shared" si="8"/>
        <v>9.5300000000000011</v>
      </c>
      <c r="S21" s="67"/>
      <c r="T21" s="34"/>
      <c r="U21" s="34"/>
      <c r="V21" s="31"/>
      <c r="W21" s="32"/>
      <c r="X21" s="32"/>
      <c r="Y21" s="32"/>
      <c r="Z21" s="38"/>
      <c r="AA21" s="31"/>
      <c r="AB21" s="41"/>
      <c r="AC21" s="40"/>
      <c r="AD21" s="40"/>
    </row>
    <row r="22" spans="1:30" s="1" customFormat="1" x14ac:dyDescent="0.25">
      <c r="A22" s="53">
        <v>42361</v>
      </c>
      <c r="B22" s="54" t="s">
        <v>457</v>
      </c>
      <c r="C22" s="10" t="s">
        <v>69</v>
      </c>
      <c r="D22" s="11">
        <v>500</v>
      </c>
      <c r="E22" s="10">
        <v>9.14</v>
      </c>
      <c r="F22" s="16">
        <f t="shared" si="6"/>
        <v>100</v>
      </c>
      <c r="G22" s="17">
        <f t="shared" si="2"/>
        <v>2.0413000000000041</v>
      </c>
      <c r="H22" s="15">
        <f t="shared" si="7"/>
        <v>204.13000000000039</v>
      </c>
      <c r="I22" s="15">
        <f t="shared" si="3"/>
        <v>709.86999999999966</v>
      </c>
      <c r="J22" s="33">
        <f t="shared" si="4"/>
        <v>3.4775388232988695</v>
      </c>
      <c r="K22" s="15">
        <f t="shared" si="5"/>
        <v>914</v>
      </c>
      <c r="L22" s="15">
        <f t="shared" si="0"/>
        <v>38.430000000000064</v>
      </c>
      <c r="M22" s="15"/>
      <c r="N22" s="15"/>
      <c r="O22" s="15"/>
      <c r="P22" s="17"/>
      <c r="Q22" s="31">
        <f t="shared" si="1"/>
        <v>4560.43</v>
      </c>
      <c r="R22" s="34">
        <f t="shared" si="8"/>
        <v>9.57</v>
      </c>
      <c r="S22" s="66"/>
      <c r="T22" s="34"/>
      <c r="U22" s="34"/>
      <c r="V22" s="31"/>
      <c r="W22" s="32"/>
      <c r="X22" s="32"/>
      <c r="Y22" s="32"/>
      <c r="Z22" s="38"/>
      <c r="AA22" s="31"/>
      <c r="AB22" s="41"/>
      <c r="AC22" s="40"/>
      <c r="AD22" s="40"/>
    </row>
    <row r="23" spans="1:30" s="1" customFormat="1" x14ac:dyDescent="0.25">
      <c r="A23" s="55">
        <v>42606</v>
      </c>
      <c r="B23" s="54"/>
      <c r="C23" s="19" t="s">
        <v>63</v>
      </c>
      <c r="D23" s="52">
        <v>500</v>
      </c>
      <c r="E23" s="56">
        <v>7.59</v>
      </c>
      <c r="F23" s="16">
        <f t="shared" si="6"/>
        <v>600</v>
      </c>
      <c r="G23" s="17">
        <f t="shared" si="2"/>
        <v>6.6735500000000005</v>
      </c>
      <c r="H23" s="15">
        <f t="shared" si="7"/>
        <v>4004.1300000000006</v>
      </c>
      <c r="I23" s="15">
        <f t="shared" si="3"/>
        <v>549.86999999999944</v>
      </c>
      <c r="J23" s="33">
        <f t="shared" si="4"/>
        <v>0.1373257112031826</v>
      </c>
      <c r="K23" s="15">
        <f t="shared" si="5"/>
        <v>4554</v>
      </c>
      <c r="L23" s="15">
        <f t="shared" si="0"/>
        <v>-160.00000000000023</v>
      </c>
      <c r="M23" s="15"/>
      <c r="N23" s="15"/>
      <c r="O23" s="15"/>
      <c r="P23" s="17"/>
      <c r="Q23" s="31">
        <f t="shared" si="1"/>
        <v>-3800</v>
      </c>
      <c r="R23" s="34">
        <f t="shared" si="8"/>
        <v>5</v>
      </c>
      <c r="S23" s="67"/>
      <c r="T23" s="34"/>
      <c r="U23" s="34"/>
      <c r="V23" s="31"/>
      <c r="W23" s="32"/>
      <c r="X23" s="32"/>
      <c r="Y23" s="32"/>
      <c r="Z23" s="38"/>
      <c r="AA23" s="31"/>
      <c r="AB23" s="41"/>
      <c r="AC23" s="40"/>
      <c r="AD23" s="40"/>
    </row>
    <row r="24" spans="1:30" s="1" customFormat="1" x14ac:dyDescent="0.25">
      <c r="A24" s="57">
        <v>42607</v>
      </c>
      <c r="B24" s="54"/>
      <c r="C24" s="10" t="s">
        <v>63</v>
      </c>
      <c r="D24" s="11">
        <v>500</v>
      </c>
      <c r="E24" s="58">
        <v>7.45</v>
      </c>
      <c r="F24" s="16">
        <f t="shared" si="6"/>
        <v>1100</v>
      </c>
      <c r="G24" s="17">
        <f t="shared" si="2"/>
        <v>7.0310272727272736</v>
      </c>
      <c r="H24" s="15">
        <f t="shared" si="7"/>
        <v>7734.130000000001</v>
      </c>
      <c r="I24" s="15">
        <f t="shared" si="3"/>
        <v>460.86999999999898</v>
      </c>
      <c r="J24" s="33">
        <f t="shared" si="4"/>
        <v>5.9589119913939802E-2</v>
      </c>
      <c r="K24" s="15">
        <f t="shared" si="5"/>
        <v>8195</v>
      </c>
      <c r="L24" s="15">
        <f t="shared" si="0"/>
        <v>-89.000000000000455</v>
      </c>
      <c r="M24" s="15"/>
      <c r="N24" s="15"/>
      <c r="O24" s="15"/>
      <c r="P24" s="17"/>
      <c r="Q24" s="31">
        <f t="shared" si="1"/>
        <v>-3730.0000000000005</v>
      </c>
      <c r="R24" s="34">
        <f t="shared" si="8"/>
        <v>5</v>
      </c>
      <c r="S24" s="66"/>
      <c r="T24" s="34"/>
      <c r="U24" s="34"/>
      <c r="V24" s="31"/>
      <c r="W24" s="32"/>
      <c r="X24" s="32"/>
      <c r="Y24" s="32"/>
      <c r="Z24" s="38"/>
      <c r="AA24" s="31"/>
      <c r="AB24" s="41"/>
      <c r="AC24" s="40"/>
      <c r="AD24" s="40"/>
    </row>
    <row r="25" spans="1:30" s="1" customFormat="1" x14ac:dyDescent="0.25">
      <c r="A25" s="55">
        <v>42608</v>
      </c>
      <c r="B25" s="54" t="s">
        <v>178</v>
      </c>
      <c r="C25" s="19" t="s">
        <v>69</v>
      </c>
      <c r="D25" s="52">
        <v>500</v>
      </c>
      <c r="E25" s="56">
        <v>7.6</v>
      </c>
      <c r="F25" s="16">
        <f t="shared" si="6"/>
        <v>600</v>
      </c>
      <c r="G25" s="17">
        <f t="shared" si="2"/>
        <v>6.571550000000002</v>
      </c>
      <c r="H25" s="15">
        <f t="shared" si="7"/>
        <v>3942.9300000000012</v>
      </c>
      <c r="I25" s="15">
        <f t="shared" si="3"/>
        <v>617.0699999999988</v>
      </c>
      <c r="J25" s="33">
        <f t="shared" si="4"/>
        <v>0.15650036901491998</v>
      </c>
      <c r="K25" s="15">
        <f t="shared" si="5"/>
        <v>4560</v>
      </c>
      <c r="L25" s="15">
        <f t="shared" si="0"/>
        <v>156.19999999999982</v>
      </c>
      <c r="M25" s="15"/>
      <c r="N25" s="15"/>
      <c r="O25" s="15"/>
      <c r="P25" s="17"/>
      <c r="Q25" s="31">
        <f t="shared" si="1"/>
        <v>3791.2</v>
      </c>
      <c r="R25" s="34">
        <f t="shared" si="8"/>
        <v>8.8000000000000007</v>
      </c>
      <c r="S25" s="67"/>
      <c r="T25" s="34"/>
      <c r="U25" s="34"/>
      <c r="V25" s="31"/>
      <c r="W25" s="32"/>
      <c r="X25" s="32"/>
      <c r="Y25" s="32"/>
      <c r="Z25" s="38"/>
      <c r="AA25" s="31"/>
      <c r="AB25" s="42"/>
      <c r="AC25" s="40"/>
      <c r="AD25" s="40"/>
    </row>
    <row r="26" spans="1:30" s="1" customFormat="1" x14ac:dyDescent="0.25">
      <c r="A26" s="57">
        <v>42612</v>
      </c>
      <c r="B26" s="54"/>
      <c r="C26" s="10" t="s">
        <v>63</v>
      </c>
      <c r="D26" s="11">
        <v>500</v>
      </c>
      <c r="E26" s="58">
        <v>7.46</v>
      </c>
      <c r="F26" s="16">
        <f t="shared" si="6"/>
        <v>1100</v>
      </c>
      <c r="G26" s="17">
        <f t="shared" si="2"/>
        <v>6.9799363636363649</v>
      </c>
      <c r="H26" s="15">
        <f t="shared" si="7"/>
        <v>7677.9300000000012</v>
      </c>
      <c r="I26" s="15">
        <f t="shared" si="3"/>
        <v>528.0699999999988</v>
      </c>
      <c r="J26" s="33">
        <f t="shared" si="4"/>
        <v>6.8777652309932297E-2</v>
      </c>
      <c r="K26" s="15">
        <f t="shared" si="5"/>
        <v>8206</v>
      </c>
      <c r="L26" s="15">
        <f t="shared" si="0"/>
        <v>-89</v>
      </c>
      <c r="M26" s="15"/>
      <c r="N26" s="15"/>
      <c r="O26" s="15"/>
      <c r="P26" s="17"/>
      <c r="Q26" s="31">
        <f t="shared" si="1"/>
        <v>-3735</v>
      </c>
      <c r="R26" s="34">
        <f t="shared" si="8"/>
        <v>5</v>
      </c>
      <c r="S26" s="66"/>
      <c r="T26" s="34"/>
      <c r="U26" s="34"/>
      <c r="V26" s="31"/>
      <c r="W26" s="32"/>
      <c r="X26" s="32"/>
      <c r="Y26" s="32"/>
      <c r="Z26" s="38"/>
      <c r="AA26" s="31"/>
      <c r="AB26" s="43"/>
      <c r="AC26" s="40"/>
      <c r="AD26" s="40"/>
    </row>
    <row r="27" spans="1:30" s="1" customFormat="1" x14ac:dyDescent="0.25">
      <c r="A27" s="55">
        <v>42613</v>
      </c>
      <c r="B27" s="59"/>
      <c r="C27" s="19" t="s">
        <v>63</v>
      </c>
      <c r="D27" s="52">
        <v>500</v>
      </c>
      <c r="E27" s="56">
        <v>7.36</v>
      </c>
      <c r="F27" s="16">
        <f t="shared" si="6"/>
        <v>1600</v>
      </c>
      <c r="G27" s="17">
        <f t="shared" si="2"/>
        <v>7.10183125</v>
      </c>
      <c r="H27" s="15">
        <f t="shared" si="7"/>
        <v>11362.93</v>
      </c>
      <c r="I27" s="15">
        <f t="shared" si="3"/>
        <v>413.06999999999971</v>
      </c>
      <c r="J27" s="33">
        <f t="shared" si="4"/>
        <v>3.6352419666406503E-2</v>
      </c>
      <c r="K27" s="15">
        <f t="shared" si="5"/>
        <v>11776</v>
      </c>
      <c r="L27" s="15">
        <f t="shared" si="0"/>
        <v>-114.99999999999909</v>
      </c>
      <c r="M27" s="15"/>
      <c r="N27" s="15"/>
      <c r="O27" s="15"/>
      <c r="P27" s="17"/>
      <c r="Q27" s="31">
        <f t="shared" si="1"/>
        <v>-3684.9999999999991</v>
      </c>
      <c r="R27" s="34">
        <f t="shared" si="8"/>
        <v>5</v>
      </c>
      <c r="S27" s="67"/>
      <c r="T27" s="34"/>
      <c r="U27" s="34"/>
      <c r="V27" s="31"/>
      <c r="W27" s="32"/>
      <c r="X27" s="32"/>
      <c r="Y27" s="32"/>
      <c r="Z27" s="38"/>
      <c r="AA27" s="31"/>
      <c r="AB27" s="43"/>
      <c r="AC27" s="40"/>
      <c r="AD27" s="40"/>
    </row>
    <row r="28" spans="1:30" s="1" customFormat="1" x14ac:dyDescent="0.25">
      <c r="A28" s="57">
        <v>42615</v>
      </c>
      <c r="B28" s="54"/>
      <c r="C28" s="10" t="s">
        <v>63</v>
      </c>
      <c r="D28" s="11">
        <v>500</v>
      </c>
      <c r="E28" s="58">
        <v>7.21</v>
      </c>
      <c r="F28" s="16">
        <f t="shared" si="6"/>
        <v>2100</v>
      </c>
      <c r="G28" s="17">
        <f t="shared" si="2"/>
        <v>7.1299666666666672</v>
      </c>
      <c r="H28" s="15">
        <f t="shared" si="7"/>
        <v>14972.93</v>
      </c>
      <c r="I28" s="15">
        <f t="shared" si="3"/>
        <v>168.06999999999971</v>
      </c>
      <c r="J28" s="33">
        <f t="shared" si="4"/>
        <v>1.1224923912687678E-2</v>
      </c>
      <c r="K28" s="15">
        <f t="shared" si="5"/>
        <v>15141</v>
      </c>
      <c r="L28" s="15">
        <f t="shared" si="0"/>
        <v>-245</v>
      </c>
      <c r="M28" s="15"/>
      <c r="N28" s="15"/>
      <c r="O28" s="15"/>
      <c r="P28" s="17"/>
      <c r="Q28" s="31">
        <f t="shared" si="1"/>
        <v>-3610</v>
      </c>
      <c r="R28" s="34">
        <f t="shared" si="8"/>
        <v>5</v>
      </c>
      <c r="S28" s="66"/>
      <c r="T28" s="34"/>
      <c r="U28" s="34"/>
      <c r="V28" s="31"/>
      <c r="W28" s="32"/>
      <c r="X28" s="32"/>
      <c r="Y28" s="32"/>
      <c r="Z28" s="38"/>
      <c r="AA28" s="31"/>
      <c r="AB28" s="43"/>
      <c r="AC28" s="40"/>
      <c r="AD28" s="40"/>
    </row>
    <row r="29" spans="1:30" s="1" customFormat="1" x14ac:dyDescent="0.25">
      <c r="A29" s="55">
        <v>42726</v>
      </c>
      <c r="B29" s="54" t="s">
        <v>389</v>
      </c>
      <c r="C29" s="19" t="s">
        <v>69</v>
      </c>
      <c r="D29" s="52">
        <v>500</v>
      </c>
      <c r="E29" s="56">
        <v>7.9</v>
      </c>
      <c r="F29" s="16">
        <f t="shared" si="6"/>
        <v>1600</v>
      </c>
      <c r="G29" s="17">
        <f t="shared" si="2"/>
        <v>6.8949250000000006</v>
      </c>
      <c r="H29" s="15">
        <f t="shared" si="7"/>
        <v>11031.880000000001</v>
      </c>
      <c r="I29" s="15">
        <f t="shared" si="3"/>
        <v>1608.119999999999</v>
      </c>
      <c r="J29" s="33">
        <f t="shared" si="4"/>
        <v>0.14577025855973771</v>
      </c>
      <c r="K29" s="15">
        <f t="shared" si="5"/>
        <v>12640</v>
      </c>
      <c r="L29" s="15">
        <f t="shared" si="0"/>
        <v>1440.0499999999993</v>
      </c>
      <c r="M29" s="15"/>
      <c r="N29" s="15"/>
      <c r="O29" s="15"/>
      <c r="P29" s="17"/>
      <c r="Q29" s="31">
        <f t="shared" si="1"/>
        <v>3941.0499999999993</v>
      </c>
      <c r="R29" s="34">
        <f t="shared" si="8"/>
        <v>8.9499999999999993</v>
      </c>
      <c r="S29" s="67"/>
      <c r="T29" s="34"/>
      <c r="U29" s="34"/>
      <c r="V29" s="31"/>
      <c r="W29" s="32"/>
      <c r="X29" s="32"/>
      <c r="Y29" s="32"/>
      <c r="Z29" s="38"/>
      <c r="AA29" s="31"/>
      <c r="AB29" s="43"/>
      <c r="AC29" s="40"/>
      <c r="AD29" s="40"/>
    </row>
    <row r="30" spans="1:30" s="1" customFormat="1" x14ac:dyDescent="0.25">
      <c r="A30" s="57">
        <v>42727</v>
      </c>
      <c r="B30" s="54" t="s">
        <v>596</v>
      </c>
      <c r="C30" s="10" t="s">
        <v>69</v>
      </c>
      <c r="D30" s="11">
        <v>500</v>
      </c>
      <c r="E30" s="58">
        <v>8.4499999999999993</v>
      </c>
      <c r="F30" s="16">
        <f t="shared" si="6"/>
        <v>1100</v>
      </c>
      <c r="G30" s="17">
        <f t="shared" si="2"/>
        <v>6.1964590909090917</v>
      </c>
      <c r="H30" s="15">
        <f t="shared" si="7"/>
        <v>6816.1050000000014</v>
      </c>
      <c r="I30" s="15">
        <f t="shared" si="3"/>
        <v>2478.8949999999986</v>
      </c>
      <c r="J30" s="33">
        <f t="shared" si="4"/>
        <v>0.36368204421733497</v>
      </c>
      <c r="K30" s="15">
        <f t="shared" si="5"/>
        <v>9295</v>
      </c>
      <c r="L30" s="15">
        <f t="shared" si="0"/>
        <v>870.77499999999964</v>
      </c>
      <c r="M30" s="15"/>
      <c r="N30" s="15"/>
      <c r="O30" s="15"/>
      <c r="P30" s="17"/>
      <c r="Q30" s="31">
        <f t="shared" si="1"/>
        <v>4215.7749999999996</v>
      </c>
      <c r="R30" s="34">
        <f t="shared" si="8"/>
        <v>9.2249999999999996</v>
      </c>
      <c r="S30" s="66"/>
      <c r="T30" s="34"/>
      <c r="U30" s="34"/>
      <c r="V30" s="31"/>
      <c r="W30" s="32"/>
      <c r="X30" s="32"/>
      <c r="Y30" s="32"/>
      <c r="Z30" s="38"/>
      <c r="AA30" s="31"/>
      <c r="AB30" s="43"/>
      <c r="AC30" s="40"/>
      <c r="AD30" s="40"/>
    </row>
    <row r="31" spans="1:30" s="1" customFormat="1" x14ac:dyDescent="0.25">
      <c r="A31" s="55">
        <v>42740</v>
      </c>
      <c r="B31" s="54"/>
      <c r="C31" s="19" t="s">
        <v>63</v>
      </c>
      <c r="D31" s="52">
        <v>500</v>
      </c>
      <c r="E31" s="56">
        <v>7.18</v>
      </c>
      <c r="F31" s="16">
        <f t="shared" si="6"/>
        <v>1600</v>
      </c>
      <c r="G31" s="17">
        <f t="shared" si="2"/>
        <v>6.5069406250000013</v>
      </c>
      <c r="H31" s="15">
        <f t="shared" si="7"/>
        <v>10411.105000000001</v>
      </c>
      <c r="I31" s="15">
        <f t="shared" si="3"/>
        <v>1076.8949999999986</v>
      </c>
      <c r="J31" s="33">
        <f t="shared" si="4"/>
        <v>0.10343714716161227</v>
      </c>
      <c r="K31" s="15">
        <f t="shared" si="5"/>
        <v>11488</v>
      </c>
      <c r="L31" s="15">
        <f t="shared" si="0"/>
        <v>-1402</v>
      </c>
      <c r="M31" s="15"/>
      <c r="N31" s="15"/>
      <c r="O31" s="15"/>
      <c r="P31" s="17"/>
      <c r="Q31" s="31">
        <f t="shared" si="1"/>
        <v>-3595</v>
      </c>
      <c r="R31" s="34">
        <f t="shared" si="8"/>
        <v>5</v>
      </c>
      <c r="S31" s="67"/>
      <c r="T31" s="34"/>
      <c r="U31" s="34"/>
      <c r="V31" s="31"/>
      <c r="W31" s="32"/>
      <c r="X31" s="32"/>
      <c r="Y31" s="32"/>
      <c r="Z31" s="38"/>
      <c r="AA31" s="31"/>
      <c r="AB31" s="43"/>
      <c r="AC31" s="40"/>
      <c r="AD31" s="40"/>
    </row>
    <row r="32" spans="1:30" s="1" customFormat="1" x14ac:dyDescent="0.25">
      <c r="A32" s="57">
        <v>42746</v>
      </c>
      <c r="B32" s="54"/>
      <c r="C32" s="10" t="s">
        <v>63</v>
      </c>
      <c r="D32" s="11">
        <v>500</v>
      </c>
      <c r="E32" s="58">
        <v>7.04</v>
      </c>
      <c r="F32" s="16">
        <f t="shared" si="6"/>
        <v>2100</v>
      </c>
      <c r="G32" s="17">
        <f t="shared" si="2"/>
        <v>6.6362404761904772</v>
      </c>
      <c r="H32" s="15">
        <f t="shared" si="7"/>
        <v>13936.105000000001</v>
      </c>
      <c r="I32" s="15">
        <f t="shared" si="3"/>
        <v>847.89499999999862</v>
      </c>
      <c r="J32" s="33">
        <f t="shared" si="4"/>
        <v>6.084160531224455E-2</v>
      </c>
      <c r="K32" s="15">
        <f t="shared" si="5"/>
        <v>14784</v>
      </c>
      <c r="L32" s="15">
        <f t="shared" si="0"/>
        <v>-229</v>
      </c>
      <c r="M32" s="15"/>
      <c r="N32" s="15"/>
      <c r="O32" s="15"/>
      <c r="P32" s="17"/>
      <c r="Q32" s="31">
        <f t="shared" si="1"/>
        <v>-3525</v>
      </c>
      <c r="R32" s="34">
        <f t="shared" si="8"/>
        <v>5</v>
      </c>
      <c r="S32" s="66"/>
      <c r="T32" s="34"/>
      <c r="U32" s="34"/>
      <c r="V32" s="31"/>
      <c r="W32" s="32"/>
      <c r="X32" s="32"/>
      <c r="Y32" s="32"/>
      <c r="Z32" s="38"/>
      <c r="AA32" s="31"/>
      <c r="AB32" s="43"/>
      <c r="AC32" s="40"/>
      <c r="AD32" s="40"/>
    </row>
    <row r="33" spans="1:30" s="1" customFormat="1" x14ac:dyDescent="0.25">
      <c r="A33" s="55">
        <v>42748</v>
      </c>
      <c r="B33" s="54"/>
      <c r="C33" s="19" t="s">
        <v>63</v>
      </c>
      <c r="D33" s="52">
        <v>500</v>
      </c>
      <c r="E33" s="56">
        <v>6.9</v>
      </c>
      <c r="F33" s="16">
        <f t="shared" si="6"/>
        <v>2600</v>
      </c>
      <c r="G33" s="17">
        <f t="shared" si="2"/>
        <v>6.6888865384615395</v>
      </c>
      <c r="H33" s="15">
        <f t="shared" si="7"/>
        <v>17391.105000000003</v>
      </c>
      <c r="I33" s="15">
        <f t="shared" si="3"/>
        <v>548.8949999999968</v>
      </c>
      <c r="J33" s="33">
        <f t="shared" si="4"/>
        <v>3.156182427741068E-2</v>
      </c>
      <c r="K33" s="15">
        <f t="shared" si="5"/>
        <v>17940</v>
      </c>
      <c r="L33" s="15">
        <f t="shared" si="0"/>
        <v>-299.00000000000182</v>
      </c>
      <c r="M33" s="15"/>
      <c r="N33" s="15"/>
      <c r="O33" s="15"/>
      <c r="P33" s="17"/>
      <c r="Q33" s="31">
        <f t="shared" si="1"/>
        <v>-3455.0000000000018</v>
      </c>
      <c r="R33" s="34">
        <f t="shared" si="8"/>
        <v>5</v>
      </c>
      <c r="S33" s="67"/>
      <c r="T33" s="34"/>
      <c r="U33" s="34"/>
      <c r="V33" s="31"/>
      <c r="W33" s="32"/>
      <c r="X33" s="32"/>
      <c r="Y33" s="32"/>
      <c r="Z33" s="38"/>
      <c r="AA33" s="31"/>
      <c r="AB33" s="43"/>
      <c r="AC33" s="40"/>
      <c r="AD33" s="40"/>
    </row>
    <row r="34" spans="1:30" s="1" customFormat="1" x14ac:dyDescent="0.25">
      <c r="A34" s="57">
        <v>42748</v>
      </c>
      <c r="B34" s="54"/>
      <c r="C34" s="10" t="s">
        <v>63</v>
      </c>
      <c r="D34" s="11">
        <v>500</v>
      </c>
      <c r="E34" s="58">
        <v>6.76</v>
      </c>
      <c r="F34" s="16">
        <f t="shared" si="6"/>
        <v>3100</v>
      </c>
      <c r="G34" s="17">
        <f t="shared" si="2"/>
        <v>6.7019693548387105</v>
      </c>
      <c r="H34" s="15">
        <f t="shared" si="7"/>
        <v>20776.105000000003</v>
      </c>
      <c r="I34" s="15">
        <f t="shared" si="3"/>
        <v>179.8949999999968</v>
      </c>
      <c r="J34" s="33">
        <f t="shared" si="4"/>
        <v>8.6587452267880248E-3</v>
      </c>
      <c r="K34" s="15">
        <f t="shared" si="5"/>
        <v>20956</v>
      </c>
      <c r="L34" s="15">
        <f t="shared" si="0"/>
        <v>-369</v>
      </c>
      <c r="M34" s="15"/>
      <c r="N34" s="15"/>
      <c r="O34" s="15"/>
      <c r="P34" s="17"/>
      <c r="Q34" s="31">
        <f t="shared" si="1"/>
        <v>-3385</v>
      </c>
      <c r="R34" s="34">
        <f t="shared" si="8"/>
        <v>5</v>
      </c>
      <c r="S34" s="66"/>
      <c r="T34" s="34"/>
      <c r="U34" s="34"/>
      <c r="V34" s="31"/>
      <c r="W34" s="32"/>
      <c r="X34" s="32"/>
      <c r="Y34" s="32"/>
      <c r="Z34" s="38"/>
      <c r="AA34" s="31"/>
      <c r="AB34" s="43"/>
      <c r="AC34" s="40"/>
      <c r="AD34" s="40"/>
    </row>
    <row r="35" spans="1:30" s="1" customFormat="1" x14ac:dyDescent="0.25">
      <c r="A35" s="55">
        <v>42751</v>
      </c>
      <c r="B35" s="54" t="s">
        <v>390</v>
      </c>
      <c r="C35" s="19" t="s">
        <v>69</v>
      </c>
      <c r="D35" s="52">
        <v>500</v>
      </c>
      <c r="E35" s="56">
        <v>6.93</v>
      </c>
      <c r="F35" s="16">
        <f t="shared" si="6"/>
        <v>2600</v>
      </c>
      <c r="G35" s="17">
        <f t="shared" si="2"/>
        <v>6.6613730769230779</v>
      </c>
      <c r="H35" s="15">
        <f t="shared" si="7"/>
        <v>17319.570000000003</v>
      </c>
      <c r="I35" s="15">
        <f t="shared" si="3"/>
        <v>698.42999999999665</v>
      </c>
      <c r="J35" s="33">
        <f t="shared" si="4"/>
        <v>4.0326058903309758E-2</v>
      </c>
      <c r="K35" s="15">
        <f t="shared" si="5"/>
        <v>18018</v>
      </c>
      <c r="L35" s="15">
        <f t="shared" si="0"/>
        <v>518.53499999999985</v>
      </c>
      <c r="M35" s="15"/>
      <c r="N35" s="15"/>
      <c r="O35" s="15"/>
      <c r="P35" s="17"/>
      <c r="Q35" s="31">
        <f t="shared" si="1"/>
        <v>3456.5349999999999</v>
      </c>
      <c r="R35" s="34">
        <f t="shared" si="8"/>
        <v>8.4649999999999999</v>
      </c>
      <c r="S35" s="67"/>
      <c r="T35" s="34"/>
      <c r="U35" s="34"/>
      <c r="V35" s="31"/>
      <c r="W35" s="32"/>
      <c r="X35" s="32"/>
      <c r="Y35" s="32"/>
      <c r="Z35" s="38"/>
      <c r="AA35" s="31"/>
      <c r="AB35" s="43"/>
      <c r="AC35" s="40"/>
      <c r="AD35" s="40"/>
    </row>
    <row r="36" spans="1:30" s="1" customFormat="1" x14ac:dyDescent="0.25">
      <c r="A36" s="57">
        <v>42751</v>
      </c>
      <c r="B36" s="54"/>
      <c r="C36" s="10" t="s">
        <v>63</v>
      </c>
      <c r="D36" s="11">
        <v>500</v>
      </c>
      <c r="E36" s="58">
        <v>6.66</v>
      </c>
      <c r="F36" s="16">
        <f t="shared" si="6"/>
        <v>3100</v>
      </c>
      <c r="G36" s="17">
        <f t="shared" si="2"/>
        <v>6.662764516129033</v>
      </c>
      <c r="H36" s="15">
        <f t="shared" si="7"/>
        <v>20654.570000000003</v>
      </c>
      <c r="I36" s="15">
        <f t="shared" si="3"/>
        <v>-8.5700000000033469</v>
      </c>
      <c r="J36" s="33">
        <f t="shared" si="4"/>
        <v>-4.149202815648927E-4</v>
      </c>
      <c r="K36" s="15">
        <f t="shared" si="5"/>
        <v>20646</v>
      </c>
      <c r="L36" s="15">
        <f t="shared" si="0"/>
        <v>-707</v>
      </c>
      <c r="M36" s="15"/>
      <c r="N36" s="15"/>
      <c r="O36" s="15"/>
      <c r="P36" s="17"/>
      <c r="Q36" s="31">
        <f t="shared" si="1"/>
        <v>-3335</v>
      </c>
      <c r="R36" s="34">
        <f t="shared" si="8"/>
        <v>5</v>
      </c>
      <c r="S36" s="66"/>
      <c r="T36" s="34"/>
      <c r="U36" s="34"/>
      <c r="V36" s="31"/>
      <c r="W36" s="32"/>
      <c r="X36" s="32"/>
      <c r="Y36" s="32"/>
      <c r="Z36" s="38"/>
      <c r="AA36" s="31"/>
      <c r="AB36" s="43"/>
      <c r="AC36" s="40"/>
      <c r="AD36" s="40"/>
    </row>
    <row r="37" spans="1:30" s="1" customFormat="1" x14ac:dyDescent="0.25">
      <c r="A37" s="55">
        <v>42751</v>
      </c>
      <c r="B37" s="54" t="s">
        <v>392</v>
      </c>
      <c r="C37" s="19" t="s">
        <v>69</v>
      </c>
      <c r="D37" s="52">
        <v>500</v>
      </c>
      <c r="E37" s="56">
        <v>6.79</v>
      </c>
      <c r="F37" s="16">
        <f t="shared" si="6"/>
        <v>2600</v>
      </c>
      <c r="G37" s="17">
        <f t="shared" si="2"/>
        <v>6.6415250000000015</v>
      </c>
      <c r="H37" s="15">
        <f t="shared" si="7"/>
        <v>17267.965000000004</v>
      </c>
      <c r="I37" s="15">
        <f t="shared" si="3"/>
        <v>386.03499999999622</v>
      </c>
      <c r="J37" s="33">
        <f t="shared" si="4"/>
        <v>2.2355558399614329E-2</v>
      </c>
      <c r="K37" s="15">
        <f t="shared" si="5"/>
        <v>17654</v>
      </c>
      <c r="L37" s="15">
        <f t="shared" si="0"/>
        <v>394.60499999999956</v>
      </c>
      <c r="M37" s="15"/>
      <c r="N37" s="15"/>
      <c r="O37" s="15"/>
      <c r="P37" s="17"/>
      <c r="Q37" s="31">
        <f t="shared" si="1"/>
        <v>3386.6049999999996</v>
      </c>
      <c r="R37" s="34">
        <f t="shared" si="8"/>
        <v>8.3949999999999996</v>
      </c>
      <c r="S37" s="67"/>
      <c r="T37" s="34"/>
      <c r="U37" s="34"/>
      <c r="V37" s="31"/>
      <c r="W37" s="32"/>
      <c r="X37" s="32"/>
      <c r="Y37" s="32"/>
      <c r="Z37" s="38"/>
      <c r="AA37" s="31"/>
      <c r="AB37" s="43"/>
      <c r="AC37" s="40"/>
      <c r="AD37" s="40"/>
    </row>
    <row r="38" spans="1:30" s="1" customFormat="1" x14ac:dyDescent="0.25">
      <c r="A38" s="57">
        <v>42755</v>
      </c>
      <c r="B38" s="54"/>
      <c r="C38" s="10" t="s">
        <v>69</v>
      </c>
      <c r="D38" s="11">
        <v>500</v>
      </c>
      <c r="E38" s="58">
        <v>6.95</v>
      </c>
      <c r="F38" s="16">
        <f t="shared" si="6"/>
        <v>2100</v>
      </c>
      <c r="G38" s="17">
        <f t="shared" si="2"/>
        <v>6.5721142857142878</v>
      </c>
      <c r="H38" s="15">
        <f t="shared" si="7"/>
        <v>13801.440000000004</v>
      </c>
      <c r="I38" s="15">
        <f t="shared" si="3"/>
        <v>793.55999999999585</v>
      </c>
      <c r="J38" s="33">
        <f t="shared" si="4"/>
        <v>5.7498347998469417E-2</v>
      </c>
      <c r="K38" s="15">
        <f t="shared" si="5"/>
        <v>14595</v>
      </c>
      <c r="L38" s="15">
        <f t="shared" si="0"/>
        <v>407.52499999999964</v>
      </c>
      <c r="M38" s="15"/>
      <c r="N38" s="15"/>
      <c r="O38" s="15"/>
      <c r="P38" s="17"/>
      <c r="Q38" s="31">
        <f t="shared" si="1"/>
        <v>3466.5249999999996</v>
      </c>
      <c r="R38" s="34">
        <f t="shared" si="8"/>
        <v>8.4749999999999996</v>
      </c>
      <c r="S38" s="66"/>
      <c r="T38" s="34"/>
      <c r="U38" s="34"/>
      <c r="V38" s="31"/>
      <c r="W38" s="32"/>
      <c r="X38" s="32"/>
      <c r="Y38" s="32"/>
      <c r="Z38" s="38"/>
      <c r="AA38" s="31"/>
      <c r="AB38" s="43"/>
      <c r="AC38" s="40"/>
      <c r="AD38" s="40"/>
    </row>
    <row r="39" spans="1:30" s="1" customFormat="1" x14ac:dyDescent="0.25">
      <c r="A39" s="55">
        <v>42758</v>
      </c>
      <c r="B39" s="54" t="s">
        <v>181</v>
      </c>
      <c r="C39" s="19" t="s">
        <v>69</v>
      </c>
      <c r="D39" s="52">
        <v>500</v>
      </c>
      <c r="E39" s="56">
        <v>7.05</v>
      </c>
      <c r="F39" s="16">
        <f t="shared" si="6"/>
        <v>1600</v>
      </c>
      <c r="G39" s="17">
        <f t="shared" si="2"/>
        <v>6.4281031250000025</v>
      </c>
      <c r="H39" s="15">
        <f t="shared" si="7"/>
        <v>10284.965000000004</v>
      </c>
      <c r="I39" s="15">
        <f t="shared" si="3"/>
        <v>995.03499999999622</v>
      </c>
      <c r="J39" s="33">
        <f t="shared" si="4"/>
        <v>9.6746561607161066E-2</v>
      </c>
      <c r="K39" s="15">
        <f t="shared" si="5"/>
        <v>11280</v>
      </c>
      <c r="L39" s="15">
        <f t="shared" si="0"/>
        <v>201.47500000000036</v>
      </c>
      <c r="M39" s="15"/>
      <c r="N39" s="15"/>
      <c r="O39" s="15"/>
      <c r="P39" s="17"/>
      <c r="Q39" s="31">
        <f t="shared" si="1"/>
        <v>3516.4750000000004</v>
      </c>
      <c r="R39" s="34">
        <f t="shared" si="8"/>
        <v>8.5250000000000004</v>
      </c>
      <c r="S39" s="67"/>
      <c r="T39" s="34"/>
      <c r="U39" s="34"/>
      <c r="V39" s="31"/>
      <c r="W39" s="32"/>
      <c r="X39" s="32"/>
      <c r="Y39" s="32"/>
      <c r="Z39" s="38"/>
      <c r="AA39" s="31"/>
      <c r="AB39" s="43"/>
      <c r="AC39" s="40"/>
      <c r="AD39" s="40"/>
    </row>
    <row r="40" spans="1:30" s="1" customFormat="1" x14ac:dyDescent="0.25">
      <c r="A40" s="57">
        <v>42759</v>
      </c>
      <c r="B40" s="54" t="s">
        <v>608</v>
      </c>
      <c r="C40" s="10" t="s">
        <v>63</v>
      </c>
      <c r="D40" s="11">
        <v>500</v>
      </c>
      <c r="E40" s="58">
        <v>6.94</v>
      </c>
      <c r="F40" s="16">
        <f t="shared" si="6"/>
        <v>2100</v>
      </c>
      <c r="G40" s="17">
        <f t="shared" si="2"/>
        <v>6.5523642857142876</v>
      </c>
      <c r="H40" s="15">
        <f t="shared" si="7"/>
        <v>13759.965000000004</v>
      </c>
      <c r="I40" s="15">
        <f t="shared" si="3"/>
        <v>814.03499999999622</v>
      </c>
      <c r="J40" s="33">
        <f t="shared" si="4"/>
        <v>5.9159670827650834E-2</v>
      </c>
      <c r="K40" s="15">
        <f t="shared" si="5"/>
        <v>14574</v>
      </c>
      <c r="L40" s="15">
        <f t="shared" si="0"/>
        <v>-181</v>
      </c>
      <c r="M40" s="15"/>
      <c r="N40" s="15"/>
      <c r="O40" s="15"/>
      <c r="P40" s="17"/>
      <c r="Q40" s="31">
        <f t="shared" si="1"/>
        <v>-3475</v>
      </c>
      <c r="R40" s="34">
        <f t="shared" si="8"/>
        <v>5</v>
      </c>
      <c r="S40" s="66"/>
      <c r="T40" s="34"/>
      <c r="U40" s="34"/>
      <c r="V40" s="31"/>
      <c r="W40" s="32"/>
      <c r="X40" s="32"/>
      <c r="Y40" s="32"/>
      <c r="Z40" s="38"/>
      <c r="AA40" s="31"/>
      <c r="AB40" s="43"/>
      <c r="AC40" s="40"/>
      <c r="AD40" s="40"/>
    </row>
    <row r="41" spans="1:30" s="1" customFormat="1" x14ac:dyDescent="0.25">
      <c r="A41" s="55">
        <v>42775</v>
      </c>
      <c r="B41" s="54"/>
      <c r="C41" s="19" t="s">
        <v>69</v>
      </c>
      <c r="D41" s="52">
        <v>500</v>
      </c>
      <c r="E41" s="56">
        <v>7.04</v>
      </c>
      <c r="F41" s="16">
        <f t="shared" si="6"/>
        <v>1600</v>
      </c>
      <c r="G41" s="17">
        <f t="shared" si="2"/>
        <v>6.4053031250000023</v>
      </c>
      <c r="H41" s="15">
        <f t="shared" si="7"/>
        <v>10248.485000000004</v>
      </c>
      <c r="I41" s="15">
        <f t="shared" si="3"/>
        <v>1015.5149999999958</v>
      </c>
      <c r="J41" s="33">
        <f t="shared" si="4"/>
        <v>9.9089280025291146E-2</v>
      </c>
      <c r="K41" s="15">
        <f t="shared" si="5"/>
        <v>11264</v>
      </c>
      <c r="L41" s="15">
        <f t="shared" si="0"/>
        <v>201.47999999999956</v>
      </c>
      <c r="M41" s="15"/>
      <c r="N41" s="15"/>
      <c r="O41" s="15"/>
      <c r="P41" s="17"/>
      <c r="Q41" s="31">
        <f t="shared" si="1"/>
        <v>3511.4799999999996</v>
      </c>
      <c r="R41" s="34">
        <f t="shared" si="8"/>
        <v>8.52</v>
      </c>
      <c r="S41" s="67"/>
      <c r="T41" s="34"/>
      <c r="U41" s="34"/>
      <c r="V41" s="31"/>
      <c r="W41" s="32"/>
      <c r="X41" s="32"/>
      <c r="Y41" s="32"/>
      <c r="Z41" s="38"/>
      <c r="AA41" s="31"/>
      <c r="AB41" s="43"/>
      <c r="AC41" s="40"/>
      <c r="AD41" s="40"/>
    </row>
    <row r="42" spans="1:30" s="1" customFormat="1" x14ac:dyDescent="0.25">
      <c r="A42" s="57">
        <v>42775</v>
      </c>
      <c r="B42" s="60"/>
      <c r="C42" s="10" t="s">
        <v>69</v>
      </c>
      <c r="D42" s="11">
        <v>500</v>
      </c>
      <c r="E42" s="58">
        <v>7.1</v>
      </c>
      <c r="F42" s="16">
        <f t="shared" si="6"/>
        <v>1100</v>
      </c>
      <c r="G42" s="17">
        <f t="shared" si="2"/>
        <v>6.0973045454545494</v>
      </c>
      <c r="H42" s="15">
        <f t="shared" si="7"/>
        <v>6707.0350000000044</v>
      </c>
      <c r="I42" s="15">
        <f t="shared" si="3"/>
        <v>1102.9649999999956</v>
      </c>
      <c r="J42" s="33">
        <f t="shared" si="4"/>
        <v>0.1644489703721532</v>
      </c>
      <c r="K42" s="15">
        <f t="shared" si="5"/>
        <v>7810</v>
      </c>
      <c r="L42" s="15">
        <f t="shared" si="0"/>
        <v>87.449999999999818</v>
      </c>
      <c r="M42" s="15"/>
      <c r="N42" s="15"/>
      <c r="O42" s="15"/>
      <c r="P42" s="17"/>
      <c r="Q42" s="31">
        <f t="shared" si="1"/>
        <v>3541.45</v>
      </c>
      <c r="R42" s="34">
        <f t="shared" si="8"/>
        <v>8.5500000000000007</v>
      </c>
      <c r="S42" s="66"/>
      <c r="T42" s="34"/>
      <c r="U42" s="34"/>
      <c r="V42" s="31"/>
      <c r="W42" s="32"/>
      <c r="X42" s="32"/>
      <c r="Y42" s="32"/>
      <c r="Z42" s="38"/>
      <c r="AA42" s="31"/>
      <c r="AB42" s="44"/>
      <c r="AC42" s="40"/>
      <c r="AD42" s="40"/>
    </row>
    <row r="43" spans="1:30" s="1" customFormat="1" x14ac:dyDescent="0.25">
      <c r="A43" s="55">
        <v>42780</v>
      </c>
      <c r="B43" s="54" t="s">
        <v>183</v>
      </c>
      <c r="C43" s="19" t="s">
        <v>69</v>
      </c>
      <c r="D43" s="52">
        <v>500</v>
      </c>
      <c r="E43" s="56">
        <v>7.15</v>
      </c>
      <c r="F43" s="16">
        <f t="shared" si="6"/>
        <v>600</v>
      </c>
      <c r="G43" s="17">
        <f t="shared" si="2"/>
        <v>5.2343500000000072</v>
      </c>
      <c r="H43" s="15">
        <f t="shared" si="7"/>
        <v>3140.6100000000042</v>
      </c>
      <c r="I43" s="15">
        <f t="shared" si="3"/>
        <v>1149.3899999999958</v>
      </c>
      <c r="J43" s="33">
        <f t="shared" si="4"/>
        <v>0.36597667332142303</v>
      </c>
      <c r="K43" s="15">
        <f t="shared" si="5"/>
        <v>4290</v>
      </c>
      <c r="L43" s="15">
        <f t="shared" si="0"/>
        <v>46.425000000000182</v>
      </c>
      <c r="M43" s="15"/>
      <c r="N43" s="15"/>
      <c r="O43" s="15"/>
      <c r="P43" s="17"/>
      <c r="Q43" s="31">
        <f t="shared" si="1"/>
        <v>3566.4250000000002</v>
      </c>
      <c r="R43" s="34">
        <f t="shared" si="8"/>
        <v>8.5749999999999993</v>
      </c>
      <c r="S43" s="67"/>
      <c r="T43" s="273"/>
      <c r="U43" s="273"/>
      <c r="V43" s="22"/>
      <c r="W43" s="272"/>
      <c r="X43" s="272"/>
      <c r="Y43" s="272"/>
      <c r="Z43" s="274"/>
      <c r="AA43" s="22"/>
      <c r="AB43" s="275"/>
      <c r="AC43" s="40"/>
      <c r="AD43" s="40"/>
    </row>
    <row r="44" spans="1:30" s="1" customFormat="1" x14ac:dyDescent="0.25">
      <c r="A44" s="57">
        <v>42781</v>
      </c>
      <c r="B44" s="54" t="s">
        <v>197</v>
      </c>
      <c r="C44" s="10" t="s">
        <v>63</v>
      </c>
      <c r="D44" s="11">
        <v>500</v>
      </c>
      <c r="E44" s="58">
        <v>7.03</v>
      </c>
      <c r="F44" s="16">
        <f t="shared" si="6"/>
        <v>1100</v>
      </c>
      <c r="G44" s="17">
        <f t="shared" si="2"/>
        <v>6.0551000000000039</v>
      </c>
      <c r="H44" s="15">
        <f t="shared" si="7"/>
        <v>6660.6100000000042</v>
      </c>
      <c r="I44" s="15">
        <f t="shared" si="3"/>
        <v>1072.3899999999958</v>
      </c>
      <c r="J44" s="33">
        <f t="shared" si="4"/>
        <v>0.16100477283612091</v>
      </c>
      <c r="K44" s="15">
        <f t="shared" si="5"/>
        <v>7733</v>
      </c>
      <c r="L44" s="15">
        <f t="shared" si="0"/>
        <v>-77</v>
      </c>
      <c r="M44" s="15"/>
      <c r="N44" s="15"/>
      <c r="O44" s="15"/>
      <c r="P44" s="17"/>
      <c r="Q44" s="31">
        <f t="shared" si="1"/>
        <v>-3520</v>
      </c>
      <c r="R44" s="34">
        <f t="shared" si="8"/>
        <v>5</v>
      </c>
      <c r="S44" s="66"/>
      <c r="T44" s="273"/>
      <c r="U44" s="273"/>
      <c r="V44" s="22"/>
      <c r="W44" s="272"/>
      <c r="X44" s="272"/>
      <c r="Y44" s="272"/>
      <c r="Z44" s="274"/>
      <c r="AA44" s="22"/>
      <c r="AB44" s="275"/>
      <c r="AC44" s="40"/>
      <c r="AD44" s="40"/>
    </row>
    <row r="45" spans="1:30" s="1" customFormat="1" x14ac:dyDescent="0.25">
      <c r="A45" s="55">
        <v>42782</v>
      </c>
      <c r="B45" s="54" t="s">
        <v>184</v>
      </c>
      <c r="C45" s="19" t="s">
        <v>69</v>
      </c>
      <c r="D45" s="52">
        <v>500</v>
      </c>
      <c r="E45" s="56">
        <v>7.16</v>
      </c>
      <c r="F45" s="16">
        <f t="shared" si="6"/>
        <v>600</v>
      </c>
      <c r="G45" s="17">
        <f t="shared" si="2"/>
        <v>5.1486500000000071</v>
      </c>
      <c r="H45" s="15">
        <f t="shared" si="7"/>
        <v>3089.1900000000041</v>
      </c>
      <c r="I45" s="15">
        <f t="shared" si="3"/>
        <v>1206.8099999999959</v>
      </c>
      <c r="J45" s="33">
        <f t="shared" si="4"/>
        <v>0.39065580297747765</v>
      </c>
      <c r="K45" s="15">
        <f t="shared" si="5"/>
        <v>4296</v>
      </c>
      <c r="L45" s="15">
        <f t="shared" si="0"/>
        <v>134.42000000000007</v>
      </c>
      <c r="M45" s="15"/>
      <c r="N45" s="15"/>
      <c r="O45" s="15"/>
      <c r="P45" s="17"/>
      <c r="Q45" s="31">
        <f t="shared" si="1"/>
        <v>3571.42</v>
      </c>
      <c r="R45" s="34">
        <f t="shared" si="8"/>
        <v>8.58</v>
      </c>
      <c r="S45" s="67"/>
      <c r="T45" s="273"/>
      <c r="U45" s="273"/>
      <c r="V45" s="22"/>
      <c r="W45" s="272"/>
      <c r="X45" s="272"/>
      <c r="Y45" s="272"/>
      <c r="Z45" s="274"/>
      <c r="AA45" s="22"/>
      <c r="AB45" s="275"/>
      <c r="AC45" s="40"/>
      <c r="AD45" s="40"/>
    </row>
    <row r="46" spans="1:30" s="1" customFormat="1" x14ac:dyDescent="0.25">
      <c r="A46" s="61">
        <v>42782</v>
      </c>
      <c r="B46" s="54" t="s">
        <v>613</v>
      </c>
      <c r="C46" s="15" t="s">
        <v>69</v>
      </c>
      <c r="D46" s="16">
        <v>500</v>
      </c>
      <c r="E46" s="62">
        <v>7.26</v>
      </c>
      <c r="F46" s="16">
        <f t="shared" si="6"/>
        <v>100</v>
      </c>
      <c r="G46" s="17">
        <f t="shared" si="2"/>
        <v>-5.3217999999999588</v>
      </c>
      <c r="H46" s="15">
        <f t="shared" si="7"/>
        <v>-532.17999999999586</v>
      </c>
      <c r="I46" s="15">
        <f t="shared" si="3"/>
        <v>1258.1799999999957</v>
      </c>
      <c r="J46" s="33">
        <f t="shared" si="4"/>
        <v>-2.3642000826788032</v>
      </c>
      <c r="K46" s="15">
        <f t="shared" si="5"/>
        <v>726</v>
      </c>
      <c r="L46" s="15">
        <f t="shared" si="0"/>
        <v>51.369999999999891</v>
      </c>
      <c r="M46" s="15"/>
      <c r="N46" s="15"/>
      <c r="O46" s="15"/>
      <c r="P46" s="17"/>
      <c r="Q46" s="31">
        <f t="shared" si="1"/>
        <v>3621.37</v>
      </c>
      <c r="R46" s="34">
        <f t="shared" si="8"/>
        <v>8.629999999999999</v>
      </c>
      <c r="S46" s="68"/>
      <c r="T46" s="273"/>
      <c r="U46" s="273"/>
      <c r="V46" s="22"/>
      <c r="W46" s="272"/>
      <c r="X46" s="272"/>
      <c r="Y46" s="272"/>
      <c r="Z46" s="274"/>
      <c r="AA46" s="22"/>
      <c r="AB46" s="275"/>
      <c r="AC46" s="40"/>
      <c r="AD46" s="40"/>
    </row>
    <row r="47" spans="1:30" s="1" customFormat="1" x14ac:dyDescent="0.25">
      <c r="A47" s="61">
        <v>42817</v>
      </c>
      <c r="B47" s="63" t="s">
        <v>607</v>
      </c>
      <c r="C47" s="15" t="s">
        <v>63</v>
      </c>
      <c r="D47" s="64">
        <v>500</v>
      </c>
      <c r="E47" s="64">
        <v>7.04</v>
      </c>
      <c r="F47" s="16">
        <f t="shared" si="6"/>
        <v>600</v>
      </c>
      <c r="G47" s="17">
        <f t="shared" si="2"/>
        <v>4.9880333333333402</v>
      </c>
      <c r="H47" s="15">
        <f t="shared" si="7"/>
        <v>2992.8200000000043</v>
      </c>
      <c r="I47" s="15">
        <f t="shared" si="3"/>
        <v>1231.1799999999957</v>
      </c>
      <c r="J47" s="33">
        <f t="shared" si="4"/>
        <v>0.41137789776865774</v>
      </c>
      <c r="K47" s="15">
        <f t="shared" si="5"/>
        <v>4224</v>
      </c>
      <c r="L47" s="15">
        <f t="shared" si="0"/>
        <v>-27</v>
      </c>
      <c r="M47" s="15"/>
      <c r="N47" s="15"/>
      <c r="O47" s="15"/>
      <c r="P47" s="17"/>
      <c r="Q47" s="31">
        <f t="shared" si="1"/>
        <v>-3525</v>
      </c>
      <c r="R47" s="34">
        <f t="shared" si="8"/>
        <v>5</v>
      </c>
      <c r="S47" s="68"/>
      <c r="T47" s="273"/>
      <c r="U47" s="273"/>
      <c r="V47" s="22"/>
      <c r="W47" s="272"/>
      <c r="X47" s="272"/>
      <c r="Y47" s="272"/>
      <c r="Z47" s="274"/>
      <c r="AA47" s="22"/>
      <c r="AB47" s="275"/>
      <c r="AC47" s="40"/>
      <c r="AD47" s="40"/>
    </row>
    <row r="48" spans="1:30" s="1" customFormat="1" x14ac:dyDescent="0.25">
      <c r="A48" s="61">
        <v>42824</v>
      </c>
      <c r="B48" s="63"/>
      <c r="C48" s="15" t="s">
        <v>69</v>
      </c>
      <c r="D48" s="64">
        <v>500</v>
      </c>
      <c r="E48" s="64">
        <v>7.22</v>
      </c>
      <c r="F48" s="16">
        <f t="shared" si="6"/>
        <v>100</v>
      </c>
      <c r="G48" s="17">
        <f t="shared" si="2"/>
        <v>-6.0856999999999575</v>
      </c>
      <c r="H48" s="15">
        <f t="shared" si="7"/>
        <v>-608.56999999999573</v>
      </c>
      <c r="I48" s="15">
        <f t="shared" si="3"/>
        <v>1330.5699999999956</v>
      </c>
      <c r="J48" s="33">
        <f t="shared" si="4"/>
        <v>-2.1863877614736267</v>
      </c>
      <c r="K48" s="15">
        <f t="shared" si="5"/>
        <v>722</v>
      </c>
      <c r="L48" s="15">
        <f t="shared" si="0"/>
        <v>99.389999999999873</v>
      </c>
      <c r="M48" s="15"/>
      <c r="N48" s="15"/>
      <c r="O48" s="15"/>
      <c r="P48" s="17"/>
      <c r="Q48" s="31">
        <f t="shared" si="1"/>
        <v>3601.39</v>
      </c>
      <c r="R48" s="34">
        <f t="shared" si="8"/>
        <v>8.61</v>
      </c>
      <c r="S48" s="68"/>
      <c r="T48" s="273"/>
      <c r="U48" s="273"/>
      <c r="V48" s="22"/>
      <c r="W48" s="272"/>
      <c r="X48" s="272"/>
      <c r="Y48" s="272"/>
      <c r="Z48" s="274"/>
      <c r="AA48" s="22"/>
      <c r="AB48" s="275"/>
      <c r="AC48" s="40"/>
      <c r="AD48" s="40"/>
    </row>
    <row r="49" spans="1:30" s="1" customFormat="1" x14ac:dyDescent="0.25">
      <c r="A49" s="61">
        <v>42835</v>
      </c>
      <c r="B49" s="54" t="s">
        <v>614</v>
      </c>
      <c r="C49" s="15" t="s">
        <v>63</v>
      </c>
      <c r="D49" s="64">
        <v>500</v>
      </c>
      <c r="E49" s="64">
        <v>7.1</v>
      </c>
      <c r="F49" s="16">
        <f t="shared" si="6"/>
        <v>600</v>
      </c>
      <c r="G49" s="17">
        <f t="shared" si="2"/>
        <v>4.9107166666666737</v>
      </c>
      <c r="H49" s="15">
        <f t="shared" si="7"/>
        <v>2946.4300000000044</v>
      </c>
      <c r="I49" s="15">
        <f t="shared" si="3"/>
        <v>1313.5699999999956</v>
      </c>
      <c r="J49" s="33">
        <f t="shared" si="4"/>
        <v>0.44581748081576472</v>
      </c>
      <c r="K49" s="15">
        <f t="shared" si="5"/>
        <v>4260</v>
      </c>
      <c r="L49" s="15">
        <f t="shared" si="0"/>
        <v>-17</v>
      </c>
      <c r="M49" s="15"/>
      <c r="N49" s="15"/>
      <c r="O49" s="15"/>
      <c r="P49" s="17"/>
      <c r="Q49" s="31">
        <f t="shared" si="1"/>
        <v>-3555</v>
      </c>
      <c r="R49" s="34">
        <f t="shared" si="8"/>
        <v>5</v>
      </c>
      <c r="S49" s="68"/>
      <c r="T49" s="273"/>
      <c r="U49" s="273"/>
      <c r="V49" s="22"/>
      <c r="W49" s="272"/>
      <c r="X49" s="272"/>
      <c r="Y49" s="272"/>
      <c r="Z49" s="274"/>
      <c r="AA49" s="22"/>
      <c r="AB49" s="275"/>
      <c r="AC49" s="40"/>
      <c r="AD49" s="40"/>
    </row>
    <row r="50" spans="1:30" s="1" customFormat="1" x14ac:dyDescent="0.25">
      <c r="A50" s="61">
        <v>42836</v>
      </c>
      <c r="B50" s="65"/>
      <c r="C50" s="15" t="s">
        <v>63</v>
      </c>
      <c r="D50" s="64">
        <v>500</v>
      </c>
      <c r="E50" s="64">
        <v>6.97</v>
      </c>
      <c r="F50" s="16">
        <f t="shared" si="6"/>
        <v>1100</v>
      </c>
      <c r="G50" s="17">
        <f t="shared" si="2"/>
        <v>5.8513000000000037</v>
      </c>
      <c r="H50" s="15">
        <f t="shared" si="7"/>
        <v>6436.4300000000039</v>
      </c>
      <c r="I50" s="15">
        <f t="shared" si="3"/>
        <v>1230.5699999999961</v>
      </c>
      <c r="J50" s="33">
        <f t="shared" si="4"/>
        <v>0.19118828294566939</v>
      </c>
      <c r="K50" s="15">
        <f t="shared" si="5"/>
        <v>7667</v>
      </c>
      <c r="L50" s="15">
        <f t="shared" si="0"/>
        <v>-82.999999999999545</v>
      </c>
      <c r="M50" s="15"/>
      <c r="N50" s="15"/>
      <c r="O50" s="15"/>
      <c r="P50" s="17"/>
      <c r="Q50" s="31">
        <f t="shared" si="1"/>
        <v>-3489.9999999999995</v>
      </c>
      <c r="R50" s="34">
        <f t="shared" si="8"/>
        <v>5</v>
      </c>
      <c r="S50" s="68"/>
      <c r="T50" s="273"/>
      <c r="U50" s="273"/>
      <c r="V50" s="22"/>
      <c r="W50" s="272"/>
      <c r="X50" s="272"/>
      <c r="Y50" s="272"/>
      <c r="Z50" s="274"/>
      <c r="AA50" s="22"/>
      <c r="AB50" s="275"/>
      <c r="AC50" s="40"/>
      <c r="AD50" s="40"/>
    </row>
    <row r="51" spans="1:30" s="1" customFormat="1" x14ac:dyDescent="0.25">
      <c r="A51" s="61">
        <v>42838</v>
      </c>
      <c r="B51" s="65" t="s">
        <v>180</v>
      </c>
      <c r="C51" s="15" t="s">
        <v>69</v>
      </c>
      <c r="D51" s="64">
        <v>500</v>
      </c>
      <c r="E51" s="64">
        <v>7.7</v>
      </c>
      <c r="F51" s="16">
        <f t="shared" si="6"/>
        <v>600</v>
      </c>
      <c r="G51" s="17">
        <f t="shared" si="2"/>
        <v>4.3254666666666735</v>
      </c>
      <c r="H51" s="15">
        <f t="shared" si="7"/>
        <v>2595.2800000000038</v>
      </c>
      <c r="I51" s="15">
        <f t="shared" si="3"/>
        <v>2024.7199999999962</v>
      </c>
      <c r="J51" s="33">
        <f t="shared" si="4"/>
        <v>0.78015474245553196</v>
      </c>
      <c r="K51" s="15">
        <f t="shared" si="5"/>
        <v>4620</v>
      </c>
      <c r="L51" s="15">
        <f t="shared" si="0"/>
        <v>794.15000000000009</v>
      </c>
      <c r="M51" s="15"/>
      <c r="N51" s="15"/>
      <c r="O51" s="15"/>
      <c r="P51" s="17"/>
      <c r="Q51" s="31">
        <f t="shared" si="1"/>
        <v>3841.15</v>
      </c>
      <c r="R51" s="34">
        <f t="shared" si="8"/>
        <v>8.85</v>
      </c>
      <c r="S51" s="68"/>
      <c r="T51" s="273"/>
      <c r="U51" s="273"/>
      <c r="V51" s="22"/>
      <c r="W51" s="272"/>
      <c r="X51" s="272"/>
      <c r="Y51" s="272"/>
      <c r="Z51" s="274"/>
      <c r="AA51" s="22"/>
      <c r="AB51" s="275"/>
      <c r="AC51" s="40"/>
      <c r="AD51" s="40"/>
    </row>
    <row r="52" spans="1:30" s="1" customFormat="1" x14ac:dyDescent="0.25">
      <c r="A52" s="61">
        <v>42839</v>
      </c>
      <c r="B52" s="65" t="s">
        <v>191</v>
      </c>
      <c r="C52" s="15" t="s">
        <v>69</v>
      </c>
      <c r="D52" s="64">
        <v>500</v>
      </c>
      <c r="E52" s="64">
        <v>8.4700000000000006</v>
      </c>
      <c r="F52" s="16">
        <f t="shared" si="6"/>
        <v>100</v>
      </c>
      <c r="G52" s="17">
        <f t="shared" si="2"/>
        <v>-16.304849999999963</v>
      </c>
      <c r="H52" s="15">
        <f t="shared" si="7"/>
        <v>-1630.4849999999963</v>
      </c>
      <c r="I52" s="15">
        <f t="shared" si="3"/>
        <v>2477.4849999999965</v>
      </c>
      <c r="J52" s="33">
        <f t="shared" si="4"/>
        <v>-1.5194773334314651</v>
      </c>
      <c r="K52" s="15">
        <f t="shared" si="5"/>
        <v>847.00000000000011</v>
      </c>
      <c r="L52" s="15">
        <f t="shared" si="0"/>
        <v>452.76500000000033</v>
      </c>
      <c r="M52" s="15"/>
      <c r="N52" s="15"/>
      <c r="O52" s="15"/>
      <c r="P52" s="17"/>
      <c r="Q52" s="31">
        <f t="shared" si="1"/>
        <v>4225.7650000000003</v>
      </c>
      <c r="R52" s="34">
        <f t="shared" si="8"/>
        <v>9.2349999999999994</v>
      </c>
      <c r="S52" s="68"/>
      <c r="T52" s="273"/>
      <c r="U52" s="273"/>
      <c r="V52" s="22"/>
      <c r="W52" s="272"/>
      <c r="X52" s="272"/>
      <c r="Y52" s="272"/>
      <c r="Z52" s="274"/>
      <c r="AA52" s="22"/>
      <c r="AB52" s="275"/>
      <c r="AC52" s="237"/>
      <c r="AD52" s="237"/>
    </row>
    <row r="53" spans="1:30" s="1" customFormat="1" x14ac:dyDescent="0.25">
      <c r="A53" s="61">
        <v>42842</v>
      </c>
      <c r="B53" s="65"/>
      <c r="C53" s="15" t="s">
        <v>63</v>
      </c>
      <c r="D53" s="64">
        <v>500</v>
      </c>
      <c r="E53" s="64">
        <v>7.15</v>
      </c>
      <c r="F53" s="16">
        <f t="shared" si="6"/>
        <v>600</v>
      </c>
      <c r="G53" s="17">
        <f t="shared" si="2"/>
        <v>3.2491916666666727</v>
      </c>
      <c r="H53" s="15">
        <f t="shared" si="7"/>
        <v>1949.5150000000037</v>
      </c>
      <c r="I53" s="15">
        <f t="shared" si="3"/>
        <v>2340.484999999996</v>
      </c>
      <c r="J53" s="33">
        <f t="shared" si="4"/>
        <v>1.2005473156143924</v>
      </c>
      <c r="K53" s="15">
        <f t="shared" si="5"/>
        <v>4290</v>
      </c>
      <c r="L53" s="15">
        <f t="shared" si="0"/>
        <v>-137.00000000000045</v>
      </c>
      <c r="M53" s="15"/>
      <c r="N53" s="15"/>
      <c r="O53" s="15"/>
      <c r="P53" s="17"/>
      <c r="Q53" s="31">
        <f t="shared" si="1"/>
        <v>-3580</v>
      </c>
      <c r="R53" s="34">
        <f t="shared" si="8"/>
        <v>5</v>
      </c>
      <c r="S53" s="68"/>
      <c r="T53" s="273"/>
      <c r="U53" s="273"/>
      <c r="V53" s="22"/>
      <c r="W53" s="272"/>
      <c r="X53" s="272"/>
      <c r="Y53" s="272"/>
      <c r="Z53" s="274"/>
      <c r="AA53" s="22"/>
      <c r="AB53" s="275"/>
      <c r="AC53" s="40"/>
      <c r="AD53" s="40"/>
    </row>
    <row r="54" spans="1:30" s="1" customFormat="1" x14ac:dyDescent="0.25">
      <c r="A54" s="61">
        <v>42843</v>
      </c>
      <c r="B54" s="65" t="s">
        <v>400</v>
      </c>
      <c r="C54" s="15" t="s">
        <v>69</v>
      </c>
      <c r="D54" s="64">
        <v>500</v>
      </c>
      <c r="E54" s="64">
        <v>7.28</v>
      </c>
      <c r="F54" s="16">
        <f t="shared" si="6"/>
        <v>100</v>
      </c>
      <c r="G54" s="17">
        <f t="shared" si="2"/>
        <v>-16.818449999999963</v>
      </c>
      <c r="H54" s="15">
        <f t="shared" si="7"/>
        <v>-1681.8449999999962</v>
      </c>
      <c r="I54" s="15">
        <f t="shared" si="3"/>
        <v>2409.8449999999962</v>
      </c>
      <c r="J54" s="33">
        <f t="shared" si="4"/>
        <v>-1.4328579625351929</v>
      </c>
      <c r="K54" s="15">
        <f t="shared" si="5"/>
        <v>728</v>
      </c>
      <c r="L54" s="15">
        <f t="shared" si="0"/>
        <v>69.360000000000127</v>
      </c>
      <c r="M54" s="15"/>
      <c r="N54" s="15"/>
      <c r="O54" s="15"/>
      <c r="P54" s="17"/>
      <c r="Q54" s="31">
        <f t="shared" si="1"/>
        <v>3631.3599999999997</v>
      </c>
      <c r="R54" s="34">
        <f t="shared" si="8"/>
        <v>8.64</v>
      </c>
      <c r="S54" s="68"/>
      <c r="T54" s="273"/>
      <c r="U54" s="273"/>
      <c r="V54" s="22"/>
      <c r="W54" s="272"/>
      <c r="X54" s="272"/>
      <c r="Y54" s="272"/>
      <c r="Z54" s="274"/>
      <c r="AA54" s="22"/>
      <c r="AB54" s="275"/>
      <c r="AC54" s="40"/>
      <c r="AD54" s="40"/>
    </row>
    <row r="55" spans="1:30" s="1" customFormat="1" x14ac:dyDescent="0.25">
      <c r="A55" s="61">
        <v>42849</v>
      </c>
      <c r="B55" s="65"/>
      <c r="C55" s="15" t="s">
        <v>63</v>
      </c>
      <c r="D55" s="64">
        <v>500</v>
      </c>
      <c r="E55" s="64">
        <v>6.8</v>
      </c>
      <c r="F55" s="16">
        <f t="shared" si="6"/>
        <v>600</v>
      </c>
      <c r="G55" s="17">
        <f t="shared" si="2"/>
        <v>2.8719250000000063</v>
      </c>
      <c r="H55" s="15">
        <f t="shared" si="7"/>
        <v>1723.1550000000038</v>
      </c>
      <c r="I55" s="15">
        <f t="shared" si="3"/>
        <v>2356.8449999999962</v>
      </c>
      <c r="J55" s="33">
        <f t="shared" si="4"/>
        <v>1.3677498541918696</v>
      </c>
      <c r="K55" s="15">
        <f t="shared" si="5"/>
        <v>4080</v>
      </c>
      <c r="L55" s="15">
        <f t="shared" si="0"/>
        <v>-53</v>
      </c>
      <c r="M55" s="15"/>
      <c r="N55" s="15"/>
      <c r="O55" s="15"/>
      <c r="P55" s="17"/>
      <c r="Q55" s="31">
        <f t="shared" si="1"/>
        <v>-3405</v>
      </c>
      <c r="R55" s="34">
        <f t="shared" si="8"/>
        <v>5</v>
      </c>
      <c r="S55" s="68"/>
      <c r="T55" s="273"/>
      <c r="U55" s="273"/>
      <c r="V55" s="22"/>
      <c r="W55" s="272"/>
      <c r="X55" s="272"/>
      <c r="Y55" s="272"/>
      <c r="Z55" s="274"/>
      <c r="AA55" s="22"/>
      <c r="AB55" s="275"/>
      <c r="AC55" s="40"/>
      <c r="AD55" s="40"/>
    </row>
    <row r="56" spans="1:30" s="1" customFormat="1" x14ac:dyDescent="0.25">
      <c r="A56" s="61">
        <v>42851</v>
      </c>
      <c r="B56" s="65" t="s">
        <v>394</v>
      </c>
      <c r="C56" s="15" t="s">
        <v>69</v>
      </c>
      <c r="D56" s="64">
        <v>500</v>
      </c>
      <c r="E56" s="64">
        <v>7</v>
      </c>
      <c r="F56" s="16">
        <f t="shared" si="6"/>
        <v>100</v>
      </c>
      <c r="G56" s="17">
        <f t="shared" si="2"/>
        <v>-17.683449999999961</v>
      </c>
      <c r="H56" s="15">
        <f t="shared" si="7"/>
        <v>-1768.3449999999962</v>
      </c>
      <c r="I56" s="15">
        <f t="shared" si="3"/>
        <v>2468.3449999999962</v>
      </c>
      <c r="J56" s="33">
        <f t="shared" si="4"/>
        <v>-1.3958503572549483</v>
      </c>
      <c r="K56" s="15">
        <f t="shared" si="5"/>
        <v>700</v>
      </c>
      <c r="L56" s="15">
        <f t="shared" si="0"/>
        <v>111.5</v>
      </c>
      <c r="M56" s="15" t="str">
        <f>Uncovered((0))</f>
        <v>3.672@3900</v>
      </c>
      <c r="N56" s="15"/>
      <c r="O56" s="15"/>
      <c r="P56" s="17" t="str">
        <f>Covered(1)</f>
        <v>5.946@32000</v>
      </c>
      <c r="Q56" s="31">
        <f t="shared" si="1"/>
        <v>3491.5</v>
      </c>
      <c r="R56" s="34">
        <f t="shared" si="8"/>
        <v>8.5</v>
      </c>
      <c r="S56" s="68"/>
      <c r="T56" s="273"/>
      <c r="U56" s="273"/>
      <c r="V56" s="22"/>
      <c r="W56" s="272"/>
      <c r="X56" s="272"/>
      <c r="Y56" s="272"/>
      <c r="Z56" s="274"/>
      <c r="AA56" s="22"/>
      <c r="AB56" s="275"/>
      <c r="AC56" s="40"/>
      <c r="AD56" s="40"/>
    </row>
    <row r="57" spans="1:30" s="1" customFormat="1" x14ac:dyDescent="0.25">
      <c r="A57" s="61">
        <v>42877</v>
      </c>
      <c r="B57" s="65"/>
      <c r="C57" s="15" t="s">
        <v>63</v>
      </c>
      <c r="D57" s="64">
        <v>500</v>
      </c>
      <c r="E57" s="64">
        <v>6.38</v>
      </c>
      <c r="F57" s="16">
        <f t="shared" si="6"/>
        <v>600</v>
      </c>
      <c r="G57" s="17">
        <f t="shared" si="2"/>
        <v>2.3777583333333396</v>
      </c>
      <c r="H57" s="15">
        <f t="shared" si="7"/>
        <v>1426.6550000000038</v>
      </c>
      <c r="I57" s="15">
        <f t="shared" si="3"/>
        <v>2401.3449999999962</v>
      </c>
      <c r="J57" s="33">
        <f t="shared" si="4"/>
        <v>1.6831995121455361</v>
      </c>
      <c r="K57" s="15">
        <f t="shared" si="5"/>
        <v>3828</v>
      </c>
      <c r="L57" s="15">
        <f t="shared" si="0"/>
        <v>-67</v>
      </c>
      <c r="M57" s="15"/>
      <c r="N57" s="15"/>
      <c r="O57" s="15"/>
      <c r="P57" s="17"/>
      <c r="Q57" s="31">
        <f t="shared" si="1"/>
        <v>-3195</v>
      </c>
      <c r="R57" s="34">
        <f t="shared" si="8"/>
        <v>5</v>
      </c>
      <c r="S57" s="68"/>
      <c r="T57" s="273"/>
      <c r="U57" s="273"/>
      <c r="V57" s="22"/>
      <c r="W57" s="272"/>
      <c r="X57" s="272"/>
      <c r="Y57" s="272"/>
      <c r="Z57" s="274"/>
      <c r="AA57" s="22"/>
      <c r="AB57" s="275"/>
      <c r="AC57" s="40"/>
      <c r="AD57" s="40"/>
    </row>
    <row r="58" spans="1:30" s="1" customFormat="1" x14ac:dyDescent="0.25">
      <c r="A58" s="61">
        <v>42880</v>
      </c>
      <c r="B58" s="65" t="s">
        <v>405</v>
      </c>
      <c r="C58" s="15" t="s">
        <v>69</v>
      </c>
      <c r="D58" s="64">
        <v>400</v>
      </c>
      <c r="E58" s="64">
        <v>6.5</v>
      </c>
      <c r="F58" s="16">
        <f t="shared" si="6"/>
        <v>200</v>
      </c>
      <c r="G58" s="17">
        <f t="shared" si="2"/>
        <v>-5.8287249999999808</v>
      </c>
      <c r="H58" s="15">
        <f t="shared" si="7"/>
        <v>-1165.7449999999963</v>
      </c>
      <c r="I58" s="15">
        <f t="shared" si="3"/>
        <v>2465.7449999999963</v>
      </c>
      <c r="J58" s="33">
        <f t="shared" si="4"/>
        <v>-2.1151666959755384</v>
      </c>
      <c r="K58" s="15">
        <f t="shared" si="5"/>
        <v>1300</v>
      </c>
      <c r="L58" s="15">
        <f t="shared" si="0"/>
        <v>64.400000000000091</v>
      </c>
      <c r="M58" s="15"/>
      <c r="N58" s="15"/>
      <c r="O58" s="15"/>
      <c r="P58" s="17"/>
      <c r="Q58" s="31">
        <f t="shared" si="1"/>
        <v>2592.4</v>
      </c>
      <c r="R58" s="34">
        <f t="shared" si="8"/>
        <v>7.6</v>
      </c>
      <c r="S58" s="68"/>
      <c r="T58" s="273"/>
      <c r="U58" s="273"/>
      <c r="V58" s="22"/>
      <c r="W58" s="272"/>
      <c r="X58" s="272"/>
      <c r="Y58" s="272"/>
      <c r="Z58" s="274"/>
      <c r="AA58" s="22"/>
      <c r="AB58" s="275"/>
      <c r="AC58" s="40"/>
      <c r="AD58" s="40"/>
    </row>
    <row r="59" spans="1:30" s="1" customFormat="1" x14ac:dyDescent="0.25">
      <c r="A59" s="61">
        <v>42887</v>
      </c>
      <c r="B59" s="65"/>
      <c r="C59" s="15" t="s">
        <v>63</v>
      </c>
      <c r="D59" s="64">
        <v>500</v>
      </c>
      <c r="E59" s="64">
        <v>6.34</v>
      </c>
      <c r="F59" s="16">
        <f t="shared" si="6"/>
        <v>700</v>
      </c>
      <c r="G59" s="17">
        <f t="shared" si="2"/>
        <v>2.8703642857142913</v>
      </c>
      <c r="H59" s="15">
        <f t="shared" si="7"/>
        <v>2009.2550000000037</v>
      </c>
      <c r="I59" s="15">
        <f t="shared" si="3"/>
        <v>2428.7449999999963</v>
      </c>
      <c r="J59" s="33">
        <f t="shared" si="4"/>
        <v>1.2087788757524511</v>
      </c>
      <c r="K59" s="15">
        <f t="shared" si="5"/>
        <v>4438</v>
      </c>
      <c r="L59" s="15">
        <f t="shared" si="0"/>
        <v>-37</v>
      </c>
      <c r="M59" s="15"/>
      <c r="N59" s="15"/>
      <c r="O59" s="15"/>
      <c r="P59" s="17"/>
      <c r="Q59" s="31">
        <f t="shared" si="1"/>
        <v>-3175</v>
      </c>
      <c r="R59" s="34">
        <f t="shared" si="8"/>
        <v>5</v>
      </c>
      <c r="S59" s="68"/>
      <c r="T59" s="273"/>
      <c r="U59" s="273"/>
      <c r="V59" s="22"/>
      <c r="W59" s="272"/>
      <c r="X59" s="272"/>
      <c r="Y59" s="272"/>
      <c r="Z59" s="274"/>
      <c r="AA59" s="22"/>
      <c r="AB59" s="275"/>
      <c r="AC59" s="40"/>
      <c r="AD59" s="40"/>
    </row>
    <row r="60" spans="1:30" s="1" customFormat="1" x14ac:dyDescent="0.25">
      <c r="A60" s="61">
        <v>42888</v>
      </c>
      <c r="B60" s="65"/>
      <c r="C60" s="15" t="s">
        <v>63</v>
      </c>
      <c r="D60" s="64">
        <v>500</v>
      </c>
      <c r="E60" s="64">
        <v>6.27</v>
      </c>
      <c r="F60" s="16">
        <f t="shared" si="6"/>
        <v>1200</v>
      </c>
      <c r="G60" s="17">
        <f t="shared" si="2"/>
        <v>4.2910458333333361</v>
      </c>
      <c r="H60" s="15">
        <f t="shared" si="7"/>
        <v>5149.2550000000037</v>
      </c>
      <c r="I60" s="15">
        <f t="shared" si="3"/>
        <v>2374.7449999999953</v>
      </c>
      <c r="J60" s="33">
        <f t="shared" si="4"/>
        <v>0.46118224869422753</v>
      </c>
      <c r="K60" s="15">
        <f t="shared" si="5"/>
        <v>7523.9999999999991</v>
      </c>
      <c r="L60" s="15">
        <f t="shared" si="0"/>
        <v>-54.000000000000909</v>
      </c>
      <c r="M60" s="15"/>
      <c r="N60" s="15"/>
      <c r="O60" s="15"/>
      <c r="P60" s="17"/>
      <c r="Q60" s="31">
        <f t="shared" si="1"/>
        <v>-3140</v>
      </c>
      <c r="R60" s="34">
        <f t="shared" si="8"/>
        <v>5</v>
      </c>
      <c r="S60" s="68"/>
      <c r="T60" s="273"/>
      <c r="U60" s="273"/>
      <c r="V60" s="22"/>
      <c r="W60" s="272"/>
      <c r="X60" s="272"/>
      <c r="Y60" s="272"/>
      <c r="Z60" s="274"/>
      <c r="AA60" s="22"/>
      <c r="AB60" s="275"/>
      <c r="AC60" s="40"/>
      <c r="AD60" s="40"/>
    </row>
    <row r="61" spans="1:30" s="1" customFormat="1" x14ac:dyDescent="0.25">
      <c r="A61" s="61">
        <v>42892</v>
      </c>
      <c r="B61" s="65" t="s">
        <v>218</v>
      </c>
      <c r="C61" s="15" t="s">
        <v>69</v>
      </c>
      <c r="D61" s="64">
        <v>400</v>
      </c>
      <c r="E61" s="64">
        <v>6.44</v>
      </c>
      <c r="F61" s="16">
        <f t="shared" si="6"/>
        <v>800</v>
      </c>
      <c r="G61" s="17">
        <f t="shared" si="2"/>
        <v>3.2260387500000047</v>
      </c>
      <c r="H61" s="15">
        <f t="shared" si="7"/>
        <v>2580.8310000000038</v>
      </c>
      <c r="I61" s="15">
        <f t="shared" si="3"/>
        <v>2571.1689999999962</v>
      </c>
      <c r="J61" s="33">
        <f t="shared" si="4"/>
        <v>0.99625624459718309</v>
      </c>
      <c r="K61" s="15">
        <f t="shared" si="5"/>
        <v>5152</v>
      </c>
      <c r="L61" s="15">
        <f t="shared" si="0"/>
        <v>196.42400000000089</v>
      </c>
      <c r="M61" s="15"/>
      <c r="N61" s="15"/>
      <c r="O61" s="15"/>
      <c r="P61" s="17"/>
      <c r="Q61" s="31">
        <f t="shared" si="1"/>
        <v>2568.424</v>
      </c>
      <c r="R61" s="34">
        <f t="shared" si="8"/>
        <v>7.5760000000000005</v>
      </c>
      <c r="S61" s="68"/>
      <c r="T61" s="273"/>
      <c r="U61" s="273"/>
      <c r="V61" s="22"/>
      <c r="W61" s="272"/>
      <c r="X61" s="272"/>
      <c r="Y61" s="272"/>
      <c r="Z61" s="274"/>
      <c r="AA61" s="22"/>
      <c r="AB61" s="275"/>
      <c r="AC61" s="40"/>
      <c r="AD61" s="40"/>
    </row>
    <row r="62" spans="1:30" s="1" customFormat="1" x14ac:dyDescent="0.25">
      <c r="A62" s="61">
        <v>42893</v>
      </c>
      <c r="B62" s="65" t="s">
        <v>204</v>
      </c>
      <c r="C62" s="15" t="s">
        <v>69</v>
      </c>
      <c r="D62" s="64">
        <v>400</v>
      </c>
      <c r="E62" s="64">
        <v>6.51</v>
      </c>
      <c r="F62" s="16">
        <f t="shared" si="6"/>
        <v>400</v>
      </c>
      <c r="G62" s="17">
        <f t="shared" si="2"/>
        <v>-3.891249999999058E-2</v>
      </c>
      <c r="H62" s="15">
        <f t="shared" si="7"/>
        <v>-15.564999999996232</v>
      </c>
      <c r="I62" s="15">
        <f t="shared" si="3"/>
        <v>2619.5649999999964</v>
      </c>
      <c r="J62" s="33">
        <f t="shared" si="4"/>
        <v>-168.29842595571026</v>
      </c>
      <c r="K62" s="15">
        <f t="shared" si="5"/>
        <v>2604</v>
      </c>
      <c r="L62" s="15">
        <f t="shared" si="0"/>
        <v>48.396000000000186</v>
      </c>
      <c r="M62" s="15"/>
      <c r="N62" s="15"/>
      <c r="O62" s="15"/>
      <c r="P62" s="17"/>
      <c r="Q62" s="31">
        <f t="shared" si="1"/>
        <v>2596.3960000000002</v>
      </c>
      <c r="R62" s="34">
        <f t="shared" si="8"/>
        <v>7.6040000000000001</v>
      </c>
      <c r="S62" s="68"/>
      <c r="T62" s="273"/>
      <c r="U62" s="273"/>
      <c r="V62" s="22"/>
      <c r="W62" s="272"/>
      <c r="X62" s="272"/>
      <c r="Y62" s="272"/>
      <c r="Z62" s="274"/>
      <c r="AA62" s="22"/>
      <c r="AB62" s="275"/>
      <c r="AC62" s="40"/>
      <c r="AD62" s="40"/>
    </row>
    <row r="63" spans="1:30" s="1" customFormat="1" x14ac:dyDescent="0.25">
      <c r="A63" s="61">
        <v>42916</v>
      </c>
      <c r="B63" s="65"/>
      <c r="C63" s="15" t="s">
        <v>69</v>
      </c>
      <c r="D63" s="64">
        <v>300</v>
      </c>
      <c r="E63" s="64">
        <v>6.73</v>
      </c>
      <c r="F63" s="16">
        <f t="shared" si="6"/>
        <v>100</v>
      </c>
      <c r="G63" s="17">
        <f t="shared" si="2"/>
        <v>-20.275459999999963</v>
      </c>
      <c r="H63" s="15">
        <f t="shared" si="7"/>
        <v>-2027.5459999999964</v>
      </c>
      <c r="I63" s="15">
        <f t="shared" si="3"/>
        <v>2700.5459999999966</v>
      </c>
      <c r="J63" s="33">
        <f t="shared" si="4"/>
        <v>-1.3319283508241002</v>
      </c>
      <c r="K63" s="15">
        <f t="shared" si="5"/>
        <v>673</v>
      </c>
      <c r="L63" s="15">
        <f t="shared" si="0"/>
        <v>80.981000000000222</v>
      </c>
      <c r="M63" s="15"/>
      <c r="N63" s="15"/>
      <c r="O63" s="15"/>
      <c r="P63" s="17"/>
      <c r="Q63" s="31">
        <f t="shared" si="1"/>
        <v>2011.9810000000002</v>
      </c>
      <c r="R63" s="34">
        <f t="shared" si="8"/>
        <v>7.0190000000000001</v>
      </c>
      <c r="S63" s="68"/>
      <c r="T63" s="320"/>
      <c r="U63" s="320"/>
      <c r="V63" s="15"/>
      <c r="W63" s="17"/>
      <c r="X63" s="17"/>
      <c r="Y63" s="17"/>
      <c r="Z63" s="321"/>
      <c r="AA63" s="15"/>
      <c r="AB63" s="322"/>
      <c r="AC63" s="40"/>
      <c r="AD63" s="40"/>
    </row>
    <row r="64" spans="1:30" s="1" customFormat="1" x14ac:dyDescent="0.25">
      <c r="A64" s="61">
        <v>42930</v>
      </c>
      <c r="B64" s="65" t="s">
        <v>195</v>
      </c>
      <c r="C64" s="15" t="s">
        <v>63</v>
      </c>
      <c r="D64" s="64">
        <v>400</v>
      </c>
      <c r="E64" s="64">
        <v>6.65</v>
      </c>
      <c r="F64" s="16">
        <f t="shared" si="6"/>
        <v>500</v>
      </c>
      <c r="G64" s="17">
        <f t="shared" si="2"/>
        <v>1.2749080000000073</v>
      </c>
      <c r="H64" s="15">
        <f t="shared" si="7"/>
        <v>637.45400000000359</v>
      </c>
      <c r="I64" s="15">
        <f t="shared" si="3"/>
        <v>2687.5459999999966</v>
      </c>
      <c r="J64" s="33">
        <f t="shared" si="4"/>
        <v>4.2160626492264246</v>
      </c>
      <c r="K64" s="15">
        <f t="shared" si="5"/>
        <v>3325</v>
      </c>
      <c r="L64" s="15">
        <f t="shared" si="0"/>
        <v>-13</v>
      </c>
      <c r="M64" s="15"/>
      <c r="N64" s="15"/>
      <c r="O64" s="15"/>
      <c r="P64" s="17"/>
      <c r="Q64" s="31">
        <f t="shared" si="1"/>
        <v>-2665</v>
      </c>
      <c r="R64" s="34">
        <f t="shared" si="8"/>
        <v>5</v>
      </c>
      <c r="S64" s="68"/>
      <c r="T64" s="273"/>
      <c r="U64" s="273"/>
      <c r="V64" s="22"/>
      <c r="W64" s="272"/>
      <c r="X64" s="272"/>
      <c r="Y64" s="272"/>
      <c r="Z64" s="274"/>
      <c r="AA64" s="22"/>
      <c r="AB64" s="275"/>
      <c r="AC64" s="40"/>
      <c r="AD64" s="40"/>
    </row>
    <row r="65" spans="1:30" s="1" customFormat="1" x14ac:dyDescent="0.25">
      <c r="A65" s="61">
        <v>42934</v>
      </c>
      <c r="B65" s="65"/>
      <c r="C65" s="15" t="s">
        <v>69</v>
      </c>
      <c r="D65" s="64">
        <v>400</v>
      </c>
      <c r="E65" s="64">
        <v>6.76</v>
      </c>
      <c r="F65" s="16">
        <f t="shared" si="6"/>
        <v>100</v>
      </c>
      <c r="G65" s="17">
        <f t="shared" si="2"/>
        <v>-20.588419999999964</v>
      </c>
      <c r="H65" s="15">
        <f t="shared" si="7"/>
        <v>-2058.8419999999965</v>
      </c>
      <c r="I65" s="15">
        <f t="shared" si="3"/>
        <v>2734.8419999999965</v>
      </c>
      <c r="J65" s="33">
        <f t="shared" si="4"/>
        <v>-1.3283399114647947</v>
      </c>
      <c r="K65" s="15">
        <f t="shared" si="5"/>
        <v>676</v>
      </c>
      <c r="L65" s="15">
        <f t="shared" si="0"/>
        <v>47.295999999999822</v>
      </c>
      <c r="M65" s="15"/>
      <c r="N65" s="15"/>
      <c r="O65" s="15"/>
      <c r="P65" s="17"/>
      <c r="Q65" s="31">
        <f t="shared" si="1"/>
        <v>2696.2960000000003</v>
      </c>
      <c r="R65" s="34">
        <f t="shared" si="8"/>
        <v>7.7039999999999997</v>
      </c>
      <c r="S65" s="68"/>
      <c r="T65" s="273"/>
      <c r="U65" s="273"/>
      <c r="V65" s="22"/>
      <c r="W65" s="272"/>
      <c r="X65" s="272"/>
      <c r="Y65" s="272"/>
      <c r="Z65" s="274"/>
      <c r="AA65" s="22"/>
      <c r="AB65" s="275"/>
      <c r="AC65" s="40"/>
      <c r="AD65" s="40"/>
    </row>
    <row r="66" spans="1:30" s="1" customFormat="1" x14ac:dyDescent="0.25">
      <c r="A66" s="61">
        <v>42989</v>
      </c>
      <c r="B66" s="65"/>
      <c r="C66" s="15" t="s">
        <v>63</v>
      </c>
      <c r="D66" s="64">
        <v>500</v>
      </c>
      <c r="E66" s="64">
        <v>6.95</v>
      </c>
      <c r="F66" s="16">
        <f t="shared" si="6"/>
        <v>600</v>
      </c>
      <c r="G66" s="17">
        <f t="shared" si="2"/>
        <v>2.3685966666666727</v>
      </c>
      <c r="H66" s="15">
        <f t="shared" si="7"/>
        <v>1421.1580000000035</v>
      </c>
      <c r="I66" s="15">
        <f t="shared" si="3"/>
        <v>2748.8419999999965</v>
      </c>
      <c r="J66" s="33">
        <f t="shared" si="4"/>
        <v>1.9342268769552642</v>
      </c>
      <c r="K66" s="15">
        <f t="shared" si="5"/>
        <v>4170</v>
      </c>
      <c r="L66" s="15">
        <f t="shared" ref="L66:L129" si="9">I66-I65</f>
        <v>14</v>
      </c>
      <c r="M66" s="15"/>
      <c r="N66" s="15"/>
      <c r="O66" s="15"/>
      <c r="P66" s="17"/>
      <c r="Q66" s="31">
        <f t="shared" ref="Q66:Q129" si="10">(H66-H65)*-1</f>
        <v>-3480</v>
      </c>
      <c r="R66" s="34">
        <f t="shared" si="8"/>
        <v>5</v>
      </c>
      <c r="S66" s="68"/>
      <c r="T66" s="273"/>
      <c r="U66" s="273"/>
      <c r="V66" s="22"/>
      <c r="W66" s="272"/>
      <c r="X66" s="272"/>
      <c r="Y66" s="272"/>
      <c r="Z66" s="274"/>
      <c r="AA66" s="22"/>
      <c r="AB66" s="275"/>
      <c r="AC66" s="40"/>
      <c r="AD66" s="40"/>
    </row>
    <row r="67" spans="1:30" s="1" customFormat="1" x14ac:dyDescent="0.25">
      <c r="A67" s="61">
        <v>42993</v>
      </c>
      <c r="B67" s="65"/>
      <c r="C67" s="15" t="s">
        <v>63</v>
      </c>
      <c r="D67" s="64">
        <v>500</v>
      </c>
      <c r="E67" s="64">
        <v>6.9</v>
      </c>
      <c r="F67" s="16">
        <f t="shared" si="6"/>
        <v>1100</v>
      </c>
      <c r="G67" s="17">
        <f t="shared" ref="G67:G75" si="11">H67/F67</f>
        <v>4.4328709090909122</v>
      </c>
      <c r="H67" s="15">
        <f t="shared" si="7"/>
        <v>4876.1580000000031</v>
      </c>
      <c r="I67" s="15">
        <f t="shared" ref="I67:I75" si="12">-H67+K67</f>
        <v>2713.8419999999969</v>
      </c>
      <c r="J67" s="33">
        <f t="shared" ref="J67:J75" si="13">(E67-G67)/G67</f>
        <v>0.55655333563842579</v>
      </c>
      <c r="K67" s="15">
        <f t="shared" ref="K67:K75" si="14">F67*E67</f>
        <v>7590</v>
      </c>
      <c r="L67" s="15">
        <f t="shared" si="9"/>
        <v>-34.999999999999545</v>
      </c>
      <c r="M67" s="15"/>
      <c r="N67" s="15"/>
      <c r="O67" s="15"/>
      <c r="P67" s="17"/>
      <c r="Q67" s="31">
        <f t="shared" si="10"/>
        <v>-3454.9999999999995</v>
      </c>
      <c r="R67" s="34">
        <f t="shared" si="8"/>
        <v>5</v>
      </c>
      <c r="S67" s="68"/>
      <c r="T67" s="273"/>
      <c r="U67" s="273"/>
      <c r="V67" s="22"/>
      <c r="W67" s="272"/>
      <c r="X67" s="272"/>
      <c r="Y67" s="272"/>
      <c r="Z67" s="274"/>
      <c r="AA67" s="22"/>
      <c r="AB67" s="275"/>
      <c r="AC67" s="40"/>
      <c r="AD67" s="40"/>
    </row>
    <row r="68" spans="1:30" s="1" customFormat="1" x14ac:dyDescent="0.25">
      <c r="A68" s="61">
        <v>42996</v>
      </c>
      <c r="B68" s="65"/>
      <c r="C68" s="15" t="s">
        <v>63</v>
      </c>
      <c r="D68" s="64">
        <v>500</v>
      </c>
      <c r="E68" s="64">
        <v>6.87</v>
      </c>
      <c r="F68" s="16">
        <f t="shared" ref="F68:F75" si="15">IF(C68="买",F67+D68,IF(C68="卖",F67-D68,F67))</f>
        <v>1600</v>
      </c>
      <c r="G68" s="17">
        <f t="shared" si="11"/>
        <v>5.1975987500000018</v>
      </c>
      <c r="H68" s="15">
        <f t="shared" ref="H68:H75" si="16">IF(C68="买",H67+D68*E68+R68+S68,IF(C68="卖",H67-D68*E68+R68+S68,H67))</f>
        <v>8316.1580000000031</v>
      </c>
      <c r="I68" s="15">
        <f t="shared" si="12"/>
        <v>2675.8419999999969</v>
      </c>
      <c r="J68" s="33">
        <f t="shared" si="13"/>
        <v>0.32176420890512136</v>
      </c>
      <c r="K68" s="15">
        <f t="shared" si="14"/>
        <v>10992</v>
      </c>
      <c r="L68" s="15">
        <f t="shared" si="9"/>
        <v>-38</v>
      </c>
      <c r="M68" s="15"/>
      <c r="N68" s="15"/>
      <c r="O68" s="15"/>
      <c r="P68" s="17"/>
      <c r="Q68" s="31">
        <f t="shared" si="10"/>
        <v>-3440</v>
      </c>
      <c r="R68" s="34">
        <f t="shared" ref="R68:R131" si="17">commission($B$2,C68,D68,E68)</f>
        <v>5</v>
      </c>
      <c r="S68" s="68"/>
      <c r="T68" s="273"/>
      <c r="U68" s="273"/>
      <c r="V68" s="22"/>
      <c r="W68" s="272"/>
      <c r="X68" s="272"/>
      <c r="Y68" s="272"/>
      <c r="Z68" s="274"/>
      <c r="AA68" s="22"/>
      <c r="AB68" s="275"/>
      <c r="AC68" s="40"/>
      <c r="AD68" s="40"/>
    </row>
    <row r="69" spans="1:30" s="1" customFormat="1" x14ac:dyDescent="0.25">
      <c r="A69" s="61">
        <v>42997</v>
      </c>
      <c r="B69" s="65"/>
      <c r="C69" s="15" t="s">
        <v>63</v>
      </c>
      <c r="D69" s="64">
        <v>500</v>
      </c>
      <c r="E69" s="64">
        <v>6.83</v>
      </c>
      <c r="F69" s="16">
        <f t="shared" si="15"/>
        <v>2100</v>
      </c>
      <c r="G69" s="17">
        <f t="shared" si="11"/>
        <v>5.5886466666666683</v>
      </c>
      <c r="H69" s="15">
        <f t="shared" si="16"/>
        <v>11736.158000000003</v>
      </c>
      <c r="I69" s="15">
        <f t="shared" si="12"/>
        <v>2606.8419999999969</v>
      </c>
      <c r="J69" s="33">
        <f t="shared" si="13"/>
        <v>0.22212056108992362</v>
      </c>
      <c r="K69" s="15">
        <f t="shared" si="14"/>
        <v>14343</v>
      </c>
      <c r="L69" s="15">
        <f t="shared" si="9"/>
        <v>-69</v>
      </c>
      <c r="M69" s="15"/>
      <c r="N69" s="15"/>
      <c r="O69" s="15"/>
      <c r="P69" s="17"/>
      <c r="Q69" s="31">
        <f t="shared" si="10"/>
        <v>-3420</v>
      </c>
      <c r="R69" s="34">
        <f t="shared" si="17"/>
        <v>5</v>
      </c>
      <c r="S69" s="68"/>
      <c r="T69" s="273"/>
      <c r="U69" s="273"/>
      <c r="V69" s="22"/>
      <c r="W69" s="272"/>
      <c r="X69" s="272"/>
      <c r="Y69" s="272"/>
      <c r="Z69" s="274"/>
      <c r="AA69" s="22"/>
      <c r="AB69" s="275"/>
      <c r="AC69" s="40"/>
      <c r="AD69" s="40"/>
    </row>
    <row r="70" spans="1:30" s="1" customFormat="1" x14ac:dyDescent="0.25">
      <c r="A70" s="61">
        <v>43000</v>
      </c>
      <c r="B70" s="65" t="s">
        <v>407</v>
      </c>
      <c r="C70" s="15" t="s">
        <v>63</v>
      </c>
      <c r="D70" s="64">
        <v>500</v>
      </c>
      <c r="E70" s="64">
        <v>6.72</v>
      </c>
      <c r="F70" s="16">
        <f t="shared" si="15"/>
        <v>2600</v>
      </c>
      <c r="G70" s="17">
        <f t="shared" si="11"/>
        <v>5.8081376923076933</v>
      </c>
      <c r="H70" s="15">
        <f t="shared" si="16"/>
        <v>15101.158000000003</v>
      </c>
      <c r="I70" s="15">
        <f t="shared" si="12"/>
        <v>2370.8419999999969</v>
      </c>
      <c r="J70" s="33">
        <f t="shared" si="13"/>
        <v>0.15699736404320758</v>
      </c>
      <c r="K70" s="15">
        <f t="shared" si="14"/>
        <v>17472</v>
      </c>
      <c r="L70" s="15">
        <f t="shared" si="9"/>
        <v>-236</v>
      </c>
      <c r="M70" s="15"/>
      <c r="N70" s="15"/>
      <c r="O70" s="15"/>
      <c r="P70" s="17"/>
      <c r="Q70" s="31">
        <f t="shared" si="10"/>
        <v>-3365</v>
      </c>
      <c r="R70" s="34">
        <f t="shared" si="17"/>
        <v>5</v>
      </c>
      <c r="S70" s="68"/>
      <c r="T70" s="273"/>
      <c r="U70" s="273"/>
      <c r="V70" s="22"/>
      <c r="W70" s="272"/>
      <c r="X70" s="272"/>
      <c r="Y70" s="272"/>
      <c r="Z70" s="274"/>
      <c r="AA70" s="22"/>
      <c r="AB70" s="275"/>
      <c r="AC70" s="40"/>
      <c r="AD70" s="40"/>
    </row>
    <row r="71" spans="1:30" s="1" customFormat="1" x14ac:dyDescent="0.25">
      <c r="A71" s="61">
        <v>43003</v>
      </c>
      <c r="B71" s="65"/>
      <c r="C71" s="15" t="s">
        <v>63</v>
      </c>
      <c r="D71" s="64">
        <v>500</v>
      </c>
      <c r="E71" s="64">
        <v>6.67</v>
      </c>
      <c r="F71" s="16">
        <f t="shared" si="15"/>
        <v>3100</v>
      </c>
      <c r="G71" s="17">
        <f t="shared" si="11"/>
        <v>5.9487606451612915</v>
      </c>
      <c r="H71" s="15">
        <f t="shared" si="16"/>
        <v>18441.158000000003</v>
      </c>
      <c r="I71" s="15">
        <f t="shared" si="12"/>
        <v>2235.8419999999969</v>
      </c>
      <c r="J71" s="33">
        <f t="shared" si="13"/>
        <v>0.12124195237630932</v>
      </c>
      <c r="K71" s="15">
        <f t="shared" si="14"/>
        <v>20677</v>
      </c>
      <c r="L71" s="15">
        <f t="shared" si="9"/>
        <v>-135</v>
      </c>
      <c r="M71" s="15"/>
      <c r="N71" s="15"/>
      <c r="O71" s="15"/>
      <c r="P71" s="17"/>
      <c r="Q71" s="31">
        <f t="shared" si="10"/>
        <v>-3340</v>
      </c>
      <c r="R71" s="34">
        <f t="shared" si="17"/>
        <v>5</v>
      </c>
      <c r="S71" s="68"/>
      <c r="T71" s="273"/>
      <c r="U71" s="273"/>
      <c r="V71" s="22"/>
      <c r="W71" s="272"/>
      <c r="X71" s="272"/>
      <c r="Y71" s="272"/>
      <c r="Z71" s="274"/>
      <c r="AA71" s="22"/>
      <c r="AB71" s="275"/>
      <c r="AC71" s="40"/>
      <c r="AD71" s="40"/>
    </row>
    <row r="72" spans="1:30" s="1" customFormat="1" x14ac:dyDescent="0.25">
      <c r="A72" s="61">
        <v>43024</v>
      </c>
      <c r="B72" s="65"/>
      <c r="C72" s="15" t="s">
        <v>63</v>
      </c>
      <c r="D72" s="64">
        <v>500</v>
      </c>
      <c r="E72" s="64">
        <v>6.57</v>
      </c>
      <c r="F72" s="16">
        <f t="shared" si="15"/>
        <v>3600</v>
      </c>
      <c r="G72" s="17">
        <f t="shared" si="11"/>
        <v>6.0364327777777786</v>
      </c>
      <c r="H72" s="15">
        <f t="shared" si="16"/>
        <v>21731.158000000003</v>
      </c>
      <c r="I72" s="15">
        <f t="shared" si="12"/>
        <v>1920.8419999999969</v>
      </c>
      <c r="J72" s="33">
        <f t="shared" si="13"/>
        <v>8.8391147862437777E-2</v>
      </c>
      <c r="K72" s="15">
        <f t="shared" si="14"/>
        <v>23652</v>
      </c>
      <c r="L72" s="15">
        <f t="shared" si="9"/>
        <v>-315</v>
      </c>
      <c r="M72" s="15"/>
      <c r="N72" s="15"/>
      <c r="O72" s="15"/>
      <c r="P72" s="17"/>
      <c r="Q72" s="31">
        <f t="shared" si="10"/>
        <v>-3290</v>
      </c>
      <c r="R72" s="34">
        <f t="shared" si="17"/>
        <v>5</v>
      </c>
      <c r="S72" s="68"/>
      <c r="T72" s="273"/>
      <c r="U72" s="273"/>
      <c r="V72" s="22"/>
      <c r="W72" s="272"/>
      <c r="X72" s="272"/>
      <c r="Y72" s="272"/>
      <c r="Z72" s="274"/>
      <c r="AA72" s="22"/>
      <c r="AB72" s="275"/>
      <c r="AC72" s="40"/>
      <c r="AD72" s="40"/>
    </row>
    <row r="73" spans="1:30" s="1" customFormat="1" x14ac:dyDescent="0.25">
      <c r="A73" s="61">
        <v>43027</v>
      </c>
      <c r="B73" s="65"/>
      <c r="C73" s="15" t="s">
        <v>63</v>
      </c>
      <c r="D73" s="64">
        <v>500</v>
      </c>
      <c r="E73" s="64">
        <v>6.4</v>
      </c>
      <c r="F73" s="16">
        <f t="shared" si="15"/>
        <v>4100</v>
      </c>
      <c r="G73" s="17">
        <f t="shared" si="11"/>
        <v>6.0819897560975615</v>
      </c>
      <c r="H73" s="15">
        <f t="shared" si="16"/>
        <v>24936.158000000003</v>
      </c>
      <c r="I73" s="15">
        <f t="shared" si="12"/>
        <v>1303.8419999999969</v>
      </c>
      <c r="J73" s="33">
        <f t="shared" si="13"/>
        <v>5.2287204789125859E-2</v>
      </c>
      <c r="K73" s="15">
        <f t="shared" si="14"/>
        <v>26240</v>
      </c>
      <c r="L73" s="15">
        <f t="shared" si="9"/>
        <v>-617</v>
      </c>
      <c r="M73" s="15"/>
      <c r="N73" s="15"/>
      <c r="O73" s="15"/>
      <c r="P73" s="17"/>
      <c r="Q73" s="31">
        <f t="shared" si="10"/>
        <v>-3205</v>
      </c>
      <c r="R73" s="34">
        <f t="shared" si="17"/>
        <v>5</v>
      </c>
      <c r="S73" s="68"/>
      <c r="T73" s="273"/>
      <c r="U73" s="273"/>
      <c r="V73" s="22"/>
      <c r="W73" s="272"/>
      <c r="X73" s="272"/>
      <c r="Y73" s="272"/>
      <c r="Z73" s="274"/>
      <c r="AA73" s="22"/>
      <c r="AB73" s="275"/>
      <c r="AC73" s="40"/>
      <c r="AD73" s="40"/>
    </row>
    <row r="74" spans="1:30" s="1" customFormat="1" x14ac:dyDescent="0.25">
      <c r="A74" s="61">
        <v>43033</v>
      </c>
      <c r="B74" s="65" t="s">
        <v>409</v>
      </c>
      <c r="C74" s="15" t="s">
        <v>69</v>
      </c>
      <c r="D74" s="64">
        <v>400</v>
      </c>
      <c r="E74" s="64">
        <v>6.62</v>
      </c>
      <c r="F74" s="16">
        <f t="shared" si="15"/>
        <v>3700</v>
      </c>
      <c r="G74" s="17">
        <f t="shared" si="11"/>
        <v>6.0258935135135143</v>
      </c>
      <c r="H74" s="15">
        <f t="shared" si="16"/>
        <v>22295.806000000004</v>
      </c>
      <c r="I74" s="15">
        <f t="shared" si="12"/>
        <v>2198.1939999999959</v>
      </c>
      <c r="J74" s="33">
        <f t="shared" si="13"/>
        <v>9.8592264392684301E-2</v>
      </c>
      <c r="K74" s="15">
        <f t="shared" si="14"/>
        <v>24494</v>
      </c>
      <c r="L74" s="15">
        <f t="shared" si="9"/>
        <v>894.35199999999895</v>
      </c>
      <c r="M74" s="15"/>
      <c r="N74" s="15"/>
      <c r="O74" s="15"/>
      <c r="P74" s="17"/>
      <c r="Q74" s="31">
        <f t="shared" si="10"/>
        <v>2640.351999999999</v>
      </c>
      <c r="R74" s="34">
        <f t="shared" si="17"/>
        <v>7.6479999999999997</v>
      </c>
      <c r="S74" s="68"/>
      <c r="T74" s="273"/>
      <c r="U74" s="273"/>
      <c r="V74" s="22"/>
      <c r="W74" s="272"/>
      <c r="X74" s="272"/>
      <c r="Y74" s="272"/>
      <c r="Z74" s="274"/>
      <c r="AA74" s="22"/>
      <c r="AB74" s="275"/>
      <c r="AC74" s="40"/>
      <c r="AD74" s="40"/>
    </row>
    <row r="75" spans="1:30" s="1" customFormat="1" x14ac:dyDescent="0.25">
      <c r="A75" s="61">
        <v>43038</v>
      </c>
      <c r="B75" s="65"/>
      <c r="C75" s="46" t="s">
        <v>63</v>
      </c>
      <c r="D75" s="46">
        <v>500</v>
      </c>
      <c r="E75" s="46">
        <v>6.39</v>
      </c>
      <c r="F75" s="16">
        <f t="shared" si="15"/>
        <v>4200</v>
      </c>
      <c r="G75" s="17">
        <f t="shared" si="11"/>
        <v>6.0704300000000009</v>
      </c>
      <c r="H75" s="15">
        <f t="shared" si="16"/>
        <v>25495.806000000004</v>
      </c>
      <c r="I75" s="15">
        <f t="shared" si="12"/>
        <v>1342.1939999999959</v>
      </c>
      <c r="J75" s="33">
        <f t="shared" si="13"/>
        <v>5.2643717166658499E-2</v>
      </c>
      <c r="K75" s="15">
        <f t="shared" si="14"/>
        <v>26838</v>
      </c>
      <c r="L75" s="15">
        <f t="shared" si="9"/>
        <v>-856</v>
      </c>
      <c r="M75" s="15" t="str">
        <f>Uncovered(0)</f>
        <v>3.672@3900</v>
      </c>
      <c r="N75" s="15"/>
      <c r="O75" s="15" t="str">
        <f>Covered(0)</f>
        <v>5.946@35400</v>
      </c>
      <c r="P75" s="17"/>
      <c r="Q75" s="31">
        <f t="shared" si="10"/>
        <v>-3200</v>
      </c>
      <c r="R75" s="34">
        <f t="shared" si="17"/>
        <v>5</v>
      </c>
      <c r="S75" s="68"/>
      <c r="T75" s="273"/>
      <c r="U75" s="273"/>
      <c r="V75" s="22"/>
      <c r="W75" s="272"/>
      <c r="X75" s="272"/>
      <c r="Y75" s="272"/>
      <c r="Z75" s="274"/>
      <c r="AA75" s="22"/>
      <c r="AB75" s="275"/>
      <c r="AC75" s="40"/>
      <c r="AD75" s="40"/>
    </row>
    <row r="76" spans="1:30" s="1" customFormat="1" x14ac:dyDescent="0.25">
      <c r="A76" s="61">
        <v>43048</v>
      </c>
      <c r="B76" s="65" t="s">
        <v>217</v>
      </c>
      <c r="C76" s="46" t="s">
        <v>69</v>
      </c>
      <c r="D76" s="46">
        <v>400</v>
      </c>
      <c r="E76" s="46">
        <v>6.52</v>
      </c>
      <c r="F76" s="16">
        <f t="shared" ref="F76:F139" si="18">IF(C76="买",F75+D76,IF(C76="卖",F75-D76,F75))</f>
        <v>3800</v>
      </c>
      <c r="G76" s="17">
        <f t="shared" ref="G76:G139" si="19">H76/F76</f>
        <v>6.0251089473684223</v>
      </c>
      <c r="H76" s="15">
        <f t="shared" ref="H76:H139" si="20">IF(C76="买",H75+D76*E76+R76+S76,IF(C76="卖",H75-D76*E76+R76+S76,H75))</f>
        <v>22895.414000000004</v>
      </c>
      <c r="I76" s="15">
        <f t="shared" ref="I76:I139" si="21">-H76+K76</f>
        <v>1880.5859999999957</v>
      </c>
      <c r="J76" s="33">
        <f t="shared" ref="J76:J139" si="22">(E76-G76)/G76</f>
        <v>8.2138108531254042E-2</v>
      </c>
      <c r="K76" s="15">
        <f t="shared" ref="K76:K139" si="23">F76*E76</f>
        <v>24776</v>
      </c>
      <c r="L76" s="15">
        <f t="shared" si="9"/>
        <v>538.39199999999983</v>
      </c>
      <c r="M76" s="15"/>
      <c r="N76" s="15"/>
      <c r="O76" s="15"/>
      <c r="P76" s="17"/>
      <c r="Q76" s="31">
        <f t="shared" si="10"/>
        <v>2600.3919999999998</v>
      </c>
      <c r="R76" s="34">
        <f t="shared" si="17"/>
        <v>7.6079999999999997</v>
      </c>
      <c r="S76" s="68"/>
      <c r="T76" s="273"/>
      <c r="U76" s="273"/>
      <c r="V76" s="22"/>
      <c r="W76" s="272"/>
      <c r="X76" s="272"/>
      <c r="Y76" s="272"/>
      <c r="Z76" s="274"/>
      <c r="AA76" s="22"/>
      <c r="AB76" s="275"/>
      <c r="AC76" s="40"/>
      <c r="AD76" s="40"/>
    </row>
    <row r="77" spans="1:30" s="1" customFormat="1" x14ac:dyDescent="0.25">
      <c r="A77" s="61">
        <v>43061</v>
      </c>
      <c r="B77" s="65"/>
      <c r="C77" s="46" t="s">
        <v>63</v>
      </c>
      <c r="D77" s="46">
        <v>500</v>
      </c>
      <c r="E77" s="46">
        <v>6.21</v>
      </c>
      <c r="F77" s="16">
        <f t="shared" si="18"/>
        <v>4300</v>
      </c>
      <c r="G77" s="17">
        <f t="shared" si="19"/>
        <v>6.0477706976744194</v>
      </c>
      <c r="H77" s="15">
        <f t="shared" si="20"/>
        <v>26005.414000000004</v>
      </c>
      <c r="I77" s="15">
        <f t="shared" si="21"/>
        <v>697.58599999999569</v>
      </c>
      <c r="J77" s="33">
        <f t="shared" si="22"/>
        <v>2.6824645052756942E-2</v>
      </c>
      <c r="K77" s="15">
        <f t="shared" si="23"/>
        <v>26703</v>
      </c>
      <c r="L77" s="15">
        <f t="shared" si="9"/>
        <v>-1183</v>
      </c>
      <c r="M77" s="15"/>
      <c r="N77" s="15"/>
      <c r="O77" s="15"/>
      <c r="P77" s="17"/>
      <c r="Q77" s="31">
        <f t="shared" si="10"/>
        <v>-3110</v>
      </c>
      <c r="R77" s="34">
        <f t="shared" si="17"/>
        <v>5</v>
      </c>
      <c r="S77" s="68"/>
      <c r="T77" s="273"/>
      <c r="U77" s="273"/>
      <c r="V77" s="22"/>
      <c r="W77" s="272"/>
      <c r="X77" s="272"/>
      <c r="Y77" s="272"/>
      <c r="Z77" s="274"/>
      <c r="AA77" s="22"/>
      <c r="AB77" s="275"/>
      <c r="AC77" s="40"/>
      <c r="AD77" s="40"/>
    </row>
    <row r="78" spans="1:30" s="1" customFormat="1" x14ac:dyDescent="0.25">
      <c r="A78" s="61">
        <v>43063</v>
      </c>
      <c r="B78" s="54"/>
      <c r="C78" s="46" t="s">
        <v>63</v>
      </c>
      <c r="D78" s="46">
        <v>500</v>
      </c>
      <c r="E78" s="46">
        <v>5.98</v>
      </c>
      <c r="F78" s="16">
        <f t="shared" si="18"/>
        <v>4800</v>
      </c>
      <c r="G78" s="17">
        <f t="shared" si="19"/>
        <v>6.0417529166666677</v>
      </c>
      <c r="H78" s="15">
        <f t="shared" si="20"/>
        <v>29000.414000000004</v>
      </c>
      <c r="I78" s="15">
        <f t="shared" si="21"/>
        <v>-296.41400000000067</v>
      </c>
      <c r="J78" s="33">
        <f t="shared" si="22"/>
        <v>-1.0221026499828686E-2</v>
      </c>
      <c r="K78" s="15">
        <f t="shared" si="23"/>
        <v>28704.000000000004</v>
      </c>
      <c r="L78" s="15">
        <f t="shared" si="9"/>
        <v>-993.99999999999636</v>
      </c>
      <c r="M78" s="15"/>
      <c r="N78" s="15"/>
      <c r="O78" s="15"/>
      <c r="P78" s="17"/>
      <c r="Q78" s="31">
        <f t="shared" si="10"/>
        <v>-2995</v>
      </c>
      <c r="R78" s="34">
        <f t="shared" si="17"/>
        <v>5</v>
      </c>
      <c r="S78" s="68"/>
      <c r="T78" s="273"/>
      <c r="U78" s="273"/>
      <c r="V78" s="22"/>
      <c r="W78" s="272"/>
      <c r="X78" s="272"/>
      <c r="Y78" s="272"/>
      <c r="Z78" s="274"/>
      <c r="AA78" s="22"/>
      <c r="AB78" s="275"/>
      <c r="AC78" s="40"/>
      <c r="AD78" s="40"/>
    </row>
    <row r="79" spans="1:30" s="1" customFormat="1" x14ac:dyDescent="0.25">
      <c r="A79" s="61">
        <v>43074</v>
      </c>
      <c r="B79" s="54"/>
      <c r="C79" s="46" t="s">
        <v>63</v>
      </c>
      <c r="D79" s="46">
        <v>500</v>
      </c>
      <c r="E79" s="46">
        <v>5.64</v>
      </c>
      <c r="F79" s="16">
        <f t="shared" si="18"/>
        <v>5300</v>
      </c>
      <c r="G79" s="17">
        <f t="shared" si="19"/>
        <v>6.0047950943396238</v>
      </c>
      <c r="H79" s="15">
        <f t="shared" si="20"/>
        <v>31825.414000000004</v>
      </c>
      <c r="I79" s="15">
        <f t="shared" si="21"/>
        <v>-1933.4140000000043</v>
      </c>
      <c r="J79" s="33">
        <f t="shared" si="22"/>
        <v>-6.0750631555021008E-2</v>
      </c>
      <c r="K79" s="15">
        <f t="shared" si="23"/>
        <v>29892</v>
      </c>
      <c r="L79" s="15">
        <f t="shared" si="9"/>
        <v>-1637.0000000000036</v>
      </c>
      <c r="M79" s="15"/>
      <c r="N79" s="15"/>
      <c r="O79" s="15"/>
      <c r="P79" s="17"/>
      <c r="Q79" s="31">
        <f t="shared" si="10"/>
        <v>-2825</v>
      </c>
      <c r="R79" s="34">
        <f t="shared" si="17"/>
        <v>5</v>
      </c>
      <c r="S79" s="68"/>
      <c r="T79" s="273"/>
      <c r="U79" s="273"/>
      <c r="V79" s="22"/>
      <c r="W79" s="272"/>
      <c r="X79" s="272"/>
      <c r="Y79" s="272"/>
      <c r="Z79" s="274"/>
      <c r="AA79" s="22"/>
      <c r="AB79" s="275"/>
      <c r="AC79" s="40"/>
      <c r="AD79" s="40"/>
    </row>
    <row r="80" spans="1:30" s="1" customFormat="1" x14ac:dyDescent="0.25">
      <c r="A80" s="61">
        <v>43076</v>
      </c>
      <c r="B80" s="54"/>
      <c r="C80" s="46" t="s">
        <v>63</v>
      </c>
      <c r="D80" s="46">
        <v>500</v>
      </c>
      <c r="E80" s="46">
        <v>5.48</v>
      </c>
      <c r="F80" s="16">
        <f t="shared" si="18"/>
        <v>5800</v>
      </c>
      <c r="G80" s="17">
        <f t="shared" si="19"/>
        <v>5.9604162068965527</v>
      </c>
      <c r="H80" s="15">
        <f t="shared" si="20"/>
        <v>34570.414000000004</v>
      </c>
      <c r="I80" s="15">
        <f t="shared" si="21"/>
        <v>-2786.4140000000007</v>
      </c>
      <c r="J80" s="33">
        <f t="shared" si="22"/>
        <v>-8.0601117475769965E-2</v>
      </c>
      <c r="K80" s="15">
        <f t="shared" si="23"/>
        <v>31784.000000000004</v>
      </c>
      <c r="L80" s="15">
        <f t="shared" si="9"/>
        <v>-852.99999999999636</v>
      </c>
      <c r="M80" s="15"/>
      <c r="N80" s="15"/>
      <c r="O80" s="15"/>
      <c r="P80" s="17"/>
      <c r="Q80" s="31">
        <f t="shared" si="10"/>
        <v>-2745</v>
      </c>
      <c r="R80" s="34">
        <f t="shared" si="17"/>
        <v>5</v>
      </c>
      <c r="S80" s="68"/>
      <c r="T80" s="273"/>
      <c r="U80" s="273"/>
      <c r="V80" s="22"/>
      <c r="W80" s="272"/>
      <c r="X80" s="272"/>
      <c r="Y80" s="272"/>
      <c r="Z80" s="274"/>
      <c r="AA80" s="22"/>
      <c r="AB80" s="275"/>
      <c r="AC80" s="40"/>
      <c r="AD80" s="40"/>
    </row>
    <row r="81" spans="1:30" s="1" customFormat="1" x14ac:dyDescent="0.25">
      <c r="A81" s="61">
        <v>43080</v>
      </c>
      <c r="B81" s="54" t="s">
        <v>216</v>
      </c>
      <c r="C81" s="46" t="s">
        <v>69</v>
      </c>
      <c r="D81" s="46">
        <v>400</v>
      </c>
      <c r="E81" s="46">
        <v>5.68</v>
      </c>
      <c r="F81" s="16">
        <f t="shared" si="18"/>
        <v>5400</v>
      </c>
      <c r="G81" s="17">
        <f t="shared" si="19"/>
        <v>5.982534444444445</v>
      </c>
      <c r="H81" s="15">
        <f t="shared" si="20"/>
        <v>32305.686000000005</v>
      </c>
      <c r="I81" s="15">
        <f t="shared" si="21"/>
        <v>-1633.6860000000052</v>
      </c>
      <c r="J81" s="33">
        <f t="shared" si="22"/>
        <v>-5.0569611801464444E-2</v>
      </c>
      <c r="K81" s="15">
        <f t="shared" si="23"/>
        <v>30672</v>
      </c>
      <c r="L81" s="15">
        <f t="shared" si="9"/>
        <v>1152.7279999999955</v>
      </c>
      <c r="M81" s="15"/>
      <c r="N81" s="15"/>
      <c r="O81" s="15"/>
      <c r="P81" s="17"/>
      <c r="Q81" s="31">
        <f t="shared" si="10"/>
        <v>2264.7279999999992</v>
      </c>
      <c r="R81" s="34">
        <f t="shared" si="17"/>
        <v>7.2720000000000002</v>
      </c>
      <c r="S81" s="68"/>
      <c r="T81" s="273"/>
      <c r="U81" s="273"/>
      <c r="V81" s="22"/>
      <c r="W81" s="272"/>
      <c r="X81" s="272"/>
      <c r="Y81" s="272"/>
      <c r="Z81" s="274"/>
      <c r="AA81" s="22"/>
      <c r="AB81" s="275"/>
      <c r="AC81" s="40"/>
      <c r="AD81" s="40"/>
    </row>
    <row r="82" spans="1:30" s="1" customFormat="1" x14ac:dyDescent="0.25">
      <c r="A82" s="61">
        <v>43082</v>
      </c>
      <c r="B82" s="54" t="s">
        <v>201</v>
      </c>
      <c r="C82" s="46" t="s">
        <v>69</v>
      </c>
      <c r="D82" s="46">
        <v>400</v>
      </c>
      <c r="E82" s="46">
        <v>5.8</v>
      </c>
      <c r="F82" s="16">
        <f t="shared" si="18"/>
        <v>5000</v>
      </c>
      <c r="G82" s="17">
        <f t="shared" si="19"/>
        <v>5.9986012000000013</v>
      </c>
      <c r="H82" s="15">
        <f t="shared" si="20"/>
        <v>29993.006000000005</v>
      </c>
      <c r="I82" s="15">
        <f t="shared" si="21"/>
        <v>-993.00600000000486</v>
      </c>
      <c r="J82" s="33">
        <f t="shared" si="22"/>
        <v>-3.3107918559413724E-2</v>
      </c>
      <c r="K82" s="15">
        <f t="shared" si="23"/>
        <v>29000</v>
      </c>
      <c r="L82" s="15">
        <f t="shared" si="9"/>
        <v>640.68000000000029</v>
      </c>
      <c r="M82" s="15"/>
      <c r="N82" s="15"/>
      <c r="O82" s="15"/>
      <c r="P82" s="17"/>
      <c r="Q82" s="31">
        <f t="shared" si="10"/>
        <v>2312.6800000000003</v>
      </c>
      <c r="R82" s="34">
        <f t="shared" si="17"/>
        <v>7.32</v>
      </c>
      <c r="S82" s="68"/>
      <c r="T82" s="273"/>
      <c r="U82" s="273"/>
      <c r="V82" s="22"/>
      <c r="W82" s="272"/>
      <c r="X82" s="272"/>
      <c r="Y82" s="272"/>
      <c r="Z82" s="274"/>
      <c r="AA82" s="22"/>
      <c r="AB82" s="275"/>
      <c r="AC82" s="40"/>
      <c r="AD82" s="40"/>
    </row>
    <row r="83" spans="1:30" s="1" customFormat="1" x14ac:dyDescent="0.25">
      <c r="A83" s="61">
        <v>43102</v>
      </c>
      <c r="B83" s="54" t="s">
        <v>209</v>
      </c>
      <c r="C83" s="46" t="s">
        <v>69</v>
      </c>
      <c r="D83" s="46">
        <v>400</v>
      </c>
      <c r="E83" s="46">
        <v>5.92</v>
      </c>
      <c r="F83" s="16">
        <f t="shared" si="18"/>
        <v>4600</v>
      </c>
      <c r="G83" s="17">
        <f t="shared" si="19"/>
        <v>6.0070378260869575</v>
      </c>
      <c r="H83" s="15">
        <f t="shared" si="20"/>
        <v>27632.374000000003</v>
      </c>
      <c r="I83" s="15">
        <f t="shared" si="21"/>
        <v>-400.37400000000343</v>
      </c>
      <c r="J83" s="33">
        <f t="shared" si="22"/>
        <v>-1.4489308808573763E-2</v>
      </c>
      <c r="K83" s="15">
        <f t="shared" si="23"/>
        <v>27232</v>
      </c>
      <c r="L83" s="15">
        <f t="shared" si="9"/>
        <v>592.63200000000143</v>
      </c>
      <c r="M83" s="15"/>
      <c r="N83" s="15"/>
      <c r="O83" s="15"/>
      <c r="P83" s="17"/>
      <c r="Q83" s="31">
        <f t="shared" si="10"/>
        <v>2360.6320000000014</v>
      </c>
      <c r="R83" s="34">
        <f t="shared" si="17"/>
        <v>7.3680000000000003</v>
      </c>
      <c r="S83" s="68"/>
      <c r="T83" s="273"/>
      <c r="U83" s="273"/>
      <c r="V83" s="22"/>
      <c r="W83" s="272"/>
      <c r="X83" s="272"/>
      <c r="Y83" s="272"/>
      <c r="Z83" s="274"/>
      <c r="AA83" s="22"/>
      <c r="AB83" s="275"/>
      <c r="AC83" s="40"/>
      <c r="AD83" s="40"/>
    </row>
    <row r="84" spans="1:30" s="1" customFormat="1" x14ac:dyDescent="0.25">
      <c r="A84" s="61">
        <v>43103</v>
      </c>
      <c r="B84" s="54"/>
      <c r="C84" s="46" t="s">
        <v>69</v>
      </c>
      <c r="D84" s="46">
        <v>400</v>
      </c>
      <c r="E84" s="46">
        <v>6.04</v>
      </c>
      <c r="F84" s="16">
        <f t="shared" si="18"/>
        <v>4200</v>
      </c>
      <c r="G84" s="17">
        <f t="shared" si="19"/>
        <v>6.0056642857142872</v>
      </c>
      <c r="H84" s="15">
        <f t="shared" si="20"/>
        <v>25223.790000000005</v>
      </c>
      <c r="I84" s="15">
        <f t="shared" si="21"/>
        <v>144.20999999999549</v>
      </c>
      <c r="J84" s="33">
        <f t="shared" si="22"/>
        <v>5.7172217180682895E-3</v>
      </c>
      <c r="K84" s="15">
        <f t="shared" si="23"/>
        <v>25368</v>
      </c>
      <c r="L84" s="15">
        <f t="shared" si="9"/>
        <v>544.58399999999892</v>
      </c>
      <c r="M84" s="15"/>
      <c r="N84" s="15"/>
      <c r="O84" s="15"/>
      <c r="P84" s="17"/>
      <c r="Q84" s="31">
        <f t="shared" si="10"/>
        <v>2408.5839999999989</v>
      </c>
      <c r="R84" s="34">
        <f t="shared" si="17"/>
        <v>7.4160000000000004</v>
      </c>
      <c r="S84" s="68"/>
      <c r="T84" s="273"/>
      <c r="U84" s="273"/>
      <c r="V84" s="22"/>
      <c r="W84" s="272"/>
      <c r="X84" s="272"/>
      <c r="Y84" s="272"/>
      <c r="Z84" s="274"/>
      <c r="AA84" s="22"/>
      <c r="AB84" s="275"/>
      <c r="AC84" s="40"/>
      <c r="AD84" s="40"/>
    </row>
    <row r="85" spans="1:30" s="1" customFormat="1" x14ac:dyDescent="0.25">
      <c r="A85" s="61">
        <v>43111</v>
      </c>
      <c r="B85" s="54" t="s">
        <v>202</v>
      </c>
      <c r="C85" s="46" t="s">
        <v>69</v>
      </c>
      <c r="D85" s="46">
        <v>400</v>
      </c>
      <c r="E85" s="46">
        <v>6.06</v>
      </c>
      <c r="F85" s="16">
        <f t="shared" si="18"/>
        <v>3800</v>
      </c>
      <c r="G85" s="17">
        <f t="shared" si="19"/>
        <v>6.0018984210526325</v>
      </c>
      <c r="H85" s="15">
        <f t="shared" si="20"/>
        <v>22807.214000000004</v>
      </c>
      <c r="I85" s="15">
        <f t="shared" si="21"/>
        <v>220.78599999999642</v>
      </c>
      <c r="J85" s="33">
        <f t="shared" si="22"/>
        <v>9.6805335364501342E-3</v>
      </c>
      <c r="K85" s="15">
        <f t="shared" si="23"/>
        <v>23028</v>
      </c>
      <c r="L85" s="15">
        <f t="shared" si="9"/>
        <v>76.576000000000931</v>
      </c>
      <c r="M85" s="15"/>
      <c r="N85" s="15"/>
      <c r="O85" s="15"/>
      <c r="P85" s="17"/>
      <c r="Q85" s="31">
        <f t="shared" si="10"/>
        <v>2416.5760000000009</v>
      </c>
      <c r="R85" s="34">
        <f t="shared" si="17"/>
        <v>7.4239999999999995</v>
      </c>
      <c r="S85" s="68"/>
      <c r="T85" s="273"/>
      <c r="U85" s="273"/>
      <c r="V85" s="22"/>
      <c r="W85" s="272"/>
      <c r="X85" s="272"/>
      <c r="Y85" s="272"/>
      <c r="Z85" s="274"/>
      <c r="AA85" s="22"/>
      <c r="AB85" s="275"/>
      <c r="AC85" s="40"/>
      <c r="AD85" s="40"/>
    </row>
    <row r="86" spans="1:30" s="1" customFormat="1" x14ac:dyDescent="0.25">
      <c r="A86" s="61">
        <v>43115</v>
      </c>
      <c r="B86" s="54" t="s">
        <v>602</v>
      </c>
      <c r="C86" s="46" t="s">
        <v>63</v>
      </c>
      <c r="D86" s="46">
        <v>500</v>
      </c>
      <c r="E86" s="46">
        <v>5.8</v>
      </c>
      <c r="F86" s="16">
        <f t="shared" si="18"/>
        <v>4300</v>
      </c>
      <c r="G86" s="17">
        <f t="shared" si="19"/>
        <v>5.9795846511627913</v>
      </c>
      <c r="H86" s="15">
        <f t="shared" si="20"/>
        <v>25712.214000000004</v>
      </c>
      <c r="I86" s="15">
        <f t="shared" si="21"/>
        <v>-772.21400000000358</v>
      </c>
      <c r="J86" s="33">
        <f t="shared" si="22"/>
        <v>-3.0032964100252243E-2</v>
      </c>
      <c r="K86" s="15">
        <f t="shared" si="23"/>
        <v>24940</v>
      </c>
      <c r="L86" s="15">
        <f t="shared" si="9"/>
        <v>-993</v>
      </c>
      <c r="M86" s="15"/>
      <c r="N86" s="15"/>
      <c r="O86" s="15"/>
      <c r="P86" s="17"/>
      <c r="Q86" s="31">
        <f t="shared" si="10"/>
        <v>-2905</v>
      </c>
      <c r="R86" s="34">
        <f t="shared" si="17"/>
        <v>5</v>
      </c>
      <c r="S86" s="68"/>
      <c r="T86" s="273"/>
      <c r="U86" s="273"/>
      <c r="V86" s="22"/>
      <c r="W86" s="272"/>
      <c r="X86" s="272"/>
      <c r="Y86" s="272"/>
      <c r="Z86" s="274"/>
      <c r="AA86" s="22"/>
      <c r="AB86" s="275"/>
      <c r="AC86" s="40"/>
      <c r="AD86" s="40"/>
    </row>
    <row r="87" spans="1:30" s="1" customFormat="1" x14ac:dyDescent="0.25">
      <c r="A87" s="61">
        <v>43299</v>
      </c>
      <c r="B87" s="54"/>
      <c r="C87" s="46" t="s">
        <v>63</v>
      </c>
      <c r="D87" s="46">
        <v>500</v>
      </c>
      <c r="E87" s="46">
        <v>4.7300000000000004</v>
      </c>
      <c r="F87" s="16">
        <f t="shared" si="18"/>
        <v>4800</v>
      </c>
      <c r="G87" s="17">
        <f t="shared" si="19"/>
        <v>5.7904612500000008</v>
      </c>
      <c r="H87" s="15">
        <f t="shared" si="20"/>
        <v>27794.214000000004</v>
      </c>
      <c r="I87" s="15">
        <f t="shared" si="21"/>
        <v>-5090.2139999999999</v>
      </c>
      <c r="J87" s="33">
        <f t="shared" si="22"/>
        <v>-0.18313933972013027</v>
      </c>
      <c r="K87" s="15">
        <f t="shared" si="23"/>
        <v>22704.000000000004</v>
      </c>
      <c r="L87" s="15">
        <f t="shared" si="9"/>
        <v>-4317.9999999999964</v>
      </c>
      <c r="M87" s="15"/>
      <c r="N87" s="15"/>
      <c r="O87" s="15"/>
      <c r="P87" s="17"/>
      <c r="Q87" s="31">
        <f t="shared" si="10"/>
        <v>-2082</v>
      </c>
      <c r="R87" s="34">
        <f t="shared" si="17"/>
        <v>5</v>
      </c>
      <c r="S87" s="68">
        <v>-288</v>
      </c>
      <c r="T87" s="273"/>
      <c r="U87" s="273"/>
      <c r="V87" s="22"/>
      <c r="W87" s="272"/>
      <c r="X87" s="272"/>
      <c r="Y87" s="272"/>
      <c r="Z87" s="274"/>
      <c r="AA87" s="22"/>
      <c r="AB87" s="275"/>
      <c r="AC87" s="40"/>
      <c r="AD87" s="40"/>
    </row>
    <row r="88" spans="1:30" s="1" customFormat="1" x14ac:dyDescent="0.25">
      <c r="A88" s="61">
        <v>43300</v>
      </c>
      <c r="B88" s="71"/>
      <c r="C88" s="46" t="s">
        <v>63</v>
      </c>
      <c r="D88" s="46">
        <v>500</v>
      </c>
      <c r="E88" s="46">
        <v>4.3600000000000003</v>
      </c>
      <c r="F88" s="16">
        <f t="shared" si="18"/>
        <v>5300</v>
      </c>
      <c r="G88" s="17">
        <f t="shared" si="19"/>
        <v>5.6564554716981137</v>
      </c>
      <c r="H88" s="15">
        <f t="shared" si="20"/>
        <v>29979.214000000004</v>
      </c>
      <c r="I88" s="15">
        <f t="shared" si="21"/>
        <v>-6871.2140000000036</v>
      </c>
      <c r="J88" s="33">
        <f t="shared" si="22"/>
        <v>-0.22919927120170663</v>
      </c>
      <c r="K88" s="15">
        <f t="shared" si="23"/>
        <v>23108</v>
      </c>
      <c r="L88" s="15">
        <f t="shared" si="9"/>
        <v>-1781.0000000000036</v>
      </c>
      <c r="M88" s="15"/>
      <c r="N88" s="15"/>
      <c r="O88" s="15"/>
      <c r="P88" s="17"/>
      <c r="Q88" s="31">
        <f t="shared" si="10"/>
        <v>-2185</v>
      </c>
      <c r="R88" s="34">
        <f t="shared" si="17"/>
        <v>5</v>
      </c>
      <c r="S88" s="68"/>
      <c r="T88" s="273"/>
      <c r="U88" s="273"/>
      <c r="V88" s="22"/>
      <c r="W88" s="272"/>
      <c r="X88" s="272"/>
      <c r="Y88" s="272"/>
      <c r="Z88" s="274"/>
      <c r="AA88" s="22"/>
      <c r="AB88" s="275"/>
      <c r="AC88" s="40"/>
      <c r="AD88" s="40"/>
    </row>
    <row r="89" spans="1:30" s="1" customFormat="1" x14ac:dyDescent="0.25">
      <c r="A89" s="61">
        <v>43304</v>
      </c>
      <c r="B89" s="54"/>
      <c r="C89" s="46" t="s">
        <v>63</v>
      </c>
      <c r="D89" s="46">
        <v>500</v>
      </c>
      <c r="E89" s="46">
        <v>4.22</v>
      </c>
      <c r="F89" s="16">
        <f t="shared" si="18"/>
        <v>5800</v>
      </c>
      <c r="G89" s="17">
        <f t="shared" si="19"/>
        <v>5.5334851724137941</v>
      </c>
      <c r="H89" s="15">
        <f t="shared" si="20"/>
        <v>32094.214000000004</v>
      </c>
      <c r="I89" s="15">
        <f t="shared" si="21"/>
        <v>-7618.2140000000036</v>
      </c>
      <c r="J89" s="33">
        <f t="shared" si="22"/>
        <v>-0.23737032475697975</v>
      </c>
      <c r="K89" s="15">
        <f t="shared" si="23"/>
        <v>24476</v>
      </c>
      <c r="L89" s="15">
        <f t="shared" si="9"/>
        <v>-747</v>
      </c>
      <c r="M89" s="15"/>
      <c r="N89" s="15"/>
      <c r="O89" s="15"/>
      <c r="P89" s="17"/>
      <c r="Q89" s="31">
        <f t="shared" si="10"/>
        <v>-2115</v>
      </c>
      <c r="R89" s="34">
        <f t="shared" si="17"/>
        <v>5</v>
      </c>
      <c r="S89" s="68"/>
      <c r="T89" s="273"/>
      <c r="U89" s="273"/>
      <c r="V89" s="22"/>
      <c r="W89" s="272"/>
      <c r="X89" s="272"/>
      <c r="Y89" s="272"/>
      <c r="Z89" s="274"/>
      <c r="AA89" s="22"/>
      <c r="AB89" s="275"/>
      <c r="AC89" s="40"/>
      <c r="AD89" s="40"/>
    </row>
    <row r="90" spans="1:30" s="1" customFormat="1" x14ac:dyDescent="0.25">
      <c r="A90" s="61">
        <v>43314</v>
      </c>
      <c r="B90" s="54"/>
      <c r="C90" s="46" t="s">
        <v>63</v>
      </c>
      <c r="D90" s="46">
        <v>500</v>
      </c>
      <c r="E90" s="46">
        <v>3.74</v>
      </c>
      <c r="F90" s="16">
        <f t="shared" si="18"/>
        <v>6300</v>
      </c>
      <c r="G90" s="17">
        <f t="shared" si="19"/>
        <v>5.3919387301587314</v>
      </c>
      <c r="H90" s="15">
        <f t="shared" si="20"/>
        <v>33969.214000000007</v>
      </c>
      <c r="I90" s="15">
        <f t="shared" si="21"/>
        <v>-10407.214000000007</v>
      </c>
      <c r="J90" s="33">
        <f t="shared" si="22"/>
        <v>-0.30637194019266989</v>
      </c>
      <c r="K90" s="15">
        <f t="shared" si="23"/>
        <v>23562</v>
      </c>
      <c r="L90" s="15">
        <f t="shared" si="9"/>
        <v>-2789.0000000000036</v>
      </c>
      <c r="M90" s="15"/>
      <c r="N90" s="15"/>
      <c r="O90" s="15"/>
      <c r="P90" s="17"/>
      <c r="Q90" s="31">
        <f t="shared" si="10"/>
        <v>-1875.0000000000036</v>
      </c>
      <c r="R90" s="34">
        <f t="shared" si="17"/>
        <v>5</v>
      </c>
      <c r="S90" s="68"/>
      <c r="T90" s="273"/>
      <c r="U90" s="273"/>
      <c r="V90" s="22"/>
      <c r="W90" s="272"/>
      <c r="X90" s="272"/>
      <c r="Y90" s="272"/>
      <c r="Z90" s="274"/>
      <c r="AA90" s="22"/>
      <c r="AB90" s="275"/>
      <c r="AC90" s="40"/>
      <c r="AD90" s="40"/>
    </row>
    <row r="91" spans="1:30" s="1" customFormat="1" x14ac:dyDescent="0.25">
      <c r="A91" s="61">
        <v>43329</v>
      </c>
      <c r="B91" s="54"/>
      <c r="C91" s="46" t="s">
        <v>63</v>
      </c>
      <c r="D91" s="46">
        <v>500</v>
      </c>
      <c r="E91" s="46">
        <v>3.42</v>
      </c>
      <c r="F91" s="16">
        <f t="shared" si="18"/>
        <v>6800</v>
      </c>
      <c r="G91" s="17">
        <f t="shared" si="19"/>
        <v>5.2476785294117656</v>
      </c>
      <c r="H91" s="15">
        <f t="shared" si="20"/>
        <v>35684.214000000007</v>
      </c>
      <c r="I91" s="15">
        <f t="shared" si="21"/>
        <v>-12428.214000000007</v>
      </c>
      <c r="J91" s="33">
        <f t="shared" si="22"/>
        <v>-0.3482832492821617</v>
      </c>
      <c r="K91" s="15">
        <f t="shared" si="23"/>
        <v>23256</v>
      </c>
      <c r="L91" s="15">
        <f t="shared" si="9"/>
        <v>-2021</v>
      </c>
      <c r="M91" s="15"/>
      <c r="N91" s="15"/>
      <c r="O91" s="15"/>
      <c r="P91" s="17"/>
      <c r="Q91" s="31">
        <f t="shared" si="10"/>
        <v>-1715</v>
      </c>
      <c r="R91" s="34">
        <f t="shared" si="17"/>
        <v>5</v>
      </c>
      <c r="S91" s="68"/>
      <c r="T91" s="273"/>
      <c r="U91" s="273"/>
      <c r="V91" s="22"/>
      <c r="W91" s="272"/>
      <c r="X91" s="272"/>
      <c r="Y91" s="272"/>
      <c r="Z91" s="274"/>
      <c r="AA91" s="22"/>
      <c r="AB91" s="275"/>
      <c r="AC91" s="40"/>
      <c r="AD91" s="40"/>
    </row>
    <row r="92" spans="1:30" s="1" customFormat="1" x14ac:dyDescent="0.25">
      <c r="A92" s="61">
        <v>43347</v>
      </c>
      <c r="B92" s="54" t="s">
        <v>203</v>
      </c>
      <c r="C92" s="46" t="s">
        <v>69</v>
      </c>
      <c r="D92" s="46">
        <v>400</v>
      </c>
      <c r="E92" s="46">
        <v>3.72</v>
      </c>
      <c r="F92" s="16">
        <f t="shared" si="18"/>
        <v>6400</v>
      </c>
      <c r="G92" s="17">
        <f t="shared" si="19"/>
        <v>5.3441721875000008</v>
      </c>
      <c r="H92" s="15">
        <f t="shared" si="20"/>
        <v>34202.702000000005</v>
      </c>
      <c r="I92" s="15">
        <f t="shared" si="21"/>
        <v>-10394.702000000005</v>
      </c>
      <c r="J92" s="33">
        <f t="shared" si="22"/>
        <v>-0.30391464393661066</v>
      </c>
      <c r="K92" s="15">
        <f t="shared" si="23"/>
        <v>23808</v>
      </c>
      <c r="L92" s="15">
        <f t="shared" si="9"/>
        <v>2033.5120000000024</v>
      </c>
      <c r="M92" s="15"/>
      <c r="N92" s="15"/>
      <c r="O92" s="15"/>
      <c r="P92" s="17"/>
      <c r="Q92" s="31">
        <f t="shared" si="10"/>
        <v>1481.5120000000024</v>
      </c>
      <c r="R92" s="34">
        <f t="shared" si="17"/>
        <v>6.4879999999999995</v>
      </c>
      <c r="S92" s="68"/>
      <c r="T92" s="273"/>
      <c r="U92" s="273"/>
      <c r="V92" s="22"/>
      <c r="W92" s="272"/>
      <c r="X92" s="272"/>
      <c r="Y92" s="272"/>
      <c r="Z92" s="274"/>
      <c r="AA92" s="22"/>
      <c r="AB92" s="275"/>
      <c r="AC92" s="40"/>
      <c r="AD92" s="40"/>
    </row>
    <row r="93" spans="1:30" s="1" customFormat="1" x14ac:dyDescent="0.25">
      <c r="A93" s="61">
        <v>43369</v>
      </c>
      <c r="B93" s="54" t="s">
        <v>212</v>
      </c>
      <c r="C93" s="46" t="s">
        <v>69</v>
      </c>
      <c r="D93" s="46">
        <v>400</v>
      </c>
      <c r="E93" s="46">
        <v>3.93</v>
      </c>
      <c r="F93" s="16">
        <f t="shared" si="18"/>
        <v>6000</v>
      </c>
      <c r="G93" s="17">
        <f t="shared" si="19"/>
        <v>5.4395456666666675</v>
      </c>
      <c r="H93" s="15">
        <f t="shared" si="20"/>
        <v>32637.274000000005</v>
      </c>
      <c r="I93" s="15">
        <f t="shared" si="21"/>
        <v>-9057.2740000000049</v>
      </c>
      <c r="J93" s="33">
        <f t="shared" si="22"/>
        <v>-0.27751318936746994</v>
      </c>
      <c r="K93" s="15">
        <f t="shared" si="23"/>
        <v>23580</v>
      </c>
      <c r="L93" s="15">
        <f t="shared" si="9"/>
        <v>1337.4279999999999</v>
      </c>
      <c r="M93" s="15"/>
      <c r="N93" s="15"/>
      <c r="O93" s="15"/>
      <c r="P93" s="17"/>
      <c r="Q93" s="31">
        <f t="shared" si="10"/>
        <v>1565.4279999999999</v>
      </c>
      <c r="R93" s="34">
        <f t="shared" si="17"/>
        <v>6.5720000000000001</v>
      </c>
      <c r="S93" s="68"/>
      <c r="T93" s="273"/>
      <c r="U93" s="273"/>
      <c r="V93" s="22"/>
      <c r="W93" s="272"/>
      <c r="X93" s="272"/>
      <c r="Y93" s="272"/>
      <c r="Z93" s="274"/>
      <c r="AA93" s="22"/>
      <c r="AB93" s="275"/>
      <c r="AC93" s="40"/>
      <c r="AD93" s="40"/>
    </row>
    <row r="94" spans="1:30" s="1" customFormat="1" x14ac:dyDescent="0.25">
      <c r="A94" s="61">
        <v>43423</v>
      </c>
      <c r="B94" s="54" t="s">
        <v>208</v>
      </c>
      <c r="C94" s="46" t="s">
        <v>69</v>
      </c>
      <c r="D94" s="46">
        <v>400</v>
      </c>
      <c r="E94" s="46">
        <v>4.28</v>
      </c>
      <c r="F94" s="16">
        <f t="shared" si="18"/>
        <v>5600</v>
      </c>
      <c r="G94" s="17">
        <f t="shared" si="19"/>
        <v>5.5235689285714296</v>
      </c>
      <c r="H94" s="15">
        <f t="shared" si="20"/>
        <v>30931.986000000004</v>
      </c>
      <c r="I94" s="15">
        <f t="shared" si="21"/>
        <v>-6963.9860000000044</v>
      </c>
      <c r="J94" s="33">
        <f t="shared" si="22"/>
        <v>-0.22513866390602927</v>
      </c>
      <c r="K94" s="15">
        <f t="shared" si="23"/>
        <v>23968</v>
      </c>
      <c r="L94" s="15">
        <f t="shared" si="9"/>
        <v>2093.2880000000005</v>
      </c>
      <c r="M94" s="15"/>
      <c r="N94" s="15"/>
      <c r="O94" s="15"/>
      <c r="P94" s="17"/>
      <c r="Q94" s="31">
        <f t="shared" si="10"/>
        <v>1705.2880000000005</v>
      </c>
      <c r="R94" s="34">
        <f t="shared" si="17"/>
        <v>6.7119999999999997</v>
      </c>
      <c r="S94" s="68"/>
      <c r="T94" s="273"/>
      <c r="U94" s="273"/>
      <c r="V94" s="22"/>
      <c r="W94" s="272"/>
      <c r="X94" s="272"/>
      <c r="Y94" s="272"/>
      <c r="Z94" s="274"/>
      <c r="AA94" s="22"/>
      <c r="AB94" s="275"/>
      <c r="AC94" s="40"/>
      <c r="AD94" s="40"/>
    </row>
    <row r="95" spans="1:30" s="1" customFormat="1" x14ac:dyDescent="0.25">
      <c r="A95" s="61">
        <v>43427</v>
      </c>
      <c r="B95" s="54"/>
      <c r="C95" s="46" t="s">
        <v>63</v>
      </c>
      <c r="D95" s="46">
        <v>500</v>
      </c>
      <c r="E95" s="46">
        <v>3.99</v>
      </c>
      <c r="F95" s="16">
        <f t="shared" si="18"/>
        <v>6100</v>
      </c>
      <c r="G95" s="17">
        <f t="shared" si="19"/>
        <v>5.3986862295081979</v>
      </c>
      <c r="H95" s="15">
        <f t="shared" si="20"/>
        <v>32931.986000000004</v>
      </c>
      <c r="I95" s="15">
        <f t="shared" si="21"/>
        <v>-8592.9860000000044</v>
      </c>
      <c r="J95" s="33">
        <f t="shared" si="22"/>
        <v>-0.26093130247292112</v>
      </c>
      <c r="K95" s="15">
        <f t="shared" si="23"/>
        <v>24339</v>
      </c>
      <c r="L95" s="15">
        <f t="shared" si="9"/>
        <v>-1629</v>
      </c>
      <c r="M95" s="15"/>
      <c r="N95" s="15"/>
      <c r="O95" s="15"/>
      <c r="P95" s="17"/>
      <c r="Q95" s="31">
        <f t="shared" si="10"/>
        <v>-2000</v>
      </c>
      <c r="R95" s="34">
        <f t="shared" si="17"/>
        <v>5</v>
      </c>
      <c r="S95" s="68"/>
      <c r="T95" s="273"/>
      <c r="U95" s="273"/>
      <c r="V95" s="22"/>
      <c r="W95" s="272"/>
      <c r="X95" s="272"/>
      <c r="Y95" s="272"/>
      <c r="Z95" s="274"/>
      <c r="AA95" s="22"/>
      <c r="AB95" s="275"/>
      <c r="AC95" s="40"/>
      <c r="AD95" s="40"/>
    </row>
    <row r="96" spans="1:30" s="1" customFormat="1" x14ac:dyDescent="0.25">
      <c r="A96" s="136">
        <v>43495</v>
      </c>
      <c r="B96" s="54"/>
      <c r="C96" s="46" t="s">
        <v>63</v>
      </c>
      <c r="D96" s="46">
        <v>500</v>
      </c>
      <c r="E96" s="46">
        <v>3.42</v>
      </c>
      <c r="F96" s="16">
        <f t="shared" si="18"/>
        <v>6600</v>
      </c>
      <c r="G96" s="17">
        <f t="shared" si="19"/>
        <v>5.2495433333333343</v>
      </c>
      <c r="H96" s="15">
        <f t="shared" si="20"/>
        <v>34646.986000000004</v>
      </c>
      <c r="I96" s="15">
        <f t="shared" si="21"/>
        <v>-12074.986000000004</v>
      </c>
      <c r="J96" s="33">
        <f t="shared" si="22"/>
        <v>-0.34851475969655787</v>
      </c>
      <c r="K96" s="15">
        <f t="shared" si="23"/>
        <v>22572</v>
      </c>
      <c r="L96" s="15">
        <f t="shared" si="9"/>
        <v>-3482</v>
      </c>
      <c r="M96" s="15"/>
      <c r="N96" s="15"/>
      <c r="O96" s="15"/>
      <c r="P96" s="17"/>
      <c r="Q96" s="31">
        <f t="shared" si="10"/>
        <v>-1715</v>
      </c>
      <c r="R96" s="34">
        <f t="shared" si="17"/>
        <v>5</v>
      </c>
      <c r="S96" s="68"/>
      <c r="T96" s="273"/>
      <c r="U96" s="273"/>
      <c r="V96" s="22"/>
      <c r="W96" s="272"/>
      <c r="X96" s="272"/>
      <c r="Y96" s="272"/>
      <c r="Z96" s="274"/>
      <c r="AA96" s="22"/>
      <c r="AB96" s="275"/>
      <c r="AC96" s="40"/>
      <c r="AD96" s="40"/>
    </row>
    <row r="97" spans="1:30" s="1" customFormat="1" x14ac:dyDescent="0.25">
      <c r="A97" s="136">
        <v>43514</v>
      </c>
      <c r="B97" s="54" t="s">
        <v>1037</v>
      </c>
      <c r="C97" s="46" t="s">
        <v>69</v>
      </c>
      <c r="D97" s="46">
        <v>400</v>
      </c>
      <c r="E97" s="46">
        <v>3.77</v>
      </c>
      <c r="F97" s="16">
        <f t="shared" si="18"/>
        <v>6200</v>
      </c>
      <c r="G97" s="17">
        <f t="shared" si="19"/>
        <v>5.3460474193548393</v>
      </c>
      <c r="H97" s="15">
        <f t="shared" si="20"/>
        <v>33145.494000000006</v>
      </c>
      <c r="I97" s="15">
        <f t="shared" si="21"/>
        <v>-9771.4940000000061</v>
      </c>
      <c r="J97" s="33">
        <f t="shared" si="22"/>
        <v>-0.29480610546941921</v>
      </c>
      <c r="K97" s="15">
        <f t="shared" si="23"/>
        <v>23374</v>
      </c>
      <c r="L97" s="15">
        <f t="shared" si="9"/>
        <v>2303.4919999999984</v>
      </c>
      <c r="M97" s="15"/>
      <c r="N97" s="15"/>
      <c r="O97" s="15"/>
      <c r="P97" s="17"/>
      <c r="Q97" s="31">
        <f t="shared" si="10"/>
        <v>1501.4919999999984</v>
      </c>
      <c r="R97" s="34">
        <f t="shared" si="17"/>
        <v>6.508</v>
      </c>
      <c r="S97" s="68"/>
      <c r="T97" s="273"/>
      <c r="U97" s="273"/>
      <c r="V97" s="22"/>
      <c r="W97" s="272"/>
      <c r="X97" s="272"/>
      <c r="Y97" s="272"/>
      <c r="Z97" s="274"/>
      <c r="AA97" s="22"/>
      <c r="AB97" s="275"/>
      <c r="AC97" s="40"/>
      <c r="AD97" s="40"/>
    </row>
    <row r="98" spans="1:30" s="1" customFormat="1" x14ac:dyDescent="0.25">
      <c r="A98" s="136">
        <v>43517</v>
      </c>
      <c r="B98" s="54" t="s">
        <v>1018</v>
      </c>
      <c r="C98" s="46" t="s">
        <v>69</v>
      </c>
      <c r="D98" s="46">
        <v>400</v>
      </c>
      <c r="E98" s="46">
        <v>4.0999999999999996</v>
      </c>
      <c r="F98" s="16">
        <f t="shared" si="18"/>
        <v>5800</v>
      </c>
      <c r="G98" s="17">
        <f t="shared" si="19"/>
        <v>5.4331265517241389</v>
      </c>
      <c r="H98" s="15">
        <f t="shared" si="20"/>
        <v>31512.134000000005</v>
      </c>
      <c r="I98" s="15">
        <f t="shared" si="21"/>
        <v>-7732.1340000000091</v>
      </c>
      <c r="J98" s="33">
        <f t="shared" si="22"/>
        <v>-0.2453700533261253</v>
      </c>
      <c r="K98" s="15">
        <f t="shared" si="23"/>
        <v>23779.999999999996</v>
      </c>
      <c r="L98" s="15">
        <f t="shared" si="9"/>
        <v>2039.3599999999969</v>
      </c>
      <c r="M98" s="15"/>
      <c r="N98" s="15"/>
      <c r="O98" s="15"/>
      <c r="P98" s="17"/>
      <c r="Q98" s="31">
        <f t="shared" si="10"/>
        <v>1633.3600000000006</v>
      </c>
      <c r="R98" s="34">
        <f t="shared" si="17"/>
        <v>6.64</v>
      </c>
      <c r="S98" s="68"/>
      <c r="T98" s="273"/>
      <c r="U98" s="273"/>
      <c r="V98" s="22"/>
      <c r="W98" s="272"/>
      <c r="X98" s="272"/>
      <c r="Y98" s="272"/>
      <c r="Z98" s="274"/>
      <c r="AA98" s="22"/>
      <c r="AB98" s="275"/>
      <c r="AC98" s="40"/>
      <c r="AD98" s="40"/>
    </row>
    <row r="99" spans="1:30" s="1" customFormat="1" x14ac:dyDescent="0.25">
      <c r="A99" s="136">
        <v>43521</v>
      </c>
      <c r="B99" s="54" t="s">
        <v>1038</v>
      </c>
      <c r="C99" s="46" t="s">
        <v>69</v>
      </c>
      <c r="D99" s="46">
        <v>400</v>
      </c>
      <c r="E99" s="46">
        <v>4.46</v>
      </c>
      <c r="F99" s="16">
        <f t="shared" si="18"/>
        <v>5400</v>
      </c>
      <c r="G99" s="17">
        <f t="shared" si="19"/>
        <v>5.5064662962962974</v>
      </c>
      <c r="H99" s="15">
        <f t="shared" si="20"/>
        <v>29734.918000000005</v>
      </c>
      <c r="I99" s="15">
        <f t="shared" si="21"/>
        <v>-5650.9180000000051</v>
      </c>
      <c r="J99" s="33">
        <f t="shared" si="22"/>
        <v>-0.19004316743029204</v>
      </c>
      <c r="K99" s="15">
        <f t="shared" si="23"/>
        <v>24084</v>
      </c>
      <c r="L99" s="15">
        <f t="shared" si="9"/>
        <v>2081.216000000004</v>
      </c>
      <c r="M99" s="15"/>
      <c r="N99" s="15"/>
      <c r="O99" s="15"/>
      <c r="P99" s="17"/>
      <c r="Q99" s="31">
        <f t="shared" si="10"/>
        <v>1777.2160000000003</v>
      </c>
      <c r="R99" s="34">
        <f t="shared" si="17"/>
        <v>6.7839999999999998</v>
      </c>
      <c r="S99" s="68"/>
      <c r="T99" s="273"/>
      <c r="U99" s="273"/>
      <c r="V99" s="22"/>
      <c r="W99" s="272"/>
      <c r="X99" s="272"/>
      <c r="Y99" s="272"/>
      <c r="Z99" s="274"/>
      <c r="AA99" s="22"/>
      <c r="AB99" s="275"/>
      <c r="AC99" s="40"/>
      <c r="AD99" s="40"/>
    </row>
    <row r="100" spans="1:30" s="1" customFormat="1" x14ac:dyDescent="0.25">
      <c r="A100" s="136">
        <v>43521</v>
      </c>
      <c r="B100" s="54" t="s">
        <v>1039</v>
      </c>
      <c r="C100" s="46" t="s">
        <v>69</v>
      </c>
      <c r="D100" s="46">
        <v>400</v>
      </c>
      <c r="E100" s="46">
        <v>4.7300000000000004</v>
      </c>
      <c r="F100" s="16">
        <f t="shared" si="18"/>
        <v>5000</v>
      </c>
      <c r="G100" s="17">
        <f t="shared" si="19"/>
        <v>5.5699620000000012</v>
      </c>
      <c r="H100" s="15">
        <f t="shared" si="20"/>
        <v>27849.810000000005</v>
      </c>
      <c r="I100" s="15">
        <f t="shared" si="21"/>
        <v>-4199.8100000000013</v>
      </c>
      <c r="J100" s="33">
        <f t="shared" si="22"/>
        <v>-0.1508021060107772</v>
      </c>
      <c r="K100" s="15">
        <f t="shared" si="23"/>
        <v>23650.000000000004</v>
      </c>
      <c r="L100" s="15">
        <f t="shared" si="9"/>
        <v>1451.1080000000038</v>
      </c>
      <c r="M100" s="15"/>
      <c r="N100" s="15"/>
      <c r="O100" s="15"/>
      <c r="P100" s="17"/>
      <c r="Q100" s="31">
        <f t="shared" si="10"/>
        <v>1885.1080000000002</v>
      </c>
      <c r="R100" s="34">
        <f t="shared" si="17"/>
        <v>6.8920000000000003</v>
      </c>
      <c r="S100" s="68"/>
      <c r="T100" s="273"/>
      <c r="U100" s="273"/>
      <c r="V100" s="22"/>
      <c r="W100" s="272"/>
      <c r="X100" s="272"/>
      <c r="Y100" s="272"/>
      <c r="Z100" s="274"/>
      <c r="AA100" s="22"/>
      <c r="AB100" s="275"/>
      <c r="AC100" s="40"/>
      <c r="AD100" s="40"/>
    </row>
    <row r="101" spans="1:30" s="1" customFormat="1" x14ac:dyDescent="0.25">
      <c r="A101" s="136">
        <v>43530</v>
      </c>
      <c r="B101" s="54" t="s">
        <v>1040</v>
      </c>
      <c r="C101" s="46" t="s">
        <v>69</v>
      </c>
      <c r="D101" s="46">
        <v>400</v>
      </c>
      <c r="E101" s="46">
        <v>4.92</v>
      </c>
      <c r="F101" s="16">
        <f t="shared" si="18"/>
        <v>4600</v>
      </c>
      <c r="G101" s="17">
        <f t="shared" si="19"/>
        <v>5.6279952173913053</v>
      </c>
      <c r="H101" s="15">
        <f t="shared" si="20"/>
        <v>25888.778000000006</v>
      </c>
      <c r="I101" s="15">
        <f t="shared" si="21"/>
        <v>-3256.7780000000057</v>
      </c>
      <c r="J101" s="33">
        <f t="shared" si="22"/>
        <v>-0.12579883067481995</v>
      </c>
      <c r="K101" s="15">
        <f t="shared" si="23"/>
        <v>22632</v>
      </c>
      <c r="L101" s="15">
        <f t="shared" si="9"/>
        <v>943.03199999999561</v>
      </c>
      <c r="M101" s="15"/>
      <c r="N101" s="15"/>
      <c r="O101" s="15"/>
      <c r="P101" s="17"/>
      <c r="Q101" s="31">
        <f t="shared" si="10"/>
        <v>1961.0319999999992</v>
      </c>
      <c r="R101" s="34">
        <f t="shared" si="17"/>
        <v>6.968</v>
      </c>
      <c r="S101" s="68"/>
      <c r="T101" s="273"/>
      <c r="U101" s="273"/>
      <c r="V101" s="22"/>
      <c r="W101" s="272"/>
      <c r="X101" s="272"/>
      <c r="Y101" s="272"/>
      <c r="Z101" s="274"/>
      <c r="AA101" s="22"/>
      <c r="AB101" s="275"/>
      <c r="AC101" s="40"/>
      <c r="AD101" s="40"/>
    </row>
    <row r="102" spans="1:30" s="1" customFormat="1" x14ac:dyDescent="0.25">
      <c r="A102" s="136">
        <v>43549</v>
      </c>
      <c r="B102" s="71"/>
      <c r="C102" s="46" t="s">
        <v>63</v>
      </c>
      <c r="D102" s="46">
        <v>500</v>
      </c>
      <c r="E102" s="46">
        <v>4.6900000000000004</v>
      </c>
      <c r="F102" s="16">
        <f t="shared" si="18"/>
        <v>5100</v>
      </c>
      <c r="G102" s="17">
        <f t="shared" si="19"/>
        <v>5.5370152941176478</v>
      </c>
      <c r="H102" s="15">
        <f t="shared" si="20"/>
        <v>28238.778000000006</v>
      </c>
      <c r="I102" s="15">
        <f t="shared" si="21"/>
        <v>-4319.7780000000021</v>
      </c>
      <c r="J102" s="33">
        <f t="shared" si="22"/>
        <v>-0.15297326251157189</v>
      </c>
      <c r="K102" s="15">
        <f t="shared" si="23"/>
        <v>23919.000000000004</v>
      </c>
      <c r="L102" s="15">
        <f t="shared" si="9"/>
        <v>-1062.9999999999964</v>
      </c>
      <c r="M102" s="15"/>
      <c r="N102" s="15"/>
      <c r="O102" s="15"/>
      <c r="P102" s="17"/>
      <c r="Q102" s="31">
        <f t="shared" si="10"/>
        <v>-2350</v>
      </c>
      <c r="R102" s="34">
        <f t="shared" si="17"/>
        <v>5</v>
      </c>
      <c r="S102" s="68"/>
      <c r="T102" s="273"/>
      <c r="U102" s="273"/>
      <c r="V102" s="22"/>
      <c r="W102" s="272"/>
      <c r="X102" s="272"/>
      <c r="Y102" s="272"/>
      <c r="Z102" s="274"/>
      <c r="AA102" s="22"/>
      <c r="AB102" s="275"/>
      <c r="AC102" s="40"/>
      <c r="AD102" s="40"/>
    </row>
    <row r="103" spans="1:30" s="1" customFormat="1" x14ac:dyDescent="0.25">
      <c r="A103" s="136">
        <v>43557</v>
      </c>
      <c r="B103" s="54" t="s">
        <v>1041</v>
      </c>
      <c r="C103" s="46" t="s">
        <v>69</v>
      </c>
      <c r="D103" s="46">
        <v>400</v>
      </c>
      <c r="E103" s="46">
        <v>4.99</v>
      </c>
      <c r="F103" s="16">
        <f t="shared" si="18"/>
        <v>4700</v>
      </c>
      <c r="G103" s="17">
        <f t="shared" si="19"/>
        <v>5.5850582978723411</v>
      </c>
      <c r="H103" s="15">
        <f t="shared" si="20"/>
        <v>26249.774000000005</v>
      </c>
      <c r="I103" s="15">
        <f t="shared" si="21"/>
        <v>-2796.7740000000049</v>
      </c>
      <c r="J103" s="33">
        <f t="shared" si="22"/>
        <v>-0.10654468872760588</v>
      </c>
      <c r="K103" s="15">
        <f t="shared" si="23"/>
        <v>23453</v>
      </c>
      <c r="L103" s="15">
        <f t="shared" si="9"/>
        <v>1523.0039999999972</v>
      </c>
      <c r="M103" s="15"/>
      <c r="N103" s="15"/>
      <c r="O103" s="15"/>
      <c r="P103" s="17"/>
      <c r="Q103" s="31">
        <f t="shared" si="10"/>
        <v>1989.0040000000008</v>
      </c>
      <c r="R103" s="34">
        <f t="shared" si="17"/>
        <v>6.9960000000000004</v>
      </c>
      <c r="S103" s="68"/>
      <c r="T103" s="273"/>
      <c r="U103" s="273"/>
      <c r="V103" s="22"/>
      <c r="W103" s="272"/>
      <c r="X103" s="272"/>
      <c r="Y103" s="272"/>
      <c r="Z103" s="274"/>
      <c r="AA103" s="22"/>
      <c r="AB103" s="275"/>
      <c r="AC103" s="40"/>
      <c r="AD103" s="40"/>
    </row>
    <row r="104" spans="1:30" s="1" customFormat="1" x14ac:dyDescent="0.25">
      <c r="A104" s="136">
        <v>43558</v>
      </c>
      <c r="B104" s="54"/>
      <c r="C104" s="46" t="s">
        <v>63</v>
      </c>
      <c r="D104" s="46">
        <v>500</v>
      </c>
      <c r="E104" s="46">
        <v>4.8499999999999996</v>
      </c>
      <c r="F104" s="16">
        <f t="shared" si="18"/>
        <v>5200</v>
      </c>
      <c r="G104" s="17">
        <f t="shared" si="19"/>
        <v>5.5153411538461548</v>
      </c>
      <c r="H104" s="15">
        <f t="shared" si="20"/>
        <v>28679.774000000005</v>
      </c>
      <c r="I104" s="15">
        <f t="shared" si="21"/>
        <v>-3459.7740000000085</v>
      </c>
      <c r="J104" s="33">
        <f t="shared" si="22"/>
        <v>-0.12063463261600339</v>
      </c>
      <c r="K104" s="15">
        <f t="shared" si="23"/>
        <v>25219.999999999996</v>
      </c>
      <c r="L104" s="15">
        <f t="shared" si="9"/>
        <v>-663.00000000000364</v>
      </c>
      <c r="M104" s="15"/>
      <c r="N104" s="15"/>
      <c r="O104" s="15"/>
      <c r="P104" s="17"/>
      <c r="Q104" s="31">
        <f t="shared" si="10"/>
        <v>-2430</v>
      </c>
      <c r="R104" s="34">
        <f t="shared" si="17"/>
        <v>5</v>
      </c>
      <c r="S104" s="68"/>
      <c r="T104" s="273"/>
      <c r="U104" s="273"/>
      <c r="V104" s="22"/>
      <c r="W104" s="272"/>
      <c r="X104" s="272"/>
      <c r="Y104" s="272"/>
      <c r="Z104" s="274"/>
      <c r="AA104" s="22"/>
      <c r="AB104" s="275"/>
      <c r="AC104" s="40"/>
      <c r="AD104" s="40"/>
    </row>
    <row r="105" spans="1:30" s="1" customFormat="1" x14ac:dyDescent="0.25">
      <c r="A105" s="136">
        <v>43559</v>
      </c>
      <c r="B105" s="54" t="s">
        <v>1042</v>
      </c>
      <c r="C105" s="46" t="s">
        <v>69</v>
      </c>
      <c r="D105" s="46">
        <v>400</v>
      </c>
      <c r="E105" s="46">
        <v>5.13</v>
      </c>
      <c r="F105" s="16">
        <f t="shared" si="18"/>
        <v>4800</v>
      </c>
      <c r="G105" s="17">
        <f t="shared" si="19"/>
        <v>5.5489220833333341</v>
      </c>
      <c r="H105" s="15">
        <f t="shared" si="20"/>
        <v>26634.826000000005</v>
      </c>
      <c r="I105" s="15">
        <f t="shared" si="21"/>
        <v>-2010.8260000000046</v>
      </c>
      <c r="J105" s="33">
        <f t="shared" si="22"/>
        <v>-7.5496119253792168E-2</v>
      </c>
      <c r="K105" s="15">
        <f t="shared" si="23"/>
        <v>24624</v>
      </c>
      <c r="L105" s="15">
        <f t="shared" si="9"/>
        <v>1448.948000000004</v>
      </c>
      <c r="M105" s="15"/>
      <c r="N105" s="15"/>
      <c r="O105" s="15"/>
      <c r="P105" s="17"/>
      <c r="Q105" s="31">
        <f t="shared" si="10"/>
        <v>2044.9480000000003</v>
      </c>
      <c r="R105" s="34">
        <f t="shared" si="17"/>
        <v>7.0519999999999996</v>
      </c>
      <c r="S105" s="68"/>
      <c r="T105" s="273"/>
      <c r="U105" s="273"/>
      <c r="V105" s="22"/>
      <c r="W105" s="272"/>
      <c r="X105" s="272"/>
      <c r="Y105" s="272"/>
      <c r="Z105" s="274"/>
      <c r="AA105" s="22"/>
      <c r="AB105" s="275"/>
      <c r="AC105" s="40"/>
      <c r="AD105" s="40"/>
    </row>
    <row r="106" spans="1:30" s="1" customFormat="1" x14ac:dyDescent="0.25">
      <c r="A106" s="136">
        <v>43565</v>
      </c>
      <c r="B106" s="54"/>
      <c r="C106" s="285" t="s">
        <v>922</v>
      </c>
      <c r="D106" s="46">
        <v>500</v>
      </c>
      <c r="E106" s="46">
        <v>4.87</v>
      </c>
      <c r="F106" s="16">
        <f t="shared" si="18"/>
        <v>5300</v>
      </c>
      <c r="G106" s="17">
        <f t="shared" si="19"/>
        <v>5.4858162264150954</v>
      </c>
      <c r="H106" s="15">
        <f t="shared" si="20"/>
        <v>29074.826000000005</v>
      </c>
      <c r="I106" s="15">
        <f t="shared" si="21"/>
        <v>-3263.8260000000046</v>
      </c>
      <c r="J106" s="33">
        <f t="shared" si="22"/>
        <v>-0.11225608022555335</v>
      </c>
      <c r="K106" s="15">
        <f t="shared" si="23"/>
        <v>25811</v>
      </c>
      <c r="L106" s="15">
        <f t="shared" si="9"/>
        <v>-1253</v>
      </c>
      <c r="M106" s="15"/>
      <c r="N106" s="15"/>
      <c r="O106" s="15"/>
      <c r="P106" s="17"/>
      <c r="Q106" s="31">
        <f t="shared" si="10"/>
        <v>-2440</v>
      </c>
      <c r="R106" s="34">
        <f t="shared" si="17"/>
        <v>5</v>
      </c>
      <c r="S106" s="68"/>
      <c r="T106" s="273"/>
      <c r="U106" s="273"/>
      <c r="V106" s="22"/>
      <c r="W106" s="272"/>
      <c r="X106" s="272"/>
      <c r="Y106" s="272"/>
      <c r="Z106" s="274"/>
      <c r="AA106" s="22"/>
      <c r="AB106" s="275"/>
      <c r="AC106" s="40"/>
      <c r="AD106" s="40"/>
    </row>
    <row r="107" spans="1:30" s="1" customFormat="1" x14ac:dyDescent="0.25">
      <c r="A107" s="136">
        <v>43565</v>
      </c>
      <c r="B107" s="54"/>
      <c r="C107" s="285" t="s">
        <v>922</v>
      </c>
      <c r="D107" s="46">
        <v>500</v>
      </c>
      <c r="E107" s="46">
        <v>4.87</v>
      </c>
      <c r="F107" s="16">
        <f t="shared" si="18"/>
        <v>5800</v>
      </c>
      <c r="G107" s="17">
        <f t="shared" si="19"/>
        <v>5.4335906896551736</v>
      </c>
      <c r="H107" s="15">
        <f t="shared" si="20"/>
        <v>31514.826000000005</v>
      </c>
      <c r="I107" s="15">
        <f t="shared" si="21"/>
        <v>-3268.8260000000046</v>
      </c>
      <c r="J107" s="33">
        <f t="shared" si="22"/>
        <v>-0.10372343480493929</v>
      </c>
      <c r="K107" s="15">
        <f t="shared" si="23"/>
        <v>28246</v>
      </c>
      <c r="L107" s="15">
        <f t="shared" si="9"/>
        <v>-5</v>
      </c>
      <c r="M107" s="15"/>
      <c r="N107" s="15"/>
      <c r="O107" s="15"/>
      <c r="P107" s="17"/>
      <c r="Q107" s="31">
        <f t="shared" si="10"/>
        <v>-2440</v>
      </c>
      <c r="R107" s="34">
        <f t="shared" si="17"/>
        <v>5</v>
      </c>
      <c r="S107" s="68"/>
      <c r="T107" s="273"/>
      <c r="U107" s="273"/>
      <c r="V107" s="22"/>
      <c r="W107" s="272"/>
      <c r="X107" s="272"/>
      <c r="Y107" s="272"/>
      <c r="Z107" s="274"/>
      <c r="AA107" s="22"/>
      <c r="AB107" s="275"/>
      <c r="AC107" s="40"/>
      <c r="AD107" s="40"/>
    </row>
    <row r="108" spans="1:30" s="1" customFormat="1" x14ac:dyDescent="0.25">
      <c r="A108" s="136">
        <v>43570</v>
      </c>
      <c r="B108" s="54" t="s">
        <v>1011</v>
      </c>
      <c r="C108" s="46" t="s">
        <v>69</v>
      </c>
      <c r="D108" s="46">
        <v>400</v>
      </c>
      <c r="E108" s="46">
        <v>5.04</v>
      </c>
      <c r="F108" s="16">
        <f t="shared" si="18"/>
        <v>5400</v>
      </c>
      <c r="G108" s="17">
        <f t="shared" si="19"/>
        <v>5.464044814814816</v>
      </c>
      <c r="H108" s="15">
        <f t="shared" si="20"/>
        <v>29505.842000000004</v>
      </c>
      <c r="I108" s="15">
        <f t="shared" si="21"/>
        <v>-2289.8420000000042</v>
      </c>
      <c r="J108" s="33">
        <f t="shared" si="22"/>
        <v>-7.7606394015124383E-2</v>
      </c>
      <c r="K108" s="15">
        <f t="shared" si="23"/>
        <v>27216</v>
      </c>
      <c r="L108" s="15">
        <f t="shared" si="9"/>
        <v>978.98400000000038</v>
      </c>
      <c r="M108" s="15"/>
      <c r="N108" s="15"/>
      <c r="O108" s="15"/>
      <c r="P108" s="17"/>
      <c r="Q108" s="31">
        <f t="shared" si="10"/>
        <v>2008.9840000000004</v>
      </c>
      <c r="R108" s="34">
        <f t="shared" si="17"/>
        <v>7.016</v>
      </c>
      <c r="S108" s="68"/>
      <c r="T108" s="273"/>
      <c r="U108" s="273"/>
      <c r="V108" s="22"/>
      <c r="W108" s="272"/>
      <c r="X108" s="272"/>
      <c r="Y108" s="272"/>
      <c r="Z108" s="274"/>
      <c r="AA108" s="22"/>
      <c r="AB108" s="275"/>
      <c r="AC108" s="40"/>
      <c r="AD108" s="40"/>
    </row>
    <row r="109" spans="1:30" s="1" customFormat="1" x14ac:dyDescent="0.25">
      <c r="A109" s="136">
        <v>43571</v>
      </c>
      <c r="B109" s="54" t="s">
        <v>1043</v>
      </c>
      <c r="C109" s="46" t="s">
        <v>69</v>
      </c>
      <c r="D109" s="46">
        <v>400</v>
      </c>
      <c r="E109" s="46">
        <v>5.13</v>
      </c>
      <c r="F109" s="16">
        <f t="shared" si="18"/>
        <v>5000</v>
      </c>
      <c r="G109" s="17">
        <f t="shared" si="19"/>
        <v>5.4921788000000005</v>
      </c>
      <c r="H109" s="15">
        <f t="shared" si="20"/>
        <v>27460.894000000004</v>
      </c>
      <c r="I109" s="15">
        <f t="shared" si="21"/>
        <v>-1810.8940000000039</v>
      </c>
      <c r="J109" s="33">
        <f t="shared" si="22"/>
        <v>-6.5944466338204527E-2</v>
      </c>
      <c r="K109" s="15">
        <f t="shared" si="23"/>
        <v>25650</v>
      </c>
      <c r="L109" s="15">
        <f t="shared" si="9"/>
        <v>478.94800000000032</v>
      </c>
      <c r="M109" s="15"/>
      <c r="N109" s="15"/>
      <c r="O109" s="15"/>
      <c r="P109" s="17"/>
      <c r="Q109" s="31">
        <f t="shared" si="10"/>
        <v>2044.9480000000003</v>
      </c>
      <c r="R109" s="34">
        <f t="shared" si="17"/>
        <v>7.0519999999999996</v>
      </c>
      <c r="S109" s="68"/>
      <c r="T109" s="273"/>
      <c r="U109" s="273"/>
      <c r="V109" s="22"/>
      <c r="W109" s="272"/>
      <c r="X109" s="272"/>
      <c r="Y109" s="272"/>
      <c r="Z109" s="274"/>
      <c r="AA109" s="22"/>
      <c r="AB109" s="275"/>
      <c r="AC109" s="40"/>
      <c r="AD109" s="40"/>
    </row>
    <row r="110" spans="1:30" s="1" customFormat="1" x14ac:dyDescent="0.25">
      <c r="A110" s="136">
        <v>43579</v>
      </c>
      <c r="B110" s="71"/>
      <c r="C110" s="285" t="s">
        <v>922</v>
      </c>
      <c r="D110" s="46">
        <v>500</v>
      </c>
      <c r="E110" s="46">
        <v>4.6100000000000003</v>
      </c>
      <c r="F110" s="16">
        <f t="shared" si="18"/>
        <v>5500</v>
      </c>
      <c r="G110" s="17">
        <f t="shared" si="19"/>
        <v>5.412889818181819</v>
      </c>
      <c r="H110" s="15">
        <f t="shared" si="20"/>
        <v>29770.894000000004</v>
      </c>
      <c r="I110" s="15">
        <f t="shared" si="21"/>
        <v>-4415.8940000000039</v>
      </c>
      <c r="J110" s="33">
        <f t="shared" si="22"/>
        <v>-0.14832923727450045</v>
      </c>
      <c r="K110" s="15">
        <f t="shared" si="23"/>
        <v>25355</v>
      </c>
      <c r="L110" s="15">
        <f t="shared" si="9"/>
        <v>-2605</v>
      </c>
      <c r="M110" s="15"/>
      <c r="N110" s="15"/>
      <c r="O110" s="15"/>
      <c r="P110" s="17"/>
      <c r="Q110" s="31">
        <f t="shared" si="10"/>
        <v>-2310</v>
      </c>
      <c r="R110" s="34">
        <f t="shared" si="17"/>
        <v>5</v>
      </c>
      <c r="S110" s="68"/>
      <c r="T110" s="273"/>
      <c r="U110" s="273"/>
      <c r="V110" s="22"/>
      <c r="W110" s="272"/>
      <c r="X110" s="272"/>
      <c r="Y110" s="272"/>
      <c r="Z110" s="274"/>
      <c r="AA110" s="22"/>
      <c r="AB110" s="275"/>
      <c r="AC110" s="40"/>
      <c r="AD110" s="40"/>
    </row>
    <row r="111" spans="1:30" s="1" customFormat="1" x14ac:dyDescent="0.25">
      <c r="A111" s="136">
        <v>43591</v>
      </c>
      <c r="B111" s="71"/>
      <c r="C111" s="285" t="s">
        <v>922</v>
      </c>
      <c r="D111" s="46">
        <v>500</v>
      </c>
      <c r="E111" s="46">
        <v>4.22</v>
      </c>
      <c r="F111" s="16">
        <f t="shared" si="18"/>
        <v>6000</v>
      </c>
      <c r="G111" s="17">
        <f t="shared" si="19"/>
        <v>5.3143156666666673</v>
      </c>
      <c r="H111" s="15">
        <f t="shared" si="20"/>
        <v>31885.894000000004</v>
      </c>
      <c r="I111" s="15">
        <f t="shared" si="21"/>
        <v>-6565.8940000000039</v>
      </c>
      <c r="J111" s="33">
        <f t="shared" si="22"/>
        <v>-0.20591845409760204</v>
      </c>
      <c r="K111" s="15">
        <f t="shared" si="23"/>
        <v>25320</v>
      </c>
      <c r="L111" s="15">
        <f t="shared" si="9"/>
        <v>-2150</v>
      </c>
      <c r="M111" s="15"/>
      <c r="N111" s="15"/>
      <c r="O111" s="15"/>
      <c r="P111" s="17"/>
      <c r="Q111" s="31">
        <f t="shared" si="10"/>
        <v>-2115</v>
      </c>
      <c r="R111" s="34">
        <f t="shared" si="17"/>
        <v>5</v>
      </c>
      <c r="S111" s="68"/>
      <c r="T111" s="273"/>
      <c r="U111" s="273"/>
      <c r="V111" s="22"/>
      <c r="W111" s="272"/>
      <c r="X111" s="272"/>
      <c r="Y111" s="272"/>
      <c r="Z111" s="274"/>
      <c r="AA111" s="22"/>
      <c r="AB111" s="275"/>
      <c r="AC111" s="40"/>
      <c r="AD111" s="40"/>
    </row>
    <row r="112" spans="1:30" s="1" customFormat="1" x14ac:dyDescent="0.25">
      <c r="A112" s="136">
        <v>43592</v>
      </c>
      <c r="B112" s="54"/>
      <c r="C112" s="285" t="s">
        <v>922</v>
      </c>
      <c r="D112" s="46">
        <v>500</v>
      </c>
      <c r="E112" s="46">
        <v>4.0999999999999996</v>
      </c>
      <c r="F112" s="16">
        <f t="shared" si="18"/>
        <v>6500</v>
      </c>
      <c r="G112" s="17">
        <f t="shared" si="19"/>
        <v>5.2216760000000004</v>
      </c>
      <c r="H112" s="15">
        <f t="shared" si="20"/>
        <v>33940.894</v>
      </c>
      <c r="I112" s="15">
        <f t="shared" si="21"/>
        <v>-7290.8940000000039</v>
      </c>
      <c r="J112" s="33">
        <f t="shared" si="22"/>
        <v>-0.21481148964432123</v>
      </c>
      <c r="K112" s="15">
        <f t="shared" si="23"/>
        <v>26649.999999999996</v>
      </c>
      <c r="L112" s="15">
        <f t="shared" si="9"/>
        <v>-725</v>
      </c>
      <c r="M112" s="15"/>
      <c r="N112" s="15"/>
      <c r="O112" s="15"/>
      <c r="P112" s="17"/>
      <c r="Q112" s="31">
        <f t="shared" si="10"/>
        <v>-2054.9999999999964</v>
      </c>
      <c r="R112" s="34">
        <f t="shared" si="17"/>
        <v>5</v>
      </c>
      <c r="S112" s="68"/>
      <c r="T112" s="273"/>
      <c r="U112" s="273"/>
      <c r="V112" s="22"/>
      <c r="W112" s="272"/>
      <c r="X112" s="272"/>
      <c r="Y112" s="272"/>
      <c r="Z112" s="274"/>
      <c r="AA112" s="22"/>
      <c r="AB112" s="275"/>
      <c r="AC112" s="40"/>
      <c r="AD112" s="40"/>
    </row>
    <row r="113" spans="1:30" s="1" customFormat="1" x14ac:dyDescent="0.25">
      <c r="A113" s="136">
        <v>43635</v>
      </c>
      <c r="B113" s="54"/>
      <c r="C113" s="285" t="s">
        <v>922</v>
      </c>
      <c r="D113" s="46">
        <v>500</v>
      </c>
      <c r="E113" s="46">
        <v>3.88</v>
      </c>
      <c r="F113" s="16">
        <f t="shared" si="18"/>
        <v>7000</v>
      </c>
      <c r="G113" s="17">
        <f t="shared" si="19"/>
        <v>5.1265562857142859</v>
      </c>
      <c r="H113" s="15">
        <f t="shared" si="20"/>
        <v>35885.894</v>
      </c>
      <c r="I113" s="15">
        <f t="shared" si="21"/>
        <v>-8725.8940000000002</v>
      </c>
      <c r="J113" s="33">
        <f t="shared" si="22"/>
        <v>-0.24315665648457865</v>
      </c>
      <c r="K113" s="15">
        <f t="shared" si="23"/>
        <v>27160</v>
      </c>
      <c r="L113" s="15">
        <f t="shared" si="9"/>
        <v>-1434.9999999999964</v>
      </c>
      <c r="M113" s="15"/>
      <c r="N113" s="15"/>
      <c r="O113" s="15"/>
      <c r="P113" s="17"/>
      <c r="Q113" s="31">
        <f t="shared" si="10"/>
        <v>-1945</v>
      </c>
      <c r="R113" s="34">
        <f t="shared" si="17"/>
        <v>5</v>
      </c>
      <c r="S113" s="68"/>
      <c r="T113" s="273"/>
      <c r="U113" s="273"/>
      <c r="V113" s="22"/>
      <c r="W113" s="272"/>
      <c r="X113" s="272"/>
      <c r="Y113" s="272"/>
      <c r="Z113" s="274"/>
      <c r="AA113" s="22"/>
      <c r="AB113" s="275"/>
      <c r="AC113" s="40"/>
      <c r="AD113" s="40"/>
    </row>
    <row r="114" spans="1:30" s="1" customFormat="1" x14ac:dyDescent="0.25">
      <c r="A114" s="136">
        <v>43636</v>
      </c>
      <c r="B114" s="54" t="s">
        <v>1014</v>
      </c>
      <c r="C114" s="285" t="s">
        <v>69</v>
      </c>
      <c r="D114" s="46">
        <v>400</v>
      </c>
      <c r="E114" s="46">
        <v>4.08</v>
      </c>
      <c r="F114" s="16">
        <f t="shared" si="18"/>
        <v>6600</v>
      </c>
      <c r="G114" s="17">
        <f t="shared" si="19"/>
        <v>5.1909887878787879</v>
      </c>
      <c r="H114" s="15">
        <f t="shared" si="20"/>
        <v>34260.525999999998</v>
      </c>
      <c r="I114" s="15">
        <f t="shared" si="21"/>
        <v>-7332.525999999998</v>
      </c>
      <c r="J114" s="33">
        <f t="shared" si="22"/>
        <v>-0.21402257513501105</v>
      </c>
      <c r="K114" s="15">
        <f t="shared" si="23"/>
        <v>26928</v>
      </c>
      <c r="L114" s="15">
        <f t="shared" si="9"/>
        <v>1393.3680000000022</v>
      </c>
      <c r="M114" s="15"/>
      <c r="N114" s="15"/>
      <c r="O114" s="15"/>
      <c r="P114" s="17"/>
      <c r="Q114" s="31">
        <f t="shared" si="10"/>
        <v>1625.3680000000022</v>
      </c>
      <c r="R114" s="34">
        <f t="shared" si="17"/>
        <v>6.6319999999999997</v>
      </c>
      <c r="S114" s="68"/>
      <c r="T114" s="273"/>
      <c r="U114" s="273"/>
      <c r="V114" s="22"/>
      <c r="W114" s="272"/>
      <c r="X114" s="272"/>
      <c r="Y114" s="272"/>
      <c r="Z114" s="274"/>
      <c r="AA114" s="22"/>
      <c r="AB114" s="275"/>
      <c r="AC114" s="40"/>
      <c r="AD114" s="40"/>
    </row>
    <row r="115" spans="1:30" s="1" customFormat="1" x14ac:dyDescent="0.25">
      <c r="A115" s="136">
        <v>43655</v>
      </c>
      <c r="B115" s="54"/>
      <c r="C115" s="285" t="s">
        <v>63</v>
      </c>
      <c r="D115" s="46">
        <v>500</v>
      </c>
      <c r="E115" s="46">
        <v>3.86</v>
      </c>
      <c r="F115" s="16">
        <f t="shared" si="18"/>
        <v>7100</v>
      </c>
      <c r="G115" s="17">
        <f t="shared" si="19"/>
        <v>5.0979614084507041</v>
      </c>
      <c r="H115" s="15">
        <f t="shared" si="20"/>
        <v>36195.525999999998</v>
      </c>
      <c r="I115" s="15">
        <f t="shared" si="21"/>
        <v>-8789.525999999998</v>
      </c>
      <c r="J115" s="33">
        <f t="shared" si="22"/>
        <v>-0.2428345978450486</v>
      </c>
      <c r="K115" s="15">
        <f t="shared" si="23"/>
        <v>27406</v>
      </c>
      <c r="L115" s="15">
        <f t="shared" si="9"/>
        <v>-1457</v>
      </c>
      <c r="M115" s="15"/>
      <c r="N115" s="15"/>
      <c r="O115" s="15"/>
      <c r="P115" s="17"/>
      <c r="Q115" s="31">
        <f t="shared" si="10"/>
        <v>-1935</v>
      </c>
      <c r="R115" s="34">
        <f t="shared" si="17"/>
        <v>5</v>
      </c>
      <c r="S115" s="68"/>
      <c r="T115" s="273"/>
      <c r="U115" s="273"/>
      <c r="V115" s="22"/>
      <c r="W115" s="272"/>
      <c r="X115" s="272"/>
      <c r="Y115" s="272"/>
      <c r="Z115" s="274"/>
      <c r="AA115" s="22"/>
      <c r="AB115" s="275"/>
      <c r="AC115" s="40"/>
      <c r="AD115" s="40"/>
    </row>
    <row r="116" spans="1:30" s="1" customFormat="1" x14ac:dyDescent="0.25">
      <c r="A116" s="136">
        <v>43661</v>
      </c>
      <c r="B116" s="96" t="s">
        <v>1044</v>
      </c>
      <c r="C116" s="285" t="s">
        <v>926</v>
      </c>
      <c r="D116" s="46">
        <v>400</v>
      </c>
      <c r="E116" s="46">
        <v>4.01</v>
      </c>
      <c r="F116" s="16">
        <f t="shared" si="18"/>
        <v>6700</v>
      </c>
      <c r="G116" s="17">
        <f t="shared" si="19"/>
        <v>5.1638999999999999</v>
      </c>
      <c r="H116" s="15">
        <f t="shared" si="20"/>
        <v>34598.129999999997</v>
      </c>
      <c r="I116" s="15">
        <f t="shared" si="21"/>
        <v>-7731.1299999999974</v>
      </c>
      <c r="J116" s="33">
        <f t="shared" si="22"/>
        <v>-0.22345514049458745</v>
      </c>
      <c r="K116" s="15">
        <f t="shared" si="23"/>
        <v>26867</v>
      </c>
      <c r="L116" s="15">
        <f t="shared" si="9"/>
        <v>1058.3960000000006</v>
      </c>
      <c r="M116" s="15"/>
      <c r="N116" s="15"/>
      <c r="O116" s="15"/>
      <c r="P116" s="17"/>
      <c r="Q116" s="31">
        <f t="shared" si="10"/>
        <v>1597.3960000000006</v>
      </c>
      <c r="R116" s="34">
        <f t="shared" si="17"/>
        <v>6.6040000000000001</v>
      </c>
      <c r="S116" s="68"/>
      <c r="T116" s="273"/>
      <c r="U116" s="273"/>
      <c r="V116" s="22"/>
      <c r="W116" s="272"/>
      <c r="X116" s="272"/>
      <c r="Y116" s="272"/>
      <c r="Z116" s="274"/>
      <c r="AA116" s="22"/>
      <c r="AB116" s="275"/>
      <c r="AC116" s="40"/>
      <c r="AD116" s="40"/>
    </row>
    <row r="117" spans="1:30" s="1" customFormat="1" x14ac:dyDescent="0.25">
      <c r="A117" s="136">
        <v>43675</v>
      </c>
      <c r="B117" s="96"/>
      <c r="C117" s="285" t="s">
        <v>922</v>
      </c>
      <c r="D117" s="46">
        <v>500</v>
      </c>
      <c r="E117" s="46">
        <v>3.76</v>
      </c>
      <c r="F117" s="16">
        <f t="shared" si="18"/>
        <v>7200</v>
      </c>
      <c r="G117" s="17">
        <f t="shared" si="19"/>
        <v>5.0671013888888883</v>
      </c>
      <c r="H117" s="15">
        <f t="shared" si="20"/>
        <v>36483.129999999997</v>
      </c>
      <c r="I117" s="15">
        <f t="shared" si="21"/>
        <v>-9411.1299999999974</v>
      </c>
      <c r="J117" s="33">
        <f t="shared" si="22"/>
        <v>-0.25795840433646999</v>
      </c>
      <c r="K117" s="15">
        <f t="shared" si="23"/>
        <v>27072</v>
      </c>
      <c r="L117" s="15">
        <f t="shared" si="9"/>
        <v>-1680</v>
      </c>
      <c r="M117" s="15"/>
      <c r="N117" s="15"/>
      <c r="O117" s="15"/>
      <c r="P117" s="17"/>
      <c r="Q117" s="31">
        <f t="shared" si="10"/>
        <v>-1885</v>
      </c>
      <c r="R117" s="34">
        <f t="shared" si="17"/>
        <v>5</v>
      </c>
      <c r="S117" s="68"/>
      <c r="T117" s="273"/>
      <c r="U117" s="273"/>
      <c r="V117" s="22"/>
      <c r="W117" s="272"/>
      <c r="X117" s="272"/>
      <c r="Y117" s="272"/>
      <c r="Z117" s="274"/>
      <c r="AA117" s="22"/>
      <c r="AB117" s="275"/>
      <c r="AC117" s="40"/>
      <c r="AD117" s="40"/>
    </row>
    <row r="118" spans="1:30" s="1" customFormat="1" x14ac:dyDescent="0.25">
      <c r="A118" s="318">
        <v>43712</v>
      </c>
      <c r="B118" s="96" t="s">
        <v>1045</v>
      </c>
      <c r="C118" s="285" t="s">
        <v>926</v>
      </c>
      <c r="D118" s="46">
        <v>400</v>
      </c>
      <c r="E118" s="46">
        <v>3.72</v>
      </c>
      <c r="F118" s="16">
        <f t="shared" si="18"/>
        <v>6800</v>
      </c>
      <c r="G118" s="17">
        <f t="shared" si="19"/>
        <v>5.1472967647058816</v>
      </c>
      <c r="H118" s="15">
        <f t="shared" si="20"/>
        <v>35001.617999999995</v>
      </c>
      <c r="I118" s="15">
        <f t="shared" si="21"/>
        <v>-9705.6179999999949</v>
      </c>
      <c r="J118" s="33">
        <f t="shared" si="22"/>
        <v>-0.27729055268245012</v>
      </c>
      <c r="K118" s="15">
        <f t="shared" si="23"/>
        <v>25296</v>
      </c>
      <c r="L118" s="15">
        <f t="shared" si="9"/>
        <v>-294.48799999999756</v>
      </c>
      <c r="M118" s="15"/>
      <c r="N118" s="15"/>
      <c r="O118" s="15"/>
      <c r="P118" s="17"/>
      <c r="Q118" s="31">
        <f t="shared" si="10"/>
        <v>1481.5120000000024</v>
      </c>
      <c r="R118" s="34">
        <f t="shared" si="17"/>
        <v>6.4879999999999995</v>
      </c>
      <c r="S118" s="68"/>
      <c r="T118" s="273"/>
      <c r="U118" s="273"/>
      <c r="V118" s="22"/>
      <c r="W118" s="272"/>
      <c r="X118" s="272"/>
      <c r="Y118" s="272"/>
      <c r="Z118" s="274"/>
      <c r="AA118" s="22"/>
      <c r="AB118" s="275"/>
      <c r="AC118" s="40"/>
      <c r="AD118" s="40"/>
    </row>
    <row r="119" spans="1:30" s="1" customFormat="1" x14ac:dyDescent="0.25">
      <c r="A119" s="136">
        <v>43719</v>
      </c>
      <c r="B119" s="96" t="s">
        <v>1019</v>
      </c>
      <c r="C119" s="285" t="s">
        <v>926</v>
      </c>
      <c r="D119" s="46">
        <v>400</v>
      </c>
      <c r="E119" s="46">
        <v>3.9</v>
      </c>
      <c r="F119" s="16">
        <f t="shared" si="18"/>
        <v>6400</v>
      </c>
      <c r="G119" s="17">
        <f t="shared" si="19"/>
        <v>5.2262778124999985</v>
      </c>
      <c r="H119" s="15">
        <f t="shared" si="20"/>
        <v>33448.177999999993</v>
      </c>
      <c r="I119" s="15">
        <f t="shared" si="21"/>
        <v>-8488.1779999999926</v>
      </c>
      <c r="J119" s="33">
        <f t="shared" si="22"/>
        <v>-0.25377101257951906</v>
      </c>
      <c r="K119" s="15">
        <f t="shared" si="23"/>
        <v>24960</v>
      </c>
      <c r="L119" s="15">
        <f t="shared" si="9"/>
        <v>1217.4400000000023</v>
      </c>
      <c r="M119" s="15"/>
      <c r="N119" s="15"/>
      <c r="O119" s="15"/>
      <c r="P119" s="17"/>
      <c r="Q119" s="31">
        <f t="shared" si="10"/>
        <v>1553.4400000000023</v>
      </c>
      <c r="R119" s="34">
        <f t="shared" si="17"/>
        <v>6.5600000000000005</v>
      </c>
      <c r="S119" s="68"/>
      <c r="T119" s="273"/>
      <c r="U119" s="273"/>
      <c r="V119" s="22"/>
      <c r="W119" s="272"/>
      <c r="X119" s="272"/>
      <c r="Y119" s="272"/>
      <c r="Z119" s="274"/>
      <c r="AA119" s="22"/>
      <c r="AB119" s="275"/>
      <c r="AC119" s="40"/>
      <c r="AD119" s="40"/>
    </row>
    <row r="120" spans="1:30" s="1" customFormat="1" x14ac:dyDescent="0.25">
      <c r="A120" s="136">
        <v>43731</v>
      </c>
      <c r="B120" s="96"/>
      <c r="C120" s="285" t="s">
        <v>922</v>
      </c>
      <c r="D120" s="46">
        <v>500</v>
      </c>
      <c r="E120" s="46">
        <v>3.7</v>
      </c>
      <c r="F120" s="16">
        <f t="shared" si="18"/>
        <v>6900</v>
      </c>
      <c r="G120" s="17">
        <f t="shared" si="19"/>
        <v>5.1164026086956511</v>
      </c>
      <c r="H120" s="15">
        <f t="shared" si="20"/>
        <v>35303.177999999993</v>
      </c>
      <c r="I120" s="15">
        <f t="shared" si="21"/>
        <v>-9773.1779999999926</v>
      </c>
      <c r="J120" s="33">
        <f t="shared" si="22"/>
        <v>-0.27683564352195128</v>
      </c>
      <c r="K120" s="15">
        <f t="shared" si="23"/>
        <v>25530</v>
      </c>
      <c r="L120" s="15">
        <f t="shared" si="9"/>
        <v>-1285</v>
      </c>
      <c r="M120" s="15"/>
      <c r="N120" s="15"/>
      <c r="O120" s="15"/>
      <c r="P120" s="17"/>
      <c r="Q120" s="31">
        <f t="shared" si="10"/>
        <v>-1855</v>
      </c>
      <c r="R120" s="34">
        <f t="shared" si="17"/>
        <v>5</v>
      </c>
      <c r="S120" s="68"/>
      <c r="T120" s="273"/>
      <c r="U120" s="273"/>
      <c r="V120" s="22"/>
      <c r="W120" s="272"/>
      <c r="X120" s="272"/>
      <c r="Y120" s="272"/>
      <c r="Z120" s="274"/>
      <c r="AA120" s="22"/>
      <c r="AB120" s="275"/>
      <c r="AC120" s="40"/>
      <c r="AD120" s="40"/>
    </row>
    <row r="121" spans="1:30" s="1" customFormat="1" x14ac:dyDescent="0.25">
      <c r="A121" s="136">
        <v>43747</v>
      </c>
      <c r="B121" s="96"/>
      <c r="C121" s="285" t="s">
        <v>63</v>
      </c>
      <c r="D121" s="46">
        <v>500</v>
      </c>
      <c r="E121" s="46">
        <v>3.55</v>
      </c>
      <c r="F121" s="16">
        <f t="shared" si="18"/>
        <v>7400</v>
      </c>
      <c r="G121" s="17">
        <f t="shared" si="19"/>
        <v>5.0112402702702692</v>
      </c>
      <c r="H121" s="15">
        <f t="shared" si="20"/>
        <v>37083.177999999993</v>
      </c>
      <c r="I121" s="15">
        <f t="shared" si="21"/>
        <v>-10813.177999999993</v>
      </c>
      <c r="J121" s="33">
        <f t="shared" si="22"/>
        <v>-0.29159253826627252</v>
      </c>
      <c r="K121" s="15">
        <f t="shared" si="23"/>
        <v>26270</v>
      </c>
      <c r="L121" s="15">
        <f t="shared" si="9"/>
        <v>-1040</v>
      </c>
      <c r="M121" s="15"/>
      <c r="N121" s="15"/>
      <c r="O121" s="15"/>
      <c r="P121" s="17"/>
      <c r="Q121" s="31">
        <f t="shared" si="10"/>
        <v>-1780</v>
      </c>
      <c r="R121" s="34">
        <f t="shared" si="17"/>
        <v>5</v>
      </c>
      <c r="S121" s="68"/>
      <c r="T121" s="273"/>
      <c r="U121" s="273"/>
      <c r="V121" s="22"/>
      <c r="W121" s="272"/>
      <c r="X121" s="272"/>
      <c r="Y121" s="272"/>
      <c r="Z121" s="274"/>
      <c r="AA121" s="22"/>
      <c r="AB121" s="275"/>
      <c r="AC121" s="40"/>
      <c r="AD121" s="40"/>
    </row>
    <row r="122" spans="1:30" s="1" customFormat="1" x14ac:dyDescent="0.25">
      <c r="A122" s="136">
        <v>43749</v>
      </c>
      <c r="B122" s="96" t="s">
        <v>1020</v>
      </c>
      <c r="C122" s="285" t="s">
        <v>926</v>
      </c>
      <c r="D122" s="46">
        <v>400</v>
      </c>
      <c r="E122" s="46">
        <v>3.72</v>
      </c>
      <c r="F122" s="16">
        <f t="shared" si="18"/>
        <v>7000</v>
      </c>
      <c r="G122" s="17">
        <f t="shared" si="19"/>
        <v>5.085952285714284</v>
      </c>
      <c r="H122" s="15">
        <f t="shared" si="20"/>
        <v>35601.66599999999</v>
      </c>
      <c r="I122" s="15">
        <f t="shared" si="21"/>
        <v>-9561.6659999999902</v>
      </c>
      <c r="J122" s="33">
        <f t="shared" si="22"/>
        <v>-0.26857355495666946</v>
      </c>
      <c r="K122" s="15">
        <f t="shared" si="23"/>
        <v>26040</v>
      </c>
      <c r="L122" s="15">
        <f t="shared" si="9"/>
        <v>1251.5120000000024</v>
      </c>
      <c r="M122" s="15"/>
      <c r="N122" s="15"/>
      <c r="O122" s="15"/>
      <c r="P122" s="17"/>
      <c r="Q122" s="31">
        <f t="shared" si="10"/>
        <v>1481.5120000000024</v>
      </c>
      <c r="R122" s="34">
        <f t="shared" si="17"/>
        <v>6.4879999999999995</v>
      </c>
      <c r="S122" s="68"/>
      <c r="T122" s="273"/>
      <c r="U122" s="273"/>
      <c r="V122" s="22"/>
      <c r="W122" s="272"/>
      <c r="X122" s="272"/>
      <c r="Y122" s="272"/>
      <c r="Z122" s="274"/>
      <c r="AA122" s="22"/>
      <c r="AB122" s="275"/>
      <c r="AC122" s="40"/>
      <c r="AD122" s="40"/>
    </row>
    <row r="123" spans="1:30" s="1" customFormat="1" x14ac:dyDescent="0.25">
      <c r="A123" s="136">
        <v>43752</v>
      </c>
      <c r="B123" s="96" t="s">
        <v>1046</v>
      </c>
      <c r="C123" s="285" t="s">
        <v>926</v>
      </c>
      <c r="D123" s="46">
        <v>400</v>
      </c>
      <c r="E123" s="46">
        <v>3.9</v>
      </c>
      <c r="F123" s="16">
        <f t="shared" si="18"/>
        <v>6600</v>
      </c>
      <c r="G123" s="17">
        <f t="shared" si="19"/>
        <v>5.1588221212121192</v>
      </c>
      <c r="H123" s="15">
        <f t="shared" si="20"/>
        <v>34048.225999999988</v>
      </c>
      <c r="I123" s="15">
        <f t="shared" si="21"/>
        <v>-8308.2259999999878</v>
      </c>
      <c r="J123" s="33">
        <f t="shared" si="22"/>
        <v>-0.24401347664926773</v>
      </c>
      <c r="K123" s="15">
        <f t="shared" si="23"/>
        <v>25740</v>
      </c>
      <c r="L123" s="15">
        <f t="shared" si="9"/>
        <v>1253.4400000000023</v>
      </c>
      <c r="M123" s="15"/>
      <c r="N123" s="15"/>
      <c r="O123" s="15"/>
      <c r="P123" s="17"/>
      <c r="Q123" s="31">
        <f t="shared" si="10"/>
        <v>1553.4400000000023</v>
      </c>
      <c r="R123" s="34">
        <f t="shared" si="17"/>
        <v>6.5600000000000005</v>
      </c>
      <c r="S123" s="68"/>
      <c r="T123" s="273"/>
      <c r="U123" s="273"/>
      <c r="V123" s="22"/>
      <c r="W123" s="272"/>
      <c r="X123" s="272"/>
      <c r="Y123" s="272"/>
      <c r="Z123" s="274"/>
      <c r="AA123" s="22"/>
      <c r="AB123" s="275"/>
      <c r="AC123" s="40"/>
      <c r="AD123" s="40"/>
    </row>
    <row r="124" spans="1:30" s="1" customFormat="1" x14ac:dyDescent="0.25">
      <c r="A124" s="136">
        <v>43759</v>
      </c>
      <c r="B124" s="96"/>
      <c r="C124" s="285" t="s">
        <v>922</v>
      </c>
      <c r="D124" s="46">
        <v>500</v>
      </c>
      <c r="E124" s="46">
        <v>3.7</v>
      </c>
      <c r="F124" s="16">
        <f t="shared" si="18"/>
        <v>7100</v>
      </c>
      <c r="G124" s="17">
        <f t="shared" si="19"/>
        <v>5.0567923943661954</v>
      </c>
      <c r="H124" s="15">
        <f t="shared" si="20"/>
        <v>35903.225999999988</v>
      </c>
      <c r="I124" s="15">
        <f t="shared" si="21"/>
        <v>-9633.2259999999878</v>
      </c>
      <c r="J124" s="33">
        <f t="shared" si="22"/>
        <v>-0.26831087546283416</v>
      </c>
      <c r="K124" s="15">
        <f t="shared" si="23"/>
        <v>26270</v>
      </c>
      <c r="L124" s="15">
        <f t="shared" si="9"/>
        <v>-1325</v>
      </c>
      <c r="M124" s="15"/>
      <c r="N124" s="15"/>
      <c r="O124" s="15"/>
      <c r="P124" s="17"/>
      <c r="Q124" s="31">
        <f t="shared" si="10"/>
        <v>-1855</v>
      </c>
      <c r="R124" s="34">
        <f t="shared" si="17"/>
        <v>5</v>
      </c>
      <c r="S124" s="68"/>
      <c r="T124" s="273"/>
      <c r="U124" s="273"/>
      <c r="V124" s="22"/>
      <c r="W124" s="272"/>
      <c r="X124" s="272"/>
      <c r="Y124" s="272"/>
      <c r="Z124" s="274"/>
      <c r="AA124" s="22"/>
      <c r="AB124" s="275"/>
      <c r="AC124" s="40"/>
      <c r="AD124" s="40"/>
    </row>
    <row r="125" spans="1:30" s="1" customFormat="1" x14ac:dyDescent="0.25">
      <c r="A125" s="136">
        <v>43773</v>
      </c>
      <c r="B125" s="96"/>
      <c r="C125" s="285" t="s">
        <v>63</v>
      </c>
      <c r="D125" s="46">
        <v>500</v>
      </c>
      <c r="E125" s="46">
        <v>3.55</v>
      </c>
      <c r="F125" s="16">
        <f t="shared" si="18"/>
        <v>7600</v>
      </c>
      <c r="G125" s="17">
        <f t="shared" si="19"/>
        <v>4.9583192105263141</v>
      </c>
      <c r="H125" s="15">
        <f t="shared" si="20"/>
        <v>37683.225999999988</v>
      </c>
      <c r="I125" s="15">
        <f t="shared" si="21"/>
        <v>-10703.225999999988</v>
      </c>
      <c r="J125" s="33">
        <f t="shared" si="22"/>
        <v>-0.28403157415450558</v>
      </c>
      <c r="K125" s="15">
        <f t="shared" si="23"/>
        <v>26980</v>
      </c>
      <c r="L125" s="15">
        <f t="shared" si="9"/>
        <v>-1070</v>
      </c>
      <c r="M125" s="15"/>
      <c r="N125" s="15"/>
      <c r="O125" s="15"/>
      <c r="P125" s="17"/>
      <c r="Q125" s="31">
        <f t="shared" si="10"/>
        <v>-1780</v>
      </c>
      <c r="R125" s="34">
        <f t="shared" si="17"/>
        <v>5</v>
      </c>
      <c r="S125" s="68"/>
      <c r="T125" s="273"/>
      <c r="U125" s="273"/>
      <c r="V125" s="22"/>
      <c r="W125" s="272"/>
      <c r="X125" s="272"/>
      <c r="Y125" s="272"/>
      <c r="Z125" s="274"/>
      <c r="AA125" s="22"/>
      <c r="AB125" s="275"/>
      <c r="AC125" s="40"/>
      <c r="AD125" s="40"/>
    </row>
    <row r="126" spans="1:30" s="1" customFormat="1" x14ac:dyDescent="0.25">
      <c r="A126" s="136">
        <v>43816</v>
      </c>
      <c r="B126" s="96" t="s">
        <v>1047</v>
      </c>
      <c r="C126" s="285" t="s">
        <v>926</v>
      </c>
      <c r="D126" s="46">
        <v>400</v>
      </c>
      <c r="E126" s="46">
        <v>3.74</v>
      </c>
      <c r="F126" s="16">
        <f t="shared" si="18"/>
        <v>7200</v>
      </c>
      <c r="G126" s="17">
        <f t="shared" si="19"/>
        <v>5.0269058333333314</v>
      </c>
      <c r="H126" s="15">
        <f t="shared" si="20"/>
        <v>36193.721999999987</v>
      </c>
      <c r="I126" s="15">
        <f t="shared" si="21"/>
        <v>-9265.721999999987</v>
      </c>
      <c r="J126" s="33">
        <f t="shared" si="22"/>
        <v>-0.25600356879571512</v>
      </c>
      <c r="K126" s="15">
        <f t="shared" si="23"/>
        <v>26928</v>
      </c>
      <c r="L126" s="15">
        <f t="shared" si="9"/>
        <v>1437.5040000000008</v>
      </c>
      <c r="M126" s="15"/>
      <c r="N126" s="15"/>
      <c r="O126" s="15"/>
      <c r="P126" s="17"/>
      <c r="Q126" s="31">
        <f t="shared" si="10"/>
        <v>1489.5040000000008</v>
      </c>
      <c r="R126" s="34">
        <f t="shared" si="17"/>
        <v>6.4960000000000004</v>
      </c>
      <c r="S126" s="68"/>
      <c r="T126" s="273"/>
      <c r="U126" s="273"/>
      <c r="V126" s="22"/>
      <c r="W126" s="272"/>
      <c r="X126" s="272"/>
      <c r="Y126" s="272"/>
      <c r="Z126" s="274"/>
      <c r="AA126" s="22"/>
      <c r="AB126" s="275"/>
      <c r="AC126" s="40"/>
      <c r="AD126" s="40"/>
    </row>
    <row r="127" spans="1:30" s="1" customFormat="1" x14ac:dyDescent="0.25">
      <c r="A127" s="136">
        <v>43819</v>
      </c>
      <c r="B127" s="96" t="s">
        <v>1021</v>
      </c>
      <c r="C127" s="285" t="s">
        <v>926</v>
      </c>
      <c r="D127" s="46">
        <v>400</v>
      </c>
      <c r="E127" s="46">
        <v>3.82</v>
      </c>
      <c r="F127" s="16">
        <f t="shared" si="18"/>
        <v>6800</v>
      </c>
      <c r="G127" s="17">
        <f t="shared" si="19"/>
        <v>5.0988602941176451</v>
      </c>
      <c r="H127" s="15">
        <f t="shared" si="20"/>
        <v>34672.249999999985</v>
      </c>
      <c r="I127" s="15">
        <f t="shared" si="21"/>
        <v>-8696.2499999999854</v>
      </c>
      <c r="J127" s="33">
        <f t="shared" si="22"/>
        <v>-0.2508129700264618</v>
      </c>
      <c r="K127" s="15">
        <f t="shared" si="23"/>
        <v>25976</v>
      </c>
      <c r="L127" s="15">
        <f t="shared" si="9"/>
        <v>569.47200000000157</v>
      </c>
      <c r="M127" s="15"/>
      <c r="N127" s="15"/>
      <c r="O127" s="15"/>
      <c r="P127" s="17"/>
      <c r="Q127" s="31">
        <f t="shared" si="10"/>
        <v>1521.4720000000016</v>
      </c>
      <c r="R127" s="34">
        <f t="shared" si="17"/>
        <v>6.5280000000000005</v>
      </c>
      <c r="S127" s="68"/>
      <c r="T127" s="273"/>
      <c r="U127" s="273"/>
      <c r="V127" s="22"/>
      <c r="W127" s="272"/>
      <c r="X127" s="272"/>
      <c r="Y127" s="272"/>
      <c r="Z127" s="274"/>
      <c r="AA127" s="22"/>
      <c r="AB127" s="275"/>
      <c r="AC127" s="40"/>
      <c r="AD127" s="40"/>
    </row>
    <row r="128" spans="1:30" s="1" customFormat="1" x14ac:dyDescent="0.25">
      <c r="A128" s="136">
        <v>43846</v>
      </c>
      <c r="B128" s="96"/>
      <c r="C128" s="285" t="s">
        <v>922</v>
      </c>
      <c r="D128" s="46">
        <v>500</v>
      </c>
      <c r="E128" s="46">
        <v>3.69</v>
      </c>
      <c r="F128" s="16">
        <f t="shared" si="18"/>
        <v>7300</v>
      </c>
      <c r="G128" s="17">
        <f t="shared" si="19"/>
        <v>5.003047945205477</v>
      </c>
      <c r="H128" s="15">
        <f t="shared" si="20"/>
        <v>36522.249999999985</v>
      </c>
      <c r="I128" s="15">
        <f t="shared" si="21"/>
        <v>-9585.2499999999854</v>
      </c>
      <c r="J128" s="33">
        <f t="shared" si="22"/>
        <v>-0.26244960263948652</v>
      </c>
      <c r="K128" s="15">
        <f t="shared" si="23"/>
        <v>26937</v>
      </c>
      <c r="L128" s="15">
        <f t="shared" si="9"/>
        <v>-889</v>
      </c>
      <c r="M128" s="15"/>
      <c r="N128" s="15"/>
      <c r="O128" s="15"/>
      <c r="P128" s="17"/>
      <c r="Q128" s="31">
        <f t="shared" si="10"/>
        <v>-1850</v>
      </c>
      <c r="R128" s="34">
        <f t="shared" si="17"/>
        <v>5</v>
      </c>
      <c r="S128" s="68"/>
      <c r="T128" s="273"/>
      <c r="U128" s="273"/>
      <c r="V128" s="22"/>
      <c r="W128" s="272"/>
      <c r="X128" s="272"/>
      <c r="Y128" s="272"/>
      <c r="Z128" s="274"/>
      <c r="AA128" s="22"/>
      <c r="AB128" s="275"/>
      <c r="AC128" s="40"/>
      <c r="AD128" s="40"/>
    </row>
    <row r="129" spans="1:30" s="1" customFormat="1" x14ac:dyDescent="0.25">
      <c r="A129" s="136">
        <v>43852</v>
      </c>
      <c r="B129" s="96"/>
      <c r="C129" s="285" t="s">
        <v>63</v>
      </c>
      <c r="D129" s="46">
        <v>500</v>
      </c>
      <c r="E129" s="46">
        <v>3.56</v>
      </c>
      <c r="F129" s="16">
        <f t="shared" si="18"/>
        <v>7800</v>
      </c>
      <c r="G129" s="17">
        <f t="shared" si="19"/>
        <v>4.911185897435896</v>
      </c>
      <c r="H129" s="15">
        <f t="shared" si="20"/>
        <v>38307.249999999985</v>
      </c>
      <c r="I129" s="15">
        <f t="shared" si="21"/>
        <v>-10539.249999999985</v>
      </c>
      <c r="J129" s="33">
        <f t="shared" si="22"/>
        <v>-0.27512416057012684</v>
      </c>
      <c r="K129" s="15">
        <f t="shared" si="23"/>
        <v>27768</v>
      </c>
      <c r="L129" s="15">
        <f t="shared" si="9"/>
        <v>-954</v>
      </c>
      <c r="M129" s="15"/>
      <c r="N129" s="15"/>
      <c r="O129" s="15"/>
      <c r="P129" s="17"/>
      <c r="Q129" s="31">
        <f t="shared" si="10"/>
        <v>-1785</v>
      </c>
      <c r="R129" s="34">
        <f t="shared" si="17"/>
        <v>5</v>
      </c>
      <c r="S129" s="68"/>
      <c r="T129" s="273"/>
      <c r="U129" s="273"/>
      <c r="V129" s="22"/>
      <c r="W129" s="272"/>
      <c r="X129" s="272"/>
      <c r="Y129" s="272"/>
      <c r="Z129" s="274"/>
      <c r="AA129" s="22"/>
      <c r="AB129" s="275"/>
      <c r="AC129" s="40"/>
      <c r="AD129" s="40"/>
    </row>
    <row r="130" spans="1:30" s="1" customFormat="1" x14ac:dyDescent="0.25">
      <c r="A130" s="136">
        <v>43864</v>
      </c>
      <c r="B130" s="96"/>
      <c r="C130" s="285" t="s">
        <v>922</v>
      </c>
      <c r="D130" s="46">
        <v>500</v>
      </c>
      <c r="E130" s="46">
        <v>3.11</v>
      </c>
      <c r="F130" s="16">
        <f t="shared" si="18"/>
        <v>8300</v>
      </c>
      <c r="G130" s="17">
        <f t="shared" si="19"/>
        <v>4.8032831325301188</v>
      </c>
      <c r="H130" s="15">
        <f t="shared" si="20"/>
        <v>39867.249999999985</v>
      </c>
      <c r="I130" s="15">
        <f t="shared" si="21"/>
        <v>-14054.249999999985</v>
      </c>
      <c r="J130" s="33">
        <f t="shared" si="22"/>
        <v>-0.35252619631401694</v>
      </c>
      <c r="K130" s="15">
        <f t="shared" si="23"/>
        <v>25813</v>
      </c>
      <c r="L130" s="15">
        <f t="shared" ref="L130:L154" si="24">I130-I129</f>
        <v>-3515</v>
      </c>
      <c r="M130" s="15"/>
      <c r="N130" s="15"/>
      <c r="O130" s="15"/>
      <c r="P130" s="17"/>
      <c r="Q130" s="31">
        <f t="shared" ref="Q130:Q154" si="25">(H130-H129)*-1</f>
        <v>-1560</v>
      </c>
      <c r="R130" s="34">
        <f t="shared" si="17"/>
        <v>5</v>
      </c>
      <c r="S130" s="68"/>
      <c r="T130" s="273"/>
      <c r="U130" s="273"/>
      <c r="V130" s="22"/>
      <c r="W130" s="272"/>
      <c r="X130" s="272"/>
      <c r="Y130" s="272"/>
      <c r="Z130" s="274"/>
      <c r="AA130" s="22"/>
      <c r="AB130" s="275"/>
      <c r="AC130" s="40"/>
      <c r="AD130" s="40"/>
    </row>
    <row r="131" spans="1:30" s="1" customFormat="1" x14ac:dyDescent="0.25">
      <c r="A131" s="136">
        <v>43878</v>
      </c>
      <c r="B131" s="96"/>
      <c r="C131" s="285" t="s">
        <v>926</v>
      </c>
      <c r="D131" s="46">
        <v>400</v>
      </c>
      <c r="E131" s="46">
        <v>3.41</v>
      </c>
      <c r="F131" s="16">
        <f t="shared" si="18"/>
        <v>7900</v>
      </c>
      <c r="G131" s="17">
        <f t="shared" si="19"/>
        <v>4.8746346835443024</v>
      </c>
      <c r="H131" s="15">
        <f t="shared" si="20"/>
        <v>38509.613999999987</v>
      </c>
      <c r="I131" s="15">
        <f t="shared" si="21"/>
        <v>-11570.613999999987</v>
      </c>
      <c r="J131" s="33">
        <f t="shared" si="22"/>
        <v>-0.30046039931742735</v>
      </c>
      <c r="K131" s="15">
        <f t="shared" si="23"/>
        <v>26939</v>
      </c>
      <c r="L131" s="15">
        <f t="shared" si="24"/>
        <v>2483.6359999999986</v>
      </c>
      <c r="M131" s="15"/>
      <c r="N131" s="15"/>
      <c r="O131" s="15"/>
      <c r="P131" s="17"/>
      <c r="Q131" s="31">
        <f t="shared" si="25"/>
        <v>1357.6359999999986</v>
      </c>
      <c r="R131" s="34">
        <f t="shared" si="17"/>
        <v>6.3639999999999999</v>
      </c>
      <c r="S131" s="68"/>
      <c r="T131" s="273"/>
      <c r="U131" s="273"/>
      <c r="V131" s="22"/>
      <c r="W131" s="272"/>
      <c r="X131" s="272"/>
      <c r="Y131" s="272"/>
      <c r="Z131" s="274"/>
      <c r="AA131" s="22"/>
      <c r="AB131" s="275"/>
      <c r="AC131" s="40"/>
      <c r="AD131" s="40"/>
    </row>
    <row r="132" spans="1:30" s="1" customFormat="1" x14ac:dyDescent="0.25">
      <c r="A132" s="136">
        <v>43881</v>
      </c>
      <c r="B132" s="96" t="s">
        <v>1048</v>
      </c>
      <c r="C132" s="285" t="s">
        <v>926</v>
      </c>
      <c r="D132" s="46">
        <v>400</v>
      </c>
      <c r="E132" s="46">
        <v>3.55</v>
      </c>
      <c r="F132" s="16">
        <f t="shared" si="18"/>
        <v>7500</v>
      </c>
      <c r="G132" s="17">
        <f t="shared" si="19"/>
        <v>4.9461378666666649</v>
      </c>
      <c r="H132" s="15">
        <f t="shared" si="20"/>
        <v>37096.033999999985</v>
      </c>
      <c r="I132" s="15">
        <f t="shared" si="21"/>
        <v>-10471.033999999985</v>
      </c>
      <c r="J132" s="33">
        <f t="shared" si="22"/>
        <v>-0.28226828776359197</v>
      </c>
      <c r="K132" s="15">
        <f t="shared" si="23"/>
        <v>26625</v>
      </c>
      <c r="L132" s="15">
        <f t="shared" si="24"/>
        <v>1099.5800000000017</v>
      </c>
      <c r="M132" s="15"/>
      <c r="N132" s="15"/>
      <c r="O132" s="15"/>
      <c r="P132" s="17"/>
      <c r="Q132" s="31">
        <f t="shared" si="25"/>
        <v>1413.5800000000017</v>
      </c>
      <c r="R132" s="34">
        <f t="shared" ref="R132:R163" si="26">commission($B$2,C132,D132,E132)</f>
        <v>6.42</v>
      </c>
      <c r="S132" s="68"/>
      <c r="T132" s="273"/>
      <c r="U132" s="273"/>
      <c r="V132" s="22"/>
      <c r="W132" s="272"/>
      <c r="X132" s="272"/>
      <c r="Y132" s="272"/>
      <c r="Z132" s="274"/>
      <c r="AA132" s="22"/>
      <c r="AB132" s="275"/>
      <c r="AC132" s="40"/>
      <c r="AD132" s="40"/>
    </row>
    <row r="133" spans="1:30" s="1" customFormat="1" x14ac:dyDescent="0.25">
      <c r="A133" s="136">
        <v>43903</v>
      </c>
      <c r="B133" s="96" t="s">
        <v>1049</v>
      </c>
      <c r="C133" s="285" t="s">
        <v>922</v>
      </c>
      <c r="D133" s="46">
        <v>400</v>
      </c>
      <c r="E133" s="46">
        <v>3.22</v>
      </c>
      <c r="F133" s="16">
        <f t="shared" si="18"/>
        <v>7900</v>
      </c>
      <c r="G133" s="17">
        <f t="shared" si="19"/>
        <v>4.8593713924050617</v>
      </c>
      <c r="H133" s="15">
        <f t="shared" si="20"/>
        <v>38389.033999999985</v>
      </c>
      <c r="I133" s="15">
        <f t="shared" si="21"/>
        <v>-12951.033999999985</v>
      </c>
      <c r="J133" s="33">
        <f t="shared" si="22"/>
        <v>-0.33736285211031852</v>
      </c>
      <c r="K133" s="15">
        <f t="shared" si="23"/>
        <v>25438</v>
      </c>
      <c r="L133" s="15">
        <f t="shared" si="24"/>
        <v>-2480</v>
      </c>
      <c r="M133" s="15"/>
      <c r="N133" s="15"/>
      <c r="O133" s="15"/>
      <c r="P133" s="17"/>
      <c r="Q133" s="31">
        <f t="shared" si="25"/>
        <v>-1293</v>
      </c>
      <c r="R133" s="34">
        <f t="shared" si="26"/>
        <v>5</v>
      </c>
      <c r="S133" s="68"/>
      <c r="T133" s="273"/>
      <c r="U133" s="273"/>
      <c r="V133" s="22"/>
      <c r="W133" s="272"/>
      <c r="X133" s="272"/>
      <c r="Y133" s="272"/>
      <c r="Z133" s="274"/>
      <c r="AA133" s="22"/>
      <c r="AB133" s="275"/>
      <c r="AC133" s="40"/>
      <c r="AD133" s="40"/>
    </row>
    <row r="134" spans="1:30" s="1" customFormat="1" x14ac:dyDescent="0.25">
      <c r="A134" s="136">
        <v>43941</v>
      </c>
      <c r="B134" s="328"/>
      <c r="C134" s="285" t="s">
        <v>922</v>
      </c>
      <c r="D134" s="46">
        <v>500</v>
      </c>
      <c r="E134" s="46">
        <v>2.87</v>
      </c>
      <c r="F134" s="16">
        <f t="shared" si="18"/>
        <v>8400</v>
      </c>
      <c r="G134" s="17">
        <f t="shared" si="19"/>
        <v>4.7415516666666653</v>
      </c>
      <c r="H134" s="15">
        <f t="shared" si="20"/>
        <v>39829.033999999985</v>
      </c>
      <c r="I134" s="15">
        <f t="shared" si="21"/>
        <v>-15721.033999999985</v>
      </c>
      <c r="J134" s="33">
        <f t="shared" si="22"/>
        <v>-0.39471291219365229</v>
      </c>
      <c r="K134" s="15">
        <f t="shared" si="23"/>
        <v>24108</v>
      </c>
      <c r="L134" s="15">
        <f t="shared" si="24"/>
        <v>-2770</v>
      </c>
      <c r="M134" s="15"/>
      <c r="N134" s="15"/>
      <c r="O134" s="15"/>
      <c r="P134" s="17"/>
      <c r="Q134" s="31">
        <f t="shared" si="25"/>
        <v>-1440</v>
      </c>
      <c r="R134" s="34">
        <f t="shared" si="26"/>
        <v>5</v>
      </c>
      <c r="S134" s="68"/>
      <c r="T134" s="273"/>
      <c r="U134" s="273"/>
      <c r="V134" s="22"/>
      <c r="W134" s="272"/>
      <c r="X134" s="272"/>
      <c r="Y134" s="272"/>
      <c r="Z134" s="274"/>
      <c r="AA134" s="22"/>
      <c r="AB134" s="275"/>
      <c r="AC134" s="40"/>
      <c r="AD134" s="40"/>
    </row>
    <row r="135" spans="1:30" s="1" customFormat="1" x14ac:dyDescent="0.25">
      <c r="A135" s="136">
        <v>43914</v>
      </c>
      <c r="B135" s="96"/>
      <c r="C135" s="285" t="s">
        <v>922</v>
      </c>
      <c r="D135" s="46">
        <v>500</v>
      </c>
      <c r="E135" s="46">
        <v>2.92</v>
      </c>
      <c r="F135" s="16">
        <f t="shared" si="18"/>
        <v>8900</v>
      </c>
      <c r="G135" s="17">
        <f t="shared" si="19"/>
        <v>4.6397791011235938</v>
      </c>
      <c r="H135" s="15">
        <f t="shared" si="20"/>
        <v>41294.033999999985</v>
      </c>
      <c r="I135" s="15">
        <f t="shared" si="21"/>
        <v>-15306.033999999985</v>
      </c>
      <c r="J135" s="33">
        <f t="shared" si="22"/>
        <v>-0.37065969384342523</v>
      </c>
      <c r="K135" s="15">
        <f t="shared" si="23"/>
        <v>25988</v>
      </c>
      <c r="L135" s="15">
        <f t="shared" si="24"/>
        <v>415</v>
      </c>
      <c r="M135" s="15"/>
      <c r="N135" s="15"/>
      <c r="O135" s="15"/>
      <c r="P135" s="17"/>
      <c r="Q135" s="31">
        <f t="shared" si="25"/>
        <v>-1465</v>
      </c>
      <c r="R135" s="34">
        <f t="shared" si="26"/>
        <v>5</v>
      </c>
      <c r="S135" s="68"/>
      <c r="T135" s="273"/>
      <c r="U135" s="273"/>
      <c r="V135" s="22"/>
      <c r="W135" s="272"/>
      <c r="X135" s="272"/>
      <c r="Y135" s="272"/>
      <c r="Z135" s="274"/>
      <c r="AA135" s="22"/>
      <c r="AB135" s="275"/>
      <c r="AC135" s="40"/>
      <c r="AD135" s="40"/>
    </row>
    <row r="136" spans="1:30" s="1" customFormat="1" x14ac:dyDescent="0.25">
      <c r="A136" s="284">
        <v>43971</v>
      </c>
      <c r="B136" s="96" t="s">
        <v>1016</v>
      </c>
      <c r="C136" s="285" t="s">
        <v>69</v>
      </c>
      <c r="D136" s="46">
        <v>400</v>
      </c>
      <c r="E136" s="46">
        <v>3.01</v>
      </c>
      <c r="F136" s="16">
        <f t="shared" si="18"/>
        <v>8500</v>
      </c>
      <c r="G136" s="17">
        <f t="shared" si="19"/>
        <v>4.717204470588233</v>
      </c>
      <c r="H136" s="15">
        <f t="shared" si="20"/>
        <v>40096.237999999983</v>
      </c>
      <c r="I136" s="15">
        <f t="shared" si="21"/>
        <v>-14511.237999999983</v>
      </c>
      <c r="J136" s="33">
        <f t="shared" si="22"/>
        <v>-0.36191021212513724</v>
      </c>
      <c r="K136" s="15">
        <f t="shared" si="23"/>
        <v>25585</v>
      </c>
      <c r="L136" s="15">
        <f t="shared" si="24"/>
        <v>794.7960000000021</v>
      </c>
      <c r="M136" s="15"/>
      <c r="N136" s="15"/>
      <c r="O136" s="15"/>
      <c r="P136" s="17"/>
      <c r="Q136" s="31">
        <f t="shared" si="25"/>
        <v>1197.7960000000021</v>
      </c>
      <c r="R136" s="34">
        <f t="shared" si="26"/>
        <v>6.2039999999999997</v>
      </c>
      <c r="S136" s="68"/>
      <c r="T136" s="273"/>
      <c r="U136" s="273"/>
      <c r="V136" s="22"/>
      <c r="W136" s="272"/>
      <c r="X136" s="272"/>
      <c r="Y136" s="272"/>
      <c r="Z136" s="274"/>
      <c r="AA136" s="22"/>
      <c r="AB136" s="275"/>
      <c r="AC136" s="40"/>
      <c r="AD136" s="40"/>
    </row>
    <row r="137" spans="1:30" s="1" customFormat="1" x14ac:dyDescent="0.25">
      <c r="A137" s="284">
        <v>43972</v>
      </c>
      <c r="B137" s="96" t="s">
        <v>1050</v>
      </c>
      <c r="C137" s="285" t="s">
        <v>69</v>
      </c>
      <c r="D137" s="46">
        <v>400</v>
      </c>
      <c r="E137" s="46">
        <v>3.19</v>
      </c>
      <c r="F137" s="16">
        <f t="shared" si="18"/>
        <v>8100</v>
      </c>
      <c r="G137" s="17">
        <f t="shared" si="19"/>
        <v>4.7933967901234542</v>
      </c>
      <c r="H137" s="15">
        <f t="shared" si="20"/>
        <v>38826.513999999981</v>
      </c>
      <c r="I137" s="15">
        <f t="shared" si="21"/>
        <v>-12987.513999999981</v>
      </c>
      <c r="J137" s="33">
        <f t="shared" si="22"/>
        <v>-0.33450116072743452</v>
      </c>
      <c r="K137" s="15">
        <f t="shared" si="23"/>
        <v>25839</v>
      </c>
      <c r="L137" s="15">
        <f t="shared" si="24"/>
        <v>1523.724000000002</v>
      </c>
      <c r="M137" s="15"/>
      <c r="N137" s="15"/>
      <c r="O137" s="15"/>
      <c r="P137" s="17"/>
      <c r="Q137" s="31">
        <f t="shared" si="25"/>
        <v>1269.724000000002</v>
      </c>
      <c r="R137" s="34">
        <f t="shared" si="26"/>
        <v>6.2759999999999998</v>
      </c>
      <c r="S137" s="68"/>
      <c r="T137" s="273"/>
      <c r="U137" s="273"/>
      <c r="V137" s="22"/>
      <c r="W137" s="272"/>
      <c r="X137" s="272"/>
      <c r="Y137" s="272"/>
      <c r="Z137" s="274"/>
      <c r="AA137" s="22"/>
      <c r="AB137" s="275"/>
      <c r="AC137" s="40"/>
      <c r="AD137" s="40"/>
    </row>
    <row r="138" spans="1:30" s="1" customFormat="1" x14ac:dyDescent="0.25">
      <c r="A138" s="284">
        <v>43976</v>
      </c>
      <c r="B138" s="96"/>
      <c r="C138" s="285" t="s">
        <v>922</v>
      </c>
      <c r="D138" s="46">
        <v>400</v>
      </c>
      <c r="E138" s="46">
        <v>2.99</v>
      </c>
      <c r="F138" s="16">
        <f t="shared" si="18"/>
        <v>8500</v>
      </c>
      <c r="G138" s="17">
        <f t="shared" si="19"/>
        <v>4.7091192941176452</v>
      </c>
      <c r="H138" s="15">
        <f t="shared" si="20"/>
        <v>40027.513999999981</v>
      </c>
      <c r="I138" s="15">
        <f t="shared" si="21"/>
        <v>-14612.513999999981</v>
      </c>
      <c r="J138" s="33">
        <f t="shared" si="22"/>
        <v>-0.36506174228057203</v>
      </c>
      <c r="K138" s="15">
        <f t="shared" si="23"/>
        <v>25415</v>
      </c>
      <c r="L138" s="15">
        <f t="shared" si="24"/>
        <v>-1625</v>
      </c>
      <c r="M138" s="15"/>
      <c r="N138" s="15"/>
      <c r="O138" s="15"/>
      <c r="P138" s="17"/>
      <c r="Q138" s="31">
        <f t="shared" si="25"/>
        <v>-1201</v>
      </c>
      <c r="R138" s="34">
        <f t="shared" si="26"/>
        <v>5</v>
      </c>
      <c r="S138" s="68"/>
      <c r="T138" s="273"/>
      <c r="U138" s="273"/>
      <c r="V138" s="22"/>
      <c r="W138" s="272"/>
      <c r="X138" s="272"/>
      <c r="Y138" s="272"/>
      <c r="Z138" s="274"/>
      <c r="AA138" s="22"/>
      <c r="AB138" s="275"/>
      <c r="AC138" s="40"/>
      <c r="AD138" s="40"/>
    </row>
    <row r="139" spans="1:30" s="1" customFormat="1" x14ac:dyDescent="0.25">
      <c r="A139" s="284">
        <v>43983</v>
      </c>
      <c r="B139" s="96" t="s">
        <v>1051</v>
      </c>
      <c r="C139" s="285" t="s">
        <v>69</v>
      </c>
      <c r="D139" s="46">
        <v>400</v>
      </c>
      <c r="E139" s="46">
        <v>3.16</v>
      </c>
      <c r="F139" s="16">
        <f t="shared" si="18"/>
        <v>8100</v>
      </c>
      <c r="G139" s="17">
        <f t="shared" si="19"/>
        <v>4.7863923456790101</v>
      </c>
      <c r="H139" s="15">
        <f t="shared" si="20"/>
        <v>38769.777999999984</v>
      </c>
      <c r="I139" s="15">
        <f t="shared" si="21"/>
        <v>-13173.777999999984</v>
      </c>
      <c r="J139" s="33">
        <f t="shared" si="22"/>
        <v>-0.3397950331312185</v>
      </c>
      <c r="K139" s="15">
        <f t="shared" si="23"/>
        <v>25596</v>
      </c>
      <c r="L139" s="15">
        <f t="shared" si="24"/>
        <v>1438.7359999999971</v>
      </c>
      <c r="M139" s="15"/>
      <c r="N139" s="15"/>
      <c r="O139" s="15"/>
      <c r="P139" s="17"/>
      <c r="Q139" s="31">
        <f t="shared" si="25"/>
        <v>1257.7359999999971</v>
      </c>
      <c r="R139" s="34">
        <f t="shared" si="26"/>
        <v>6.2640000000000002</v>
      </c>
      <c r="S139" s="68"/>
      <c r="T139" s="273"/>
      <c r="U139" s="273"/>
      <c r="V139" s="22"/>
      <c r="W139" s="272"/>
      <c r="X139" s="272"/>
      <c r="Y139" s="272"/>
      <c r="Z139" s="274"/>
      <c r="AA139" s="22"/>
      <c r="AB139" s="275"/>
      <c r="AC139" s="40"/>
      <c r="AD139" s="40"/>
    </row>
    <row r="140" spans="1:30" s="1" customFormat="1" x14ac:dyDescent="0.25">
      <c r="A140" s="284">
        <v>43991</v>
      </c>
      <c r="B140" s="96"/>
      <c r="C140" s="285" t="s">
        <v>63</v>
      </c>
      <c r="D140" s="46">
        <v>400</v>
      </c>
      <c r="E140" s="46">
        <v>3.04</v>
      </c>
      <c r="F140" s="16">
        <f t="shared" ref="F140:F154" si="27">IF(C140="买",F139+D140,IF(C140="卖",F139-D140,F139))</f>
        <v>8500</v>
      </c>
      <c r="G140" s="17">
        <f t="shared" ref="G140:G163" si="28">H140/F140</f>
        <v>4.7047974117647042</v>
      </c>
      <c r="H140" s="15">
        <f t="shared" ref="H140:H154" si="29">IF(C140="买",H139+D140*E140+R140+S140,IF(C140="卖",H139-D140*E140+R140+S140,H139))</f>
        <v>39990.777999999984</v>
      </c>
      <c r="I140" s="15">
        <f t="shared" ref="I140:I163" si="30">-H140+K140</f>
        <v>-14150.777999999984</v>
      </c>
      <c r="J140" s="33">
        <f t="shared" ref="J140:J163" si="31">(E140-G140)/G140</f>
        <v>-0.35385103035504811</v>
      </c>
      <c r="K140" s="15">
        <f t="shared" ref="K140:K154" si="32">F140*E140</f>
        <v>25840</v>
      </c>
      <c r="L140" s="15">
        <f t="shared" si="24"/>
        <v>-977</v>
      </c>
      <c r="M140" s="15"/>
      <c r="N140" s="15"/>
      <c r="O140" s="15"/>
      <c r="P140" s="17"/>
      <c r="Q140" s="31">
        <f t="shared" si="25"/>
        <v>-1221</v>
      </c>
      <c r="R140" s="34">
        <f t="shared" si="26"/>
        <v>5</v>
      </c>
      <c r="S140" s="68"/>
      <c r="T140" s="273"/>
      <c r="U140" s="273"/>
      <c r="V140" s="22"/>
      <c r="W140" s="272"/>
      <c r="X140" s="272"/>
      <c r="Y140" s="272"/>
      <c r="Z140" s="274"/>
      <c r="AA140" s="22"/>
      <c r="AB140" s="275"/>
      <c r="AC140" s="40"/>
      <c r="AD140" s="40"/>
    </row>
    <row r="141" spans="1:30" s="1" customFormat="1" x14ac:dyDescent="0.25">
      <c r="A141" s="284">
        <v>44015</v>
      </c>
      <c r="B141" s="96"/>
      <c r="C141" s="285" t="s">
        <v>69</v>
      </c>
      <c r="D141" s="46">
        <v>400</v>
      </c>
      <c r="E141" s="46">
        <v>3.21</v>
      </c>
      <c r="F141" s="16">
        <f t="shared" si="27"/>
        <v>8100</v>
      </c>
      <c r="G141" s="17">
        <f t="shared" si="28"/>
        <v>4.7793903703703684</v>
      </c>
      <c r="H141" s="15">
        <f t="shared" si="29"/>
        <v>38713.061999999984</v>
      </c>
      <c r="I141" s="15">
        <f t="shared" si="30"/>
        <v>-12712.061999999984</v>
      </c>
      <c r="J141" s="33">
        <f t="shared" si="31"/>
        <v>-0.32836622429917811</v>
      </c>
      <c r="K141" s="15">
        <f t="shared" si="32"/>
        <v>26001</v>
      </c>
      <c r="L141" s="15">
        <f t="shared" si="24"/>
        <v>1438.7160000000003</v>
      </c>
      <c r="M141" s="15"/>
      <c r="N141" s="15"/>
      <c r="O141" s="15"/>
      <c r="P141" s="17"/>
      <c r="Q141" s="31">
        <f t="shared" si="25"/>
        <v>1277.7160000000003</v>
      </c>
      <c r="R141" s="34">
        <f t="shared" si="26"/>
        <v>6.2839999999999998</v>
      </c>
      <c r="S141" s="68"/>
      <c r="T141" s="273"/>
      <c r="U141" s="273"/>
      <c r="V141" s="22"/>
      <c r="W141" s="272"/>
      <c r="X141" s="272"/>
      <c r="Y141" s="272"/>
      <c r="Z141" s="274"/>
      <c r="AA141" s="22"/>
      <c r="AB141" s="275"/>
      <c r="AC141" s="40"/>
      <c r="AD141" s="40"/>
    </row>
    <row r="142" spans="1:30" s="1" customFormat="1" x14ac:dyDescent="0.25">
      <c r="A142" s="284">
        <v>44018</v>
      </c>
      <c r="B142" s="96" t="s">
        <v>1052</v>
      </c>
      <c r="C142" s="285" t="s">
        <v>69</v>
      </c>
      <c r="D142" s="46">
        <v>400</v>
      </c>
      <c r="E142" s="46">
        <v>3.38</v>
      </c>
      <c r="F142" s="16">
        <f t="shared" si="27"/>
        <v>7700</v>
      </c>
      <c r="G142" s="17">
        <f t="shared" si="28"/>
        <v>4.8529109090909071</v>
      </c>
      <c r="H142" s="15">
        <f t="shared" si="29"/>
        <v>37367.413999999982</v>
      </c>
      <c r="I142" s="15">
        <f t="shared" si="30"/>
        <v>-11341.413999999982</v>
      </c>
      <c r="J142" s="33">
        <f t="shared" si="31"/>
        <v>-0.30351080757153787</v>
      </c>
      <c r="K142" s="15">
        <f t="shared" si="32"/>
        <v>26026</v>
      </c>
      <c r="L142" s="15">
        <f t="shared" si="24"/>
        <v>1370.648000000001</v>
      </c>
      <c r="M142" s="15"/>
      <c r="N142" s="15"/>
      <c r="O142" s="15"/>
      <c r="P142" s="17"/>
      <c r="Q142" s="31">
        <f t="shared" si="25"/>
        <v>1345.648000000001</v>
      </c>
      <c r="R142" s="34">
        <f t="shared" si="26"/>
        <v>6.3520000000000003</v>
      </c>
      <c r="S142" s="68"/>
      <c r="T142" s="273"/>
      <c r="U142" s="273"/>
      <c r="V142" s="22"/>
      <c r="W142" s="272"/>
      <c r="X142" s="272"/>
      <c r="Y142" s="272"/>
      <c r="Z142" s="274"/>
      <c r="AA142" s="22"/>
      <c r="AB142" s="275"/>
      <c r="AC142" s="40"/>
      <c r="AD142" s="40"/>
    </row>
    <row r="143" spans="1:30" s="1" customFormat="1" x14ac:dyDescent="0.25">
      <c r="A143" s="284">
        <v>44020</v>
      </c>
      <c r="B143" s="96"/>
      <c r="C143" s="285" t="s">
        <v>69</v>
      </c>
      <c r="D143" s="46">
        <v>400</v>
      </c>
      <c r="E143" s="46">
        <v>3.46</v>
      </c>
      <c r="F143" s="16">
        <f t="shared" si="27"/>
        <v>7300</v>
      </c>
      <c r="G143" s="17">
        <f t="shared" si="28"/>
        <v>4.9301093150684903</v>
      </c>
      <c r="H143" s="15">
        <f t="shared" si="29"/>
        <v>35989.797999999981</v>
      </c>
      <c r="I143" s="15">
        <f t="shared" si="30"/>
        <v>-10731.797999999981</v>
      </c>
      <c r="J143" s="33">
        <f t="shared" si="31"/>
        <v>-0.29819000373383547</v>
      </c>
      <c r="K143" s="15">
        <f t="shared" si="32"/>
        <v>25258</v>
      </c>
      <c r="L143" s="15">
        <f t="shared" si="24"/>
        <v>609.6160000000018</v>
      </c>
      <c r="M143" s="15"/>
      <c r="N143" s="15"/>
      <c r="O143" s="15"/>
      <c r="P143" s="17"/>
      <c r="Q143" s="31">
        <f t="shared" si="25"/>
        <v>1377.6160000000018</v>
      </c>
      <c r="R143" s="34">
        <f t="shared" si="26"/>
        <v>6.3840000000000003</v>
      </c>
      <c r="S143" s="68"/>
      <c r="T143" s="273"/>
      <c r="U143" s="273"/>
      <c r="V143" s="22"/>
      <c r="W143" s="272"/>
      <c r="X143" s="272"/>
      <c r="Y143" s="272"/>
      <c r="Z143" s="274"/>
      <c r="AA143" s="22"/>
      <c r="AB143" s="275"/>
      <c r="AC143" s="40"/>
      <c r="AD143" s="40"/>
    </row>
    <row r="144" spans="1:30" s="1" customFormat="1" x14ac:dyDescent="0.25">
      <c r="A144" s="284">
        <v>44022</v>
      </c>
      <c r="B144" s="96" t="s">
        <v>1053</v>
      </c>
      <c r="C144" s="285" t="s">
        <v>69</v>
      </c>
      <c r="D144" s="46">
        <v>1000</v>
      </c>
      <c r="E144" s="46">
        <v>3.47</v>
      </c>
      <c r="F144" s="16">
        <f t="shared" si="27"/>
        <v>6300</v>
      </c>
      <c r="G144" s="17">
        <f t="shared" si="28"/>
        <v>5.1632171428571398</v>
      </c>
      <c r="H144" s="15">
        <f t="shared" si="29"/>
        <v>32528.267999999982</v>
      </c>
      <c r="I144" s="15">
        <f t="shared" si="30"/>
        <v>-10667.267999999982</v>
      </c>
      <c r="J144" s="33">
        <f t="shared" si="31"/>
        <v>-0.32793839499846678</v>
      </c>
      <c r="K144" s="15">
        <f t="shared" si="32"/>
        <v>21861</v>
      </c>
      <c r="L144" s="15">
        <f t="shared" si="24"/>
        <v>64.529999999998836</v>
      </c>
      <c r="M144" s="15"/>
      <c r="N144" s="15"/>
      <c r="O144" s="15"/>
      <c r="P144" s="17"/>
      <c r="Q144" s="31">
        <f t="shared" si="25"/>
        <v>3461.5299999999988</v>
      </c>
      <c r="R144" s="34">
        <f t="shared" si="26"/>
        <v>8.4700000000000006</v>
      </c>
      <c r="S144" s="68"/>
      <c r="T144" s="273"/>
      <c r="U144" s="273"/>
      <c r="V144" s="22"/>
      <c r="W144" s="272"/>
      <c r="X144" s="272"/>
      <c r="Y144" s="272"/>
      <c r="Z144" s="274"/>
      <c r="AA144" s="22"/>
      <c r="AB144" s="275"/>
      <c r="AC144" s="40"/>
      <c r="AD144" s="40"/>
    </row>
    <row r="145" spans="1:33" s="1" customFormat="1" x14ac:dyDescent="0.25">
      <c r="A145" s="284">
        <v>44025</v>
      </c>
      <c r="B145" s="96" t="s">
        <v>1025</v>
      </c>
      <c r="C145" s="285" t="s">
        <v>69</v>
      </c>
      <c r="D145" s="46">
        <v>400</v>
      </c>
      <c r="E145" s="46">
        <v>3.54</v>
      </c>
      <c r="F145" s="16">
        <f t="shared" si="27"/>
        <v>5900</v>
      </c>
      <c r="G145" s="17">
        <f t="shared" si="28"/>
        <v>5.2743532203389805</v>
      </c>
      <c r="H145" s="15">
        <f t="shared" si="29"/>
        <v>31118.683999999983</v>
      </c>
      <c r="I145" s="15">
        <f t="shared" si="30"/>
        <v>-10232.683999999983</v>
      </c>
      <c r="J145" s="33">
        <f t="shared" si="31"/>
        <v>-0.32882765865034619</v>
      </c>
      <c r="K145" s="15">
        <f t="shared" si="32"/>
        <v>20886</v>
      </c>
      <c r="L145" s="15">
        <f t="shared" si="24"/>
        <v>434.58399999999892</v>
      </c>
      <c r="M145" s="15"/>
      <c r="N145" s="15"/>
      <c r="O145" s="15"/>
      <c r="P145" s="17"/>
      <c r="Q145" s="31">
        <f t="shared" si="25"/>
        <v>1409.5839999999989</v>
      </c>
      <c r="R145" s="34">
        <f t="shared" si="26"/>
        <v>6.4160000000000004</v>
      </c>
      <c r="S145" s="68"/>
      <c r="T145" s="273"/>
      <c r="U145" s="273"/>
      <c r="V145" s="22"/>
      <c r="W145" s="272"/>
      <c r="X145" s="272"/>
      <c r="Y145" s="272"/>
      <c r="Z145" s="274"/>
      <c r="AA145" s="22"/>
      <c r="AB145" s="275"/>
      <c r="AC145" s="40"/>
      <c r="AD145" s="40"/>
    </row>
    <row r="146" spans="1:33" s="1" customFormat="1" x14ac:dyDescent="0.25">
      <c r="A146" s="284">
        <v>44028</v>
      </c>
      <c r="B146" s="96" t="s">
        <v>1054</v>
      </c>
      <c r="C146" s="285" t="s">
        <v>922</v>
      </c>
      <c r="D146" s="46">
        <v>400</v>
      </c>
      <c r="E146" s="46">
        <v>3.18</v>
      </c>
      <c r="F146" s="16">
        <f t="shared" si="27"/>
        <v>6300</v>
      </c>
      <c r="G146" s="17">
        <f t="shared" si="28"/>
        <v>5.1421720634920609</v>
      </c>
      <c r="H146" s="15">
        <f t="shared" si="29"/>
        <v>32395.683999999983</v>
      </c>
      <c r="I146" s="15">
        <f t="shared" si="30"/>
        <v>-12361.683999999983</v>
      </c>
      <c r="J146" s="33">
        <f t="shared" si="31"/>
        <v>-0.38158428758596324</v>
      </c>
      <c r="K146" s="15">
        <f t="shared" si="32"/>
        <v>20034</v>
      </c>
      <c r="L146" s="15">
        <f t="shared" si="24"/>
        <v>-2129</v>
      </c>
      <c r="M146" s="15"/>
      <c r="N146" s="15"/>
      <c r="O146" s="15"/>
      <c r="P146" s="17"/>
      <c r="Q146" s="31">
        <f t="shared" si="25"/>
        <v>-1277</v>
      </c>
      <c r="R146" s="34">
        <f t="shared" si="26"/>
        <v>5</v>
      </c>
      <c r="S146" s="68"/>
      <c r="T146" s="273"/>
      <c r="U146" s="273"/>
      <c r="V146" s="22"/>
      <c r="W146" s="272"/>
      <c r="X146" s="272"/>
      <c r="Y146" s="272"/>
      <c r="Z146" s="274"/>
      <c r="AA146" s="22"/>
      <c r="AB146" s="275"/>
      <c r="AC146" s="40"/>
      <c r="AD146" s="40"/>
    </row>
    <row r="147" spans="1:33" s="1" customFormat="1" x14ac:dyDescent="0.25">
      <c r="A147" s="284">
        <v>44029</v>
      </c>
      <c r="B147" s="96" t="s">
        <v>1055</v>
      </c>
      <c r="C147" s="285" t="s">
        <v>63</v>
      </c>
      <c r="D147" s="46">
        <v>400</v>
      </c>
      <c r="E147" s="46">
        <v>3.06</v>
      </c>
      <c r="F147" s="16">
        <f t="shared" si="27"/>
        <v>6700</v>
      </c>
      <c r="G147" s="17">
        <f t="shared" si="28"/>
        <v>5.0186095522388028</v>
      </c>
      <c r="H147" s="15">
        <f t="shared" si="29"/>
        <v>33624.683999999979</v>
      </c>
      <c r="I147" s="15">
        <f t="shared" si="30"/>
        <v>-13122.683999999979</v>
      </c>
      <c r="J147" s="33">
        <f t="shared" si="31"/>
        <v>-0.39026936282880714</v>
      </c>
      <c r="K147" s="15">
        <f t="shared" si="32"/>
        <v>20502</v>
      </c>
      <c r="L147" s="15">
        <f t="shared" si="24"/>
        <v>-760.99999999999636</v>
      </c>
      <c r="M147" s="15"/>
      <c r="N147" s="15"/>
      <c r="O147" s="15"/>
      <c r="P147" s="17"/>
      <c r="Q147" s="31">
        <f t="shared" si="25"/>
        <v>-1228.9999999999964</v>
      </c>
      <c r="R147" s="34">
        <f t="shared" si="26"/>
        <v>5</v>
      </c>
      <c r="S147" s="68"/>
      <c r="T147" s="273"/>
      <c r="U147" s="273"/>
      <c r="V147" s="22"/>
      <c r="W147" s="272"/>
      <c r="X147" s="272"/>
      <c r="Y147" s="272"/>
      <c r="Z147" s="274"/>
      <c r="AA147" s="22"/>
      <c r="AB147" s="275"/>
      <c r="AC147" s="40"/>
      <c r="AD147" s="40"/>
    </row>
    <row r="148" spans="1:33" s="1" customFormat="1" x14ac:dyDescent="0.25">
      <c r="A148" s="284">
        <v>44029</v>
      </c>
      <c r="B148" s="96"/>
      <c r="C148" s="285" t="s">
        <v>63</v>
      </c>
      <c r="D148" s="46">
        <v>400</v>
      </c>
      <c r="E148" s="46">
        <v>2.92</v>
      </c>
      <c r="F148" s="16">
        <f t="shared" si="27"/>
        <v>7100</v>
      </c>
      <c r="G148" s="17">
        <f t="shared" si="28"/>
        <v>4.9010822535211238</v>
      </c>
      <c r="H148" s="15">
        <f t="shared" si="29"/>
        <v>34797.683999999979</v>
      </c>
      <c r="I148" s="15">
        <f t="shared" si="30"/>
        <v>-14065.683999999979</v>
      </c>
      <c r="J148" s="33">
        <f t="shared" si="31"/>
        <v>-0.40421322292598522</v>
      </c>
      <c r="K148" s="15">
        <f t="shared" si="32"/>
        <v>20732</v>
      </c>
      <c r="L148" s="15">
        <f t="shared" si="24"/>
        <v>-943</v>
      </c>
      <c r="M148" s="15"/>
      <c r="N148" s="15"/>
      <c r="O148" s="15"/>
      <c r="P148" s="17"/>
      <c r="Q148" s="31">
        <f t="shared" si="25"/>
        <v>-1173</v>
      </c>
      <c r="R148" s="34">
        <f t="shared" si="26"/>
        <v>5</v>
      </c>
      <c r="S148" s="68"/>
      <c r="T148" s="273"/>
      <c r="U148" s="273"/>
      <c r="V148" s="22"/>
      <c r="W148" s="272"/>
      <c r="X148" s="272"/>
      <c r="Y148" s="272"/>
      <c r="Z148" s="274"/>
      <c r="AA148" s="22"/>
      <c r="AB148" s="275"/>
      <c r="AC148" s="40"/>
      <c r="AD148" s="40"/>
    </row>
    <row r="149" spans="1:33" s="1" customFormat="1" x14ac:dyDescent="0.25">
      <c r="A149" s="284">
        <v>44036</v>
      </c>
      <c r="B149" s="96" t="s">
        <v>1056</v>
      </c>
      <c r="C149" s="285" t="s">
        <v>69</v>
      </c>
      <c r="D149" s="46">
        <v>400</v>
      </c>
      <c r="E149" s="46">
        <v>3.15</v>
      </c>
      <c r="F149" s="16">
        <f t="shared" si="27"/>
        <v>6700</v>
      </c>
      <c r="G149" s="17">
        <f t="shared" si="28"/>
        <v>5.0065588059701467</v>
      </c>
      <c r="H149" s="15">
        <f t="shared" si="29"/>
        <v>33543.943999999981</v>
      </c>
      <c r="I149" s="15">
        <f t="shared" si="30"/>
        <v>-12438.943999999981</v>
      </c>
      <c r="J149" s="33">
        <f t="shared" si="31"/>
        <v>-0.37082532692041192</v>
      </c>
      <c r="K149" s="15">
        <f t="shared" si="32"/>
        <v>21105</v>
      </c>
      <c r="L149" s="15">
        <f t="shared" si="24"/>
        <v>1626.739999999998</v>
      </c>
      <c r="M149" s="15"/>
      <c r="N149" s="15"/>
      <c r="O149" s="15"/>
      <c r="P149" s="17"/>
      <c r="Q149" s="31">
        <f t="shared" si="25"/>
        <v>1253.739999999998</v>
      </c>
      <c r="R149" s="34">
        <f t="shared" si="26"/>
        <v>6.26</v>
      </c>
      <c r="S149" s="68"/>
      <c r="T149" s="273"/>
      <c r="U149" s="273"/>
      <c r="V149" s="22"/>
      <c r="W149" s="272"/>
      <c r="X149" s="272"/>
      <c r="Y149" s="272"/>
      <c r="Z149" s="274"/>
      <c r="AA149" s="22"/>
      <c r="AB149" s="275"/>
      <c r="AC149" s="40"/>
      <c r="AD149" s="40"/>
    </row>
    <row r="150" spans="1:33" s="1" customFormat="1" x14ac:dyDescent="0.25">
      <c r="A150" s="284">
        <v>44075</v>
      </c>
      <c r="B150" s="328" t="s">
        <v>1150</v>
      </c>
      <c r="C150" s="285" t="s">
        <v>63</v>
      </c>
      <c r="D150" s="46">
        <v>1000</v>
      </c>
      <c r="E150" s="46">
        <v>2.85</v>
      </c>
      <c r="F150" s="16">
        <f t="shared" si="27"/>
        <v>7700</v>
      </c>
      <c r="G150" s="17">
        <f t="shared" si="28"/>
        <v>4.7271355844155822</v>
      </c>
      <c r="H150" s="15">
        <f t="shared" si="29"/>
        <v>36398.943999999981</v>
      </c>
      <c r="I150" s="15">
        <f t="shared" si="30"/>
        <v>-14453.943999999981</v>
      </c>
      <c r="J150" s="33">
        <f t="shared" si="31"/>
        <v>-0.39709789382900751</v>
      </c>
      <c r="K150" s="15">
        <f t="shared" si="32"/>
        <v>21945</v>
      </c>
      <c r="L150" s="15">
        <f t="shared" si="24"/>
        <v>-2015</v>
      </c>
      <c r="M150" s="15"/>
      <c r="N150" s="15"/>
      <c r="O150" s="15"/>
      <c r="P150" s="17"/>
      <c r="Q150" s="31">
        <f t="shared" si="25"/>
        <v>-2855</v>
      </c>
      <c r="R150" s="34">
        <f t="shared" si="26"/>
        <v>5</v>
      </c>
      <c r="S150" s="68"/>
      <c r="T150" s="273"/>
      <c r="U150" s="273"/>
      <c r="V150" s="22"/>
      <c r="W150" s="272"/>
      <c r="X150" s="272"/>
      <c r="Y150" s="272"/>
      <c r="Z150" s="274"/>
      <c r="AA150" s="22"/>
      <c r="AB150" s="275"/>
      <c r="AC150" s="40"/>
      <c r="AD150" s="40"/>
    </row>
    <row r="151" spans="1:33" s="1" customFormat="1" x14ac:dyDescent="0.25">
      <c r="A151" s="284">
        <v>44083</v>
      </c>
      <c r="B151" s="96" t="s">
        <v>1057</v>
      </c>
      <c r="C151" s="285" t="s">
        <v>69</v>
      </c>
      <c r="D151" s="46">
        <v>400</v>
      </c>
      <c r="E151" s="46">
        <v>2.96</v>
      </c>
      <c r="F151" s="16">
        <f t="shared" si="27"/>
        <v>7300</v>
      </c>
      <c r="G151" s="17">
        <f t="shared" si="28"/>
        <v>4.8248120547945179</v>
      </c>
      <c r="H151" s="15">
        <f t="shared" si="29"/>
        <v>35221.127999999982</v>
      </c>
      <c r="I151" s="15">
        <f t="shared" si="30"/>
        <v>-13613.127999999982</v>
      </c>
      <c r="J151" s="33">
        <f t="shared" si="31"/>
        <v>-0.38650460030695177</v>
      </c>
      <c r="K151" s="15">
        <f t="shared" si="32"/>
        <v>21608</v>
      </c>
      <c r="L151" s="15">
        <f t="shared" si="24"/>
        <v>840.81599999999889</v>
      </c>
      <c r="M151" s="15"/>
      <c r="N151" s="15"/>
      <c r="O151" s="15"/>
      <c r="P151" s="17"/>
      <c r="Q151" s="31">
        <f t="shared" si="25"/>
        <v>1177.8159999999989</v>
      </c>
      <c r="R151" s="34">
        <f t="shared" si="26"/>
        <v>6.1840000000000002</v>
      </c>
      <c r="S151" s="68"/>
      <c r="T151" s="273"/>
      <c r="U151" s="273"/>
      <c r="V151" s="22"/>
      <c r="W151" s="272"/>
      <c r="X151" s="272"/>
      <c r="Y151" s="272"/>
      <c r="Z151" s="274"/>
      <c r="AA151" s="22"/>
      <c r="AB151" s="275"/>
      <c r="AC151" s="40"/>
      <c r="AD151" s="40"/>
    </row>
    <row r="152" spans="1:33" s="1" customFormat="1" x14ac:dyDescent="0.25">
      <c r="A152" s="284">
        <v>44153</v>
      </c>
      <c r="B152" s="328"/>
      <c r="C152" s="285" t="s">
        <v>69</v>
      </c>
      <c r="D152" s="46">
        <v>400</v>
      </c>
      <c r="E152" s="46">
        <v>2.77</v>
      </c>
      <c r="F152" s="16">
        <f t="shared" si="27"/>
        <v>6900</v>
      </c>
      <c r="G152" s="17">
        <f t="shared" si="28"/>
        <v>4.9448168115942002</v>
      </c>
      <c r="H152" s="15">
        <f t="shared" si="29"/>
        <v>34119.235999999983</v>
      </c>
      <c r="I152" s="15">
        <f t="shared" si="30"/>
        <v>-15006.235999999983</v>
      </c>
      <c r="J152" s="33">
        <f t="shared" si="31"/>
        <v>-0.43981746836300756</v>
      </c>
      <c r="K152" s="15">
        <f t="shared" si="32"/>
        <v>19113</v>
      </c>
      <c r="L152" s="15">
        <f t="shared" si="24"/>
        <v>-1393.1080000000002</v>
      </c>
      <c r="M152" s="15"/>
      <c r="N152" s="15"/>
      <c r="O152" s="15"/>
      <c r="P152" s="17"/>
      <c r="Q152" s="31">
        <f t="shared" si="25"/>
        <v>1101.8919999999998</v>
      </c>
      <c r="R152" s="34">
        <f t="shared" si="26"/>
        <v>6.1080000000000005</v>
      </c>
      <c r="S152" s="68"/>
      <c r="T152" s="273"/>
      <c r="U152" s="273"/>
      <c r="V152" s="22"/>
      <c r="W152" s="272"/>
      <c r="X152" s="272"/>
      <c r="Y152" s="272"/>
      <c r="Z152" s="274"/>
      <c r="AA152" s="22"/>
      <c r="AB152" s="275"/>
      <c r="AC152" s="40"/>
      <c r="AD152" s="40"/>
    </row>
    <row r="153" spans="1:33" s="1" customFormat="1" x14ac:dyDescent="0.25">
      <c r="A153" s="341">
        <v>44155</v>
      </c>
      <c r="B153" s="96" t="s">
        <v>1149</v>
      </c>
      <c r="C153" s="285" t="s">
        <v>69</v>
      </c>
      <c r="D153" s="46">
        <v>400</v>
      </c>
      <c r="E153" s="46">
        <v>2.84</v>
      </c>
      <c r="F153" s="16">
        <f t="shared" si="27"/>
        <v>6500</v>
      </c>
      <c r="G153" s="17">
        <f t="shared" si="28"/>
        <v>5.0752879999999969</v>
      </c>
      <c r="H153" s="15">
        <f t="shared" si="29"/>
        <v>32989.371999999981</v>
      </c>
      <c r="I153" s="15">
        <f t="shared" si="30"/>
        <v>-14529.371999999981</v>
      </c>
      <c r="J153" s="33">
        <f t="shared" si="31"/>
        <v>-0.44042584381418326</v>
      </c>
      <c r="K153" s="15">
        <f t="shared" si="32"/>
        <v>18460</v>
      </c>
      <c r="L153" s="15">
        <f t="shared" si="24"/>
        <v>476.8640000000014</v>
      </c>
      <c r="M153" s="15"/>
      <c r="N153" s="15"/>
      <c r="O153" s="15"/>
      <c r="P153" s="17"/>
      <c r="Q153" s="31">
        <f t="shared" si="25"/>
        <v>1129.8640000000014</v>
      </c>
      <c r="R153" s="34">
        <f t="shared" si="26"/>
        <v>6.1360000000000001</v>
      </c>
      <c r="S153" s="68"/>
      <c r="T153" s="273"/>
      <c r="U153" s="273"/>
      <c r="V153" s="22"/>
      <c r="W153" s="272"/>
      <c r="X153" s="272"/>
      <c r="Y153" s="272"/>
      <c r="Z153" s="274"/>
      <c r="AA153" s="22"/>
      <c r="AB153" s="275"/>
      <c r="AC153" s="40"/>
      <c r="AD153" s="40"/>
    </row>
    <row r="154" spans="1:33" s="1" customFormat="1" x14ac:dyDescent="0.25">
      <c r="A154" s="368">
        <v>44166</v>
      </c>
      <c r="B154" s="271"/>
      <c r="C154" s="315" t="s">
        <v>623</v>
      </c>
      <c r="D154" s="16">
        <v>400</v>
      </c>
      <c r="E154" s="15">
        <v>2.74</v>
      </c>
      <c r="F154" s="16">
        <f t="shared" si="27"/>
        <v>6900</v>
      </c>
      <c r="G154" s="17">
        <f t="shared" si="28"/>
        <v>4.9406336231884032</v>
      </c>
      <c r="H154" s="15">
        <f t="shared" si="29"/>
        <v>34090.371999999981</v>
      </c>
      <c r="I154" s="15">
        <f t="shared" si="30"/>
        <v>-15184.371999999981</v>
      </c>
      <c r="J154" s="33">
        <f t="shared" si="31"/>
        <v>-0.44541526270232512</v>
      </c>
      <c r="K154" s="15">
        <f t="shared" si="32"/>
        <v>18906</v>
      </c>
      <c r="L154" s="15">
        <f t="shared" si="24"/>
        <v>-655</v>
      </c>
      <c r="M154" s="15"/>
      <c r="N154" s="15"/>
      <c r="O154" s="15"/>
      <c r="P154" s="17"/>
      <c r="Q154" s="31">
        <f t="shared" si="25"/>
        <v>-1101</v>
      </c>
      <c r="R154" s="34">
        <f t="shared" si="26"/>
        <v>5</v>
      </c>
      <c r="S154" s="68"/>
      <c r="T154" s="273"/>
      <c r="U154" s="273"/>
      <c r="V154" s="22"/>
      <c r="W154" s="272"/>
      <c r="X154" s="272"/>
      <c r="Y154" s="272"/>
      <c r="Z154" s="274"/>
      <c r="AA154" s="22"/>
      <c r="AB154" s="275"/>
      <c r="AC154" s="40"/>
      <c r="AD154" s="40"/>
    </row>
    <row r="155" spans="1:33" s="70" customFormat="1" x14ac:dyDescent="0.25">
      <c r="A155" s="270">
        <v>44249</v>
      </c>
      <c r="B155" s="400"/>
      <c r="C155" s="306" t="s">
        <v>1199</v>
      </c>
      <c r="D155" s="16">
        <v>400</v>
      </c>
      <c r="E155" s="15">
        <v>2.2999999999999998</v>
      </c>
      <c r="F155" s="16">
        <f t="shared" ref="F155" si="33">IF(C155="买",F154+D155,IF(C155="卖",F154-D155,F154))</f>
        <v>6500</v>
      </c>
      <c r="G155" s="17">
        <f t="shared" ref="G155" si="34">H155/F155</f>
        <v>5.1040449230769198</v>
      </c>
      <c r="H155" s="15">
        <f t="shared" ref="H155" si="35">IF(C155="买",H154+D155*E155+R155+S155,IF(C155="卖",H154-D155*E155+R155+S155,H154))</f>
        <v>33176.291999999979</v>
      </c>
      <c r="I155" s="390">
        <f t="shared" ref="I155:I162" si="36">-H155+K155</f>
        <v>-18226.291999999979</v>
      </c>
      <c r="J155" s="391">
        <f t="shared" ref="J155:J162" si="37">(E155-G155)/G155</f>
        <v>-0.54937700693012925</v>
      </c>
      <c r="K155" s="390">
        <f t="shared" ref="K155:K162" si="38">F155*E155</f>
        <v>14949.999999999998</v>
      </c>
      <c r="L155" s="390">
        <f t="shared" ref="L155:L162" si="39">I155-I154</f>
        <v>-3041.9199999999983</v>
      </c>
      <c r="M155" s="390" t="str">
        <f t="shared" ref="M155" si="40">Uncovered(0)</f>
        <v>3.672@3900</v>
      </c>
      <c r="N155" s="390"/>
      <c r="O155" s="390" t="str">
        <f t="shared" ref="O155" si="41">Covered(0)</f>
        <v>5.946@35400</v>
      </c>
      <c r="P155" s="32"/>
      <c r="Q155" s="31">
        <f t="shared" ref="Q155:Q162" si="42">(H155-H154)*-1</f>
        <v>914.08000000000175</v>
      </c>
      <c r="R155" s="393">
        <f t="shared" ref="R155:R162" si="43">commission($B$2,C155,D155,E155)</f>
        <v>5.92</v>
      </c>
      <c r="S155" s="393"/>
      <c r="T155" s="393"/>
      <c r="U155" s="393"/>
      <c r="V155" s="31"/>
      <c r="W155" s="32"/>
      <c r="X155" s="32"/>
      <c r="Y155" s="32"/>
      <c r="Z155" s="394" t="e">
        <f t="shared" ref="Z155:Z162" si="44">F155/U155</f>
        <v>#DIV/0!</v>
      </c>
      <c r="AA155" s="31"/>
      <c r="AB155" s="322"/>
      <c r="AC155" s="40">
        <f t="shared" ref="AC155:AC162" si="45">I155/E155*(1-0.0005)</f>
        <v>-7920.5125452173843</v>
      </c>
      <c r="AD155" s="40">
        <f t="shared" ref="AD155:AD162" si="46">AC155-F155</f>
        <v>-14420.512545217385</v>
      </c>
      <c r="AE155" s="165"/>
      <c r="AF155" s="165"/>
      <c r="AG155" s="165"/>
    </row>
    <row r="156" spans="1:33" x14ac:dyDescent="0.25">
      <c r="A156" s="270"/>
      <c r="B156" s="400"/>
      <c r="C156" s="306"/>
      <c r="D156" s="16"/>
      <c r="E156" s="15">
        <v>2.74</v>
      </c>
      <c r="F156" s="102"/>
      <c r="G156" s="32"/>
      <c r="H156" s="390"/>
      <c r="I156" s="390">
        <f t="shared" si="36"/>
        <v>0</v>
      </c>
      <c r="J156" s="391" t="e">
        <f t="shared" si="37"/>
        <v>#DIV/0!</v>
      </c>
      <c r="K156" s="390">
        <f t="shared" si="38"/>
        <v>0</v>
      </c>
      <c r="L156" s="390">
        <f t="shared" si="39"/>
        <v>18226.291999999979</v>
      </c>
      <c r="M156" s="390"/>
      <c r="N156" s="390"/>
      <c r="O156" s="39"/>
      <c r="P156" s="32"/>
      <c r="Q156" s="31">
        <f t="shared" si="42"/>
        <v>33176.291999999979</v>
      </c>
      <c r="R156" s="393">
        <f t="shared" si="43"/>
        <v>0</v>
      </c>
      <c r="S156" s="393"/>
      <c r="T156" s="393"/>
      <c r="U156" s="393"/>
      <c r="V156" s="31"/>
      <c r="W156" s="32"/>
      <c r="X156" s="32"/>
      <c r="Y156" s="32"/>
      <c r="Z156" s="394" t="e">
        <f t="shared" si="44"/>
        <v>#DIV/0!</v>
      </c>
      <c r="AA156" s="31"/>
      <c r="AB156" s="322"/>
      <c r="AC156" s="40">
        <f t="shared" si="45"/>
        <v>0</v>
      </c>
      <c r="AD156" s="40">
        <f t="shared" si="46"/>
        <v>0</v>
      </c>
    </row>
    <row r="157" spans="1:33" x14ac:dyDescent="0.25">
      <c r="A157" s="270"/>
      <c r="B157" s="400"/>
      <c r="C157" s="306"/>
      <c r="D157" s="16"/>
      <c r="E157" s="15">
        <v>2.74</v>
      </c>
      <c r="F157" s="102"/>
      <c r="G157" s="32"/>
      <c r="H157" s="390"/>
      <c r="I157" s="390">
        <f t="shared" si="36"/>
        <v>0</v>
      </c>
      <c r="J157" s="391" t="e">
        <f t="shared" si="37"/>
        <v>#DIV/0!</v>
      </c>
      <c r="K157" s="390">
        <f t="shared" si="38"/>
        <v>0</v>
      </c>
      <c r="L157" s="390">
        <f t="shared" si="39"/>
        <v>0</v>
      </c>
      <c r="M157" s="390"/>
      <c r="N157" s="390"/>
      <c r="O157" s="39"/>
      <c r="P157" s="32"/>
      <c r="Q157" s="31">
        <f t="shared" si="42"/>
        <v>0</v>
      </c>
      <c r="R157" s="393">
        <f t="shared" si="43"/>
        <v>0</v>
      </c>
      <c r="S157" s="393"/>
      <c r="T157" s="393"/>
      <c r="U157" s="393"/>
      <c r="V157" s="31"/>
      <c r="W157" s="32"/>
      <c r="X157" s="32"/>
      <c r="Y157" s="32"/>
      <c r="Z157" s="394" t="e">
        <f t="shared" si="44"/>
        <v>#DIV/0!</v>
      </c>
      <c r="AA157" s="31"/>
      <c r="AB157" s="322"/>
      <c r="AC157" s="40">
        <f t="shared" si="45"/>
        <v>0</v>
      </c>
      <c r="AD157" s="40">
        <f t="shared" si="46"/>
        <v>0</v>
      </c>
    </row>
    <row r="158" spans="1:33" x14ac:dyDescent="0.25">
      <c r="A158" s="270"/>
      <c r="B158" s="400"/>
      <c r="C158" s="306"/>
      <c r="D158" s="16"/>
      <c r="E158" s="15">
        <v>2.74</v>
      </c>
      <c r="F158" s="102"/>
      <c r="G158" s="32"/>
      <c r="H158" s="390"/>
      <c r="I158" s="390">
        <f t="shared" si="36"/>
        <v>0</v>
      </c>
      <c r="J158" s="391" t="e">
        <f t="shared" si="37"/>
        <v>#DIV/0!</v>
      </c>
      <c r="K158" s="390">
        <f t="shared" si="38"/>
        <v>0</v>
      </c>
      <c r="L158" s="390">
        <f t="shared" si="39"/>
        <v>0</v>
      </c>
      <c r="M158" s="390"/>
      <c r="N158" s="390"/>
      <c r="O158" s="39"/>
      <c r="P158" s="32"/>
      <c r="Q158" s="31">
        <f t="shared" si="42"/>
        <v>0</v>
      </c>
      <c r="R158" s="393">
        <f t="shared" si="43"/>
        <v>0</v>
      </c>
      <c r="S158" s="393"/>
      <c r="T158" s="393"/>
      <c r="U158" s="393"/>
      <c r="V158" s="31"/>
      <c r="W158" s="32"/>
      <c r="X158" s="32"/>
      <c r="Y158" s="32"/>
      <c r="Z158" s="394" t="e">
        <f t="shared" si="44"/>
        <v>#DIV/0!</v>
      </c>
      <c r="AA158" s="31"/>
      <c r="AB158" s="322"/>
      <c r="AC158" s="40">
        <f t="shared" si="45"/>
        <v>0</v>
      </c>
      <c r="AD158" s="40">
        <f t="shared" si="46"/>
        <v>0</v>
      </c>
    </row>
    <row r="159" spans="1:33" x14ac:dyDescent="0.25">
      <c r="A159" s="270"/>
      <c r="B159" s="400"/>
      <c r="C159" s="306"/>
      <c r="D159" s="16"/>
      <c r="E159" s="15">
        <v>2.74</v>
      </c>
      <c r="F159" s="102"/>
      <c r="G159" s="32"/>
      <c r="H159" s="390"/>
      <c r="I159" s="390">
        <f t="shared" si="36"/>
        <v>0</v>
      </c>
      <c r="J159" s="391" t="e">
        <f t="shared" si="37"/>
        <v>#DIV/0!</v>
      </c>
      <c r="K159" s="390">
        <f t="shared" si="38"/>
        <v>0</v>
      </c>
      <c r="L159" s="390">
        <f t="shared" si="39"/>
        <v>0</v>
      </c>
      <c r="M159" s="390"/>
      <c r="N159" s="390"/>
      <c r="O159" s="39"/>
      <c r="P159" s="32"/>
      <c r="Q159" s="31">
        <f t="shared" si="42"/>
        <v>0</v>
      </c>
      <c r="R159" s="393">
        <f t="shared" si="43"/>
        <v>0</v>
      </c>
      <c r="S159" s="393"/>
      <c r="T159" s="393"/>
      <c r="U159" s="393"/>
      <c r="V159" s="31"/>
      <c r="W159" s="32"/>
      <c r="X159" s="32"/>
      <c r="Y159" s="32"/>
      <c r="Z159" s="394" t="e">
        <f t="shared" si="44"/>
        <v>#DIV/0!</v>
      </c>
      <c r="AA159" s="31"/>
      <c r="AB159" s="322"/>
      <c r="AC159" s="40">
        <f t="shared" si="45"/>
        <v>0</v>
      </c>
      <c r="AD159" s="40">
        <f t="shared" si="46"/>
        <v>0</v>
      </c>
    </row>
    <row r="160" spans="1:33" x14ac:dyDescent="0.25">
      <c r="A160" s="270"/>
      <c r="B160" s="400"/>
      <c r="C160" s="306"/>
      <c r="D160" s="16"/>
      <c r="E160" s="15">
        <v>2.74</v>
      </c>
      <c r="F160" s="102"/>
      <c r="G160" s="32"/>
      <c r="H160" s="390"/>
      <c r="I160" s="390">
        <f t="shared" si="36"/>
        <v>0</v>
      </c>
      <c r="J160" s="391" t="e">
        <f t="shared" si="37"/>
        <v>#DIV/0!</v>
      </c>
      <c r="K160" s="390">
        <f t="shared" si="38"/>
        <v>0</v>
      </c>
      <c r="L160" s="390">
        <f t="shared" si="39"/>
        <v>0</v>
      </c>
      <c r="M160" s="390"/>
      <c r="N160" s="390"/>
      <c r="O160" s="39"/>
      <c r="P160" s="32"/>
      <c r="Q160" s="31">
        <f t="shared" si="42"/>
        <v>0</v>
      </c>
      <c r="R160" s="393">
        <f t="shared" si="43"/>
        <v>0</v>
      </c>
      <c r="S160" s="393"/>
      <c r="T160" s="393"/>
      <c r="U160" s="393"/>
      <c r="V160" s="31"/>
      <c r="W160" s="32"/>
      <c r="X160" s="32"/>
      <c r="Y160" s="32"/>
      <c r="Z160" s="394" t="e">
        <f t="shared" si="44"/>
        <v>#DIV/0!</v>
      </c>
      <c r="AA160" s="31"/>
      <c r="AB160" s="322"/>
      <c r="AC160" s="40">
        <f t="shared" si="45"/>
        <v>0</v>
      </c>
      <c r="AD160" s="40">
        <f t="shared" si="46"/>
        <v>0</v>
      </c>
    </row>
    <row r="161" spans="1:30" x14ac:dyDescent="0.25">
      <c r="A161" s="270"/>
      <c r="B161" s="400"/>
      <c r="C161" s="306"/>
      <c r="D161" s="16"/>
      <c r="E161" s="15">
        <v>2.74</v>
      </c>
      <c r="F161" s="102"/>
      <c r="G161" s="32"/>
      <c r="H161" s="390"/>
      <c r="I161" s="390">
        <f t="shared" si="36"/>
        <v>0</v>
      </c>
      <c r="J161" s="391" t="e">
        <f t="shared" si="37"/>
        <v>#DIV/0!</v>
      </c>
      <c r="K161" s="390">
        <f t="shared" si="38"/>
        <v>0</v>
      </c>
      <c r="L161" s="390">
        <f t="shared" si="39"/>
        <v>0</v>
      </c>
      <c r="M161" s="390"/>
      <c r="N161" s="390"/>
      <c r="O161" s="39"/>
      <c r="P161" s="32"/>
      <c r="Q161" s="31">
        <f t="shared" si="42"/>
        <v>0</v>
      </c>
      <c r="R161" s="393">
        <f t="shared" si="43"/>
        <v>0</v>
      </c>
      <c r="S161" s="393"/>
      <c r="T161" s="393"/>
      <c r="U161" s="393"/>
      <c r="V161" s="31"/>
      <c r="W161" s="32"/>
      <c r="X161" s="32"/>
      <c r="Y161" s="32"/>
      <c r="Z161" s="394" t="e">
        <f t="shared" si="44"/>
        <v>#DIV/0!</v>
      </c>
      <c r="AA161" s="31"/>
      <c r="AB161" s="322"/>
      <c r="AC161" s="40">
        <f t="shared" si="45"/>
        <v>0</v>
      </c>
      <c r="AD161" s="40">
        <f t="shared" si="46"/>
        <v>0</v>
      </c>
    </row>
    <row r="162" spans="1:30" x14ac:dyDescent="0.25">
      <c r="A162" s="270"/>
      <c r="B162" s="400"/>
      <c r="C162" s="306"/>
      <c r="D162" s="16"/>
      <c r="E162" s="15">
        <v>2.74</v>
      </c>
      <c r="F162" s="102"/>
      <c r="G162" s="32"/>
      <c r="H162" s="390"/>
      <c r="I162" s="390">
        <f t="shared" si="36"/>
        <v>0</v>
      </c>
      <c r="J162" s="391" t="e">
        <f t="shared" si="37"/>
        <v>#DIV/0!</v>
      </c>
      <c r="K162" s="390">
        <f t="shared" si="38"/>
        <v>0</v>
      </c>
      <c r="L162" s="390">
        <f t="shared" si="39"/>
        <v>0</v>
      </c>
      <c r="M162" s="390"/>
      <c r="N162" s="390"/>
      <c r="O162" s="143"/>
      <c r="P162" s="32"/>
      <c r="Q162" s="31">
        <f t="shared" si="42"/>
        <v>0</v>
      </c>
      <c r="R162" s="393">
        <f t="shared" si="43"/>
        <v>0</v>
      </c>
      <c r="S162" s="393"/>
      <c r="T162" s="393"/>
      <c r="U162" s="393"/>
      <c r="V162" s="31"/>
      <c r="W162" s="32"/>
      <c r="X162" s="32"/>
      <c r="Y162" s="32"/>
      <c r="Z162" s="394" t="e">
        <f t="shared" si="44"/>
        <v>#DIV/0!</v>
      </c>
      <c r="AA162" s="31"/>
      <c r="AB162" s="322"/>
      <c r="AC162" s="40">
        <f t="shared" si="45"/>
        <v>0</v>
      </c>
      <c r="AD162" s="40">
        <f t="shared" si="46"/>
        <v>0</v>
      </c>
    </row>
    <row r="163" spans="1:30" x14ac:dyDescent="0.25">
      <c r="A163" s="174"/>
      <c r="B163" s="365" t="s">
        <v>1193</v>
      </c>
      <c r="C163" s="315" t="s">
        <v>1192</v>
      </c>
      <c r="D163" s="64">
        <v>600</v>
      </c>
      <c r="E163" s="64">
        <v>5.88</v>
      </c>
      <c r="F163" s="16">
        <f>IF(C163="买",F154+D163,IF(C163="卖",F154-D163,F154))</f>
        <v>6300</v>
      </c>
      <c r="G163" s="17">
        <f t="shared" si="28"/>
        <v>4.8525238095238059</v>
      </c>
      <c r="H163" s="15">
        <f>IF(C163="买",H154+D163*E163+R163+S163,IF(C163="卖",H154-D163*E163+R163+S163,H154))</f>
        <v>30570.89999999998</v>
      </c>
      <c r="I163" s="15">
        <f t="shared" si="30"/>
        <v>6473.1000000000204</v>
      </c>
      <c r="J163" s="33">
        <f t="shared" si="31"/>
        <v>0.21174057682305811</v>
      </c>
      <c r="K163" s="15">
        <f>IF(C163="买",F163*E163,IF(C163="卖",F163*E163,K154))</f>
        <v>37044</v>
      </c>
      <c r="L163" s="15">
        <f>I163-I154</f>
        <v>21657.472000000002</v>
      </c>
      <c r="M163" s="15"/>
      <c r="N163" s="15"/>
      <c r="O163" s="15"/>
      <c r="P163" s="17"/>
      <c r="Q163" s="31">
        <f>(H163-H154)*-1</f>
        <v>3519.4720000000016</v>
      </c>
      <c r="R163" s="34">
        <f t="shared" si="26"/>
        <v>8.5280000000000005</v>
      </c>
      <c r="S163" s="273"/>
      <c r="T163" s="273"/>
      <c r="U163" s="273"/>
      <c r="V163" s="22"/>
      <c r="W163" s="272"/>
      <c r="X163" s="272"/>
      <c r="Y163" s="272"/>
      <c r="Z163" s="274"/>
      <c r="AA163" s="31"/>
      <c r="AB163" s="322"/>
      <c r="AC163" s="237"/>
      <c r="AD163" s="237"/>
    </row>
  </sheetData>
  <phoneticPr fontId="16" type="noConversion"/>
  <conditionalFormatting sqref="Y1">
    <cfRule type="top10" dxfId="228" priority="1" bottom="1" rank="10"/>
  </conditionalFormatting>
  <dataValidations count="2">
    <dataValidation type="list" allowBlank="1" showInputMessage="1" showErrorMessage="1" sqref="C2:C162">
      <formula1>"买,卖"</formula1>
    </dataValidation>
    <dataValidation type="list" allowBlank="1" showInputMessage="1" showErrorMessage="1" sqref="C163">
      <formula1>"买,卖,转买,转卖"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G253"/>
  <sheetViews>
    <sheetView topLeftCell="A232" workbookViewId="0">
      <selection activeCell="D245" sqref="D245:D253"/>
    </sheetView>
  </sheetViews>
  <sheetFormatPr defaultRowHeight="14.4" x14ac:dyDescent="0.25"/>
  <cols>
    <col min="1" max="1" width="11.6640625" style="9" bestFit="1" customWidth="1"/>
    <col min="2" max="2" width="13.88671875" style="1" bestFit="1" customWidth="1"/>
    <col min="7" max="7" width="15.109375" customWidth="1"/>
    <col min="8" max="8" width="14.44140625" bestFit="1" customWidth="1"/>
    <col min="9" max="10" width="14.44140625" style="1" bestFit="1" customWidth="1"/>
    <col min="11" max="11" width="10.5546875" style="1" bestFit="1" customWidth="1"/>
    <col min="12" max="12" width="15.21875" style="1" customWidth="1"/>
    <col min="13" max="14" width="12.33203125" style="1" bestFit="1" customWidth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1" width="8.88671875" style="1"/>
    <col min="22" max="22" width="19.109375" style="1" bestFit="1" customWidth="1"/>
    <col min="23" max="26" width="8.88671875" style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9" t="s">
        <v>3</v>
      </c>
      <c r="B1" s="360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360" t="s">
        <v>7</v>
      </c>
      <c r="J1" s="360" t="s">
        <v>157</v>
      </c>
      <c r="K1" s="360" t="s">
        <v>5</v>
      </c>
      <c r="L1" s="360" t="s">
        <v>158</v>
      </c>
      <c r="M1" s="360" t="s">
        <v>1185</v>
      </c>
      <c r="N1" s="360" t="s">
        <v>1186</v>
      </c>
      <c r="O1" s="360" t="s">
        <v>1187</v>
      </c>
      <c r="P1" s="361" t="s">
        <v>1188</v>
      </c>
      <c r="Q1" s="360" t="s">
        <v>163</v>
      </c>
      <c r="R1" s="360" t="s">
        <v>1189</v>
      </c>
      <c r="S1" s="360" t="s">
        <v>1190</v>
      </c>
      <c r="T1" s="360" t="s">
        <v>166</v>
      </c>
      <c r="U1" s="360" t="s">
        <v>167</v>
      </c>
      <c r="V1" s="360" t="s">
        <v>17</v>
      </c>
      <c r="W1" s="361" t="s">
        <v>168</v>
      </c>
      <c r="X1" s="361" t="s">
        <v>169</v>
      </c>
      <c r="Y1" s="361" t="s">
        <v>170</v>
      </c>
      <c r="Z1" s="361" t="s">
        <v>171</v>
      </c>
      <c r="AA1" s="360" t="s">
        <v>106</v>
      </c>
      <c r="AB1" s="362" t="s">
        <v>172</v>
      </c>
      <c r="AC1" s="363" t="s">
        <v>50</v>
      </c>
      <c r="AD1" s="363" t="s">
        <v>173</v>
      </c>
    </row>
    <row r="2" spans="1:30" s="1" customFormat="1" ht="15" thickTop="1" x14ac:dyDescent="0.25">
      <c r="A2" s="9">
        <v>43035</v>
      </c>
      <c r="B2" s="267" t="s">
        <v>79</v>
      </c>
      <c r="C2" s="10"/>
      <c r="D2" s="11"/>
      <c r="E2" s="12">
        <v>18</v>
      </c>
      <c r="F2" s="12">
        <v>0</v>
      </c>
      <c r="G2" s="13">
        <v>0</v>
      </c>
      <c r="H2" s="12">
        <v>0</v>
      </c>
      <c r="I2" s="15">
        <v>0</v>
      </c>
      <c r="J2" s="33" t="e">
        <v>#DIV/0!</v>
      </c>
      <c r="K2" s="15">
        <v>0</v>
      </c>
      <c r="L2" s="15" t="e">
        <f t="shared" ref="L2:L65" si="0">I2-I1</f>
        <v>#VALUE!</v>
      </c>
      <c r="M2" s="15"/>
      <c r="N2" s="15"/>
      <c r="O2" s="15"/>
      <c r="P2" s="17"/>
      <c r="Q2" s="10" t="e">
        <f t="shared" ref="Q2:Q65" si="1">(H2-H1)*-1</f>
        <v>#VALUE!</v>
      </c>
      <c r="R2" s="10"/>
      <c r="S2" s="10"/>
      <c r="T2" s="10"/>
      <c r="U2" s="10"/>
      <c r="V2" s="10"/>
      <c r="W2" s="28"/>
      <c r="X2" s="28"/>
      <c r="Y2" s="28"/>
      <c r="Z2" s="38"/>
      <c r="AA2" s="31"/>
      <c r="AB2" s="39"/>
      <c r="AC2" s="40"/>
      <c r="AD2" s="40"/>
    </row>
    <row r="3" spans="1:30" s="1" customFormat="1" x14ac:dyDescent="0.25">
      <c r="A3" s="9">
        <v>43035</v>
      </c>
      <c r="B3" s="14"/>
      <c r="C3" s="15" t="s">
        <v>63</v>
      </c>
      <c r="D3" s="16">
        <v>1000</v>
      </c>
      <c r="E3" s="15">
        <v>18.03</v>
      </c>
      <c r="F3" s="16">
        <f>IF(C3="买",F2+D3,IF(C3="卖",F2-D3,F2))</f>
        <v>1000</v>
      </c>
      <c r="G3" s="17">
        <f t="shared" ref="G3:G66" si="2">H3/F3</f>
        <v>18.039025817999999</v>
      </c>
      <c r="H3" s="15">
        <f>IF(C3="买",H2+D3*E3+R3+S3,IF(C3="卖",H2-D3*E3+R3+S3,H2))</f>
        <v>18039.025817999998</v>
      </c>
      <c r="I3" s="15">
        <f t="shared" ref="I3:I66" si="3">-H3+K3</f>
        <v>-9.0258179999982531</v>
      </c>
      <c r="J3" s="33">
        <f t="shared" ref="J3:J66" si="4">(E3-G3)/G3</f>
        <v>-5.0034952502764905E-4</v>
      </c>
      <c r="K3" s="15">
        <f t="shared" ref="K3:K66" si="5">F3*E3</f>
        <v>18030</v>
      </c>
      <c r="L3" s="15">
        <f t="shared" si="0"/>
        <v>-9.0258179999982531</v>
      </c>
      <c r="M3" s="15"/>
      <c r="N3" s="15"/>
      <c r="O3" s="15"/>
      <c r="P3" s="17"/>
      <c r="Q3" s="31">
        <f t="shared" si="1"/>
        <v>-18039.025817999998</v>
      </c>
      <c r="R3" s="34">
        <f>commission($B$2,C3,D3,E3)</f>
        <v>9.025818000000001</v>
      </c>
      <c r="S3" s="31"/>
      <c r="T3" s="34"/>
      <c r="U3" s="34"/>
      <c r="V3" s="31"/>
      <c r="W3" s="32"/>
      <c r="X3" s="32"/>
      <c r="Y3" s="32"/>
      <c r="Z3" s="38"/>
      <c r="AA3" s="31"/>
      <c r="AB3" s="39"/>
      <c r="AC3" s="40"/>
      <c r="AD3" s="40"/>
    </row>
    <row r="4" spans="1:30" s="1" customFormat="1" x14ac:dyDescent="0.25">
      <c r="A4" s="9">
        <v>43035</v>
      </c>
      <c r="B4" s="14"/>
      <c r="C4" s="15" t="s">
        <v>63</v>
      </c>
      <c r="D4" s="16">
        <v>500</v>
      </c>
      <c r="E4" s="15">
        <v>17.93</v>
      </c>
      <c r="F4" s="16">
        <f t="shared" ref="F4:F67" si="6">IF(C4="买",F3+D4,IF(C4="卖",F3-D4,F3))</f>
        <v>1500</v>
      </c>
      <c r="G4" s="17">
        <f t="shared" si="2"/>
        <v>18.006024384</v>
      </c>
      <c r="H4" s="15">
        <f t="shared" ref="H4:H67" si="7">IF(C4="买",H3+D4*E4+R4+S4,IF(C4="卖",H3-D4*E4+R4+S4,H3))</f>
        <v>27009.036575999999</v>
      </c>
      <c r="I4" s="15">
        <f t="shared" si="3"/>
        <v>-114.0365759999986</v>
      </c>
      <c r="J4" s="33">
        <f t="shared" si="4"/>
        <v>-4.2221637813372468E-3</v>
      </c>
      <c r="K4" s="15">
        <f t="shared" si="5"/>
        <v>26895</v>
      </c>
      <c r="L4" s="15">
        <f t="shared" si="0"/>
        <v>-105.01075800000035</v>
      </c>
      <c r="M4" s="15"/>
      <c r="N4" s="15"/>
      <c r="O4" s="15"/>
      <c r="P4" s="17"/>
      <c r="Q4" s="31">
        <f t="shared" si="1"/>
        <v>-8970.0107580000004</v>
      </c>
      <c r="R4" s="34">
        <f t="shared" ref="R4:R67" si="8">commission($B$2,C4,D4,E4)</f>
        <v>5.010758</v>
      </c>
      <c r="S4" s="15"/>
      <c r="T4" s="34"/>
      <c r="U4" s="34"/>
      <c r="V4" s="31"/>
      <c r="W4" s="32"/>
      <c r="X4" s="32"/>
      <c r="Y4" s="32"/>
      <c r="Z4" s="38"/>
      <c r="AA4" s="31"/>
      <c r="AB4" s="39"/>
      <c r="AC4" s="40"/>
      <c r="AD4" s="40"/>
    </row>
    <row r="5" spans="1:30" s="1" customFormat="1" x14ac:dyDescent="0.25">
      <c r="A5" s="9">
        <v>43038</v>
      </c>
      <c r="B5" s="14"/>
      <c r="C5" s="15" t="s">
        <v>63</v>
      </c>
      <c r="D5" s="16">
        <v>500</v>
      </c>
      <c r="E5" s="15">
        <v>17.47</v>
      </c>
      <c r="F5" s="16">
        <f t="shared" si="6"/>
        <v>2000</v>
      </c>
      <c r="G5" s="17">
        <f t="shared" si="2"/>
        <v>17.874523528999998</v>
      </c>
      <c r="H5" s="15">
        <f t="shared" si="7"/>
        <v>35749.047057999996</v>
      </c>
      <c r="I5" s="15">
        <f t="shared" si="3"/>
        <v>-809.04705799999647</v>
      </c>
      <c r="J5" s="33">
        <f t="shared" si="4"/>
        <v>-2.263129019040375E-2</v>
      </c>
      <c r="K5" s="15">
        <f t="shared" si="5"/>
        <v>34940</v>
      </c>
      <c r="L5" s="15">
        <f t="shared" si="0"/>
        <v>-695.01048199999786</v>
      </c>
      <c r="M5" s="15"/>
      <c r="N5" s="15"/>
      <c r="O5" s="15"/>
      <c r="P5" s="17"/>
      <c r="Q5" s="31">
        <f t="shared" si="1"/>
        <v>-8740.0104819999979</v>
      </c>
      <c r="R5" s="34">
        <f t="shared" si="8"/>
        <v>5.0104819999999997</v>
      </c>
      <c r="S5" s="15"/>
      <c r="T5" s="34"/>
      <c r="U5" s="34"/>
      <c r="V5" s="31"/>
      <c r="W5" s="32"/>
      <c r="X5" s="32"/>
      <c r="Y5" s="32"/>
      <c r="Z5" s="38"/>
      <c r="AA5" s="31"/>
      <c r="AB5" s="39"/>
      <c r="AC5" s="40"/>
      <c r="AD5" s="40"/>
    </row>
    <row r="6" spans="1:30" s="1" customFormat="1" x14ac:dyDescent="0.25">
      <c r="A6" s="9">
        <v>43042</v>
      </c>
      <c r="B6" s="18"/>
      <c r="C6" s="15" t="s">
        <v>63</v>
      </c>
      <c r="D6" s="16">
        <v>500</v>
      </c>
      <c r="E6" s="15">
        <v>17.18</v>
      </c>
      <c r="F6" s="16">
        <f t="shared" si="6"/>
        <v>2500</v>
      </c>
      <c r="G6" s="17">
        <f t="shared" si="2"/>
        <v>17.737622946399998</v>
      </c>
      <c r="H6" s="15">
        <f t="shared" si="7"/>
        <v>44344.057365999994</v>
      </c>
      <c r="I6" s="15">
        <f t="shared" si="3"/>
        <v>-1394.0573659999936</v>
      </c>
      <c r="J6" s="33">
        <f t="shared" si="4"/>
        <v>-3.1437298452280667E-2</v>
      </c>
      <c r="K6" s="15">
        <f t="shared" si="5"/>
        <v>42950</v>
      </c>
      <c r="L6" s="15">
        <f t="shared" si="0"/>
        <v>-585.01030799999717</v>
      </c>
      <c r="M6" s="15"/>
      <c r="N6" s="15"/>
      <c r="O6" s="15"/>
      <c r="P6" s="17"/>
      <c r="Q6" s="31">
        <f t="shared" si="1"/>
        <v>-8595.0103079999972</v>
      </c>
      <c r="R6" s="34">
        <f t="shared" si="8"/>
        <v>5.0103080000000002</v>
      </c>
      <c r="S6" s="15"/>
      <c r="T6" s="34"/>
      <c r="U6" s="34"/>
      <c r="V6" s="31"/>
      <c r="W6" s="32"/>
      <c r="X6" s="32"/>
      <c r="Y6" s="32"/>
      <c r="Z6" s="38"/>
      <c r="AA6" s="31"/>
      <c r="AB6" s="39"/>
      <c r="AC6" s="40"/>
      <c r="AD6" s="40"/>
    </row>
    <row r="7" spans="1:30" s="1" customFormat="1" x14ac:dyDescent="0.25">
      <c r="A7" s="9">
        <v>43055</v>
      </c>
      <c r="B7" s="18"/>
      <c r="C7" s="15" t="s">
        <v>63</v>
      </c>
      <c r="D7" s="16">
        <v>500</v>
      </c>
      <c r="E7" s="15">
        <v>16.940000000000001</v>
      </c>
      <c r="F7" s="16">
        <f t="shared" si="6"/>
        <v>3000</v>
      </c>
      <c r="G7" s="17">
        <f t="shared" si="2"/>
        <v>17.606355843333333</v>
      </c>
      <c r="H7" s="15">
        <f t="shared" si="7"/>
        <v>52819.067529999993</v>
      </c>
      <c r="I7" s="15">
        <f t="shared" si="3"/>
        <v>-1999.0675299999857</v>
      </c>
      <c r="J7" s="33">
        <f t="shared" si="4"/>
        <v>-3.7847459705050088E-2</v>
      </c>
      <c r="K7" s="15">
        <f t="shared" si="5"/>
        <v>50820.000000000007</v>
      </c>
      <c r="L7" s="15">
        <f t="shared" si="0"/>
        <v>-605.01016399999207</v>
      </c>
      <c r="M7" s="15"/>
      <c r="N7" s="15"/>
      <c r="O7" s="15"/>
      <c r="P7" s="17"/>
      <c r="Q7" s="31">
        <f t="shared" si="1"/>
        <v>-8475.0101639999993</v>
      </c>
      <c r="R7" s="34">
        <f t="shared" si="8"/>
        <v>5.0101639999999996</v>
      </c>
      <c r="S7" s="15"/>
      <c r="T7" s="34"/>
      <c r="U7" s="34"/>
      <c r="V7" s="31"/>
      <c r="W7" s="32"/>
      <c r="X7" s="32"/>
      <c r="Y7" s="32"/>
      <c r="Z7" s="38"/>
      <c r="AA7" s="31"/>
      <c r="AB7" s="39"/>
      <c r="AC7" s="40"/>
      <c r="AD7" s="40"/>
    </row>
    <row r="8" spans="1:30" s="1" customFormat="1" x14ac:dyDescent="0.25">
      <c r="A8" s="9">
        <v>43056</v>
      </c>
      <c r="B8" s="18"/>
      <c r="C8" s="15" t="s">
        <v>63</v>
      </c>
      <c r="D8" s="16">
        <v>500</v>
      </c>
      <c r="E8" s="15">
        <v>16.62</v>
      </c>
      <c r="F8" s="16">
        <f t="shared" si="6"/>
        <v>3500</v>
      </c>
      <c r="G8" s="17">
        <f t="shared" si="2"/>
        <v>17.466879286285714</v>
      </c>
      <c r="H8" s="15">
        <f t="shared" si="7"/>
        <v>61134.077501999993</v>
      </c>
      <c r="I8" s="15">
        <f t="shared" si="3"/>
        <v>-2964.0775019999928</v>
      </c>
      <c r="J8" s="33">
        <f t="shared" si="4"/>
        <v>-4.8484865121306939E-2</v>
      </c>
      <c r="K8" s="15">
        <f t="shared" si="5"/>
        <v>58170</v>
      </c>
      <c r="L8" s="15">
        <f t="shared" si="0"/>
        <v>-965.00997200000711</v>
      </c>
      <c r="M8" s="15"/>
      <c r="N8" s="15"/>
      <c r="O8" s="15"/>
      <c r="P8" s="17"/>
      <c r="Q8" s="31">
        <f t="shared" si="1"/>
        <v>-8315.0099719999998</v>
      </c>
      <c r="R8" s="34">
        <f t="shared" si="8"/>
        <v>5.0099720000000003</v>
      </c>
      <c r="S8" s="15"/>
      <c r="T8" s="34"/>
      <c r="U8" s="34"/>
      <c r="V8" s="31"/>
      <c r="W8" s="32"/>
      <c r="X8" s="32"/>
      <c r="Y8" s="32"/>
      <c r="Z8" s="38"/>
      <c r="AA8" s="31"/>
      <c r="AB8" s="39"/>
      <c r="AC8" s="40"/>
      <c r="AD8" s="40"/>
    </row>
    <row r="9" spans="1:30" s="1" customFormat="1" x14ac:dyDescent="0.25">
      <c r="A9" s="9">
        <v>43056</v>
      </c>
      <c r="B9" s="18"/>
      <c r="C9" s="15" t="s">
        <v>63</v>
      </c>
      <c r="D9" s="16">
        <v>500</v>
      </c>
      <c r="E9" s="15">
        <v>16.43</v>
      </c>
      <c r="F9" s="16">
        <f t="shared" si="6"/>
        <v>4000</v>
      </c>
      <c r="G9" s="17">
        <f t="shared" si="2"/>
        <v>17.338521840000002</v>
      </c>
      <c r="H9" s="15">
        <f t="shared" si="7"/>
        <v>69354.087360000005</v>
      </c>
      <c r="I9" s="15">
        <f t="shared" si="3"/>
        <v>-3634.087360000005</v>
      </c>
      <c r="J9" s="33">
        <f t="shared" si="4"/>
        <v>-5.2399036572081989E-2</v>
      </c>
      <c r="K9" s="15">
        <f t="shared" si="5"/>
        <v>65720</v>
      </c>
      <c r="L9" s="15">
        <f t="shared" si="0"/>
        <v>-670.00985800001217</v>
      </c>
      <c r="M9" s="15"/>
      <c r="N9" s="15"/>
      <c r="O9" s="15"/>
      <c r="P9" s="17"/>
      <c r="Q9" s="31">
        <f t="shared" si="1"/>
        <v>-8220.0098580000122</v>
      </c>
      <c r="R9" s="34">
        <f t="shared" si="8"/>
        <v>5.0098580000000004</v>
      </c>
      <c r="S9" s="15"/>
      <c r="T9" s="34"/>
      <c r="U9" s="34"/>
      <c r="V9" s="31"/>
      <c r="W9" s="32"/>
      <c r="X9" s="32"/>
      <c r="Y9" s="32"/>
      <c r="Z9" s="38"/>
      <c r="AA9" s="31"/>
      <c r="AB9" s="39"/>
      <c r="AC9" s="40"/>
      <c r="AD9" s="40"/>
    </row>
    <row r="10" spans="1:30" s="1" customFormat="1" x14ac:dyDescent="0.25">
      <c r="A10" s="9">
        <v>43059</v>
      </c>
      <c r="B10" s="18"/>
      <c r="C10" s="15" t="s">
        <v>63</v>
      </c>
      <c r="D10" s="16">
        <v>500</v>
      </c>
      <c r="E10" s="15">
        <v>15.99</v>
      </c>
      <c r="F10" s="16">
        <f t="shared" si="6"/>
        <v>4500</v>
      </c>
      <c r="G10" s="17">
        <f t="shared" si="2"/>
        <v>17.189799323111114</v>
      </c>
      <c r="H10" s="15">
        <f t="shared" si="7"/>
        <v>77354.096954000008</v>
      </c>
      <c r="I10" s="15">
        <f t="shared" si="3"/>
        <v>-5399.0969540000078</v>
      </c>
      <c r="J10" s="33">
        <f t="shared" si="4"/>
        <v>-6.979716869050491E-2</v>
      </c>
      <c r="K10" s="15">
        <f t="shared" si="5"/>
        <v>71955</v>
      </c>
      <c r="L10" s="15">
        <f t="shared" si="0"/>
        <v>-1765.0095940000028</v>
      </c>
      <c r="M10" s="15"/>
      <c r="N10" s="15"/>
      <c r="O10" s="15"/>
      <c r="P10" s="17"/>
      <c r="Q10" s="31">
        <f t="shared" si="1"/>
        <v>-8000.0095940000028</v>
      </c>
      <c r="R10" s="34">
        <f t="shared" si="8"/>
        <v>5.0095939999999999</v>
      </c>
      <c r="S10" s="15"/>
      <c r="T10" s="34"/>
      <c r="U10" s="34"/>
      <c r="V10" s="31"/>
      <c r="W10" s="32"/>
      <c r="X10" s="32"/>
      <c r="Y10" s="32"/>
      <c r="Z10" s="38"/>
      <c r="AA10" s="31"/>
      <c r="AB10" s="39"/>
      <c r="AC10" s="40"/>
      <c r="AD10" s="40"/>
    </row>
    <row r="11" spans="1:30" s="1" customFormat="1" x14ac:dyDescent="0.25">
      <c r="A11" s="9">
        <v>43074</v>
      </c>
      <c r="B11" s="18"/>
      <c r="C11" s="15" t="s">
        <v>63</v>
      </c>
      <c r="D11" s="16">
        <v>500</v>
      </c>
      <c r="E11" s="15">
        <v>15.48</v>
      </c>
      <c r="F11" s="16">
        <f t="shared" si="6"/>
        <v>5000</v>
      </c>
      <c r="G11" s="17">
        <f t="shared" si="2"/>
        <v>17.019821248400003</v>
      </c>
      <c r="H11" s="15">
        <f t="shared" si="7"/>
        <v>85099.106242000009</v>
      </c>
      <c r="I11" s="15">
        <f t="shared" si="3"/>
        <v>-7699.1062420000089</v>
      </c>
      <c r="J11" s="33">
        <f t="shared" si="4"/>
        <v>-9.0472233869363233E-2</v>
      </c>
      <c r="K11" s="15">
        <f t="shared" si="5"/>
        <v>77400</v>
      </c>
      <c r="L11" s="15">
        <f t="shared" si="0"/>
        <v>-2300.0092880000011</v>
      </c>
      <c r="M11" s="15"/>
      <c r="N11" s="15"/>
      <c r="O11" s="15"/>
      <c r="P11" s="17"/>
      <c r="Q11" s="31">
        <f t="shared" si="1"/>
        <v>-7745.0092880000011</v>
      </c>
      <c r="R11" s="34">
        <f t="shared" si="8"/>
        <v>5.0092879999999997</v>
      </c>
      <c r="S11" s="15"/>
      <c r="T11" s="34"/>
      <c r="U11" s="34"/>
      <c r="V11" s="31"/>
      <c r="W11" s="32"/>
      <c r="X11" s="32"/>
      <c r="Y11" s="32"/>
      <c r="Z11" s="38"/>
      <c r="AA11" s="31"/>
      <c r="AB11" s="39"/>
      <c r="AC11" s="40"/>
      <c r="AD11" s="40"/>
    </row>
    <row r="12" spans="1:30" s="1" customFormat="1" x14ac:dyDescent="0.25">
      <c r="A12" s="9">
        <v>43074</v>
      </c>
      <c r="B12" s="18"/>
      <c r="C12" s="15" t="s">
        <v>63</v>
      </c>
      <c r="D12" s="16">
        <v>500</v>
      </c>
      <c r="E12" s="15">
        <v>15.09</v>
      </c>
      <c r="F12" s="16">
        <f t="shared" si="6"/>
        <v>5500</v>
      </c>
      <c r="G12" s="17">
        <f t="shared" si="2"/>
        <v>16.845293690181819</v>
      </c>
      <c r="H12" s="15">
        <f t="shared" si="7"/>
        <v>92649.115296000004</v>
      </c>
      <c r="I12" s="15">
        <f t="shared" si="3"/>
        <v>-9654.1152960000036</v>
      </c>
      <c r="J12" s="33">
        <f t="shared" si="4"/>
        <v>-0.10420083629678015</v>
      </c>
      <c r="K12" s="15">
        <f t="shared" si="5"/>
        <v>82995</v>
      </c>
      <c r="L12" s="15">
        <f t="shared" si="0"/>
        <v>-1955.0090539999946</v>
      </c>
      <c r="M12" s="15"/>
      <c r="N12" s="15"/>
      <c r="O12" s="15"/>
      <c r="P12" s="17"/>
      <c r="Q12" s="31">
        <f t="shared" si="1"/>
        <v>-7550.0090539999946</v>
      </c>
      <c r="R12" s="34">
        <f t="shared" si="8"/>
        <v>5.0090539999999999</v>
      </c>
      <c r="S12" s="15"/>
      <c r="T12" s="34"/>
      <c r="U12" s="34"/>
      <c r="V12" s="31"/>
      <c r="W12" s="32"/>
      <c r="X12" s="32"/>
      <c r="Y12" s="32"/>
      <c r="Z12" s="38"/>
      <c r="AA12" s="31"/>
      <c r="AB12" s="39"/>
      <c r="AC12" s="40"/>
      <c r="AD12" s="40"/>
    </row>
    <row r="13" spans="1:30" s="1" customFormat="1" x14ac:dyDescent="0.25">
      <c r="A13" s="9">
        <v>43080</v>
      </c>
      <c r="B13" s="18" t="s">
        <v>228</v>
      </c>
      <c r="C13" s="15" t="s">
        <v>69</v>
      </c>
      <c r="D13" s="16">
        <v>400</v>
      </c>
      <c r="E13" s="15">
        <v>15.5</v>
      </c>
      <c r="F13" s="16">
        <f t="shared" si="6"/>
        <v>5100</v>
      </c>
      <c r="G13" s="17">
        <f t="shared" si="2"/>
        <v>16.9530048227451</v>
      </c>
      <c r="H13" s="15">
        <f t="shared" si="7"/>
        <v>86460.324596000006</v>
      </c>
      <c r="I13" s="15">
        <f t="shared" si="3"/>
        <v>-7410.3245960000058</v>
      </c>
      <c r="J13" s="33">
        <f t="shared" si="4"/>
        <v>-8.5707804482876557E-2</v>
      </c>
      <c r="K13" s="15">
        <f t="shared" si="5"/>
        <v>79050</v>
      </c>
      <c r="L13" s="15">
        <f t="shared" si="0"/>
        <v>2243.7906999999977</v>
      </c>
      <c r="M13" s="15"/>
      <c r="N13" s="15"/>
      <c r="O13" s="15"/>
      <c r="P13" s="17"/>
      <c r="Q13" s="31">
        <f t="shared" si="1"/>
        <v>6188.7906999999977</v>
      </c>
      <c r="R13" s="34">
        <f t="shared" si="8"/>
        <v>11.209299999999999</v>
      </c>
      <c r="S13" s="15"/>
      <c r="T13" s="34"/>
      <c r="U13" s="34"/>
      <c r="V13" s="31"/>
      <c r="W13" s="32"/>
      <c r="X13" s="32"/>
      <c r="Y13" s="32"/>
      <c r="Z13" s="38"/>
      <c r="AA13" s="31"/>
      <c r="AB13" s="39"/>
      <c r="AC13" s="40"/>
      <c r="AD13" s="40"/>
    </row>
    <row r="14" spans="1:30" s="1" customFormat="1" x14ac:dyDescent="0.25">
      <c r="A14" s="9">
        <v>43104</v>
      </c>
      <c r="B14" s="18" t="s">
        <v>475</v>
      </c>
      <c r="C14" s="15" t="s">
        <v>69</v>
      </c>
      <c r="D14" s="16">
        <v>400</v>
      </c>
      <c r="E14" s="15">
        <v>15.7</v>
      </c>
      <c r="F14" s="16">
        <f t="shared" si="6"/>
        <v>4700</v>
      </c>
      <c r="G14" s="17">
        <f t="shared" si="2"/>
        <v>17.06204553531915</v>
      </c>
      <c r="H14" s="15">
        <f t="shared" si="7"/>
        <v>80191.614016000007</v>
      </c>
      <c r="I14" s="15">
        <f t="shared" si="3"/>
        <v>-6401.6140160000068</v>
      </c>
      <c r="J14" s="33">
        <f t="shared" si="4"/>
        <v>-7.9828970828829379E-2</v>
      </c>
      <c r="K14" s="15">
        <f t="shared" si="5"/>
        <v>73790</v>
      </c>
      <c r="L14" s="15">
        <f t="shared" si="0"/>
        <v>1008.710579999999</v>
      </c>
      <c r="M14" s="15"/>
      <c r="N14" s="15"/>
      <c r="O14" s="15"/>
      <c r="P14" s="17"/>
      <c r="Q14" s="31">
        <f t="shared" si="1"/>
        <v>6268.710579999999</v>
      </c>
      <c r="R14" s="34">
        <f t="shared" si="8"/>
        <v>11.28942</v>
      </c>
      <c r="S14" s="15"/>
      <c r="T14" s="34"/>
      <c r="U14" s="34"/>
      <c r="V14" s="31"/>
      <c r="W14" s="32"/>
      <c r="X14" s="32"/>
      <c r="Y14" s="32"/>
      <c r="Z14" s="38"/>
      <c r="AA14" s="31"/>
      <c r="AB14" s="41"/>
      <c r="AC14" s="40"/>
      <c r="AD14" s="40"/>
    </row>
    <row r="15" spans="1:30" s="1" customFormat="1" x14ac:dyDescent="0.25">
      <c r="A15" s="9">
        <v>43115</v>
      </c>
      <c r="B15" s="18"/>
      <c r="C15" s="15" t="s">
        <v>63</v>
      </c>
      <c r="D15" s="16">
        <v>500</v>
      </c>
      <c r="E15" s="15">
        <v>15.04</v>
      </c>
      <c r="F15" s="16">
        <f t="shared" si="6"/>
        <v>5200</v>
      </c>
      <c r="G15" s="17">
        <f t="shared" si="2"/>
        <v>16.868581353846157</v>
      </c>
      <c r="H15" s="15">
        <f t="shared" si="7"/>
        <v>87716.623040000006</v>
      </c>
      <c r="I15" s="15">
        <f t="shared" si="3"/>
        <v>-9508.6230400000059</v>
      </c>
      <c r="J15" s="33">
        <f t="shared" si="4"/>
        <v>-0.10840160861714834</v>
      </c>
      <c r="K15" s="15">
        <f t="shared" si="5"/>
        <v>78208</v>
      </c>
      <c r="L15" s="15">
        <f t="shared" si="0"/>
        <v>-3107.009023999999</v>
      </c>
      <c r="M15" s="15"/>
      <c r="N15" s="15"/>
      <c r="O15" s="15"/>
      <c r="P15" s="17"/>
      <c r="Q15" s="31">
        <f t="shared" si="1"/>
        <v>-7525.009023999999</v>
      </c>
      <c r="R15" s="34">
        <f t="shared" si="8"/>
        <v>5.0090240000000001</v>
      </c>
      <c r="S15" s="15"/>
      <c r="T15" s="34"/>
      <c r="U15" s="34"/>
      <c r="V15" s="31"/>
      <c r="W15" s="32"/>
      <c r="X15" s="32"/>
      <c r="Y15" s="32"/>
      <c r="Z15" s="38"/>
      <c r="AA15" s="31"/>
      <c r="AB15" s="41"/>
      <c r="AC15" s="40"/>
      <c r="AD15" s="40"/>
    </row>
    <row r="16" spans="1:30" s="1" customFormat="1" x14ac:dyDescent="0.25">
      <c r="A16" s="9">
        <v>43117</v>
      </c>
      <c r="B16" s="18" t="s">
        <v>616</v>
      </c>
      <c r="C16" s="15" t="s">
        <v>69</v>
      </c>
      <c r="D16" s="16">
        <v>400</v>
      </c>
      <c r="E16" s="15">
        <v>15.21</v>
      </c>
      <c r="F16" s="16">
        <f t="shared" si="6"/>
        <v>4800</v>
      </c>
      <c r="G16" s="17">
        <f t="shared" si="2"/>
        <v>17.009107534583336</v>
      </c>
      <c r="H16" s="15">
        <f t="shared" si="7"/>
        <v>81643.716166000013</v>
      </c>
      <c r="I16" s="15">
        <f t="shared" si="3"/>
        <v>-8635.7161660000129</v>
      </c>
      <c r="J16" s="33">
        <f t="shared" si="4"/>
        <v>-0.10577318833015462</v>
      </c>
      <c r="K16" s="15">
        <f t="shared" si="5"/>
        <v>73008</v>
      </c>
      <c r="L16" s="15">
        <f t="shared" si="0"/>
        <v>872.90687399999297</v>
      </c>
      <c r="M16" s="15"/>
      <c r="N16" s="15"/>
      <c r="O16" s="15"/>
      <c r="P16" s="17"/>
      <c r="Q16" s="31">
        <f t="shared" si="1"/>
        <v>6072.906873999993</v>
      </c>
      <c r="R16" s="34">
        <f t="shared" si="8"/>
        <v>11.093126000000002</v>
      </c>
      <c r="S16" s="15"/>
      <c r="T16" s="34"/>
      <c r="U16" s="34"/>
      <c r="V16" s="31"/>
      <c r="W16" s="32"/>
      <c r="X16" s="32"/>
      <c r="Y16" s="32"/>
      <c r="Z16" s="38"/>
      <c r="AA16" s="31"/>
      <c r="AB16" s="41"/>
      <c r="AC16" s="40"/>
      <c r="AD16" s="40"/>
    </row>
    <row r="17" spans="1:30" s="1" customFormat="1" x14ac:dyDescent="0.25">
      <c r="A17" s="9">
        <v>43122</v>
      </c>
      <c r="B17" s="18" t="s">
        <v>221</v>
      </c>
      <c r="C17" s="15" t="s">
        <v>69</v>
      </c>
      <c r="D17" s="16">
        <v>400</v>
      </c>
      <c r="E17" s="15">
        <v>15.56</v>
      </c>
      <c r="F17" s="16">
        <f t="shared" si="6"/>
        <v>4400</v>
      </c>
      <c r="G17" s="17">
        <f t="shared" si="2"/>
        <v>17.143397614090912</v>
      </c>
      <c r="H17" s="15">
        <f t="shared" si="7"/>
        <v>75430.949502000018</v>
      </c>
      <c r="I17" s="15">
        <f t="shared" si="3"/>
        <v>-6966.9495020000177</v>
      </c>
      <c r="J17" s="33">
        <f t="shared" si="4"/>
        <v>-9.2361948881676009E-2</v>
      </c>
      <c r="K17" s="15">
        <f t="shared" si="5"/>
        <v>68464</v>
      </c>
      <c r="L17" s="15">
        <f t="shared" si="0"/>
        <v>1668.7666639999952</v>
      </c>
      <c r="M17" s="15"/>
      <c r="N17" s="15"/>
      <c r="O17" s="15"/>
      <c r="P17" s="17"/>
      <c r="Q17" s="31">
        <f t="shared" si="1"/>
        <v>6212.7666639999952</v>
      </c>
      <c r="R17" s="34">
        <f t="shared" si="8"/>
        <v>11.233336000000001</v>
      </c>
      <c r="S17" s="15"/>
      <c r="T17" s="34"/>
      <c r="U17" s="34"/>
      <c r="V17" s="31"/>
      <c r="W17" s="32"/>
      <c r="X17" s="32"/>
      <c r="Y17" s="32"/>
      <c r="Z17" s="38"/>
      <c r="AA17" s="31"/>
      <c r="AB17" s="41"/>
      <c r="AC17" s="40"/>
      <c r="AD17" s="40"/>
    </row>
    <row r="18" spans="1:30" s="1" customFormat="1" x14ac:dyDescent="0.25">
      <c r="A18" s="9">
        <v>43130</v>
      </c>
      <c r="B18" s="18" t="s">
        <v>594</v>
      </c>
      <c r="C18" s="15" t="s">
        <v>69</v>
      </c>
      <c r="D18" s="16">
        <v>400</v>
      </c>
      <c r="E18" s="15">
        <v>15.93</v>
      </c>
      <c r="F18" s="16">
        <f t="shared" si="6"/>
        <v>4000</v>
      </c>
      <c r="G18" s="17">
        <f t="shared" si="2"/>
        <v>17.267582765000004</v>
      </c>
      <c r="H18" s="15">
        <f t="shared" si="7"/>
        <v>69070.331060000011</v>
      </c>
      <c r="I18" s="15">
        <f t="shared" si="3"/>
        <v>-5350.3310600000113</v>
      </c>
      <c r="J18" s="33">
        <f t="shared" si="4"/>
        <v>-7.7462073482061217E-2</v>
      </c>
      <c r="K18" s="15">
        <f t="shared" si="5"/>
        <v>63720</v>
      </c>
      <c r="L18" s="15">
        <f t="shared" si="0"/>
        <v>1616.6184420000063</v>
      </c>
      <c r="M18" s="15"/>
      <c r="N18" s="15"/>
      <c r="O18" s="15"/>
      <c r="P18" s="17"/>
      <c r="Q18" s="31">
        <f t="shared" si="1"/>
        <v>6360.6184420000063</v>
      </c>
      <c r="R18" s="34">
        <f t="shared" si="8"/>
        <v>11.381558</v>
      </c>
      <c r="S18" s="15"/>
      <c r="T18" s="34"/>
      <c r="U18" s="34"/>
      <c r="V18" s="31"/>
      <c r="W18" s="32"/>
      <c r="X18" s="32"/>
      <c r="Y18" s="32"/>
      <c r="Z18" s="38"/>
      <c r="AA18" s="31"/>
      <c r="AB18" s="41"/>
      <c r="AC18" s="40"/>
      <c r="AD18" s="40"/>
    </row>
    <row r="19" spans="1:30" s="1" customFormat="1" x14ac:dyDescent="0.25">
      <c r="A19" s="9">
        <v>43130</v>
      </c>
      <c r="B19" s="18" t="s">
        <v>188</v>
      </c>
      <c r="C19" s="15" t="s">
        <v>69</v>
      </c>
      <c r="D19" s="16">
        <v>400</v>
      </c>
      <c r="E19" s="15">
        <v>16.100000000000001</v>
      </c>
      <c r="F19" s="16">
        <f t="shared" si="6"/>
        <v>3600</v>
      </c>
      <c r="G19" s="17">
        <f t="shared" si="2"/>
        <v>17.400494644444446</v>
      </c>
      <c r="H19" s="15">
        <f t="shared" si="7"/>
        <v>62641.78072000001</v>
      </c>
      <c r="I19" s="15">
        <f t="shared" si="3"/>
        <v>-4681.7807200000025</v>
      </c>
      <c r="J19" s="33">
        <f t="shared" si="4"/>
        <v>-7.4738946852850596E-2</v>
      </c>
      <c r="K19" s="15">
        <f t="shared" si="5"/>
        <v>57960.000000000007</v>
      </c>
      <c r="L19" s="15">
        <f t="shared" si="0"/>
        <v>668.55034000000887</v>
      </c>
      <c r="M19" s="15"/>
      <c r="N19" s="15"/>
      <c r="O19" s="15"/>
      <c r="P19" s="17"/>
      <c r="Q19" s="31">
        <f t="shared" si="1"/>
        <v>6428.5503400000016</v>
      </c>
      <c r="R19" s="34">
        <f t="shared" si="8"/>
        <v>11.449660000000002</v>
      </c>
      <c r="S19" s="15"/>
      <c r="T19" s="34"/>
      <c r="U19" s="34"/>
      <c r="V19" s="31"/>
      <c r="W19" s="32"/>
      <c r="X19" s="32"/>
      <c r="Y19" s="32"/>
      <c r="Z19" s="38"/>
      <c r="AA19" s="31"/>
      <c r="AB19" s="41"/>
      <c r="AC19" s="40"/>
      <c r="AD19" s="40"/>
    </row>
    <row r="20" spans="1:30" s="1" customFormat="1" x14ac:dyDescent="0.25">
      <c r="A20" s="9">
        <v>43130</v>
      </c>
      <c r="B20" s="18" t="s">
        <v>174</v>
      </c>
      <c r="C20" s="15" t="s">
        <v>69</v>
      </c>
      <c r="D20" s="16">
        <v>400</v>
      </c>
      <c r="E20" s="15">
        <v>16.239999999999998</v>
      </c>
      <c r="F20" s="16">
        <f t="shared" si="6"/>
        <v>3200</v>
      </c>
      <c r="G20" s="17">
        <f t="shared" si="2"/>
        <v>17.549152020000005</v>
      </c>
      <c r="H20" s="15">
        <f t="shared" si="7"/>
        <v>56157.286464000012</v>
      </c>
      <c r="I20" s="15">
        <f t="shared" si="3"/>
        <v>-4189.2864640000189</v>
      </c>
      <c r="J20" s="33">
        <f t="shared" si="4"/>
        <v>-7.459916117360102E-2</v>
      </c>
      <c r="K20" s="15">
        <f t="shared" si="5"/>
        <v>51967.999999999993</v>
      </c>
      <c r="L20" s="15">
        <f t="shared" si="0"/>
        <v>492.49425599998358</v>
      </c>
      <c r="M20" s="15"/>
      <c r="N20" s="15"/>
      <c r="O20" s="15"/>
      <c r="P20" s="17"/>
      <c r="Q20" s="31">
        <f t="shared" si="1"/>
        <v>6484.4942559999981</v>
      </c>
      <c r="R20" s="34">
        <f t="shared" si="8"/>
        <v>11.505744</v>
      </c>
      <c r="S20" s="15"/>
      <c r="T20" s="34"/>
      <c r="U20" s="34"/>
      <c r="V20" s="31"/>
      <c r="W20" s="32"/>
      <c r="X20" s="32"/>
      <c r="Y20" s="32"/>
      <c r="Z20" s="38"/>
      <c r="AA20" s="31"/>
      <c r="AB20" s="41"/>
      <c r="AC20" s="40"/>
      <c r="AD20" s="40"/>
    </row>
    <row r="21" spans="1:30" s="1" customFormat="1" x14ac:dyDescent="0.25">
      <c r="A21" s="9">
        <v>43131</v>
      </c>
      <c r="B21" s="18"/>
      <c r="C21" s="15" t="s">
        <v>63</v>
      </c>
      <c r="D21" s="16">
        <v>500</v>
      </c>
      <c r="E21" s="15">
        <v>15.85</v>
      </c>
      <c r="F21" s="16">
        <f t="shared" si="6"/>
        <v>3700</v>
      </c>
      <c r="G21" s="17">
        <f t="shared" si="2"/>
        <v>17.320890803783787</v>
      </c>
      <c r="H21" s="15">
        <f t="shared" si="7"/>
        <v>64087.295974000015</v>
      </c>
      <c r="I21" s="15">
        <f t="shared" si="3"/>
        <v>-5442.2959740000151</v>
      </c>
      <c r="J21" s="33">
        <f t="shared" si="4"/>
        <v>-8.4920043688657604E-2</v>
      </c>
      <c r="K21" s="15">
        <f t="shared" si="5"/>
        <v>58645</v>
      </c>
      <c r="L21" s="15">
        <f t="shared" si="0"/>
        <v>-1253.0095099999962</v>
      </c>
      <c r="M21" s="15"/>
      <c r="N21" s="15"/>
      <c r="O21" s="15"/>
      <c r="P21" s="17"/>
      <c r="Q21" s="31">
        <f t="shared" si="1"/>
        <v>-7930.0095100000035</v>
      </c>
      <c r="R21" s="34">
        <f t="shared" si="8"/>
        <v>5.0095099999999997</v>
      </c>
      <c r="S21" s="15"/>
      <c r="T21" s="34"/>
      <c r="U21" s="34"/>
      <c r="V21" s="31"/>
      <c r="W21" s="32"/>
      <c r="X21" s="32"/>
      <c r="Y21" s="32"/>
      <c r="Z21" s="38"/>
      <c r="AA21" s="31"/>
      <c r="AB21" s="41"/>
      <c r="AC21" s="40"/>
      <c r="AD21" s="40"/>
    </row>
    <row r="22" spans="1:30" s="1" customFormat="1" x14ac:dyDescent="0.25">
      <c r="A22" s="9">
        <v>43132</v>
      </c>
      <c r="B22" s="18"/>
      <c r="C22" s="15" t="s">
        <v>63</v>
      </c>
      <c r="D22" s="16">
        <v>500</v>
      </c>
      <c r="E22" s="15">
        <v>15.38</v>
      </c>
      <c r="F22" s="16">
        <f t="shared" si="6"/>
        <v>4200</v>
      </c>
      <c r="G22" s="17">
        <f t="shared" si="2"/>
        <v>17.09102504809524</v>
      </c>
      <c r="H22" s="15">
        <f t="shared" si="7"/>
        <v>71782.305202000003</v>
      </c>
      <c r="I22" s="15">
        <f t="shared" si="3"/>
        <v>-7186.3052020000032</v>
      </c>
      <c r="J22" s="33">
        <f t="shared" si="4"/>
        <v>-0.10011248847159869</v>
      </c>
      <c r="K22" s="15">
        <f t="shared" si="5"/>
        <v>64596</v>
      </c>
      <c r="L22" s="15">
        <f t="shared" si="0"/>
        <v>-1744.0092279999881</v>
      </c>
      <c r="M22" s="15"/>
      <c r="N22" s="15"/>
      <c r="O22" s="15"/>
      <c r="P22" s="17"/>
      <c r="Q22" s="31">
        <f t="shared" si="1"/>
        <v>-7695.0092279999881</v>
      </c>
      <c r="R22" s="34">
        <f t="shared" si="8"/>
        <v>5.0092280000000002</v>
      </c>
      <c r="S22" s="15"/>
      <c r="T22" s="34"/>
      <c r="U22" s="34"/>
      <c r="V22" s="31"/>
      <c r="W22" s="32"/>
      <c r="X22" s="32"/>
      <c r="Y22" s="32"/>
      <c r="Z22" s="38"/>
      <c r="AA22" s="31"/>
      <c r="AB22" s="41"/>
      <c r="AC22" s="40"/>
      <c r="AD22" s="40"/>
    </row>
    <row r="23" spans="1:30" s="1" customFormat="1" x14ac:dyDescent="0.25">
      <c r="A23" s="9">
        <v>43132</v>
      </c>
      <c r="B23" s="18"/>
      <c r="C23" s="15" t="s">
        <v>63</v>
      </c>
      <c r="D23" s="16">
        <v>500</v>
      </c>
      <c r="E23" s="15">
        <v>15.1</v>
      </c>
      <c r="F23" s="16">
        <f t="shared" si="6"/>
        <v>4700</v>
      </c>
      <c r="G23" s="17">
        <f t="shared" si="2"/>
        <v>16.880279630212765</v>
      </c>
      <c r="H23" s="15">
        <f t="shared" si="7"/>
        <v>79337.314262</v>
      </c>
      <c r="I23" s="15">
        <f t="shared" si="3"/>
        <v>-8367.3142619999999</v>
      </c>
      <c r="J23" s="33">
        <f t="shared" si="4"/>
        <v>-0.10546505562777377</v>
      </c>
      <c r="K23" s="15">
        <f t="shared" si="5"/>
        <v>70970</v>
      </c>
      <c r="L23" s="15">
        <f t="shared" si="0"/>
        <v>-1181.0090599999967</v>
      </c>
      <c r="M23" s="15"/>
      <c r="N23" s="15"/>
      <c r="O23" s="15"/>
      <c r="P23" s="17"/>
      <c r="Q23" s="31">
        <f t="shared" si="1"/>
        <v>-7555.0090599999967</v>
      </c>
      <c r="R23" s="34">
        <f t="shared" si="8"/>
        <v>5.0090599999999998</v>
      </c>
      <c r="S23" s="15"/>
      <c r="T23" s="34"/>
      <c r="U23" s="34"/>
      <c r="V23" s="31"/>
      <c r="W23" s="32"/>
      <c r="X23" s="32"/>
      <c r="Y23" s="32"/>
      <c r="Z23" s="38"/>
      <c r="AA23" s="31"/>
      <c r="AB23" s="41"/>
      <c r="AC23" s="40"/>
      <c r="AD23" s="40"/>
    </row>
    <row r="24" spans="1:30" s="1" customFormat="1" x14ac:dyDescent="0.25">
      <c r="A24" s="9">
        <v>43133</v>
      </c>
      <c r="B24" s="18"/>
      <c r="C24" s="15" t="s">
        <v>63</v>
      </c>
      <c r="D24" s="16">
        <v>500</v>
      </c>
      <c r="E24" s="15">
        <v>14.67</v>
      </c>
      <c r="F24" s="16">
        <f t="shared" si="6"/>
        <v>5200</v>
      </c>
      <c r="G24" s="17">
        <f t="shared" si="2"/>
        <v>16.668715973846155</v>
      </c>
      <c r="H24" s="15">
        <f t="shared" si="7"/>
        <v>86677.323063999997</v>
      </c>
      <c r="I24" s="15">
        <f t="shared" si="3"/>
        <v>-10393.323063999997</v>
      </c>
      <c r="J24" s="33">
        <f t="shared" si="4"/>
        <v>-0.11990821470485283</v>
      </c>
      <c r="K24" s="15">
        <f t="shared" si="5"/>
        <v>76284</v>
      </c>
      <c r="L24" s="15">
        <f t="shared" si="0"/>
        <v>-2026.0088019999966</v>
      </c>
      <c r="M24" s="15"/>
      <c r="N24" s="15"/>
      <c r="O24" s="15"/>
      <c r="P24" s="17"/>
      <c r="Q24" s="31">
        <f t="shared" si="1"/>
        <v>-7340.0088019999966</v>
      </c>
      <c r="R24" s="34">
        <f t="shared" si="8"/>
        <v>5.0088020000000002</v>
      </c>
      <c r="S24" s="15"/>
      <c r="T24" s="34"/>
      <c r="U24" s="34"/>
      <c r="V24" s="31"/>
      <c r="W24" s="32"/>
      <c r="X24" s="32"/>
      <c r="Y24" s="32"/>
      <c r="Z24" s="38"/>
      <c r="AA24" s="31"/>
      <c r="AB24" s="41"/>
      <c r="AC24" s="40"/>
      <c r="AD24" s="40"/>
    </row>
    <row r="25" spans="1:30" s="1" customFormat="1" x14ac:dyDescent="0.25">
      <c r="A25" s="9">
        <v>43137</v>
      </c>
      <c r="B25" s="20"/>
      <c r="C25" s="15" t="s">
        <v>63</v>
      </c>
      <c r="D25" s="16">
        <v>500</v>
      </c>
      <c r="E25" s="15">
        <v>14.29</v>
      </c>
      <c r="F25" s="16">
        <f t="shared" si="6"/>
        <v>5700</v>
      </c>
      <c r="G25" s="17">
        <f t="shared" si="2"/>
        <v>16.460935375087718</v>
      </c>
      <c r="H25" s="15">
        <f t="shared" si="7"/>
        <v>93827.331638000003</v>
      </c>
      <c r="I25" s="15">
        <f t="shared" si="3"/>
        <v>-12374.331638000003</v>
      </c>
      <c r="J25" s="33">
        <f t="shared" si="4"/>
        <v>-0.13188408347518651</v>
      </c>
      <c r="K25" s="15">
        <f t="shared" si="5"/>
        <v>81453</v>
      </c>
      <c r="L25" s="15">
        <f t="shared" si="0"/>
        <v>-1981.0085740000068</v>
      </c>
      <c r="M25" s="15"/>
      <c r="N25" s="15"/>
      <c r="O25" s="15"/>
      <c r="P25" s="17"/>
      <c r="Q25" s="31">
        <f t="shared" si="1"/>
        <v>-7150.0085740000068</v>
      </c>
      <c r="R25" s="34">
        <f t="shared" si="8"/>
        <v>5.0085740000000003</v>
      </c>
      <c r="S25" s="15"/>
      <c r="T25" s="34"/>
      <c r="U25" s="34"/>
      <c r="V25" s="31"/>
      <c r="W25" s="32"/>
      <c r="X25" s="32"/>
      <c r="Y25" s="32"/>
      <c r="Z25" s="38"/>
      <c r="AA25" s="31"/>
      <c r="AB25" s="42"/>
      <c r="AC25" s="40"/>
      <c r="AD25" s="40"/>
    </row>
    <row r="26" spans="1:30" s="1" customFormat="1" x14ac:dyDescent="0.25">
      <c r="A26" s="9">
        <v>43137</v>
      </c>
      <c r="B26" s="20"/>
      <c r="C26" s="15" t="s">
        <v>63</v>
      </c>
      <c r="D26" s="16">
        <v>500</v>
      </c>
      <c r="E26" s="15">
        <v>13.98</v>
      </c>
      <c r="F26" s="16">
        <f t="shared" si="6"/>
        <v>6200</v>
      </c>
      <c r="G26" s="17">
        <f t="shared" si="2"/>
        <v>16.261667746129032</v>
      </c>
      <c r="H26" s="15">
        <f t="shared" si="7"/>
        <v>100822.34002600001</v>
      </c>
      <c r="I26" s="15">
        <f t="shared" si="3"/>
        <v>-14146.340026000005</v>
      </c>
      <c r="J26" s="33">
        <f t="shared" si="4"/>
        <v>-0.14030957843620714</v>
      </c>
      <c r="K26" s="15">
        <f t="shared" si="5"/>
        <v>86676</v>
      </c>
      <c r="L26" s="15">
        <f t="shared" si="0"/>
        <v>-1772.008388000002</v>
      </c>
      <c r="M26" s="15"/>
      <c r="N26" s="15"/>
      <c r="O26" s="15"/>
      <c r="P26" s="17"/>
      <c r="Q26" s="31">
        <f t="shared" si="1"/>
        <v>-6995.008388000002</v>
      </c>
      <c r="R26" s="34">
        <f t="shared" si="8"/>
        <v>5.0083880000000001</v>
      </c>
      <c r="S26" s="15"/>
      <c r="T26" s="34"/>
      <c r="U26" s="34"/>
      <c r="V26" s="31"/>
      <c r="W26" s="32"/>
      <c r="X26" s="32"/>
      <c r="Y26" s="32"/>
      <c r="Z26" s="38"/>
      <c r="AA26" s="31"/>
      <c r="AB26" s="43"/>
      <c r="AC26" s="40"/>
      <c r="AD26" s="40"/>
    </row>
    <row r="27" spans="1:30" s="1" customFormat="1" x14ac:dyDescent="0.25">
      <c r="A27" s="9">
        <v>43153</v>
      </c>
      <c r="B27" s="20" t="s">
        <v>185</v>
      </c>
      <c r="C27" s="15" t="s">
        <v>69</v>
      </c>
      <c r="D27" s="16">
        <v>400</v>
      </c>
      <c r="E27" s="15">
        <v>14.34</v>
      </c>
      <c r="F27" s="16">
        <f t="shared" si="6"/>
        <v>5800</v>
      </c>
      <c r="G27" s="17">
        <f t="shared" si="2"/>
        <v>16.396049074137935</v>
      </c>
      <c r="H27" s="15">
        <f t="shared" si="7"/>
        <v>95097.084630000012</v>
      </c>
      <c r="I27" s="15">
        <f t="shared" si="3"/>
        <v>-11925.084630000012</v>
      </c>
      <c r="J27" s="33">
        <f t="shared" si="4"/>
        <v>-0.12539905588481151</v>
      </c>
      <c r="K27" s="15">
        <f t="shared" si="5"/>
        <v>83172</v>
      </c>
      <c r="L27" s="15">
        <f t="shared" si="0"/>
        <v>2221.2553959999932</v>
      </c>
      <c r="M27" s="15"/>
      <c r="N27" s="15"/>
      <c r="O27" s="15"/>
      <c r="P27" s="17"/>
      <c r="Q27" s="31">
        <f t="shared" si="1"/>
        <v>5725.2553959999932</v>
      </c>
      <c r="R27" s="34">
        <f t="shared" si="8"/>
        <v>10.744603999999999</v>
      </c>
      <c r="S27" s="15"/>
      <c r="T27" s="34"/>
      <c r="U27" s="34"/>
      <c r="V27" s="31"/>
      <c r="W27" s="32"/>
      <c r="X27" s="32"/>
      <c r="Y27" s="32"/>
      <c r="Z27" s="38"/>
      <c r="AA27" s="31"/>
      <c r="AB27" s="43"/>
      <c r="AC27" s="40"/>
      <c r="AD27" s="40"/>
    </row>
    <row r="28" spans="1:30" s="1" customFormat="1" x14ac:dyDescent="0.25">
      <c r="A28" s="9">
        <v>43165</v>
      </c>
      <c r="B28" s="20" t="s">
        <v>220</v>
      </c>
      <c r="C28" s="15" t="s">
        <v>69</v>
      </c>
      <c r="D28" s="16">
        <v>400</v>
      </c>
      <c r="E28" s="15">
        <v>14.53</v>
      </c>
      <c r="F28" s="16">
        <f t="shared" si="6"/>
        <v>5400</v>
      </c>
      <c r="G28" s="17">
        <f t="shared" si="2"/>
        <v>16.536278768148151</v>
      </c>
      <c r="H28" s="15">
        <f t="shared" si="7"/>
        <v>89295.905348000015</v>
      </c>
      <c r="I28" s="15">
        <f t="shared" si="3"/>
        <v>-10833.905348000015</v>
      </c>
      <c r="J28" s="33">
        <f t="shared" si="4"/>
        <v>-0.121325891772737</v>
      </c>
      <c r="K28" s="15">
        <f t="shared" si="5"/>
        <v>78462</v>
      </c>
      <c r="L28" s="15">
        <f t="shared" si="0"/>
        <v>1091.1792819999973</v>
      </c>
      <c r="M28" s="15"/>
      <c r="N28" s="15"/>
      <c r="O28" s="15"/>
      <c r="P28" s="17"/>
      <c r="Q28" s="31">
        <f t="shared" si="1"/>
        <v>5801.1792819999973</v>
      </c>
      <c r="R28" s="34">
        <f t="shared" si="8"/>
        <v>10.820717999999999</v>
      </c>
      <c r="S28" s="15"/>
      <c r="T28" s="34"/>
      <c r="U28" s="34"/>
      <c r="V28" s="31"/>
      <c r="W28" s="32"/>
      <c r="X28" s="32"/>
      <c r="Y28" s="32"/>
      <c r="Z28" s="38"/>
      <c r="AA28" s="31"/>
      <c r="AB28" s="43"/>
      <c r="AC28" s="40"/>
      <c r="AD28" s="40"/>
    </row>
    <row r="29" spans="1:30" s="1" customFormat="1" x14ac:dyDescent="0.25">
      <c r="A29" s="9">
        <v>43168</v>
      </c>
      <c r="B29" s="20" t="s">
        <v>200</v>
      </c>
      <c r="C29" s="15" t="s">
        <v>69</v>
      </c>
      <c r="D29" s="16">
        <v>400</v>
      </c>
      <c r="E29" s="15">
        <v>14.75</v>
      </c>
      <c r="F29" s="16">
        <f t="shared" si="6"/>
        <v>5000</v>
      </c>
      <c r="G29" s="17">
        <f t="shared" si="2"/>
        <v>16.681362839600006</v>
      </c>
      <c r="H29" s="15">
        <f t="shared" si="7"/>
        <v>83406.814198000022</v>
      </c>
      <c r="I29" s="15">
        <f t="shared" si="3"/>
        <v>-9656.8141980000219</v>
      </c>
      <c r="J29" s="33">
        <f t="shared" si="4"/>
        <v>-0.1157796792846643</v>
      </c>
      <c r="K29" s="15">
        <f t="shared" si="5"/>
        <v>73750</v>
      </c>
      <c r="L29" s="15">
        <f t="shared" si="0"/>
        <v>1177.0911499999929</v>
      </c>
      <c r="M29" s="15"/>
      <c r="N29" s="15"/>
      <c r="O29" s="15"/>
      <c r="P29" s="17"/>
      <c r="Q29" s="31">
        <f t="shared" si="1"/>
        <v>5889.0911499999929</v>
      </c>
      <c r="R29" s="34">
        <f t="shared" si="8"/>
        <v>10.908850000000001</v>
      </c>
      <c r="S29" s="15"/>
      <c r="T29" s="34"/>
      <c r="U29" s="34"/>
      <c r="V29" s="31"/>
      <c r="W29" s="32"/>
      <c r="X29" s="32"/>
      <c r="Y29" s="32"/>
      <c r="Z29" s="38"/>
      <c r="AA29" s="31"/>
      <c r="AB29" s="43"/>
      <c r="AC29" s="40"/>
      <c r="AD29" s="40"/>
    </row>
    <row r="30" spans="1:30" s="1" customFormat="1" x14ac:dyDescent="0.25">
      <c r="A30" s="9">
        <v>43182</v>
      </c>
      <c r="B30" s="20"/>
      <c r="C30" s="15" t="s">
        <v>63</v>
      </c>
      <c r="D30" s="16">
        <v>500</v>
      </c>
      <c r="E30" s="15">
        <v>14.15</v>
      </c>
      <c r="F30" s="16">
        <f t="shared" si="6"/>
        <v>5500</v>
      </c>
      <c r="G30" s="17">
        <f t="shared" si="2"/>
        <v>16.452149579636366</v>
      </c>
      <c r="H30" s="15">
        <f t="shared" si="7"/>
        <v>90486.822688000015</v>
      </c>
      <c r="I30" s="15">
        <f t="shared" si="3"/>
        <v>-12661.822688000015</v>
      </c>
      <c r="J30" s="33">
        <f t="shared" si="4"/>
        <v>-0.1399300175635316</v>
      </c>
      <c r="K30" s="15">
        <f t="shared" si="5"/>
        <v>77825</v>
      </c>
      <c r="L30" s="15">
        <f t="shared" si="0"/>
        <v>-3005.0084899999929</v>
      </c>
      <c r="M30" s="15"/>
      <c r="N30" s="15"/>
      <c r="O30" s="15"/>
      <c r="P30" s="17"/>
      <c r="Q30" s="31">
        <f t="shared" si="1"/>
        <v>-7080.0084899999929</v>
      </c>
      <c r="R30" s="34">
        <f t="shared" si="8"/>
        <v>5.0084900000000001</v>
      </c>
      <c r="S30" s="15"/>
      <c r="T30" s="34"/>
      <c r="U30" s="34"/>
      <c r="V30" s="31"/>
      <c r="W30" s="32"/>
      <c r="X30" s="32"/>
      <c r="Y30" s="32"/>
      <c r="Z30" s="38"/>
      <c r="AA30" s="31"/>
      <c r="AB30" s="43"/>
      <c r="AC30" s="40"/>
      <c r="AD30" s="40"/>
    </row>
    <row r="31" spans="1:30" s="1" customFormat="1" x14ac:dyDescent="0.25">
      <c r="A31" s="9">
        <v>43182</v>
      </c>
      <c r="B31" s="20"/>
      <c r="C31" s="15" t="s">
        <v>63</v>
      </c>
      <c r="D31" s="16">
        <v>500</v>
      </c>
      <c r="E31" s="15">
        <v>13.93</v>
      </c>
      <c r="F31" s="16">
        <f t="shared" si="6"/>
        <v>6000</v>
      </c>
      <c r="G31" s="17">
        <f t="shared" si="2"/>
        <v>16.242805174333338</v>
      </c>
      <c r="H31" s="15">
        <f t="shared" si="7"/>
        <v>97456.831046000021</v>
      </c>
      <c r="I31" s="15">
        <f t="shared" si="3"/>
        <v>-13876.831046000021</v>
      </c>
      <c r="J31" s="33">
        <f t="shared" si="4"/>
        <v>-0.14238951643574482</v>
      </c>
      <c r="K31" s="15">
        <f t="shared" si="5"/>
        <v>83580</v>
      </c>
      <c r="L31" s="15">
        <f t="shared" si="0"/>
        <v>-1215.0083580000064</v>
      </c>
      <c r="M31" s="15"/>
      <c r="N31" s="15"/>
      <c r="O31" s="15"/>
      <c r="P31" s="17"/>
      <c r="Q31" s="31">
        <f t="shared" si="1"/>
        <v>-6970.0083580000064</v>
      </c>
      <c r="R31" s="34">
        <f t="shared" si="8"/>
        <v>5.0083580000000003</v>
      </c>
      <c r="S31" s="15"/>
      <c r="T31" s="34"/>
      <c r="U31" s="34"/>
      <c r="V31" s="31"/>
      <c r="W31" s="32"/>
      <c r="X31" s="32"/>
      <c r="Y31" s="32"/>
      <c r="Z31" s="38"/>
      <c r="AA31" s="31"/>
      <c r="AB31" s="43"/>
      <c r="AC31" s="40"/>
      <c r="AD31" s="40"/>
    </row>
    <row r="32" spans="1:30" s="1" customFormat="1" x14ac:dyDescent="0.25">
      <c r="A32" s="9">
        <v>43185</v>
      </c>
      <c r="B32" s="20"/>
      <c r="C32" s="15" t="s">
        <v>63</v>
      </c>
      <c r="D32" s="16">
        <v>500</v>
      </c>
      <c r="E32" s="15">
        <v>13.72</v>
      </c>
      <c r="F32" s="16">
        <f t="shared" si="6"/>
        <v>6500</v>
      </c>
      <c r="G32" s="17">
        <f t="shared" si="2"/>
        <v>16.049513735076925</v>
      </c>
      <c r="H32" s="15">
        <f t="shared" si="7"/>
        <v>104321.83927800001</v>
      </c>
      <c r="I32" s="15">
        <f t="shared" si="3"/>
        <v>-15141.839278000014</v>
      </c>
      <c r="J32" s="33">
        <f t="shared" si="4"/>
        <v>-0.14514544013789454</v>
      </c>
      <c r="K32" s="15">
        <f t="shared" si="5"/>
        <v>89180</v>
      </c>
      <c r="L32" s="15">
        <f t="shared" si="0"/>
        <v>-1265.0082319999929</v>
      </c>
      <c r="M32" s="15"/>
      <c r="N32" s="15"/>
      <c r="O32" s="15"/>
      <c r="P32" s="17"/>
      <c r="Q32" s="31">
        <f t="shared" si="1"/>
        <v>-6865.0082319999929</v>
      </c>
      <c r="R32" s="34">
        <f t="shared" si="8"/>
        <v>5.0082319999999996</v>
      </c>
      <c r="S32" s="15"/>
      <c r="T32" s="34"/>
      <c r="U32" s="34"/>
      <c r="V32" s="31"/>
      <c r="W32" s="32"/>
      <c r="X32" s="32"/>
      <c r="Y32" s="32"/>
      <c r="Z32" s="38"/>
      <c r="AA32" s="31"/>
      <c r="AB32" s="43"/>
      <c r="AC32" s="40"/>
      <c r="AD32" s="40"/>
    </row>
    <row r="33" spans="1:30" s="1" customFormat="1" x14ac:dyDescent="0.25">
      <c r="A33" s="9">
        <v>43185</v>
      </c>
      <c r="B33" s="20" t="s">
        <v>596</v>
      </c>
      <c r="C33" s="15" t="s">
        <v>69</v>
      </c>
      <c r="D33" s="16">
        <v>400</v>
      </c>
      <c r="E33" s="15">
        <v>13.98</v>
      </c>
      <c r="F33" s="16">
        <f t="shared" si="6"/>
        <v>6100</v>
      </c>
      <c r="G33" s="17">
        <f t="shared" si="2"/>
        <v>16.186957322295086</v>
      </c>
      <c r="H33" s="15">
        <f t="shared" si="7"/>
        <v>98740.43966600002</v>
      </c>
      <c r="I33" s="15">
        <f t="shared" si="3"/>
        <v>-13462.43966600002</v>
      </c>
      <c r="J33" s="33">
        <f t="shared" si="4"/>
        <v>-0.13634170266547474</v>
      </c>
      <c r="K33" s="15">
        <f t="shared" si="5"/>
        <v>85278</v>
      </c>
      <c r="L33" s="15">
        <f t="shared" si="0"/>
        <v>1679.3996119999938</v>
      </c>
      <c r="M33" s="15"/>
      <c r="N33" s="15"/>
      <c r="O33" s="15"/>
      <c r="P33" s="17"/>
      <c r="Q33" s="31">
        <f t="shared" si="1"/>
        <v>5581.3996119999938</v>
      </c>
      <c r="R33" s="34">
        <f t="shared" si="8"/>
        <v>10.600388000000001</v>
      </c>
      <c r="S33" s="15"/>
      <c r="T33" s="34"/>
      <c r="U33" s="34"/>
      <c r="V33" s="31"/>
      <c r="W33" s="32"/>
      <c r="X33" s="32"/>
      <c r="Y33" s="32"/>
      <c r="Z33" s="38"/>
      <c r="AA33" s="31"/>
      <c r="AB33" s="43"/>
      <c r="AC33" s="40"/>
      <c r="AD33" s="40"/>
    </row>
    <row r="34" spans="1:30" s="1" customFormat="1" x14ac:dyDescent="0.25">
      <c r="A34" s="9">
        <v>43186</v>
      </c>
      <c r="B34" s="20" t="s">
        <v>179</v>
      </c>
      <c r="C34" s="15" t="s">
        <v>69</v>
      </c>
      <c r="D34" s="16">
        <v>400</v>
      </c>
      <c r="E34" s="15">
        <v>14.28</v>
      </c>
      <c r="F34" s="16">
        <f t="shared" si="6"/>
        <v>5700</v>
      </c>
      <c r="G34" s="17">
        <f t="shared" si="2"/>
        <v>16.322659690175442</v>
      </c>
      <c r="H34" s="15">
        <f t="shared" si="7"/>
        <v>93039.160234000025</v>
      </c>
      <c r="I34" s="15">
        <f t="shared" si="3"/>
        <v>-11643.160234000025</v>
      </c>
      <c r="J34" s="33">
        <f t="shared" si="4"/>
        <v>-0.12514257657438715</v>
      </c>
      <c r="K34" s="15">
        <f t="shared" si="5"/>
        <v>81396</v>
      </c>
      <c r="L34" s="15">
        <f t="shared" si="0"/>
        <v>1819.2794319999957</v>
      </c>
      <c r="M34" s="15"/>
      <c r="N34" s="15"/>
      <c r="O34" s="15"/>
      <c r="P34" s="17"/>
      <c r="Q34" s="31">
        <f t="shared" si="1"/>
        <v>5701.2794319999957</v>
      </c>
      <c r="R34" s="34">
        <f t="shared" si="8"/>
        <v>10.720568</v>
      </c>
      <c r="S34" s="15"/>
      <c r="T34" s="34"/>
      <c r="U34" s="34"/>
      <c r="V34" s="31"/>
      <c r="W34" s="32"/>
      <c r="X34" s="32"/>
      <c r="Y34" s="32"/>
      <c r="Z34" s="38"/>
      <c r="AA34" s="31"/>
      <c r="AB34" s="43"/>
      <c r="AC34" s="40"/>
      <c r="AD34" s="40"/>
    </row>
    <row r="35" spans="1:30" s="1" customFormat="1" x14ac:dyDescent="0.25">
      <c r="A35" s="9">
        <v>43202</v>
      </c>
      <c r="B35" s="20" t="s">
        <v>389</v>
      </c>
      <c r="C35" s="15" t="s">
        <v>69</v>
      </c>
      <c r="D35" s="16">
        <v>400</v>
      </c>
      <c r="E35" s="15">
        <v>14.63</v>
      </c>
      <c r="F35" s="16">
        <f t="shared" si="6"/>
        <v>5300</v>
      </c>
      <c r="G35" s="17">
        <f t="shared" si="2"/>
        <v>16.452456794716987</v>
      </c>
      <c r="H35" s="15">
        <f t="shared" si="7"/>
        <v>87198.021012000027</v>
      </c>
      <c r="I35" s="15">
        <f t="shared" si="3"/>
        <v>-9659.0210120000265</v>
      </c>
      <c r="J35" s="33">
        <f t="shared" si="4"/>
        <v>-0.11077110351702558</v>
      </c>
      <c r="K35" s="15">
        <f t="shared" si="5"/>
        <v>77539</v>
      </c>
      <c r="L35" s="15">
        <f t="shared" si="0"/>
        <v>1984.139221999998</v>
      </c>
      <c r="M35" s="15"/>
      <c r="N35" s="15"/>
      <c r="O35" s="15"/>
      <c r="P35" s="17"/>
      <c r="Q35" s="31">
        <f t="shared" si="1"/>
        <v>5841.139221999998</v>
      </c>
      <c r="R35" s="34">
        <f t="shared" si="8"/>
        <v>10.860778</v>
      </c>
      <c r="S35" s="15"/>
      <c r="T35" s="34"/>
      <c r="U35" s="34"/>
      <c r="V35" s="31"/>
      <c r="W35" s="32"/>
      <c r="X35" s="32"/>
      <c r="Y35" s="32"/>
      <c r="Z35" s="38"/>
      <c r="AA35" s="31"/>
      <c r="AB35" s="43"/>
      <c r="AC35" s="40"/>
      <c r="AD35" s="40"/>
    </row>
    <row r="36" spans="1:30" s="1" customFormat="1" x14ac:dyDescent="0.25">
      <c r="A36" s="9">
        <v>43206</v>
      </c>
      <c r="B36" s="20"/>
      <c r="C36" s="15" t="s">
        <v>63</v>
      </c>
      <c r="D36" s="16">
        <v>500</v>
      </c>
      <c r="E36" s="15">
        <v>14.22</v>
      </c>
      <c r="F36" s="16">
        <f t="shared" si="6"/>
        <v>5800</v>
      </c>
      <c r="G36" s="17">
        <f t="shared" si="2"/>
        <v>16.260867162758625</v>
      </c>
      <c r="H36" s="15">
        <f t="shared" si="7"/>
        <v>94313.029544000034</v>
      </c>
      <c r="I36" s="15">
        <f t="shared" si="3"/>
        <v>-11837.029544000034</v>
      </c>
      <c r="J36" s="33">
        <f t="shared" si="4"/>
        <v>-0.1255078921887211</v>
      </c>
      <c r="K36" s="15">
        <f t="shared" si="5"/>
        <v>82476</v>
      </c>
      <c r="L36" s="15">
        <f t="shared" si="0"/>
        <v>-2178.0085320000071</v>
      </c>
      <c r="M36" s="15"/>
      <c r="N36" s="15"/>
      <c r="O36" s="15"/>
      <c r="P36" s="17"/>
      <c r="Q36" s="31">
        <f t="shared" si="1"/>
        <v>-7115.0085320000071</v>
      </c>
      <c r="R36" s="34">
        <f t="shared" si="8"/>
        <v>5.0085319999999998</v>
      </c>
      <c r="S36" s="15"/>
      <c r="T36" s="34"/>
      <c r="U36" s="34"/>
      <c r="V36" s="31"/>
      <c r="W36" s="32"/>
      <c r="X36" s="32"/>
      <c r="Y36" s="32"/>
      <c r="Z36" s="38"/>
      <c r="AA36" s="31"/>
      <c r="AB36" s="43"/>
      <c r="AC36" s="40"/>
      <c r="AD36" s="40"/>
    </row>
    <row r="37" spans="1:30" s="1" customFormat="1" x14ac:dyDescent="0.25">
      <c r="A37" s="9">
        <v>43213</v>
      </c>
      <c r="B37" s="20"/>
      <c r="C37" s="15" t="s">
        <v>63</v>
      </c>
      <c r="D37" s="16">
        <v>500</v>
      </c>
      <c r="E37" s="15">
        <v>13.93</v>
      </c>
      <c r="F37" s="16">
        <f t="shared" si="6"/>
        <v>6300</v>
      </c>
      <c r="G37" s="17">
        <f t="shared" si="2"/>
        <v>16.076672682857151</v>
      </c>
      <c r="H37" s="15">
        <f t="shared" si="7"/>
        <v>101283.03790200004</v>
      </c>
      <c r="I37" s="15">
        <f t="shared" si="3"/>
        <v>-13524.03790200004</v>
      </c>
      <c r="J37" s="33">
        <f t="shared" si="4"/>
        <v>-0.13352717475838063</v>
      </c>
      <c r="K37" s="15">
        <f t="shared" si="5"/>
        <v>87759</v>
      </c>
      <c r="L37" s="15">
        <f t="shared" si="0"/>
        <v>-1687.0083580000064</v>
      </c>
      <c r="M37" s="15"/>
      <c r="N37" s="15"/>
      <c r="O37" s="15"/>
      <c r="P37" s="17"/>
      <c r="Q37" s="31">
        <f t="shared" si="1"/>
        <v>-6970.0083580000064</v>
      </c>
      <c r="R37" s="34">
        <f t="shared" si="8"/>
        <v>5.0083580000000003</v>
      </c>
      <c r="S37" s="15"/>
      <c r="T37" s="34"/>
      <c r="U37" s="34"/>
      <c r="V37" s="31"/>
      <c r="W37" s="32"/>
      <c r="X37" s="32"/>
      <c r="Y37" s="32"/>
      <c r="Z37" s="38"/>
      <c r="AA37" s="31"/>
      <c r="AB37" s="43"/>
      <c r="AC37" s="40"/>
      <c r="AD37" s="40"/>
    </row>
    <row r="38" spans="1:30" s="1" customFormat="1" x14ac:dyDescent="0.25">
      <c r="A38" s="9">
        <v>43214</v>
      </c>
      <c r="B38" s="20" t="s">
        <v>205</v>
      </c>
      <c r="C38" s="15" t="s">
        <v>69</v>
      </c>
      <c r="D38" s="16">
        <v>400</v>
      </c>
      <c r="E38" s="15">
        <v>14.15</v>
      </c>
      <c r="F38" s="16">
        <f t="shared" si="6"/>
        <v>5900</v>
      </c>
      <c r="G38" s="17">
        <f t="shared" si="2"/>
        <v>16.209102778305091</v>
      </c>
      <c r="H38" s="15">
        <f t="shared" si="7"/>
        <v>95633.706392000036</v>
      </c>
      <c r="I38" s="15">
        <f t="shared" si="3"/>
        <v>-12148.706392000036</v>
      </c>
      <c r="J38" s="33">
        <f t="shared" si="4"/>
        <v>-0.1270337295325856</v>
      </c>
      <c r="K38" s="15">
        <f t="shared" si="5"/>
        <v>83485</v>
      </c>
      <c r="L38" s="15">
        <f t="shared" si="0"/>
        <v>1375.3315100000036</v>
      </c>
      <c r="M38" s="15"/>
      <c r="N38" s="15"/>
      <c r="O38" s="15"/>
      <c r="P38" s="17"/>
      <c r="Q38" s="31">
        <f t="shared" si="1"/>
        <v>5649.3315100000036</v>
      </c>
      <c r="R38" s="34">
        <f t="shared" si="8"/>
        <v>10.66849</v>
      </c>
      <c r="S38" s="15"/>
      <c r="T38" s="34"/>
      <c r="U38" s="34"/>
      <c r="V38" s="31"/>
      <c r="W38" s="32"/>
      <c r="X38" s="32"/>
      <c r="Y38" s="32"/>
      <c r="Z38" s="38"/>
      <c r="AA38" s="31"/>
      <c r="AB38" s="43"/>
      <c r="AC38" s="40"/>
      <c r="AD38" s="40"/>
    </row>
    <row r="39" spans="1:30" s="1" customFormat="1" x14ac:dyDescent="0.25">
      <c r="A39" s="9">
        <v>43216</v>
      </c>
      <c r="B39" s="20"/>
      <c r="C39" s="15" t="s">
        <v>69</v>
      </c>
      <c r="D39" s="16">
        <v>400</v>
      </c>
      <c r="E39" s="15">
        <v>14.63</v>
      </c>
      <c r="F39" s="16">
        <f t="shared" si="6"/>
        <v>5500</v>
      </c>
      <c r="G39" s="17">
        <f t="shared" si="2"/>
        <v>16.32592130363637</v>
      </c>
      <c r="H39" s="15">
        <f t="shared" si="7"/>
        <v>89792.567170000038</v>
      </c>
      <c r="I39" s="15">
        <f t="shared" si="3"/>
        <v>-9327.5671700000385</v>
      </c>
      <c r="J39" s="33">
        <f t="shared" si="4"/>
        <v>-0.10387905662993897</v>
      </c>
      <c r="K39" s="15">
        <f t="shared" si="5"/>
        <v>80465</v>
      </c>
      <c r="L39" s="15">
        <f t="shared" si="0"/>
        <v>2821.139221999998</v>
      </c>
      <c r="M39" s="15"/>
      <c r="N39" s="15"/>
      <c r="O39" s="15"/>
      <c r="P39" s="17"/>
      <c r="Q39" s="31">
        <f t="shared" si="1"/>
        <v>5841.139221999998</v>
      </c>
      <c r="R39" s="34">
        <f t="shared" si="8"/>
        <v>10.860778</v>
      </c>
      <c r="S39" s="15"/>
      <c r="T39" s="34"/>
      <c r="U39" s="34"/>
      <c r="V39" s="31"/>
      <c r="W39" s="32"/>
      <c r="X39" s="32"/>
      <c r="Y39" s="32"/>
      <c r="Z39" s="38"/>
      <c r="AA39" s="31"/>
      <c r="AB39" s="43"/>
      <c r="AC39" s="40"/>
      <c r="AD39" s="40"/>
    </row>
    <row r="40" spans="1:30" s="1" customFormat="1" x14ac:dyDescent="0.25">
      <c r="A40" s="9">
        <v>43227</v>
      </c>
      <c r="B40" s="20" t="s">
        <v>177</v>
      </c>
      <c r="C40" s="15" t="s">
        <v>69</v>
      </c>
      <c r="D40" s="16">
        <v>400</v>
      </c>
      <c r="E40" s="15">
        <v>14.75</v>
      </c>
      <c r="F40" s="16">
        <f t="shared" si="6"/>
        <v>5100</v>
      </c>
      <c r="G40" s="17">
        <f t="shared" si="2"/>
        <v>16.451661964705892</v>
      </c>
      <c r="H40" s="15">
        <f t="shared" si="7"/>
        <v>83903.476020000046</v>
      </c>
      <c r="I40" s="15">
        <f t="shared" si="3"/>
        <v>-8678.4760200000455</v>
      </c>
      <c r="J40" s="33">
        <f t="shared" si="4"/>
        <v>-0.10343404625967298</v>
      </c>
      <c r="K40" s="15">
        <f t="shared" si="5"/>
        <v>75225</v>
      </c>
      <c r="L40" s="15">
        <f t="shared" si="0"/>
        <v>649.09114999999292</v>
      </c>
      <c r="M40" s="15"/>
      <c r="N40" s="15"/>
      <c r="O40" s="15"/>
      <c r="P40" s="17"/>
      <c r="Q40" s="31">
        <f t="shared" si="1"/>
        <v>5889.0911499999929</v>
      </c>
      <c r="R40" s="34">
        <f t="shared" si="8"/>
        <v>10.908850000000001</v>
      </c>
      <c r="S40" s="15"/>
      <c r="T40" s="34"/>
      <c r="U40" s="34"/>
      <c r="V40" s="31"/>
      <c r="W40" s="32"/>
      <c r="X40" s="32"/>
      <c r="Y40" s="32"/>
      <c r="Z40" s="38"/>
      <c r="AA40" s="31"/>
      <c r="AB40" s="43"/>
      <c r="AC40" s="40"/>
      <c r="AD40" s="40"/>
    </row>
    <row r="41" spans="1:30" s="1" customFormat="1" x14ac:dyDescent="0.25">
      <c r="A41" s="9">
        <v>43236</v>
      </c>
      <c r="B41" s="20"/>
      <c r="C41" s="15" t="s">
        <v>69</v>
      </c>
      <c r="D41" s="16">
        <v>400</v>
      </c>
      <c r="E41" s="15">
        <v>15.01</v>
      </c>
      <c r="F41" s="16">
        <f t="shared" si="6"/>
        <v>4700</v>
      </c>
      <c r="G41" s="17">
        <f t="shared" si="2"/>
        <v>16.576699792765965</v>
      </c>
      <c r="H41" s="15">
        <f t="shared" si="7"/>
        <v>77910.489026000039</v>
      </c>
      <c r="I41" s="15">
        <f t="shared" si="3"/>
        <v>-7363.4890260000393</v>
      </c>
      <c r="J41" s="33">
        <f t="shared" si="4"/>
        <v>-9.4512165410009355E-2</v>
      </c>
      <c r="K41" s="15">
        <f t="shared" si="5"/>
        <v>70547</v>
      </c>
      <c r="L41" s="15">
        <f t="shared" si="0"/>
        <v>1314.9869940000062</v>
      </c>
      <c r="M41" s="15"/>
      <c r="N41" s="15"/>
      <c r="O41" s="15"/>
      <c r="P41" s="17"/>
      <c r="Q41" s="31">
        <f t="shared" si="1"/>
        <v>5992.9869940000062</v>
      </c>
      <c r="R41" s="34">
        <f t="shared" si="8"/>
        <v>11.013006000000001</v>
      </c>
      <c r="S41" s="15"/>
      <c r="T41" s="34"/>
      <c r="U41" s="34"/>
      <c r="V41" s="31"/>
      <c r="W41" s="32"/>
      <c r="X41" s="32"/>
      <c r="Y41" s="32"/>
      <c r="Z41" s="38"/>
      <c r="AA41" s="31"/>
      <c r="AB41" s="43"/>
      <c r="AC41" s="40"/>
      <c r="AD41" s="40"/>
    </row>
    <row r="42" spans="1:30" s="1" customFormat="1" x14ac:dyDescent="0.25">
      <c r="A42" s="9">
        <v>43236</v>
      </c>
      <c r="B42" s="18"/>
      <c r="C42" s="15" t="s">
        <v>69</v>
      </c>
      <c r="D42" s="16">
        <v>400</v>
      </c>
      <c r="E42" s="15">
        <v>15.2</v>
      </c>
      <c r="F42" s="16">
        <f t="shared" si="6"/>
        <v>4300</v>
      </c>
      <c r="G42" s="17">
        <f t="shared" si="2"/>
        <v>16.70734375488373</v>
      </c>
      <c r="H42" s="15">
        <f t="shared" si="7"/>
        <v>71841.578146000043</v>
      </c>
      <c r="I42" s="15">
        <f t="shared" si="3"/>
        <v>-6481.5781460000435</v>
      </c>
      <c r="J42" s="33">
        <f t="shared" si="4"/>
        <v>-9.0220431027111594E-2</v>
      </c>
      <c r="K42" s="15">
        <f t="shared" si="5"/>
        <v>65360</v>
      </c>
      <c r="L42" s="15">
        <f t="shared" si="0"/>
        <v>881.91087999999581</v>
      </c>
      <c r="M42" s="15"/>
      <c r="N42" s="15"/>
      <c r="O42" s="15"/>
      <c r="P42" s="17"/>
      <c r="Q42" s="31">
        <f t="shared" si="1"/>
        <v>6068.9108799999958</v>
      </c>
      <c r="R42" s="34">
        <f t="shared" si="8"/>
        <v>11.089120000000001</v>
      </c>
      <c r="S42" s="15"/>
      <c r="T42" s="34"/>
      <c r="U42" s="34"/>
      <c r="V42" s="31"/>
      <c r="W42" s="32"/>
      <c r="X42" s="32"/>
      <c r="Y42" s="32"/>
      <c r="Z42" s="38"/>
      <c r="AA42" s="31"/>
      <c r="AB42" s="44"/>
      <c r="AC42" s="40"/>
      <c r="AD42" s="40"/>
    </row>
    <row r="43" spans="1:30" s="1" customFormat="1" x14ac:dyDescent="0.25">
      <c r="A43" s="9">
        <v>43237</v>
      </c>
      <c r="B43" s="18" t="s">
        <v>223</v>
      </c>
      <c r="C43" s="15" t="s">
        <v>69</v>
      </c>
      <c r="D43" s="16">
        <v>400</v>
      </c>
      <c r="E43" s="15">
        <v>15.42</v>
      </c>
      <c r="F43" s="16">
        <f t="shared" si="6"/>
        <v>3900</v>
      </c>
      <c r="G43" s="17">
        <f t="shared" si="2"/>
        <v>16.842244973846164</v>
      </c>
      <c r="H43" s="15">
        <f t="shared" si="7"/>
        <v>65684.755398000038</v>
      </c>
      <c r="I43" s="15">
        <f t="shared" si="3"/>
        <v>-5546.7553980000375</v>
      </c>
      <c r="J43" s="33">
        <f t="shared" si="4"/>
        <v>-8.4445094822853312E-2</v>
      </c>
      <c r="K43" s="15">
        <f t="shared" si="5"/>
        <v>60138</v>
      </c>
      <c r="L43" s="15">
        <f t="shared" si="0"/>
        <v>934.82274800000596</v>
      </c>
      <c r="M43" s="15"/>
      <c r="N43" s="15"/>
      <c r="O43" s="15"/>
      <c r="P43" s="17"/>
      <c r="Q43" s="31">
        <f t="shared" si="1"/>
        <v>6156.822748000006</v>
      </c>
      <c r="R43" s="34">
        <f t="shared" si="8"/>
        <v>11.177251999999999</v>
      </c>
      <c r="S43" s="15"/>
      <c r="T43" s="273"/>
      <c r="U43" s="273"/>
      <c r="V43" s="22"/>
      <c r="W43" s="272"/>
      <c r="X43" s="272"/>
      <c r="Y43" s="272"/>
      <c r="Z43" s="274"/>
      <c r="AA43" s="22"/>
      <c r="AB43" s="275"/>
      <c r="AC43" s="40"/>
      <c r="AD43" s="40"/>
    </row>
    <row r="44" spans="1:30" s="1" customFormat="1" x14ac:dyDescent="0.25">
      <c r="A44" s="9">
        <v>43242</v>
      </c>
      <c r="B44" s="18" t="s">
        <v>607</v>
      </c>
      <c r="C44" s="15" t="s">
        <v>63</v>
      </c>
      <c r="D44" s="16">
        <v>500</v>
      </c>
      <c r="E44" s="15">
        <v>15.2</v>
      </c>
      <c r="F44" s="16">
        <f t="shared" si="6"/>
        <v>4400</v>
      </c>
      <c r="G44" s="17">
        <f t="shared" si="2"/>
        <v>16.656764663181828</v>
      </c>
      <c r="H44" s="15">
        <f t="shared" si="7"/>
        <v>73289.76451800004</v>
      </c>
      <c r="I44" s="15">
        <f t="shared" si="3"/>
        <v>-6409.76451800004</v>
      </c>
      <c r="J44" s="33">
        <f t="shared" si="4"/>
        <v>-8.7457840261252348E-2</v>
      </c>
      <c r="K44" s="15">
        <f t="shared" si="5"/>
        <v>66880</v>
      </c>
      <c r="L44" s="15">
        <f t="shared" si="0"/>
        <v>-863.00912000000244</v>
      </c>
      <c r="M44" s="15"/>
      <c r="N44" s="15"/>
      <c r="O44" s="15"/>
      <c r="P44" s="17"/>
      <c r="Q44" s="31">
        <f t="shared" si="1"/>
        <v>-7605.0091200000024</v>
      </c>
      <c r="R44" s="34">
        <f t="shared" si="8"/>
        <v>5.0091200000000002</v>
      </c>
      <c r="S44" s="15"/>
      <c r="T44" s="273"/>
      <c r="U44" s="273"/>
      <c r="V44" s="22"/>
      <c r="W44" s="272"/>
      <c r="X44" s="272"/>
      <c r="Y44" s="272"/>
      <c r="Z44" s="274"/>
      <c r="AA44" s="22"/>
      <c r="AB44" s="275"/>
      <c r="AC44" s="40"/>
      <c r="AD44" s="40"/>
    </row>
    <row r="45" spans="1:30" s="1" customFormat="1" x14ac:dyDescent="0.25">
      <c r="A45" s="9">
        <v>43245</v>
      </c>
      <c r="B45" s="18" t="s">
        <v>197</v>
      </c>
      <c r="C45" s="15" t="s">
        <v>63</v>
      </c>
      <c r="D45" s="16">
        <v>500</v>
      </c>
      <c r="E45" s="15">
        <v>14.97</v>
      </c>
      <c r="F45" s="16">
        <f t="shared" si="6"/>
        <v>4900</v>
      </c>
      <c r="G45" s="17">
        <f t="shared" si="2"/>
        <v>16.485668061224498</v>
      </c>
      <c r="H45" s="15">
        <f t="shared" si="7"/>
        <v>80779.773500000039</v>
      </c>
      <c r="I45" s="15">
        <f t="shared" si="3"/>
        <v>-7426.7735000000393</v>
      </c>
      <c r="J45" s="33">
        <f t="shared" si="4"/>
        <v>-9.1938528399068034E-2</v>
      </c>
      <c r="K45" s="15">
        <f t="shared" si="5"/>
        <v>73353</v>
      </c>
      <c r="L45" s="15">
        <f t="shared" si="0"/>
        <v>-1017.0089819999994</v>
      </c>
      <c r="M45" s="15"/>
      <c r="N45" s="15"/>
      <c r="O45" s="15"/>
      <c r="P45" s="17"/>
      <c r="Q45" s="31">
        <f t="shared" si="1"/>
        <v>-7490.0089819999994</v>
      </c>
      <c r="R45" s="34">
        <f t="shared" si="8"/>
        <v>5.0089819999999996</v>
      </c>
      <c r="S45" s="15"/>
      <c r="T45" s="273"/>
      <c r="U45" s="273"/>
      <c r="V45" s="22"/>
      <c r="W45" s="272"/>
      <c r="X45" s="272"/>
      <c r="Y45" s="272"/>
      <c r="Z45" s="274"/>
      <c r="AA45" s="22"/>
      <c r="AB45" s="275"/>
      <c r="AC45" s="40"/>
      <c r="AD45" s="40"/>
    </row>
    <row r="46" spans="1:30" s="1" customFormat="1" x14ac:dyDescent="0.25">
      <c r="A46" s="9">
        <v>43250</v>
      </c>
      <c r="B46" s="18"/>
      <c r="C46" s="15" t="s">
        <v>63</v>
      </c>
      <c r="D46" s="16">
        <v>500</v>
      </c>
      <c r="E46" s="15">
        <v>14.74</v>
      </c>
      <c r="F46" s="16">
        <f t="shared" si="6"/>
        <v>5400</v>
      </c>
      <c r="G46" s="17">
        <f t="shared" si="2"/>
        <v>16.324959693333341</v>
      </c>
      <c r="H46" s="15">
        <f t="shared" si="7"/>
        <v>88154.782344000036</v>
      </c>
      <c r="I46" s="15">
        <f t="shared" si="3"/>
        <v>-8558.7823440000357</v>
      </c>
      <c r="J46" s="33">
        <f t="shared" si="4"/>
        <v>-9.7088122917730321E-2</v>
      </c>
      <c r="K46" s="15">
        <f t="shared" si="5"/>
        <v>79596</v>
      </c>
      <c r="L46" s="15">
        <f t="shared" si="0"/>
        <v>-1132.0088439999963</v>
      </c>
      <c r="M46" s="15"/>
      <c r="N46" s="15"/>
      <c r="O46" s="15"/>
      <c r="P46" s="17"/>
      <c r="Q46" s="31">
        <f t="shared" si="1"/>
        <v>-7375.0088439999963</v>
      </c>
      <c r="R46" s="34">
        <f t="shared" si="8"/>
        <v>5.0088439999999999</v>
      </c>
      <c r="S46" s="15"/>
      <c r="T46" s="273"/>
      <c r="U46" s="273"/>
      <c r="V46" s="22"/>
      <c r="W46" s="272"/>
      <c r="X46" s="272"/>
      <c r="Y46" s="272"/>
      <c r="Z46" s="274"/>
      <c r="AA46" s="22"/>
      <c r="AB46" s="275"/>
      <c r="AC46" s="40"/>
      <c r="AD46" s="40"/>
    </row>
    <row r="47" spans="1:30" s="1" customFormat="1" x14ac:dyDescent="0.25">
      <c r="A47" s="9">
        <v>43250</v>
      </c>
      <c r="B47" s="18"/>
      <c r="C47" s="15" t="s">
        <v>63</v>
      </c>
      <c r="D47" s="16">
        <v>500</v>
      </c>
      <c r="E47" s="15">
        <v>14.48</v>
      </c>
      <c r="F47" s="16">
        <f t="shared" si="6"/>
        <v>5900</v>
      </c>
      <c r="G47" s="17">
        <f t="shared" si="2"/>
        <v>16.169456107118652</v>
      </c>
      <c r="H47" s="15">
        <f t="shared" si="7"/>
        <v>95399.791032000037</v>
      </c>
      <c r="I47" s="15">
        <f t="shared" si="3"/>
        <v>-9967.7910320000374</v>
      </c>
      <c r="J47" s="33">
        <f t="shared" si="4"/>
        <v>-0.1044844115922281</v>
      </c>
      <c r="K47" s="15">
        <f t="shared" si="5"/>
        <v>85432</v>
      </c>
      <c r="L47" s="15">
        <f t="shared" si="0"/>
        <v>-1409.0086880000017</v>
      </c>
      <c r="M47" s="15"/>
      <c r="N47" s="15"/>
      <c r="O47" s="15"/>
      <c r="P47" s="17"/>
      <c r="Q47" s="31">
        <f t="shared" si="1"/>
        <v>-7245.0086880000017</v>
      </c>
      <c r="R47" s="34">
        <f t="shared" si="8"/>
        <v>5.0086880000000003</v>
      </c>
      <c r="S47" s="15"/>
      <c r="T47" s="273"/>
      <c r="U47" s="273"/>
      <c r="V47" s="22"/>
      <c r="W47" s="272"/>
      <c r="X47" s="272"/>
      <c r="Y47" s="272"/>
      <c r="Z47" s="274"/>
      <c r="AA47" s="22"/>
      <c r="AB47" s="275"/>
      <c r="AC47" s="40"/>
      <c r="AD47" s="40"/>
    </row>
    <row r="48" spans="1:30" s="1" customFormat="1" x14ac:dyDescent="0.25">
      <c r="A48" s="9">
        <v>43251</v>
      </c>
      <c r="B48" s="18" t="s">
        <v>396</v>
      </c>
      <c r="C48" s="15" t="s">
        <v>69</v>
      </c>
      <c r="D48" s="16">
        <v>400</v>
      </c>
      <c r="E48" s="15">
        <v>14.8</v>
      </c>
      <c r="F48" s="16">
        <f t="shared" si="6"/>
        <v>5500</v>
      </c>
      <c r="G48" s="17">
        <f t="shared" si="2"/>
        <v>16.271039984000009</v>
      </c>
      <c r="H48" s="15">
        <f t="shared" si="7"/>
        <v>89490.719912000044</v>
      </c>
      <c r="I48" s="15">
        <f t="shared" si="3"/>
        <v>-8090.7199120000441</v>
      </c>
      <c r="J48" s="33">
        <f t="shared" si="4"/>
        <v>-9.0408479448550474E-2</v>
      </c>
      <c r="K48" s="15">
        <f t="shared" si="5"/>
        <v>81400</v>
      </c>
      <c r="L48" s="15">
        <f t="shared" si="0"/>
        <v>1877.0711199999932</v>
      </c>
      <c r="M48" s="15"/>
      <c r="N48" s="15"/>
      <c r="O48" s="15"/>
      <c r="P48" s="17"/>
      <c r="Q48" s="31">
        <f t="shared" si="1"/>
        <v>5909.0711199999932</v>
      </c>
      <c r="R48" s="34">
        <f t="shared" si="8"/>
        <v>10.928879999999999</v>
      </c>
      <c r="S48" s="15"/>
      <c r="T48" s="273"/>
      <c r="U48" s="273"/>
      <c r="V48" s="22"/>
      <c r="W48" s="272"/>
      <c r="X48" s="272"/>
      <c r="Y48" s="272"/>
      <c r="Z48" s="274"/>
      <c r="AA48" s="22"/>
      <c r="AB48" s="275"/>
      <c r="AC48" s="40"/>
      <c r="AD48" s="40"/>
    </row>
    <row r="49" spans="1:30" s="1" customFormat="1" x14ac:dyDescent="0.25">
      <c r="A49" s="9">
        <v>43251</v>
      </c>
      <c r="B49" s="18" t="s">
        <v>178</v>
      </c>
      <c r="C49" s="15" t="s">
        <v>69</v>
      </c>
      <c r="D49" s="16">
        <v>400</v>
      </c>
      <c r="E49" s="15">
        <v>15.2</v>
      </c>
      <c r="F49" s="16">
        <f t="shared" si="6"/>
        <v>5100</v>
      </c>
      <c r="G49" s="17">
        <f t="shared" si="2"/>
        <v>16.357217457254912</v>
      </c>
      <c r="H49" s="15">
        <f t="shared" si="7"/>
        <v>83421.809032000048</v>
      </c>
      <c r="I49" s="15">
        <f t="shared" si="3"/>
        <v>-5901.8090320000483</v>
      </c>
      <c r="J49" s="33">
        <f t="shared" si="4"/>
        <v>-7.0746596129750178E-2</v>
      </c>
      <c r="K49" s="15">
        <f t="shared" si="5"/>
        <v>77520</v>
      </c>
      <c r="L49" s="15">
        <f t="shared" si="0"/>
        <v>2188.9108799999958</v>
      </c>
      <c r="M49" s="15"/>
      <c r="N49" s="15"/>
      <c r="O49" s="15"/>
      <c r="P49" s="17"/>
      <c r="Q49" s="31">
        <f t="shared" si="1"/>
        <v>6068.9108799999958</v>
      </c>
      <c r="R49" s="34">
        <f t="shared" si="8"/>
        <v>11.089120000000001</v>
      </c>
      <c r="S49" s="15"/>
      <c r="T49" s="273"/>
      <c r="U49" s="273"/>
      <c r="V49" s="22"/>
      <c r="W49" s="272"/>
      <c r="X49" s="272"/>
      <c r="Y49" s="272"/>
      <c r="Z49" s="274"/>
      <c r="AA49" s="22"/>
      <c r="AB49" s="275"/>
      <c r="AC49" s="40"/>
      <c r="AD49" s="40"/>
    </row>
    <row r="50" spans="1:30" s="1" customFormat="1" x14ac:dyDescent="0.25">
      <c r="A50" s="9">
        <v>43257</v>
      </c>
      <c r="B50" s="18"/>
      <c r="C50" s="15" t="s">
        <v>69</v>
      </c>
      <c r="D50" s="16">
        <v>400</v>
      </c>
      <c r="E50" s="15">
        <v>15.33</v>
      </c>
      <c r="F50" s="16">
        <f t="shared" si="6"/>
        <v>4700</v>
      </c>
      <c r="G50" s="17">
        <f t="shared" si="2"/>
        <v>16.447010687234052</v>
      </c>
      <c r="H50" s="15">
        <f t="shared" si="7"/>
        <v>77300.950230000046</v>
      </c>
      <c r="I50" s="15">
        <f t="shared" si="3"/>
        <v>-5249.9502300000458</v>
      </c>
      <c r="J50" s="33">
        <f t="shared" si="4"/>
        <v>-6.7915726965573159E-2</v>
      </c>
      <c r="K50" s="15">
        <f t="shared" si="5"/>
        <v>72051</v>
      </c>
      <c r="L50" s="15">
        <f t="shared" si="0"/>
        <v>651.85880200000247</v>
      </c>
      <c r="M50" s="15"/>
      <c r="N50" s="15"/>
      <c r="O50" s="15"/>
      <c r="P50" s="17"/>
      <c r="Q50" s="31">
        <f t="shared" si="1"/>
        <v>6120.8588020000025</v>
      </c>
      <c r="R50" s="34">
        <f t="shared" si="8"/>
        <v>11.141197999999999</v>
      </c>
      <c r="S50" s="15"/>
      <c r="T50" s="273"/>
      <c r="U50" s="273"/>
      <c r="V50" s="22"/>
      <c r="W50" s="272"/>
      <c r="X50" s="272"/>
      <c r="Y50" s="272"/>
      <c r="Z50" s="274"/>
      <c r="AA50" s="22"/>
      <c r="AB50" s="275"/>
      <c r="AC50" s="40"/>
      <c r="AD50" s="40"/>
    </row>
    <row r="51" spans="1:30" s="1" customFormat="1" x14ac:dyDescent="0.25">
      <c r="A51" s="9">
        <v>43259</v>
      </c>
      <c r="B51" s="18" t="s">
        <v>191</v>
      </c>
      <c r="C51" s="15" t="s">
        <v>63</v>
      </c>
      <c r="D51" s="16">
        <v>500</v>
      </c>
      <c r="E51" s="15">
        <v>14.75</v>
      </c>
      <c r="F51" s="16">
        <f t="shared" si="6"/>
        <v>5200</v>
      </c>
      <c r="G51" s="17">
        <f t="shared" si="2"/>
        <v>16.284799823076931</v>
      </c>
      <c r="H51" s="15">
        <f t="shared" si="7"/>
        <v>84680.959080000044</v>
      </c>
      <c r="I51" s="15">
        <f t="shared" si="3"/>
        <v>-7980.9590800000442</v>
      </c>
      <c r="J51" s="33">
        <f t="shared" si="4"/>
        <v>-9.4247386504683353E-2</v>
      </c>
      <c r="K51" s="15">
        <f t="shared" si="5"/>
        <v>76700</v>
      </c>
      <c r="L51" s="15">
        <f t="shared" si="0"/>
        <v>-2731.0088499999983</v>
      </c>
      <c r="M51" s="15"/>
      <c r="N51" s="15"/>
      <c r="O51" s="15"/>
      <c r="P51" s="17"/>
      <c r="Q51" s="31">
        <f t="shared" si="1"/>
        <v>-7380.0088499999983</v>
      </c>
      <c r="R51" s="34">
        <f t="shared" si="8"/>
        <v>5.0088499999999998</v>
      </c>
      <c r="S51" s="15"/>
      <c r="T51" s="273"/>
      <c r="U51" s="273"/>
      <c r="V51" s="22"/>
      <c r="W51" s="272"/>
      <c r="X51" s="272"/>
      <c r="Y51" s="272"/>
      <c r="Z51" s="274"/>
      <c r="AA51" s="22"/>
      <c r="AB51" s="275"/>
      <c r="AC51" s="40"/>
      <c r="AD51" s="40"/>
    </row>
    <row r="52" spans="1:30" s="1" customFormat="1" x14ac:dyDescent="0.25">
      <c r="A52" s="9">
        <v>43262</v>
      </c>
      <c r="B52" s="18"/>
      <c r="C52" s="15" t="s">
        <v>63</v>
      </c>
      <c r="D52" s="16">
        <v>500</v>
      </c>
      <c r="E52" s="15">
        <v>14.44</v>
      </c>
      <c r="F52" s="16">
        <f t="shared" si="6"/>
        <v>5700</v>
      </c>
      <c r="G52" s="17">
        <f t="shared" si="2"/>
        <v>16.123853990175444</v>
      </c>
      <c r="H52" s="15">
        <f t="shared" si="7"/>
        <v>91905.967744000038</v>
      </c>
      <c r="I52" s="15">
        <f t="shared" si="3"/>
        <v>-9597.9677440000378</v>
      </c>
      <c r="J52" s="33">
        <f t="shared" si="4"/>
        <v>-0.10443247570968128</v>
      </c>
      <c r="K52" s="15">
        <f t="shared" si="5"/>
        <v>82308</v>
      </c>
      <c r="L52" s="15">
        <f t="shared" si="0"/>
        <v>-1617.0086639999936</v>
      </c>
      <c r="M52" s="15"/>
      <c r="N52" s="15"/>
      <c r="O52" s="15"/>
      <c r="P52" s="17"/>
      <c r="Q52" s="31">
        <f t="shared" si="1"/>
        <v>-7225.0086639999936</v>
      </c>
      <c r="R52" s="34">
        <f t="shared" si="8"/>
        <v>5.0086639999999996</v>
      </c>
      <c r="S52" s="15"/>
      <c r="T52" s="273"/>
      <c r="U52" s="273"/>
      <c r="V52" s="22"/>
      <c r="W52" s="272"/>
      <c r="X52" s="272"/>
      <c r="Y52" s="272"/>
      <c r="Z52" s="274"/>
      <c r="AA52" s="22"/>
      <c r="AB52" s="275"/>
      <c r="AC52" s="237"/>
      <c r="AD52" s="237"/>
    </row>
    <row r="53" spans="1:30" s="1" customFormat="1" x14ac:dyDescent="0.25">
      <c r="A53" s="9">
        <v>43266</v>
      </c>
      <c r="B53" s="18"/>
      <c r="C53" s="15" t="s">
        <v>63</v>
      </c>
      <c r="D53" s="16">
        <v>500</v>
      </c>
      <c r="E53" s="15">
        <v>13.73</v>
      </c>
      <c r="F53" s="16">
        <f t="shared" si="6"/>
        <v>6200</v>
      </c>
      <c r="G53" s="17">
        <f t="shared" si="2"/>
        <v>15.931609029354844</v>
      </c>
      <c r="H53" s="15">
        <f t="shared" si="7"/>
        <v>98775.975982000033</v>
      </c>
      <c r="I53" s="15">
        <f t="shared" si="3"/>
        <v>-13649.975982000033</v>
      </c>
      <c r="J53" s="33">
        <f t="shared" si="4"/>
        <v>-0.13819125395923668</v>
      </c>
      <c r="K53" s="15">
        <f t="shared" si="5"/>
        <v>85126</v>
      </c>
      <c r="L53" s="15">
        <f t="shared" si="0"/>
        <v>-4052.0082379999949</v>
      </c>
      <c r="M53" s="15"/>
      <c r="N53" s="15"/>
      <c r="O53" s="15"/>
      <c r="P53" s="17"/>
      <c r="Q53" s="31">
        <f t="shared" si="1"/>
        <v>-6870.0082379999949</v>
      </c>
      <c r="R53" s="34">
        <f t="shared" si="8"/>
        <v>5.0082380000000004</v>
      </c>
      <c r="S53" s="15"/>
      <c r="T53" s="273"/>
      <c r="U53" s="273"/>
      <c r="V53" s="22"/>
      <c r="W53" s="272"/>
      <c r="X53" s="272"/>
      <c r="Y53" s="272"/>
      <c r="Z53" s="274"/>
      <c r="AA53" s="22"/>
      <c r="AB53" s="275"/>
      <c r="AC53" s="40"/>
      <c r="AD53" s="40"/>
    </row>
    <row r="54" spans="1:30" s="1" customFormat="1" x14ac:dyDescent="0.25">
      <c r="A54" s="9">
        <v>43270</v>
      </c>
      <c r="B54" s="18"/>
      <c r="C54" s="15" t="s">
        <v>63</v>
      </c>
      <c r="D54" s="16">
        <v>500</v>
      </c>
      <c r="E54" s="15">
        <v>13.61</v>
      </c>
      <c r="F54" s="16">
        <f t="shared" si="6"/>
        <v>6700</v>
      </c>
      <c r="G54" s="17">
        <f t="shared" si="2"/>
        <v>15.759102111641797</v>
      </c>
      <c r="H54" s="15">
        <f t="shared" si="7"/>
        <v>105585.98414800003</v>
      </c>
      <c r="I54" s="15">
        <f t="shared" si="3"/>
        <v>-14398.984148000032</v>
      </c>
      <c r="J54" s="33">
        <f t="shared" si="4"/>
        <v>-0.13637211666102353</v>
      </c>
      <c r="K54" s="15">
        <f t="shared" si="5"/>
        <v>91187</v>
      </c>
      <c r="L54" s="15">
        <f t="shared" si="0"/>
        <v>-749.00816599999962</v>
      </c>
      <c r="M54" s="15"/>
      <c r="N54" s="15"/>
      <c r="O54" s="15"/>
      <c r="P54" s="17"/>
      <c r="Q54" s="31">
        <f t="shared" si="1"/>
        <v>-6810.0081659999996</v>
      </c>
      <c r="R54" s="34">
        <f t="shared" si="8"/>
        <v>5.0081660000000001</v>
      </c>
      <c r="S54" s="15"/>
      <c r="T54" s="273"/>
      <c r="U54" s="273"/>
      <c r="V54" s="22"/>
      <c r="W54" s="272"/>
      <c r="X54" s="272"/>
      <c r="Y54" s="272"/>
      <c r="Z54" s="274"/>
      <c r="AA54" s="22"/>
      <c r="AB54" s="275"/>
      <c r="AC54" s="40"/>
      <c r="AD54" s="40"/>
    </row>
    <row r="55" spans="1:30" s="1" customFormat="1" x14ac:dyDescent="0.25">
      <c r="A55" s="9">
        <v>43270</v>
      </c>
      <c r="B55" s="18"/>
      <c r="C55" s="15" t="s">
        <v>63</v>
      </c>
      <c r="D55" s="16">
        <v>500</v>
      </c>
      <c r="E55" s="15">
        <v>13.11</v>
      </c>
      <c r="F55" s="16">
        <f t="shared" si="6"/>
        <v>7200</v>
      </c>
      <c r="G55" s="17">
        <f t="shared" si="2"/>
        <v>15.575832224166671</v>
      </c>
      <c r="H55" s="15">
        <f t="shared" si="7"/>
        <v>112145.99201400003</v>
      </c>
      <c r="I55" s="15">
        <f t="shared" si="3"/>
        <v>-17753.992014000032</v>
      </c>
      <c r="J55" s="33">
        <f t="shared" si="4"/>
        <v>-0.15831142687456606</v>
      </c>
      <c r="K55" s="15">
        <f t="shared" si="5"/>
        <v>94392</v>
      </c>
      <c r="L55" s="15">
        <f t="shared" si="0"/>
        <v>-3355.0078659999999</v>
      </c>
      <c r="M55" s="15"/>
      <c r="N55" s="15"/>
      <c r="O55" s="15"/>
      <c r="P55" s="17"/>
      <c r="Q55" s="31">
        <f t="shared" si="1"/>
        <v>-6560.0078659999999</v>
      </c>
      <c r="R55" s="34">
        <f t="shared" si="8"/>
        <v>5.0078659999999999</v>
      </c>
      <c r="S55" s="15"/>
      <c r="T55" s="273"/>
      <c r="U55" s="273"/>
      <c r="V55" s="22"/>
      <c r="W55" s="272"/>
      <c r="X55" s="272"/>
      <c r="Y55" s="272"/>
      <c r="Z55" s="274"/>
      <c r="AA55" s="22"/>
      <c r="AB55" s="275"/>
      <c r="AC55" s="40"/>
      <c r="AD55" s="40"/>
    </row>
    <row r="56" spans="1:30" s="1" customFormat="1" x14ac:dyDescent="0.25">
      <c r="A56" s="9">
        <v>43270</v>
      </c>
      <c r="B56" s="18"/>
      <c r="C56" s="15" t="s">
        <v>63</v>
      </c>
      <c r="D56" s="16">
        <v>500</v>
      </c>
      <c r="E56" s="15">
        <v>12.74</v>
      </c>
      <c r="F56" s="16">
        <f t="shared" si="6"/>
        <v>7700</v>
      </c>
      <c r="G56" s="17">
        <f t="shared" si="2"/>
        <v>15.013116838701302</v>
      </c>
      <c r="H56" s="15">
        <f t="shared" si="7"/>
        <v>115600.99965800003</v>
      </c>
      <c r="I56" s="15">
        <f t="shared" si="3"/>
        <v>-17502.99965800003</v>
      </c>
      <c r="J56" s="33">
        <f t="shared" si="4"/>
        <v>-0.15140872232750413</v>
      </c>
      <c r="K56" s="15">
        <f t="shared" si="5"/>
        <v>98098</v>
      </c>
      <c r="L56" s="15">
        <f t="shared" si="0"/>
        <v>250.99235600000247</v>
      </c>
      <c r="M56" s="15" t="str">
        <f>Uncovered((0))</f>
        <v>0@0</v>
      </c>
      <c r="N56" s="15"/>
      <c r="O56" s="15"/>
      <c r="P56" s="17" t="str">
        <f>Covered(1)</f>
        <v>0@0</v>
      </c>
      <c r="Q56" s="31">
        <f t="shared" si="1"/>
        <v>-3455.0076439999975</v>
      </c>
      <c r="R56" s="34">
        <f t="shared" si="8"/>
        <v>5.007644</v>
      </c>
      <c r="S56" s="15">
        <v>-2920</v>
      </c>
      <c r="T56" s="273"/>
      <c r="U56" s="273"/>
      <c r="V56" s="22"/>
      <c r="W56" s="272"/>
      <c r="X56" s="272"/>
      <c r="Y56" s="272"/>
      <c r="Z56" s="274"/>
      <c r="AA56" s="22"/>
      <c r="AB56" s="275"/>
      <c r="AC56" s="40"/>
      <c r="AD56" s="40"/>
    </row>
    <row r="57" spans="1:30" s="1" customFormat="1" x14ac:dyDescent="0.25">
      <c r="A57" s="9">
        <v>43278</v>
      </c>
      <c r="B57" s="18" t="s">
        <v>187</v>
      </c>
      <c r="C57" s="15" t="s">
        <v>69</v>
      </c>
      <c r="D57" s="16">
        <v>400</v>
      </c>
      <c r="E57" s="15">
        <v>13.17</v>
      </c>
      <c r="F57" s="16">
        <f t="shared" si="6"/>
        <v>7300</v>
      </c>
      <c r="G57" s="17">
        <f t="shared" si="2"/>
        <v>15.115517200000003</v>
      </c>
      <c r="H57" s="15">
        <f t="shared" si="7"/>
        <v>110343.27556000002</v>
      </c>
      <c r="I57" s="15">
        <f t="shared" si="3"/>
        <v>-14202.275560000024</v>
      </c>
      <c r="J57" s="33">
        <f t="shared" si="4"/>
        <v>-0.12870993259827077</v>
      </c>
      <c r="K57" s="15">
        <f t="shared" si="5"/>
        <v>96141</v>
      </c>
      <c r="L57" s="15">
        <f t="shared" si="0"/>
        <v>3300.7240980000061</v>
      </c>
      <c r="M57" s="15"/>
      <c r="N57" s="15"/>
      <c r="O57" s="15"/>
      <c r="P57" s="17"/>
      <c r="Q57" s="31">
        <f t="shared" si="1"/>
        <v>5257.7240980000061</v>
      </c>
      <c r="R57" s="34">
        <f t="shared" si="8"/>
        <v>10.275901999999999</v>
      </c>
      <c r="S57" s="15"/>
      <c r="T57" s="273"/>
      <c r="U57" s="273"/>
      <c r="V57" s="22"/>
      <c r="W57" s="272"/>
      <c r="X57" s="272"/>
      <c r="Y57" s="272"/>
      <c r="Z57" s="274"/>
      <c r="AA57" s="22"/>
      <c r="AB57" s="275"/>
      <c r="AC57" s="40"/>
      <c r="AD57" s="40"/>
    </row>
    <row r="58" spans="1:30" s="1" customFormat="1" x14ac:dyDescent="0.25">
      <c r="A58" s="9">
        <v>43299</v>
      </c>
      <c r="B58" s="23"/>
      <c r="C58" s="15" t="s">
        <v>63</v>
      </c>
      <c r="D58" s="16">
        <v>2920</v>
      </c>
      <c r="E58" s="15">
        <v>0</v>
      </c>
      <c r="F58" s="16">
        <f t="shared" si="6"/>
        <v>10220</v>
      </c>
      <c r="G58" s="17">
        <f t="shared" si="2"/>
        <v>10.797287236790609</v>
      </c>
      <c r="H58" s="15">
        <f t="shared" si="7"/>
        <v>110348.27556000002</v>
      </c>
      <c r="I58" s="15">
        <f t="shared" si="3"/>
        <v>-110348.27556000002</v>
      </c>
      <c r="J58" s="33">
        <f t="shared" si="4"/>
        <v>-1</v>
      </c>
      <c r="K58" s="15">
        <f t="shared" si="5"/>
        <v>0</v>
      </c>
      <c r="L58" s="15">
        <f t="shared" si="0"/>
        <v>-96146</v>
      </c>
      <c r="M58" s="15"/>
      <c r="N58" s="15"/>
      <c r="O58" s="15"/>
      <c r="P58" s="17"/>
      <c r="Q58" s="31">
        <f t="shared" si="1"/>
        <v>-5</v>
      </c>
      <c r="R58" s="34">
        <f t="shared" si="8"/>
        <v>5</v>
      </c>
      <c r="S58" s="15"/>
      <c r="T58" s="273"/>
      <c r="U58" s="273"/>
      <c r="V58" s="22"/>
      <c r="W58" s="272"/>
      <c r="X58" s="272"/>
      <c r="Y58" s="272"/>
      <c r="Z58" s="274"/>
      <c r="AA58" s="22"/>
      <c r="AB58" s="275"/>
      <c r="AC58" s="40"/>
      <c r="AD58" s="40"/>
    </row>
    <row r="59" spans="1:30" s="1" customFormat="1" x14ac:dyDescent="0.25">
      <c r="A59" s="9">
        <v>43305</v>
      </c>
      <c r="B59" s="18" t="s">
        <v>184</v>
      </c>
      <c r="C59" s="15" t="s">
        <v>69</v>
      </c>
      <c r="D59" s="16">
        <v>400</v>
      </c>
      <c r="E59" s="15">
        <v>9.1999999999999993</v>
      </c>
      <c r="F59" s="16">
        <f t="shared" si="6"/>
        <v>9820</v>
      </c>
      <c r="G59" s="17">
        <f t="shared" si="2"/>
        <v>10.863234325865582</v>
      </c>
      <c r="H59" s="15">
        <f t="shared" si="7"/>
        <v>106676.96108000002</v>
      </c>
      <c r="I59" s="15">
        <f t="shared" si="3"/>
        <v>-16332.961080000023</v>
      </c>
      <c r="J59" s="33">
        <f t="shared" si="4"/>
        <v>-0.15310673377498521</v>
      </c>
      <c r="K59" s="15">
        <f t="shared" si="5"/>
        <v>90344</v>
      </c>
      <c r="L59" s="15">
        <f t="shared" si="0"/>
        <v>94015.314480000001</v>
      </c>
      <c r="M59" s="15"/>
      <c r="N59" s="15"/>
      <c r="O59" s="15"/>
      <c r="P59" s="17"/>
      <c r="Q59" s="31">
        <f t="shared" si="1"/>
        <v>3671.3144800000009</v>
      </c>
      <c r="R59" s="34">
        <f t="shared" si="8"/>
        <v>8.6855200000000004</v>
      </c>
      <c r="S59" s="15"/>
      <c r="T59" s="273"/>
      <c r="U59" s="273"/>
      <c r="V59" s="22"/>
      <c r="W59" s="272"/>
      <c r="X59" s="272"/>
      <c r="Y59" s="272"/>
      <c r="Z59" s="274"/>
      <c r="AA59" s="22"/>
      <c r="AB59" s="275"/>
      <c r="AC59" s="40"/>
      <c r="AD59" s="40"/>
    </row>
    <row r="60" spans="1:30" s="1" customFormat="1" x14ac:dyDescent="0.25">
      <c r="A60" s="9">
        <v>43312</v>
      </c>
      <c r="B60" s="18"/>
      <c r="C60" s="15" t="s">
        <v>63</v>
      </c>
      <c r="D60" s="16">
        <v>500</v>
      </c>
      <c r="E60" s="15">
        <v>8.91</v>
      </c>
      <c r="F60" s="16">
        <f t="shared" si="6"/>
        <v>10320</v>
      </c>
      <c r="G60" s="17">
        <f t="shared" si="2"/>
        <v>10.769085893992251</v>
      </c>
      <c r="H60" s="15">
        <f t="shared" si="7"/>
        <v>111136.96642600003</v>
      </c>
      <c r="I60" s="15">
        <f t="shared" si="3"/>
        <v>-19185.766426000031</v>
      </c>
      <c r="J60" s="33">
        <f t="shared" si="4"/>
        <v>-0.17263172680509301</v>
      </c>
      <c r="K60" s="15">
        <f t="shared" si="5"/>
        <v>91951.2</v>
      </c>
      <c r="L60" s="15">
        <f t="shared" si="0"/>
        <v>-2852.8053460000083</v>
      </c>
      <c r="M60" s="15"/>
      <c r="N60" s="15"/>
      <c r="O60" s="15"/>
      <c r="P60" s="17"/>
      <c r="Q60" s="31">
        <f t="shared" si="1"/>
        <v>-4460.0053460000054</v>
      </c>
      <c r="R60" s="34">
        <f t="shared" si="8"/>
        <v>5.0053460000000003</v>
      </c>
      <c r="S60" s="15"/>
      <c r="T60" s="273"/>
      <c r="U60" s="273"/>
      <c r="V60" s="22"/>
      <c r="W60" s="272"/>
      <c r="X60" s="272"/>
      <c r="Y60" s="272"/>
      <c r="Z60" s="274"/>
      <c r="AA60" s="22"/>
      <c r="AB60" s="275"/>
      <c r="AC60" s="40"/>
      <c r="AD60" s="40"/>
    </row>
    <row r="61" spans="1:30" s="1" customFormat="1" x14ac:dyDescent="0.25">
      <c r="A61" s="9">
        <v>43314</v>
      </c>
      <c r="B61" s="18"/>
      <c r="C61" s="15" t="s">
        <v>63</v>
      </c>
      <c r="D61" s="16">
        <v>500</v>
      </c>
      <c r="E61" s="15">
        <v>8.48</v>
      </c>
      <c r="F61" s="16">
        <f t="shared" si="6"/>
        <v>10820</v>
      </c>
      <c r="G61" s="17">
        <f t="shared" si="2"/>
        <v>10.663768162107212</v>
      </c>
      <c r="H61" s="15">
        <f t="shared" si="7"/>
        <v>115381.97151400003</v>
      </c>
      <c r="I61" s="15">
        <f t="shared" si="3"/>
        <v>-23628.371514000028</v>
      </c>
      <c r="J61" s="33">
        <f t="shared" si="4"/>
        <v>-0.20478391211345395</v>
      </c>
      <c r="K61" s="15">
        <f t="shared" si="5"/>
        <v>91753.600000000006</v>
      </c>
      <c r="L61" s="15">
        <f t="shared" si="0"/>
        <v>-4442.6050879999966</v>
      </c>
      <c r="M61" s="15"/>
      <c r="N61" s="15"/>
      <c r="O61" s="15"/>
      <c r="P61" s="17"/>
      <c r="Q61" s="31">
        <f t="shared" si="1"/>
        <v>-4245.0050880000053</v>
      </c>
      <c r="R61" s="34">
        <f t="shared" si="8"/>
        <v>5.0050879999999998</v>
      </c>
      <c r="S61" s="15"/>
      <c r="T61" s="273"/>
      <c r="U61" s="273"/>
      <c r="V61" s="22"/>
      <c r="W61" s="272"/>
      <c r="X61" s="272"/>
      <c r="Y61" s="272"/>
      <c r="Z61" s="274"/>
      <c r="AA61" s="22"/>
      <c r="AB61" s="275"/>
      <c r="AC61" s="40"/>
      <c r="AD61" s="40"/>
    </row>
    <row r="62" spans="1:30" s="1" customFormat="1" x14ac:dyDescent="0.25">
      <c r="A62" s="9">
        <v>43332</v>
      </c>
      <c r="B62" s="18"/>
      <c r="C62" s="15" t="s">
        <v>63</v>
      </c>
      <c r="D62" s="16">
        <v>500</v>
      </c>
      <c r="E62" s="15">
        <v>7.98</v>
      </c>
      <c r="F62" s="16">
        <f t="shared" si="6"/>
        <v>11320</v>
      </c>
      <c r="G62" s="17">
        <f t="shared" si="2"/>
        <v>10.545669284628978</v>
      </c>
      <c r="H62" s="15">
        <f t="shared" si="7"/>
        <v>119376.97630200004</v>
      </c>
      <c r="I62" s="15">
        <f t="shared" si="3"/>
        <v>-29043.376302000033</v>
      </c>
      <c r="J62" s="33">
        <f t="shared" si="4"/>
        <v>-0.24329127107831963</v>
      </c>
      <c r="K62" s="15">
        <f t="shared" si="5"/>
        <v>90333.6</v>
      </c>
      <c r="L62" s="15">
        <f t="shared" si="0"/>
        <v>-5415.0047880000056</v>
      </c>
      <c r="M62" s="15"/>
      <c r="N62" s="15"/>
      <c r="O62" s="15"/>
      <c r="P62" s="17"/>
      <c r="Q62" s="31">
        <f t="shared" si="1"/>
        <v>-3995.0047880000056</v>
      </c>
      <c r="R62" s="34">
        <f t="shared" si="8"/>
        <v>5.0047879999999996</v>
      </c>
      <c r="S62" s="15"/>
      <c r="T62" s="273"/>
      <c r="U62" s="273"/>
      <c r="V62" s="22"/>
      <c r="W62" s="272"/>
      <c r="X62" s="272"/>
      <c r="Y62" s="272"/>
      <c r="Z62" s="274"/>
      <c r="AA62" s="22"/>
      <c r="AB62" s="275"/>
      <c r="AC62" s="40"/>
      <c r="AD62" s="40"/>
    </row>
    <row r="63" spans="1:30" s="1" customFormat="1" x14ac:dyDescent="0.25">
      <c r="A63" s="9">
        <v>43423</v>
      </c>
      <c r="B63" s="18"/>
      <c r="C63" s="15" t="s">
        <v>63</v>
      </c>
      <c r="D63" s="16">
        <v>500</v>
      </c>
      <c r="E63" s="15">
        <v>7.62</v>
      </c>
      <c r="F63" s="16">
        <f t="shared" si="6"/>
        <v>11820</v>
      </c>
      <c r="G63" s="17">
        <f t="shared" si="2"/>
        <v>10.422333407275808</v>
      </c>
      <c r="H63" s="15">
        <f t="shared" si="7"/>
        <v>123191.98087400004</v>
      </c>
      <c r="I63" s="15">
        <f t="shared" si="3"/>
        <v>-33123.58087400005</v>
      </c>
      <c r="J63" s="33">
        <f t="shared" si="4"/>
        <v>-0.26887773570163326</v>
      </c>
      <c r="K63" s="15">
        <f t="shared" si="5"/>
        <v>90068.4</v>
      </c>
      <c r="L63" s="15">
        <f t="shared" si="0"/>
        <v>-4080.2045720000169</v>
      </c>
      <c r="M63" s="15"/>
      <c r="N63" s="15"/>
      <c r="O63" s="15"/>
      <c r="P63" s="17"/>
      <c r="Q63" s="31">
        <f t="shared" si="1"/>
        <v>-3815.0045720000053</v>
      </c>
      <c r="R63" s="34">
        <f t="shared" si="8"/>
        <v>5.0045719999999996</v>
      </c>
      <c r="S63" s="15"/>
      <c r="T63" s="320"/>
      <c r="U63" s="320"/>
      <c r="V63" s="15"/>
      <c r="W63" s="17"/>
      <c r="X63" s="17"/>
      <c r="Y63" s="17"/>
      <c r="Z63" s="321"/>
      <c r="AA63" s="15"/>
      <c r="AB63" s="322"/>
      <c r="AC63" s="40"/>
      <c r="AD63" s="40"/>
    </row>
    <row r="64" spans="1:30" s="1" customFormat="1" x14ac:dyDescent="0.25">
      <c r="A64" s="9">
        <v>43424</v>
      </c>
      <c r="B64" s="18" t="s">
        <v>181</v>
      </c>
      <c r="C64" s="15" t="s">
        <v>69</v>
      </c>
      <c r="D64" s="16">
        <v>400</v>
      </c>
      <c r="E64" s="15">
        <v>8</v>
      </c>
      <c r="F64" s="16">
        <f t="shared" si="6"/>
        <v>11420</v>
      </c>
      <c r="G64" s="17">
        <f t="shared" si="2"/>
        <v>10.507897169352018</v>
      </c>
      <c r="H64" s="15">
        <f t="shared" si="7"/>
        <v>120000.18567400005</v>
      </c>
      <c r="I64" s="15">
        <f t="shared" si="3"/>
        <v>-28640.185674000051</v>
      </c>
      <c r="J64" s="33">
        <f t="shared" si="4"/>
        <v>-0.23866784466322208</v>
      </c>
      <c r="K64" s="15">
        <f t="shared" si="5"/>
        <v>91360</v>
      </c>
      <c r="L64" s="15">
        <f t="shared" si="0"/>
        <v>4483.395199999999</v>
      </c>
      <c r="M64" s="15"/>
      <c r="N64" s="15"/>
      <c r="O64" s="15"/>
      <c r="P64" s="17"/>
      <c r="Q64" s="31">
        <f t="shared" si="1"/>
        <v>3191.7951999999932</v>
      </c>
      <c r="R64" s="34">
        <f t="shared" si="8"/>
        <v>8.2048000000000005</v>
      </c>
      <c r="S64" s="15"/>
      <c r="T64" s="273"/>
      <c r="U64" s="273"/>
      <c r="V64" s="22"/>
      <c r="W64" s="272"/>
      <c r="X64" s="272"/>
      <c r="Y64" s="272"/>
      <c r="Z64" s="274"/>
      <c r="AA64" s="22"/>
      <c r="AB64" s="275"/>
      <c r="AC64" s="40"/>
      <c r="AD64" s="40"/>
    </row>
    <row r="65" spans="1:30" s="1" customFormat="1" x14ac:dyDescent="0.25">
      <c r="A65" s="9">
        <v>43426</v>
      </c>
      <c r="B65" s="18"/>
      <c r="C65" s="15" t="s">
        <v>63</v>
      </c>
      <c r="D65" s="16">
        <v>500</v>
      </c>
      <c r="E65" s="15">
        <v>7.63</v>
      </c>
      <c r="F65" s="16">
        <f t="shared" si="6"/>
        <v>11920</v>
      </c>
      <c r="G65" s="17">
        <f t="shared" si="2"/>
        <v>10.387599853355708</v>
      </c>
      <c r="H65" s="15">
        <f t="shared" si="7"/>
        <v>123820.19025200004</v>
      </c>
      <c r="I65" s="15">
        <f t="shared" si="3"/>
        <v>-32870.590252000038</v>
      </c>
      <c r="J65" s="33">
        <f t="shared" si="4"/>
        <v>-0.26547035814677311</v>
      </c>
      <c r="K65" s="15">
        <f t="shared" si="5"/>
        <v>90949.6</v>
      </c>
      <c r="L65" s="15">
        <f t="shared" si="0"/>
        <v>-4230.4045779999869</v>
      </c>
      <c r="M65" s="15"/>
      <c r="N65" s="15"/>
      <c r="O65" s="15"/>
      <c r="P65" s="17"/>
      <c r="Q65" s="31">
        <f t="shared" si="1"/>
        <v>-3820.0045779999928</v>
      </c>
      <c r="R65" s="34">
        <f t="shared" si="8"/>
        <v>5.0045780000000004</v>
      </c>
      <c r="S65" s="15"/>
      <c r="T65" s="273"/>
      <c r="U65" s="273"/>
      <c r="V65" s="22"/>
      <c r="W65" s="272"/>
      <c r="X65" s="272"/>
      <c r="Y65" s="272"/>
      <c r="Z65" s="274"/>
      <c r="AA65" s="22"/>
      <c r="AB65" s="275"/>
      <c r="AC65" s="40"/>
      <c r="AD65" s="40"/>
    </row>
    <row r="66" spans="1:30" s="1" customFormat="1" x14ac:dyDescent="0.25">
      <c r="A66" s="9">
        <v>43427</v>
      </c>
      <c r="B66" s="18"/>
      <c r="C66" s="15" t="s">
        <v>63</v>
      </c>
      <c r="D66" s="16">
        <v>500</v>
      </c>
      <c r="E66" s="15">
        <v>7.42</v>
      </c>
      <c r="F66" s="16">
        <f t="shared" si="6"/>
        <v>12420</v>
      </c>
      <c r="G66" s="17">
        <f t="shared" si="2"/>
        <v>10.268534195169085</v>
      </c>
      <c r="H66" s="15">
        <f t="shared" si="7"/>
        <v>127535.19470400004</v>
      </c>
      <c r="I66" s="15">
        <f t="shared" si="3"/>
        <v>-35378.794704000044</v>
      </c>
      <c r="J66" s="33">
        <f t="shared" si="4"/>
        <v>-0.2774041689912472</v>
      </c>
      <c r="K66" s="15">
        <f t="shared" si="5"/>
        <v>92156.4</v>
      </c>
      <c r="L66" s="15">
        <f t="shared" ref="L66:L129" si="9">I66-I65</f>
        <v>-2508.2044520000054</v>
      </c>
      <c r="M66" s="15"/>
      <c r="N66" s="15"/>
      <c r="O66" s="15"/>
      <c r="P66" s="17"/>
      <c r="Q66" s="31">
        <f t="shared" ref="Q66:Q129" si="10">(H66-H65)*-1</f>
        <v>-3715.0044519999938</v>
      </c>
      <c r="R66" s="34">
        <f t="shared" si="8"/>
        <v>5.0044519999999997</v>
      </c>
      <c r="S66" s="15"/>
      <c r="T66" s="273"/>
      <c r="U66" s="273"/>
      <c r="V66" s="22"/>
      <c r="W66" s="272"/>
      <c r="X66" s="272"/>
      <c r="Y66" s="272"/>
      <c r="Z66" s="274"/>
      <c r="AA66" s="22"/>
      <c r="AB66" s="275"/>
      <c r="AC66" s="40"/>
      <c r="AD66" s="40"/>
    </row>
    <row r="67" spans="1:30" s="1" customFormat="1" x14ac:dyDescent="0.25">
      <c r="A67" s="9">
        <v>43515</v>
      </c>
      <c r="B67" s="18" t="s">
        <v>1058</v>
      </c>
      <c r="C67" s="15" t="s">
        <v>69</v>
      </c>
      <c r="D67" s="16">
        <v>400</v>
      </c>
      <c r="E67" s="15">
        <v>7.63</v>
      </c>
      <c r="F67" s="16">
        <f t="shared" si="6"/>
        <v>12020</v>
      </c>
      <c r="G67" s="17">
        <f t="shared" ref="G67:G75" si="11">H67/F67</f>
        <v>10.357009258069887</v>
      </c>
      <c r="H67" s="15">
        <f t="shared" si="7"/>
        <v>124491.25128200004</v>
      </c>
      <c r="I67" s="15">
        <f t="shared" ref="I67:I75" si="12">-H67+K67</f>
        <v>-32778.651282000035</v>
      </c>
      <c r="J67" s="33">
        <f t="shared" ref="J67:J75" si="13">(E67-G67)/G67</f>
        <v>-0.2633008419824554</v>
      </c>
      <c r="K67" s="15">
        <f t="shared" ref="K67:K75" si="14">F67*E67</f>
        <v>91712.6</v>
      </c>
      <c r="L67" s="15">
        <f t="shared" si="9"/>
        <v>2600.1434220000083</v>
      </c>
      <c r="M67" s="15"/>
      <c r="N67" s="15"/>
      <c r="O67" s="15"/>
      <c r="P67" s="17"/>
      <c r="Q67" s="31">
        <f t="shared" si="10"/>
        <v>3043.9434219999966</v>
      </c>
      <c r="R67" s="34">
        <f t="shared" si="8"/>
        <v>8.056578</v>
      </c>
      <c r="S67" s="15"/>
      <c r="T67" s="273"/>
      <c r="U67" s="273"/>
      <c r="V67" s="22"/>
      <c r="W67" s="272"/>
      <c r="X67" s="272"/>
      <c r="Y67" s="272"/>
      <c r="Z67" s="274"/>
      <c r="AA67" s="22"/>
      <c r="AB67" s="275"/>
      <c r="AC67" s="40"/>
      <c r="AD67" s="40"/>
    </row>
    <row r="68" spans="1:30" s="1" customFormat="1" x14ac:dyDescent="0.25">
      <c r="A68" s="9">
        <v>43518</v>
      </c>
      <c r="B68" s="18" t="s">
        <v>1059</v>
      </c>
      <c r="C68" s="15" t="s">
        <v>69</v>
      </c>
      <c r="D68" s="16">
        <v>400</v>
      </c>
      <c r="E68" s="15">
        <v>8</v>
      </c>
      <c r="F68" s="16">
        <f t="shared" ref="F68:F75" si="15">IF(C68="买",F67+D68,IF(C68="卖",F67-D68,F67))</f>
        <v>11620</v>
      </c>
      <c r="G68" s="17">
        <f t="shared" si="11"/>
        <v>10.438851642168679</v>
      </c>
      <c r="H68" s="15">
        <f t="shared" ref="H68:H75" si="16">IF(C68="买",H67+D68*E68+R68+S68,IF(C68="卖",H67-D68*E68+R68+S68,H67))</f>
        <v>121299.45608200005</v>
      </c>
      <c r="I68" s="15">
        <f t="shared" si="12"/>
        <v>-28339.456082000048</v>
      </c>
      <c r="J68" s="33">
        <f t="shared" si="13"/>
        <v>-0.23363217773080694</v>
      </c>
      <c r="K68" s="15">
        <f t="shared" si="14"/>
        <v>92960</v>
      </c>
      <c r="L68" s="15">
        <f t="shared" si="9"/>
        <v>4439.1951999999874</v>
      </c>
      <c r="M68" s="15"/>
      <c r="N68" s="15"/>
      <c r="O68" s="15"/>
      <c r="P68" s="17"/>
      <c r="Q68" s="31">
        <f t="shared" si="10"/>
        <v>3191.7951999999932</v>
      </c>
      <c r="R68" s="34">
        <f t="shared" ref="R68:R131" si="17">commission($B$2,C68,D68,E68)</f>
        <v>8.2048000000000005</v>
      </c>
      <c r="S68" s="15"/>
      <c r="T68" s="273"/>
      <c r="U68" s="273"/>
      <c r="V68" s="22"/>
      <c r="W68" s="272"/>
      <c r="X68" s="272"/>
      <c r="Y68" s="272"/>
      <c r="Z68" s="274"/>
      <c r="AA68" s="22"/>
      <c r="AB68" s="275"/>
      <c r="AC68" s="40"/>
      <c r="AD68" s="40"/>
    </row>
    <row r="69" spans="1:30" s="1" customFormat="1" x14ac:dyDescent="0.25">
      <c r="A69" s="9">
        <v>43521</v>
      </c>
      <c r="B69" s="18" t="s">
        <v>1060</v>
      </c>
      <c r="C69" s="15" t="s">
        <v>69</v>
      </c>
      <c r="D69" s="16">
        <v>400</v>
      </c>
      <c r="E69" s="15">
        <f>E68+0.22</f>
        <v>8.2200000000000006</v>
      </c>
      <c r="F69" s="16">
        <f t="shared" si="15"/>
        <v>11220</v>
      </c>
      <c r="G69" s="17">
        <f t="shared" si="11"/>
        <v>10.518694208021394</v>
      </c>
      <c r="H69" s="15">
        <f t="shared" si="16"/>
        <v>118019.74901400004</v>
      </c>
      <c r="I69" s="15">
        <f t="shared" si="12"/>
        <v>-25791.349014000036</v>
      </c>
      <c r="J69" s="33">
        <f t="shared" si="13"/>
        <v>-0.21853417948669374</v>
      </c>
      <c r="K69" s="15">
        <f t="shared" si="14"/>
        <v>92228.400000000009</v>
      </c>
      <c r="L69" s="15">
        <f t="shared" si="9"/>
        <v>2548.1070680000121</v>
      </c>
      <c r="M69" s="15"/>
      <c r="N69" s="15"/>
      <c r="O69" s="15"/>
      <c r="P69" s="17"/>
      <c r="Q69" s="31">
        <f t="shared" si="10"/>
        <v>3279.7070680000033</v>
      </c>
      <c r="R69" s="34">
        <f t="shared" si="17"/>
        <v>8.2929320000000004</v>
      </c>
      <c r="S69" s="15"/>
      <c r="T69" s="273"/>
      <c r="U69" s="273"/>
      <c r="V69" s="22"/>
      <c r="W69" s="272"/>
      <c r="X69" s="272"/>
      <c r="Y69" s="272"/>
      <c r="Z69" s="274"/>
      <c r="AA69" s="22"/>
      <c r="AB69" s="275"/>
      <c r="AC69" s="40"/>
      <c r="AD69" s="40"/>
    </row>
    <row r="70" spans="1:30" s="1" customFormat="1" x14ac:dyDescent="0.25">
      <c r="A70" s="9">
        <v>43522</v>
      </c>
      <c r="B70" s="18" t="s">
        <v>1061</v>
      </c>
      <c r="C70" s="15" t="s">
        <v>69</v>
      </c>
      <c r="D70" s="16">
        <v>400</v>
      </c>
      <c r="E70" s="15">
        <v>8.57</v>
      </c>
      <c r="F70" s="16">
        <f t="shared" si="15"/>
        <v>10820</v>
      </c>
      <c r="G70" s="17">
        <f t="shared" si="11"/>
        <v>10.591514062476898</v>
      </c>
      <c r="H70" s="15">
        <f t="shared" si="16"/>
        <v>114600.18215600004</v>
      </c>
      <c r="I70" s="15">
        <f t="shared" si="12"/>
        <v>-21872.78215600003</v>
      </c>
      <c r="J70" s="33">
        <f t="shared" si="13"/>
        <v>-0.1908616700645869</v>
      </c>
      <c r="K70" s="15">
        <f t="shared" si="14"/>
        <v>92727.400000000009</v>
      </c>
      <c r="L70" s="15">
        <f t="shared" si="9"/>
        <v>3918.5668580000056</v>
      </c>
      <c r="M70" s="15"/>
      <c r="N70" s="15"/>
      <c r="O70" s="15"/>
      <c r="P70" s="17"/>
      <c r="Q70" s="31">
        <f t="shared" si="10"/>
        <v>3419.5668580000056</v>
      </c>
      <c r="R70" s="34">
        <f t="shared" si="17"/>
        <v>8.4331420000000001</v>
      </c>
      <c r="S70" s="15"/>
      <c r="T70" s="273"/>
      <c r="U70" s="273"/>
      <c r="V70" s="22"/>
      <c r="W70" s="272"/>
      <c r="X70" s="272"/>
      <c r="Y70" s="272"/>
      <c r="Z70" s="274"/>
      <c r="AA70" s="22"/>
      <c r="AB70" s="275"/>
      <c r="AC70" s="40"/>
      <c r="AD70" s="40"/>
    </row>
    <row r="71" spans="1:30" s="1" customFormat="1" x14ac:dyDescent="0.25">
      <c r="A71" s="9">
        <v>43530</v>
      </c>
      <c r="B71" s="18" t="s">
        <v>1062</v>
      </c>
      <c r="C71" s="15" t="s">
        <v>69</v>
      </c>
      <c r="D71" s="16">
        <v>400</v>
      </c>
      <c r="E71" s="15">
        <v>9.02</v>
      </c>
      <c r="F71" s="16">
        <f t="shared" si="15"/>
        <v>10420</v>
      </c>
      <c r="G71" s="17">
        <f t="shared" si="11"/>
        <v>10.652667520921309</v>
      </c>
      <c r="H71" s="15">
        <f t="shared" si="16"/>
        <v>111000.79556800005</v>
      </c>
      <c r="I71" s="15">
        <f t="shared" si="12"/>
        <v>-17012.395568000051</v>
      </c>
      <c r="J71" s="33">
        <f t="shared" si="13"/>
        <v>-0.1532637264530064</v>
      </c>
      <c r="K71" s="15">
        <f t="shared" si="14"/>
        <v>93988.4</v>
      </c>
      <c r="L71" s="15">
        <f t="shared" si="9"/>
        <v>4860.3865879999794</v>
      </c>
      <c r="M71" s="15"/>
      <c r="N71" s="15"/>
      <c r="O71" s="15"/>
      <c r="P71" s="17"/>
      <c r="Q71" s="31">
        <f t="shared" si="10"/>
        <v>3599.3865879999939</v>
      </c>
      <c r="R71" s="34">
        <f t="shared" si="17"/>
        <v>8.6134120000000003</v>
      </c>
      <c r="S71" s="15"/>
      <c r="T71" s="273"/>
      <c r="U71" s="273"/>
      <c r="V71" s="22"/>
      <c r="W71" s="272"/>
      <c r="X71" s="272"/>
      <c r="Y71" s="272"/>
      <c r="Z71" s="274"/>
      <c r="AA71" s="22"/>
      <c r="AB71" s="275"/>
      <c r="AC71" s="40"/>
      <c r="AD71" s="40"/>
    </row>
    <row r="72" spans="1:30" s="1" customFormat="1" x14ac:dyDescent="0.25">
      <c r="A72" s="9">
        <v>43538</v>
      </c>
      <c r="B72" s="18"/>
      <c r="C72" s="15" t="s">
        <v>63</v>
      </c>
      <c r="D72" s="16">
        <v>500</v>
      </c>
      <c r="E72" s="15">
        <v>8.3800000000000008</v>
      </c>
      <c r="F72" s="16">
        <f t="shared" si="15"/>
        <v>10920</v>
      </c>
      <c r="G72" s="17">
        <f t="shared" si="11"/>
        <v>10.549065988644692</v>
      </c>
      <c r="H72" s="15">
        <f t="shared" si="16"/>
        <v>115195.80059600004</v>
      </c>
      <c r="I72" s="15">
        <f t="shared" si="12"/>
        <v>-23686.200596000039</v>
      </c>
      <c r="J72" s="33">
        <f t="shared" si="13"/>
        <v>-0.20561687555841759</v>
      </c>
      <c r="K72" s="15">
        <f t="shared" si="14"/>
        <v>91509.6</v>
      </c>
      <c r="L72" s="15">
        <f t="shared" si="9"/>
        <v>-6673.8050279999879</v>
      </c>
      <c r="M72" s="15"/>
      <c r="N72" s="15"/>
      <c r="O72" s="15"/>
      <c r="P72" s="17"/>
      <c r="Q72" s="31">
        <f t="shared" si="10"/>
        <v>-4195.0050279999996</v>
      </c>
      <c r="R72" s="34">
        <f t="shared" si="17"/>
        <v>5.0050280000000003</v>
      </c>
      <c r="S72" s="15"/>
      <c r="T72" s="273"/>
      <c r="U72" s="273"/>
      <c r="V72" s="22"/>
      <c r="W72" s="272"/>
      <c r="X72" s="272"/>
      <c r="Y72" s="272"/>
      <c r="Z72" s="274"/>
      <c r="AA72" s="22"/>
      <c r="AB72" s="275"/>
      <c r="AC72" s="40"/>
      <c r="AD72" s="40"/>
    </row>
    <row r="73" spans="1:30" s="1" customFormat="1" x14ac:dyDescent="0.25">
      <c r="A73" s="9">
        <v>43542</v>
      </c>
      <c r="B73" s="18" t="s">
        <v>1063</v>
      </c>
      <c r="C73" s="15" t="s">
        <v>69</v>
      </c>
      <c r="D73" s="16">
        <v>400</v>
      </c>
      <c r="E73" s="15">
        <v>8.61</v>
      </c>
      <c r="F73" s="16">
        <f t="shared" si="15"/>
        <v>10520</v>
      </c>
      <c r="G73" s="17">
        <f t="shared" si="11"/>
        <v>10.623597886121678</v>
      </c>
      <c r="H73" s="15">
        <f t="shared" si="16"/>
        <v>111760.24976200005</v>
      </c>
      <c r="I73" s="15">
        <f t="shared" si="12"/>
        <v>-21183.049762000053</v>
      </c>
      <c r="J73" s="33">
        <f t="shared" si="13"/>
        <v>-0.18954010757054132</v>
      </c>
      <c r="K73" s="15">
        <f t="shared" si="14"/>
        <v>90577.2</v>
      </c>
      <c r="L73" s="15">
        <f t="shared" si="9"/>
        <v>2503.1508339999855</v>
      </c>
      <c r="M73" s="15"/>
      <c r="N73" s="15"/>
      <c r="O73" s="15"/>
      <c r="P73" s="17"/>
      <c r="Q73" s="31">
        <f t="shared" si="10"/>
        <v>3435.5508339999942</v>
      </c>
      <c r="R73" s="34">
        <f t="shared" si="17"/>
        <v>8.449166</v>
      </c>
      <c r="S73" s="15"/>
      <c r="T73" s="273"/>
      <c r="U73" s="273"/>
      <c r="V73" s="22"/>
      <c r="W73" s="272"/>
      <c r="X73" s="272"/>
      <c r="Y73" s="272"/>
      <c r="Z73" s="274"/>
      <c r="AA73" s="22"/>
      <c r="AB73" s="275"/>
      <c r="AC73" s="40"/>
      <c r="AD73" s="40"/>
    </row>
    <row r="74" spans="1:30" s="1" customFormat="1" x14ac:dyDescent="0.25">
      <c r="A74" s="9">
        <v>43544</v>
      </c>
      <c r="B74" s="18" t="s">
        <v>1064</v>
      </c>
      <c r="C74" s="15" t="s">
        <v>69</v>
      </c>
      <c r="D74" s="16">
        <v>400</v>
      </c>
      <c r="E74" s="15">
        <v>8.85</v>
      </c>
      <c r="F74" s="16">
        <f t="shared" si="15"/>
        <v>10120</v>
      </c>
      <c r="G74" s="17">
        <f t="shared" si="11"/>
        <v>10.694544967588937</v>
      </c>
      <c r="H74" s="15">
        <f t="shared" si="16"/>
        <v>108228.79507200005</v>
      </c>
      <c r="I74" s="15">
        <f t="shared" si="12"/>
        <v>-18666.795072000052</v>
      </c>
      <c r="J74" s="33">
        <f t="shared" si="13"/>
        <v>-0.17247531084109197</v>
      </c>
      <c r="K74" s="15">
        <f t="shared" si="14"/>
        <v>89562</v>
      </c>
      <c r="L74" s="15">
        <f t="shared" si="9"/>
        <v>2516.2546900000016</v>
      </c>
      <c r="M74" s="15"/>
      <c r="N74" s="15"/>
      <c r="O74" s="15"/>
      <c r="P74" s="17"/>
      <c r="Q74" s="31">
        <f t="shared" si="10"/>
        <v>3531.4546899999987</v>
      </c>
      <c r="R74" s="34">
        <f t="shared" si="17"/>
        <v>8.5453100000000006</v>
      </c>
      <c r="S74" s="15"/>
      <c r="T74" s="273"/>
      <c r="U74" s="273"/>
      <c r="V74" s="22"/>
      <c r="W74" s="272"/>
      <c r="X74" s="272"/>
      <c r="Y74" s="272"/>
      <c r="Z74" s="274"/>
      <c r="AA74" s="22"/>
      <c r="AB74" s="275"/>
      <c r="AC74" s="40"/>
      <c r="AD74" s="40"/>
    </row>
    <row r="75" spans="1:30" s="1" customFormat="1" x14ac:dyDescent="0.25">
      <c r="A75" s="9">
        <v>43556</v>
      </c>
      <c r="B75" s="18" t="s">
        <v>1065</v>
      </c>
      <c r="C75" s="15" t="s">
        <v>69</v>
      </c>
      <c r="D75" s="16">
        <v>400</v>
      </c>
      <c r="E75" s="15">
        <v>9.1</v>
      </c>
      <c r="F75" s="16">
        <f t="shared" si="15"/>
        <v>9720</v>
      </c>
      <c r="G75" s="17">
        <f t="shared" si="11"/>
        <v>10.761053552674902</v>
      </c>
      <c r="H75" s="15">
        <f t="shared" si="16"/>
        <v>104597.44053200005</v>
      </c>
      <c r="I75" s="15">
        <f t="shared" si="12"/>
        <v>-16145.440532000051</v>
      </c>
      <c r="J75" s="33">
        <f t="shared" si="13"/>
        <v>-0.15435789298362984</v>
      </c>
      <c r="K75" s="15">
        <f t="shared" si="14"/>
        <v>88452</v>
      </c>
      <c r="L75" s="15">
        <f t="shared" si="9"/>
        <v>2521.3545400000003</v>
      </c>
      <c r="M75" s="15" t="str">
        <f>Uncovered(0)</f>
        <v>0@0</v>
      </c>
      <c r="N75" s="15"/>
      <c r="O75" s="15" t="str">
        <f>Covered(0)</f>
        <v>0@0</v>
      </c>
      <c r="P75" s="17"/>
      <c r="Q75" s="31">
        <f t="shared" si="10"/>
        <v>3631.3545400000003</v>
      </c>
      <c r="R75" s="34">
        <f t="shared" si="17"/>
        <v>8.6454599999999999</v>
      </c>
      <c r="S75" s="15"/>
      <c r="T75" s="273"/>
      <c r="U75" s="273"/>
      <c r="V75" s="22"/>
      <c r="W75" s="272"/>
      <c r="X75" s="272"/>
      <c r="Y75" s="272"/>
      <c r="Z75" s="274"/>
      <c r="AA75" s="22"/>
      <c r="AB75" s="275"/>
      <c r="AC75" s="40"/>
      <c r="AD75" s="40"/>
    </row>
    <row r="76" spans="1:30" s="1" customFormat="1" x14ac:dyDescent="0.25">
      <c r="A76" s="9">
        <v>43558</v>
      </c>
      <c r="B76" s="18" t="s">
        <v>1066</v>
      </c>
      <c r="C76" s="15" t="s">
        <v>69</v>
      </c>
      <c r="D76" s="16">
        <v>400</v>
      </c>
      <c r="E76" s="15">
        <v>9.43</v>
      </c>
      <c r="F76" s="16">
        <f t="shared" ref="F76:F139" si="18">IF(C76="买",F75+D76,IF(C76="卖",F75-D76,F75))</f>
        <v>9320</v>
      </c>
      <c r="G76" s="17">
        <f t="shared" ref="G76:G139" si="19">H76/F76</f>
        <v>10.819122123390564</v>
      </c>
      <c r="H76" s="15">
        <f t="shared" ref="H76:H139" si="20">IF(C76="买",H75+D76*E76+R76+S76,IF(C76="卖",H75-D76*E76+R76+S76,H75))</f>
        <v>100834.21819000006</v>
      </c>
      <c r="I76" s="15">
        <f t="shared" ref="I76:I139" si="21">-H76+K76</f>
        <v>-12946.618190000067</v>
      </c>
      <c r="J76" s="33">
        <f t="shared" ref="J76:J139" si="22">(E76-G76)/G76</f>
        <v>-0.12839508673142069</v>
      </c>
      <c r="K76" s="15">
        <f t="shared" ref="K76:K139" si="23">F76*E76</f>
        <v>87887.599999999991</v>
      </c>
      <c r="L76" s="15">
        <f t="shared" si="9"/>
        <v>3198.8223419999849</v>
      </c>
      <c r="M76" s="15"/>
      <c r="N76" s="15"/>
      <c r="O76" s="15"/>
      <c r="P76" s="17"/>
      <c r="Q76" s="31">
        <f t="shared" si="10"/>
        <v>3763.2223419999937</v>
      </c>
      <c r="R76" s="34">
        <f t="shared" si="17"/>
        <v>8.7776580000000006</v>
      </c>
      <c r="S76" s="15"/>
      <c r="T76" s="273"/>
      <c r="U76" s="273"/>
      <c r="V76" s="22"/>
      <c r="W76" s="272"/>
      <c r="X76" s="272"/>
      <c r="Y76" s="272"/>
      <c r="Z76" s="274"/>
      <c r="AA76" s="22"/>
      <c r="AB76" s="275"/>
      <c r="AC76" s="40"/>
      <c r="AD76" s="40"/>
    </row>
    <row r="77" spans="1:30" s="1" customFormat="1" x14ac:dyDescent="0.25">
      <c r="A77" s="9">
        <v>43558</v>
      </c>
      <c r="B77" s="18" t="s">
        <v>1067</v>
      </c>
      <c r="C77" s="15" t="s">
        <v>69</v>
      </c>
      <c r="D77" s="16">
        <v>400</v>
      </c>
      <c r="E77" s="15">
        <v>9.7100000000000009</v>
      </c>
      <c r="F77" s="16">
        <f t="shared" si="18"/>
        <v>8920</v>
      </c>
      <c r="G77" s="17">
        <f t="shared" si="19"/>
        <v>10.8698551587444</v>
      </c>
      <c r="H77" s="15">
        <f t="shared" si="20"/>
        <v>96959.108016000057</v>
      </c>
      <c r="I77" s="15">
        <f t="shared" si="21"/>
        <v>-10345.908016000045</v>
      </c>
      <c r="J77" s="33">
        <f t="shared" si="22"/>
        <v>-0.10670382832206722</v>
      </c>
      <c r="K77" s="15">
        <f t="shared" si="23"/>
        <v>86613.200000000012</v>
      </c>
      <c r="L77" s="15">
        <f t="shared" si="9"/>
        <v>2600.7101740000217</v>
      </c>
      <c r="M77" s="15"/>
      <c r="N77" s="15"/>
      <c r="O77" s="15"/>
      <c r="P77" s="17"/>
      <c r="Q77" s="31">
        <f t="shared" si="10"/>
        <v>3875.1101740000013</v>
      </c>
      <c r="R77" s="34">
        <f t="shared" si="17"/>
        <v>8.8898259999999993</v>
      </c>
      <c r="S77" s="15"/>
      <c r="T77" s="273"/>
      <c r="U77" s="273"/>
      <c r="V77" s="22"/>
      <c r="W77" s="272"/>
      <c r="X77" s="272"/>
      <c r="Y77" s="272"/>
      <c r="Z77" s="274"/>
      <c r="AA77" s="22"/>
      <c r="AB77" s="275"/>
      <c r="AC77" s="40"/>
      <c r="AD77" s="40"/>
    </row>
    <row r="78" spans="1:30" s="1" customFormat="1" x14ac:dyDescent="0.25">
      <c r="A78" s="9">
        <v>43559</v>
      </c>
      <c r="B78" s="18"/>
      <c r="C78" s="306" t="s">
        <v>922</v>
      </c>
      <c r="D78" s="16">
        <v>500</v>
      </c>
      <c r="E78" s="15">
        <v>9.4700000000000006</v>
      </c>
      <c r="F78" s="16">
        <f t="shared" si="18"/>
        <v>9420</v>
      </c>
      <c r="G78" s="17">
        <f t="shared" si="19"/>
        <v>10.796084256687905</v>
      </c>
      <c r="H78" s="15">
        <f t="shared" si="20"/>
        <v>101699.11369800006</v>
      </c>
      <c r="I78" s="15">
        <f t="shared" si="21"/>
        <v>-12491.71369800005</v>
      </c>
      <c r="J78" s="33">
        <f t="shared" si="22"/>
        <v>-0.12283011369297422</v>
      </c>
      <c r="K78" s="15">
        <f t="shared" si="23"/>
        <v>89207.400000000009</v>
      </c>
      <c r="L78" s="15">
        <f t="shared" si="9"/>
        <v>-2145.8056820000056</v>
      </c>
      <c r="M78" s="15"/>
      <c r="N78" s="15"/>
      <c r="O78" s="15"/>
      <c r="P78" s="17"/>
      <c r="Q78" s="31">
        <f t="shared" si="10"/>
        <v>-4740.0056820000027</v>
      </c>
      <c r="R78" s="34">
        <f t="shared" si="17"/>
        <v>5.0056820000000002</v>
      </c>
      <c r="S78" s="15"/>
      <c r="T78" s="273"/>
      <c r="U78" s="273"/>
      <c r="V78" s="22"/>
      <c r="W78" s="272"/>
      <c r="X78" s="272"/>
      <c r="Y78" s="272"/>
      <c r="Z78" s="274"/>
      <c r="AA78" s="22"/>
      <c r="AB78" s="275"/>
      <c r="AC78" s="40"/>
      <c r="AD78" s="40"/>
    </row>
    <row r="79" spans="1:30" s="1" customFormat="1" x14ac:dyDescent="0.25">
      <c r="A79" s="9">
        <v>43564</v>
      </c>
      <c r="B79" s="18"/>
      <c r="C79" s="15" t="s">
        <v>63</v>
      </c>
      <c r="D79" s="16">
        <v>500</v>
      </c>
      <c r="E79" s="15">
        <v>9.24</v>
      </c>
      <c r="F79" s="16">
        <f t="shared" si="18"/>
        <v>9920</v>
      </c>
      <c r="G79" s="17">
        <f t="shared" si="19"/>
        <v>10.718157181653233</v>
      </c>
      <c r="H79" s="15">
        <f t="shared" si="20"/>
        <v>106324.11924200006</v>
      </c>
      <c r="I79" s="15">
        <f t="shared" si="21"/>
        <v>-14663.319242000056</v>
      </c>
      <c r="J79" s="33">
        <f t="shared" si="22"/>
        <v>-0.1379115044313273</v>
      </c>
      <c r="K79" s="15">
        <f t="shared" si="23"/>
        <v>91660.800000000003</v>
      </c>
      <c r="L79" s="15">
        <f t="shared" si="9"/>
        <v>-2171.6055440000055</v>
      </c>
      <c r="M79" s="15"/>
      <c r="N79" s="15"/>
      <c r="O79" s="15"/>
      <c r="P79" s="17"/>
      <c r="Q79" s="31">
        <f t="shared" si="10"/>
        <v>-4625.0055439999996</v>
      </c>
      <c r="R79" s="34">
        <f t="shared" si="17"/>
        <v>5.0055440000000004</v>
      </c>
      <c r="S79" s="15"/>
      <c r="T79" s="273"/>
      <c r="U79" s="273"/>
      <c r="V79" s="22"/>
      <c r="W79" s="272"/>
      <c r="X79" s="272"/>
      <c r="Y79" s="272"/>
      <c r="Z79" s="274"/>
      <c r="AA79" s="22"/>
      <c r="AB79" s="275"/>
      <c r="AC79" s="40"/>
      <c r="AD79" s="40"/>
    </row>
    <row r="80" spans="1:30" s="1" customFormat="1" x14ac:dyDescent="0.25">
      <c r="A80" s="9">
        <v>43567</v>
      </c>
      <c r="B80" s="18"/>
      <c r="C80" s="15" t="s">
        <v>63</v>
      </c>
      <c r="D80" s="16">
        <v>500</v>
      </c>
      <c r="E80" s="15">
        <v>8.9600000000000009</v>
      </c>
      <c r="F80" s="16">
        <f t="shared" si="18"/>
        <v>10420</v>
      </c>
      <c r="G80" s="17">
        <f t="shared" si="19"/>
        <v>10.634272995969296</v>
      </c>
      <c r="H80" s="15">
        <f t="shared" si="20"/>
        <v>110809.12461800006</v>
      </c>
      <c r="I80" s="15">
        <f t="shared" si="21"/>
        <v>-17445.924618000048</v>
      </c>
      <c r="J80" s="33">
        <f t="shared" si="22"/>
        <v>-0.15744122767996399</v>
      </c>
      <c r="K80" s="15">
        <f t="shared" si="23"/>
        <v>93363.200000000012</v>
      </c>
      <c r="L80" s="15">
        <f t="shared" si="9"/>
        <v>-2782.6053759999922</v>
      </c>
      <c r="M80" s="15"/>
      <c r="N80" s="15"/>
      <c r="O80" s="15"/>
      <c r="P80" s="17"/>
      <c r="Q80" s="31">
        <f t="shared" si="10"/>
        <v>-4485.005376000001</v>
      </c>
      <c r="R80" s="34">
        <f t="shared" si="17"/>
        <v>5.005376</v>
      </c>
      <c r="S80" s="15"/>
      <c r="T80" s="273"/>
      <c r="U80" s="273"/>
      <c r="V80" s="22"/>
      <c r="W80" s="272"/>
      <c r="X80" s="272"/>
      <c r="Y80" s="272"/>
      <c r="Z80" s="274"/>
      <c r="AA80" s="22"/>
      <c r="AB80" s="275"/>
      <c r="AC80" s="40"/>
      <c r="AD80" s="40"/>
    </row>
    <row r="81" spans="1:30" s="1" customFormat="1" x14ac:dyDescent="0.25">
      <c r="A81" s="9">
        <v>43571</v>
      </c>
      <c r="B81" s="18" t="s">
        <v>1068</v>
      </c>
      <c r="C81" s="15" t="s">
        <v>69</v>
      </c>
      <c r="D81" s="16">
        <v>400</v>
      </c>
      <c r="E81" s="15">
        <v>9.1199999999999992</v>
      </c>
      <c r="F81" s="16">
        <f t="shared" si="18"/>
        <v>10020</v>
      </c>
      <c r="G81" s="17">
        <f t="shared" si="19"/>
        <v>10.695586635728549</v>
      </c>
      <c r="H81" s="15">
        <f t="shared" si="20"/>
        <v>107169.77809000007</v>
      </c>
      <c r="I81" s="15">
        <f t="shared" si="21"/>
        <v>-15787.378090000071</v>
      </c>
      <c r="J81" s="33">
        <f t="shared" si="22"/>
        <v>-0.14731184827817781</v>
      </c>
      <c r="K81" s="15">
        <f t="shared" si="23"/>
        <v>91382.399999999994</v>
      </c>
      <c r="L81" s="15">
        <f t="shared" si="9"/>
        <v>1658.5465279999771</v>
      </c>
      <c r="M81" s="15"/>
      <c r="N81" s="15"/>
      <c r="O81" s="15"/>
      <c r="P81" s="17"/>
      <c r="Q81" s="31">
        <f t="shared" si="10"/>
        <v>3639.3465279999946</v>
      </c>
      <c r="R81" s="34">
        <f t="shared" si="17"/>
        <v>8.6534720000000007</v>
      </c>
      <c r="S81" s="15"/>
      <c r="T81" s="273"/>
      <c r="U81" s="273"/>
      <c r="V81" s="22"/>
      <c r="W81" s="272"/>
      <c r="X81" s="272"/>
      <c r="Y81" s="272"/>
      <c r="Z81" s="274"/>
      <c r="AA81" s="22"/>
      <c r="AB81" s="275"/>
      <c r="AC81" s="40"/>
      <c r="AD81" s="40"/>
    </row>
    <row r="82" spans="1:30" s="1" customFormat="1" x14ac:dyDescent="0.25">
      <c r="A82" s="9">
        <v>43578</v>
      </c>
      <c r="B82" s="18"/>
      <c r="C82" s="15" t="s">
        <v>63</v>
      </c>
      <c r="D82" s="16">
        <v>500</v>
      </c>
      <c r="E82" s="15">
        <v>8.73</v>
      </c>
      <c r="F82" s="16">
        <f t="shared" si="18"/>
        <v>10520</v>
      </c>
      <c r="G82" s="17">
        <f t="shared" si="19"/>
        <v>10.602641000760462</v>
      </c>
      <c r="H82" s="15">
        <f t="shared" si="20"/>
        <v>111539.78332800006</v>
      </c>
      <c r="I82" s="15">
        <f t="shared" si="21"/>
        <v>-19700.183328000057</v>
      </c>
      <c r="J82" s="33">
        <f t="shared" si="22"/>
        <v>-0.17662024024261019</v>
      </c>
      <c r="K82" s="15">
        <f t="shared" si="23"/>
        <v>91839.6</v>
      </c>
      <c r="L82" s="15">
        <f t="shared" si="9"/>
        <v>-3912.8052379999863</v>
      </c>
      <c r="M82" s="15"/>
      <c r="N82" s="15"/>
      <c r="O82" s="15"/>
      <c r="P82" s="17"/>
      <c r="Q82" s="31">
        <f t="shared" si="10"/>
        <v>-4370.0052379999979</v>
      </c>
      <c r="R82" s="34">
        <f t="shared" si="17"/>
        <v>5.0052380000000003</v>
      </c>
      <c r="S82" s="15"/>
      <c r="T82" s="273"/>
      <c r="U82" s="273"/>
      <c r="V82" s="22"/>
      <c r="W82" s="272"/>
      <c r="X82" s="272"/>
      <c r="Y82" s="272"/>
      <c r="Z82" s="274"/>
      <c r="AA82" s="22"/>
      <c r="AB82" s="275"/>
      <c r="AC82" s="40"/>
      <c r="AD82" s="40"/>
    </row>
    <row r="83" spans="1:30" s="1" customFormat="1" x14ac:dyDescent="0.25">
      <c r="A83" s="9">
        <v>43580</v>
      </c>
      <c r="B83" s="18"/>
      <c r="C83" s="15" t="s">
        <v>63</v>
      </c>
      <c r="D83" s="16">
        <v>500</v>
      </c>
      <c r="E83" s="15">
        <v>8.52</v>
      </c>
      <c r="F83" s="16">
        <f t="shared" si="18"/>
        <v>11020</v>
      </c>
      <c r="G83" s="17">
        <f t="shared" si="19"/>
        <v>10.508601491833037</v>
      </c>
      <c r="H83" s="15">
        <f t="shared" si="20"/>
        <v>115804.78844000006</v>
      </c>
      <c r="I83" s="15">
        <f t="shared" si="21"/>
        <v>-21914.388440000068</v>
      </c>
      <c r="J83" s="33">
        <f t="shared" si="22"/>
        <v>-0.18923559841702225</v>
      </c>
      <c r="K83" s="15">
        <f t="shared" si="23"/>
        <v>93890.4</v>
      </c>
      <c r="L83" s="15">
        <f t="shared" si="9"/>
        <v>-2214.2051120000106</v>
      </c>
      <c r="M83" s="15"/>
      <c r="N83" s="15"/>
      <c r="O83" s="15"/>
      <c r="P83" s="17"/>
      <c r="Q83" s="31">
        <f t="shared" si="10"/>
        <v>-4265.0051119999989</v>
      </c>
      <c r="R83" s="34">
        <f t="shared" si="17"/>
        <v>5.0051119999999996</v>
      </c>
      <c r="S83" s="15"/>
      <c r="T83" s="273"/>
      <c r="U83" s="273"/>
      <c r="V83" s="22"/>
      <c r="W83" s="272"/>
      <c r="X83" s="272"/>
      <c r="Y83" s="272"/>
      <c r="Z83" s="274"/>
      <c r="AA83" s="22"/>
      <c r="AB83" s="275"/>
      <c r="AC83" s="40"/>
      <c r="AD83" s="40"/>
    </row>
    <row r="84" spans="1:30" s="1" customFormat="1" x14ac:dyDescent="0.25">
      <c r="A84" s="9">
        <v>43581</v>
      </c>
      <c r="B84" s="18"/>
      <c r="C84" s="15" t="s">
        <v>63</v>
      </c>
      <c r="D84" s="16">
        <v>500</v>
      </c>
      <c r="E84" s="15">
        <v>8.2100000000000009</v>
      </c>
      <c r="F84" s="16">
        <f t="shared" si="18"/>
        <v>11520</v>
      </c>
      <c r="G84" s="17">
        <f t="shared" si="19"/>
        <v>10.409270257465282</v>
      </c>
      <c r="H84" s="15">
        <f t="shared" si="20"/>
        <v>119914.79336600006</v>
      </c>
      <c r="I84" s="15">
        <f t="shared" si="21"/>
        <v>-25335.593366000045</v>
      </c>
      <c r="J84" s="33">
        <f t="shared" si="22"/>
        <v>-0.21127996517219993</v>
      </c>
      <c r="K84" s="15">
        <f t="shared" si="23"/>
        <v>94579.200000000012</v>
      </c>
      <c r="L84" s="15">
        <f t="shared" si="9"/>
        <v>-3421.2049259999767</v>
      </c>
      <c r="M84" s="15"/>
      <c r="N84" s="15"/>
      <c r="O84" s="15"/>
      <c r="P84" s="17"/>
      <c r="Q84" s="31">
        <f t="shared" si="10"/>
        <v>-4110.0049259999942</v>
      </c>
      <c r="R84" s="34">
        <f t="shared" si="17"/>
        <v>5.0049260000000002</v>
      </c>
      <c r="S84" s="15"/>
      <c r="T84" s="273"/>
      <c r="U84" s="273"/>
      <c r="V84" s="22"/>
      <c r="W84" s="272"/>
      <c r="X84" s="272"/>
      <c r="Y84" s="272"/>
      <c r="Z84" s="274"/>
      <c r="AA84" s="22"/>
      <c r="AB84" s="275"/>
      <c r="AC84" s="40"/>
      <c r="AD84" s="40"/>
    </row>
    <row r="85" spans="1:30" s="1" customFormat="1" x14ac:dyDescent="0.25">
      <c r="A85" s="9">
        <v>43584</v>
      </c>
      <c r="B85" s="18"/>
      <c r="C85" s="15" t="s">
        <v>63</v>
      </c>
      <c r="D85" s="16">
        <v>500</v>
      </c>
      <c r="E85" s="15">
        <v>7.98</v>
      </c>
      <c r="F85" s="16">
        <f t="shared" si="18"/>
        <v>12020</v>
      </c>
      <c r="G85" s="17">
        <f t="shared" si="19"/>
        <v>10.308635453743765</v>
      </c>
      <c r="H85" s="15">
        <f t="shared" si="20"/>
        <v>123909.79815400006</v>
      </c>
      <c r="I85" s="15">
        <f t="shared" si="21"/>
        <v>-27990.198154000056</v>
      </c>
      <c r="J85" s="33">
        <f t="shared" si="22"/>
        <v>-0.22589172584409115</v>
      </c>
      <c r="K85" s="15">
        <f t="shared" si="23"/>
        <v>95919.6</v>
      </c>
      <c r="L85" s="15">
        <f t="shared" si="9"/>
        <v>-2654.6047880000115</v>
      </c>
      <c r="M85" s="15"/>
      <c r="N85" s="15"/>
      <c r="O85" s="15"/>
      <c r="P85" s="17"/>
      <c r="Q85" s="31">
        <f t="shared" si="10"/>
        <v>-3995.0047880000056</v>
      </c>
      <c r="R85" s="34">
        <f t="shared" si="17"/>
        <v>5.0047879999999996</v>
      </c>
      <c r="S85" s="15"/>
      <c r="T85" s="273"/>
      <c r="U85" s="273"/>
      <c r="V85" s="22"/>
      <c r="W85" s="272"/>
      <c r="X85" s="272"/>
      <c r="Y85" s="272"/>
      <c r="Z85" s="274"/>
      <c r="AA85" s="22"/>
      <c r="AB85" s="275"/>
      <c r="AC85" s="40"/>
      <c r="AD85" s="40"/>
    </row>
    <row r="86" spans="1:30" s="1" customFormat="1" x14ac:dyDescent="0.25">
      <c r="A86" s="9">
        <v>43584</v>
      </c>
      <c r="B86" s="18"/>
      <c r="C86" s="15" t="s">
        <v>63</v>
      </c>
      <c r="D86" s="16">
        <v>500</v>
      </c>
      <c r="E86" s="15">
        <v>7.72</v>
      </c>
      <c r="F86" s="16">
        <f t="shared" si="18"/>
        <v>12520</v>
      </c>
      <c r="G86" s="17">
        <f t="shared" si="19"/>
        <v>10.205655174600643</v>
      </c>
      <c r="H86" s="15">
        <f t="shared" si="20"/>
        <v>127774.80278600006</v>
      </c>
      <c r="I86" s="15">
        <f t="shared" si="21"/>
        <v>-31120.402786000064</v>
      </c>
      <c r="J86" s="33">
        <f t="shared" si="22"/>
        <v>-0.243556648943698</v>
      </c>
      <c r="K86" s="15">
        <f t="shared" si="23"/>
        <v>96654.399999999994</v>
      </c>
      <c r="L86" s="15">
        <f t="shared" si="9"/>
        <v>-3130.2046320000081</v>
      </c>
      <c r="M86" s="15"/>
      <c r="N86" s="15"/>
      <c r="O86" s="15"/>
      <c r="P86" s="17"/>
      <c r="Q86" s="31">
        <f t="shared" si="10"/>
        <v>-3865.0046319999965</v>
      </c>
      <c r="R86" s="34">
        <f t="shared" si="17"/>
        <v>5.004632</v>
      </c>
      <c r="S86" s="15"/>
      <c r="T86" s="273"/>
      <c r="U86" s="273"/>
      <c r="V86" s="22"/>
      <c r="W86" s="272"/>
      <c r="X86" s="272"/>
      <c r="Y86" s="272"/>
      <c r="Z86" s="274"/>
      <c r="AA86" s="22"/>
      <c r="AB86" s="275"/>
      <c r="AC86" s="40"/>
      <c r="AD86" s="40"/>
    </row>
    <row r="87" spans="1:30" s="1" customFormat="1" x14ac:dyDescent="0.25">
      <c r="A87" s="9">
        <v>43585</v>
      </c>
      <c r="B87" s="18" t="s">
        <v>1069</v>
      </c>
      <c r="C87" s="15" t="s">
        <v>69</v>
      </c>
      <c r="D87" s="16">
        <v>400</v>
      </c>
      <c r="E87" s="15">
        <v>8.0299999999999994</v>
      </c>
      <c r="F87" s="16">
        <f t="shared" si="18"/>
        <v>12120</v>
      </c>
      <c r="G87" s="17">
        <f t="shared" si="19"/>
        <v>10.278136931023107</v>
      </c>
      <c r="H87" s="15">
        <f t="shared" si="20"/>
        <v>124571.01960400006</v>
      </c>
      <c r="I87" s="15">
        <f t="shared" si="21"/>
        <v>-27247.419604000068</v>
      </c>
      <c r="J87" s="33">
        <f t="shared" si="22"/>
        <v>-0.21873000390152653</v>
      </c>
      <c r="K87" s="15">
        <f t="shared" si="23"/>
        <v>97323.599999999991</v>
      </c>
      <c r="L87" s="15">
        <f t="shared" si="9"/>
        <v>3872.9831819999963</v>
      </c>
      <c r="M87" s="15"/>
      <c r="N87" s="15"/>
      <c r="O87" s="15"/>
      <c r="P87" s="17"/>
      <c r="Q87" s="31">
        <f t="shared" si="10"/>
        <v>3203.7831819999992</v>
      </c>
      <c r="R87" s="34">
        <f t="shared" si="17"/>
        <v>8.216818</v>
      </c>
      <c r="S87" s="15"/>
      <c r="T87" s="273"/>
      <c r="U87" s="273"/>
      <c r="V87" s="22"/>
      <c r="W87" s="272"/>
      <c r="X87" s="272"/>
      <c r="Y87" s="272"/>
      <c r="Z87" s="274"/>
      <c r="AA87" s="22"/>
      <c r="AB87" s="275"/>
      <c r="AC87" s="40"/>
      <c r="AD87" s="40"/>
    </row>
    <row r="88" spans="1:30" s="1" customFormat="1" x14ac:dyDescent="0.25">
      <c r="A88" s="9">
        <v>43591</v>
      </c>
      <c r="B88" s="18"/>
      <c r="C88" s="306" t="s">
        <v>922</v>
      </c>
      <c r="D88" s="16">
        <v>500</v>
      </c>
      <c r="E88" s="15">
        <v>7.78</v>
      </c>
      <c r="F88" s="16">
        <f t="shared" si="18"/>
        <v>12620</v>
      </c>
      <c r="G88" s="17">
        <f t="shared" si="19"/>
        <v>10.179558183201273</v>
      </c>
      <c r="H88" s="15">
        <f t="shared" si="20"/>
        <v>128466.02427200005</v>
      </c>
      <c r="I88" s="15">
        <f t="shared" si="21"/>
        <v>-30282.424272000047</v>
      </c>
      <c r="J88" s="33">
        <f t="shared" si="22"/>
        <v>-0.23572321509602673</v>
      </c>
      <c r="K88" s="15">
        <f t="shared" si="23"/>
        <v>98183.6</v>
      </c>
      <c r="L88" s="15">
        <f t="shared" si="9"/>
        <v>-3035.0046679999796</v>
      </c>
      <c r="M88" s="15"/>
      <c r="N88" s="15"/>
      <c r="O88" s="15"/>
      <c r="P88" s="17"/>
      <c r="Q88" s="31">
        <f t="shared" si="10"/>
        <v>-3895.0046679999941</v>
      </c>
      <c r="R88" s="34">
        <f t="shared" si="17"/>
        <v>5.0046679999999997</v>
      </c>
      <c r="S88" s="15"/>
      <c r="T88" s="273"/>
      <c r="U88" s="273"/>
      <c r="V88" s="22"/>
      <c r="W88" s="272"/>
      <c r="X88" s="272"/>
      <c r="Y88" s="272"/>
      <c r="Z88" s="274"/>
      <c r="AA88" s="22"/>
      <c r="AB88" s="275"/>
      <c r="AC88" s="40"/>
      <c r="AD88" s="40"/>
    </row>
    <row r="89" spans="1:30" s="1" customFormat="1" x14ac:dyDescent="0.25">
      <c r="A89" s="9">
        <v>43593</v>
      </c>
      <c r="B89" s="18"/>
      <c r="C89" s="15" t="s">
        <v>63</v>
      </c>
      <c r="D89" s="16">
        <v>500</v>
      </c>
      <c r="E89" s="15">
        <v>7.54</v>
      </c>
      <c r="F89" s="16">
        <f t="shared" si="18"/>
        <v>13120</v>
      </c>
      <c r="G89" s="17">
        <f t="shared" si="19"/>
        <v>10.079346707012199</v>
      </c>
      <c r="H89" s="15">
        <f t="shared" si="20"/>
        <v>132241.02879600006</v>
      </c>
      <c r="I89" s="15">
        <f t="shared" si="21"/>
        <v>-33316.228796000054</v>
      </c>
      <c r="J89" s="33">
        <f t="shared" si="22"/>
        <v>-0.25193564432559662</v>
      </c>
      <c r="K89" s="15">
        <f t="shared" si="23"/>
        <v>98924.800000000003</v>
      </c>
      <c r="L89" s="15">
        <f t="shared" si="9"/>
        <v>-3033.8045240000065</v>
      </c>
      <c r="M89" s="15"/>
      <c r="N89" s="15"/>
      <c r="O89" s="15"/>
      <c r="P89" s="17"/>
      <c r="Q89" s="31">
        <f t="shared" si="10"/>
        <v>-3775.0045240000036</v>
      </c>
      <c r="R89" s="34">
        <f t="shared" si="17"/>
        <v>5.004524</v>
      </c>
      <c r="S89" s="15"/>
      <c r="T89" s="273"/>
      <c r="U89" s="273"/>
      <c r="V89" s="22"/>
      <c r="W89" s="272"/>
      <c r="X89" s="272"/>
      <c r="Y89" s="272"/>
      <c r="Z89" s="274"/>
      <c r="AA89" s="22"/>
      <c r="AB89" s="275"/>
      <c r="AC89" s="40"/>
      <c r="AD89" s="40"/>
    </row>
    <row r="90" spans="1:30" s="1" customFormat="1" x14ac:dyDescent="0.25">
      <c r="A90" s="9">
        <v>43600</v>
      </c>
      <c r="B90" s="18" t="s">
        <v>1070</v>
      </c>
      <c r="C90" s="15" t="s">
        <v>69</v>
      </c>
      <c r="D90" s="16">
        <v>400</v>
      </c>
      <c r="E90" s="15">
        <v>7.74</v>
      </c>
      <c r="F90" s="16">
        <f t="shared" si="18"/>
        <v>12720</v>
      </c>
      <c r="G90" s="17">
        <f t="shared" si="19"/>
        <v>10.153547911949691</v>
      </c>
      <c r="H90" s="15">
        <f t="shared" si="20"/>
        <v>129153.12944000006</v>
      </c>
      <c r="I90" s="15">
        <f t="shared" si="21"/>
        <v>-30700.32944000006</v>
      </c>
      <c r="J90" s="33">
        <f t="shared" si="22"/>
        <v>-0.23770488236030191</v>
      </c>
      <c r="K90" s="15">
        <f t="shared" si="23"/>
        <v>98452.800000000003</v>
      </c>
      <c r="L90" s="15">
        <f t="shared" si="9"/>
        <v>2615.8993559999944</v>
      </c>
      <c r="M90" s="15"/>
      <c r="N90" s="15"/>
      <c r="O90" s="15"/>
      <c r="P90" s="17"/>
      <c r="Q90" s="31">
        <f t="shared" si="10"/>
        <v>3087.8993559999944</v>
      </c>
      <c r="R90" s="34">
        <f t="shared" si="17"/>
        <v>8.1006439999999991</v>
      </c>
      <c r="S90" s="15"/>
      <c r="T90" s="273"/>
      <c r="U90" s="273"/>
      <c r="V90" s="22"/>
      <c r="W90" s="272"/>
      <c r="X90" s="272"/>
      <c r="Y90" s="272"/>
      <c r="Z90" s="274"/>
      <c r="AA90" s="22"/>
      <c r="AB90" s="275"/>
      <c r="AC90" s="40"/>
      <c r="AD90" s="40"/>
    </row>
    <row r="91" spans="1:30" s="1" customFormat="1" x14ac:dyDescent="0.25">
      <c r="A91" s="9">
        <v>43606</v>
      </c>
      <c r="B91" s="18" t="s">
        <v>1071</v>
      </c>
      <c r="C91" s="15" t="s">
        <v>69</v>
      </c>
      <c r="D91" s="16">
        <v>400</v>
      </c>
      <c r="E91" s="15">
        <v>7.83</v>
      </c>
      <c r="F91" s="16">
        <f t="shared" si="18"/>
        <v>12320</v>
      </c>
      <c r="G91" s="17">
        <f t="shared" si="19"/>
        <v>10.229648225487018</v>
      </c>
      <c r="H91" s="15">
        <f t="shared" si="20"/>
        <v>126029.26613800006</v>
      </c>
      <c r="I91" s="15">
        <f t="shared" si="21"/>
        <v>-29563.666138000059</v>
      </c>
      <c r="J91" s="33">
        <f t="shared" si="22"/>
        <v>-0.2345777853346247</v>
      </c>
      <c r="K91" s="15">
        <f t="shared" si="23"/>
        <v>96465.600000000006</v>
      </c>
      <c r="L91" s="15">
        <f t="shared" si="9"/>
        <v>1136.6633020000008</v>
      </c>
      <c r="M91" s="15"/>
      <c r="N91" s="15"/>
      <c r="O91" s="15"/>
      <c r="P91" s="17"/>
      <c r="Q91" s="31">
        <f t="shared" si="10"/>
        <v>3123.8633019999979</v>
      </c>
      <c r="R91" s="34">
        <f t="shared" si="17"/>
        <v>8.1366980000000009</v>
      </c>
      <c r="S91" s="15"/>
      <c r="T91" s="273"/>
      <c r="U91" s="273"/>
      <c r="V91" s="22"/>
      <c r="W91" s="272"/>
      <c r="X91" s="272"/>
      <c r="Y91" s="272"/>
      <c r="Z91" s="274"/>
      <c r="AA91" s="22"/>
      <c r="AB91" s="275"/>
      <c r="AC91" s="40"/>
      <c r="AD91" s="40"/>
    </row>
    <row r="92" spans="1:30" s="1" customFormat="1" x14ac:dyDescent="0.25">
      <c r="A92" s="9">
        <v>43627</v>
      </c>
      <c r="B92" s="18"/>
      <c r="C92" s="15" t="s">
        <v>63</v>
      </c>
      <c r="D92" s="16">
        <v>400</v>
      </c>
      <c r="E92" s="15">
        <v>7.56</v>
      </c>
      <c r="F92" s="16">
        <f t="shared" si="18"/>
        <v>12720</v>
      </c>
      <c r="G92" s="17">
        <f t="shared" si="19"/>
        <v>9.971750839150948</v>
      </c>
      <c r="H92" s="15">
        <f t="shared" si="20"/>
        <v>126840.67067400005</v>
      </c>
      <c r="I92" s="15">
        <f t="shared" si="21"/>
        <v>-30677.470674000055</v>
      </c>
      <c r="J92" s="33">
        <f t="shared" si="22"/>
        <v>-0.24185831335475874</v>
      </c>
      <c r="K92" s="15">
        <f t="shared" si="23"/>
        <v>96163.199999999997</v>
      </c>
      <c r="L92" s="15">
        <f t="shared" si="9"/>
        <v>-1113.804535999996</v>
      </c>
      <c r="M92" s="15"/>
      <c r="N92" s="15"/>
      <c r="O92" s="15"/>
      <c r="P92" s="17"/>
      <c r="Q92" s="31">
        <f t="shared" si="10"/>
        <v>-811.40453599998727</v>
      </c>
      <c r="R92" s="34">
        <f t="shared" si="17"/>
        <v>5.0045359999999999</v>
      </c>
      <c r="S92" s="15">
        <v>-2217.6</v>
      </c>
      <c r="T92" s="273"/>
      <c r="U92" s="273"/>
      <c r="V92" s="22"/>
      <c r="W92" s="272"/>
      <c r="X92" s="272"/>
      <c r="Y92" s="272"/>
      <c r="Z92" s="274"/>
      <c r="AA92" s="22"/>
      <c r="AB92" s="275"/>
      <c r="AC92" s="40"/>
      <c r="AD92" s="40"/>
    </row>
    <row r="93" spans="1:30" s="1" customFormat="1" x14ac:dyDescent="0.25">
      <c r="A93" s="9">
        <v>43636</v>
      </c>
      <c r="B93" s="18" t="s">
        <v>1072</v>
      </c>
      <c r="C93" s="15" t="s">
        <v>69</v>
      </c>
      <c r="D93" s="16">
        <v>400</v>
      </c>
      <c r="E93" s="15">
        <v>7.74</v>
      </c>
      <c r="F93" s="16">
        <f t="shared" si="18"/>
        <v>12320</v>
      </c>
      <c r="G93" s="17">
        <f t="shared" si="19"/>
        <v>10.044867801785719</v>
      </c>
      <c r="H93" s="15">
        <f t="shared" si="20"/>
        <v>123752.77131800006</v>
      </c>
      <c r="I93" s="15">
        <f t="shared" si="21"/>
        <v>-28395.971318000054</v>
      </c>
      <c r="J93" s="33">
        <f t="shared" si="22"/>
        <v>-0.22945725591092123</v>
      </c>
      <c r="K93" s="15">
        <f t="shared" si="23"/>
        <v>95356.800000000003</v>
      </c>
      <c r="L93" s="15">
        <f t="shared" si="9"/>
        <v>2281.4993560000003</v>
      </c>
      <c r="M93" s="15"/>
      <c r="N93" s="15"/>
      <c r="O93" s="15"/>
      <c r="P93" s="17"/>
      <c r="Q93" s="31">
        <f t="shared" si="10"/>
        <v>3087.8993559999944</v>
      </c>
      <c r="R93" s="34">
        <f t="shared" si="17"/>
        <v>8.1006439999999991</v>
      </c>
      <c r="S93" s="15"/>
      <c r="T93" s="273"/>
      <c r="U93" s="273"/>
      <c r="V93" s="22"/>
      <c r="W93" s="272"/>
      <c r="X93" s="272"/>
      <c r="Y93" s="272"/>
      <c r="Z93" s="274"/>
      <c r="AA93" s="22"/>
      <c r="AB93" s="275"/>
      <c r="AC93" s="40"/>
      <c r="AD93" s="40"/>
    </row>
    <row r="94" spans="1:30" s="1" customFormat="1" x14ac:dyDescent="0.25">
      <c r="A94" s="9">
        <v>43648</v>
      </c>
      <c r="B94" s="18" t="s">
        <v>1013</v>
      </c>
      <c r="C94" s="15" t="s">
        <v>69</v>
      </c>
      <c r="D94" s="16">
        <v>400</v>
      </c>
      <c r="E94" s="15">
        <v>7.86</v>
      </c>
      <c r="F94" s="16">
        <f t="shared" si="18"/>
        <v>11920</v>
      </c>
      <c r="G94" s="17">
        <f t="shared" si="19"/>
        <v>10.118869130369132</v>
      </c>
      <c r="H94" s="15">
        <f t="shared" si="20"/>
        <v>120616.92003400005</v>
      </c>
      <c r="I94" s="15">
        <f t="shared" si="21"/>
        <v>-26925.720034000056</v>
      </c>
      <c r="J94" s="33">
        <f t="shared" si="22"/>
        <v>-0.22323335752902751</v>
      </c>
      <c r="K94" s="15">
        <f t="shared" si="23"/>
        <v>93691.199999999997</v>
      </c>
      <c r="L94" s="15">
        <f t="shared" si="9"/>
        <v>1470.2512839999981</v>
      </c>
      <c r="M94" s="15"/>
      <c r="N94" s="15"/>
      <c r="O94" s="15"/>
      <c r="P94" s="17"/>
      <c r="Q94" s="31">
        <f t="shared" si="10"/>
        <v>3135.8512840000039</v>
      </c>
      <c r="R94" s="34">
        <f t="shared" si="17"/>
        <v>8.1487160000000003</v>
      </c>
      <c r="S94" s="15"/>
      <c r="T94" s="273"/>
      <c r="U94" s="273"/>
      <c r="V94" s="22"/>
      <c r="W94" s="272"/>
      <c r="X94" s="272"/>
      <c r="Y94" s="272"/>
      <c r="Z94" s="274"/>
      <c r="AA94" s="22"/>
      <c r="AB94" s="275"/>
      <c r="AC94" s="40"/>
      <c r="AD94" s="40"/>
    </row>
    <row r="95" spans="1:30" s="1" customFormat="1" x14ac:dyDescent="0.25">
      <c r="A95" s="9">
        <v>43651</v>
      </c>
      <c r="B95" s="18" t="s">
        <v>1073</v>
      </c>
      <c r="C95" s="15" t="s">
        <v>69</v>
      </c>
      <c r="D95" s="16">
        <v>400</v>
      </c>
      <c r="E95" s="15">
        <v>7.95</v>
      </c>
      <c r="F95" s="16">
        <f t="shared" si="18"/>
        <v>11520</v>
      </c>
      <c r="G95" s="17">
        <f t="shared" si="19"/>
        <v>10.194887569791671</v>
      </c>
      <c r="H95" s="15">
        <f t="shared" si="20"/>
        <v>117445.10480400006</v>
      </c>
      <c r="I95" s="15">
        <f t="shared" si="21"/>
        <v>-25861.104804000061</v>
      </c>
      <c r="J95" s="33">
        <f t="shared" si="22"/>
        <v>-0.22019738368115663</v>
      </c>
      <c r="K95" s="15">
        <f t="shared" si="23"/>
        <v>91584</v>
      </c>
      <c r="L95" s="15">
        <f t="shared" si="9"/>
        <v>1064.6152299999958</v>
      </c>
      <c r="M95" s="15"/>
      <c r="N95" s="15"/>
      <c r="O95" s="15"/>
      <c r="P95" s="17"/>
      <c r="Q95" s="31">
        <f t="shared" si="10"/>
        <v>3171.8152299999929</v>
      </c>
      <c r="R95" s="34">
        <f t="shared" si="17"/>
        <v>8.1847700000000003</v>
      </c>
      <c r="S95" s="15"/>
      <c r="T95" s="273"/>
      <c r="U95" s="273"/>
      <c r="V95" s="22"/>
      <c r="W95" s="272"/>
      <c r="X95" s="272"/>
      <c r="Y95" s="272"/>
      <c r="Z95" s="274"/>
      <c r="AA95" s="22"/>
      <c r="AB95" s="275"/>
      <c r="AC95" s="40"/>
      <c r="AD95" s="40"/>
    </row>
    <row r="96" spans="1:30" s="1" customFormat="1" x14ac:dyDescent="0.25">
      <c r="A96" s="9">
        <v>43654</v>
      </c>
      <c r="B96" s="18"/>
      <c r="C96" s="15" t="s">
        <v>63</v>
      </c>
      <c r="D96" s="16">
        <v>400</v>
      </c>
      <c r="E96" s="15">
        <v>7.71</v>
      </c>
      <c r="F96" s="16">
        <f t="shared" si="18"/>
        <v>11920</v>
      </c>
      <c r="G96" s="17">
        <f t="shared" si="19"/>
        <v>10.111921932046984</v>
      </c>
      <c r="H96" s="15">
        <f t="shared" si="20"/>
        <v>120534.10943000005</v>
      </c>
      <c r="I96" s="15">
        <f t="shared" si="21"/>
        <v>-28630.909430000058</v>
      </c>
      <c r="J96" s="33">
        <f t="shared" si="22"/>
        <v>-0.23753367047215293</v>
      </c>
      <c r="K96" s="15">
        <f t="shared" si="23"/>
        <v>91903.2</v>
      </c>
      <c r="L96" s="15">
        <f t="shared" si="9"/>
        <v>-2769.8046259999974</v>
      </c>
      <c r="M96" s="15"/>
      <c r="N96" s="15"/>
      <c r="O96" s="15"/>
      <c r="P96" s="17"/>
      <c r="Q96" s="31">
        <f t="shared" si="10"/>
        <v>-3089.0046259999945</v>
      </c>
      <c r="R96" s="34">
        <f t="shared" si="17"/>
        <v>5.004626</v>
      </c>
      <c r="S96" s="15"/>
      <c r="T96" s="273"/>
      <c r="U96" s="273"/>
      <c r="V96" s="22"/>
      <c r="W96" s="272"/>
      <c r="X96" s="272"/>
      <c r="Y96" s="272"/>
      <c r="Z96" s="274"/>
      <c r="AA96" s="22"/>
      <c r="AB96" s="275"/>
      <c r="AC96" s="40"/>
      <c r="AD96" s="40"/>
    </row>
    <row r="97" spans="1:30" s="1" customFormat="1" x14ac:dyDescent="0.25">
      <c r="A97" s="9">
        <v>43669</v>
      </c>
      <c r="B97" s="18"/>
      <c r="C97" s="306" t="s">
        <v>922</v>
      </c>
      <c r="D97" s="16">
        <v>500</v>
      </c>
      <c r="E97" s="15">
        <v>7.53</v>
      </c>
      <c r="F97" s="16">
        <f t="shared" si="18"/>
        <v>12420</v>
      </c>
      <c r="G97" s="17">
        <f t="shared" si="19"/>
        <v>10.008382765539457</v>
      </c>
      <c r="H97" s="15">
        <f t="shared" si="20"/>
        <v>124304.11394800006</v>
      </c>
      <c r="I97" s="15">
        <f t="shared" si="21"/>
        <v>-30781.513948000051</v>
      </c>
      <c r="J97" s="33">
        <f t="shared" si="22"/>
        <v>-0.24763069354950579</v>
      </c>
      <c r="K97" s="15">
        <f t="shared" si="23"/>
        <v>93522.6</v>
      </c>
      <c r="L97" s="15">
        <f t="shared" si="9"/>
        <v>-2150.6045179999928</v>
      </c>
      <c r="M97" s="15"/>
      <c r="N97" s="15"/>
      <c r="O97" s="15"/>
      <c r="P97" s="17"/>
      <c r="Q97" s="31">
        <f t="shared" si="10"/>
        <v>-3770.0045180000016</v>
      </c>
      <c r="R97" s="34">
        <f t="shared" si="17"/>
        <v>5.004518</v>
      </c>
      <c r="S97" s="15"/>
      <c r="T97" s="273"/>
      <c r="U97" s="273"/>
      <c r="V97" s="22"/>
      <c r="W97" s="272"/>
      <c r="X97" s="272"/>
      <c r="Y97" s="272"/>
      <c r="Z97" s="274"/>
      <c r="AA97" s="22"/>
      <c r="AB97" s="275"/>
      <c r="AC97" s="40"/>
      <c r="AD97" s="40"/>
    </row>
    <row r="98" spans="1:30" s="1" customFormat="1" x14ac:dyDescent="0.25">
      <c r="A98" s="9">
        <v>43713</v>
      </c>
      <c r="B98" s="18"/>
      <c r="C98" s="15" t="s">
        <v>63</v>
      </c>
      <c r="D98" s="16">
        <v>500</v>
      </c>
      <c r="E98" s="15">
        <v>7.31</v>
      </c>
      <c r="F98" s="16">
        <f t="shared" si="18"/>
        <v>12920</v>
      </c>
      <c r="G98" s="17">
        <f t="shared" si="19"/>
        <v>9.9043435243034104</v>
      </c>
      <c r="H98" s="15">
        <f t="shared" si="20"/>
        <v>127964.11833400006</v>
      </c>
      <c r="I98" s="15">
        <f t="shared" si="21"/>
        <v>-33518.91833400006</v>
      </c>
      <c r="J98" s="33">
        <f t="shared" si="22"/>
        <v>-0.26193997794375529</v>
      </c>
      <c r="K98" s="15">
        <f t="shared" si="23"/>
        <v>94445.2</v>
      </c>
      <c r="L98" s="15">
        <f t="shared" si="9"/>
        <v>-2737.4043860000093</v>
      </c>
      <c r="M98" s="15"/>
      <c r="N98" s="15"/>
      <c r="O98" s="15"/>
      <c r="P98" s="17"/>
      <c r="Q98" s="31">
        <f t="shared" si="10"/>
        <v>-3660.0043860000005</v>
      </c>
      <c r="R98" s="34">
        <f t="shared" si="17"/>
        <v>5.0043860000000002</v>
      </c>
      <c r="S98" s="15"/>
      <c r="T98" s="273"/>
      <c r="U98" s="273"/>
      <c r="V98" s="22"/>
      <c r="W98" s="272"/>
      <c r="X98" s="272"/>
      <c r="Y98" s="272"/>
      <c r="Z98" s="274"/>
      <c r="AA98" s="22"/>
      <c r="AB98" s="275"/>
      <c r="AC98" s="40"/>
      <c r="AD98" s="40"/>
    </row>
    <row r="99" spans="1:30" s="1" customFormat="1" x14ac:dyDescent="0.25">
      <c r="A99" s="9">
        <v>43731</v>
      </c>
      <c r="B99" s="18"/>
      <c r="C99" s="306" t="s">
        <v>922</v>
      </c>
      <c r="D99" s="16">
        <v>500</v>
      </c>
      <c r="E99" s="15">
        <v>7.11</v>
      </c>
      <c r="F99" s="16">
        <f t="shared" si="18"/>
        <v>13420</v>
      </c>
      <c r="G99" s="17">
        <f t="shared" si="19"/>
        <v>9.8006052608047742</v>
      </c>
      <c r="H99" s="15">
        <f t="shared" si="20"/>
        <v>131524.12260000006</v>
      </c>
      <c r="I99" s="15">
        <f t="shared" si="21"/>
        <v>-36107.922600000064</v>
      </c>
      <c r="J99" s="33">
        <f t="shared" si="22"/>
        <v>-0.27453460160927201</v>
      </c>
      <c r="K99" s="15">
        <f t="shared" si="23"/>
        <v>95416.2</v>
      </c>
      <c r="L99" s="15">
        <f t="shared" si="9"/>
        <v>-2589.0042660000036</v>
      </c>
      <c r="M99" s="15"/>
      <c r="N99" s="15"/>
      <c r="O99" s="15"/>
      <c r="P99" s="17"/>
      <c r="Q99" s="31">
        <f t="shared" si="10"/>
        <v>-3560.0042660000036</v>
      </c>
      <c r="R99" s="34">
        <f t="shared" si="17"/>
        <v>5.0042660000000003</v>
      </c>
      <c r="S99" s="15"/>
      <c r="T99" s="273"/>
      <c r="U99" s="273"/>
      <c r="V99" s="22"/>
      <c r="W99" s="272"/>
      <c r="X99" s="272"/>
      <c r="Y99" s="272"/>
      <c r="Z99" s="274"/>
      <c r="AA99" s="22"/>
      <c r="AB99" s="275"/>
      <c r="AC99" s="40"/>
      <c r="AD99" s="40"/>
    </row>
    <row r="100" spans="1:30" s="1" customFormat="1" x14ac:dyDescent="0.25">
      <c r="A100" s="9">
        <v>43734</v>
      </c>
      <c r="B100" s="18"/>
      <c r="C100" s="306" t="s">
        <v>922</v>
      </c>
      <c r="D100" s="16">
        <v>500</v>
      </c>
      <c r="E100" s="15">
        <v>7</v>
      </c>
      <c r="F100" s="16">
        <f t="shared" si="18"/>
        <v>13920</v>
      </c>
      <c r="G100" s="17">
        <f t="shared" si="19"/>
        <v>9.7003683045977045</v>
      </c>
      <c r="H100" s="15">
        <f t="shared" si="20"/>
        <v>135029.12680000006</v>
      </c>
      <c r="I100" s="15">
        <f t="shared" si="21"/>
        <v>-37589.126800000056</v>
      </c>
      <c r="J100" s="33">
        <f t="shared" si="22"/>
        <v>-0.27837791512697563</v>
      </c>
      <c r="K100" s="15">
        <f t="shared" si="23"/>
        <v>97440</v>
      </c>
      <c r="L100" s="15">
        <f t="shared" si="9"/>
        <v>-1481.2041999999929</v>
      </c>
      <c r="M100" s="15"/>
      <c r="N100" s="15"/>
      <c r="O100" s="15"/>
      <c r="P100" s="17"/>
      <c r="Q100" s="31">
        <f t="shared" si="10"/>
        <v>-3505.0041999999958</v>
      </c>
      <c r="R100" s="34">
        <f t="shared" si="17"/>
        <v>5.0042</v>
      </c>
      <c r="S100" s="15"/>
      <c r="T100" s="273"/>
      <c r="U100" s="273"/>
      <c r="V100" s="22"/>
      <c r="W100" s="272"/>
      <c r="X100" s="272"/>
      <c r="Y100" s="272"/>
      <c r="Z100" s="274"/>
      <c r="AA100" s="22"/>
      <c r="AB100" s="275"/>
      <c r="AC100" s="40"/>
      <c r="AD100" s="40"/>
    </row>
    <row r="101" spans="1:30" s="1" customFormat="1" x14ac:dyDescent="0.25">
      <c r="A101" s="9">
        <v>43752</v>
      </c>
      <c r="B101" s="18" t="s">
        <v>1074</v>
      </c>
      <c r="C101" s="15" t="s">
        <v>69</v>
      </c>
      <c r="D101" s="16">
        <v>400</v>
      </c>
      <c r="E101" s="15">
        <v>7.16</v>
      </c>
      <c r="F101" s="16">
        <f t="shared" si="18"/>
        <v>13520</v>
      </c>
      <c r="G101" s="17">
        <f t="shared" si="19"/>
        <v>9.7761091047337327</v>
      </c>
      <c r="H101" s="15">
        <f t="shared" si="20"/>
        <v>132172.99509600006</v>
      </c>
      <c r="I101" s="15">
        <f t="shared" si="21"/>
        <v>-35369.79509600006</v>
      </c>
      <c r="J101" s="33">
        <f t="shared" si="22"/>
        <v>-0.2676022819208283</v>
      </c>
      <c r="K101" s="15">
        <f t="shared" si="23"/>
        <v>96803.199999999997</v>
      </c>
      <c r="L101" s="15">
        <f t="shared" si="9"/>
        <v>2219.3317039999965</v>
      </c>
      <c r="M101" s="15"/>
      <c r="N101" s="15"/>
      <c r="O101" s="15"/>
      <c r="P101" s="17"/>
      <c r="Q101" s="31">
        <f t="shared" si="10"/>
        <v>2856.1317039999994</v>
      </c>
      <c r="R101" s="34">
        <f t="shared" si="17"/>
        <v>7.868296</v>
      </c>
      <c r="S101" s="15"/>
      <c r="T101" s="273"/>
      <c r="U101" s="273"/>
      <c r="V101" s="22"/>
      <c r="W101" s="272"/>
      <c r="X101" s="272"/>
      <c r="Y101" s="272"/>
      <c r="Z101" s="274"/>
      <c r="AA101" s="22"/>
      <c r="AB101" s="275"/>
      <c r="AC101" s="40"/>
      <c r="AD101" s="40"/>
    </row>
    <row r="102" spans="1:30" s="1" customFormat="1" x14ac:dyDescent="0.25">
      <c r="A102" s="9">
        <v>43756</v>
      </c>
      <c r="B102" s="18"/>
      <c r="C102" s="306" t="s">
        <v>922</v>
      </c>
      <c r="D102" s="16">
        <v>400</v>
      </c>
      <c r="E102" s="15">
        <v>6.96</v>
      </c>
      <c r="F102" s="16">
        <f t="shared" si="18"/>
        <v>13920</v>
      </c>
      <c r="G102" s="17">
        <f t="shared" si="19"/>
        <v>9.695545924712647</v>
      </c>
      <c r="H102" s="15">
        <f t="shared" si="20"/>
        <v>134961.99927200004</v>
      </c>
      <c r="I102" s="15">
        <f t="shared" si="21"/>
        <v>-38078.799272000047</v>
      </c>
      <c r="J102" s="33">
        <f t="shared" si="22"/>
        <v>-0.28214459979402573</v>
      </c>
      <c r="K102" s="15">
        <f t="shared" si="23"/>
        <v>96883.199999999997</v>
      </c>
      <c r="L102" s="15">
        <f t="shared" si="9"/>
        <v>-2709.0041759999876</v>
      </c>
      <c r="M102" s="15"/>
      <c r="N102" s="15"/>
      <c r="O102" s="15"/>
      <c r="P102" s="17"/>
      <c r="Q102" s="31">
        <f t="shared" si="10"/>
        <v>-2789.0041759999876</v>
      </c>
      <c r="R102" s="34">
        <f t="shared" si="17"/>
        <v>5.0041760000000002</v>
      </c>
      <c r="S102" s="15"/>
      <c r="T102" s="273"/>
      <c r="U102" s="273"/>
      <c r="V102" s="22"/>
      <c r="W102" s="272"/>
      <c r="X102" s="272"/>
      <c r="Y102" s="272"/>
      <c r="Z102" s="274"/>
      <c r="AA102" s="22"/>
      <c r="AB102" s="275"/>
      <c r="AC102" s="40"/>
      <c r="AD102" s="40"/>
    </row>
    <row r="103" spans="1:30" s="1" customFormat="1" x14ac:dyDescent="0.25">
      <c r="A103" s="9">
        <v>43770</v>
      </c>
      <c r="B103" s="18"/>
      <c r="C103" s="15" t="s">
        <v>63</v>
      </c>
      <c r="D103" s="16">
        <v>500</v>
      </c>
      <c r="E103" s="15">
        <v>6.74</v>
      </c>
      <c r="F103" s="16">
        <f t="shared" si="18"/>
        <v>14420</v>
      </c>
      <c r="G103" s="17">
        <f t="shared" si="19"/>
        <v>9.593412157836342</v>
      </c>
      <c r="H103" s="15">
        <f t="shared" si="20"/>
        <v>138337.00331600005</v>
      </c>
      <c r="I103" s="15">
        <f t="shared" si="21"/>
        <v>-41146.203316000043</v>
      </c>
      <c r="J103" s="33">
        <f t="shared" si="22"/>
        <v>-0.29743454267265512</v>
      </c>
      <c r="K103" s="15">
        <f t="shared" si="23"/>
        <v>97190.8</v>
      </c>
      <c r="L103" s="15">
        <f t="shared" si="9"/>
        <v>-3067.4040439999953</v>
      </c>
      <c r="M103" s="15"/>
      <c r="N103" s="15"/>
      <c r="O103" s="15"/>
      <c r="P103" s="17"/>
      <c r="Q103" s="31">
        <f t="shared" si="10"/>
        <v>-3375.0040440000012</v>
      </c>
      <c r="R103" s="34">
        <f t="shared" si="17"/>
        <v>5.0040440000000004</v>
      </c>
      <c r="S103" s="15"/>
      <c r="T103" s="273"/>
      <c r="U103" s="273"/>
      <c r="V103" s="22"/>
      <c r="W103" s="272"/>
      <c r="X103" s="272"/>
      <c r="Y103" s="272"/>
      <c r="Z103" s="274"/>
      <c r="AA103" s="22"/>
      <c r="AB103" s="275"/>
      <c r="AC103" s="40"/>
      <c r="AD103" s="40"/>
    </row>
    <row r="104" spans="1:30" s="1" customFormat="1" x14ac:dyDescent="0.25">
      <c r="A104" s="9">
        <v>43777</v>
      </c>
      <c r="B104" s="18" t="s">
        <v>1075</v>
      </c>
      <c r="C104" s="15" t="s">
        <v>69</v>
      </c>
      <c r="D104" s="16">
        <v>400</v>
      </c>
      <c r="E104" s="15">
        <v>6.88</v>
      </c>
      <c r="F104" s="16">
        <f t="shared" si="18"/>
        <v>14020</v>
      </c>
      <c r="G104" s="17">
        <f t="shared" si="19"/>
        <v>9.6713808447931573</v>
      </c>
      <c r="H104" s="15">
        <f t="shared" si="20"/>
        <v>135592.75944400005</v>
      </c>
      <c r="I104" s="15">
        <f t="shared" si="21"/>
        <v>-39135.159444000063</v>
      </c>
      <c r="J104" s="33">
        <f t="shared" si="22"/>
        <v>-0.28862278195734281</v>
      </c>
      <c r="K104" s="15">
        <f t="shared" si="23"/>
        <v>96457.599999999991</v>
      </c>
      <c r="L104" s="15">
        <f t="shared" si="9"/>
        <v>2011.0438719999802</v>
      </c>
      <c r="M104" s="15"/>
      <c r="N104" s="15"/>
      <c r="O104" s="15"/>
      <c r="P104" s="17"/>
      <c r="Q104" s="31">
        <f t="shared" si="10"/>
        <v>2744.2438719999918</v>
      </c>
      <c r="R104" s="34">
        <f t="shared" si="17"/>
        <v>7.7561279999999995</v>
      </c>
      <c r="S104" s="15"/>
      <c r="T104" s="273"/>
      <c r="U104" s="273"/>
      <c r="V104" s="22"/>
      <c r="W104" s="272"/>
      <c r="X104" s="272"/>
      <c r="Y104" s="272"/>
      <c r="Z104" s="274"/>
      <c r="AA104" s="22"/>
      <c r="AB104" s="275"/>
      <c r="AC104" s="40"/>
      <c r="AD104" s="40"/>
    </row>
    <row r="105" spans="1:30" s="1" customFormat="1" x14ac:dyDescent="0.25">
      <c r="A105" s="9">
        <v>43781</v>
      </c>
      <c r="B105" s="18" t="s">
        <v>1076</v>
      </c>
      <c r="C105" s="15" t="s">
        <v>69</v>
      </c>
      <c r="D105" s="16">
        <v>400</v>
      </c>
      <c r="E105" s="15">
        <v>7.03</v>
      </c>
      <c r="F105" s="16">
        <f t="shared" si="18"/>
        <v>13620</v>
      </c>
      <c r="G105" s="17">
        <f t="shared" si="19"/>
        <v>9.7495283158590347</v>
      </c>
      <c r="H105" s="15">
        <f t="shared" si="20"/>
        <v>132788.57566200005</v>
      </c>
      <c r="I105" s="15">
        <f t="shared" si="21"/>
        <v>-37039.975662000041</v>
      </c>
      <c r="J105" s="33">
        <f t="shared" si="22"/>
        <v>-0.27893947560881727</v>
      </c>
      <c r="K105" s="15">
        <f t="shared" si="23"/>
        <v>95748.6</v>
      </c>
      <c r="L105" s="15">
        <f t="shared" si="9"/>
        <v>2095.1837820000219</v>
      </c>
      <c r="M105" s="15"/>
      <c r="N105" s="15"/>
      <c r="O105" s="15"/>
      <c r="P105" s="17"/>
      <c r="Q105" s="31">
        <f t="shared" si="10"/>
        <v>2804.1837820000073</v>
      </c>
      <c r="R105" s="34">
        <f t="shared" si="17"/>
        <v>7.8162180000000001</v>
      </c>
      <c r="S105" s="15"/>
      <c r="T105" s="273"/>
      <c r="U105" s="273"/>
      <c r="V105" s="22"/>
      <c r="W105" s="272"/>
      <c r="X105" s="272"/>
      <c r="Y105" s="272"/>
      <c r="Z105" s="274"/>
      <c r="AA105" s="22"/>
      <c r="AB105" s="275"/>
      <c r="AC105" s="40"/>
      <c r="AD105" s="40"/>
    </row>
    <row r="106" spans="1:30" s="1" customFormat="1" x14ac:dyDescent="0.25">
      <c r="A106" s="9">
        <v>43810</v>
      </c>
      <c r="B106" s="18" t="s">
        <v>1077</v>
      </c>
      <c r="C106" s="15" t="s">
        <v>69</v>
      </c>
      <c r="D106" s="16">
        <v>600</v>
      </c>
      <c r="E106" s="15">
        <v>7.46</v>
      </c>
      <c r="F106" s="16">
        <f t="shared" si="18"/>
        <v>13020</v>
      </c>
      <c r="G106" s="17">
        <f t="shared" si="19"/>
        <v>9.8557646803379448</v>
      </c>
      <c r="H106" s="15">
        <f t="shared" si="20"/>
        <v>128322.05613800004</v>
      </c>
      <c r="I106" s="15">
        <f t="shared" si="21"/>
        <v>-31192.856138000046</v>
      </c>
      <c r="J106" s="33">
        <f t="shared" si="22"/>
        <v>-0.24308257735875613</v>
      </c>
      <c r="K106" s="15">
        <f t="shared" si="23"/>
        <v>97129.2</v>
      </c>
      <c r="L106" s="15">
        <f t="shared" si="9"/>
        <v>5847.1195239999943</v>
      </c>
      <c r="M106" s="15"/>
      <c r="N106" s="15"/>
      <c r="O106" s="15"/>
      <c r="P106" s="17"/>
      <c r="Q106" s="31">
        <f t="shared" si="10"/>
        <v>4466.519524000003</v>
      </c>
      <c r="R106" s="34">
        <f t="shared" si="17"/>
        <v>9.4804759999999995</v>
      </c>
      <c r="S106" s="15"/>
      <c r="T106" s="273"/>
      <c r="U106" s="273"/>
      <c r="V106" s="22"/>
      <c r="W106" s="272"/>
      <c r="X106" s="272"/>
      <c r="Y106" s="272"/>
      <c r="Z106" s="274"/>
      <c r="AA106" s="22"/>
      <c r="AB106" s="275"/>
      <c r="AC106" s="40"/>
      <c r="AD106" s="40"/>
    </row>
    <row r="107" spans="1:30" s="1" customFormat="1" x14ac:dyDescent="0.25">
      <c r="A107" s="9">
        <v>43812</v>
      </c>
      <c r="B107" s="18"/>
      <c r="C107" s="306" t="s">
        <v>922</v>
      </c>
      <c r="D107" s="16">
        <v>400</v>
      </c>
      <c r="E107" s="15">
        <v>6.87</v>
      </c>
      <c r="F107" s="16">
        <f t="shared" si="18"/>
        <v>13420</v>
      </c>
      <c r="G107" s="17">
        <f t="shared" si="19"/>
        <v>9.7671430894187825</v>
      </c>
      <c r="H107" s="15">
        <f t="shared" si="20"/>
        <v>131075.06026000006</v>
      </c>
      <c r="I107" s="15">
        <f t="shared" si="21"/>
        <v>-38879.660260000062</v>
      </c>
      <c r="J107" s="33">
        <f t="shared" si="22"/>
        <v>-0.29662134186990641</v>
      </c>
      <c r="K107" s="15">
        <f t="shared" si="23"/>
        <v>92195.4</v>
      </c>
      <c r="L107" s="15">
        <f t="shared" si="9"/>
        <v>-7686.8041220000159</v>
      </c>
      <c r="M107" s="15"/>
      <c r="N107" s="15"/>
      <c r="O107" s="15"/>
      <c r="P107" s="17"/>
      <c r="Q107" s="31">
        <f t="shared" si="10"/>
        <v>-2753.004122000013</v>
      </c>
      <c r="R107" s="34">
        <f t="shared" si="17"/>
        <v>5.0041219999999997</v>
      </c>
      <c r="S107" s="15"/>
      <c r="T107" s="273"/>
      <c r="U107" s="273"/>
      <c r="V107" s="22"/>
      <c r="W107" s="272"/>
      <c r="X107" s="272"/>
      <c r="Y107" s="272"/>
      <c r="Z107" s="274"/>
      <c r="AA107" s="22"/>
      <c r="AB107" s="275"/>
      <c r="AC107" s="40"/>
      <c r="AD107" s="40"/>
    </row>
    <row r="108" spans="1:30" s="1" customFormat="1" x14ac:dyDescent="0.25">
      <c r="A108" s="9">
        <v>43816</v>
      </c>
      <c r="B108" s="18" t="s">
        <v>1017</v>
      </c>
      <c r="C108" s="15" t="s">
        <v>69</v>
      </c>
      <c r="D108" s="16">
        <v>400</v>
      </c>
      <c r="E108" s="15">
        <v>7.04</v>
      </c>
      <c r="F108" s="16">
        <f t="shared" si="18"/>
        <v>13020</v>
      </c>
      <c r="G108" s="17">
        <f t="shared" si="19"/>
        <v>9.8515269188940131</v>
      </c>
      <c r="H108" s="15">
        <f t="shared" si="20"/>
        <v>128266.88048400005</v>
      </c>
      <c r="I108" s="15">
        <f t="shared" si="21"/>
        <v>-36606.080484000049</v>
      </c>
      <c r="J108" s="33">
        <f t="shared" si="22"/>
        <v>-0.28538996462587451</v>
      </c>
      <c r="K108" s="15">
        <f t="shared" si="23"/>
        <v>91660.800000000003</v>
      </c>
      <c r="L108" s="15">
        <f t="shared" si="9"/>
        <v>2273.5797760000132</v>
      </c>
      <c r="M108" s="15"/>
      <c r="N108" s="15"/>
      <c r="O108" s="15"/>
      <c r="P108" s="17"/>
      <c r="Q108" s="31">
        <f t="shared" si="10"/>
        <v>2808.1797760000045</v>
      </c>
      <c r="R108" s="34">
        <f t="shared" si="17"/>
        <v>7.8202239999999996</v>
      </c>
      <c r="S108" s="15"/>
      <c r="T108" s="273"/>
      <c r="U108" s="273"/>
      <c r="V108" s="22"/>
      <c r="W108" s="272"/>
      <c r="X108" s="272"/>
      <c r="Y108" s="272"/>
      <c r="Z108" s="274"/>
      <c r="AA108" s="22"/>
      <c r="AB108" s="275"/>
      <c r="AC108" s="40"/>
      <c r="AD108" s="40"/>
    </row>
    <row r="109" spans="1:30" s="1" customFormat="1" x14ac:dyDescent="0.25">
      <c r="A109" s="9">
        <v>43825</v>
      </c>
      <c r="B109" s="18"/>
      <c r="C109" s="306" t="s">
        <v>922</v>
      </c>
      <c r="D109" s="16">
        <v>400</v>
      </c>
      <c r="E109" s="15">
        <v>6.91</v>
      </c>
      <c r="F109" s="16">
        <f t="shared" si="18"/>
        <v>13420</v>
      </c>
      <c r="G109" s="17">
        <f t="shared" si="19"/>
        <v>9.7642238919523141</v>
      </c>
      <c r="H109" s="15">
        <f t="shared" si="20"/>
        <v>131035.88463000006</v>
      </c>
      <c r="I109" s="15">
        <f t="shared" si="21"/>
        <v>-38303.684630000062</v>
      </c>
      <c r="J109" s="33">
        <f t="shared" si="22"/>
        <v>-0.29231446590494192</v>
      </c>
      <c r="K109" s="15">
        <f t="shared" si="23"/>
        <v>92732.2</v>
      </c>
      <c r="L109" s="15">
        <f t="shared" si="9"/>
        <v>-1697.6041460000124</v>
      </c>
      <c r="M109" s="15"/>
      <c r="N109" s="15"/>
      <c r="O109" s="15"/>
      <c r="P109" s="17"/>
      <c r="Q109" s="31">
        <f t="shared" si="10"/>
        <v>-2769.0041460000066</v>
      </c>
      <c r="R109" s="34">
        <f t="shared" si="17"/>
        <v>5.0041460000000004</v>
      </c>
      <c r="S109" s="15"/>
      <c r="T109" s="273"/>
      <c r="U109" s="273"/>
      <c r="V109" s="22"/>
      <c r="W109" s="272"/>
      <c r="X109" s="272"/>
      <c r="Y109" s="272"/>
      <c r="Z109" s="274"/>
      <c r="AA109" s="22"/>
      <c r="AB109" s="275"/>
      <c r="AC109" s="40"/>
      <c r="AD109" s="40"/>
    </row>
    <row r="110" spans="1:30" s="1" customFormat="1" x14ac:dyDescent="0.25">
      <c r="A110" s="9">
        <v>43829</v>
      </c>
      <c r="B110" s="18"/>
      <c r="C110" s="15" t="s">
        <v>63</v>
      </c>
      <c r="D110" s="16">
        <v>400</v>
      </c>
      <c r="E110" s="15">
        <v>6.82</v>
      </c>
      <c r="F110" s="16">
        <f t="shared" si="18"/>
        <v>13820</v>
      </c>
      <c r="G110" s="17">
        <f t="shared" si="19"/>
        <v>9.6793696615050671</v>
      </c>
      <c r="H110" s="15">
        <f t="shared" si="20"/>
        <v>133768.88872200003</v>
      </c>
      <c r="I110" s="15">
        <f t="shared" si="21"/>
        <v>-39516.488722000024</v>
      </c>
      <c r="J110" s="33">
        <f t="shared" si="22"/>
        <v>-0.29540866414853473</v>
      </c>
      <c r="K110" s="15">
        <f t="shared" si="23"/>
        <v>94252.400000000009</v>
      </c>
      <c r="L110" s="15">
        <f t="shared" si="9"/>
        <v>-1212.8040919999621</v>
      </c>
      <c r="M110" s="15"/>
      <c r="N110" s="15"/>
      <c r="O110" s="15"/>
      <c r="P110" s="17"/>
      <c r="Q110" s="31">
        <f t="shared" si="10"/>
        <v>-2733.0040919999738</v>
      </c>
      <c r="R110" s="34">
        <f t="shared" si="17"/>
        <v>5.004092</v>
      </c>
      <c r="S110" s="15"/>
      <c r="T110" s="273"/>
      <c r="U110" s="273"/>
      <c r="V110" s="22"/>
      <c r="W110" s="272"/>
      <c r="X110" s="272"/>
      <c r="Y110" s="272"/>
      <c r="Z110" s="274"/>
      <c r="AA110" s="22"/>
      <c r="AB110" s="275"/>
      <c r="AC110" s="40"/>
      <c r="AD110" s="40"/>
    </row>
    <row r="111" spans="1:30" s="1" customFormat="1" x14ac:dyDescent="0.25">
      <c r="A111" s="9">
        <v>43832</v>
      </c>
      <c r="B111" s="18" t="s">
        <v>1078</v>
      </c>
      <c r="C111" s="15" t="s">
        <v>69</v>
      </c>
      <c r="D111" s="16">
        <v>400</v>
      </c>
      <c r="E111" s="15">
        <v>6.92</v>
      </c>
      <c r="F111" s="16">
        <f t="shared" si="18"/>
        <v>13420</v>
      </c>
      <c r="G111" s="17">
        <f t="shared" si="19"/>
        <v>9.7621952961251885</v>
      </c>
      <c r="H111" s="15">
        <f t="shared" si="20"/>
        <v>131008.66087400004</v>
      </c>
      <c r="I111" s="15">
        <f t="shared" si="21"/>
        <v>-38142.260874000043</v>
      </c>
      <c r="J111" s="33">
        <f t="shared" si="22"/>
        <v>-0.29114304824994774</v>
      </c>
      <c r="K111" s="15">
        <f t="shared" si="23"/>
        <v>92866.4</v>
      </c>
      <c r="L111" s="15">
        <f t="shared" si="9"/>
        <v>1374.2278479999804</v>
      </c>
      <c r="M111" s="15"/>
      <c r="N111" s="15"/>
      <c r="O111" s="15"/>
      <c r="P111" s="17"/>
      <c r="Q111" s="31">
        <f t="shared" si="10"/>
        <v>2760.227847999995</v>
      </c>
      <c r="R111" s="34">
        <f t="shared" si="17"/>
        <v>7.7721520000000002</v>
      </c>
      <c r="S111" s="15"/>
      <c r="T111" s="273"/>
      <c r="U111" s="273"/>
      <c r="V111" s="22"/>
      <c r="W111" s="272"/>
      <c r="X111" s="272"/>
      <c r="Y111" s="272"/>
      <c r="Z111" s="274"/>
      <c r="AA111" s="22"/>
      <c r="AB111" s="275"/>
      <c r="AC111" s="40"/>
      <c r="AD111" s="40"/>
    </row>
    <row r="112" spans="1:30" s="1" customFormat="1" x14ac:dyDescent="0.25">
      <c r="A112" s="9">
        <v>43833</v>
      </c>
      <c r="B112" s="18" t="s">
        <v>1079</v>
      </c>
      <c r="C112" s="15" t="s">
        <v>69</v>
      </c>
      <c r="D112" s="16">
        <v>400</v>
      </c>
      <c r="E112" s="15">
        <v>7.04</v>
      </c>
      <c r="F112" s="16">
        <f t="shared" si="18"/>
        <v>13020</v>
      </c>
      <c r="G112" s="17">
        <f t="shared" si="19"/>
        <v>9.8464271196620601</v>
      </c>
      <c r="H112" s="15">
        <f t="shared" si="20"/>
        <v>128200.48109800003</v>
      </c>
      <c r="I112" s="15">
        <f t="shared" si="21"/>
        <v>-36539.68109800003</v>
      </c>
      <c r="J112" s="33">
        <f t="shared" si="22"/>
        <v>-0.28501984380283307</v>
      </c>
      <c r="K112" s="15">
        <f t="shared" si="23"/>
        <v>91660.800000000003</v>
      </c>
      <c r="L112" s="15">
        <f t="shared" si="9"/>
        <v>1602.5797760000132</v>
      </c>
      <c r="M112" s="15"/>
      <c r="N112" s="15"/>
      <c r="O112" s="15"/>
      <c r="P112" s="17"/>
      <c r="Q112" s="31">
        <f t="shared" si="10"/>
        <v>2808.1797760000045</v>
      </c>
      <c r="R112" s="34">
        <f t="shared" si="17"/>
        <v>7.8202239999999996</v>
      </c>
      <c r="S112" s="15"/>
      <c r="T112" s="273"/>
      <c r="U112" s="273"/>
      <c r="V112" s="22"/>
      <c r="W112" s="272"/>
      <c r="X112" s="272"/>
      <c r="Y112" s="272"/>
      <c r="Z112" s="274"/>
      <c r="AA112" s="22"/>
      <c r="AB112" s="275"/>
      <c r="AC112" s="40"/>
      <c r="AD112" s="40"/>
    </row>
    <row r="113" spans="1:30" s="1" customFormat="1" x14ac:dyDescent="0.25">
      <c r="A113" s="9">
        <v>43850</v>
      </c>
      <c r="B113" s="18"/>
      <c r="C113" s="306" t="s">
        <v>922</v>
      </c>
      <c r="D113" s="16">
        <v>400</v>
      </c>
      <c r="E113" s="15">
        <v>6.72</v>
      </c>
      <c r="F113" s="16">
        <f t="shared" si="18"/>
        <v>13420</v>
      </c>
      <c r="G113" s="17">
        <f t="shared" si="19"/>
        <v>9.7536129008941899</v>
      </c>
      <c r="H113" s="15">
        <f t="shared" si="20"/>
        <v>130893.48513000003</v>
      </c>
      <c r="I113" s="15">
        <f t="shared" si="21"/>
        <v>-40711.085130000036</v>
      </c>
      <c r="J113" s="33">
        <f t="shared" si="22"/>
        <v>-0.31102453334149394</v>
      </c>
      <c r="K113" s="15">
        <f t="shared" si="23"/>
        <v>90182.399999999994</v>
      </c>
      <c r="L113" s="15">
        <f t="shared" si="9"/>
        <v>-4171.4040320000058</v>
      </c>
      <c r="M113" s="15"/>
      <c r="N113" s="15"/>
      <c r="O113" s="15"/>
      <c r="P113" s="17"/>
      <c r="Q113" s="31">
        <f t="shared" si="10"/>
        <v>-2693.0040319999971</v>
      </c>
      <c r="R113" s="34">
        <f t="shared" si="17"/>
        <v>5.0040319999999996</v>
      </c>
      <c r="S113" s="15"/>
      <c r="T113" s="273"/>
      <c r="U113" s="273"/>
      <c r="V113" s="22"/>
      <c r="W113" s="272"/>
      <c r="X113" s="272"/>
      <c r="Y113" s="272"/>
      <c r="Z113" s="274"/>
      <c r="AA113" s="22"/>
      <c r="AB113" s="275"/>
      <c r="AC113" s="40"/>
      <c r="AD113" s="40"/>
    </row>
    <row r="114" spans="1:30" s="1" customFormat="1" x14ac:dyDescent="0.25">
      <c r="A114" s="9">
        <v>43852</v>
      </c>
      <c r="B114" s="18"/>
      <c r="C114" s="15" t="s">
        <v>63</v>
      </c>
      <c r="D114" s="147">
        <v>400</v>
      </c>
      <c r="E114" s="15">
        <v>6.61</v>
      </c>
      <c r="F114" s="16">
        <f t="shared" si="18"/>
        <v>13820</v>
      </c>
      <c r="G114" s="17">
        <f t="shared" si="19"/>
        <v>9.6629876335745326</v>
      </c>
      <c r="H114" s="15">
        <f t="shared" si="20"/>
        <v>133542.48909600003</v>
      </c>
      <c r="I114" s="15">
        <f t="shared" si="21"/>
        <v>-42192.289096000022</v>
      </c>
      <c r="J114" s="33">
        <f t="shared" si="22"/>
        <v>-0.31594655290324231</v>
      </c>
      <c r="K114" s="15">
        <f t="shared" si="23"/>
        <v>91350.200000000012</v>
      </c>
      <c r="L114" s="15">
        <f t="shared" si="9"/>
        <v>-1481.2039659999864</v>
      </c>
      <c r="M114" s="15"/>
      <c r="N114" s="15"/>
      <c r="O114" s="15"/>
      <c r="P114" s="17"/>
      <c r="Q114" s="31">
        <f t="shared" si="10"/>
        <v>-2649.0039660000039</v>
      </c>
      <c r="R114" s="34">
        <f t="shared" si="17"/>
        <v>5.0039660000000001</v>
      </c>
      <c r="S114" s="15"/>
      <c r="T114" s="273"/>
      <c r="U114" s="273"/>
      <c r="V114" s="22"/>
      <c r="W114" s="272"/>
      <c r="X114" s="272"/>
      <c r="Y114" s="272"/>
      <c r="Z114" s="274"/>
      <c r="AA114" s="22"/>
      <c r="AB114" s="275"/>
      <c r="AC114" s="40"/>
      <c r="AD114" s="40"/>
    </row>
    <row r="115" spans="1:30" s="1" customFormat="1" x14ac:dyDescent="0.25">
      <c r="A115" s="9">
        <v>43853</v>
      </c>
      <c r="B115" s="18"/>
      <c r="C115" s="306" t="s">
        <v>922</v>
      </c>
      <c r="D115" s="16">
        <v>400</v>
      </c>
      <c r="E115" s="15">
        <v>6.44</v>
      </c>
      <c r="F115" s="16">
        <f t="shared" si="18"/>
        <v>14220</v>
      </c>
      <c r="G115" s="17">
        <f t="shared" si="19"/>
        <v>9.5726788298171606</v>
      </c>
      <c r="H115" s="15">
        <f t="shared" si="20"/>
        <v>136123.49296000003</v>
      </c>
      <c r="I115" s="15">
        <f t="shared" si="21"/>
        <v>-44546.692960000029</v>
      </c>
      <c r="J115" s="33">
        <f t="shared" si="22"/>
        <v>-0.32725205613912722</v>
      </c>
      <c r="K115" s="15">
        <f t="shared" si="23"/>
        <v>91576.8</v>
      </c>
      <c r="L115" s="15">
        <f t="shared" si="9"/>
        <v>-2354.4038640000072</v>
      </c>
      <c r="M115" s="15"/>
      <c r="N115" s="15"/>
      <c r="O115" s="15"/>
      <c r="P115" s="17"/>
      <c r="Q115" s="31">
        <f t="shared" si="10"/>
        <v>-2581.0038639999984</v>
      </c>
      <c r="R115" s="34">
        <f t="shared" si="17"/>
        <v>5.0038640000000001</v>
      </c>
      <c r="S115" s="15"/>
      <c r="T115" s="273"/>
      <c r="U115" s="273"/>
      <c r="V115" s="22"/>
      <c r="W115" s="272"/>
      <c r="X115" s="272"/>
      <c r="Y115" s="272"/>
      <c r="Z115" s="274"/>
      <c r="AA115" s="22"/>
      <c r="AB115" s="275"/>
      <c r="AC115" s="40"/>
      <c r="AD115" s="40"/>
    </row>
    <row r="116" spans="1:30" s="1" customFormat="1" x14ac:dyDescent="0.25">
      <c r="A116" s="9">
        <v>43864</v>
      </c>
      <c r="B116" s="18"/>
      <c r="C116" s="306" t="s">
        <v>922</v>
      </c>
      <c r="D116" s="16">
        <v>500</v>
      </c>
      <c r="E116" s="15">
        <v>5.81</v>
      </c>
      <c r="F116" s="16">
        <f t="shared" si="18"/>
        <v>14720</v>
      </c>
      <c r="G116" s="17">
        <f t="shared" si="19"/>
        <v>9.4452103563858714</v>
      </c>
      <c r="H116" s="15">
        <f t="shared" si="20"/>
        <v>139033.49644600003</v>
      </c>
      <c r="I116" s="15">
        <f t="shared" si="21"/>
        <v>-53510.296446000037</v>
      </c>
      <c r="J116" s="33">
        <f t="shared" si="22"/>
        <v>-0.38487341406092873</v>
      </c>
      <c r="K116" s="15">
        <f t="shared" si="23"/>
        <v>85523.199999999997</v>
      </c>
      <c r="L116" s="15">
        <f t="shared" si="9"/>
        <v>-8963.6034860000073</v>
      </c>
      <c r="M116" s="15"/>
      <c r="N116" s="15"/>
      <c r="O116" s="15"/>
      <c r="P116" s="17"/>
      <c r="Q116" s="31">
        <f t="shared" si="10"/>
        <v>-2910.0034860000014</v>
      </c>
      <c r="R116" s="34">
        <f t="shared" si="17"/>
        <v>5.0034859999999997</v>
      </c>
      <c r="S116" s="15"/>
      <c r="T116" s="273"/>
      <c r="U116" s="273"/>
      <c r="V116" s="22"/>
      <c r="W116" s="272"/>
      <c r="X116" s="272"/>
      <c r="Y116" s="272"/>
      <c r="Z116" s="274"/>
      <c r="AA116" s="22"/>
      <c r="AB116" s="275"/>
      <c r="AC116" s="40"/>
      <c r="AD116" s="40"/>
    </row>
    <row r="117" spans="1:30" s="1" customFormat="1" x14ac:dyDescent="0.25">
      <c r="A117" s="9">
        <v>43865</v>
      </c>
      <c r="B117" s="18"/>
      <c r="C117" s="306" t="s">
        <v>922</v>
      </c>
      <c r="D117" s="16">
        <v>500</v>
      </c>
      <c r="E117" s="15">
        <v>5.64</v>
      </c>
      <c r="F117" s="16">
        <f t="shared" si="18"/>
        <v>15220</v>
      </c>
      <c r="G117" s="17">
        <f t="shared" si="19"/>
        <v>9.3205321833114354</v>
      </c>
      <c r="H117" s="15">
        <f t="shared" si="20"/>
        <v>141858.49983000004</v>
      </c>
      <c r="I117" s="15">
        <f t="shared" si="21"/>
        <v>-56017.699830000056</v>
      </c>
      <c r="J117" s="33">
        <f t="shared" si="22"/>
        <v>-0.39488433824642422</v>
      </c>
      <c r="K117" s="15">
        <f t="shared" si="23"/>
        <v>85840.799999999988</v>
      </c>
      <c r="L117" s="15">
        <f t="shared" si="9"/>
        <v>-2507.4033840000193</v>
      </c>
      <c r="M117" s="15"/>
      <c r="N117" s="15"/>
      <c r="O117" s="15"/>
      <c r="P117" s="17"/>
      <c r="Q117" s="31">
        <f t="shared" si="10"/>
        <v>-2825.0033840000106</v>
      </c>
      <c r="R117" s="34">
        <f t="shared" si="17"/>
        <v>5.0033839999999996</v>
      </c>
      <c r="S117" s="15"/>
      <c r="T117" s="273"/>
      <c r="U117" s="273"/>
      <c r="V117" s="22"/>
      <c r="W117" s="272"/>
      <c r="X117" s="272"/>
      <c r="Y117" s="272"/>
      <c r="Z117" s="274"/>
      <c r="AA117" s="22"/>
      <c r="AB117" s="275"/>
      <c r="AC117" s="40"/>
      <c r="AD117" s="40"/>
    </row>
    <row r="118" spans="1:30" s="1" customFormat="1" x14ac:dyDescent="0.25">
      <c r="A118" s="9">
        <v>43878</v>
      </c>
      <c r="B118" s="18" t="s">
        <v>1047</v>
      </c>
      <c r="C118" s="15" t="s">
        <v>69</v>
      </c>
      <c r="D118" s="16">
        <v>400</v>
      </c>
      <c r="E118" s="15">
        <v>5.88</v>
      </c>
      <c r="F118" s="16">
        <f t="shared" si="18"/>
        <v>14820</v>
      </c>
      <c r="G118" s="17">
        <f t="shared" si="19"/>
        <v>9.4138903750337395</v>
      </c>
      <c r="H118" s="15">
        <f t="shared" si="20"/>
        <v>139513.85535800003</v>
      </c>
      <c r="I118" s="15">
        <f t="shared" si="21"/>
        <v>-52372.255358000039</v>
      </c>
      <c r="J118" s="33">
        <f t="shared" si="22"/>
        <v>-0.37539106939314387</v>
      </c>
      <c r="K118" s="15">
        <f t="shared" si="23"/>
        <v>87141.599999999991</v>
      </c>
      <c r="L118" s="15">
        <f t="shared" si="9"/>
        <v>3645.4444720000174</v>
      </c>
      <c r="M118" s="15"/>
      <c r="N118" s="15"/>
      <c r="O118" s="15"/>
      <c r="P118" s="17"/>
      <c r="Q118" s="31">
        <f t="shared" si="10"/>
        <v>2344.6444720000145</v>
      </c>
      <c r="R118" s="34">
        <f t="shared" si="17"/>
        <v>7.3555279999999996</v>
      </c>
      <c r="S118" s="15"/>
      <c r="T118" s="273"/>
      <c r="U118" s="273"/>
      <c r="V118" s="22"/>
      <c r="W118" s="272"/>
      <c r="X118" s="272"/>
      <c r="Y118" s="272"/>
      <c r="Z118" s="274"/>
      <c r="AA118" s="22"/>
      <c r="AB118" s="275"/>
      <c r="AC118" s="40"/>
      <c r="AD118" s="40"/>
    </row>
    <row r="119" spans="1:30" s="1" customFormat="1" x14ac:dyDescent="0.25">
      <c r="A119" s="9">
        <v>43880</v>
      </c>
      <c r="B119" s="18" t="s">
        <v>1080</v>
      </c>
      <c r="C119" s="15" t="s">
        <v>69</v>
      </c>
      <c r="D119" s="16">
        <v>400</v>
      </c>
      <c r="E119" s="15">
        <v>6</v>
      </c>
      <c r="F119" s="16">
        <f t="shared" si="18"/>
        <v>14420</v>
      </c>
      <c r="G119" s="17">
        <f t="shared" si="19"/>
        <v>9.509102562968101</v>
      </c>
      <c r="H119" s="15">
        <f t="shared" si="20"/>
        <v>137121.25895800002</v>
      </c>
      <c r="I119" s="15">
        <f t="shared" si="21"/>
        <v>-50601.25895800002</v>
      </c>
      <c r="J119" s="33">
        <f t="shared" si="22"/>
        <v>-0.3690256298879161</v>
      </c>
      <c r="K119" s="15">
        <f t="shared" si="23"/>
        <v>86520</v>
      </c>
      <c r="L119" s="15">
        <f t="shared" si="9"/>
        <v>1770.9964000000182</v>
      </c>
      <c r="M119" s="15"/>
      <c r="N119" s="15"/>
      <c r="O119" s="15"/>
      <c r="P119" s="17"/>
      <c r="Q119" s="31">
        <f t="shared" si="10"/>
        <v>2392.5964000000095</v>
      </c>
      <c r="R119" s="34">
        <f t="shared" si="17"/>
        <v>7.4035999999999991</v>
      </c>
      <c r="S119" s="15"/>
      <c r="T119" s="273"/>
      <c r="U119" s="273"/>
      <c r="V119" s="22"/>
      <c r="W119" s="272"/>
      <c r="X119" s="272"/>
      <c r="Y119" s="272"/>
      <c r="Z119" s="274"/>
      <c r="AA119" s="22"/>
      <c r="AB119" s="275"/>
      <c r="AC119" s="40"/>
      <c r="AD119" s="40"/>
    </row>
    <row r="120" spans="1:30" s="1" customFormat="1" x14ac:dyDescent="0.25">
      <c r="A120" s="9">
        <v>43887</v>
      </c>
      <c r="B120" s="18"/>
      <c r="C120" s="15" t="s">
        <v>69</v>
      </c>
      <c r="D120" s="16">
        <v>400</v>
      </c>
      <c r="E120" s="15">
        <v>6.24</v>
      </c>
      <c r="F120" s="16">
        <f t="shared" si="18"/>
        <v>14020</v>
      </c>
      <c r="G120" s="17">
        <f t="shared" si="19"/>
        <v>9.6029071827389458</v>
      </c>
      <c r="H120" s="15">
        <f t="shared" si="20"/>
        <v>134632.75870200002</v>
      </c>
      <c r="I120" s="15">
        <f t="shared" si="21"/>
        <v>-47147.958702000018</v>
      </c>
      <c r="J120" s="33">
        <f t="shared" si="22"/>
        <v>-0.35019678090648543</v>
      </c>
      <c r="K120" s="15">
        <f t="shared" si="23"/>
        <v>87484.800000000003</v>
      </c>
      <c r="L120" s="15">
        <f t="shared" si="9"/>
        <v>3453.3002560000023</v>
      </c>
      <c r="M120" s="15"/>
      <c r="N120" s="15"/>
      <c r="O120" s="15"/>
      <c r="P120" s="17"/>
      <c r="Q120" s="31">
        <f t="shared" si="10"/>
        <v>2488.5002559999994</v>
      </c>
      <c r="R120" s="34">
        <f t="shared" si="17"/>
        <v>7.4997439999999997</v>
      </c>
      <c r="S120" s="15"/>
      <c r="T120" s="273"/>
      <c r="U120" s="273"/>
      <c r="V120" s="22"/>
      <c r="W120" s="272"/>
      <c r="X120" s="272"/>
      <c r="Y120" s="272"/>
      <c r="Z120" s="274"/>
      <c r="AA120" s="22"/>
      <c r="AB120" s="275"/>
      <c r="AC120" s="40"/>
      <c r="AD120" s="40"/>
    </row>
    <row r="121" spans="1:30" s="1" customFormat="1" x14ac:dyDescent="0.25">
      <c r="A121" s="9">
        <v>43893</v>
      </c>
      <c r="B121" s="18"/>
      <c r="C121" s="15" t="s">
        <v>69</v>
      </c>
      <c r="D121" s="16">
        <v>400</v>
      </c>
      <c r="E121" s="15">
        <v>6.48</v>
      </c>
      <c r="F121" s="16">
        <f t="shared" si="18"/>
        <v>13620</v>
      </c>
      <c r="G121" s="17">
        <f t="shared" si="19"/>
        <v>9.6951802195301049</v>
      </c>
      <c r="H121" s="15">
        <f t="shared" si="20"/>
        <v>132048.35459000003</v>
      </c>
      <c r="I121" s="15">
        <f t="shared" si="21"/>
        <v>-43790.754590000026</v>
      </c>
      <c r="J121" s="33">
        <f t="shared" si="22"/>
        <v>-0.3316266584764872</v>
      </c>
      <c r="K121" s="15">
        <f t="shared" si="23"/>
        <v>88257.600000000006</v>
      </c>
      <c r="L121" s="15">
        <f t="shared" si="9"/>
        <v>3357.2041119999922</v>
      </c>
      <c r="M121" s="15"/>
      <c r="N121" s="15"/>
      <c r="O121" s="15"/>
      <c r="P121" s="17"/>
      <c r="Q121" s="31">
        <f t="shared" si="10"/>
        <v>2584.4041119999893</v>
      </c>
      <c r="R121" s="34">
        <f t="shared" si="17"/>
        <v>7.5958880000000004</v>
      </c>
      <c r="S121" s="15"/>
      <c r="T121" s="273"/>
      <c r="U121" s="273"/>
      <c r="V121" s="22"/>
      <c r="W121" s="272"/>
      <c r="X121" s="272"/>
      <c r="Y121" s="272"/>
      <c r="Z121" s="274"/>
      <c r="AA121" s="22"/>
      <c r="AB121" s="275"/>
      <c r="AC121" s="40"/>
      <c r="AD121" s="40"/>
    </row>
    <row r="122" spans="1:30" s="1" customFormat="1" x14ac:dyDescent="0.25">
      <c r="A122" s="9">
        <v>43894</v>
      </c>
      <c r="B122" s="20" t="s">
        <v>1019</v>
      </c>
      <c r="C122" s="15" t="s">
        <v>69</v>
      </c>
      <c r="D122" s="16">
        <v>400</v>
      </c>
      <c r="E122" s="15">
        <v>6.73</v>
      </c>
      <c r="F122" s="16">
        <f t="shared" si="18"/>
        <v>13220</v>
      </c>
      <c r="G122" s="17">
        <f t="shared" si="19"/>
        <v>9.7854803803328316</v>
      </c>
      <c r="H122" s="15">
        <f t="shared" si="20"/>
        <v>129364.05062800003</v>
      </c>
      <c r="I122" s="15">
        <f t="shared" si="21"/>
        <v>-40393.450628000021</v>
      </c>
      <c r="J122" s="33">
        <f t="shared" si="22"/>
        <v>-0.31224633452577683</v>
      </c>
      <c r="K122" s="15">
        <f t="shared" si="23"/>
        <v>88970.6</v>
      </c>
      <c r="L122" s="15">
        <f t="shared" si="9"/>
        <v>3397.3039620000054</v>
      </c>
      <c r="M122" s="15"/>
      <c r="N122" s="15"/>
      <c r="O122" s="15"/>
      <c r="P122" s="17"/>
      <c r="Q122" s="31">
        <f t="shared" si="10"/>
        <v>2684.3039620000054</v>
      </c>
      <c r="R122" s="34">
        <f t="shared" si="17"/>
        <v>7.6960380000000006</v>
      </c>
      <c r="S122" s="15"/>
      <c r="T122" s="273"/>
      <c r="U122" s="273"/>
      <c r="V122" s="22"/>
      <c r="W122" s="272"/>
      <c r="X122" s="272"/>
      <c r="Y122" s="272"/>
      <c r="Z122" s="274"/>
      <c r="AA122" s="22"/>
      <c r="AB122" s="275"/>
      <c r="AC122" s="40"/>
      <c r="AD122" s="40"/>
    </row>
    <row r="123" spans="1:30" s="1" customFormat="1" x14ac:dyDescent="0.25">
      <c r="A123" s="9">
        <v>43894</v>
      </c>
      <c r="B123" s="283" t="s">
        <v>1011</v>
      </c>
      <c r="C123" s="15" t="s">
        <v>69</v>
      </c>
      <c r="D123" s="16">
        <v>400</v>
      </c>
      <c r="E123" s="15">
        <v>6.97</v>
      </c>
      <c r="F123" s="16">
        <f t="shared" si="18"/>
        <v>12820</v>
      </c>
      <c r="G123" s="17">
        <f t="shared" si="19"/>
        <v>9.8739346965678649</v>
      </c>
      <c r="H123" s="15">
        <f t="shared" si="20"/>
        <v>126583.84281000003</v>
      </c>
      <c r="I123" s="15">
        <f t="shared" si="21"/>
        <v>-37228.442810000037</v>
      </c>
      <c r="J123" s="33">
        <f t="shared" si="22"/>
        <v>-0.29410106363952959</v>
      </c>
      <c r="K123" s="15">
        <f t="shared" si="23"/>
        <v>89355.4</v>
      </c>
      <c r="L123" s="15">
        <f t="shared" si="9"/>
        <v>3165.0078179999837</v>
      </c>
      <c r="M123" s="15"/>
      <c r="N123" s="15"/>
      <c r="O123" s="15"/>
      <c r="P123" s="17"/>
      <c r="Q123" s="31">
        <f t="shared" si="10"/>
        <v>2780.2078179999953</v>
      </c>
      <c r="R123" s="34">
        <f t="shared" si="17"/>
        <v>7.7921820000000004</v>
      </c>
      <c r="S123" s="22"/>
      <c r="T123" s="273"/>
      <c r="U123" s="273"/>
      <c r="V123" s="22"/>
      <c r="W123" s="272"/>
      <c r="X123" s="272"/>
      <c r="Y123" s="272"/>
      <c r="Z123" s="274"/>
      <c r="AA123" s="22"/>
      <c r="AB123" s="275"/>
      <c r="AC123" s="40"/>
      <c r="AD123" s="40"/>
    </row>
    <row r="124" spans="1:30" s="1" customFormat="1" x14ac:dyDescent="0.25">
      <c r="A124" s="9">
        <v>43895</v>
      </c>
      <c r="B124" s="283"/>
      <c r="C124" s="306" t="s">
        <v>922</v>
      </c>
      <c r="D124" s="16">
        <v>400</v>
      </c>
      <c r="E124" s="15">
        <v>6.75</v>
      </c>
      <c r="F124" s="16">
        <f t="shared" si="18"/>
        <v>13220</v>
      </c>
      <c r="G124" s="17">
        <f t="shared" si="19"/>
        <v>9.779791744326781</v>
      </c>
      <c r="H124" s="15">
        <f t="shared" si="20"/>
        <v>129288.84686000003</v>
      </c>
      <c r="I124" s="15">
        <f t="shared" si="21"/>
        <v>-40053.846860000034</v>
      </c>
      <c r="J124" s="33">
        <f t="shared" si="22"/>
        <v>-0.30980125380321633</v>
      </c>
      <c r="K124" s="15">
        <f t="shared" si="23"/>
        <v>89235</v>
      </c>
      <c r="L124" s="15">
        <f t="shared" si="9"/>
        <v>-2825.4040499999974</v>
      </c>
      <c r="M124" s="15"/>
      <c r="N124" s="15"/>
      <c r="O124" s="15"/>
      <c r="P124" s="17"/>
      <c r="Q124" s="31">
        <f t="shared" si="10"/>
        <v>-2705.0040500000032</v>
      </c>
      <c r="R124" s="34">
        <f t="shared" si="17"/>
        <v>5.0040500000000003</v>
      </c>
      <c r="S124" s="22"/>
      <c r="T124" s="273"/>
      <c r="U124" s="273"/>
      <c r="V124" s="22"/>
      <c r="W124" s="272"/>
      <c r="X124" s="272"/>
      <c r="Y124" s="272"/>
      <c r="Z124" s="274"/>
      <c r="AA124" s="22"/>
      <c r="AB124" s="275"/>
      <c r="AC124" s="40"/>
      <c r="AD124" s="40"/>
    </row>
    <row r="125" spans="1:30" s="1" customFormat="1" x14ac:dyDescent="0.25">
      <c r="A125" s="9">
        <v>43896</v>
      </c>
      <c r="B125" s="283" t="s">
        <v>1012</v>
      </c>
      <c r="C125" s="15" t="s">
        <v>69</v>
      </c>
      <c r="D125" s="16">
        <v>400</v>
      </c>
      <c r="E125" s="15">
        <v>7.1</v>
      </c>
      <c r="F125" s="16">
        <f t="shared" si="18"/>
        <v>12820</v>
      </c>
      <c r="G125" s="17">
        <f t="shared" si="19"/>
        <v>9.8640164680187237</v>
      </c>
      <c r="H125" s="15">
        <f t="shared" si="20"/>
        <v>126456.69112000003</v>
      </c>
      <c r="I125" s="15">
        <f t="shared" si="21"/>
        <v>-35434.691120000032</v>
      </c>
      <c r="J125" s="33">
        <f t="shared" si="22"/>
        <v>-0.28021206949321947</v>
      </c>
      <c r="K125" s="15">
        <f t="shared" si="23"/>
        <v>91022</v>
      </c>
      <c r="L125" s="15">
        <f t="shared" si="9"/>
        <v>4619.155740000002</v>
      </c>
      <c r="M125" s="15"/>
      <c r="N125" s="15"/>
      <c r="O125" s="15"/>
      <c r="P125" s="17"/>
      <c r="Q125" s="31">
        <f t="shared" si="10"/>
        <v>2832.155740000002</v>
      </c>
      <c r="R125" s="34">
        <f t="shared" si="17"/>
        <v>7.8442600000000002</v>
      </c>
      <c r="S125" s="22"/>
      <c r="T125" s="273"/>
      <c r="U125" s="273"/>
      <c r="V125" s="22"/>
      <c r="W125" s="272"/>
      <c r="X125" s="272"/>
      <c r="Y125" s="272"/>
      <c r="Z125" s="274"/>
      <c r="AA125" s="22"/>
      <c r="AB125" s="275"/>
      <c r="AC125" s="40"/>
      <c r="AD125" s="40"/>
    </row>
    <row r="126" spans="1:30" s="1" customFormat="1" x14ac:dyDescent="0.25">
      <c r="A126" s="9">
        <v>43896</v>
      </c>
      <c r="B126" s="283" t="s">
        <v>1081</v>
      </c>
      <c r="C126" s="15" t="s">
        <v>69</v>
      </c>
      <c r="D126" s="16">
        <v>400</v>
      </c>
      <c r="E126" s="15">
        <v>7.48</v>
      </c>
      <c r="F126" s="16">
        <f t="shared" si="18"/>
        <v>12420</v>
      </c>
      <c r="G126" s="17">
        <f t="shared" si="19"/>
        <v>9.941440226086959</v>
      </c>
      <c r="H126" s="15">
        <f t="shared" si="20"/>
        <v>123472.68760800004</v>
      </c>
      <c r="I126" s="15">
        <f t="shared" si="21"/>
        <v>-30571.087608000031</v>
      </c>
      <c r="J126" s="33">
        <f t="shared" si="22"/>
        <v>-0.24759392704771147</v>
      </c>
      <c r="K126" s="15">
        <f t="shared" si="23"/>
        <v>92901.6</v>
      </c>
      <c r="L126" s="15">
        <f t="shared" si="9"/>
        <v>4863.6035120000015</v>
      </c>
      <c r="M126" s="15"/>
      <c r="N126" s="15"/>
      <c r="O126" s="15"/>
      <c r="P126" s="17"/>
      <c r="Q126" s="31">
        <f t="shared" si="10"/>
        <v>2984.0035119999957</v>
      </c>
      <c r="R126" s="34">
        <f t="shared" si="17"/>
        <v>7.9964880000000003</v>
      </c>
      <c r="S126" s="22"/>
      <c r="T126" s="273"/>
      <c r="U126" s="273"/>
      <c r="V126" s="22"/>
      <c r="W126" s="272"/>
      <c r="X126" s="272"/>
      <c r="Y126" s="272"/>
      <c r="Z126" s="274"/>
      <c r="AA126" s="22"/>
      <c r="AB126" s="275"/>
      <c r="AC126" s="40"/>
      <c r="AD126" s="40"/>
    </row>
    <row r="127" spans="1:30" s="1" customFormat="1" x14ac:dyDescent="0.25">
      <c r="A127" s="9">
        <v>43902</v>
      </c>
      <c r="B127" s="283" t="s">
        <v>1082</v>
      </c>
      <c r="C127" s="15" t="s">
        <v>63</v>
      </c>
      <c r="D127" s="16">
        <v>400</v>
      </c>
      <c r="E127" s="15">
        <v>6.81</v>
      </c>
      <c r="F127" s="16">
        <f t="shared" si="18"/>
        <v>12820</v>
      </c>
      <c r="G127" s="17">
        <f t="shared" si="19"/>
        <v>9.84412571716069</v>
      </c>
      <c r="H127" s="15">
        <f t="shared" si="20"/>
        <v>126201.69169400004</v>
      </c>
      <c r="I127" s="15">
        <f t="shared" si="21"/>
        <v>-38897.49169400004</v>
      </c>
      <c r="J127" s="33">
        <f t="shared" si="22"/>
        <v>-0.30821688023259153</v>
      </c>
      <c r="K127" s="15">
        <f t="shared" si="23"/>
        <v>87304.2</v>
      </c>
      <c r="L127" s="15">
        <f t="shared" si="9"/>
        <v>-8326.4040860000096</v>
      </c>
      <c r="M127" s="15"/>
      <c r="N127" s="15"/>
      <c r="O127" s="15"/>
      <c r="P127" s="17"/>
      <c r="Q127" s="31">
        <f t="shared" si="10"/>
        <v>-2729.0040860000008</v>
      </c>
      <c r="R127" s="34">
        <f t="shared" si="17"/>
        <v>5.004086</v>
      </c>
      <c r="S127" s="22"/>
      <c r="T127" s="273"/>
      <c r="U127" s="273"/>
      <c r="V127" s="22"/>
      <c r="W127" s="272"/>
      <c r="X127" s="272"/>
      <c r="Y127" s="272"/>
      <c r="Z127" s="274"/>
      <c r="AA127" s="22"/>
      <c r="AB127" s="275"/>
      <c r="AC127" s="40"/>
      <c r="AD127" s="40"/>
    </row>
    <row r="128" spans="1:30" s="1" customFormat="1" x14ac:dyDescent="0.25">
      <c r="A128" s="9">
        <v>43903</v>
      </c>
      <c r="B128" s="283" t="s">
        <v>1020</v>
      </c>
      <c r="C128" s="15" t="s">
        <v>63</v>
      </c>
      <c r="D128" s="16">
        <v>400</v>
      </c>
      <c r="E128" s="15">
        <v>6.26</v>
      </c>
      <c r="F128" s="16">
        <f t="shared" si="18"/>
        <v>13220</v>
      </c>
      <c r="G128" s="17">
        <f t="shared" si="19"/>
        <v>9.7360586573373702</v>
      </c>
      <c r="H128" s="15">
        <f t="shared" si="20"/>
        <v>128710.69545000004</v>
      </c>
      <c r="I128" s="15">
        <f t="shared" si="21"/>
        <v>-45953.495450000046</v>
      </c>
      <c r="J128" s="33">
        <f t="shared" si="22"/>
        <v>-0.35702934623526678</v>
      </c>
      <c r="K128" s="15">
        <f t="shared" si="23"/>
        <v>82757.2</v>
      </c>
      <c r="L128" s="15">
        <f t="shared" si="9"/>
        <v>-7056.0037560000055</v>
      </c>
      <c r="M128" s="15"/>
      <c r="N128" s="15"/>
      <c r="O128" s="15"/>
      <c r="P128" s="17"/>
      <c r="Q128" s="31">
        <f t="shared" si="10"/>
        <v>-2509.0037560000055</v>
      </c>
      <c r="R128" s="34">
        <f t="shared" si="17"/>
        <v>5.0037560000000001</v>
      </c>
      <c r="S128" s="22"/>
      <c r="T128" s="273"/>
      <c r="U128" s="273"/>
      <c r="V128" s="22"/>
      <c r="W128" s="272"/>
      <c r="X128" s="272"/>
      <c r="Y128" s="272"/>
      <c r="Z128" s="274"/>
      <c r="AA128" s="22"/>
      <c r="AB128" s="275"/>
      <c r="AC128" s="40"/>
      <c r="AD128" s="40"/>
    </row>
    <row r="129" spans="1:30" s="1" customFormat="1" x14ac:dyDescent="0.25">
      <c r="A129" s="9">
        <v>43910</v>
      </c>
      <c r="B129" s="339"/>
      <c r="C129" s="15" t="s">
        <v>69</v>
      </c>
      <c r="D129" s="16">
        <v>1420</v>
      </c>
      <c r="E129" s="15">
        <v>7.07</v>
      </c>
      <c r="F129" s="16">
        <f t="shared" si="18"/>
        <v>11800</v>
      </c>
      <c r="G129" s="17">
        <f t="shared" si="19"/>
        <v>10.058165999322037</v>
      </c>
      <c r="H129" s="15">
        <f t="shared" si="20"/>
        <v>118686.35879200004</v>
      </c>
      <c r="I129" s="15">
        <f t="shared" si="21"/>
        <v>-35260.358792000043</v>
      </c>
      <c r="J129" s="33">
        <f t="shared" si="22"/>
        <v>-0.29708855466527911</v>
      </c>
      <c r="K129" s="15">
        <f t="shared" si="23"/>
        <v>83426</v>
      </c>
      <c r="L129" s="15">
        <f t="shared" si="9"/>
        <v>10693.136658000003</v>
      </c>
      <c r="M129" s="15"/>
      <c r="N129" s="15"/>
      <c r="O129" s="15"/>
      <c r="P129" s="17"/>
      <c r="Q129" s="31">
        <f t="shared" si="10"/>
        <v>10024.336658</v>
      </c>
      <c r="R129" s="34">
        <f t="shared" si="17"/>
        <v>15.063341999999999</v>
      </c>
      <c r="S129" s="22"/>
      <c r="T129" s="273"/>
      <c r="U129" s="273"/>
      <c r="V129" s="22"/>
      <c r="W129" s="272"/>
      <c r="X129" s="272"/>
      <c r="Y129" s="272"/>
      <c r="Z129" s="274"/>
      <c r="AA129" s="22"/>
      <c r="AB129" s="275"/>
      <c r="AC129" s="40"/>
      <c r="AD129" s="40"/>
    </row>
    <row r="130" spans="1:30" s="1" customFormat="1" x14ac:dyDescent="0.25">
      <c r="A130" s="9">
        <v>43914</v>
      </c>
      <c r="B130" s="283"/>
      <c r="C130" s="15" t="s">
        <v>69</v>
      </c>
      <c r="D130" s="16">
        <v>400</v>
      </c>
      <c r="E130" s="15">
        <v>7.42</v>
      </c>
      <c r="F130" s="16">
        <f t="shared" si="18"/>
        <v>11400</v>
      </c>
      <c r="G130" s="17">
        <f t="shared" si="19"/>
        <v>10.151432565263162</v>
      </c>
      <c r="H130" s="15">
        <f t="shared" si="20"/>
        <v>115726.33124400004</v>
      </c>
      <c r="I130" s="15">
        <f t="shared" si="21"/>
        <v>-31138.331244000045</v>
      </c>
      <c r="J130" s="33">
        <f t="shared" si="22"/>
        <v>-0.26906868047469057</v>
      </c>
      <c r="K130" s="15">
        <f t="shared" si="23"/>
        <v>84588</v>
      </c>
      <c r="L130" s="15">
        <f t="shared" ref="L130:L193" si="24">I130-I129</f>
        <v>4122.0275479999982</v>
      </c>
      <c r="M130" s="15"/>
      <c r="N130" s="15"/>
      <c r="O130" s="15"/>
      <c r="P130" s="17"/>
      <c r="Q130" s="31">
        <f t="shared" ref="Q130:Q193" si="25">(H130-H129)*-1</f>
        <v>2960.0275479999982</v>
      </c>
      <c r="R130" s="34">
        <f t="shared" si="17"/>
        <v>7.9724519999999997</v>
      </c>
      <c r="S130" s="22"/>
      <c r="T130" s="273"/>
      <c r="U130" s="273"/>
      <c r="V130" s="22"/>
      <c r="W130" s="272"/>
      <c r="X130" s="272"/>
      <c r="Y130" s="272"/>
      <c r="Z130" s="274"/>
      <c r="AA130" s="22"/>
      <c r="AB130" s="275"/>
      <c r="AC130" s="40"/>
      <c r="AD130" s="40"/>
    </row>
    <row r="131" spans="1:30" s="1" customFormat="1" x14ac:dyDescent="0.25">
      <c r="A131" s="9">
        <v>43915</v>
      </c>
      <c r="B131" s="283" t="s">
        <v>1045</v>
      </c>
      <c r="C131" s="15" t="s">
        <v>69</v>
      </c>
      <c r="D131" s="16">
        <v>400</v>
      </c>
      <c r="E131" s="306">
        <v>7.71</v>
      </c>
      <c r="F131" s="16">
        <f t="shared" si="18"/>
        <v>11000</v>
      </c>
      <c r="G131" s="17">
        <f t="shared" si="19"/>
        <v>10.240947260909095</v>
      </c>
      <c r="H131" s="15">
        <f t="shared" si="20"/>
        <v>112650.41987000004</v>
      </c>
      <c r="I131" s="15">
        <f t="shared" si="21"/>
        <v>-27840.419870000042</v>
      </c>
      <c r="J131" s="33">
        <f t="shared" si="22"/>
        <v>-0.24713995653214815</v>
      </c>
      <c r="K131" s="15">
        <f t="shared" si="23"/>
        <v>84810</v>
      </c>
      <c r="L131" s="15">
        <f t="shared" si="24"/>
        <v>3297.911374000003</v>
      </c>
      <c r="M131" s="15"/>
      <c r="N131" s="15"/>
      <c r="O131" s="15"/>
      <c r="P131" s="17"/>
      <c r="Q131" s="31">
        <f t="shared" si="25"/>
        <v>3075.911374000003</v>
      </c>
      <c r="R131" s="34">
        <f t="shared" si="17"/>
        <v>8.0886259999999996</v>
      </c>
      <c r="S131" s="22"/>
      <c r="T131" s="273"/>
      <c r="U131" s="273"/>
      <c r="V131" s="22"/>
      <c r="W131" s="272"/>
      <c r="X131" s="272"/>
      <c r="Y131" s="272"/>
      <c r="Z131" s="274"/>
      <c r="AA131" s="22"/>
      <c r="AB131" s="275"/>
      <c r="AC131" s="40"/>
      <c r="AD131" s="40"/>
    </row>
    <row r="132" spans="1:30" s="1" customFormat="1" x14ac:dyDescent="0.25">
      <c r="A132" s="9">
        <v>43915</v>
      </c>
      <c r="B132" s="283" t="s">
        <v>1083</v>
      </c>
      <c r="C132" s="15" t="s">
        <v>69</v>
      </c>
      <c r="D132" s="16">
        <v>400</v>
      </c>
      <c r="E132" s="15">
        <v>7.94</v>
      </c>
      <c r="F132" s="16">
        <f t="shared" si="18"/>
        <v>10600</v>
      </c>
      <c r="G132" s="17">
        <f t="shared" si="19"/>
        <v>10.328547229622647</v>
      </c>
      <c r="H132" s="15">
        <f t="shared" si="20"/>
        <v>109482.60063400005</v>
      </c>
      <c r="I132" s="15">
        <f t="shared" si="21"/>
        <v>-25318.600634000046</v>
      </c>
      <c r="J132" s="33">
        <f t="shared" si="22"/>
        <v>-0.23125684343798192</v>
      </c>
      <c r="K132" s="15">
        <f t="shared" si="23"/>
        <v>84164</v>
      </c>
      <c r="L132" s="15">
        <f t="shared" si="24"/>
        <v>2521.8192359999957</v>
      </c>
      <c r="M132" s="15"/>
      <c r="N132" s="15"/>
      <c r="O132" s="15"/>
      <c r="P132" s="17"/>
      <c r="Q132" s="31">
        <f t="shared" si="25"/>
        <v>3167.8192359999957</v>
      </c>
      <c r="R132" s="34">
        <f t="shared" ref="R132:R195" si="26">commission($B$2,C132,D132,E132)</f>
        <v>8.1807639999999999</v>
      </c>
      <c r="S132" s="22"/>
      <c r="T132" s="273"/>
      <c r="U132" s="273"/>
      <c r="V132" s="22"/>
      <c r="W132" s="272"/>
      <c r="X132" s="272"/>
      <c r="Y132" s="272"/>
      <c r="Z132" s="274"/>
      <c r="AA132" s="22"/>
      <c r="AB132" s="275"/>
      <c r="AC132" s="40"/>
      <c r="AD132" s="40"/>
    </row>
    <row r="133" spans="1:30" s="1" customFormat="1" x14ac:dyDescent="0.25">
      <c r="A133" s="9">
        <v>43920</v>
      </c>
      <c r="B133" s="283" t="s">
        <v>1050</v>
      </c>
      <c r="C133" s="15" t="s">
        <v>63</v>
      </c>
      <c r="D133" s="16">
        <v>400</v>
      </c>
      <c r="E133" s="15">
        <v>7.22</v>
      </c>
      <c r="F133" s="16">
        <f t="shared" si="18"/>
        <v>11000</v>
      </c>
      <c r="G133" s="17">
        <f t="shared" si="19"/>
        <v>10.215964087818186</v>
      </c>
      <c r="H133" s="15">
        <f t="shared" si="20"/>
        <v>112375.60496600004</v>
      </c>
      <c r="I133" s="15">
        <f t="shared" si="21"/>
        <v>-32955.604966000043</v>
      </c>
      <c r="J133" s="33">
        <f t="shared" si="22"/>
        <v>-0.2932629815516542</v>
      </c>
      <c r="K133" s="15">
        <f t="shared" si="23"/>
        <v>79420</v>
      </c>
      <c r="L133" s="15">
        <f t="shared" si="24"/>
        <v>-7637.0043319999968</v>
      </c>
      <c r="M133" s="15"/>
      <c r="N133" s="15"/>
      <c r="O133" s="15"/>
      <c r="P133" s="17"/>
      <c r="Q133" s="31">
        <f t="shared" si="25"/>
        <v>-2893.0043319999968</v>
      </c>
      <c r="R133" s="34">
        <f t="shared" si="26"/>
        <v>5.0043319999999998</v>
      </c>
      <c r="S133" s="22"/>
      <c r="T133" s="273"/>
      <c r="U133" s="273"/>
      <c r="V133" s="22"/>
      <c r="W133" s="272"/>
      <c r="X133" s="272"/>
      <c r="Y133" s="272"/>
      <c r="Z133" s="274"/>
      <c r="AA133" s="22"/>
      <c r="AB133" s="275"/>
      <c r="AC133" s="40"/>
      <c r="AD133" s="40"/>
    </row>
    <row r="134" spans="1:30" s="1" customFormat="1" x14ac:dyDescent="0.25">
      <c r="A134" s="9">
        <v>43923</v>
      </c>
      <c r="B134" s="283" t="s">
        <v>1082</v>
      </c>
      <c r="C134" s="15" t="s">
        <v>63</v>
      </c>
      <c r="D134" s="16">
        <v>400</v>
      </c>
      <c r="E134" s="15">
        <v>6.88</v>
      </c>
      <c r="F134" s="16">
        <f t="shared" si="18"/>
        <v>11400</v>
      </c>
      <c r="G134" s="17">
        <f t="shared" si="19"/>
        <v>10.099351674912285</v>
      </c>
      <c r="H134" s="15">
        <f t="shared" si="20"/>
        <v>115132.60909400004</v>
      </c>
      <c r="I134" s="15">
        <f t="shared" si="21"/>
        <v>-36700.609094000043</v>
      </c>
      <c r="J134" s="33">
        <f t="shared" si="22"/>
        <v>-0.31876815250521967</v>
      </c>
      <c r="K134" s="15">
        <f t="shared" si="23"/>
        <v>78432</v>
      </c>
      <c r="L134" s="15">
        <f t="shared" si="24"/>
        <v>-3745.0041280000005</v>
      </c>
      <c r="M134" s="15"/>
      <c r="N134" s="15"/>
      <c r="O134" s="15"/>
      <c r="P134" s="17"/>
      <c r="Q134" s="31">
        <f t="shared" si="25"/>
        <v>-2757.0041280000005</v>
      </c>
      <c r="R134" s="34">
        <f t="shared" si="26"/>
        <v>5.0041279999999997</v>
      </c>
      <c r="S134" s="22"/>
      <c r="T134" s="273"/>
      <c r="U134" s="273"/>
      <c r="V134" s="22"/>
      <c r="W134" s="272"/>
      <c r="X134" s="272"/>
      <c r="Y134" s="272"/>
      <c r="Z134" s="274"/>
      <c r="AA134" s="22"/>
      <c r="AB134" s="275"/>
      <c r="AC134" s="40"/>
      <c r="AD134" s="40"/>
    </row>
    <row r="135" spans="1:30" s="1" customFormat="1" x14ac:dyDescent="0.25">
      <c r="A135" s="9">
        <v>43924</v>
      </c>
      <c r="B135" s="337" t="s">
        <v>1021</v>
      </c>
      <c r="C135" s="15" t="s">
        <v>69</v>
      </c>
      <c r="D135" s="16">
        <v>400</v>
      </c>
      <c r="E135" s="15">
        <v>7.09</v>
      </c>
      <c r="F135" s="16">
        <f t="shared" si="18"/>
        <v>11000</v>
      </c>
      <c r="G135" s="17">
        <f t="shared" si="19"/>
        <v>10.209495395272731</v>
      </c>
      <c r="H135" s="15">
        <f t="shared" si="20"/>
        <v>112304.44934800004</v>
      </c>
      <c r="I135" s="15">
        <f t="shared" si="21"/>
        <v>-34314.449348000038</v>
      </c>
      <c r="J135" s="33">
        <f t="shared" si="22"/>
        <v>-0.30554844039766554</v>
      </c>
      <c r="K135" s="15">
        <f t="shared" si="23"/>
        <v>77990</v>
      </c>
      <c r="L135" s="15">
        <f t="shared" si="24"/>
        <v>2386.1597460000048</v>
      </c>
      <c r="M135" s="15"/>
      <c r="N135" s="15"/>
      <c r="O135" s="15"/>
      <c r="P135" s="17"/>
      <c r="Q135" s="31">
        <f t="shared" si="25"/>
        <v>2828.1597460000048</v>
      </c>
      <c r="R135" s="34">
        <f t="shared" si="26"/>
        <v>7.8402539999999998</v>
      </c>
      <c r="S135" s="15"/>
      <c r="T135" s="273"/>
      <c r="U135" s="273"/>
      <c r="V135" s="22"/>
      <c r="W135" s="272"/>
      <c r="X135" s="272"/>
      <c r="Y135" s="272"/>
      <c r="Z135" s="274"/>
      <c r="AA135" s="22"/>
      <c r="AB135" s="275"/>
      <c r="AC135" s="40"/>
      <c r="AD135" s="40"/>
    </row>
    <row r="136" spans="1:30" s="1" customFormat="1" x14ac:dyDescent="0.25">
      <c r="A136" s="9">
        <v>43928</v>
      </c>
      <c r="B136" s="283"/>
      <c r="C136" s="15" t="s">
        <v>69</v>
      </c>
      <c r="D136" s="16">
        <v>400</v>
      </c>
      <c r="E136" s="15">
        <v>7.39</v>
      </c>
      <c r="F136" s="16">
        <f t="shared" si="18"/>
        <v>10600</v>
      </c>
      <c r="G136" s="17">
        <f t="shared" si="19"/>
        <v>10.316642432264153</v>
      </c>
      <c r="H136" s="15">
        <f t="shared" si="20"/>
        <v>109356.40978200003</v>
      </c>
      <c r="I136" s="15">
        <f t="shared" si="21"/>
        <v>-31022.409782000032</v>
      </c>
      <c r="J136" s="33">
        <f t="shared" si="22"/>
        <v>-0.28368167758837937</v>
      </c>
      <c r="K136" s="15">
        <f t="shared" si="23"/>
        <v>78334</v>
      </c>
      <c r="L136" s="15">
        <f t="shared" si="24"/>
        <v>3292.0395660000067</v>
      </c>
      <c r="M136" s="15"/>
      <c r="N136" s="15"/>
      <c r="O136" s="15"/>
      <c r="P136" s="17"/>
      <c r="Q136" s="31">
        <f t="shared" si="25"/>
        <v>2948.0395660000067</v>
      </c>
      <c r="R136" s="34">
        <f t="shared" si="26"/>
        <v>7.9604339999999993</v>
      </c>
      <c r="S136" s="22"/>
      <c r="T136" s="273"/>
      <c r="U136" s="273"/>
      <c r="V136" s="22"/>
      <c r="W136" s="272"/>
      <c r="X136" s="272"/>
      <c r="Y136" s="272"/>
      <c r="Z136" s="274"/>
      <c r="AA136" s="22"/>
      <c r="AB136" s="275"/>
      <c r="AC136" s="40"/>
      <c r="AD136" s="40"/>
    </row>
    <row r="137" spans="1:30" s="1" customFormat="1" x14ac:dyDescent="0.25">
      <c r="A137" s="9">
        <v>43930</v>
      </c>
      <c r="B137" s="283" t="s">
        <v>1084</v>
      </c>
      <c r="C137" s="15" t="s">
        <v>69</v>
      </c>
      <c r="D137" s="16">
        <v>400</v>
      </c>
      <c r="E137" s="15">
        <v>7.64</v>
      </c>
      <c r="F137" s="16">
        <f t="shared" si="18"/>
        <v>10200</v>
      </c>
      <c r="G137" s="17">
        <f t="shared" si="19"/>
        <v>10.4223990554902</v>
      </c>
      <c r="H137" s="15">
        <f t="shared" si="20"/>
        <v>106308.47036600004</v>
      </c>
      <c r="I137" s="15">
        <f t="shared" si="21"/>
        <v>-28380.470366000038</v>
      </c>
      <c r="J137" s="33">
        <f t="shared" si="22"/>
        <v>-0.26696339687977283</v>
      </c>
      <c r="K137" s="15">
        <f t="shared" si="23"/>
        <v>77928</v>
      </c>
      <c r="L137" s="15">
        <f t="shared" si="24"/>
        <v>2641.9394159999938</v>
      </c>
      <c r="M137" s="15"/>
      <c r="N137" s="15"/>
      <c r="O137" s="15"/>
      <c r="P137" s="17"/>
      <c r="Q137" s="31">
        <f t="shared" si="25"/>
        <v>3047.9394159999938</v>
      </c>
      <c r="R137" s="34">
        <f t="shared" si="26"/>
        <v>8.0605840000000004</v>
      </c>
      <c r="S137" s="22"/>
      <c r="T137" s="273"/>
      <c r="U137" s="273"/>
      <c r="V137" s="22"/>
      <c r="W137" s="272"/>
      <c r="X137" s="272"/>
      <c r="Y137" s="272"/>
      <c r="Z137" s="274"/>
      <c r="AA137" s="22"/>
      <c r="AB137" s="275"/>
      <c r="AC137" s="40"/>
      <c r="AD137" s="40"/>
    </row>
    <row r="138" spans="1:30" s="1" customFormat="1" x14ac:dyDescent="0.25">
      <c r="A138" s="9">
        <v>43934</v>
      </c>
      <c r="B138" s="283" t="s">
        <v>1085</v>
      </c>
      <c r="C138" s="15" t="s">
        <v>63</v>
      </c>
      <c r="D138" s="16">
        <v>400</v>
      </c>
      <c r="E138" s="15">
        <v>7.21</v>
      </c>
      <c r="F138" s="16">
        <f t="shared" si="18"/>
        <v>10600</v>
      </c>
      <c r="G138" s="17">
        <f t="shared" si="19"/>
        <v>10.301648555849059</v>
      </c>
      <c r="H138" s="15">
        <f t="shared" si="20"/>
        <v>109197.47469200003</v>
      </c>
      <c r="I138" s="15">
        <f t="shared" si="21"/>
        <v>-32771.474692000033</v>
      </c>
      <c r="J138" s="33">
        <f t="shared" si="22"/>
        <v>-0.30011201984692892</v>
      </c>
      <c r="K138" s="15">
        <f t="shared" si="23"/>
        <v>76426</v>
      </c>
      <c r="L138" s="15">
        <f t="shared" si="24"/>
        <v>-4391.0043259999948</v>
      </c>
      <c r="M138" s="15"/>
      <c r="N138" s="15"/>
      <c r="O138" s="15"/>
      <c r="P138" s="17"/>
      <c r="Q138" s="31">
        <f t="shared" si="25"/>
        <v>-2889.0043259999948</v>
      </c>
      <c r="R138" s="34">
        <f t="shared" si="26"/>
        <v>5.0043259999999998</v>
      </c>
      <c r="S138" s="22"/>
      <c r="T138" s="273"/>
      <c r="U138" s="273"/>
      <c r="V138" s="22"/>
      <c r="W138" s="272"/>
      <c r="X138" s="272"/>
      <c r="Y138" s="272"/>
      <c r="Z138" s="274"/>
      <c r="AA138" s="22"/>
      <c r="AB138" s="275"/>
      <c r="AC138" s="40"/>
      <c r="AD138" s="40"/>
    </row>
    <row r="139" spans="1:30" s="1" customFormat="1" x14ac:dyDescent="0.25">
      <c r="A139" s="9">
        <v>43941</v>
      </c>
      <c r="B139" s="283" t="s">
        <v>1082</v>
      </c>
      <c r="C139" s="15" t="s">
        <v>63</v>
      </c>
      <c r="D139" s="16">
        <v>400</v>
      </c>
      <c r="E139" s="15">
        <v>6.93</v>
      </c>
      <c r="F139" s="16">
        <f t="shared" si="18"/>
        <v>11000</v>
      </c>
      <c r="G139" s="17">
        <f t="shared" si="19"/>
        <v>10.179498077272729</v>
      </c>
      <c r="H139" s="15">
        <f t="shared" si="20"/>
        <v>111974.47885000003</v>
      </c>
      <c r="I139" s="15">
        <f t="shared" si="21"/>
        <v>-35744.478850000029</v>
      </c>
      <c r="J139" s="33">
        <f t="shared" si="22"/>
        <v>-0.31921987239505706</v>
      </c>
      <c r="K139" s="15">
        <f t="shared" si="23"/>
        <v>76230</v>
      </c>
      <c r="L139" s="15">
        <f t="shared" si="24"/>
        <v>-2973.0041579999961</v>
      </c>
      <c r="M139" s="15"/>
      <c r="N139" s="15"/>
      <c r="O139" s="15"/>
      <c r="P139" s="17"/>
      <c r="Q139" s="31">
        <f t="shared" si="25"/>
        <v>-2777.0041579999961</v>
      </c>
      <c r="R139" s="34">
        <f t="shared" si="26"/>
        <v>5.0041580000000003</v>
      </c>
      <c r="S139" s="22"/>
      <c r="T139" s="273"/>
      <c r="U139" s="273"/>
      <c r="V139" s="22"/>
      <c r="W139" s="272"/>
      <c r="X139" s="272"/>
      <c r="Y139" s="272"/>
      <c r="Z139" s="274"/>
      <c r="AA139" s="22"/>
      <c r="AB139" s="275"/>
      <c r="AC139" s="40"/>
      <c r="AD139" s="40"/>
    </row>
    <row r="140" spans="1:30" s="1" customFormat="1" x14ac:dyDescent="0.25">
      <c r="A140" s="9">
        <v>43949</v>
      </c>
      <c r="B140" s="283"/>
      <c r="C140" s="15" t="s">
        <v>63</v>
      </c>
      <c r="D140" s="16">
        <v>400</v>
      </c>
      <c r="E140" s="15">
        <v>6.76</v>
      </c>
      <c r="F140" s="16">
        <f t="shared" ref="F140:F203" si="27">IF(C140="买",F139+D140,IF(C140="卖",F139-D140,F139))</f>
        <v>11400</v>
      </c>
      <c r="G140" s="17">
        <f t="shared" ref="G140:G203" si="28">H140/F140</f>
        <v>10.059954640877196</v>
      </c>
      <c r="H140" s="15">
        <f t="shared" ref="H140:H203" si="29">IF(C140="买",H139+D140*E140+R140+S140,IF(C140="卖",H139-D140*E140+R140+S140,H139))</f>
        <v>114683.48290600003</v>
      </c>
      <c r="I140" s="15">
        <f t="shared" ref="I140:I203" si="30">-H140+K140</f>
        <v>-37619.482906000034</v>
      </c>
      <c r="J140" s="33">
        <f t="shared" ref="J140:J203" si="31">(E140-G140)/G140</f>
        <v>-0.32802877932155872</v>
      </c>
      <c r="K140" s="15">
        <f t="shared" ref="K140:K203" si="32">F140*E140</f>
        <v>77064</v>
      </c>
      <c r="L140" s="15">
        <f t="shared" si="24"/>
        <v>-1875.0040560000052</v>
      </c>
      <c r="M140" s="15"/>
      <c r="N140" s="15"/>
      <c r="O140" s="15"/>
      <c r="P140" s="17"/>
      <c r="Q140" s="31">
        <f t="shared" si="25"/>
        <v>-2709.0040560000052</v>
      </c>
      <c r="R140" s="34">
        <f t="shared" si="26"/>
        <v>5.0040560000000003</v>
      </c>
      <c r="S140" s="22"/>
      <c r="T140" s="273"/>
      <c r="U140" s="273"/>
      <c r="V140" s="22"/>
      <c r="W140" s="272"/>
      <c r="X140" s="272"/>
      <c r="Y140" s="272"/>
      <c r="Z140" s="274"/>
      <c r="AA140" s="22"/>
      <c r="AB140" s="275"/>
      <c r="AC140" s="40"/>
      <c r="AD140" s="40"/>
    </row>
    <row r="141" spans="1:30" s="1" customFormat="1" x14ac:dyDescent="0.25">
      <c r="A141" s="9">
        <v>43949</v>
      </c>
      <c r="B141" s="283" t="s">
        <v>1048</v>
      </c>
      <c r="C141" s="306" t="s">
        <v>922</v>
      </c>
      <c r="D141" s="16">
        <v>400</v>
      </c>
      <c r="E141" s="15">
        <v>6.58</v>
      </c>
      <c r="F141" s="16">
        <f t="shared" si="27"/>
        <v>11800</v>
      </c>
      <c r="G141" s="17">
        <f t="shared" si="28"/>
        <v>9.942414140169495</v>
      </c>
      <c r="H141" s="15">
        <f t="shared" si="29"/>
        <v>117320.48685400003</v>
      </c>
      <c r="I141" s="15">
        <f t="shared" si="30"/>
        <v>-39676.486854000032</v>
      </c>
      <c r="J141" s="33">
        <f t="shared" si="31"/>
        <v>-0.33818890389856299</v>
      </c>
      <c r="K141" s="15">
        <f t="shared" si="32"/>
        <v>77644</v>
      </c>
      <c r="L141" s="15">
        <f t="shared" si="24"/>
        <v>-2057.0039479999978</v>
      </c>
      <c r="M141" s="15"/>
      <c r="N141" s="15"/>
      <c r="O141" s="15"/>
      <c r="P141" s="17"/>
      <c r="Q141" s="31">
        <f t="shared" si="25"/>
        <v>-2637.0039479999978</v>
      </c>
      <c r="R141" s="34">
        <f t="shared" si="26"/>
        <v>5.0039480000000003</v>
      </c>
      <c r="S141" s="22"/>
      <c r="T141" s="273"/>
      <c r="U141" s="273"/>
      <c r="V141" s="22"/>
      <c r="W141" s="272"/>
      <c r="X141" s="272"/>
      <c r="Y141" s="272"/>
      <c r="Z141" s="274"/>
      <c r="AA141" s="22"/>
      <c r="AB141" s="275"/>
      <c r="AC141" s="40"/>
      <c r="AD141" s="40"/>
    </row>
    <row r="142" spans="1:30" s="1" customFormat="1" x14ac:dyDescent="0.25">
      <c r="A142" s="9">
        <v>43962</v>
      </c>
      <c r="B142" s="283"/>
      <c r="C142" s="15" t="s">
        <v>69</v>
      </c>
      <c r="D142" s="16">
        <v>400</v>
      </c>
      <c r="E142" s="15">
        <v>6.82</v>
      </c>
      <c r="F142" s="16">
        <f t="shared" si="27"/>
        <v>11400</v>
      </c>
      <c r="G142" s="17">
        <f t="shared" si="28"/>
        <v>10.052650784736846</v>
      </c>
      <c r="H142" s="15">
        <f t="shared" si="29"/>
        <v>114600.21894600004</v>
      </c>
      <c r="I142" s="15">
        <f t="shared" si="30"/>
        <v>-36852.218946000037</v>
      </c>
      <c r="J142" s="33">
        <f t="shared" si="31"/>
        <v>-0.32157197678099475</v>
      </c>
      <c r="K142" s="15">
        <f t="shared" si="32"/>
        <v>77748</v>
      </c>
      <c r="L142" s="15">
        <f t="shared" si="24"/>
        <v>2824.2679079999943</v>
      </c>
      <c r="M142" s="15"/>
      <c r="N142" s="15"/>
      <c r="O142" s="15"/>
      <c r="P142" s="17"/>
      <c r="Q142" s="31">
        <f t="shared" si="25"/>
        <v>2720.2679079999943</v>
      </c>
      <c r="R142" s="34">
        <f t="shared" si="26"/>
        <v>7.7320919999999997</v>
      </c>
      <c r="S142" s="22"/>
      <c r="T142" s="273"/>
      <c r="U142" s="273"/>
      <c r="V142" s="22"/>
      <c r="W142" s="272"/>
      <c r="X142" s="272"/>
      <c r="Y142" s="272"/>
      <c r="Z142" s="274"/>
      <c r="AA142" s="22"/>
      <c r="AB142" s="275"/>
      <c r="AC142" s="40"/>
      <c r="AD142" s="40"/>
    </row>
    <row r="143" spans="1:30" s="1" customFormat="1" x14ac:dyDescent="0.25">
      <c r="A143" s="9">
        <v>43962</v>
      </c>
      <c r="B143" s="337" t="s">
        <v>1086</v>
      </c>
      <c r="C143" s="15" t="s">
        <v>63</v>
      </c>
      <c r="D143" s="16">
        <v>600</v>
      </c>
      <c r="E143" s="15">
        <v>6.66</v>
      </c>
      <c r="F143" s="16">
        <f t="shared" si="27"/>
        <v>12000</v>
      </c>
      <c r="G143" s="17">
        <f t="shared" si="28"/>
        <v>9.8834352451666696</v>
      </c>
      <c r="H143" s="15">
        <f t="shared" si="29"/>
        <v>118601.22294200004</v>
      </c>
      <c r="I143" s="15">
        <f t="shared" si="30"/>
        <v>-38681.222942000037</v>
      </c>
      <c r="J143" s="33">
        <f t="shared" si="31"/>
        <v>-0.32614522837522886</v>
      </c>
      <c r="K143" s="15">
        <f t="shared" si="32"/>
        <v>79920</v>
      </c>
      <c r="L143" s="15">
        <f t="shared" si="24"/>
        <v>-1829.0039959999995</v>
      </c>
      <c r="M143" s="15"/>
      <c r="N143" s="15"/>
      <c r="O143" s="15"/>
      <c r="P143" s="17"/>
      <c r="Q143" s="31">
        <f t="shared" si="25"/>
        <v>-4001.0039959999995</v>
      </c>
      <c r="R143" s="34">
        <f t="shared" si="26"/>
        <v>5.0039959999999999</v>
      </c>
      <c r="S143" s="15"/>
      <c r="T143" s="273"/>
      <c r="U143" s="273"/>
      <c r="V143" s="22"/>
      <c r="W143" s="272"/>
      <c r="X143" s="272"/>
      <c r="Y143" s="272"/>
      <c r="Z143" s="274"/>
      <c r="AA143" s="22"/>
      <c r="AB143" s="275"/>
      <c r="AC143" s="40"/>
      <c r="AD143" s="40"/>
    </row>
    <row r="144" spans="1:30" s="1" customFormat="1" x14ac:dyDescent="0.25">
      <c r="A144" s="9">
        <v>43963</v>
      </c>
      <c r="B144" s="283"/>
      <c r="C144" s="15" t="s">
        <v>63</v>
      </c>
      <c r="D144" s="16">
        <v>400</v>
      </c>
      <c r="E144" s="15">
        <v>6.54</v>
      </c>
      <c r="F144" s="16">
        <f t="shared" si="27"/>
        <v>12400</v>
      </c>
      <c r="G144" s="17">
        <f t="shared" si="28"/>
        <v>9.7759860375806493</v>
      </c>
      <c r="H144" s="15">
        <f t="shared" si="29"/>
        <v>121222.22686600004</v>
      </c>
      <c r="I144" s="15">
        <f t="shared" si="30"/>
        <v>-40126.226866000041</v>
      </c>
      <c r="J144" s="33">
        <f t="shared" si="31"/>
        <v>-0.33101377448176961</v>
      </c>
      <c r="K144" s="15">
        <f t="shared" si="32"/>
        <v>81096</v>
      </c>
      <c r="L144" s="15">
        <f t="shared" si="24"/>
        <v>-1445.0039240000042</v>
      </c>
      <c r="M144" s="15"/>
      <c r="N144" s="15"/>
      <c r="O144" s="15"/>
      <c r="P144" s="17"/>
      <c r="Q144" s="31">
        <f t="shared" si="25"/>
        <v>-2621.0039240000042</v>
      </c>
      <c r="R144" s="34">
        <f t="shared" si="26"/>
        <v>5.0039239999999996</v>
      </c>
      <c r="S144" s="22"/>
      <c r="T144" s="273"/>
      <c r="U144" s="273"/>
      <c r="V144" s="22"/>
      <c r="W144" s="272"/>
      <c r="X144" s="272"/>
      <c r="Y144" s="272"/>
      <c r="Z144" s="274"/>
      <c r="AA144" s="22"/>
      <c r="AB144" s="275"/>
      <c r="AC144" s="40"/>
      <c r="AD144" s="40"/>
    </row>
    <row r="145" spans="1:30" s="1" customFormat="1" x14ac:dyDescent="0.25">
      <c r="A145" s="9">
        <v>43969</v>
      </c>
      <c r="B145" s="283"/>
      <c r="C145" s="15" t="s">
        <v>63</v>
      </c>
      <c r="D145" s="16">
        <v>400</v>
      </c>
      <c r="E145" s="15">
        <v>6.43</v>
      </c>
      <c r="F145" s="16">
        <f t="shared" si="27"/>
        <v>12800</v>
      </c>
      <c r="G145" s="17">
        <f t="shared" si="28"/>
        <v>9.6718149003125031</v>
      </c>
      <c r="H145" s="15">
        <f t="shared" si="29"/>
        <v>123799.23072400004</v>
      </c>
      <c r="I145" s="15">
        <f t="shared" si="30"/>
        <v>-41495.230724000037</v>
      </c>
      <c r="J145" s="33">
        <f t="shared" si="31"/>
        <v>-0.33518165243296355</v>
      </c>
      <c r="K145" s="15">
        <f t="shared" si="32"/>
        <v>82304</v>
      </c>
      <c r="L145" s="15">
        <f t="shared" si="24"/>
        <v>-1369.0038579999964</v>
      </c>
      <c r="M145" s="15"/>
      <c r="N145" s="15"/>
      <c r="O145" s="15"/>
      <c r="P145" s="17"/>
      <c r="Q145" s="31">
        <f t="shared" si="25"/>
        <v>-2577.0038579999964</v>
      </c>
      <c r="R145" s="34">
        <f t="shared" si="26"/>
        <v>5.0038580000000001</v>
      </c>
      <c r="S145" s="22"/>
      <c r="T145" s="273"/>
      <c r="U145" s="273"/>
      <c r="V145" s="22"/>
      <c r="W145" s="272"/>
      <c r="X145" s="272"/>
      <c r="Y145" s="272"/>
      <c r="Z145" s="274"/>
      <c r="AA145" s="22"/>
      <c r="AB145" s="275"/>
      <c r="AC145" s="40"/>
      <c r="AD145" s="40"/>
    </row>
    <row r="146" spans="1:30" s="1" customFormat="1" x14ac:dyDescent="0.25">
      <c r="A146" s="9">
        <v>43973</v>
      </c>
      <c r="B146" s="283"/>
      <c r="C146" s="15" t="s">
        <v>63</v>
      </c>
      <c r="D146" s="16">
        <v>400</v>
      </c>
      <c r="E146" s="15">
        <v>6.23</v>
      </c>
      <c r="F146" s="16">
        <f t="shared" si="27"/>
        <v>13200</v>
      </c>
      <c r="G146" s="17">
        <f t="shared" si="28"/>
        <v>9.5678965501515183</v>
      </c>
      <c r="H146" s="15">
        <f t="shared" si="29"/>
        <v>126296.23446200004</v>
      </c>
      <c r="I146" s="15">
        <f t="shared" si="30"/>
        <v>-44060.234462000037</v>
      </c>
      <c r="J146" s="33">
        <f t="shared" si="31"/>
        <v>-0.34886419733485291</v>
      </c>
      <c r="K146" s="15">
        <f t="shared" si="32"/>
        <v>82236</v>
      </c>
      <c r="L146" s="15">
        <f t="shared" si="24"/>
        <v>-2565.0037379999994</v>
      </c>
      <c r="M146" s="15"/>
      <c r="N146" s="15"/>
      <c r="O146" s="15"/>
      <c r="P146" s="17"/>
      <c r="Q146" s="31">
        <f t="shared" si="25"/>
        <v>-2497.0037379999994</v>
      </c>
      <c r="R146" s="34">
        <f t="shared" si="26"/>
        <v>5.0037380000000002</v>
      </c>
      <c r="S146" s="22"/>
      <c r="T146" s="273"/>
      <c r="U146" s="273"/>
      <c r="V146" s="22"/>
      <c r="W146" s="272"/>
      <c r="X146" s="272"/>
      <c r="Y146" s="272"/>
      <c r="Z146" s="274"/>
      <c r="AA146" s="22"/>
      <c r="AB146" s="275"/>
      <c r="AC146" s="40"/>
      <c r="AD146" s="40"/>
    </row>
    <row r="147" spans="1:30" s="1" customFormat="1" x14ac:dyDescent="0.25">
      <c r="A147" s="9">
        <v>43984</v>
      </c>
      <c r="B147" s="283" t="s">
        <v>1046</v>
      </c>
      <c r="C147" s="15" t="s">
        <v>69</v>
      </c>
      <c r="D147" s="16">
        <v>400</v>
      </c>
      <c r="E147" s="15">
        <f>E146+0.22</f>
        <v>6.45</v>
      </c>
      <c r="F147" s="16">
        <f t="shared" si="27"/>
        <v>12800</v>
      </c>
      <c r="G147" s="17">
        <f t="shared" si="28"/>
        <v>9.6659233071875033</v>
      </c>
      <c r="H147" s="15">
        <f t="shared" si="29"/>
        <v>123723.81833200004</v>
      </c>
      <c r="I147" s="15">
        <f t="shared" si="30"/>
        <v>-41163.818332000039</v>
      </c>
      <c r="J147" s="33">
        <f t="shared" si="31"/>
        <v>-0.33270730637767093</v>
      </c>
      <c r="K147" s="15">
        <f t="shared" si="32"/>
        <v>82560</v>
      </c>
      <c r="L147" s="15">
        <f t="shared" si="24"/>
        <v>2896.4161299999978</v>
      </c>
      <c r="M147" s="15"/>
      <c r="N147" s="15"/>
      <c r="O147" s="15"/>
      <c r="P147" s="17"/>
      <c r="Q147" s="31">
        <f t="shared" si="25"/>
        <v>2572.4161299999978</v>
      </c>
      <c r="R147" s="34">
        <f t="shared" si="26"/>
        <v>7.5838700000000001</v>
      </c>
      <c r="S147" s="22"/>
      <c r="T147" s="273"/>
      <c r="U147" s="273"/>
      <c r="V147" s="22"/>
      <c r="W147" s="272"/>
      <c r="X147" s="272"/>
      <c r="Y147" s="272"/>
      <c r="Z147" s="274"/>
      <c r="AA147" s="22"/>
      <c r="AB147" s="275"/>
      <c r="AC147" s="40"/>
      <c r="AD147" s="40"/>
    </row>
    <row r="148" spans="1:30" s="1" customFormat="1" x14ac:dyDescent="0.25">
      <c r="A148" s="9">
        <v>43985</v>
      </c>
      <c r="B148" s="283" t="s">
        <v>1087</v>
      </c>
      <c r="C148" s="15" t="s">
        <v>69</v>
      </c>
      <c r="D148" s="16">
        <v>400</v>
      </c>
      <c r="E148" s="15">
        <v>6.68</v>
      </c>
      <c r="F148" s="16">
        <f t="shared" si="27"/>
        <v>12400</v>
      </c>
      <c r="G148" s="17">
        <f t="shared" si="28"/>
        <v>9.7628624467741965</v>
      </c>
      <c r="H148" s="15">
        <f t="shared" si="29"/>
        <v>121059.49434000003</v>
      </c>
      <c r="I148" s="15">
        <f t="shared" si="30"/>
        <v>-38227.494340000034</v>
      </c>
      <c r="J148" s="33">
        <f t="shared" si="31"/>
        <v>-0.31577444254505738</v>
      </c>
      <c r="K148" s="15">
        <f t="shared" si="32"/>
        <v>82832</v>
      </c>
      <c r="L148" s="15">
        <f t="shared" si="24"/>
        <v>2936.3239920000051</v>
      </c>
      <c r="M148" s="15"/>
      <c r="N148" s="15"/>
      <c r="O148" s="15"/>
      <c r="P148" s="17"/>
      <c r="Q148" s="31">
        <f t="shared" si="25"/>
        <v>2664.3239920000051</v>
      </c>
      <c r="R148" s="34">
        <f t="shared" si="26"/>
        <v>7.6760079999999995</v>
      </c>
      <c r="S148" s="22"/>
      <c r="T148" s="273"/>
      <c r="U148" s="273"/>
      <c r="V148" s="22"/>
      <c r="W148" s="272"/>
      <c r="X148" s="272"/>
      <c r="Y148" s="272"/>
      <c r="Z148" s="274"/>
      <c r="AA148" s="22"/>
      <c r="AB148" s="275"/>
      <c r="AC148" s="40"/>
      <c r="AD148" s="40"/>
    </row>
    <row r="149" spans="1:30" s="1" customFormat="1" x14ac:dyDescent="0.25">
      <c r="A149" s="9">
        <v>43993</v>
      </c>
      <c r="B149" s="283"/>
      <c r="C149" s="15" t="s">
        <v>69</v>
      </c>
      <c r="D149" s="16">
        <v>400</v>
      </c>
      <c r="E149" s="15">
        <f>E148+0.22</f>
        <v>6.8999999999999995</v>
      </c>
      <c r="F149" s="16">
        <f t="shared" si="27"/>
        <v>12000</v>
      </c>
      <c r="G149" s="17">
        <f t="shared" si="28"/>
        <v>9.8589382066666698</v>
      </c>
      <c r="H149" s="15">
        <f t="shared" si="29"/>
        <v>118307.25848000003</v>
      </c>
      <c r="I149" s="15">
        <f t="shared" si="30"/>
        <v>-35507.258480000033</v>
      </c>
      <c r="J149" s="33">
        <f t="shared" si="31"/>
        <v>-0.30012747261828049</v>
      </c>
      <c r="K149" s="15">
        <f t="shared" si="32"/>
        <v>82800</v>
      </c>
      <c r="L149" s="15">
        <f t="shared" si="24"/>
        <v>2720.2358600000007</v>
      </c>
      <c r="M149" s="15"/>
      <c r="N149" s="15"/>
      <c r="O149" s="15"/>
      <c r="P149" s="17"/>
      <c r="Q149" s="31">
        <f t="shared" si="25"/>
        <v>2752.2358600000007</v>
      </c>
      <c r="R149" s="34">
        <f t="shared" si="26"/>
        <v>7.7641399999999994</v>
      </c>
      <c r="S149" s="22"/>
      <c r="T149" s="273"/>
      <c r="U149" s="273"/>
      <c r="V149" s="22"/>
      <c r="W149" s="272"/>
      <c r="X149" s="272"/>
      <c r="Y149" s="272"/>
      <c r="Z149" s="274"/>
      <c r="AA149" s="22"/>
      <c r="AB149" s="275"/>
      <c r="AC149" s="40"/>
      <c r="AD149" s="40"/>
    </row>
    <row r="150" spans="1:30" s="1" customFormat="1" x14ac:dyDescent="0.25">
      <c r="A150" s="9">
        <v>43993</v>
      </c>
      <c r="B150" s="283"/>
      <c r="C150" s="15" t="s">
        <v>69</v>
      </c>
      <c r="D150" s="16">
        <v>400</v>
      </c>
      <c r="E150" s="15">
        <v>7.07</v>
      </c>
      <c r="F150" s="16">
        <f t="shared" si="27"/>
        <v>11600</v>
      </c>
      <c r="G150" s="17">
        <f t="shared" si="28"/>
        <v>9.9557836829310382</v>
      </c>
      <c r="H150" s="15">
        <f t="shared" si="29"/>
        <v>115487.09072200004</v>
      </c>
      <c r="I150" s="15">
        <f t="shared" si="30"/>
        <v>-33475.090722000037</v>
      </c>
      <c r="J150" s="33">
        <f t="shared" si="31"/>
        <v>-0.28986002255941412</v>
      </c>
      <c r="K150" s="15">
        <f t="shared" si="32"/>
        <v>82012</v>
      </c>
      <c r="L150" s="15">
        <f t="shared" si="24"/>
        <v>2032.167757999996</v>
      </c>
      <c r="M150" s="15"/>
      <c r="N150" s="15"/>
      <c r="O150" s="15"/>
      <c r="P150" s="17"/>
      <c r="Q150" s="31">
        <f t="shared" si="25"/>
        <v>2820.167757999996</v>
      </c>
      <c r="R150" s="34">
        <f t="shared" si="26"/>
        <v>7.8322419999999999</v>
      </c>
      <c r="S150" s="22"/>
      <c r="T150" s="273"/>
      <c r="U150" s="273"/>
      <c r="V150" s="22"/>
      <c r="W150" s="272"/>
      <c r="X150" s="272"/>
      <c r="Y150" s="272"/>
      <c r="Z150" s="274"/>
      <c r="AA150" s="22"/>
      <c r="AB150" s="275"/>
      <c r="AC150" s="40"/>
      <c r="AD150" s="40"/>
    </row>
    <row r="151" spans="1:30" s="1" customFormat="1" x14ac:dyDescent="0.25">
      <c r="A151" s="9">
        <v>43993</v>
      </c>
      <c r="B151" s="337"/>
      <c r="C151" s="15" t="s">
        <v>69</v>
      </c>
      <c r="D151" s="16">
        <v>400</v>
      </c>
      <c r="E151" s="15">
        <v>7.3</v>
      </c>
      <c r="F151" s="16">
        <f t="shared" si="27"/>
        <v>11200</v>
      </c>
      <c r="G151" s="17">
        <f t="shared" si="28"/>
        <v>10.051340634107145</v>
      </c>
      <c r="H151" s="15">
        <f t="shared" si="29"/>
        <v>112575.01510200003</v>
      </c>
      <c r="I151" s="15">
        <f t="shared" si="30"/>
        <v>-30815.015102000034</v>
      </c>
      <c r="J151" s="33">
        <f t="shared" si="31"/>
        <v>-0.27372872279057381</v>
      </c>
      <c r="K151" s="15">
        <f t="shared" si="32"/>
        <v>81760</v>
      </c>
      <c r="L151" s="15">
        <f t="shared" si="24"/>
        <v>2660.0756200000033</v>
      </c>
      <c r="M151" s="15"/>
      <c r="N151" s="15"/>
      <c r="O151" s="15"/>
      <c r="P151" s="17"/>
      <c r="Q151" s="31">
        <f t="shared" si="25"/>
        <v>2912.0756200000033</v>
      </c>
      <c r="R151" s="34">
        <f t="shared" si="26"/>
        <v>7.9243800000000002</v>
      </c>
      <c r="S151" s="15"/>
      <c r="T151" s="273"/>
      <c r="U151" s="273"/>
      <c r="V151" s="22"/>
      <c r="W151" s="272"/>
      <c r="X151" s="272"/>
      <c r="Y151" s="272"/>
      <c r="Z151" s="274"/>
      <c r="AA151" s="22"/>
      <c r="AB151" s="275"/>
      <c r="AC151" s="40"/>
      <c r="AD151" s="40"/>
    </row>
    <row r="152" spans="1:30" s="1" customFormat="1" x14ac:dyDescent="0.25">
      <c r="A152" s="9">
        <v>43993</v>
      </c>
      <c r="B152" s="283" t="s">
        <v>1088</v>
      </c>
      <c r="C152" s="15" t="s">
        <v>69</v>
      </c>
      <c r="D152" s="16">
        <v>800</v>
      </c>
      <c r="E152" s="15">
        <v>7.3</v>
      </c>
      <c r="F152" s="16">
        <f t="shared" si="27"/>
        <v>10400</v>
      </c>
      <c r="G152" s="17">
        <f t="shared" si="28"/>
        <v>10.26402495019231</v>
      </c>
      <c r="H152" s="15">
        <f t="shared" si="29"/>
        <v>106745.85948200003</v>
      </c>
      <c r="I152" s="15">
        <f t="shared" si="30"/>
        <v>-30825.859482000029</v>
      </c>
      <c r="J152" s="33">
        <f t="shared" si="31"/>
        <v>-0.28877803440421052</v>
      </c>
      <c r="K152" s="15">
        <f t="shared" si="32"/>
        <v>75920</v>
      </c>
      <c r="L152" s="15">
        <f t="shared" si="24"/>
        <v>-10.844379999994999</v>
      </c>
      <c r="M152" s="15"/>
      <c r="N152" s="15"/>
      <c r="O152" s="15"/>
      <c r="P152" s="17"/>
      <c r="Q152" s="31">
        <f t="shared" si="25"/>
        <v>5829.155620000005</v>
      </c>
      <c r="R152" s="34">
        <f t="shared" si="26"/>
        <v>10.844380000000001</v>
      </c>
      <c r="S152" s="22"/>
      <c r="T152" s="273"/>
      <c r="U152" s="273"/>
      <c r="V152" s="22"/>
      <c r="W152" s="272"/>
      <c r="X152" s="272"/>
      <c r="Y152" s="272"/>
      <c r="Z152" s="274"/>
      <c r="AA152" s="22"/>
      <c r="AB152" s="275"/>
      <c r="AC152" s="40"/>
      <c r="AD152" s="40"/>
    </row>
    <row r="153" spans="1:30" s="1" customFormat="1" x14ac:dyDescent="0.25">
      <c r="A153" s="9">
        <v>43994</v>
      </c>
      <c r="B153" s="283"/>
      <c r="C153" s="15" t="s">
        <v>69</v>
      </c>
      <c r="D153" s="16">
        <v>400</v>
      </c>
      <c r="E153" s="15">
        <v>7.58</v>
      </c>
      <c r="F153" s="16">
        <f t="shared" si="27"/>
        <v>10000</v>
      </c>
      <c r="G153" s="17">
        <f t="shared" si="28"/>
        <v>10.372189603000002</v>
      </c>
      <c r="H153" s="15">
        <f t="shared" si="29"/>
        <v>103721.89603000003</v>
      </c>
      <c r="I153" s="15">
        <f t="shared" si="30"/>
        <v>-27921.896030000033</v>
      </c>
      <c r="J153" s="33">
        <f t="shared" si="31"/>
        <v>-0.26919962995975344</v>
      </c>
      <c r="K153" s="15">
        <f t="shared" si="32"/>
        <v>75800</v>
      </c>
      <c r="L153" s="15">
        <f t="shared" si="24"/>
        <v>2903.9634519999963</v>
      </c>
      <c r="M153" s="15"/>
      <c r="N153" s="15"/>
      <c r="O153" s="15"/>
      <c r="P153" s="17"/>
      <c r="Q153" s="31">
        <f t="shared" si="25"/>
        <v>3023.9634519999963</v>
      </c>
      <c r="R153" s="34">
        <f t="shared" si="26"/>
        <v>8.0365479999999998</v>
      </c>
      <c r="S153" s="22"/>
      <c r="T153" s="273"/>
      <c r="U153" s="273"/>
      <c r="V153" s="22"/>
      <c r="W153" s="272"/>
      <c r="X153" s="272"/>
      <c r="Y153" s="272"/>
      <c r="Z153" s="274"/>
      <c r="AA153" s="22"/>
      <c r="AB153" s="275"/>
      <c r="AC153" s="40"/>
      <c r="AD153" s="40"/>
    </row>
    <row r="154" spans="1:30" s="1" customFormat="1" x14ac:dyDescent="0.25">
      <c r="A154" s="9">
        <v>43997</v>
      </c>
      <c r="B154" s="283" t="s">
        <v>1030</v>
      </c>
      <c r="C154" s="306" t="s">
        <v>922</v>
      </c>
      <c r="D154" s="16">
        <v>400</v>
      </c>
      <c r="E154" s="15">
        <v>7.29</v>
      </c>
      <c r="F154" s="16">
        <f t="shared" si="27"/>
        <v>10400</v>
      </c>
      <c r="G154" s="17">
        <f t="shared" si="28"/>
        <v>10.254125038846157</v>
      </c>
      <c r="H154" s="15">
        <f t="shared" si="29"/>
        <v>106642.90040400003</v>
      </c>
      <c r="I154" s="15">
        <f t="shared" si="30"/>
        <v>-30826.900404000029</v>
      </c>
      <c r="J154" s="33">
        <f t="shared" si="31"/>
        <v>-0.28906659784399258</v>
      </c>
      <c r="K154" s="15">
        <f t="shared" si="32"/>
        <v>75816</v>
      </c>
      <c r="L154" s="15">
        <f t="shared" si="24"/>
        <v>-2905.0043739999965</v>
      </c>
      <c r="M154" s="15"/>
      <c r="N154" s="15"/>
      <c r="O154" s="15"/>
      <c r="P154" s="17"/>
      <c r="Q154" s="31">
        <f t="shared" si="25"/>
        <v>-2921.0043739999965</v>
      </c>
      <c r="R154" s="34">
        <f t="shared" si="26"/>
        <v>5.0043740000000003</v>
      </c>
      <c r="S154" s="22"/>
      <c r="T154" s="273"/>
      <c r="U154" s="273"/>
      <c r="V154" s="22"/>
      <c r="W154" s="272"/>
      <c r="X154" s="272"/>
      <c r="Y154" s="272"/>
      <c r="Z154" s="274"/>
      <c r="AA154" s="22"/>
      <c r="AB154" s="275"/>
      <c r="AC154" s="40"/>
      <c r="AD154" s="40"/>
    </row>
    <row r="155" spans="1:30" s="1" customFormat="1" x14ac:dyDescent="0.25">
      <c r="A155" s="9">
        <v>43997</v>
      </c>
      <c r="B155" s="283"/>
      <c r="C155" s="15" t="s">
        <v>69</v>
      </c>
      <c r="D155" s="16">
        <v>400</v>
      </c>
      <c r="E155" s="15">
        <v>7.47</v>
      </c>
      <c r="F155" s="16">
        <f t="shared" si="27"/>
        <v>10000</v>
      </c>
      <c r="G155" s="17">
        <f t="shared" si="28"/>
        <v>10.366289288600003</v>
      </c>
      <c r="H155" s="15">
        <f t="shared" si="29"/>
        <v>103662.89288600003</v>
      </c>
      <c r="I155" s="15">
        <f t="shared" si="30"/>
        <v>-28962.892886000031</v>
      </c>
      <c r="J155" s="33">
        <f t="shared" si="31"/>
        <v>-0.27939498965990706</v>
      </c>
      <c r="K155" s="15">
        <f t="shared" si="32"/>
        <v>74700</v>
      </c>
      <c r="L155" s="15">
        <f t="shared" si="24"/>
        <v>1864.0075179999985</v>
      </c>
      <c r="M155" s="15"/>
      <c r="N155" s="15"/>
      <c r="O155" s="15"/>
      <c r="P155" s="17"/>
      <c r="Q155" s="31">
        <f t="shared" si="25"/>
        <v>2980.0075179999985</v>
      </c>
      <c r="R155" s="34">
        <f t="shared" si="26"/>
        <v>7.9924820000000008</v>
      </c>
      <c r="S155" s="22"/>
      <c r="T155" s="273"/>
      <c r="U155" s="273"/>
      <c r="V155" s="22"/>
      <c r="W155" s="272"/>
      <c r="X155" s="272"/>
      <c r="Y155" s="272"/>
      <c r="Z155" s="274"/>
      <c r="AA155" s="22"/>
      <c r="AB155" s="275"/>
      <c r="AC155" s="40"/>
      <c r="AD155" s="40"/>
    </row>
    <row r="156" spans="1:30" s="1" customFormat="1" x14ac:dyDescent="0.25">
      <c r="A156" s="9">
        <v>43998</v>
      </c>
      <c r="B156" s="337"/>
      <c r="C156" s="15" t="s">
        <v>69</v>
      </c>
      <c r="D156" s="16">
        <v>400</v>
      </c>
      <c r="E156" s="15">
        <v>7.7</v>
      </c>
      <c r="F156" s="16">
        <f t="shared" si="27"/>
        <v>9600</v>
      </c>
      <c r="G156" s="17">
        <f t="shared" si="28"/>
        <v>10.47822682354167</v>
      </c>
      <c r="H156" s="15">
        <f t="shared" si="29"/>
        <v>100590.97750600002</v>
      </c>
      <c r="I156" s="15">
        <f t="shared" si="30"/>
        <v>-26670.977506000025</v>
      </c>
      <c r="J156" s="33">
        <f t="shared" si="31"/>
        <v>-0.26514284051379422</v>
      </c>
      <c r="K156" s="15">
        <f t="shared" si="32"/>
        <v>73920</v>
      </c>
      <c r="L156" s="15">
        <f t="shared" si="24"/>
        <v>2291.9153800000058</v>
      </c>
      <c r="M156" s="15"/>
      <c r="N156" s="15"/>
      <c r="O156" s="15"/>
      <c r="P156" s="17"/>
      <c r="Q156" s="31">
        <f t="shared" si="25"/>
        <v>3071.9153800000058</v>
      </c>
      <c r="R156" s="34">
        <f t="shared" si="26"/>
        <v>8.084620000000001</v>
      </c>
      <c r="S156" s="15"/>
      <c r="T156" s="273"/>
      <c r="U156" s="273"/>
      <c r="V156" s="22"/>
      <c r="W156" s="272"/>
      <c r="X156" s="272"/>
      <c r="Y156" s="272"/>
      <c r="Z156" s="274"/>
      <c r="AA156" s="22"/>
      <c r="AB156" s="275"/>
      <c r="AC156" s="40"/>
      <c r="AD156" s="40"/>
    </row>
    <row r="157" spans="1:30" s="1" customFormat="1" x14ac:dyDescent="0.25">
      <c r="A157" s="9">
        <v>43999</v>
      </c>
      <c r="B157" s="283" t="s">
        <v>1034</v>
      </c>
      <c r="C157" s="15" t="s">
        <v>63</v>
      </c>
      <c r="D157" s="16">
        <v>400</v>
      </c>
      <c r="E157" s="15">
        <v>7.5</v>
      </c>
      <c r="F157" s="16">
        <f t="shared" si="27"/>
        <v>10000</v>
      </c>
      <c r="G157" s="17">
        <f t="shared" si="28"/>
        <v>10.179598200600003</v>
      </c>
      <c r="H157" s="15">
        <f t="shared" si="29"/>
        <v>101795.98200600002</v>
      </c>
      <c r="I157" s="15">
        <f t="shared" si="30"/>
        <v>-26795.98200600002</v>
      </c>
      <c r="J157" s="33">
        <f t="shared" si="31"/>
        <v>-0.26323221681206066</v>
      </c>
      <c r="K157" s="15">
        <f t="shared" si="32"/>
        <v>75000</v>
      </c>
      <c r="L157" s="15">
        <f t="shared" si="24"/>
        <v>-125.00449999999546</v>
      </c>
      <c r="M157" s="15"/>
      <c r="N157" s="15"/>
      <c r="O157" s="15"/>
      <c r="P157" s="17"/>
      <c r="Q157" s="31">
        <f t="shared" si="25"/>
        <v>-1205.0044999999955</v>
      </c>
      <c r="R157" s="34">
        <f t="shared" si="26"/>
        <v>5.0045000000000002</v>
      </c>
      <c r="S157" s="22">
        <v>-1800</v>
      </c>
      <c r="T157" s="273"/>
      <c r="U157" s="273"/>
      <c r="V157" s="22"/>
      <c r="W157" s="272"/>
      <c r="X157" s="272"/>
      <c r="Y157" s="272"/>
      <c r="Z157" s="274"/>
      <c r="AA157" s="22"/>
      <c r="AB157" s="275"/>
      <c r="AC157" s="40"/>
      <c r="AD157" s="40"/>
    </row>
    <row r="158" spans="1:30" s="1" customFormat="1" x14ac:dyDescent="0.25">
      <c r="A158" s="9">
        <v>44001</v>
      </c>
      <c r="B158" s="283" t="s">
        <v>1032</v>
      </c>
      <c r="C158" s="15" t="s">
        <v>63</v>
      </c>
      <c r="D158" s="16">
        <v>400</v>
      </c>
      <c r="E158" s="15">
        <v>7.19</v>
      </c>
      <c r="F158" s="16">
        <f t="shared" si="27"/>
        <v>10400</v>
      </c>
      <c r="G158" s="17">
        <f t="shared" si="28"/>
        <v>10.06509483846154</v>
      </c>
      <c r="H158" s="15">
        <f t="shared" si="29"/>
        <v>104676.98632000003</v>
      </c>
      <c r="I158" s="15">
        <f t="shared" si="30"/>
        <v>-29900.986320000025</v>
      </c>
      <c r="J158" s="33">
        <f t="shared" si="31"/>
        <v>-0.28565004946351813</v>
      </c>
      <c r="K158" s="15">
        <f t="shared" si="32"/>
        <v>74776</v>
      </c>
      <c r="L158" s="15">
        <f t="shared" si="24"/>
        <v>-3105.0043140000053</v>
      </c>
      <c r="M158" s="15"/>
      <c r="N158" s="15"/>
      <c r="O158" s="15"/>
      <c r="P158" s="17"/>
      <c r="Q158" s="31">
        <f t="shared" si="25"/>
        <v>-2881.0043140000053</v>
      </c>
      <c r="R158" s="34">
        <f t="shared" si="26"/>
        <v>5.0043139999999999</v>
      </c>
      <c r="S158" s="22"/>
      <c r="T158" s="273"/>
      <c r="U158" s="273"/>
      <c r="V158" s="22"/>
      <c r="W158" s="272"/>
      <c r="X158" s="272"/>
      <c r="Y158" s="272"/>
      <c r="Z158" s="274"/>
      <c r="AA158" s="22"/>
      <c r="AB158" s="275"/>
      <c r="AC158" s="40"/>
      <c r="AD158" s="40"/>
    </row>
    <row r="159" spans="1:30" s="1" customFormat="1" x14ac:dyDescent="0.25">
      <c r="A159" s="9">
        <v>44004</v>
      </c>
      <c r="B159" s="283" t="s">
        <v>1089</v>
      </c>
      <c r="C159" s="15" t="s">
        <v>69</v>
      </c>
      <c r="D159" s="16">
        <v>400</v>
      </c>
      <c r="E159" s="15">
        <f>E158+0.22</f>
        <v>7.41</v>
      </c>
      <c r="F159" s="16">
        <f t="shared" si="27"/>
        <v>10000</v>
      </c>
      <c r="G159" s="17">
        <f t="shared" si="28"/>
        <v>10.172095476600003</v>
      </c>
      <c r="H159" s="15">
        <f t="shared" si="29"/>
        <v>101720.95476600002</v>
      </c>
      <c r="I159" s="15">
        <f t="shared" si="30"/>
        <v>-27620.954766000024</v>
      </c>
      <c r="J159" s="33">
        <f t="shared" si="31"/>
        <v>-0.27153652685957935</v>
      </c>
      <c r="K159" s="15">
        <f t="shared" si="32"/>
        <v>74100</v>
      </c>
      <c r="L159" s="15">
        <f t="shared" si="24"/>
        <v>2280.0315540000011</v>
      </c>
      <c r="M159" s="15"/>
      <c r="N159" s="15"/>
      <c r="O159" s="15"/>
      <c r="P159" s="17"/>
      <c r="Q159" s="31">
        <f t="shared" si="25"/>
        <v>2956.0315540000011</v>
      </c>
      <c r="R159" s="34">
        <f t="shared" si="26"/>
        <v>7.9684460000000001</v>
      </c>
      <c r="S159" s="22"/>
      <c r="T159" s="273"/>
      <c r="U159" s="273"/>
      <c r="V159" s="22"/>
      <c r="W159" s="272"/>
      <c r="X159" s="272"/>
      <c r="Y159" s="272"/>
      <c r="Z159" s="274"/>
      <c r="AA159" s="22"/>
      <c r="AB159" s="275"/>
      <c r="AC159" s="40"/>
      <c r="AD159" s="40"/>
    </row>
    <row r="160" spans="1:30" s="1" customFormat="1" x14ac:dyDescent="0.25">
      <c r="A160" s="9">
        <v>44004</v>
      </c>
      <c r="B160" s="283"/>
      <c r="C160" s="15" t="s">
        <v>69</v>
      </c>
      <c r="D160" s="16">
        <v>400</v>
      </c>
      <c r="E160" s="15">
        <v>7.79</v>
      </c>
      <c r="F160" s="16">
        <f t="shared" si="27"/>
        <v>9600</v>
      </c>
      <c r="G160" s="17">
        <f t="shared" si="28"/>
        <v>10.272195358333336</v>
      </c>
      <c r="H160" s="15">
        <f t="shared" si="29"/>
        <v>98613.07544000003</v>
      </c>
      <c r="I160" s="15">
        <f t="shared" si="30"/>
        <v>-23829.07544000003</v>
      </c>
      <c r="J160" s="33">
        <f t="shared" si="31"/>
        <v>-0.24164214870773956</v>
      </c>
      <c r="K160" s="15">
        <f t="shared" si="32"/>
        <v>74784</v>
      </c>
      <c r="L160" s="15">
        <f t="shared" si="24"/>
        <v>3791.8793259999948</v>
      </c>
      <c r="M160" s="15"/>
      <c r="N160" s="15"/>
      <c r="O160" s="15"/>
      <c r="P160" s="17"/>
      <c r="Q160" s="31">
        <f t="shared" si="25"/>
        <v>3107.8793259999948</v>
      </c>
      <c r="R160" s="34">
        <f t="shared" si="26"/>
        <v>8.1206739999999993</v>
      </c>
      <c r="S160" s="22"/>
      <c r="T160" s="273"/>
      <c r="U160" s="273"/>
      <c r="V160" s="22"/>
      <c r="W160" s="272"/>
      <c r="X160" s="272"/>
      <c r="Y160" s="272"/>
      <c r="Z160" s="274"/>
      <c r="AA160" s="22"/>
      <c r="AB160" s="275"/>
      <c r="AC160" s="40"/>
      <c r="AD160" s="40"/>
    </row>
    <row r="161" spans="1:30" s="1" customFormat="1" x14ac:dyDescent="0.25">
      <c r="A161" s="9">
        <v>44005</v>
      </c>
      <c r="B161" s="283"/>
      <c r="C161" s="15" t="s">
        <v>69</v>
      </c>
      <c r="D161" s="16">
        <v>400</v>
      </c>
      <c r="E161" s="15">
        <v>8.15</v>
      </c>
      <c r="F161" s="16">
        <f t="shared" si="27"/>
        <v>9200</v>
      </c>
      <c r="G161" s="17">
        <f t="shared" si="28"/>
        <v>10.36536307934783</v>
      </c>
      <c r="H161" s="15">
        <f t="shared" si="29"/>
        <v>95361.340330000035</v>
      </c>
      <c r="I161" s="15">
        <f t="shared" si="30"/>
        <v>-20381.340330000035</v>
      </c>
      <c r="J161" s="33">
        <f t="shared" si="31"/>
        <v>-0.21372749438577468</v>
      </c>
      <c r="K161" s="15">
        <f t="shared" si="32"/>
        <v>74980</v>
      </c>
      <c r="L161" s="15">
        <f t="shared" si="24"/>
        <v>3447.7351099999942</v>
      </c>
      <c r="M161" s="15"/>
      <c r="N161" s="15"/>
      <c r="O161" s="15"/>
      <c r="P161" s="17"/>
      <c r="Q161" s="31">
        <f t="shared" si="25"/>
        <v>3251.7351099999942</v>
      </c>
      <c r="R161" s="34">
        <f t="shared" si="26"/>
        <v>8.2648899999999994</v>
      </c>
      <c r="S161" s="22"/>
      <c r="T161" s="273"/>
      <c r="U161" s="273"/>
      <c r="V161" s="22"/>
      <c r="W161" s="272"/>
      <c r="X161" s="272"/>
      <c r="Y161" s="272"/>
      <c r="Z161" s="274"/>
      <c r="AA161" s="22"/>
      <c r="AB161" s="275"/>
      <c r="AC161" s="40"/>
      <c r="AD161" s="40"/>
    </row>
    <row r="162" spans="1:30" s="1" customFormat="1" x14ac:dyDescent="0.25">
      <c r="A162" s="9">
        <v>44005</v>
      </c>
      <c r="B162" s="283" t="s">
        <v>1042</v>
      </c>
      <c r="C162" s="15" t="s">
        <v>69</v>
      </c>
      <c r="D162" s="16">
        <v>400</v>
      </c>
      <c r="E162" s="15">
        <v>8.66</v>
      </c>
      <c r="F162" s="16">
        <f t="shared" si="27"/>
        <v>8800</v>
      </c>
      <c r="G162" s="17">
        <f t="shared" si="28"/>
        <v>10.443841991590913</v>
      </c>
      <c r="H162" s="15">
        <f t="shared" si="29"/>
        <v>91905.809526000041</v>
      </c>
      <c r="I162" s="15">
        <f t="shared" si="30"/>
        <v>-15697.809526000041</v>
      </c>
      <c r="J162" s="33">
        <f t="shared" si="31"/>
        <v>-0.17080323438703998</v>
      </c>
      <c r="K162" s="15">
        <f t="shared" si="32"/>
        <v>76208</v>
      </c>
      <c r="L162" s="15">
        <f t="shared" si="24"/>
        <v>4683.5308039999945</v>
      </c>
      <c r="M162" s="15"/>
      <c r="N162" s="15"/>
      <c r="O162" s="15"/>
      <c r="P162" s="17"/>
      <c r="Q162" s="31">
        <f t="shared" si="25"/>
        <v>3455.5308039999945</v>
      </c>
      <c r="R162" s="34">
        <f t="shared" si="26"/>
        <v>8.4691960000000002</v>
      </c>
      <c r="S162" s="22"/>
      <c r="T162" s="273"/>
      <c r="U162" s="273"/>
      <c r="V162" s="22"/>
      <c r="W162" s="272"/>
      <c r="X162" s="272"/>
      <c r="Y162" s="272"/>
      <c r="Z162" s="274"/>
      <c r="AA162" s="22"/>
      <c r="AB162" s="275"/>
      <c r="AC162" s="40"/>
      <c r="AD162" s="40"/>
    </row>
    <row r="163" spans="1:30" s="1" customFormat="1" x14ac:dyDescent="0.25">
      <c r="A163" s="9">
        <v>44006</v>
      </c>
      <c r="B163" s="283" t="s">
        <v>1090</v>
      </c>
      <c r="C163" s="15" t="s">
        <v>69</v>
      </c>
      <c r="D163" s="16">
        <v>400</v>
      </c>
      <c r="E163" s="15">
        <v>9.16</v>
      </c>
      <c r="F163" s="16">
        <f t="shared" si="27"/>
        <v>8400</v>
      </c>
      <c r="G163" s="17">
        <f t="shared" si="28"/>
        <v>10.506009407380958</v>
      </c>
      <c r="H163" s="15">
        <f t="shared" si="29"/>
        <v>88250.479022000043</v>
      </c>
      <c r="I163" s="15">
        <f t="shared" si="30"/>
        <v>-11306.479022000043</v>
      </c>
      <c r="J163" s="33">
        <f t="shared" si="31"/>
        <v>-0.1281180470327129</v>
      </c>
      <c r="K163" s="15">
        <f t="shared" si="32"/>
        <v>76944</v>
      </c>
      <c r="L163" s="15">
        <f t="shared" si="24"/>
        <v>4391.3305039999977</v>
      </c>
      <c r="M163" s="15"/>
      <c r="N163" s="15"/>
      <c r="O163" s="15"/>
      <c r="P163" s="17"/>
      <c r="Q163" s="31">
        <f t="shared" si="25"/>
        <v>3655.3305039999977</v>
      </c>
      <c r="R163" s="34">
        <f t="shared" si="26"/>
        <v>8.6694960000000005</v>
      </c>
      <c r="S163" s="22"/>
      <c r="T163" s="273"/>
      <c r="U163" s="273"/>
      <c r="V163" s="22"/>
      <c r="W163" s="272"/>
      <c r="X163" s="272"/>
      <c r="Y163" s="272"/>
      <c r="Z163" s="274"/>
      <c r="AA163" s="22"/>
      <c r="AB163" s="275"/>
      <c r="AC163" s="40"/>
      <c r="AD163" s="40"/>
    </row>
    <row r="164" spans="1:30" s="1" customFormat="1" x14ac:dyDescent="0.25">
      <c r="A164" s="9">
        <v>44006</v>
      </c>
      <c r="B164" s="283"/>
      <c r="C164" s="306" t="s">
        <v>922</v>
      </c>
      <c r="D164" s="16">
        <v>400</v>
      </c>
      <c r="E164" s="15">
        <v>8.58</v>
      </c>
      <c r="F164" s="16">
        <f t="shared" si="27"/>
        <v>8800</v>
      </c>
      <c r="G164" s="17">
        <f t="shared" si="28"/>
        <v>10.419032292045459</v>
      </c>
      <c r="H164" s="15">
        <f t="shared" si="29"/>
        <v>91687.48417000004</v>
      </c>
      <c r="I164" s="15">
        <f t="shared" si="30"/>
        <v>-16183.48417000004</v>
      </c>
      <c r="J164" s="33">
        <f t="shared" si="31"/>
        <v>-0.17650701528677396</v>
      </c>
      <c r="K164" s="15">
        <f t="shared" si="32"/>
        <v>75504</v>
      </c>
      <c r="L164" s="15">
        <f t="shared" si="24"/>
        <v>-4877.0051479999966</v>
      </c>
      <c r="M164" s="15"/>
      <c r="N164" s="15"/>
      <c r="O164" s="15"/>
      <c r="P164" s="17"/>
      <c r="Q164" s="31">
        <f t="shared" si="25"/>
        <v>-3437.0051479999966</v>
      </c>
      <c r="R164" s="34">
        <f t="shared" si="26"/>
        <v>5.0051480000000002</v>
      </c>
      <c r="S164" s="22"/>
      <c r="T164" s="273"/>
      <c r="U164" s="273"/>
      <c r="V164" s="22"/>
      <c r="W164" s="272"/>
      <c r="X164" s="272"/>
      <c r="Y164" s="272"/>
      <c r="Z164" s="274"/>
      <c r="AA164" s="22"/>
      <c r="AB164" s="275"/>
      <c r="AC164" s="40"/>
      <c r="AD164" s="40"/>
    </row>
    <row r="165" spans="1:30" s="1" customFormat="1" x14ac:dyDescent="0.25">
      <c r="A165" s="9">
        <v>44006</v>
      </c>
      <c r="B165" s="283" t="s">
        <v>1091</v>
      </c>
      <c r="C165" s="15" t="s">
        <v>69</v>
      </c>
      <c r="D165" s="16">
        <v>400</v>
      </c>
      <c r="E165" s="15">
        <v>8.75</v>
      </c>
      <c r="F165" s="16">
        <f t="shared" si="27"/>
        <v>8400</v>
      </c>
      <c r="G165" s="17">
        <f t="shared" si="28"/>
        <v>10.499522550000005</v>
      </c>
      <c r="H165" s="15">
        <f t="shared" si="29"/>
        <v>88195.989420000042</v>
      </c>
      <c r="I165" s="15">
        <f t="shared" si="30"/>
        <v>-14695.989420000042</v>
      </c>
      <c r="J165" s="33">
        <f t="shared" si="31"/>
        <v>-0.16662877208640353</v>
      </c>
      <c r="K165" s="15">
        <f t="shared" si="32"/>
        <v>73500</v>
      </c>
      <c r="L165" s="15">
        <f t="shared" si="24"/>
        <v>1487.494749999998</v>
      </c>
      <c r="M165" s="15"/>
      <c r="N165" s="15"/>
      <c r="O165" s="15"/>
      <c r="P165" s="17"/>
      <c r="Q165" s="31">
        <f t="shared" si="25"/>
        <v>3491.494749999998</v>
      </c>
      <c r="R165" s="34">
        <f t="shared" si="26"/>
        <v>8.5052500000000002</v>
      </c>
      <c r="S165" s="22"/>
      <c r="T165" s="273"/>
      <c r="U165" s="273"/>
      <c r="V165" s="22"/>
      <c r="W165" s="272"/>
      <c r="X165" s="272"/>
      <c r="Y165" s="272"/>
      <c r="Z165" s="274"/>
      <c r="AA165" s="22"/>
      <c r="AB165" s="275"/>
      <c r="AC165" s="40"/>
      <c r="AD165" s="40"/>
    </row>
    <row r="166" spans="1:30" s="1" customFormat="1" x14ac:dyDescent="0.25">
      <c r="A166" s="9">
        <v>44011</v>
      </c>
      <c r="B166" s="283" t="s">
        <v>1031</v>
      </c>
      <c r="C166" s="15" t="s">
        <v>63</v>
      </c>
      <c r="D166" s="16">
        <v>400</v>
      </c>
      <c r="E166" s="15">
        <v>7.69</v>
      </c>
      <c r="F166" s="16">
        <f t="shared" si="27"/>
        <v>8800</v>
      </c>
      <c r="G166" s="17">
        <f t="shared" si="28"/>
        <v>10.372385685681824</v>
      </c>
      <c r="H166" s="15">
        <f t="shared" si="29"/>
        <v>91276.994034000047</v>
      </c>
      <c r="I166" s="15">
        <f t="shared" si="30"/>
        <v>-23604.994034000047</v>
      </c>
      <c r="J166" s="33">
        <f t="shared" si="31"/>
        <v>-0.25860836329916109</v>
      </c>
      <c r="K166" s="15">
        <f t="shared" si="32"/>
        <v>67672</v>
      </c>
      <c r="L166" s="15">
        <f t="shared" si="24"/>
        <v>-8909.0046140000049</v>
      </c>
      <c r="M166" s="15"/>
      <c r="N166" s="15"/>
      <c r="O166" s="15"/>
      <c r="P166" s="17"/>
      <c r="Q166" s="31">
        <f t="shared" si="25"/>
        <v>-3081.0046140000049</v>
      </c>
      <c r="R166" s="34">
        <f t="shared" si="26"/>
        <v>5.0046140000000001</v>
      </c>
      <c r="S166" s="22"/>
      <c r="T166" s="273"/>
      <c r="U166" s="273"/>
      <c r="V166" s="22"/>
      <c r="W166" s="272"/>
      <c r="X166" s="272"/>
      <c r="Y166" s="272"/>
      <c r="Z166" s="274"/>
      <c r="AA166" s="22"/>
      <c r="AB166" s="275"/>
      <c r="AC166" s="40"/>
      <c r="AD166" s="40"/>
    </row>
    <row r="167" spans="1:30" s="1" customFormat="1" x14ac:dyDescent="0.25">
      <c r="A167" s="9">
        <v>44011</v>
      </c>
      <c r="B167" s="283" t="s">
        <v>1092</v>
      </c>
      <c r="C167" s="15" t="s">
        <v>69</v>
      </c>
      <c r="D167" s="16">
        <v>400</v>
      </c>
      <c r="E167" s="15">
        <v>8.49</v>
      </c>
      <c r="F167" s="16">
        <f t="shared" si="27"/>
        <v>8400</v>
      </c>
      <c r="G167" s="17">
        <f t="shared" si="28"/>
        <v>10.463023229523815</v>
      </c>
      <c r="H167" s="15">
        <f t="shared" si="29"/>
        <v>87889.395128000047</v>
      </c>
      <c r="I167" s="15">
        <f t="shared" si="30"/>
        <v>-16573.395128000047</v>
      </c>
      <c r="J167" s="33">
        <f t="shared" si="31"/>
        <v>-0.18857104550398759</v>
      </c>
      <c r="K167" s="15">
        <f t="shared" si="32"/>
        <v>71316</v>
      </c>
      <c r="L167" s="15">
        <f t="shared" si="24"/>
        <v>7031.5989059999993</v>
      </c>
      <c r="M167" s="15"/>
      <c r="N167" s="15"/>
      <c r="O167" s="15"/>
      <c r="P167" s="17"/>
      <c r="Q167" s="31">
        <f t="shared" si="25"/>
        <v>3387.5989059999993</v>
      </c>
      <c r="R167" s="34">
        <f t="shared" si="26"/>
        <v>8.4010940000000005</v>
      </c>
      <c r="S167" s="22"/>
      <c r="T167" s="273"/>
      <c r="U167" s="273"/>
      <c r="V167" s="22"/>
      <c r="W167" s="272"/>
      <c r="X167" s="272"/>
      <c r="Y167" s="272"/>
      <c r="Z167" s="274"/>
      <c r="AA167" s="22"/>
      <c r="AB167" s="275"/>
      <c r="AC167" s="40"/>
      <c r="AD167" s="40"/>
    </row>
    <row r="168" spans="1:30" s="1" customFormat="1" x14ac:dyDescent="0.25">
      <c r="A168" s="9">
        <v>44013</v>
      </c>
      <c r="B168" s="283" t="s">
        <v>1033</v>
      </c>
      <c r="C168" s="306" t="s">
        <v>922</v>
      </c>
      <c r="D168" s="16">
        <v>400</v>
      </c>
      <c r="E168" s="15">
        <v>7.9</v>
      </c>
      <c r="F168" s="16">
        <f t="shared" si="27"/>
        <v>8800</v>
      </c>
      <c r="G168" s="17">
        <f t="shared" si="28"/>
        <v>10.347090894090915</v>
      </c>
      <c r="H168" s="15">
        <f t="shared" si="29"/>
        <v>91054.399868000051</v>
      </c>
      <c r="I168" s="15">
        <f t="shared" si="30"/>
        <v>-21534.399868000051</v>
      </c>
      <c r="J168" s="33">
        <f t="shared" si="31"/>
        <v>-0.23650037668929877</v>
      </c>
      <c r="K168" s="15">
        <f t="shared" si="32"/>
        <v>69520</v>
      </c>
      <c r="L168" s="15">
        <f t="shared" si="24"/>
        <v>-4961.0047400000039</v>
      </c>
      <c r="M168" s="15"/>
      <c r="N168" s="15"/>
      <c r="O168" s="15"/>
      <c r="P168" s="17"/>
      <c r="Q168" s="31">
        <f t="shared" si="25"/>
        <v>-3165.0047400000039</v>
      </c>
      <c r="R168" s="34">
        <f t="shared" si="26"/>
        <v>5.00474</v>
      </c>
      <c r="S168" s="22"/>
      <c r="T168" s="273"/>
      <c r="U168" s="273"/>
      <c r="V168" s="22"/>
      <c r="W168" s="272"/>
      <c r="X168" s="272"/>
      <c r="Y168" s="272"/>
      <c r="Z168" s="274"/>
      <c r="AA168" s="22"/>
      <c r="AB168" s="275"/>
      <c r="AC168" s="40"/>
      <c r="AD168" s="40"/>
    </row>
    <row r="169" spans="1:30" s="1" customFormat="1" x14ac:dyDescent="0.25">
      <c r="A169" s="9">
        <v>44014</v>
      </c>
      <c r="B169" s="283"/>
      <c r="C169" s="15" t="s">
        <v>69</v>
      </c>
      <c r="D169" s="16">
        <v>400</v>
      </c>
      <c r="E169" s="15">
        <v>8.18</v>
      </c>
      <c r="F169" s="16">
        <f t="shared" si="27"/>
        <v>8400</v>
      </c>
      <c r="G169" s="17">
        <f t="shared" si="28"/>
        <v>10.451271044761912</v>
      </c>
      <c r="H169" s="15">
        <f t="shared" si="29"/>
        <v>87790.676776000051</v>
      </c>
      <c r="I169" s="15">
        <f t="shared" si="30"/>
        <v>-19078.676776000051</v>
      </c>
      <c r="J169" s="33">
        <f t="shared" si="31"/>
        <v>-0.21732007858510699</v>
      </c>
      <c r="K169" s="15">
        <f t="shared" si="32"/>
        <v>68712</v>
      </c>
      <c r="L169" s="15">
        <f t="shared" si="24"/>
        <v>2455.7230920000002</v>
      </c>
      <c r="M169" s="15"/>
      <c r="N169" s="15"/>
      <c r="O169" s="15"/>
      <c r="P169" s="17"/>
      <c r="Q169" s="31">
        <f t="shared" si="25"/>
        <v>3263.7230920000002</v>
      </c>
      <c r="R169" s="34">
        <f t="shared" si="26"/>
        <v>8.2769080000000006</v>
      </c>
      <c r="S169" s="22"/>
      <c r="T169" s="273"/>
      <c r="U169" s="273"/>
      <c r="V169" s="22"/>
      <c r="W169" s="272"/>
      <c r="X169" s="272"/>
      <c r="Y169" s="272"/>
      <c r="Z169" s="274"/>
      <c r="AA169" s="22"/>
      <c r="AB169" s="275"/>
      <c r="AC169" s="40"/>
      <c r="AD169" s="40"/>
    </row>
    <row r="170" spans="1:30" s="1" customFormat="1" x14ac:dyDescent="0.25">
      <c r="A170" s="9">
        <v>44015</v>
      </c>
      <c r="B170" s="283" t="s">
        <v>1093</v>
      </c>
      <c r="C170" s="306" t="s">
        <v>922</v>
      </c>
      <c r="D170" s="16">
        <v>400</v>
      </c>
      <c r="E170" s="15">
        <v>7.99</v>
      </c>
      <c r="F170" s="16">
        <f t="shared" si="27"/>
        <v>8800</v>
      </c>
      <c r="G170" s="17">
        <f t="shared" si="28"/>
        <v>10.339963814772732</v>
      </c>
      <c r="H170" s="15">
        <f t="shared" si="29"/>
        <v>90991.681570000044</v>
      </c>
      <c r="I170" s="15">
        <f t="shared" si="30"/>
        <v>-20679.681570000044</v>
      </c>
      <c r="J170" s="33">
        <f t="shared" si="31"/>
        <v>-0.22727002307448432</v>
      </c>
      <c r="K170" s="15">
        <f t="shared" si="32"/>
        <v>70312</v>
      </c>
      <c r="L170" s="15">
        <f t="shared" si="24"/>
        <v>-1601.0047939999931</v>
      </c>
      <c r="M170" s="15"/>
      <c r="N170" s="15"/>
      <c r="O170" s="15"/>
      <c r="P170" s="17"/>
      <c r="Q170" s="31">
        <f t="shared" si="25"/>
        <v>-3201.0047939999931</v>
      </c>
      <c r="R170" s="34">
        <f t="shared" si="26"/>
        <v>5.0047940000000004</v>
      </c>
      <c r="S170" s="22"/>
      <c r="T170" s="273"/>
      <c r="U170" s="273"/>
      <c r="V170" s="22"/>
      <c r="W170" s="272"/>
      <c r="X170" s="272"/>
      <c r="Y170" s="272"/>
      <c r="Z170" s="274"/>
      <c r="AA170" s="22"/>
      <c r="AB170" s="275"/>
      <c r="AC170" s="40"/>
      <c r="AD170" s="40"/>
    </row>
    <row r="171" spans="1:30" s="1" customFormat="1" x14ac:dyDescent="0.25">
      <c r="A171" s="9">
        <v>44018</v>
      </c>
      <c r="B171" s="283"/>
      <c r="C171" s="306" t="s">
        <v>922</v>
      </c>
      <c r="D171" s="16">
        <v>500</v>
      </c>
      <c r="E171" s="15">
        <v>7.95</v>
      </c>
      <c r="F171" s="16">
        <f t="shared" si="27"/>
        <v>9300</v>
      </c>
      <c r="G171" s="17">
        <f t="shared" si="28"/>
        <v>10.212009283870973</v>
      </c>
      <c r="H171" s="15">
        <f t="shared" si="29"/>
        <v>94971.686340000044</v>
      </c>
      <c r="I171" s="15">
        <f t="shared" si="30"/>
        <v>-21036.686340000044</v>
      </c>
      <c r="J171" s="33">
        <f t="shared" si="31"/>
        <v>-0.22150482054923609</v>
      </c>
      <c r="K171" s="15">
        <f t="shared" si="32"/>
        <v>73935</v>
      </c>
      <c r="L171" s="15">
        <f t="shared" si="24"/>
        <v>-357.00476999999955</v>
      </c>
      <c r="M171" s="15"/>
      <c r="N171" s="15"/>
      <c r="O171" s="15"/>
      <c r="P171" s="17"/>
      <c r="Q171" s="31">
        <f t="shared" si="25"/>
        <v>-3980.0047699999996</v>
      </c>
      <c r="R171" s="34">
        <f t="shared" si="26"/>
        <v>5.0047699999999997</v>
      </c>
      <c r="S171" s="22"/>
      <c r="T171" s="273"/>
      <c r="U171" s="273"/>
      <c r="V171" s="22"/>
      <c r="W171" s="272"/>
      <c r="X171" s="272"/>
      <c r="Y171" s="272"/>
      <c r="Z171" s="274"/>
      <c r="AA171" s="22"/>
      <c r="AB171" s="275"/>
      <c r="AC171" s="40"/>
      <c r="AD171" s="40"/>
    </row>
    <row r="172" spans="1:30" s="1" customFormat="1" x14ac:dyDescent="0.25">
      <c r="A172" s="9">
        <v>44019</v>
      </c>
      <c r="B172" s="283" t="s">
        <v>1094</v>
      </c>
      <c r="C172" s="15" t="s">
        <v>69</v>
      </c>
      <c r="D172" s="16">
        <v>400</v>
      </c>
      <c r="E172" s="15">
        <v>8.35</v>
      </c>
      <c r="F172" s="16">
        <f t="shared" si="27"/>
        <v>8900</v>
      </c>
      <c r="G172" s="17">
        <f t="shared" si="28"/>
        <v>10.296632735955061</v>
      </c>
      <c r="H172" s="15">
        <f t="shared" si="29"/>
        <v>91640.031350000048</v>
      </c>
      <c r="I172" s="15">
        <f t="shared" si="30"/>
        <v>-17325.031350000048</v>
      </c>
      <c r="J172" s="33">
        <f t="shared" si="31"/>
        <v>-0.18905527524134833</v>
      </c>
      <c r="K172" s="15">
        <f t="shared" si="32"/>
        <v>74315</v>
      </c>
      <c r="L172" s="15">
        <f t="shared" si="24"/>
        <v>3711.6549899999955</v>
      </c>
      <c r="M172" s="15"/>
      <c r="N172" s="15"/>
      <c r="O172" s="15"/>
      <c r="P172" s="17"/>
      <c r="Q172" s="31">
        <f t="shared" si="25"/>
        <v>3331.6549899999955</v>
      </c>
      <c r="R172" s="34">
        <f t="shared" si="26"/>
        <v>8.3450100000000003</v>
      </c>
      <c r="S172" s="22"/>
      <c r="T172" s="273"/>
      <c r="U172" s="273"/>
      <c r="V172" s="22"/>
      <c r="W172" s="272"/>
      <c r="X172" s="272"/>
      <c r="Y172" s="272"/>
      <c r="Z172" s="274"/>
      <c r="AA172" s="22"/>
      <c r="AB172" s="275"/>
      <c r="AC172" s="40"/>
      <c r="AD172" s="40"/>
    </row>
    <row r="173" spans="1:30" s="1" customFormat="1" x14ac:dyDescent="0.25">
      <c r="A173" s="9">
        <v>44019</v>
      </c>
      <c r="B173" s="283" t="s">
        <v>1095</v>
      </c>
      <c r="C173" s="15" t="s">
        <v>69</v>
      </c>
      <c r="D173" s="16">
        <v>400</v>
      </c>
      <c r="E173" s="15">
        <v>8.69</v>
      </c>
      <c r="F173" s="16">
        <f t="shared" si="27"/>
        <v>8500</v>
      </c>
      <c r="G173" s="17">
        <f t="shared" si="28"/>
        <v>10.3732367722353</v>
      </c>
      <c r="H173" s="15">
        <f t="shared" si="29"/>
        <v>88172.512564000048</v>
      </c>
      <c r="I173" s="15">
        <f t="shared" si="30"/>
        <v>-14307.512564000048</v>
      </c>
      <c r="J173" s="33">
        <f t="shared" si="31"/>
        <v>-0.16226726615752207</v>
      </c>
      <c r="K173" s="15">
        <f t="shared" si="32"/>
        <v>73865</v>
      </c>
      <c r="L173" s="15">
        <f t="shared" si="24"/>
        <v>3017.5187860000005</v>
      </c>
      <c r="M173" s="15"/>
      <c r="N173" s="15"/>
      <c r="O173" s="15"/>
      <c r="P173" s="17"/>
      <c r="Q173" s="31">
        <f t="shared" si="25"/>
        <v>3467.5187860000005</v>
      </c>
      <c r="R173" s="34">
        <f t="shared" si="26"/>
        <v>8.4812139999999996</v>
      </c>
      <c r="S173" s="22"/>
      <c r="T173" s="273"/>
      <c r="U173" s="273"/>
      <c r="V173" s="22"/>
      <c r="W173" s="272"/>
      <c r="X173" s="272"/>
      <c r="Y173" s="272"/>
      <c r="Z173" s="274"/>
      <c r="AA173" s="22"/>
      <c r="AB173" s="275"/>
      <c r="AC173" s="40"/>
      <c r="AD173" s="40"/>
    </row>
    <row r="174" spans="1:30" s="1" customFormat="1" x14ac:dyDescent="0.25">
      <c r="A174" s="9">
        <v>44022</v>
      </c>
      <c r="B174" s="353"/>
      <c r="C174" s="15" t="s">
        <v>69</v>
      </c>
      <c r="D174" s="16">
        <v>1500</v>
      </c>
      <c r="E174" s="15">
        <v>8.32</v>
      </c>
      <c r="F174" s="16">
        <f t="shared" si="27"/>
        <v>7000</v>
      </c>
      <c r="G174" s="17">
        <f t="shared" si="28"/>
        <v>10.815891079428578</v>
      </c>
      <c r="H174" s="15">
        <f t="shared" si="29"/>
        <v>75711.237556000051</v>
      </c>
      <c r="I174" s="15">
        <f t="shared" si="30"/>
        <v>-17471.237556000051</v>
      </c>
      <c r="J174" s="33">
        <f t="shared" si="31"/>
        <v>-0.23076148429191096</v>
      </c>
      <c r="K174" s="15">
        <f t="shared" si="32"/>
        <v>58240</v>
      </c>
      <c r="L174" s="15">
        <f t="shared" si="24"/>
        <v>-3163.7249920000031</v>
      </c>
      <c r="M174" s="15"/>
      <c r="N174" s="15"/>
      <c r="O174" s="15"/>
      <c r="P174" s="17"/>
      <c r="Q174" s="31">
        <f t="shared" si="25"/>
        <v>12461.275007999997</v>
      </c>
      <c r="R174" s="34">
        <f t="shared" si="26"/>
        <v>18.724992</v>
      </c>
      <c r="S174" s="22"/>
      <c r="T174" s="273"/>
      <c r="U174" s="273"/>
      <c r="V174" s="22"/>
      <c r="W174" s="272"/>
      <c r="X174" s="272"/>
      <c r="Y174" s="272"/>
      <c r="Z174" s="274"/>
      <c r="AA174" s="22"/>
      <c r="AB174" s="275"/>
      <c r="AC174" s="40"/>
      <c r="AD174" s="40"/>
    </row>
    <row r="175" spans="1:30" s="1" customFormat="1" x14ac:dyDescent="0.25">
      <c r="A175" s="9">
        <v>44025</v>
      </c>
      <c r="B175" s="283"/>
      <c r="C175" s="15" t="s">
        <v>69</v>
      </c>
      <c r="D175" s="16">
        <v>400</v>
      </c>
      <c r="E175" s="15">
        <v>8.6199999999999992</v>
      </c>
      <c r="F175" s="16">
        <f t="shared" si="27"/>
        <v>6600</v>
      </c>
      <c r="G175" s="17">
        <f t="shared" si="28"/>
        <v>10.950256170909098</v>
      </c>
      <c r="H175" s="15">
        <f t="shared" si="29"/>
        <v>72271.690728000045</v>
      </c>
      <c r="I175" s="15">
        <f t="shared" si="30"/>
        <v>-15379.690728000052</v>
      </c>
      <c r="J175" s="33">
        <f t="shared" si="31"/>
        <v>-0.21280380427078532</v>
      </c>
      <c r="K175" s="15">
        <f t="shared" si="32"/>
        <v>56891.999999999993</v>
      </c>
      <c r="L175" s="15">
        <f t="shared" si="24"/>
        <v>2091.5468279999986</v>
      </c>
      <c r="M175" s="15"/>
      <c r="N175" s="15"/>
      <c r="O175" s="15"/>
      <c r="P175" s="17"/>
      <c r="Q175" s="31">
        <f t="shared" si="25"/>
        <v>3439.5468280000059</v>
      </c>
      <c r="R175" s="34">
        <f t="shared" si="26"/>
        <v>8.4531719999999986</v>
      </c>
      <c r="S175" s="22"/>
      <c r="T175" s="273"/>
      <c r="U175" s="273"/>
      <c r="V175" s="22"/>
      <c r="W175" s="272"/>
      <c r="X175" s="272"/>
      <c r="Y175" s="272"/>
      <c r="Z175" s="274"/>
      <c r="AA175" s="22"/>
      <c r="AB175" s="275"/>
      <c r="AC175" s="40"/>
      <c r="AD175" s="40"/>
    </row>
    <row r="176" spans="1:30" s="1" customFormat="1" x14ac:dyDescent="0.25">
      <c r="A176" s="9">
        <v>44025</v>
      </c>
      <c r="B176" s="337"/>
      <c r="C176" s="15" t="s">
        <v>69</v>
      </c>
      <c r="D176" s="16">
        <v>600</v>
      </c>
      <c r="E176" s="15">
        <v>8.6999999999999993</v>
      </c>
      <c r="F176" s="16">
        <f t="shared" si="27"/>
        <v>6000</v>
      </c>
      <c r="G176" s="17">
        <f t="shared" si="28"/>
        <v>11.176985991333339</v>
      </c>
      <c r="H176" s="15">
        <f t="shared" si="29"/>
        <v>67061.915948000038</v>
      </c>
      <c r="I176" s="15">
        <f t="shared" si="30"/>
        <v>-14861.915948000045</v>
      </c>
      <c r="J176" s="33">
        <f t="shared" si="31"/>
        <v>-0.22161484261087921</v>
      </c>
      <c r="K176" s="15">
        <f t="shared" si="32"/>
        <v>52199.999999999993</v>
      </c>
      <c r="L176" s="15">
        <f t="shared" si="24"/>
        <v>517.77478000000701</v>
      </c>
      <c r="M176" s="15"/>
      <c r="N176" s="15"/>
      <c r="O176" s="15"/>
      <c r="P176" s="17"/>
      <c r="Q176" s="31">
        <f t="shared" si="25"/>
        <v>5209.774780000007</v>
      </c>
      <c r="R176" s="34">
        <f t="shared" si="26"/>
        <v>10.22522</v>
      </c>
      <c r="S176" s="15"/>
      <c r="T176" s="273"/>
      <c r="U176" s="273"/>
      <c r="V176" s="22"/>
      <c r="W176" s="272"/>
      <c r="X176" s="272"/>
      <c r="Y176" s="272"/>
      <c r="Z176" s="274"/>
      <c r="AA176" s="22"/>
      <c r="AB176" s="275"/>
      <c r="AC176" s="40"/>
      <c r="AD176" s="40"/>
    </row>
    <row r="177" spans="1:30" s="1" customFormat="1" x14ac:dyDescent="0.25">
      <c r="A177" s="9">
        <v>44025</v>
      </c>
      <c r="B177" s="283"/>
      <c r="C177" s="15" t="s">
        <v>69</v>
      </c>
      <c r="D177" s="16">
        <v>400</v>
      </c>
      <c r="E177" s="15">
        <v>8.75</v>
      </c>
      <c r="F177" s="16">
        <f t="shared" si="27"/>
        <v>5600</v>
      </c>
      <c r="G177" s="17">
        <f t="shared" si="28"/>
        <v>11.351860928214293</v>
      </c>
      <c r="H177" s="15">
        <f t="shared" si="29"/>
        <v>63570.42119800004</v>
      </c>
      <c r="I177" s="15">
        <f t="shared" si="30"/>
        <v>-14570.42119800004</v>
      </c>
      <c r="J177" s="33">
        <f t="shared" si="31"/>
        <v>-0.22920126881994665</v>
      </c>
      <c r="K177" s="15">
        <f t="shared" si="32"/>
        <v>49000</v>
      </c>
      <c r="L177" s="15">
        <f t="shared" si="24"/>
        <v>291.4947500000053</v>
      </c>
      <c r="M177" s="15"/>
      <c r="N177" s="15"/>
      <c r="O177" s="15"/>
      <c r="P177" s="17"/>
      <c r="Q177" s="31">
        <f t="shared" si="25"/>
        <v>3491.494749999998</v>
      </c>
      <c r="R177" s="34">
        <f t="shared" si="26"/>
        <v>8.5052500000000002</v>
      </c>
      <c r="S177" s="22"/>
      <c r="T177" s="273"/>
      <c r="U177" s="273"/>
      <c r="V177" s="22"/>
      <c r="W177" s="272"/>
      <c r="X177" s="272"/>
      <c r="Y177" s="272"/>
      <c r="Z177" s="274"/>
      <c r="AA177" s="22"/>
      <c r="AB177" s="275"/>
      <c r="AC177" s="40"/>
      <c r="AD177" s="40"/>
    </row>
    <row r="178" spans="1:30" s="1" customFormat="1" x14ac:dyDescent="0.25">
      <c r="A178" s="9">
        <v>44025</v>
      </c>
      <c r="B178" s="283" t="s">
        <v>1096</v>
      </c>
      <c r="C178" s="15" t="s">
        <v>69</v>
      </c>
      <c r="D178" s="16">
        <v>400</v>
      </c>
      <c r="E178" s="15">
        <v>8.83</v>
      </c>
      <c r="F178" s="16">
        <f t="shared" si="27"/>
        <v>5200</v>
      </c>
      <c r="G178" s="17">
        <f t="shared" si="28"/>
        <v>11.547492018461547</v>
      </c>
      <c r="H178" s="15">
        <f t="shared" si="29"/>
        <v>60046.958496000043</v>
      </c>
      <c r="I178" s="15">
        <f t="shared" si="30"/>
        <v>-14130.958496000043</v>
      </c>
      <c r="J178" s="33">
        <f t="shared" si="31"/>
        <v>-0.23533179448117028</v>
      </c>
      <c r="K178" s="15">
        <f t="shared" si="32"/>
        <v>45916</v>
      </c>
      <c r="L178" s="15">
        <f t="shared" si="24"/>
        <v>439.46270199999708</v>
      </c>
      <c r="M178" s="15"/>
      <c r="N178" s="15"/>
      <c r="O178" s="15"/>
      <c r="P178" s="17"/>
      <c r="Q178" s="31">
        <f t="shared" si="25"/>
        <v>3523.4627019999971</v>
      </c>
      <c r="R178" s="34">
        <f t="shared" si="26"/>
        <v>8.5372979999999998</v>
      </c>
      <c r="S178" s="22"/>
      <c r="T178" s="273"/>
      <c r="U178" s="273"/>
      <c r="V178" s="22"/>
      <c r="W178" s="272"/>
      <c r="X178" s="272"/>
      <c r="Y178" s="272"/>
      <c r="Z178" s="274"/>
      <c r="AA178" s="22"/>
      <c r="AB178" s="275"/>
      <c r="AC178" s="40"/>
      <c r="AD178" s="40"/>
    </row>
    <row r="179" spans="1:30" s="1" customFormat="1" x14ac:dyDescent="0.25">
      <c r="A179" s="9">
        <v>44026</v>
      </c>
      <c r="B179" s="337" t="s">
        <v>1097</v>
      </c>
      <c r="C179" s="306" t="s">
        <v>922</v>
      </c>
      <c r="D179" s="16">
        <v>400</v>
      </c>
      <c r="E179" s="15">
        <v>8.66</v>
      </c>
      <c r="F179" s="16">
        <f t="shared" si="27"/>
        <v>5600</v>
      </c>
      <c r="G179" s="17">
        <f t="shared" si="28"/>
        <v>11.342136373571435</v>
      </c>
      <c r="H179" s="15">
        <f t="shared" si="29"/>
        <v>63515.963692000041</v>
      </c>
      <c r="I179" s="15">
        <f t="shared" si="30"/>
        <v>-15019.963692000041</v>
      </c>
      <c r="J179" s="33">
        <f t="shared" si="31"/>
        <v>-0.23647541214732179</v>
      </c>
      <c r="K179" s="15">
        <f t="shared" si="32"/>
        <v>48496</v>
      </c>
      <c r="L179" s="15">
        <f t="shared" si="24"/>
        <v>-889.00519599999825</v>
      </c>
      <c r="M179" s="15"/>
      <c r="N179" s="15"/>
      <c r="O179" s="15"/>
      <c r="P179" s="17"/>
      <c r="Q179" s="31">
        <f t="shared" si="25"/>
        <v>-3469.0051959999983</v>
      </c>
      <c r="R179" s="34">
        <f t="shared" si="26"/>
        <v>5.0051959999999998</v>
      </c>
      <c r="S179" s="15"/>
      <c r="T179" s="273"/>
      <c r="U179" s="273"/>
      <c r="V179" s="22"/>
      <c r="W179" s="272"/>
      <c r="X179" s="272"/>
      <c r="Y179" s="272"/>
      <c r="Z179" s="274"/>
      <c r="AA179" s="22"/>
      <c r="AB179" s="275"/>
      <c r="AC179" s="40"/>
      <c r="AD179" s="40"/>
    </row>
    <row r="180" spans="1:30" s="1" customFormat="1" x14ac:dyDescent="0.25">
      <c r="A180" s="9">
        <v>44026</v>
      </c>
      <c r="B180" s="283"/>
      <c r="C180" s="15" t="s">
        <v>69</v>
      </c>
      <c r="D180" s="16">
        <v>400</v>
      </c>
      <c r="E180" s="15">
        <v>8.8000000000000007</v>
      </c>
      <c r="F180" s="16">
        <f t="shared" si="27"/>
        <v>5200</v>
      </c>
      <c r="G180" s="17">
        <f t="shared" si="28"/>
        <v>11.5393248023077</v>
      </c>
      <c r="H180" s="15">
        <f t="shared" si="29"/>
        <v>60004.488972000043</v>
      </c>
      <c r="I180" s="15">
        <f t="shared" si="30"/>
        <v>-14244.488972000036</v>
      </c>
      <c r="J180" s="33">
        <f t="shared" si="31"/>
        <v>-0.23739038888652075</v>
      </c>
      <c r="K180" s="15">
        <f t="shared" si="32"/>
        <v>45760.000000000007</v>
      </c>
      <c r="L180" s="15">
        <f t="shared" si="24"/>
        <v>775.47472000000562</v>
      </c>
      <c r="M180" s="15"/>
      <c r="N180" s="15"/>
      <c r="O180" s="15"/>
      <c r="P180" s="17"/>
      <c r="Q180" s="31">
        <f t="shared" si="25"/>
        <v>3511.4747199999983</v>
      </c>
      <c r="R180" s="34">
        <f t="shared" si="26"/>
        <v>8.5252800000000004</v>
      </c>
      <c r="S180" s="22"/>
      <c r="T180" s="273"/>
      <c r="U180" s="273"/>
      <c r="V180" s="22"/>
      <c r="W180" s="272"/>
      <c r="X180" s="272"/>
      <c r="Y180" s="272"/>
      <c r="Z180" s="274"/>
      <c r="AA180" s="22"/>
      <c r="AB180" s="275"/>
      <c r="AC180" s="40"/>
      <c r="AD180" s="40"/>
    </row>
    <row r="181" spans="1:30" s="1" customFormat="1" x14ac:dyDescent="0.25">
      <c r="A181" s="9">
        <v>44027</v>
      </c>
      <c r="B181" s="283" t="s">
        <v>1098</v>
      </c>
      <c r="C181" s="15" t="s">
        <v>69</v>
      </c>
      <c r="D181" s="16">
        <v>400</v>
      </c>
      <c r="E181" s="15">
        <v>8.92</v>
      </c>
      <c r="F181" s="16">
        <f t="shared" si="27"/>
        <v>4800</v>
      </c>
      <c r="G181" s="17">
        <f t="shared" si="28"/>
        <v>11.759387984166676</v>
      </c>
      <c r="H181" s="15">
        <f t="shared" si="29"/>
        <v>56445.062324000042</v>
      </c>
      <c r="I181" s="15">
        <f t="shared" si="30"/>
        <v>-13629.062324000042</v>
      </c>
      <c r="J181" s="33">
        <f t="shared" si="31"/>
        <v>-0.24145712242760803</v>
      </c>
      <c r="K181" s="15">
        <f t="shared" si="32"/>
        <v>42816</v>
      </c>
      <c r="L181" s="15">
        <f t="shared" si="24"/>
        <v>615.42664799999329</v>
      </c>
      <c r="M181" s="15"/>
      <c r="N181" s="15"/>
      <c r="O181" s="15"/>
      <c r="P181" s="17"/>
      <c r="Q181" s="31">
        <f t="shared" si="25"/>
        <v>3559.4266480000006</v>
      </c>
      <c r="R181" s="34">
        <f t="shared" si="26"/>
        <v>8.5733519999999999</v>
      </c>
      <c r="S181" s="22"/>
      <c r="T181" s="273"/>
      <c r="U181" s="273"/>
      <c r="V181" s="22"/>
      <c r="W181" s="272"/>
      <c r="X181" s="272"/>
      <c r="Y181" s="272"/>
      <c r="Z181" s="274"/>
      <c r="AA181" s="22"/>
      <c r="AB181" s="275"/>
      <c r="AC181" s="40"/>
      <c r="AD181" s="40"/>
    </row>
    <row r="182" spans="1:30" s="1" customFormat="1" x14ac:dyDescent="0.25">
      <c r="A182" s="9">
        <v>44027</v>
      </c>
      <c r="B182" s="337"/>
      <c r="C182" s="15" t="s">
        <v>69</v>
      </c>
      <c r="D182" s="16">
        <v>400</v>
      </c>
      <c r="E182" s="15">
        <v>9.2200000000000006</v>
      </c>
      <c r="F182" s="16">
        <f t="shared" si="27"/>
        <v>4400</v>
      </c>
      <c r="G182" s="17">
        <f t="shared" si="28"/>
        <v>11.992217240000009</v>
      </c>
      <c r="H182" s="15">
        <f t="shared" si="29"/>
        <v>52765.75585600004</v>
      </c>
      <c r="I182" s="15">
        <f t="shared" si="30"/>
        <v>-12197.75585600004</v>
      </c>
      <c r="J182" s="33">
        <f t="shared" si="31"/>
        <v>-0.23116803044171727</v>
      </c>
      <c r="K182" s="15">
        <f t="shared" si="32"/>
        <v>40568</v>
      </c>
      <c r="L182" s="15">
        <f t="shared" si="24"/>
        <v>1431.3064680000025</v>
      </c>
      <c r="M182" s="15"/>
      <c r="N182" s="15"/>
      <c r="O182" s="15"/>
      <c r="P182" s="17"/>
      <c r="Q182" s="31">
        <f t="shared" si="25"/>
        <v>3679.3064680000025</v>
      </c>
      <c r="R182" s="34">
        <f t="shared" si="26"/>
        <v>8.6935319999999994</v>
      </c>
      <c r="S182" s="15"/>
      <c r="T182" s="273"/>
      <c r="U182" s="273"/>
      <c r="V182" s="22"/>
      <c r="W182" s="272"/>
      <c r="X182" s="272"/>
      <c r="Y182" s="272"/>
      <c r="Z182" s="274"/>
      <c r="AA182" s="22"/>
      <c r="AB182" s="275"/>
      <c r="AC182" s="40"/>
      <c r="AD182" s="40"/>
    </row>
    <row r="183" spans="1:30" s="1" customFormat="1" x14ac:dyDescent="0.25">
      <c r="A183" s="9">
        <v>44027</v>
      </c>
      <c r="B183" s="283"/>
      <c r="C183" s="15" t="s">
        <v>69</v>
      </c>
      <c r="D183" s="16">
        <v>400</v>
      </c>
      <c r="E183" s="15">
        <v>9.5399999999999991</v>
      </c>
      <c r="F183" s="16">
        <f t="shared" si="27"/>
        <v>4000</v>
      </c>
      <c r="G183" s="17">
        <f t="shared" si="28"/>
        <v>12.23964439500001</v>
      </c>
      <c r="H183" s="15">
        <f t="shared" si="29"/>
        <v>48958.577580000041</v>
      </c>
      <c r="I183" s="15">
        <f t="shared" si="30"/>
        <v>-10798.577580000041</v>
      </c>
      <c r="J183" s="33">
        <f t="shared" si="31"/>
        <v>-0.22056559062310965</v>
      </c>
      <c r="K183" s="15">
        <f t="shared" si="32"/>
        <v>38160</v>
      </c>
      <c r="L183" s="15">
        <f t="shared" si="24"/>
        <v>1399.1782759999987</v>
      </c>
      <c r="M183" s="15"/>
      <c r="N183" s="15"/>
      <c r="O183" s="15"/>
      <c r="P183" s="17"/>
      <c r="Q183" s="31">
        <f t="shared" si="25"/>
        <v>3807.1782759999987</v>
      </c>
      <c r="R183" s="34">
        <f t="shared" si="26"/>
        <v>8.8217239999999997</v>
      </c>
      <c r="S183" s="22"/>
      <c r="T183" s="273"/>
      <c r="U183" s="273"/>
      <c r="V183" s="22"/>
      <c r="W183" s="272"/>
      <c r="X183" s="272"/>
      <c r="Y183" s="272"/>
      <c r="Z183" s="274"/>
      <c r="AA183" s="22"/>
      <c r="AB183" s="275"/>
      <c r="AC183" s="40"/>
      <c r="AD183" s="40"/>
    </row>
    <row r="184" spans="1:30" s="1" customFormat="1" x14ac:dyDescent="0.25">
      <c r="A184" s="9">
        <v>44028</v>
      </c>
      <c r="B184" s="283" t="s">
        <v>1099</v>
      </c>
      <c r="C184" s="15" t="s">
        <v>922</v>
      </c>
      <c r="D184" s="16">
        <v>400</v>
      </c>
      <c r="E184" s="15">
        <v>9.01</v>
      </c>
      <c r="F184" s="16">
        <f t="shared" si="27"/>
        <v>4400</v>
      </c>
      <c r="G184" s="17">
        <f t="shared" si="28"/>
        <v>11.947177951363646</v>
      </c>
      <c r="H184" s="15">
        <f t="shared" si="29"/>
        <v>52567.582986000038</v>
      </c>
      <c r="I184" s="15">
        <f t="shared" si="30"/>
        <v>-12923.582986000038</v>
      </c>
      <c r="J184" s="33">
        <f t="shared" si="31"/>
        <v>-0.24584700783069843</v>
      </c>
      <c r="K184" s="15">
        <f t="shared" si="32"/>
        <v>39644</v>
      </c>
      <c r="L184" s="15">
        <f t="shared" si="24"/>
        <v>-2125.0054059999966</v>
      </c>
      <c r="M184" s="15"/>
      <c r="N184" s="15"/>
      <c r="O184" s="15"/>
      <c r="P184" s="17"/>
      <c r="Q184" s="31">
        <f t="shared" si="25"/>
        <v>-3609.0054059999966</v>
      </c>
      <c r="R184" s="34">
        <f t="shared" si="26"/>
        <v>5.0054059999999998</v>
      </c>
      <c r="S184" s="22"/>
      <c r="T184" s="273"/>
      <c r="U184" s="273"/>
      <c r="V184" s="22"/>
      <c r="W184" s="272"/>
      <c r="X184" s="272"/>
      <c r="Y184" s="272"/>
      <c r="Z184" s="274"/>
      <c r="AA184" s="22"/>
      <c r="AB184" s="275"/>
      <c r="AC184" s="40"/>
      <c r="AD184" s="40"/>
    </row>
    <row r="185" spans="1:30" s="1" customFormat="1" x14ac:dyDescent="0.25">
      <c r="A185" s="9">
        <v>44029</v>
      </c>
      <c r="B185" s="337" t="s">
        <v>1100</v>
      </c>
      <c r="C185" s="15" t="s">
        <v>922</v>
      </c>
      <c r="D185" s="16">
        <v>400</v>
      </c>
      <c r="E185" s="15">
        <v>8.75</v>
      </c>
      <c r="F185" s="16">
        <f t="shared" si="27"/>
        <v>4800</v>
      </c>
      <c r="G185" s="17">
        <f t="shared" si="28"/>
        <v>11.681789215833341</v>
      </c>
      <c r="H185" s="15">
        <f t="shared" si="29"/>
        <v>56072.58823600004</v>
      </c>
      <c r="I185" s="15">
        <f t="shared" si="30"/>
        <v>-14072.58823600004</v>
      </c>
      <c r="J185" s="33">
        <f t="shared" si="31"/>
        <v>-0.25097090536949879</v>
      </c>
      <c r="K185" s="15">
        <f t="shared" si="32"/>
        <v>42000</v>
      </c>
      <c r="L185" s="15">
        <f t="shared" si="24"/>
        <v>-1149.005250000002</v>
      </c>
      <c r="M185" s="15"/>
      <c r="N185" s="15"/>
      <c r="O185" s="15"/>
      <c r="P185" s="17"/>
      <c r="Q185" s="31">
        <f t="shared" si="25"/>
        <v>-3505.005250000002</v>
      </c>
      <c r="R185" s="34">
        <f t="shared" si="26"/>
        <v>5.0052500000000002</v>
      </c>
      <c r="S185" s="15"/>
      <c r="T185" s="273"/>
      <c r="U185" s="273"/>
      <c r="V185" s="22"/>
      <c r="W185" s="272"/>
      <c r="X185" s="272"/>
      <c r="Y185" s="272"/>
      <c r="Z185" s="274"/>
      <c r="AA185" s="22"/>
      <c r="AB185" s="275"/>
      <c r="AC185" s="40"/>
      <c r="AD185" s="40"/>
    </row>
    <row r="186" spans="1:30" s="1" customFormat="1" x14ac:dyDescent="0.25">
      <c r="A186" s="9">
        <v>44032</v>
      </c>
      <c r="B186" s="283" t="s">
        <v>1101</v>
      </c>
      <c r="C186" s="15" t="s">
        <v>922</v>
      </c>
      <c r="D186" s="16">
        <v>400</v>
      </c>
      <c r="E186" s="22">
        <v>8.43</v>
      </c>
      <c r="F186" s="16">
        <f t="shared" si="27"/>
        <v>5200</v>
      </c>
      <c r="G186" s="17">
        <f t="shared" si="28"/>
        <v>11.432614095000009</v>
      </c>
      <c r="H186" s="15">
        <f t="shared" si="29"/>
        <v>59449.593294000042</v>
      </c>
      <c r="I186" s="15">
        <f t="shared" si="30"/>
        <v>-15613.593294000042</v>
      </c>
      <c r="J186" s="33">
        <f t="shared" si="31"/>
        <v>-0.26263583027027793</v>
      </c>
      <c r="K186" s="15">
        <f t="shared" si="32"/>
        <v>43836</v>
      </c>
      <c r="L186" s="15">
        <f t="shared" si="24"/>
        <v>-1541.0050580000025</v>
      </c>
      <c r="M186" s="15"/>
      <c r="N186" s="15"/>
      <c r="O186" s="15"/>
      <c r="P186" s="17"/>
      <c r="Q186" s="31">
        <f t="shared" si="25"/>
        <v>-3377.0050580000025</v>
      </c>
      <c r="R186" s="34">
        <f t="shared" si="26"/>
        <v>5.005058</v>
      </c>
      <c r="S186" s="22"/>
      <c r="T186" s="273"/>
      <c r="U186" s="273"/>
      <c r="V186" s="22"/>
      <c r="W186" s="272"/>
      <c r="X186" s="272"/>
      <c r="Y186" s="272"/>
      <c r="Z186" s="274"/>
      <c r="AA186" s="22"/>
      <c r="AB186" s="275"/>
      <c r="AC186" s="40"/>
      <c r="AD186" s="40"/>
    </row>
    <row r="187" spans="1:30" s="1" customFormat="1" x14ac:dyDescent="0.25">
      <c r="A187" s="9">
        <v>44032</v>
      </c>
      <c r="B187" s="283" t="s">
        <v>1102</v>
      </c>
      <c r="C187" s="15" t="s">
        <v>922</v>
      </c>
      <c r="D187" s="16">
        <v>400</v>
      </c>
      <c r="E187" s="22">
        <v>8.1999999999999993</v>
      </c>
      <c r="F187" s="16">
        <f t="shared" si="27"/>
        <v>5600</v>
      </c>
      <c r="G187" s="17">
        <f t="shared" si="28"/>
        <v>11.202606823928578</v>
      </c>
      <c r="H187" s="15">
        <f t="shared" si="29"/>
        <v>62734.598214000041</v>
      </c>
      <c r="I187" s="15">
        <f t="shared" si="30"/>
        <v>-16814.598214000049</v>
      </c>
      <c r="J187" s="33">
        <f t="shared" si="31"/>
        <v>-0.26802751101779826</v>
      </c>
      <c r="K187" s="15">
        <f t="shared" si="32"/>
        <v>45919.999999999993</v>
      </c>
      <c r="L187" s="15">
        <f t="shared" si="24"/>
        <v>-1201.0049200000067</v>
      </c>
      <c r="M187" s="15"/>
      <c r="N187" s="15"/>
      <c r="O187" s="15"/>
      <c r="P187" s="17"/>
      <c r="Q187" s="31">
        <f t="shared" si="25"/>
        <v>-3285.0049199999994</v>
      </c>
      <c r="R187" s="34">
        <f t="shared" si="26"/>
        <v>5.0049200000000003</v>
      </c>
      <c r="S187" s="22"/>
      <c r="T187" s="273"/>
      <c r="U187" s="273"/>
      <c r="V187" s="22"/>
      <c r="W187" s="272"/>
      <c r="X187" s="272"/>
      <c r="Y187" s="272"/>
      <c r="Z187" s="274"/>
      <c r="AA187" s="22"/>
      <c r="AB187" s="275"/>
      <c r="AC187" s="40"/>
      <c r="AD187" s="40"/>
    </row>
    <row r="188" spans="1:30" s="1" customFormat="1" x14ac:dyDescent="0.25">
      <c r="A188" s="9">
        <v>44032</v>
      </c>
      <c r="B188" s="337"/>
      <c r="C188" s="306" t="s">
        <v>926</v>
      </c>
      <c r="D188" s="16">
        <v>400</v>
      </c>
      <c r="E188" s="15">
        <v>8.36</v>
      </c>
      <c r="F188" s="16">
        <f t="shared" si="27"/>
        <v>5200</v>
      </c>
      <c r="G188" s="17">
        <f t="shared" si="28"/>
        <v>11.4228744673077</v>
      </c>
      <c r="H188" s="15">
        <f t="shared" si="29"/>
        <v>59398.947230000042</v>
      </c>
      <c r="I188" s="15">
        <f t="shared" si="30"/>
        <v>-15926.947230000042</v>
      </c>
      <c r="J188" s="33">
        <f t="shared" si="31"/>
        <v>-0.26813517701465217</v>
      </c>
      <c r="K188" s="15">
        <f t="shared" si="32"/>
        <v>43472</v>
      </c>
      <c r="L188" s="15">
        <f t="shared" si="24"/>
        <v>887.65098400000716</v>
      </c>
      <c r="M188" s="15"/>
      <c r="N188" s="15"/>
      <c r="O188" s="15"/>
      <c r="P188" s="17"/>
      <c r="Q188" s="31">
        <f t="shared" si="25"/>
        <v>3335.6509839999999</v>
      </c>
      <c r="R188" s="34">
        <f t="shared" si="26"/>
        <v>8.3490160000000007</v>
      </c>
      <c r="S188" s="15"/>
      <c r="T188" s="273"/>
      <c r="U188" s="273"/>
      <c r="V188" s="22"/>
      <c r="W188" s="272"/>
      <c r="X188" s="272"/>
      <c r="Y188" s="272"/>
      <c r="Z188" s="274"/>
      <c r="AA188" s="22"/>
      <c r="AB188" s="275"/>
      <c r="AC188" s="40"/>
      <c r="AD188" s="40"/>
    </row>
    <row r="189" spans="1:30" s="1" customFormat="1" x14ac:dyDescent="0.25">
      <c r="A189" s="9">
        <v>44033</v>
      </c>
      <c r="B189" s="283" t="s">
        <v>1102</v>
      </c>
      <c r="C189" s="15" t="s">
        <v>922</v>
      </c>
      <c r="D189" s="16">
        <v>400</v>
      </c>
      <c r="E189" s="22">
        <v>8.2799999999999994</v>
      </c>
      <c r="F189" s="16">
        <f t="shared" si="27"/>
        <v>5600</v>
      </c>
      <c r="G189" s="17">
        <f t="shared" si="28"/>
        <v>11.199277178214293</v>
      </c>
      <c r="H189" s="15">
        <f t="shared" si="29"/>
        <v>62715.952198000043</v>
      </c>
      <c r="I189" s="15">
        <f t="shared" si="30"/>
        <v>-16347.952198000043</v>
      </c>
      <c r="J189" s="33">
        <f t="shared" si="31"/>
        <v>-0.2606665708652251</v>
      </c>
      <c r="K189" s="15">
        <f t="shared" si="32"/>
        <v>46368</v>
      </c>
      <c r="L189" s="15">
        <f t="shared" si="24"/>
        <v>-421.0049680000011</v>
      </c>
      <c r="M189" s="15"/>
      <c r="N189" s="15"/>
      <c r="O189" s="15"/>
      <c r="P189" s="17"/>
      <c r="Q189" s="31">
        <f t="shared" si="25"/>
        <v>-3317.0049680000011</v>
      </c>
      <c r="R189" s="34">
        <f t="shared" si="26"/>
        <v>5.0049679999999999</v>
      </c>
      <c r="S189" s="22"/>
      <c r="T189" s="273"/>
      <c r="U189" s="273"/>
      <c r="V189" s="22"/>
      <c r="W189" s="272"/>
      <c r="X189" s="272"/>
      <c r="Y189" s="272"/>
      <c r="Z189" s="274"/>
      <c r="AA189" s="22"/>
      <c r="AB189" s="275"/>
      <c r="AC189" s="40"/>
      <c r="AD189" s="40"/>
    </row>
    <row r="190" spans="1:30" s="1" customFormat="1" x14ac:dyDescent="0.25">
      <c r="A190" s="9">
        <v>44033</v>
      </c>
      <c r="B190" s="283"/>
      <c r="C190" s="15" t="s">
        <v>69</v>
      </c>
      <c r="D190" s="16">
        <v>400</v>
      </c>
      <c r="E190" s="22">
        <v>8.44</v>
      </c>
      <c r="F190" s="16">
        <f t="shared" si="27"/>
        <v>5200</v>
      </c>
      <c r="G190" s="17">
        <f t="shared" si="28"/>
        <v>11.413141011923086</v>
      </c>
      <c r="H190" s="15">
        <f t="shared" si="29"/>
        <v>59348.333262000044</v>
      </c>
      <c r="I190" s="15">
        <f t="shared" si="30"/>
        <v>-15460.333262000044</v>
      </c>
      <c r="J190" s="33">
        <f t="shared" si="31"/>
        <v>-0.26050155770590272</v>
      </c>
      <c r="K190" s="15">
        <f t="shared" si="32"/>
        <v>43888</v>
      </c>
      <c r="L190" s="15">
        <f t="shared" si="24"/>
        <v>887.61893599999894</v>
      </c>
      <c r="M190" s="15"/>
      <c r="N190" s="15"/>
      <c r="O190" s="15"/>
      <c r="P190" s="17"/>
      <c r="Q190" s="31">
        <f t="shared" si="25"/>
        <v>3367.6189359999989</v>
      </c>
      <c r="R190" s="34">
        <f t="shared" si="26"/>
        <v>8.3810640000000003</v>
      </c>
      <c r="S190" s="22"/>
      <c r="T190" s="273"/>
      <c r="U190" s="273"/>
      <c r="V190" s="22"/>
      <c r="W190" s="272"/>
      <c r="X190" s="272"/>
      <c r="Y190" s="272"/>
      <c r="Z190" s="274"/>
      <c r="AA190" s="22"/>
      <c r="AB190" s="275"/>
      <c r="AC190" s="40"/>
      <c r="AD190" s="40"/>
    </row>
    <row r="191" spans="1:30" s="1" customFormat="1" x14ac:dyDescent="0.25">
      <c r="A191" s="9">
        <v>44035</v>
      </c>
      <c r="B191" s="283" t="s">
        <v>1102</v>
      </c>
      <c r="C191" s="15" t="s">
        <v>922</v>
      </c>
      <c r="D191" s="16">
        <v>400</v>
      </c>
      <c r="E191" s="22">
        <v>8.23</v>
      </c>
      <c r="F191" s="16">
        <f t="shared" si="27"/>
        <v>5600</v>
      </c>
      <c r="G191" s="17">
        <f t="shared" si="28"/>
        <v>11.186667535714292</v>
      </c>
      <c r="H191" s="15">
        <f t="shared" si="29"/>
        <v>62645.338200000042</v>
      </c>
      <c r="I191" s="15">
        <f t="shared" si="30"/>
        <v>-16557.338200000042</v>
      </c>
      <c r="J191" s="33">
        <f t="shared" si="31"/>
        <v>-0.26430279851214888</v>
      </c>
      <c r="K191" s="15">
        <f t="shared" si="32"/>
        <v>46088</v>
      </c>
      <c r="L191" s="15">
        <f t="shared" si="24"/>
        <v>-1097.0049379999982</v>
      </c>
      <c r="M191" s="15"/>
      <c r="N191" s="15"/>
      <c r="O191" s="15"/>
      <c r="P191" s="17"/>
      <c r="Q191" s="31">
        <f t="shared" si="25"/>
        <v>-3297.0049379999982</v>
      </c>
      <c r="R191" s="34">
        <f t="shared" si="26"/>
        <v>5.0049380000000001</v>
      </c>
      <c r="S191" s="22"/>
      <c r="T191" s="273"/>
      <c r="U191" s="273"/>
      <c r="V191" s="22"/>
      <c r="W191" s="272"/>
      <c r="X191" s="272"/>
      <c r="Y191" s="272"/>
      <c r="Z191" s="274"/>
      <c r="AA191" s="22"/>
      <c r="AB191" s="275"/>
      <c r="AC191" s="40"/>
      <c r="AD191" s="40"/>
    </row>
    <row r="192" spans="1:30" s="1" customFormat="1" x14ac:dyDescent="0.25">
      <c r="A192" s="9">
        <v>44035</v>
      </c>
      <c r="B192" s="283" t="s">
        <v>1102</v>
      </c>
      <c r="C192" s="282" t="s">
        <v>922</v>
      </c>
      <c r="D192" s="132">
        <v>400</v>
      </c>
      <c r="E192" s="22">
        <v>7.98</v>
      </c>
      <c r="F192" s="16">
        <f t="shared" si="27"/>
        <v>6000</v>
      </c>
      <c r="G192" s="17">
        <f t="shared" si="28"/>
        <v>10.973723831333341</v>
      </c>
      <c r="H192" s="15">
        <f t="shared" si="29"/>
        <v>65842.342988000048</v>
      </c>
      <c r="I192" s="15">
        <f t="shared" si="30"/>
        <v>-17962.342988000048</v>
      </c>
      <c r="J192" s="33">
        <f t="shared" si="31"/>
        <v>-0.27280838094224158</v>
      </c>
      <c r="K192" s="15">
        <f t="shared" si="32"/>
        <v>47880</v>
      </c>
      <c r="L192" s="15">
        <f t="shared" si="24"/>
        <v>-1405.0047880000056</v>
      </c>
      <c r="M192" s="15"/>
      <c r="N192" s="15"/>
      <c r="O192" s="15"/>
      <c r="P192" s="17"/>
      <c r="Q192" s="31">
        <f t="shared" si="25"/>
        <v>-3197.0047880000056</v>
      </c>
      <c r="R192" s="34">
        <f t="shared" si="26"/>
        <v>5.0047879999999996</v>
      </c>
      <c r="S192" s="22"/>
      <c r="T192" s="273"/>
      <c r="U192" s="273"/>
      <c r="V192" s="22"/>
      <c r="W192" s="272"/>
      <c r="X192" s="272"/>
      <c r="Y192" s="272"/>
      <c r="Z192" s="274"/>
      <c r="AA192" s="22"/>
      <c r="AB192" s="275"/>
      <c r="AC192" s="40"/>
      <c r="AD192" s="40"/>
    </row>
    <row r="193" spans="1:30" s="1" customFormat="1" x14ac:dyDescent="0.25">
      <c r="A193" s="9">
        <v>44036</v>
      </c>
      <c r="B193" s="283"/>
      <c r="C193" s="282" t="s">
        <v>922</v>
      </c>
      <c r="D193" s="132">
        <v>400</v>
      </c>
      <c r="E193" s="22">
        <v>7.84</v>
      </c>
      <c r="F193" s="16">
        <f t="shared" si="27"/>
        <v>6400</v>
      </c>
      <c r="G193" s="17">
        <f t="shared" si="28"/>
        <v>10.778648076875008</v>
      </c>
      <c r="H193" s="15">
        <f t="shared" si="29"/>
        <v>68983.347692000054</v>
      </c>
      <c r="I193" s="15">
        <f t="shared" si="30"/>
        <v>-18807.347692000054</v>
      </c>
      <c r="J193" s="33">
        <f t="shared" si="31"/>
        <v>-0.27263605379042988</v>
      </c>
      <c r="K193" s="15">
        <f t="shared" si="32"/>
        <v>50176</v>
      </c>
      <c r="L193" s="15">
        <f t="shared" si="24"/>
        <v>-845.00470400000631</v>
      </c>
      <c r="M193" s="15"/>
      <c r="N193" s="15"/>
      <c r="O193" s="15"/>
      <c r="P193" s="17"/>
      <c r="Q193" s="31">
        <f t="shared" si="25"/>
        <v>-3141.0047040000063</v>
      </c>
      <c r="R193" s="34">
        <f t="shared" si="26"/>
        <v>5.0047040000000003</v>
      </c>
      <c r="S193" s="22"/>
      <c r="T193" s="273"/>
      <c r="U193" s="273"/>
      <c r="V193" s="22"/>
      <c r="W193" s="272"/>
      <c r="X193" s="272"/>
      <c r="Y193" s="272"/>
      <c r="Z193" s="274"/>
      <c r="AA193" s="22"/>
      <c r="AB193" s="275"/>
      <c r="AC193" s="40"/>
      <c r="AD193" s="40"/>
    </row>
    <row r="194" spans="1:30" s="1" customFormat="1" x14ac:dyDescent="0.25">
      <c r="A194" s="9">
        <v>44039</v>
      </c>
      <c r="B194" s="337" t="s">
        <v>1035</v>
      </c>
      <c r="C194" s="306" t="s">
        <v>922</v>
      </c>
      <c r="D194" s="16">
        <v>400</v>
      </c>
      <c r="E194" s="15">
        <v>7.65</v>
      </c>
      <c r="F194" s="16">
        <f t="shared" si="27"/>
        <v>6800</v>
      </c>
      <c r="G194" s="17">
        <f t="shared" si="28"/>
        <v>10.595345923823537</v>
      </c>
      <c r="H194" s="15">
        <f t="shared" si="29"/>
        <v>72048.352282000051</v>
      </c>
      <c r="I194" s="15">
        <f t="shared" si="30"/>
        <v>-20028.352282000051</v>
      </c>
      <c r="J194" s="33">
        <f t="shared" si="31"/>
        <v>-0.27798487609554623</v>
      </c>
      <c r="K194" s="15">
        <f t="shared" si="32"/>
        <v>52020</v>
      </c>
      <c r="L194" s="15">
        <f t="shared" ref="L194:L235" si="33">I194-I193</f>
        <v>-1221.0045899999968</v>
      </c>
      <c r="M194" s="15"/>
      <c r="N194" s="15"/>
      <c r="O194" s="15"/>
      <c r="P194" s="17"/>
      <c r="Q194" s="31">
        <f t="shared" ref="Q194:Q235" si="34">(H194-H193)*-1</f>
        <v>-3065.0045899999968</v>
      </c>
      <c r="R194" s="34">
        <f t="shared" si="26"/>
        <v>5.0045900000000003</v>
      </c>
      <c r="S194" s="15"/>
      <c r="T194" s="273"/>
      <c r="U194" s="273"/>
      <c r="V194" s="22"/>
      <c r="W194" s="272"/>
      <c r="X194" s="272"/>
      <c r="Y194" s="272"/>
      <c r="Z194" s="274"/>
      <c r="AA194" s="22"/>
      <c r="AB194" s="275"/>
      <c r="AC194" s="40"/>
      <c r="AD194" s="40"/>
    </row>
    <row r="195" spans="1:30" s="1" customFormat="1" x14ac:dyDescent="0.25">
      <c r="A195" s="9">
        <v>44041</v>
      </c>
      <c r="B195" s="355" t="s">
        <v>1103</v>
      </c>
      <c r="C195" s="354" t="s">
        <v>926</v>
      </c>
      <c r="D195" s="52">
        <v>400</v>
      </c>
      <c r="E195" s="19">
        <v>8.01</v>
      </c>
      <c r="F195" s="16">
        <f t="shared" si="27"/>
        <v>6400</v>
      </c>
      <c r="G195" s="17">
        <f t="shared" si="28"/>
        <v>10.758212670000008</v>
      </c>
      <c r="H195" s="15">
        <f t="shared" si="29"/>
        <v>68852.561088000046</v>
      </c>
      <c r="I195" s="15">
        <f t="shared" si="30"/>
        <v>-17588.561088000046</v>
      </c>
      <c r="J195" s="33">
        <f t="shared" si="31"/>
        <v>-0.25545253233964987</v>
      </c>
      <c r="K195" s="15">
        <f t="shared" si="32"/>
        <v>51264</v>
      </c>
      <c r="L195" s="15">
        <f t="shared" si="33"/>
        <v>2439.7911940000049</v>
      </c>
      <c r="M195" s="15"/>
      <c r="N195" s="15"/>
      <c r="O195" s="15"/>
      <c r="P195" s="17"/>
      <c r="Q195" s="31">
        <f t="shared" si="34"/>
        <v>3195.7911940000049</v>
      </c>
      <c r="R195" s="34">
        <f t="shared" si="26"/>
        <v>8.2088059999999992</v>
      </c>
      <c r="S195" s="19"/>
      <c r="T195" s="273"/>
      <c r="U195" s="273"/>
      <c r="V195" s="22"/>
      <c r="W195" s="272"/>
      <c r="X195" s="272"/>
      <c r="Y195" s="272"/>
      <c r="Z195" s="274"/>
      <c r="AA195" s="22"/>
      <c r="AB195" s="275"/>
      <c r="AC195" s="40"/>
      <c r="AD195" s="40"/>
    </row>
    <row r="196" spans="1:30" s="1" customFormat="1" x14ac:dyDescent="0.25">
      <c r="A196" s="9">
        <v>44043</v>
      </c>
      <c r="B196" s="337" t="s">
        <v>1104</v>
      </c>
      <c r="C196" s="306" t="s">
        <v>63</v>
      </c>
      <c r="D196" s="16">
        <v>400</v>
      </c>
      <c r="E196" s="15">
        <v>7.8</v>
      </c>
      <c r="F196" s="16">
        <f t="shared" si="27"/>
        <v>6800</v>
      </c>
      <c r="G196" s="17">
        <f t="shared" si="28"/>
        <v>10.584936142352948</v>
      </c>
      <c r="H196" s="15">
        <f t="shared" si="29"/>
        <v>71977.565768000044</v>
      </c>
      <c r="I196" s="15">
        <f t="shared" si="30"/>
        <v>-18937.565768000044</v>
      </c>
      <c r="J196" s="33">
        <f t="shared" si="31"/>
        <v>-0.2631037263616291</v>
      </c>
      <c r="K196" s="15">
        <f t="shared" si="32"/>
        <v>53040</v>
      </c>
      <c r="L196" s="15">
        <f t="shared" si="33"/>
        <v>-1349.0046799999982</v>
      </c>
      <c r="M196" s="15"/>
      <c r="N196" s="15"/>
      <c r="O196" s="15"/>
      <c r="P196" s="17"/>
      <c r="Q196" s="31">
        <f t="shared" si="34"/>
        <v>-3125.0046799999982</v>
      </c>
      <c r="R196" s="34">
        <f t="shared" ref="R196:R235" si="35">commission($B$2,C196,D196,E196)</f>
        <v>5.0046799999999996</v>
      </c>
      <c r="S196" s="15"/>
      <c r="T196" s="273"/>
      <c r="U196" s="273"/>
      <c r="V196" s="22"/>
      <c r="W196" s="272"/>
      <c r="X196" s="272"/>
      <c r="Y196" s="272"/>
      <c r="Z196" s="274"/>
      <c r="AA196" s="22"/>
      <c r="AB196" s="275"/>
      <c r="AC196" s="40"/>
      <c r="AD196" s="40"/>
    </row>
    <row r="197" spans="1:30" s="1" customFormat="1" x14ac:dyDescent="0.25">
      <c r="A197" s="9">
        <v>44046</v>
      </c>
      <c r="B197" s="283"/>
      <c r="C197" s="282" t="s">
        <v>926</v>
      </c>
      <c r="D197" s="132">
        <v>400</v>
      </c>
      <c r="E197" s="22">
        <v>7.96</v>
      </c>
      <c r="F197" s="16">
        <f t="shared" si="27"/>
        <v>6400</v>
      </c>
      <c r="G197" s="17">
        <f t="shared" si="28"/>
        <v>10.750274147500006</v>
      </c>
      <c r="H197" s="15">
        <f t="shared" si="29"/>
        <v>68801.754544000039</v>
      </c>
      <c r="I197" s="15">
        <f t="shared" si="30"/>
        <v>-17857.754544000039</v>
      </c>
      <c r="J197" s="33">
        <f t="shared" si="31"/>
        <v>-0.2595537666496523</v>
      </c>
      <c r="K197" s="15">
        <f t="shared" si="32"/>
        <v>50944</v>
      </c>
      <c r="L197" s="15">
        <f t="shared" si="33"/>
        <v>1079.8112240000046</v>
      </c>
      <c r="M197" s="15"/>
      <c r="N197" s="15"/>
      <c r="O197" s="15"/>
      <c r="P197" s="17"/>
      <c r="Q197" s="31">
        <f t="shared" si="34"/>
        <v>3175.8112240000046</v>
      </c>
      <c r="R197" s="34">
        <f t="shared" si="35"/>
        <v>8.1887760000000007</v>
      </c>
      <c r="S197" s="22"/>
      <c r="T197" s="273"/>
      <c r="U197" s="273"/>
      <c r="V197" s="22"/>
      <c r="W197" s="272"/>
      <c r="X197" s="272"/>
      <c r="Y197" s="272"/>
      <c r="Z197" s="274"/>
      <c r="AA197" s="22"/>
      <c r="AB197" s="275"/>
      <c r="AC197" s="40"/>
      <c r="AD197" s="40"/>
    </row>
    <row r="198" spans="1:30" s="1" customFormat="1" x14ac:dyDescent="0.25">
      <c r="A198" s="9">
        <v>44046</v>
      </c>
      <c r="B198" s="283"/>
      <c r="C198" s="282" t="s">
        <v>926</v>
      </c>
      <c r="D198" s="132">
        <v>400</v>
      </c>
      <c r="E198" s="22">
        <v>8.0299999999999994</v>
      </c>
      <c r="F198" s="16">
        <f t="shared" si="27"/>
        <v>6000</v>
      </c>
      <c r="G198" s="17">
        <f t="shared" si="28"/>
        <v>10.932995227000006</v>
      </c>
      <c r="H198" s="15">
        <f t="shared" si="29"/>
        <v>65597.97136200004</v>
      </c>
      <c r="I198" s="15">
        <f t="shared" si="30"/>
        <v>-17417.971362000048</v>
      </c>
      <c r="J198" s="33">
        <f t="shared" si="31"/>
        <v>-0.26552606735168066</v>
      </c>
      <c r="K198" s="15">
        <f t="shared" si="32"/>
        <v>48179.999999999993</v>
      </c>
      <c r="L198" s="15">
        <f t="shared" si="33"/>
        <v>439.78318199999194</v>
      </c>
      <c r="M198" s="15"/>
      <c r="N198" s="15"/>
      <c r="O198" s="15"/>
      <c r="P198" s="17"/>
      <c r="Q198" s="31">
        <f t="shared" si="34"/>
        <v>3203.7831819999992</v>
      </c>
      <c r="R198" s="34">
        <f t="shared" si="35"/>
        <v>8.216818</v>
      </c>
      <c r="S198" s="22"/>
      <c r="T198" s="273"/>
      <c r="U198" s="273"/>
      <c r="V198" s="22"/>
      <c r="W198" s="272"/>
      <c r="X198" s="272"/>
      <c r="Y198" s="272"/>
      <c r="Z198" s="274"/>
      <c r="AA198" s="22"/>
      <c r="AB198" s="275"/>
      <c r="AC198" s="40"/>
      <c r="AD198" s="40"/>
    </row>
    <row r="199" spans="1:30" s="1" customFormat="1" x14ac:dyDescent="0.25">
      <c r="A199" s="9">
        <v>44047</v>
      </c>
      <c r="B199" s="283" t="s">
        <v>1105</v>
      </c>
      <c r="C199" s="282" t="s">
        <v>63</v>
      </c>
      <c r="D199" s="132">
        <v>1000</v>
      </c>
      <c r="E199" s="22">
        <v>7.95</v>
      </c>
      <c r="F199" s="16">
        <f t="shared" si="27"/>
        <v>7000</v>
      </c>
      <c r="G199" s="17">
        <f t="shared" si="28"/>
        <v>10.507568018857148</v>
      </c>
      <c r="H199" s="15">
        <f t="shared" si="29"/>
        <v>73552.97613200004</v>
      </c>
      <c r="I199" s="15">
        <f t="shared" si="30"/>
        <v>-17902.97613200004</v>
      </c>
      <c r="J199" s="33">
        <f t="shared" si="31"/>
        <v>-0.24340247089214853</v>
      </c>
      <c r="K199" s="15">
        <f t="shared" si="32"/>
        <v>55650</v>
      </c>
      <c r="L199" s="15">
        <f t="shared" si="33"/>
        <v>-485.00476999999228</v>
      </c>
      <c r="M199" s="15"/>
      <c r="N199" s="15"/>
      <c r="O199" s="15"/>
      <c r="P199" s="17"/>
      <c r="Q199" s="31">
        <f t="shared" si="34"/>
        <v>-7955.0047699999996</v>
      </c>
      <c r="R199" s="34">
        <f t="shared" si="35"/>
        <v>5.0047699999999997</v>
      </c>
      <c r="S199" s="22"/>
      <c r="T199" s="273"/>
      <c r="U199" s="273"/>
      <c r="V199" s="22"/>
      <c r="W199" s="272"/>
      <c r="X199" s="272"/>
      <c r="Y199" s="272"/>
      <c r="Z199" s="274"/>
      <c r="AA199" s="22"/>
      <c r="AB199" s="275"/>
      <c r="AC199" s="40"/>
      <c r="AD199" s="40"/>
    </row>
    <row r="200" spans="1:30" s="1" customFormat="1" x14ac:dyDescent="0.25">
      <c r="A200" s="9">
        <v>44049</v>
      </c>
      <c r="B200" s="283" t="s">
        <v>1106</v>
      </c>
      <c r="C200" s="282" t="s">
        <v>922</v>
      </c>
      <c r="D200" s="132">
        <v>400</v>
      </c>
      <c r="E200" s="22">
        <v>7.74</v>
      </c>
      <c r="F200" s="16">
        <f t="shared" si="27"/>
        <v>7400</v>
      </c>
      <c r="G200" s="17">
        <f t="shared" si="28"/>
        <v>10.358646050810817</v>
      </c>
      <c r="H200" s="15">
        <f t="shared" si="29"/>
        <v>76653.98077600004</v>
      </c>
      <c r="I200" s="15">
        <f t="shared" si="30"/>
        <v>-19377.98077600004</v>
      </c>
      <c r="J200" s="33">
        <f t="shared" si="31"/>
        <v>-0.25279810102265671</v>
      </c>
      <c r="K200" s="15">
        <f t="shared" si="32"/>
        <v>57276</v>
      </c>
      <c r="L200" s="15">
        <f t="shared" si="33"/>
        <v>-1475.0046440000006</v>
      </c>
      <c r="M200" s="15"/>
      <c r="N200" s="15"/>
      <c r="O200" s="15"/>
      <c r="P200" s="17"/>
      <c r="Q200" s="31">
        <f t="shared" si="34"/>
        <v>-3101.0046440000006</v>
      </c>
      <c r="R200" s="34">
        <f t="shared" si="35"/>
        <v>5.0046439999999999</v>
      </c>
      <c r="S200" s="22"/>
      <c r="T200" s="273"/>
      <c r="U200" s="273"/>
      <c r="V200" s="22"/>
      <c r="W200" s="272"/>
      <c r="X200" s="272"/>
      <c r="Y200" s="272"/>
      <c r="Z200" s="274"/>
      <c r="AA200" s="22"/>
      <c r="AB200" s="275"/>
      <c r="AC200" s="40"/>
      <c r="AD200" s="40"/>
    </row>
    <row r="201" spans="1:30" s="1" customFormat="1" x14ac:dyDescent="0.25">
      <c r="A201" s="9">
        <v>44053</v>
      </c>
      <c r="B201" s="283" t="s">
        <v>1107</v>
      </c>
      <c r="C201" s="282" t="s">
        <v>926</v>
      </c>
      <c r="D201" s="132">
        <v>400</v>
      </c>
      <c r="E201" s="22">
        <v>7.84</v>
      </c>
      <c r="F201" s="16">
        <f t="shared" si="27"/>
        <v>7000</v>
      </c>
      <c r="G201" s="17">
        <f t="shared" si="28"/>
        <v>10.503731640000007</v>
      </c>
      <c r="H201" s="15">
        <f t="shared" si="29"/>
        <v>73526.121480000045</v>
      </c>
      <c r="I201" s="15">
        <f t="shared" si="30"/>
        <v>-18646.121480000045</v>
      </c>
      <c r="J201" s="33">
        <f t="shared" si="31"/>
        <v>-0.25359860012569829</v>
      </c>
      <c r="K201" s="15">
        <f t="shared" si="32"/>
        <v>54880</v>
      </c>
      <c r="L201" s="15">
        <f t="shared" si="33"/>
        <v>731.85929599999508</v>
      </c>
      <c r="M201" s="15"/>
      <c r="N201" s="15"/>
      <c r="O201" s="15"/>
      <c r="P201" s="17"/>
      <c r="Q201" s="31">
        <f t="shared" si="34"/>
        <v>3127.8592959999951</v>
      </c>
      <c r="R201" s="34">
        <f t="shared" si="35"/>
        <v>8.1407039999999995</v>
      </c>
      <c r="S201" s="22"/>
      <c r="T201" s="273"/>
      <c r="U201" s="273"/>
      <c r="V201" s="22"/>
      <c r="W201" s="272"/>
      <c r="X201" s="272"/>
      <c r="Y201" s="272"/>
      <c r="Z201" s="274"/>
      <c r="AA201" s="22"/>
      <c r="AB201" s="275"/>
      <c r="AC201" s="40"/>
      <c r="AD201" s="40"/>
    </row>
    <row r="202" spans="1:30" s="1" customFormat="1" x14ac:dyDescent="0.25">
      <c r="A202" s="9">
        <v>44055</v>
      </c>
      <c r="B202" s="283" t="s">
        <v>1108</v>
      </c>
      <c r="C202" s="282" t="s">
        <v>922</v>
      </c>
      <c r="D202" s="132">
        <v>400</v>
      </c>
      <c r="E202" s="22">
        <v>7.67</v>
      </c>
      <c r="F202" s="16">
        <f t="shared" si="27"/>
        <v>7400</v>
      </c>
      <c r="G202" s="17">
        <f t="shared" si="28"/>
        <v>10.351233254324331</v>
      </c>
      <c r="H202" s="15">
        <f t="shared" si="29"/>
        <v>76599.126082000046</v>
      </c>
      <c r="I202" s="15">
        <f t="shared" si="30"/>
        <v>-19841.126082000046</v>
      </c>
      <c r="J202" s="33">
        <f t="shared" si="31"/>
        <v>-0.25902548889082555</v>
      </c>
      <c r="K202" s="15">
        <f t="shared" si="32"/>
        <v>56758</v>
      </c>
      <c r="L202" s="15">
        <f t="shared" si="33"/>
        <v>-1195.0046020000009</v>
      </c>
      <c r="M202" s="15"/>
      <c r="N202" s="15"/>
      <c r="O202" s="15"/>
      <c r="P202" s="17"/>
      <c r="Q202" s="31">
        <f t="shared" si="34"/>
        <v>-3073.0046020000009</v>
      </c>
      <c r="R202" s="34">
        <f t="shared" si="35"/>
        <v>5.0046020000000002</v>
      </c>
      <c r="S202" s="22"/>
      <c r="T202" s="273"/>
      <c r="U202" s="273"/>
      <c r="V202" s="22"/>
      <c r="W202" s="272"/>
      <c r="X202" s="272"/>
      <c r="Y202" s="272"/>
      <c r="Z202" s="274"/>
      <c r="AA202" s="22"/>
      <c r="AB202" s="275"/>
      <c r="AC202" s="40"/>
      <c r="AD202" s="40"/>
    </row>
    <row r="203" spans="1:30" s="1" customFormat="1" x14ac:dyDescent="0.25">
      <c r="A203" s="9">
        <v>44055</v>
      </c>
      <c r="B203" s="283"/>
      <c r="C203" s="282" t="s">
        <v>922</v>
      </c>
      <c r="D203" s="132">
        <v>500</v>
      </c>
      <c r="E203" s="22">
        <v>7.64</v>
      </c>
      <c r="F203" s="16">
        <f t="shared" si="27"/>
        <v>7900</v>
      </c>
      <c r="G203" s="17">
        <f t="shared" si="28"/>
        <v>10.180269704556967</v>
      </c>
      <c r="H203" s="15">
        <f t="shared" si="29"/>
        <v>80424.130666000041</v>
      </c>
      <c r="I203" s="15">
        <f t="shared" si="30"/>
        <v>-20068.130666000041</v>
      </c>
      <c r="J203" s="33">
        <f t="shared" si="31"/>
        <v>-0.2495287235287954</v>
      </c>
      <c r="K203" s="15">
        <f t="shared" si="32"/>
        <v>60356</v>
      </c>
      <c r="L203" s="15">
        <f t="shared" si="33"/>
        <v>-227.00458399999479</v>
      </c>
      <c r="M203" s="15"/>
      <c r="N203" s="15"/>
      <c r="O203" s="15"/>
      <c r="P203" s="17"/>
      <c r="Q203" s="31">
        <f t="shared" si="34"/>
        <v>-3825.0045839999948</v>
      </c>
      <c r="R203" s="34">
        <f t="shared" si="35"/>
        <v>5.0045840000000004</v>
      </c>
      <c r="S203" s="22"/>
      <c r="T203" s="273"/>
      <c r="U203" s="273"/>
      <c r="V203" s="22"/>
      <c r="W203" s="272"/>
      <c r="X203" s="272"/>
      <c r="Y203" s="272"/>
      <c r="Z203" s="274"/>
      <c r="AA203" s="22"/>
      <c r="AB203" s="275"/>
      <c r="AC203" s="40"/>
      <c r="AD203" s="40"/>
    </row>
    <row r="204" spans="1:30" s="1" customFormat="1" x14ac:dyDescent="0.25">
      <c r="A204" s="9">
        <v>44055</v>
      </c>
      <c r="B204" s="283"/>
      <c r="C204" s="282" t="s">
        <v>922</v>
      </c>
      <c r="D204" s="132">
        <v>500</v>
      </c>
      <c r="E204" s="22">
        <v>7.53</v>
      </c>
      <c r="F204" s="16">
        <f t="shared" ref="F204:F235" si="36">IF(C204="买",F203+D204,IF(C204="卖",F203-D204,F203))</f>
        <v>8400</v>
      </c>
      <c r="G204" s="17">
        <f t="shared" ref="G204:G235" si="37">H204/F204</f>
        <v>10.023111331428577</v>
      </c>
      <c r="H204" s="15">
        <f t="shared" ref="H204:H234" si="38">IF(C204="买",H203+D204*E204+R204+S204,IF(C204="卖",H203-D204*E204+R204+S204,H203))</f>
        <v>84194.135184000042</v>
      </c>
      <c r="I204" s="15">
        <f t="shared" ref="I204:I235" si="39">-H204+K204</f>
        <v>-20942.135184000042</v>
      </c>
      <c r="J204" s="33">
        <f t="shared" ref="J204:J235" si="40">(E204-G204)/G204</f>
        <v>-0.24873627050426447</v>
      </c>
      <c r="K204" s="15">
        <f t="shared" ref="K204:K234" si="41">F204*E204</f>
        <v>63252</v>
      </c>
      <c r="L204" s="15">
        <f t="shared" si="33"/>
        <v>-874.00451800000155</v>
      </c>
      <c r="M204" s="15"/>
      <c r="N204" s="15"/>
      <c r="O204" s="15"/>
      <c r="P204" s="17"/>
      <c r="Q204" s="31">
        <f t="shared" si="34"/>
        <v>-3770.0045180000016</v>
      </c>
      <c r="R204" s="34">
        <f t="shared" si="35"/>
        <v>5.004518</v>
      </c>
      <c r="S204" s="22"/>
      <c r="T204" s="273"/>
      <c r="U204" s="273"/>
      <c r="V204" s="22"/>
      <c r="W204" s="272"/>
      <c r="X204" s="272"/>
      <c r="Y204" s="272"/>
      <c r="Z204" s="274"/>
      <c r="AA204" s="22"/>
      <c r="AB204" s="275"/>
      <c r="AC204" s="40"/>
      <c r="AD204" s="40"/>
    </row>
    <row r="205" spans="1:30" s="1" customFormat="1" x14ac:dyDescent="0.25">
      <c r="A205" s="9">
        <v>44056</v>
      </c>
      <c r="B205" s="283" t="s">
        <v>1109</v>
      </c>
      <c r="C205" s="282" t="s">
        <v>926</v>
      </c>
      <c r="D205" s="132">
        <v>400</v>
      </c>
      <c r="E205" s="22">
        <v>7.67</v>
      </c>
      <c r="F205" s="16">
        <f t="shared" si="36"/>
        <v>8000</v>
      </c>
      <c r="G205" s="17">
        <f t="shared" si="37"/>
        <v>10.141775973250006</v>
      </c>
      <c r="H205" s="15">
        <f t="shared" si="38"/>
        <v>81134.207786000043</v>
      </c>
      <c r="I205" s="15">
        <f t="shared" si="39"/>
        <v>-19774.207786000043</v>
      </c>
      <c r="J205" s="33">
        <f t="shared" si="40"/>
        <v>-0.24372220208468157</v>
      </c>
      <c r="K205" s="15">
        <f t="shared" si="41"/>
        <v>61360</v>
      </c>
      <c r="L205" s="15">
        <f t="shared" si="33"/>
        <v>1167.9273979999998</v>
      </c>
      <c r="M205" s="15"/>
      <c r="N205" s="15"/>
      <c r="O205" s="15"/>
      <c r="P205" s="17"/>
      <c r="Q205" s="31">
        <f t="shared" si="34"/>
        <v>3059.9273979999998</v>
      </c>
      <c r="R205" s="34">
        <f t="shared" si="35"/>
        <v>8.0726019999999998</v>
      </c>
      <c r="S205" s="22"/>
      <c r="T205" s="273"/>
      <c r="U205" s="273"/>
      <c r="V205" s="22"/>
      <c r="W205" s="272"/>
      <c r="X205" s="272"/>
      <c r="Y205" s="272"/>
      <c r="Z205" s="274"/>
      <c r="AA205" s="22"/>
      <c r="AB205" s="275"/>
      <c r="AC205" s="40"/>
      <c r="AD205" s="40"/>
    </row>
    <row r="206" spans="1:30" s="1" customFormat="1" x14ac:dyDescent="0.25">
      <c r="A206" s="9">
        <v>44060</v>
      </c>
      <c r="B206" s="283"/>
      <c r="C206" s="282" t="s">
        <v>922</v>
      </c>
      <c r="D206" s="132">
        <v>1000</v>
      </c>
      <c r="E206" s="22">
        <v>7.78</v>
      </c>
      <c r="F206" s="16">
        <f t="shared" si="36"/>
        <v>9000</v>
      </c>
      <c r="G206" s="17">
        <f t="shared" si="37"/>
        <v>9.8799124948888934</v>
      </c>
      <c r="H206" s="15">
        <f t="shared" si="38"/>
        <v>88919.212454000037</v>
      </c>
      <c r="I206" s="15">
        <f t="shared" si="39"/>
        <v>-18899.212454000037</v>
      </c>
      <c r="J206" s="33">
        <f t="shared" si="40"/>
        <v>-0.21254363294970743</v>
      </c>
      <c r="K206" s="15">
        <f t="shared" si="41"/>
        <v>70020</v>
      </c>
      <c r="L206" s="15">
        <f t="shared" si="33"/>
        <v>874.99533200000587</v>
      </c>
      <c r="M206" s="15"/>
      <c r="N206" s="15"/>
      <c r="O206" s="15"/>
      <c r="P206" s="17"/>
      <c r="Q206" s="31">
        <f t="shared" si="34"/>
        <v>-7785.0046679999941</v>
      </c>
      <c r="R206" s="34">
        <f t="shared" si="35"/>
        <v>5.0046679999999997</v>
      </c>
      <c r="S206" s="22"/>
      <c r="T206" s="273"/>
      <c r="U206" s="273"/>
      <c r="V206" s="22"/>
      <c r="W206" s="272"/>
      <c r="X206" s="272"/>
      <c r="Y206" s="272"/>
      <c r="Z206" s="274"/>
      <c r="AA206" s="22"/>
      <c r="AB206" s="275"/>
      <c r="AC206" s="40"/>
      <c r="AD206" s="40"/>
    </row>
    <row r="207" spans="1:30" s="1" customFormat="1" x14ac:dyDescent="0.25">
      <c r="A207" s="9">
        <v>44068</v>
      </c>
      <c r="B207" s="364"/>
      <c r="C207" s="282" t="s">
        <v>922</v>
      </c>
      <c r="D207" s="132">
        <v>1000</v>
      </c>
      <c r="E207" s="22">
        <v>7.6</v>
      </c>
      <c r="F207" s="16">
        <f t="shared" si="36"/>
        <v>10000</v>
      </c>
      <c r="G207" s="17">
        <f t="shared" si="37"/>
        <v>9.6524217014000033</v>
      </c>
      <c r="H207" s="15">
        <f t="shared" si="38"/>
        <v>96524.217014000038</v>
      </c>
      <c r="I207" s="15">
        <f t="shared" si="39"/>
        <v>-20524.217014000038</v>
      </c>
      <c r="J207" s="33">
        <f t="shared" si="40"/>
        <v>-0.21263282571899206</v>
      </c>
      <c r="K207" s="15">
        <f t="shared" si="41"/>
        <v>76000</v>
      </c>
      <c r="L207" s="15">
        <f t="shared" si="33"/>
        <v>-1625.0045600000012</v>
      </c>
      <c r="M207" s="15"/>
      <c r="N207" s="15"/>
      <c r="O207" s="15"/>
      <c r="P207" s="17"/>
      <c r="Q207" s="31">
        <f t="shared" si="34"/>
        <v>-7605.0045600000012</v>
      </c>
      <c r="R207" s="34">
        <f t="shared" si="35"/>
        <v>5.0045599999999997</v>
      </c>
      <c r="S207" s="22"/>
      <c r="T207" s="273"/>
      <c r="U207" s="273"/>
      <c r="V207" s="22"/>
      <c r="W207" s="272"/>
      <c r="X207" s="272"/>
      <c r="Y207" s="272"/>
      <c r="Z207" s="274"/>
      <c r="AA207" s="22"/>
      <c r="AB207" s="275"/>
      <c r="AC207" s="40"/>
      <c r="AD207" s="40"/>
    </row>
    <row r="208" spans="1:30" s="1" customFormat="1" x14ac:dyDescent="0.25">
      <c r="A208" s="9">
        <v>44069</v>
      </c>
      <c r="B208" s="356" t="s">
        <v>1110</v>
      </c>
      <c r="C208" s="282" t="s">
        <v>922</v>
      </c>
      <c r="D208" s="132">
        <v>1000</v>
      </c>
      <c r="E208" s="22">
        <v>7.44</v>
      </c>
      <c r="F208" s="16">
        <f t="shared" si="36"/>
        <v>11000</v>
      </c>
      <c r="G208" s="17">
        <f t="shared" si="37"/>
        <v>9.4517474070909131</v>
      </c>
      <c r="H208" s="15">
        <f t="shared" si="38"/>
        <v>103969.22147800004</v>
      </c>
      <c r="I208" s="15">
        <f t="shared" si="39"/>
        <v>-22129.221478000036</v>
      </c>
      <c r="J208" s="33">
        <f t="shared" si="40"/>
        <v>-0.21284396635289413</v>
      </c>
      <c r="K208" s="15">
        <f t="shared" si="41"/>
        <v>81840</v>
      </c>
      <c r="L208" s="15">
        <f t="shared" si="33"/>
        <v>-1605.0044639999978</v>
      </c>
      <c r="M208" s="15"/>
      <c r="N208" s="15"/>
      <c r="O208" s="15"/>
      <c r="P208" s="17"/>
      <c r="Q208" s="31">
        <f t="shared" si="34"/>
        <v>-7445.0044639999978</v>
      </c>
      <c r="R208" s="34">
        <f t="shared" si="35"/>
        <v>5.0044639999999996</v>
      </c>
      <c r="S208" s="22"/>
      <c r="T208" s="273"/>
      <c r="U208" s="273"/>
      <c r="V208" s="22"/>
      <c r="W208" s="272"/>
      <c r="X208" s="272"/>
      <c r="Y208" s="272"/>
      <c r="Z208" s="274"/>
      <c r="AA208" s="22"/>
      <c r="AB208" s="275"/>
      <c r="AC208" s="40"/>
      <c r="AD208" s="40"/>
    </row>
    <row r="209" spans="1:30" s="1" customFormat="1" x14ac:dyDescent="0.25">
      <c r="A209" s="9">
        <v>44074</v>
      </c>
      <c r="B209" s="283" t="s">
        <v>1111</v>
      </c>
      <c r="C209" s="282" t="s">
        <v>926</v>
      </c>
      <c r="D209" s="132">
        <v>400</v>
      </c>
      <c r="E209" s="22">
        <v>7.61</v>
      </c>
      <c r="F209" s="16">
        <f t="shared" si="36"/>
        <v>10600</v>
      </c>
      <c r="G209" s="17">
        <f t="shared" si="37"/>
        <v>9.5220066079245314</v>
      </c>
      <c r="H209" s="15">
        <f t="shared" si="38"/>
        <v>100933.27004400003</v>
      </c>
      <c r="I209" s="15">
        <f t="shared" si="39"/>
        <v>-20267.270044000034</v>
      </c>
      <c r="J209" s="33">
        <f t="shared" si="40"/>
        <v>-0.20079870626568305</v>
      </c>
      <c r="K209" s="15">
        <f t="shared" si="41"/>
        <v>80666</v>
      </c>
      <c r="L209" s="15">
        <f t="shared" si="33"/>
        <v>1861.9514340000023</v>
      </c>
      <c r="M209" s="15"/>
      <c r="N209" s="15"/>
      <c r="O209" s="15"/>
      <c r="P209" s="17"/>
      <c r="Q209" s="31">
        <f t="shared" si="34"/>
        <v>3035.9514340000023</v>
      </c>
      <c r="R209" s="34">
        <f t="shared" si="35"/>
        <v>8.0485659999999992</v>
      </c>
      <c r="S209" s="22"/>
      <c r="T209" s="273"/>
      <c r="U209" s="273"/>
      <c r="V209" s="22"/>
      <c r="W209" s="272"/>
      <c r="X209" s="272"/>
      <c r="Y209" s="272"/>
      <c r="Z209" s="274"/>
      <c r="AA209" s="22"/>
      <c r="AB209" s="275"/>
      <c r="AC209" s="40"/>
      <c r="AD209" s="40"/>
    </row>
    <row r="210" spans="1:30" s="1" customFormat="1" x14ac:dyDescent="0.25">
      <c r="A210" s="9">
        <v>44083</v>
      </c>
      <c r="B210" s="283"/>
      <c r="C210" s="282" t="s">
        <v>922</v>
      </c>
      <c r="D210" s="132">
        <v>500</v>
      </c>
      <c r="E210" s="22">
        <v>7.3</v>
      </c>
      <c r="F210" s="16">
        <f t="shared" si="36"/>
        <v>11100</v>
      </c>
      <c r="G210" s="17">
        <f t="shared" si="37"/>
        <v>9.4223670652252274</v>
      </c>
      <c r="H210" s="15">
        <f t="shared" si="38"/>
        <v>104588.27442400003</v>
      </c>
      <c r="I210" s="15">
        <f t="shared" si="39"/>
        <v>-23558.274424000032</v>
      </c>
      <c r="J210" s="33">
        <f t="shared" si="40"/>
        <v>-0.22524775892654056</v>
      </c>
      <c r="K210" s="15">
        <f t="shared" si="41"/>
        <v>81030</v>
      </c>
      <c r="L210" s="15">
        <f t="shared" si="33"/>
        <v>-3291.0043799999985</v>
      </c>
      <c r="M210" s="15"/>
      <c r="N210" s="15"/>
      <c r="O210" s="15"/>
      <c r="P210" s="17"/>
      <c r="Q210" s="31">
        <f t="shared" si="34"/>
        <v>-3655.0043799999985</v>
      </c>
      <c r="R210" s="34">
        <f t="shared" si="35"/>
        <v>5.0043800000000003</v>
      </c>
      <c r="S210" s="22"/>
      <c r="T210" s="273"/>
      <c r="U210" s="273"/>
      <c r="V210" s="22"/>
      <c r="W210" s="272"/>
      <c r="X210" s="272"/>
      <c r="Y210" s="272"/>
      <c r="Z210" s="274"/>
      <c r="AA210" s="22"/>
      <c r="AB210" s="275"/>
      <c r="AC210" s="40"/>
      <c r="AD210" s="40"/>
    </row>
    <row r="211" spans="1:30" s="1" customFormat="1" x14ac:dyDescent="0.25">
      <c r="A211" s="9">
        <v>44084</v>
      </c>
      <c r="B211" s="271"/>
      <c r="C211" s="282" t="s">
        <v>922</v>
      </c>
      <c r="D211" s="132">
        <v>500</v>
      </c>
      <c r="E211" s="22">
        <v>7.05</v>
      </c>
      <c r="F211" s="16">
        <f t="shared" si="36"/>
        <v>11600</v>
      </c>
      <c r="G211" s="17">
        <f t="shared" si="37"/>
        <v>9.3205412632758655</v>
      </c>
      <c r="H211" s="15">
        <f t="shared" si="38"/>
        <v>108118.27865400004</v>
      </c>
      <c r="I211" s="15">
        <f t="shared" si="39"/>
        <v>-26338.278654000038</v>
      </c>
      <c r="J211" s="33">
        <f t="shared" si="40"/>
        <v>-0.2436061596789546</v>
      </c>
      <c r="K211" s="15">
        <f t="shared" si="41"/>
        <v>81780</v>
      </c>
      <c r="L211" s="15">
        <f t="shared" si="33"/>
        <v>-2780.0042300000059</v>
      </c>
      <c r="M211" s="15"/>
      <c r="N211" s="15"/>
      <c r="O211" s="15"/>
      <c r="P211" s="17"/>
      <c r="Q211" s="31">
        <f t="shared" si="34"/>
        <v>-3530.0042300000059</v>
      </c>
      <c r="R211" s="34">
        <f t="shared" si="35"/>
        <v>5.0042299999999997</v>
      </c>
      <c r="S211" s="22"/>
      <c r="T211" s="273"/>
      <c r="U211" s="273"/>
      <c r="V211" s="22"/>
      <c r="W211" s="272"/>
      <c r="X211" s="272"/>
      <c r="Y211" s="272"/>
      <c r="Z211" s="274"/>
      <c r="AA211" s="22"/>
      <c r="AB211" s="275"/>
      <c r="AC211" s="40"/>
      <c r="AD211" s="40"/>
    </row>
    <row r="212" spans="1:30" s="1" customFormat="1" x14ac:dyDescent="0.25">
      <c r="A212" s="9">
        <v>44089</v>
      </c>
      <c r="B212" s="283" t="s">
        <v>1112</v>
      </c>
      <c r="C212" s="282" t="s">
        <v>69</v>
      </c>
      <c r="D212" s="132">
        <v>400</v>
      </c>
      <c r="E212" s="22">
        <v>7.29</v>
      </c>
      <c r="F212" s="16">
        <f t="shared" si="36"/>
        <v>11200</v>
      </c>
      <c r="G212" s="17">
        <f t="shared" si="37"/>
        <v>9.3937677703571456</v>
      </c>
      <c r="H212" s="15">
        <f t="shared" si="38"/>
        <v>105210.19902800003</v>
      </c>
      <c r="I212" s="15">
        <f t="shared" si="39"/>
        <v>-23562.199028000032</v>
      </c>
      <c r="J212" s="33">
        <f t="shared" si="40"/>
        <v>-0.22395356387197143</v>
      </c>
      <c r="K212" s="15">
        <f t="shared" si="41"/>
        <v>81648</v>
      </c>
      <c r="L212" s="15">
        <f t="shared" si="33"/>
        <v>2776.0796260000061</v>
      </c>
      <c r="M212" s="15"/>
      <c r="N212" s="15"/>
      <c r="O212" s="15"/>
      <c r="P212" s="17"/>
      <c r="Q212" s="31">
        <f t="shared" si="34"/>
        <v>2908.0796260000061</v>
      </c>
      <c r="R212" s="34">
        <f t="shared" si="35"/>
        <v>7.9203740000000007</v>
      </c>
      <c r="S212" s="22"/>
      <c r="T212" s="273"/>
      <c r="U212" s="273"/>
      <c r="V212" s="22"/>
      <c r="W212" s="272"/>
      <c r="X212" s="272"/>
      <c r="Y212" s="272"/>
      <c r="Z212" s="274"/>
      <c r="AA212" s="22"/>
      <c r="AB212" s="275"/>
      <c r="AC212" s="40"/>
      <c r="AD212" s="40"/>
    </row>
    <row r="213" spans="1:30" s="1" customFormat="1" x14ac:dyDescent="0.25">
      <c r="A213" s="9">
        <v>44090</v>
      </c>
      <c r="B213" s="283"/>
      <c r="C213" s="282" t="s">
        <v>63</v>
      </c>
      <c r="D213" s="132">
        <v>400</v>
      </c>
      <c r="E213" s="22">
        <v>7.17</v>
      </c>
      <c r="F213" s="16">
        <f t="shared" si="36"/>
        <v>11600</v>
      </c>
      <c r="G213" s="17">
        <f t="shared" si="37"/>
        <v>9.3175175284482794</v>
      </c>
      <c r="H213" s="15">
        <f t="shared" si="38"/>
        <v>108083.20333000003</v>
      </c>
      <c r="I213" s="15">
        <f t="shared" si="39"/>
        <v>-24911.203330000033</v>
      </c>
      <c r="J213" s="33">
        <f t="shared" si="40"/>
        <v>-0.23048172669291697</v>
      </c>
      <c r="K213" s="15">
        <f t="shared" si="41"/>
        <v>83172</v>
      </c>
      <c r="L213" s="15">
        <f t="shared" si="33"/>
        <v>-1349.0043020000012</v>
      </c>
      <c r="M213" s="15"/>
      <c r="N213" s="15"/>
      <c r="O213" s="15"/>
      <c r="P213" s="17"/>
      <c r="Q213" s="31">
        <f t="shared" si="34"/>
        <v>-2873.0043020000012</v>
      </c>
      <c r="R213" s="34">
        <f t="shared" si="35"/>
        <v>5.004302</v>
      </c>
      <c r="S213" s="22"/>
      <c r="T213" s="273"/>
      <c r="U213" s="273"/>
      <c r="V213" s="22"/>
      <c r="W213" s="272"/>
      <c r="X213" s="272"/>
      <c r="Y213" s="272"/>
      <c r="Z213" s="274"/>
      <c r="AA213" s="22"/>
      <c r="AB213" s="275"/>
      <c r="AC213" s="40"/>
      <c r="AD213" s="40"/>
    </row>
    <row r="214" spans="1:30" s="1" customFormat="1" x14ac:dyDescent="0.25">
      <c r="A214" s="9">
        <v>44098</v>
      </c>
      <c r="B214" s="283"/>
      <c r="C214" s="282" t="s">
        <v>922</v>
      </c>
      <c r="D214" s="132">
        <v>400</v>
      </c>
      <c r="E214" s="22">
        <v>7.01</v>
      </c>
      <c r="F214" s="16">
        <f t="shared" si="36"/>
        <v>12000</v>
      </c>
      <c r="G214" s="17">
        <f t="shared" si="37"/>
        <v>9.2410172946666691</v>
      </c>
      <c r="H214" s="15">
        <f t="shared" si="38"/>
        <v>110892.20753600003</v>
      </c>
      <c r="I214" s="15">
        <f t="shared" si="39"/>
        <v>-26772.207536000031</v>
      </c>
      <c r="J214" s="33">
        <f t="shared" si="40"/>
        <v>-0.24142550798538939</v>
      </c>
      <c r="K214" s="15">
        <f t="shared" si="41"/>
        <v>84120</v>
      </c>
      <c r="L214" s="15">
        <f t="shared" si="33"/>
        <v>-1861.0042059999978</v>
      </c>
      <c r="M214" s="15"/>
      <c r="N214" s="15"/>
      <c r="O214" s="15"/>
      <c r="P214" s="17"/>
      <c r="Q214" s="31">
        <f t="shared" si="34"/>
        <v>-2809.0042059999978</v>
      </c>
      <c r="R214" s="34">
        <f t="shared" si="35"/>
        <v>5.0042059999999999</v>
      </c>
      <c r="S214" s="22"/>
      <c r="T214" s="273"/>
      <c r="U214" s="273"/>
      <c r="V214" s="22"/>
      <c r="W214" s="272"/>
      <c r="X214" s="272"/>
      <c r="Y214" s="272"/>
      <c r="Z214" s="274"/>
      <c r="AA214" s="22"/>
      <c r="AB214" s="275"/>
      <c r="AC214" s="40"/>
      <c r="AD214" s="40"/>
    </row>
    <row r="215" spans="1:30" s="1" customFormat="1" x14ac:dyDescent="0.25">
      <c r="A215" s="9">
        <v>44116</v>
      </c>
      <c r="B215" s="283" t="s">
        <v>1113</v>
      </c>
      <c r="C215" s="282" t="s">
        <v>69</v>
      </c>
      <c r="D215" s="132">
        <v>400</v>
      </c>
      <c r="E215" s="22">
        <v>7.19</v>
      </c>
      <c r="F215" s="16">
        <f t="shared" si="36"/>
        <v>11600</v>
      </c>
      <c r="G215" s="17">
        <f t="shared" si="37"/>
        <v>9.3124213663793132</v>
      </c>
      <c r="H215" s="15">
        <f t="shared" si="38"/>
        <v>108024.08785000003</v>
      </c>
      <c r="I215" s="15">
        <f t="shared" si="39"/>
        <v>-24620.087850000025</v>
      </c>
      <c r="J215" s="33">
        <f t="shared" si="40"/>
        <v>-0.22791294367777457</v>
      </c>
      <c r="K215" s="15">
        <f t="shared" si="41"/>
        <v>83404</v>
      </c>
      <c r="L215" s="15">
        <f t="shared" si="33"/>
        <v>2152.1196860000055</v>
      </c>
      <c r="M215" s="15"/>
      <c r="N215" s="15"/>
      <c r="O215" s="15"/>
      <c r="P215" s="17"/>
      <c r="Q215" s="31">
        <f t="shared" si="34"/>
        <v>2868.1196860000055</v>
      </c>
      <c r="R215" s="34">
        <f t="shared" si="35"/>
        <v>7.8803140000000003</v>
      </c>
      <c r="S215" s="22"/>
      <c r="T215" s="273"/>
      <c r="U215" s="273"/>
      <c r="V215" s="22"/>
      <c r="W215" s="272"/>
      <c r="X215" s="272"/>
      <c r="Y215" s="272"/>
      <c r="Z215" s="274"/>
      <c r="AA215" s="22"/>
      <c r="AB215" s="275"/>
      <c r="AC215" s="40"/>
      <c r="AD215" s="40"/>
    </row>
    <row r="216" spans="1:30" s="1" customFormat="1" x14ac:dyDescent="0.25">
      <c r="A216" s="9">
        <v>44120</v>
      </c>
      <c r="B216" s="283" t="s">
        <v>1114</v>
      </c>
      <c r="C216" s="282" t="s">
        <v>69</v>
      </c>
      <c r="D216" s="132">
        <v>400</v>
      </c>
      <c r="E216" s="22">
        <v>7.42</v>
      </c>
      <c r="F216" s="16">
        <f t="shared" si="36"/>
        <v>11200</v>
      </c>
      <c r="G216" s="17">
        <f t="shared" si="37"/>
        <v>9.3807196698214312</v>
      </c>
      <c r="H216" s="15">
        <f t="shared" si="38"/>
        <v>105064.06030200003</v>
      </c>
      <c r="I216" s="15">
        <f t="shared" si="39"/>
        <v>-21960.060302000027</v>
      </c>
      <c r="J216" s="33">
        <f t="shared" si="40"/>
        <v>-0.20901591123431951</v>
      </c>
      <c r="K216" s="15">
        <f t="shared" si="41"/>
        <v>83104</v>
      </c>
      <c r="L216" s="22">
        <f t="shared" si="33"/>
        <v>2660.0275479999982</v>
      </c>
      <c r="M216" s="22"/>
      <c r="N216" s="22"/>
      <c r="O216" s="22"/>
      <c r="P216" s="272"/>
      <c r="Q216" s="22">
        <f t="shared" si="34"/>
        <v>2960.0275479999982</v>
      </c>
      <c r="R216" s="34">
        <f t="shared" si="35"/>
        <v>7.9724519999999997</v>
      </c>
      <c r="S216" s="22"/>
      <c r="T216" s="273"/>
      <c r="U216" s="273"/>
      <c r="V216" s="22"/>
      <c r="W216" s="272"/>
      <c r="X216" s="272"/>
      <c r="Y216" s="272"/>
      <c r="Z216" s="274"/>
      <c r="AA216" s="22"/>
      <c r="AB216" s="275"/>
      <c r="AC216" s="40"/>
      <c r="AD216" s="40"/>
    </row>
    <row r="217" spans="1:30" s="1" customFormat="1" x14ac:dyDescent="0.25">
      <c r="A217" s="9">
        <v>44120</v>
      </c>
      <c r="B217" s="283" t="s">
        <v>1115</v>
      </c>
      <c r="C217" s="282" t="s">
        <v>69</v>
      </c>
      <c r="D217" s="132">
        <v>400</v>
      </c>
      <c r="E217" s="22">
        <v>7.53</v>
      </c>
      <c r="F217" s="16">
        <f t="shared" si="36"/>
        <v>10800</v>
      </c>
      <c r="G217" s="17">
        <f t="shared" si="37"/>
        <v>9.4500071129629664</v>
      </c>
      <c r="H217" s="15">
        <f t="shared" si="38"/>
        <v>102060.07682000003</v>
      </c>
      <c r="I217" s="15">
        <f t="shared" si="39"/>
        <v>-20736.076820000031</v>
      </c>
      <c r="J217" s="33">
        <f t="shared" si="40"/>
        <v>-0.20317520294024041</v>
      </c>
      <c r="K217" s="15">
        <f t="shared" si="41"/>
        <v>81324</v>
      </c>
      <c r="L217" s="22">
        <f t="shared" si="33"/>
        <v>1223.983481999996</v>
      </c>
      <c r="M217" s="22"/>
      <c r="N217" s="22"/>
      <c r="O217" s="22"/>
      <c r="P217" s="272"/>
      <c r="Q217" s="22">
        <f t="shared" si="34"/>
        <v>3003.983481999996</v>
      </c>
      <c r="R217" s="34">
        <f t="shared" si="35"/>
        <v>8.0165179999999996</v>
      </c>
      <c r="S217" s="22"/>
      <c r="T217" s="273"/>
      <c r="U217" s="273"/>
      <c r="V217" s="22"/>
      <c r="W217" s="272"/>
      <c r="X217" s="272"/>
      <c r="Y217" s="272"/>
      <c r="Z217" s="274"/>
      <c r="AA217" s="22"/>
      <c r="AB217" s="275"/>
      <c r="AC217" s="40"/>
      <c r="AD217" s="40"/>
    </row>
    <row r="218" spans="1:30" s="1" customFormat="1" x14ac:dyDescent="0.25">
      <c r="A218" s="9">
        <v>44120</v>
      </c>
      <c r="B218" s="283" t="s">
        <v>1111</v>
      </c>
      <c r="C218" s="282" t="s">
        <v>69</v>
      </c>
      <c r="D218" s="132">
        <v>400</v>
      </c>
      <c r="E218" s="22">
        <v>7.6</v>
      </c>
      <c r="F218" s="16">
        <f t="shared" si="36"/>
        <v>10400</v>
      </c>
      <c r="G218" s="17">
        <f t="shared" si="37"/>
        <v>9.5219347480769247</v>
      </c>
      <c r="H218" s="15">
        <f t="shared" si="38"/>
        <v>99028.121380000026</v>
      </c>
      <c r="I218" s="15">
        <f t="shared" si="39"/>
        <v>-19988.121380000026</v>
      </c>
      <c r="J218" s="33">
        <f t="shared" si="40"/>
        <v>-0.20184288161238284</v>
      </c>
      <c r="K218" s="15">
        <f t="shared" si="41"/>
        <v>79040</v>
      </c>
      <c r="L218" s="22">
        <f t="shared" si="33"/>
        <v>747.95544000000518</v>
      </c>
      <c r="M218" s="22"/>
      <c r="N218" s="22"/>
      <c r="O218" s="22"/>
      <c r="P218" s="272"/>
      <c r="Q218" s="22">
        <f t="shared" si="34"/>
        <v>3031.9554400000052</v>
      </c>
      <c r="R218" s="34">
        <f t="shared" si="35"/>
        <v>8.0445600000000006</v>
      </c>
      <c r="S218" s="22"/>
      <c r="T218" s="273"/>
      <c r="U218" s="273"/>
      <c r="V218" s="22"/>
      <c r="W218" s="272"/>
      <c r="X218" s="272"/>
      <c r="Y218" s="272"/>
      <c r="Z218" s="274"/>
      <c r="AA218" s="22"/>
      <c r="AB218" s="275"/>
      <c r="AC218" s="40"/>
      <c r="AD218" s="40"/>
    </row>
    <row r="219" spans="1:30" s="1" customFormat="1" x14ac:dyDescent="0.25">
      <c r="A219" s="9">
        <v>44123</v>
      </c>
      <c r="B219" s="283" t="s">
        <v>1116</v>
      </c>
      <c r="C219" s="282" t="s">
        <v>69</v>
      </c>
      <c r="D219" s="132">
        <v>400</v>
      </c>
      <c r="E219" s="22">
        <v>7.78</v>
      </c>
      <c r="F219" s="16">
        <f t="shared" si="36"/>
        <v>10000</v>
      </c>
      <c r="G219" s="17">
        <f t="shared" si="37"/>
        <v>9.5924238048000028</v>
      </c>
      <c r="H219" s="15">
        <f t="shared" si="38"/>
        <v>95924.238048000028</v>
      </c>
      <c r="I219" s="15">
        <f t="shared" si="39"/>
        <v>-18124.238048000028</v>
      </c>
      <c r="J219" s="33">
        <f t="shared" si="40"/>
        <v>-0.18894325789620287</v>
      </c>
      <c r="K219" s="15">
        <f t="shared" si="41"/>
        <v>77800</v>
      </c>
      <c r="L219" s="22">
        <f t="shared" si="33"/>
        <v>1863.8833319999976</v>
      </c>
      <c r="M219" s="22"/>
      <c r="N219" s="22"/>
      <c r="O219" s="22"/>
      <c r="P219" s="272"/>
      <c r="Q219" s="22">
        <f t="shared" si="34"/>
        <v>3103.8833319999976</v>
      </c>
      <c r="R219" s="34">
        <f t="shared" si="35"/>
        <v>8.1166680000000007</v>
      </c>
      <c r="S219" s="22"/>
      <c r="T219" s="273"/>
      <c r="U219" s="273"/>
      <c r="V219" s="22"/>
      <c r="W219" s="272"/>
      <c r="X219" s="272"/>
      <c r="Y219" s="272"/>
      <c r="Z219" s="274"/>
      <c r="AA219" s="22"/>
      <c r="AB219" s="275"/>
      <c r="AC219" s="40"/>
      <c r="AD219" s="40"/>
    </row>
    <row r="220" spans="1:30" s="1" customFormat="1" x14ac:dyDescent="0.25">
      <c r="A220" s="9">
        <v>44123</v>
      </c>
      <c r="B220" s="283" t="s">
        <v>1116</v>
      </c>
      <c r="C220" s="282" t="s">
        <v>69</v>
      </c>
      <c r="D220" s="132">
        <v>400</v>
      </c>
      <c r="E220" s="22">
        <v>7.92</v>
      </c>
      <c r="F220" s="16">
        <f t="shared" si="36"/>
        <v>9600</v>
      </c>
      <c r="G220" s="17">
        <f t="shared" si="37"/>
        <v>9.6629594583333365</v>
      </c>
      <c r="H220" s="15">
        <f t="shared" si="38"/>
        <v>92764.410800000027</v>
      </c>
      <c r="I220" s="15">
        <f t="shared" si="39"/>
        <v>-16732.410800000027</v>
      </c>
      <c r="J220" s="33">
        <f t="shared" si="40"/>
        <v>-0.18037532557690783</v>
      </c>
      <c r="K220" s="15">
        <f t="shared" si="41"/>
        <v>76032</v>
      </c>
      <c r="L220" s="22">
        <f t="shared" si="33"/>
        <v>1391.8272480000014</v>
      </c>
      <c r="M220" s="22"/>
      <c r="N220" s="22"/>
      <c r="O220" s="22"/>
      <c r="P220" s="272"/>
      <c r="Q220" s="22">
        <f t="shared" si="34"/>
        <v>3159.8272480000014</v>
      </c>
      <c r="R220" s="34">
        <f t="shared" si="35"/>
        <v>8.1727519999999991</v>
      </c>
      <c r="S220" s="22"/>
      <c r="T220" s="273"/>
      <c r="U220" s="273"/>
      <c r="V220" s="22"/>
      <c r="W220" s="272"/>
      <c r="X220" s="272"/>
      <c r="Y220" s="272"/>
      <c r="Z220" s="274"/>
      <c r="AA220" s="22"/>
      <c r="AB220" s="275"/>
      <c r="AC220" s="40"/>
      <c r="AD220" s="40"/>
    </row>
    <row r="221" spans="1:30" s="1" customFormat="1" x14ac:dyDescent="0.25">
      <c r="A221" s="9">
        <v>44130</v>
      </c>
      <c r="B221" s="271"/>
      <c r="C221" s="282" t="s">
        <v>63</v>
      </c>
      <c r="D221" s="132">
        <v>400</v>
      </c>
      <c r="E221" s="22">
        <v>7.48</v>
      </c>
      <c r="F221" s="16">
        <f t="shared" si="36"/>
        <v>10000</v>
      </c>
      <c r="G221" s="17">
        <f t="shared" si="37"/>
        <v>9.5761415288000027</v>
      </c>
      <c r="H221" s="15">
        <f t="shared" si="38"/>
        <v>95761.415288000033</v>
      </c>
      <c r="I221" s="15">
        <f t="shared" si="39"/>
        <v>-20961.415288000033</v>
      </c>
      <c r="J221" s="33">
        <f t="shared" si="40"/>
        <v>-0.21889207907964914</v>
      </c>
      <c r="K221" s="15">
        <f t="shared" si="41"/>
        <v>74800</v>
      </c>
      <c r="L221" s="22">
        <f t="shared" si="33"/>
        <v>-4229.0044880000059</v>
      </c>
      <c r="M221" s="22"/>
      <c r="N221" s="22"/>
      <c r="O221" s="22"/>
      <c r="P221" s="272"/>
      <c r="Q221" s="22">
        <f t="shared" si="34"/>
        <v>-2997.0044880000059</v>
      </c>
      <c r="R221" s="34">
        <f t="shared" si="35"/>
        <v>5.0044880000000003</v>
      </c>
      <c r="S221" s="22"/>
      <c r="T221" s="273"/>
      <c r="U221" s="273"/>
      <c r="V221" s="22"/>
      <c r="W221" s="272"/>
      <c r="X221" s="272"/>
      <c r="Y221" s="272"/>
      <c r="Z221" s="274"/>
      <c r="AA221" s="22"/>
      <c r="AB221" s="275"/>
      <c r="AC221" s="40"/>
      <c r="AD221" s="40"/>
    </row>
    <row r="222" spans="1:30" s="1" customFormat="1" x14ac:dyDescent="0.25">
      <c r="A222" s="9">
        <v>44130</v>
      </c>
      <c r="B222" s="271"/>
      <c r="C222" s="282" t="s">
        <v>922</v>
      </c>
      <c r="D222" s="132">
        <v>500</v>
      </c>
      <c r="E222" s="22">
        <v>7.4</v>
      </c>
      <c r="F222" s="16">
        <f t="shared" si="36"/>
        <v>10500</v>
      </c>
      <c r="G222" s="17">
        <f t="shared" si="37"/>
        <v>9.4729923550476229</v>
      </c>
      <c r="H222" s="15">
        <f t="shared" si="38"/>
        <v>99466.419728000037</v>
      </c>
      <c r="I222" s="15">
        <f t="shared" si="39"/>
        <v>-21766.419728000037</v>
      </c>
      <c r="J222" s="33">
        <f t="shared" si="40"/>
        <v>-0.21883184081142448</v>
      </c>
      <c r="K222" s="15">
        <f t="shared" si="41"/>
        <v>77700</v>
      </c>
      <c r="L222" s="22">
        <f t="shared" si="33"/>
        <v>-805.00444000000425</v>
      </c>
      <c r="M222" s="22"/>
      <c r="N222" s="22"/>
      <c r="O222" s="22"/>
      <c r="P222" s="272"/>
      <c r="Q222" s="22">
        <f t="shared" si="34"/>
        <v>-3705.0044400000043</v>
      </c>
      <c r="R222" s="34">
        <f t="shared" si="35"/>
        <v>5.0044399999999998</v>
      </c>
      <c r="S222" s="22"/>
      <c r="T222" s="273"/>
      <c r="U222" s="273"/>
      <c r="V222" s="22"/>
      <c r="W222" s="272"/>
      <c r="X222" s="272"/>
      <c r="Y222" s="272"/>
      <c r="Z222" s="274"/>
      <c r="AA222" s="22"/>
      <c r="AB222" s="275"/>
      <c r="AC222" s="40"/>
      <c r="AD222" s="40"/>
    </row>
    <row r="223" spans="1:30" s="1" customFormat="1" x14ac:dyDescent="0.25">
      <c r="A223" s="9">
        <v>44130</v>
      </c>
      <c r="B223" s="271"/>
      <c r="C223" s="282" t="s">
        <v>63</v>
      </c>
      <c r="D223" s="132">
        <v>300</v>
      </c>
      <c r="E223" s="22">
        <v>7.3</v>
      </c>
      <c r="F223" s="16">
        <f t="shared" si="36"/>
        <v>10800</v>
      </c>
      <c r="G223" s="17">
        <f t="shared" si="37"/>
        <v>9.4130948248148183</v>
      </c>
      <c r="H223" s="15">
        <f t="shared" si="38"/>
        <v>101661.42410800004</v>
      </c>
      <c r="I223" s="15">
        <f t="shared" si="39"/>
        <v>-22821.424108000036</v>
      </c>
      <c r="J223" s="33">
        <f t="shared" si="40"/>
        <v>-0.22448459981984606</v>
      </c>
      <c r="K223" s="15">
        <f t="shared" si="41"/>
        <v>78840</v>
      </c>
      <c r="L223" s="22">
        <f t="shared" si="33"/>
        <v>-1055.0043799999985</v>
      </c>
      <c r="M223" s="22"/>
      <c r="N223" s="22"/>
      <c r="O223" s="22"/>
      <c r="P223" s="272"/>
      <c r="Q223" s="22">
        <f t="shared" si="34"/>
        <v>-2195.0043799999985</v>
      </c>
      <c r="R223" s="34">
        <f t="shared" si="35"/>
        <v>5.0043800000000003</v>
      </c>
      <c r="S223" s="22"/>
      <c r="T223" s="273"/>
      <c r="U223" s="273"/>
      <c r="V223" s="22"/>
      <c r="W223" s="272"/>
      <c r="X223" s="272"/>
      <c r="Y223" s="272"/>
      <c r="Z223" s="274"/>
      <c r="AA223" s="22"/>
      <c r="AB223" s="275"/>
      <c r="AC223" s="40"/>
      <c r="AD223" s="40"/>
    </row>
    <row r="224" spans="1:30" s="1" customFormat="1" x14ac:dyDescent="0.25">
      <c r="A224" s="9">
        <v>44138</v>
      </c>
      <c r="B224" s="271"/>
      <c r="C224" s="282" t="s">
        <v>922</v>
      </c>
      <c r="D224" s="132">
        <v>400</v>
      </c>
      <c r="E224" s="22">
        <v>7</v>
      </c>
      <c r="F224" s="16">
        <f t="shared" si="36"/>
        <v>11200</v>
      </c>
      <c r="G224" s="17">
        <f t="shared" si="37"/>
        <v>9.3273596703571453</v>
      </c>
      <c r="H224" s="15">
        <f t="shared" si="38"/>
        <v>104466.42830800003</v>
      </c>
      <c r="I224" s="15">
        <f t="shared" si="39"/>
        <v>-26066.428308000031</v>
      </c>
      <c r="J224" s="33">
        <f t="shared" si="40"/>
        <v>-0.24951966608016848</v>
      </c>
      <c r="K224" s="15">
        <f t="shared" si="41"/>
        <v>78400</v>
      </c>
      <c r="L224" s="22">
        <f t="shared" si="33"/>
        <v>-3245.0041999999958</v>
      </c>
      <c r="M224" s="22"/>
      <c r="N224" s="22"/>
      <c r="O224" s="22"/>
      <c r="P224" s="272"/>
      <c r="Q224" s="22">
        <f t="shared" si="34"/>
        <v>-2805.0041999999958</v>
      </c>
      <c r="R224" s="34">
        <f t="shared" si="35"/>
        <v>5.0042</v>
      </c>
      <c r="S224" s="22"/>
      <c r="T224" s="273"/>
      <c r="U224" s="273"/>
      <c r="V224" s="22"/>
      <c r="W224" s="272"/>
      <c r="X224" s="272"/>
      <c r="Y224" s="272"/>
      <c r="Z224" s="274"/>
      <c r="AA224" s="22"/>
      <c r="AB224" s="275"/>
      <c r="AC224" s="40"/>
      <c r="AD224" s="40"/>
    </row>
    <row r="225" spans="1:33" s="1" customFormat="1" x14ac:dyDescent="0.25">
      <c r="A225" s="9">
        <v>44148</v>
      </c>
      <c r="B225" s="271"/>
      <c r="C225" s="282" t="s">
        <v>922</v>
      </c>
      <c r="D225" s="132">
        <v>400</v>
      </c>
      <c r="E225" s="22">
        <v>6.85</v>
      </c>
      <c r="F225" s="16">
        <f t="shared" si="36"/>
        <v>11600</v>
      </c>
      <c r="G225" s="17">
        <f t="shared" si="37"/>
        <v>9.2423648636206917</v>
      </c>
      <c r="H225" s="15">
        <f t="shared" si="38"/>
        <v>107211.43241800003</v>
      </c>
      <c r="I225" s="15">
        <f t="shared" si="39"/>
        <v>-27751.432418000026</v>
      </c>
      <c r="J225" s="33">
        <f t="shared" si="40"/>
        <v>-0.25884769741534358</v>
      </c>
      <c r="K225" s="15">
        <f t="shared" si="41"/>
        <v>79460</v>
      </c>
      <c r="L225" s="22">
        <f t="shared" si="33"/>
        <v>-1685.0041099999944</v>
      </c>
      <c r="M225" s="22"/>
      <c r="N225" s="22"/>
      <c r="O225" s="22"/>
      <c r="P225" s="272"/>
      <c r="Q225" s="22">
        <f t="shared" si="34"/>
        <v>-2745.0041099999944</v>
      </c>
      <c r="R225" s="34">
        <f t="shared" si="35"/>
        <v>5.0041099999999998</v>
      </c>
      <c r="S225" s="22"/>
      <c r="T225" s="273"/>
      <c r="U225" s="273"/>
      <c r="V225" s="22"/>
      <c r="W225" s="272"/>
      <c r="X225" s="272"/>
      <c r="Y225" s="272"/>
      <c r="Z225" s="274"/>
      <c r="AA225" s="22"/>
      <c r="AB225" s="275"/>
      <c r="AC225" s="40"/>
      <c r="AD225" s="40"/>
    </row>
    <row r="226" spans="1:33" s="1" customFormat="1" x14ac:dyDescent="0.25">
      <c r="A226" s="9">
        <v>44151</v>
      </c>
      <c r="B226" s="283" t="s">
        <v>1117</v>
      </c>
      <c r="C226" s="282" t="s">
        <v>926</v>
      </c>
      <c r="D226" s="132">
        <v>400</v>
      </c>
      <c r="E226" s="22">
        <v>7.04</v>
      </c>
      <c r="F226" s="16">
        <f t="shared" si="36"/>
        <v>11200</v>
      </c>
      <c r="G226" s="17">
        <f t="shared" si="37"/>
        <v>9.3217189858928595</v>
      </c>
      <c r="H226" s="15">
        <f t="shared" si="38"/>
        <v>104403.25264200002</v>
      </c>
      <c r="I226" s="15">
        <f t="shared" si="39"/>
        <v>-25555.252642000021</v>
      </c>
      <c r="J226" s="33">
        <f t="shared" si="40"/>
        <v>-0.24477448733929091</v>
      </c>
      <c r="K226" s="15">
        <f t="shared" si="41"/>
        <v>78848</v>
      </c>
      <c r="L226" s="22">
        <f t="shared" si="33"/>
        <v>2196.1797760000045</v>
      </c>
      <c r="M226" s="22"/>
      <c r="N226" s="22"/>
      <c r="O226" s="22"/>
      <c r="P226" s="272"/>
      <c r="Q226" s="22">
        <f t="shared" si="34"/>
        <v>2808.1797760000045</v>
      </c>
      <c r="R226" s="34">
        <f t="shared" si="35"/>
        <v>7.8202239999999996</v>
      </c>
      <c r="S226" s="22"/>
      <c r="T226" s="273"/>
      <c r="U226" s="273"/>
      <c r="V226" s="22"/>
      <c r="W226" s="272"/>
      <c r="X226" s="272"/>
      <c r="Y226" s="272"/>
      <c r="Z226" s="274"/>
      <c r="AA226" s="22"/>
      <c r="AB226" s="275"/>
      <c r="AC226" s="40"/>
      <c r="AD226" s="40"/>
    </row>
    <row r="227" spans="1:33" s="1" customFormat="1" x14ac:dyDescent="0.25">
      <c r="A227" s="9">
        <v>44161</v>
      </c>
      <c r="B227" s="271"/>
      <c r="C227" s="282" t="s">
        <v>623</v>
      </c>
      <c r="D227" s="132">
        <v>400</v>
      </c>
      <c r="E227" s="22">
        <v>6.89</v>
      </c>
      <c r="F227" s="16">
        <f t="shared" si="36"/>
        <v>11600</v>
      </c>
      <c r="G227" s="17">
        <f t="shared" si="37"/>
        <v>9.2382979979310367</v>
      </c>
      <c r="H227" s="15">
        <f t="shared" si="38"/>
        <v>107164.25677600002</v>
      </c>
      <c r="I227" s="15">
        <f t="shared" si="39"/>
        <v>-27240.256776000024</v>
      </c>
      <c r="J227" s="33">
        <f t="shared" si="40"/>
        <v>-0.25419162690540509</v>
      </c>
      <c r="K227" s="15">
        <f t="shared" si="41"/>
        <v>79924</v>
      </c>
      <c r="L227" s="22">
        <f t="shared" si="33"/>
        <v>-1685.0041340000025</v>
      </c>
      <c r="M227" s="22"/>
      <c r="N227" s="22"/>
      <c r="O227" s="22"/>
      <c r="P227" s="272"/>
      <c r="Q227" s="22">
        <f t="shared" si="34"/>
        <v>-2761.0041340000025</v>
      </c>
      <c r="R227" s="34">
        <f t="shared" si="35"/>
        <v>5.0041339999999996</v>
      </c>
      <c r="S227" s="22"/>
      <c r="T227" s="273"/>
      <c r="U227" s="273"/>
      <c r="V227" s="22"/>
      <c r="W227" s="272"/>
      <c r="X227" s="272"/>
      <c r="Y227" s="272"/>
      <c r="Z227" s="274"/>
      <c r="AA227" s="22"/>
      <c r="AB227" s="275"/>
      <c r="AC227" s="40"/>
      <c r="AD227" s="40"/>
    </row>
    <row r="228" spans="1:33" s="1" customFormat="1" x14ac:dyDescent="0.25">
      <c r="A228" s="9">
        <v>44166</v>
      </c>
      <c r="B228" s="271"/>
      <c r="C228" s="282" t="s">
        <v>623</v>
      </c>
      <c r="D228" s="132">
        <v>400</v>
      </c>
      <c r="E228" s="22">
        <v>6.75</v>
      </c>
      <c r="F228" s="16">
        <f t="shared" si="36"/>
        <v>12000</v>
      </c>
      <c r="G228" s="17">
        <f t="shared" si="37"/>
        <v>9.1557717355000019</v>
      </c>
      <c r="H228" s="15">
        <f t="shared" si="38"/>
        <v>109869.26082600003</v>
      </c>
      <c r="I228" s="15">
        <f t="shared" si="39"/>
        <v>-28869.260826000027</v>
      </c>
      <c r="J228" s="33">
        <f t="shared" si="40"/>
        <v>-0.2627601260712974</v>
      </c>
      <c r="K228" s="15">
        <f t="shared" si="41"/>
        <v>81000</v>
      </c>
      <c r="L228" s="22">
        <f t="shared" si="33"/>
        <v>-1629.0040500000032</v>
      </c>
      <c r="M228" s="22"/>
      <c r="N228" s="22"/>
      <c r="O228" s="22"/>
      <c r="P228" s="272"/>
      <c r="Q228" s="22">
        <f t="shared" si="34"/>
        <v>-2705.0040500000032</v>
      </c>
      <c r="R228" s="34">
        <f t="shared" si="35"/>
        <v>5.0040500000000003</v>
      </c>
      <c r="S228" s="22"/>
      <c r="T228" s="273"/>
      <c r="U228" s="273"/>
      <c r="V228" s="22"/>
      <c r="W228" s="272"/>
      <c r="X228" s="272"/>
      <c r="Y228" s="272"/>
      <c r="Z228" s="274"/>
      <c r="AA228" s="22"/>
      <c r="AB228" s="275"/>
      <c r="AC228" s="40"/>
      <c r="AD228" s="40"/>
    </row>
    <row r="229" spans="1:33" s="1" customFormat="1" x14ac:dyDescent="0.25">
      <c r="A229" s="9">
        <v>44176</v>
      </c>
      <c r="B229" s="283"/>
      <c r="C229" s="282" t="s">
        <v>623</v>
      </c>
      <c r="D229" s="132">
        <v>400</v>
      </c>
      <c r="E229" s="22">
        <v>6.53</v>
      </c>
      <c r="F229" s="16">
        <f t="shared" si="36"/>
        <v>12400</v>
      </c>
      <c r="G229" s="17">
        <f t="shared" si="37"/>
        <v>9.0714729632258084</v>
      </c>
      <c r="H229" s="15">
        <f t="shared" si="38"/>
        <v>112486.26474400003</v>
      </c>
      <c r="I229" s="15">
        <f t="shared" si="39"/>
        <v>-31514.264744000029</v>
      </c>
      <c r="J229" s="33">
        <f t="shared" si="40"/>
        <v>-0.28016100290752149</v>
      </c>
      <c r="K229" s="15">
        <f t="shared" si="41"/>
        <v>80972</v>
      </c>
      <c r="L229" s="22">
        <f t="shared" si="33"/>
        <v>-2645.0039180000022</v>
      </c>
      <c r="M229" s="22"/>
      <c r="N229" s="22"/>
      <c r="O229" s="22"/>
      <c r="P229" s="272"/>
      <c r="Q229" s="22">
        <f t="shared" si="34"/>
        <v>-2617.0039180000022</v>
      </c>
      <c r="R229" s="34">
        <f t="shared" si="35"/>
        <v>5.0039179999999996</v>
      </c>
      <c r="S229" s="22"/>
      <c r="T229" s="273"/>
      <c r="U229" s="273"/>
      <c r="V229" s="22"/>
      <c r="W229" s="272"/>
      <c r="X229" s="272"/>
      <c r="Y229" s="272"/>
      <c r="Z229" s="274"/>
      <c r="AA229" s="22"/>
      <c r="AB229" s="275"/>
      <c r="AC229" s="40"/>
      <c r="AD229" s="40"/>
    </row>
    <row r="230" spans="1:33" s="1" customFormat="1" x14ac:dyDescent="0.25">
      <c r="A230" s="9">
        <v>44209</v>
      </c>
      <c r="B230" s="283"/>
      <c r="C230" s="282" t="s">
        <v>922</v>
      </c>
      <c r="D230" s="132">
        <v>400</v>
      </c>
      <c r="E230" s="22">
        <v>5.58</v>
      </c>
      <c r="F230" s="16">
        <f t="shared" si="36"/>
        <v>12800</v>
      </c>
      <c r="G230" s="17">
        <f t="shared" si="37"/>
        <v>8.9627553196875027</v>
      </c>
      <c r="H230" s="15">
        <f t="shared" si="38"/>
        <v>114723.26809200003</v>
      </c>
      <c r="I230" s="15">
        <f t="shared" si="39"/>
        <v>-43299.268092000028</v>
      </c>
      <c r="J230" s="33">
        <f t="shared" si="40"/>
        <v>-0.37742359341852999</v>
      </c>
      <c r="K230" s="15">
        <f t="shared" si="41"/>
        <v>71424</v>
      </c>
      <c r="L230" s="22">
        <f t="shared" si="33"/>
        <v>-11785.003347999998</v>
      </c>
      <c r="M230" s="22"/>
      <c r="N230" s="22"/>
      <c r="O230" s="22"/>
      <c r="P230" s="272"/>
      <c r="Q230" s="22">
        <f t="shared" si="34"/>
        <v>-2237.0033479999984</v>
      </c>
      <c r="R230" s="34">
        <f t="shared" si="35"/>
        <v>5.0033479999999999</v>
      </c>
      <c r="S230" s="22"/>
      <c r="T230" s="273"/>
      <c r="U230" s="273"/>
      <c r="V230" s="22"/>
      <c r="W230" s="272"/>
      <c r="X230" s="272"/>
      <c r="Y230" s="272"/>
      <c r="Z230" s="274"/>
      <c r="AA230" s="22"/>
      <c r="AB230" s="275"/>
      <c r="AC230" s="40"/>
      <c r="AD230" s="40"/>
    </row>
    <row r="231" spans="1:33" s="1" customFormat="1" x14ac:dyDescent="0.25">
      <c r="A231" s="9">
        <v>44225</v>
      </c>
      <c r="B231" s="283"/>
      <c r="C231" s="306" t="s">
        <v>63</v>
      </c>
      <c r="D231" s="16">
        <v>400</v>
      </c>
      <c r="E231" s="15">
        <v>5.33</v>
      </c>
      <c r="F231" s="16">
        <f t="shared" si="36"/>
        <v>13200</v>
      </c>
      <c r="G231" s="17">
        <f t="shared" si="37"/>
        <v>8.8530508553030334</v>
      </c>
      <c r="H231" s="15">
        <f t="shared" si="38"/>
        <v>116860.27129000003</v>
      </c>
      <c r="I231" s="15">
        <f t="shared" si="39"/>
        <v>-46504.271290000033</v>
      </c>
      <c r="J231" s="33">
        <f t="shared" si="40"/>
        <v>-0.39794765814461619</v>
      </c>
      <c r="K231" s="15">
        <f t="shared" si="41"/>
        <v>70356</v>
      </c>
      <c r="L231" s="22">
        <f t="shared" si="33"/>
        <v>-3205.0031980000058</v>
      </c>
      <c r="M231" s="22"/>
      <c r="N231" s="22"/>
      <c r="O231" s="22"/>
      <c r="P231" s="272"/>
      <c r="Q231" s="22">
        <f t="shared" si="34"/>
        <v>-2137.0031980000058</v>
      </c>
      <c r="R231" s="34">
        <f t="shared" si="35"/>
        <v>5.0031980000000003</v>
      </c>
      <c r="S231" s="22"/>
      <c r="T231" s="273"/>
      <c r="U231" s="273"/>
      <c r="V231" s="22"/>
      <c r="W231" s="272"/>
      <c r="X231" s="272"/>
      <c r="Y231" s="272"/>
      <c r="Z231" s="274"/>
      <c r="AA231" s="22"/>
      <c r="AB231" s="275"/>
      <c r="AC231" s="40"/>
      <c r="AD231" s="40"/>
    </row>
    <row r="232" spans="1:33" s="1" customFormat="1" x14ac:dyDescent="0.25">
      <c r="A232" s="9">
        <v>44228</v>
      </c>
      <c r="B232" s="283" t="s">
        <v>1174</v>
      </c>
      <c r="C232" s="22" t="s">
        <v>69</v>
      </c>
      <c r="D232" s="132">
        <v>400</v>
      </c>
      <c r="E232" s="22">
        <v>5.83</v>
      </c>
      <c r="F232" s="16">
        <f t="shared" si="36"/>
        <v>12800</v>
      </c>
      <c r="G232" s="17">
        <f t="shared" si="37"/>
        <v>8.9480942803125032</v>
      </c>
      <c r="H232" s="15">
        <f t="shared" si="38"/>
        <v>114535.60678800003</v>
      </c>
      <c r="I232" s="15">
        <f t="shared" si="39"/>
        <v>-39911.606788000034</v>
      </c>
      <c r="J232" s="33">
        <f t="shared" si="40"/>
        <v>-0.34846462080455493</v>
      </c>
      <c r="K232" s="15">
        <f t="shared" si="41"/>
        <v>74624</v>
      </c>
      <c r="L232" s="22">
        <f t="shared" si="33"/>
        <v>6592.6645019999996</v>
      </c>
      <c r="M232" s="22"/>
      <c r="N232" s="22"/>
      <c r="O232" s="22"/>
      <c r="P232" s="272"/>
      <c r="Q232" s="22">
        <f t="shared" si="34"/>
        <v>2324.6645019999996</v>
      </c>
      <c r="R232" s="34">
        <f t="shared" si="35"/>
        <v>7.3354979999999994</v>
      </c>
      <c r="S232" s="22"/>
      <c r="T232" s="273"/>
      <c r="U232" s="273"/>
      <c r="V232" s="22"/>
      <c r="W232" s="272"/>
      <c r="X232" s="272"/>
      <c r="Y232" s="272"/>
      <c r="Z232" s="274"/>
      <c r="AA232" s="22"/>
      <c r="AB232" s="275"/>
      <c r="AC232" s="40"/>
      <c r="AD232" s="40"/>
    </row>
    <row r="233" spans="1:33" s="1" customFormat="1" x14ac:dyDescent="0.25">
      <c r="A233" s="9">
        <v>43882</v>
      </c>
      <c r="B233" s="271"/>
      <c r="C233" s="22" t="s">
        <v>63</v>
      </c>
      <c r="D233" s="132">
        <v>400</v>
      </c>
      <c r="E233" s="22">
        <v>5.48</v>
      </c>
      <c r="F233" s="16">
        <f t="shared" si="36"/>
        <v>13200</v>
      </c>
      <c r="G233" s="17">
        <f t="shared" si="37"/>
        <v>8.8433795512121236</v>
      </c>
      <c r="H233" s="15">
        <f t="shared" si="38"/>
        <v>116732.61007600004</v>
      </c>
      <c r="I233" s="15">
        <f t="shared" si="39"/>
        <v>-44396.610076000041</v>
      </c>
      <c r="J233" s="33">
        <f t="shared" si="40"/>
        <v>-0.38032739991931247</v>
      </c>
      <c r="K233" s="15">
        <f t="shared" si="41"/>
        <v>72336</v>
      </c>
      <c r="L233" s="22">
        <f t="shared" si="33"/>
        <v>-4485.0032880000072</v>
      </c>
      <c r="M233" s="22"/>
      <c r="N233" s="22"/>
      <c r="O233" s="22"/>
      <c r="P233" s="272"/>
      <c r="Q233" s="22">
        <f t="shared" si="34"/>
        <v>-2197.0032880000072</v>
      </c>
      <c r="R233" s="34">
        <f t="shared" si="35"/>
        <v>5.0032880000000004</v>
      </c>
      <c r="S233" s="22"/>
      <c r="T233" s="273"/>
      <c r="U233" s="273"/>
      <c r="V233" s="22"/>
      <c r="W233" s="272"/>
      <c r="X233" s="272"/>
      <c r="Y233" s="272"/>
      <c r="Z233" s="274"/>
      <c r="AA233" s="22"/>
      <c r="AB233" s="275"/>
      <c r="AC233" s="40"/>
      <c r="AD233" s="40"/>
    </row>
    <row r="234" spans="1:33" s="1" customFormat="1" x14ac:dyDescent="0.25">
      <c r="A234" s="9">
        <v>44231</v>
      </c>
      <c r="B234" s="283" t="s">
        <v>1175</v>
      </c>
      <c r="C234" s="282" t="s">
        <v>634</v>
      </c>
      <c r="D234" s="132">
        <v>400</v>
      </c>
      <c r="E234" s="22">
        <v>5.64</v>
      </c>
      <c r="F234" s="16">
        <f t="shared" si="36"/>
        <v>12800</v>
      </c>
      <c r="G234" s="17">
        <f t="shared" si="37"/>
        <v>8.944052301562504</v>
      </c>
      <c r="H234" s="15">
        <f t="shared" si="38"/>
        <v>114483.86946000005</v>
      </c>
      <c r="I234" s="15">
        <f t="shared" si="39"/>
        <v>-42291.869460000045</v>
      </c>
      <c r="J234" s="33">
        <f t="shared" si="40"/>
        <v>-0.36941334757012706</v>
      </c>
      <c r="K234" s="15">
        <f t="shared" si="41"/>
        <v>72192</v>
      </c>
      <c r="L234" s="22">
        <f t="shared" si="33"/>
        <v>2104.7406159999955</v>
      </c>
      <c r="M234" s="22"/>
      <c r="N234" s="22"/>
      <c r="O234" s="22"/>
      <c r="P234" s="272"/>
      <c r="Q234" s="22">
        <f t="shared" si="34"/>
        <v>2248.7406159999955</v>
      </c>
      <c r="R234" s="34">
        <f t="shared" si="35"/>
        <v>7.2593839999999989</v>
      </c>
      <c r="S234" s="22"/>
      <c r="T234" s="273"/>
      <c r="U234" s="273"/>
      <c r="V234" s="22"/>
      <c r="W234" s="272"/>
      <c r="X234" s="272"/>
      <c r="Y234" s="272"/>
      <c r="Z234" s="274"/>
      <c r="AA234" s="22"/>
      <c r="AB234" s="275"/>
      <c r="AC234" s="40"/>
      <c r="AD234" s="40"/>
    </row>
    <row r="235" spans="1:33" s="70" customFormat="1" x14ac:dyDescent="0.25">
      <c r="A235" s="9">
        <v>44246</v>
      </c>
      <c r="B235" s="402" t="s">
        <v>1194</v>
      </c>
      <c r="C235" s="306" t="s">
        <v>1192</v>
      </c>
      <c r="D235" s="16">
        <v>400</v>
      </c>
      <c r="E235" s="15">
        <v>5.91</v>
      </c>
      <c r="F235" s="102">
        <f t="shared" si="36"/>
        <v>12400</v>
      </c>
      <c r="G235" s="32">
        <f t="shared" si="37"/>
        <v>9.0425191133870992</v>
      </c>
      <c r="H235" s="390">
        <f>IF(C235="买",H234+D235*E235+R235+S235,IF(C235="卖",H234-D235*E235+R235+S235,H234))</f>
        <v>112127.23700600004</v>
      </c>
      <c r="I235" s="390">
        <f t="shared" si="39"/>
        <v>-38843.237006000039</v>
      </c>
      <c r="J235" s="391">
        <f t="shared" si="40"/>
        <v>-0.34642106630988767</v>
      </c>
      <c r="K235" s="390">
        <f>IF(C235="买",F235*E235,IF(C235="卖",F235*E235,K234))</f>
        <v>73284</v>
      </c>
      <c r="L235" s="390">
        <f t="shared" si="33"/>
        <v>3448.632454000006</v>
      </c>
      <c r="M235" s="390" t="str">
        <f>Uncovered(0)</f>
        <v>0@0</v>
      </c>
      <c r="N235" s="390" t="str">
        <f>Uncovered(1)</f>
        <v>0@0</v>
      </c>
      <c r="O235" s="390" t="str">
        <f>Covered(0)</f>
        <v>0@0</v>
      </c>
      <c r="P235" s="32" t="str">
        <f>Covered(1)</f>
        <v>0@0</v>
      </c>
      <c r="Q235" s="31">
        <f t="shared" si="34"/>
        <v>2356.632454000006</v>
      </c>
      <c r="R235" s="393">
        <f t="shared" si="35"/>
        <v>7.3675459999999999</v>
      </c>
      <c r="S235" s="393"/>
      <c r="T235" s="393"/>
      <c r="U235" s="393"/>
      <c r="V235" s="31"/>
      <c r="W235" s="32"/>
      <c r="X235" s="32"/>
      <c r="Y235" s="32"/>
      <c r="Z235" s="394" t="e">
        <f t="shared" ref="Z235:Z252" si="42">F235/U235</f>
        <v>#DIV/0!</v>
      </c>
      <c r="AA235" s="31"/>
      <c r="AB235" s="322"/>
      <c r="AC235" s="237">
        <f t="shared" ref="AC235:AC252" si="43">I235/E235*(1-0.0005)</f>
        <v>-6569.1735004225111</v>
      </c>
      <c r="AD235" s="237">
        <f t="shared" ref="AD235:AD252" si="44">AC235-F235</f>
        <v>-18969.173500422512</v>
      </c>
      <c r="AE235" s="165"/>
      <c r="AF235" s="165"/>
      <c r="AG235" s="165"/>
    </row>
    <row r="236" spans="1:33" x14ac:dyDescent="0.25">
      <c r="B236" s="400"/>
      <c r="C236" s="306" t="s">
        <v>634</v>
      </c>
      <c r="D236" s="16">
        <v>400</v>
      </c>
      <c r="E236" s="15">
        <f>E235+0.25</f>
        <v>6.16</v>
      </c>
      <c r="F236" s="102">
        <f t="shared" ref="F236" si="45">IF(C236="买",F235+D236,IF(C236="卖",F235-D236,F235))</f>
        <v>12000</v>
      </c>
      <c r="G236" s="32">
        <f t="shared" ref="G236" si="46">H236/F236</f>
        <v>9.139225391833337</v>
      </c>
      <c r="H236" s="390">
        <f>IF(C236="买",H235+D236*E236+R236+S236,IF(C236="卖",H235-D236*E236+R236+S236,H235))</f>
        <v>109670.70470200005</v>
      </c>
      <c r="I236" s="390">
        <f t="shared" ref="I236:I252" si="47">-H236+K236</f>
        <v>-35750.704702000046</v>
      </c>
      <c r="J236" s="391">
        <f t="shared" ref="J236:J252" si="48">(E236-G236)/G236</f>
        <v>-0.3259822648093923</v>
      </c>
      <c r="K236" s="390">
        <f t="shared" ref="K236:K252" si="49">F236*E236</f>
        <v>73920</v>
      </c>
      <c r="L236" s="390">
        <f t="shared" ref="L236:L252" si="50">I236-I235</f>
        <v>3092.532303999993</v>
      </c>
      <c r="M236" s="390"/>
      <c r="N236" s="390"/>
      <c r="O236" s="143"/>
      <c r="P236" s="32"/>
      <c r="Q236" s="31">
        <f t="shared" ref="Q236:Q252" si="51">(H236-H235)*-1</f>
        <v>2456.532303999993</v>
      </c>
      <c r="R236" s="393">
        <f t="shared" ref="R236:R252" si="52">commission($B$2,C236,D236,E236)</f>
        <v>7.4676960000000001</v>
      </c>
      <c r="S236" s="393"/>
      <c r="T236" s="393"/>
      <c r="U236" s="393"/>
      <c r="V236" s="31"/>
      <c r="W236" s="32"/>
      <c r="X236" s="32"/>
      <c r="Y236" s="32"/>
      <c r="Z236" s="394" t="e">
        <f t="shared" si="42"/>
        <v>#DIV/0!</v>
      </c>
      <c r="AA236" s="31"/>
      <c r="AB236" s="322"/>
      <c r="AC236" s="40">
        <f t="shared" si="43"/>
        <v>-5800.7839853326377</v>
      </c>
      <c r="AD236" s="40">
        <f t="shared" si="44"/>
        <v>-17800.783985332637</v>
      </c>
    </row>
    <row r="237" spans="1:33" x14ac:dyDescent="0.25">
      <c r="B237" s="400"/>
      <c r="C237" s="306" t="s">
        <v>634</v>
      </c>
      <c r="D237" s="16">
        <v>400</v>
      </c>
      <c r="E237" s="15">
        <f t="shared" ref="E237:E245" si="53">E236+0.25</f>
        <v>6.41</v>
      </c>
      <c r="F237" s="102">
        <f t="shared" ref="F237:F245" si="54">IF(C237="买",F236+D237,IF(C237="卖",F236-D237,F236))</f>
        <v>11600</v>
      </c>
      <c r="G237" s="32">
        <f t="shared" ref="G237:G245" si="55">H237/F237</f>
        <v>9.2339890127586255</v>
      </c>
      <c r="H237" s="390">
        <f t="shared" ref="H237:H245" si="56">IF(C237="买",H236+D237*E237+R237+S237,IF(C237="卖",H236-D237*E237+R237+S237,H236))</f>
        <v>107114.27254800005</v>
      </c>
      <c r="I237" s="390">
        <f t="shared" si="47"/>
        <v>-32758.272548000052</v>
      </c>
      <c r="J237" s="391">
        <f t="shared" si="48"/>
        <v>-0.30582546815430611</v>
      </c>
      <c r="K237" s="390">
        <f t="shared" si="49"/>
        <v>74356</v>
      </c>
      <c r="L237" s="390">
        <f t="shared" si="50"/>
        <v>2992.4321539999946</v>
      </c>
      <c r="M237" s="390"/>
      <c r="N237" s="390"/>
      <c r="O237" s="143"/>
      <c r="P237" s="32"/>
      <c r="Q237" s="31">
        <f t="shared" si="51"/>
        <v>2556.4321539999946</v>
      </c>
      <c r="R237" s="393">
        <f t="shared" si="52"/>
        <v>7.5678460000000003</v>
      </c>
      <c r="S237" s="393"/>
      <c r="T237" s="393"/>
      <c r="U237" s="393"/>
      <c r="V237" s="31"/>
      <c r="W237" s="32"/>
      <c r="X237" s="32"/>
      <c r="Y237" s="32"/>
      <c r="Z237" s="394" t="e">
        <f t="shared" si="42"/>
        <v>#DIV/0!</v>
      </c>
      <c r="AA237" s="31"/>
      <c r="AB237" s="322"/>
      <c r="AC237" s="40">
        <f t="shared" si="43"/>
        <v>-5107.9396898168561</v>
      </c>
      <c r="AD237" s="40">
        <f t="shared" si="44"/>
        <v>-16707.939689816856</v>
      </c>
    </row>
    <row r="238" spans="1:33" x14ac:dyDescent="0.25">
      <c r="B238" s="400"/>
      <c r="C238" s="306" t="s">
        <v>634</v>
      </c>
      <c r="D238" s="16">
        <v>400</v>
      </c>
      <c r="E238" s="15">
        <f t="shared" si="53"/>
        <v>6.66</v>
      </c>
      <c r="F238" s="102">
        <f t="shared" si="54"/>
        <v>11200</v>
      </c>
      <c r="G238" s="32">
        <f t="shared" si="55"/>
        <v>9.3266018342857198</v>
      </c>
      <c r="H238" s="390">
        <f t="shared" si="56"/>
        <v>104457.94054400006</v>
      </c>
      <c r="I238" s="390">
        <f t="shared" si="47"/>
        <v>-29865.940544000056</v>
      </c>
      <c r="J238" s="391">
        <f t="shared" si="48"/>
        <v>-0.28591354940048663</v>
      </c>
      <c r="K238" s="390">
        <f t="shared" si="49"/>
        <v>74592</v>
      </c>
      <c r="L238" s="390">
        <f t="shared" si="50"/>
        <v>2892.3320039999962</v>
      </c>
      <c r="M238" s="390"/>
      <c r="N238" s="390"/>
      <c r="O238" s="143"/>
      <c r="P238" s="32"/>
      <c r="Q238" s="31">
        <f t="shared" si="51"/>
        <v>2656.3320039999962</v>
      </c>
      <c r="R238" s="393">
        <f t="shared" si="52"/>
        <v>7.6679960000000005</v>
      </c>
      <c r="S238" s="393"/>
      <c r="T238" s="393"/>
      <c r="U238" s="393"/>
      <c r="V238" s="31"/>
      <c r="W238" s="32"/>
      <c r="X238" s="32"/>
      <c r="Y238" s="32"/>
      <c r="Z238" s="394" t="e">
        <f t="shared" si="42"/>
        <v>#DIV/0!</v>
      </c>
      <c r="AA238" s="31"/>
      <c r="AB238" s="322"/>
      <c r="AC238" s="40">
        <f t="shared" si="43"/>
        <v>-4482.1332693285367</v>
      </c>
      <c r="AD238" s="40">
        <f t="shared" si="44"/>
        <v>-15682.133269328537</v>
      </c>
    </row>
    <row r="239" spans="1:33" x14ac:dyDescent="0.25">
      <c r="B239" s="400"/>
      <c r="C239" s="306" t="s">
        <v>634</v>
      </c>
      <c r="D239" s="16">
        <v>400</v>
      </c>
      <c r="E239" s="15">
        <f t="shared" si="53"/>
        <v>6.91</v>
      </c>
      <c r="F239" s="102">
        <f t="shared" si="54"/>
        <v>10800</v>
      </c>
      <c r="G239" s="32">
        <f t="shared" si="55"/>
        <v>9.416824878703709</v>
      </c>
      <c r="H239" s="390">
        <f t="shared" si="56"/>
        <v>101701.70869000006</v>
      </c>
      <c r="I239" s="390">
        <f t="shared" si="47"/>
        <v>-27073.708690000058</v>
      </c>
      <c r="J239" s="391">
        <f t="shared" si="48"/>
        <v>-0.26620701892555432</v>
      </c>
      <c r="K239" s="390">
        <f t="shared" si="49"/>
        <v>74628</v>
      </c>
      <c r="L239" s="390">
        <f t="shared" si="50"/>
        <v>2792.2318539999978</v>
      </c>
      <c r="M239" s="390"/>
      <c r="N239" s="390"/>
      <c r="O239" s="143"/>
      <c r="P239" s="32"/>
      <c r="Q239" s="31">
        <f t="shared" si="51"/>
        <v>2756.2318539999978</v>
      </c>
      <c r="R239" s="393">
        <f t="shared" si="52"/>
        <v>7.7681460000000007</v>
      </c>
      <c r="S239" s="393"/>
      <c r="T239" s="393"/>
      <c r="U239" s="393"/>
      <c r="V239" s="31"/>
      <c r="W239" s="32"/>
      <c r="X239" s="32"/>
      <c r="Y239" s="32"/>
      <c r="Z239" s="394" t="e">
        <f t="shared" si="42"/>
        <v>#DIV/0!</v>
      </c>
      <c r="AA239" s="31"/>
      <c r="AB239" s="322"/>
      <c r="AC239" s="40">
        <f t="shared" si="43"/>
        <v>-3916.0885435101386</v>
      </c>
      <c r="AD239" s="40">
        <f t="shared" si="44"/>
        <v>-14716.088543510139</v>
      </c>
    </row>
    <row r="240" spans="1:33" x14ac:dyDescent="0.25">
      <c r="B240" s="400"/>
      <c r="C240" s="306" t="s">
        <v>634</v>
      </c>
      <c r="D240" s="16">
        <v>400</v>
      </c>
      <c r="E240" s="15">
        <f t="shared" si="53"/>
        <v>7.16</v>
      </c>
      <c r="F240" s="102">
        <f t="shared" si="54"/>
        <v>10400</v>
      </c>
      <c r="G240" s="32">
        <f t="shared" si="55"/>
        <v>9.5043824025000063</v>
      </c>
      <c r="H240" s="390">
        <f t="shared" si="56"/>
        <v>98845.576986000058</v>
      </c>
      <c r="I240" s="390">
        <f t="shared" si="47"/>
        <v>-24381.576986000058</v>
      </c>
      <c r="J240" s="391">
        <f t="shared" si="48"/>
        <v>-0.2466633078529486</v>
      </c>
      <c r="K240" s="390">
        <f t="shared" si="49"/>
        <v>74464</v>
      </c>
      <c r="L240" s="390">
        <f t="shared" si="50"/>
        <v>2692.1317039999994</v>
      </c>
      <c r="M240" s="390"/>
      <c r="N240" s="390"/>
      <c r="O240" s="143"/>
      <c r="P240" s="32"/>
      <c r="Q240" s="31">
        <f t="shared" si="51"/>
        <v>2856.1317039999994</v>
      </c>
      <c r="R240" s="393">
        <f t="shared" si="52"/>
        <v>7.868296</v>
      </c>
      <c r="S240" s="393"/>
      <c r="T240" s="393"/>
      <c r="U240" s="393"/>
      <c r="V240" s="31"/>
      <c r="W240" s="32"/>
      <c r="X240" s="32"/>
      <c r="Y240" s="32"/>
      <c r="Z240" s="394" t="e">
        <f t="shared" si="42"/>
        <v>#DIV/0!</v>
      </c>
      <c r="AA240" s="31"/>
      <c r="AB240" s="322"/>
      <c r="AC240" s="40">
        <f t="shared" si="43"/>
        <v>-3403.5455583110415</v>
      </c>
      <c r="AD240" s="40">
        <f t="shared" si="44"/>
        <v>-13803.545558311042</v>
      </c>
    </row>
    <row r="241" spans="2:30" x14ac:dyDescent="0.25">
      <c r="B241" s="400"/>
      <c r="C241" s="306" t="s">
        <v>634</v>
      </c>
      <c r="D241" s="16">
        <v>400</v>
      </c>
      <c r="E241" s="15">
        <f t="shared" si="53"/>
        <v>7.41</v>
      </c>
      <c r="F241" s="102">
        <f t="shared" si="54"/>
        <v>10000</v>
      </c>
      <c r="G241" s="32">
        <f t="shared" si="55"/>
        <v>9.5889545432000052</v>
      </c>
      <c r="H241" s="390">
        <f t="shared" si="56"/>
        <v>95889.545432000057</v>
      </c>
      <c r="I241" s="390">
        <f t="shared" si="47"/>
        <v>-21789.545432000057</v>
      </c>
      <c r="J241" s="391">
        <f t="shared" si="48"/>
        <v>-0.22723588201231049</v>
      </c>
      <c r="K241" s="390">
        <f t="shared" si="49"/>
        <v>74100</v>
      </c>
      <c r="L241" s="390">
        <f t="shared" si="50"/>
        <v>2592.0315540000011</v>
      </c>
      <c r="M241" s="390"/>
      <c r="N241" s="390"/>
      <c r="O241" s="143"/>
      <c r="P241" s="32"/>
      <c r="Q241" s="31">
        <f t="shared" si="51"/>
        <v>2956.0315540000011</v>
      </c>
      <c r="R241" s="393">
        <f t="shared" si="52"/>
        <v>7.9684460000000001</v>
      </c>
      <c r="S241" s="393"/>
      <c r="T241" s="393"/>
      <c r="U241" s="393"/>
      <c r="V241" s="31"/>
      <c r="W241" s="32"/>
      <c r="X241" s="32"/>
      <c r="Y241" s="32"/>
      <c r="Z241" s="394" t="e">
        <f t="shared" si="42"/>
        <v>#DIV/0!</v>
      </c>
      <c r="AA241" s="31"/>
      <c r="AB241" s="322"/>
      <c r="AC241" s="40">
        <f t="shared" si="43"/>
        <v>-2939.0891577981183</v>
      </c>
      <c r="AD241" s="40">
        <f t="shared" si="44"/>
        <v>-12939.089157798118</v>
      </c>
    </row>
    <row r="242" spans="2:30" x14ac:dyDescent="0.25">
      <c r="B242" s="400"/>
      <c r="C242" s="306" t="s">
        <v>634</v>
      </c>
      <c r="D242" s="16">
        <v>400</v>
      </c>
      <c r="E242" s="15">
        <f t="shared" si="53"/>
        <v>7.66</v>
      </c>
      <c r="F242" s="102">
        <f t="shared" si="54"/>
        <v>9600</v>
      </c>
      <c r="G242" s="32">
        <f t="shared" si="55"/>
        <v>9.6701681279166731</v>
      </c>
      <c r="H242" s="390">
        <f t="shared" si="56"/>
        <v>92833.614028000055</v>
      </c>
      <c r="I242" s="390">
        <f t="shared" si="47"/>
        <v>-19297.614028000055</v>
      </c>
      <c r="J242" s="391">
        <f t="shared" si="48"/>
        <v>-0.20787313119340156</v>
      </c>
      <c r="K242" s="390">
        <f t="shared" si="49"/>
        <v>73536</v>
      </c>
      <c r="L242" s="390">
        <f t="shared" si="50"/>
        <v>2491.9314040000027</v>
      </c>
      <c r="M242" s="390"/>
      <c r="N242" s="390"/>
      <c r="O242" s="143"/>
      <c r="P242" s="32"/>
      <c r="Q242" s="31">
        <f t="shared" si="51"/>
        <v>3055.9314040000027</v>
      </c>
      <c r="R242" s="393">
        <f t="shared" si="52"/>
        <v>8.0685959999999994</v>
      </c>
      <c r="S242" s="393"/>
      <c r="T242" s="393"/>
      <c r="U242" s="393"/>
      <c r="V242" s="31"/>
      <c r="W242" s="32"/>
      <c r="X242" s="32"/>
      <c r="Y242" s="32"/>
      <c r="Z242" s="394" t="e">
        <f t="shared" si="42"/>
        <v>#DIV/0!</v>
      </c>
      <c r="AA242" s="31"/>
      <c r="AB242" s="322"/>
      <c r="AC242" s="40">
        <f t="shared" si="43"/>
        <v>-2518.0111254550989</v>
      </c>
      <c r="AD242" s="40">
        <f t="shared" si="44"/>
        <v>-12118.011125455099</v>
      </c>
    </row>
    <row r="243" spans="2:30" x14ac:dyDescent="0.25">
      <c r="B243" s="400"/>
      <c r="C243" s="306" t="s">
        <v>634</v>
      </c>
      <c r="D243" s="16">
        <v>400</v>
      </c>
      <c r="E243" s="15">
        <f t="shared" si="53"/>
        <v>7.91</v>
      </c>
      <c r="F243" s="102">
        <f t="shared" si="54"/>
        <v>9200</v>
      </c>
      <c r="G243" s="32">
        <f t="shared" si="55"/>
        <v>9.7475850841304403</v>
      </c>
      <c r="H243" s="390">
        <f t="shared" si="56"/>
        <v>89677.78277400005</v>
      </c>
      <c r="I243" s="390">
        <f t="shared" si="47"/>
        <v>-16905.78277400005</v>
      </c>
      <c r="J243" s="391">
        <f t="shared" si="48"/>
        <v>-0.18851695761262155</v>
      </c>
      <c r="K243" s="390">
        <f t="shared" si="49"/>
        <v>72772</v>
      </c>
      <c r="L243" s="390">
        <f t="shared" si="50"/>
        <v>2391.8312540000043</v>
      </c>
      <c r="M243" s="390"/>
      <c r="N243" s="390"/>
      <c r="O243" s="143"/>
      <c r="P243" s="32"/>
      <c r="Q243" s="31">
        <f t="shared" si="51"/>
        <v>3155.8312540000043</v>
      </c>
      <c r="R243" s="393">
        <f t="shared" si="52"/>
        <v>8.1687460000000005</v>
      </c>
      <c r="S243" s="393"/>
      <c r="T243" s="393"/>
      <c r="U243" s="393"/>
      <c r="V243" s="31"/>
      <c r="W243" s="32"/>
      <c r="X243" s="32"/>
      <c r="Y243" s="32"/>
      <c r="Z243" s="394" t="e">
        <f t="shared" si="42"/>
        <v>#DIV/0!</v>
      </c>
      <c r="AA243" s="31"/>
      <c r="AB243" s="322"/>
      <c r="AC243" s="40">
        <f t="shared" si="43"/>
        <v>-2136.1984680926739</v>
      </c>
      <c r="AD243" s="40">
        <f t="shared" si="44"/>
        <v>-11336.198468092674</v>
      </c>
    </row>
    <row r="244" spans="2:30" x14ac:dyDescent="0.25">
      <c r="B244" s="400"/>
      <c r="C244" s="306" t="s">
        <v>634</v>
      </c>
      <c r="D244" s="16">
        <v>400</v>
      </c>
      <c r="E244" s="15">
        <f t="shared" si="53"/>
        <v>8.16</v>
      </c>
      <c r="F244" s="102">
        <f t="shared" si="54"/>
        <v>8800</v>
      </c>
      <c r="G244" s="32">
        <f t="shared" si="55"/>
        <v>9.8206876897727327</v>
      </c>
      <c r="H244" s="390">
        <f t="shared" si="56"/>
        <v>86422.051670000044</v>
      </c>
      <c r="I244" s="390">
        <f t="shared" si="47"/>
        <v>-14614.051670000044</v>
      </c>
      <c r="J244" s="391">
        <f t="shared" si="48"/>
        <v>-0.16910095730894417</v>
      </c>
      <c r="K244" s="390">
        <f t="shared" si="49"/>
        <v>71808</v>
      </c>
      <c r="L244" s="390">
        <f t="shared" si="50"/>
        <v>2291.7311040000059</v>
      </c>
      <c r="M244" s="390"/>
      <c r="N244" s="390"/>
      <c r="O244" s="143"/>
      <c r="P244" s="32"/>
      <c r="Q244" s="31">
        <f t="shared" si="51"/>
        <v>3255.7311040000059</v>
      </c>
      <c r="R244" s="393">
        <f t="shared" si="52"/>
        <v>8.2688959999999998</v>
      </c>
      <c r="S244" s="393"/>
      <c r="T244" s="393"/>
      <c r="U244" s="393"/>
      <c r="V244" s="31"/>
      <c r="W244" s="32"/>
      <c r="X244" s="32"/>
      <c r="Y244" s="32"/>
      <c r="Z244" s="394" t="e">
        <f t="shared" si="42"/>
        <v>#DIV/0!</v>
      </c>
      <c r="AA244" s="31"/>
      <c r="AB244" s="322"/>
      <c r="AC244" s="40">
        <f t="shared" si="43"/>
        <v>-1790.0422358045398</v>
      </c>
      <c r="AD244" s="40">
        <f t="shared" si="44"/>
        <v>-10590.04223580454</v>
      </c>
    </row>
    <row r="245" spans="2:30" x14ac:dyDescent="0.25">
      <c r="B245" s="400"/>
      <c r="C245" s="306" t="s">
        <v>634</v>
      </c>
      <c r="D245" s="16">
        <v>400</v>
      </c>
      <c r="E245" s="15">
        <f t="shared" si="53"/>
        <v>8.41</v>
      </c>
      <c r="F245" s="102">
        <f t="shared" si="54"/>
        <v>8400</v>
      </c>
      <c r="G245" s="32">
        <f t="shared" si="55"/>
        <v>9.8888596090476248</v>
      </c>
      <c r="H245" s="390">
        <f t="shared" si="56"/>
        <v>83066.420716000051</v>
      </c>
      <c r="I245" s="390">
        <f t="shared" si="47"/>
        <v>-12422.420716000051</v>
      </c>
      <c r="J245" s="391">
        <f t="shared" si="48"/>
        <v>-0.14954804370916239</v>
      </c>
      <c r="K245" s="390">
        <f t="shared" si="49"/>
        <v>70644</v>
      </c>
      <c r="L245" s="390">
        <f t="shared" si="50"/>
        <v>2191.6309539999929</v>
      </c>
      <c r="M245" s="390"/>
      <c r="N245" s="390"/>
      <c r="O245" s="143"/>
      <c r="P245" s="32"/>
      <c r="Q245" s="31">
        <f t="shared" si="51"/>
        <v>3355.6309539999929</v>
      </c>
      <c r="R245" s="393">
        <f t="shared" si="52"/>
        <v>8.3690460000000009</v>
      </c>
      <c r="S245" s="393"/>
      <c r="T245" s="393"/>
      <c r="U245" s="393"/>
      <c r="V245" s="31"/>
      <c r="W245" s="32"/>
      <c r="X245" s="32"/>
      <c r="Y245" s="32"/>
      <c r="Z245" s="394" t="e">
        <f t="shared" si="42"/>
        <v>#DIV/0!</v>
      </c>
      <c r="AA245" s="31"/>
      <c r="AB245" s="322"/>
      <c r="AC245" s="40">
        <f t="shared" si="43"/>
        <v>-1476.3626047136804</v>
      </c>
      <c r="AD245" s="40">
        <f t="shared" si="44"/>
        <v>-9876.3626047136804</v>
      </c>
    </row>
    <row r="246" spans="2:30" x14ac:dyDescent="0.25">
      <c r="B246" s="400"/>
      <c r="C246" s="306" t="s">
        <v>634</v>
      </c>
      <c r="D246" s="16">
        <v>400</v>
      </c>
      <c r="E246" s="15">
        <f t="shared" ref="E246:E253" si="57">E245+0.25</f>
        <v>8.66</v>
      </c>
      <c r="F246" s="102">
        <f t="shared" ref="F246:F253" si="58">IF(C246="买",F245+D246,IF(C246="卖",F245-D246,F245))</f>
        <v>8000</v>
      </c>
      <c r="G246" s="32">
        <f t="shared" ref="G246:G253" si="59">H246/F246</f>
        <v>9.9513612390000077</v>
      </c>
      <c r="H246" s="390">
        <f t="shared" ref="H246:H253" si="60">IF(C246="买",H245+D246*E246+R246+S246,IF(C246="卖",H245-D246*E246+R246+S246,H245))</f>
        <v>79610.889912000057</v>
      </c>
      <c r="I246" s="390">
        <f t="shared" si="47"/>
        <v>-10330.889912000057</v>
      </c>
      <c r="J246" s="391">
        <f t="shared" si="48"/>
        <v>-0.12976729594933023</v>
      </c>
      <c r="K246" s="390">
        <f t="shared" si="49"/>
        <v>69280</v>
      </c>
      <c r="L246" s="390">
        <f t="shared" si="50"/>
        <v>2091.5308039999945</v>
      </c>
      <c r="M246" s="390"/>
      <c r="N246" s="390"/>
      <c r="O246" s="143"/>
      <c r="P246" s="32"/>
      <c r="Q246" s="31">
        <f t="shared" si="51"/>
        <v>3455.5308039999945</v>
      </c>
      <c r="R246" s="393">
        <f t="shared" si="52"/>
        <v>8.4691960000000002</v>
      </c>
      <c r="S246" s="393"/>
      <c r="T246" s="393"/>
      <c r="U246" s="393"/>
      <c r="V246" s="31"/>
      <c r="W246" s="32"/>
      <c r="X246" s="32"/>
      <c r="Y246" s="32"/>
      <c r="Z246" s="394" t="e">
        <f t="shared" si="42"/>
        <v>#DIV/0!</v>
      </c>
      <c r="AA246" s="31"/>
      <c r="AB246" s="322"/>
      <c r="AC246" s="40">
        <f t="shared" si="43"/>
        <v>-1192.3469361482746</v>
      </c>
      <c r="AD246" s="40">
        <f t="shared" si="44"/>
        <v>-9192.3469361482748</v>
      </c>
    </row>
    <row r="247" spans="2:30" x14ac:dyDescent="0.25">
      <c r="B247" s="400"/>
      <c r="C247" s="306" t="s">
        <v>634</v>
      </c>
      <c r="D247" s="16">
        <v>400</v>
      </c>
      <c r="E247" s="15">
        <f t="shared" si="57"/>
        <v>8.91</v>
      </c>
      <c r="F247" s="102">
        <f t="shared" si="58"/>
        <v>7600</v>
      </c>
      <c r="G247" s="32">
        <f t="shared" si="59"/>
        <v>10.007297270789481</v>
      </c>
      <c r="H247" s="390">
        <f t="shared" si="60"/>
        <v>76055.459258000061</v>
      </c>
      <c r="I247" s="390">
        <f t="shared" si="47"/>
        <v>-8339.4592580000608</v>
      </c>
      <c r="J247" s="391">
        <f t="shared" si="48"/>
        <v>-0.10964971271438152</v>
      </c>
      <c r="K247" s="390">
        <f t="shared" si="49"/>
        <v>67716</v>
      </c>
      <c r="L247" s="390">
        <f t="shared" si="50"/>
        <v>1991.4306539999961</v>
      </c>
      <c r="M247" s="390"/>
      <c r="N247" s="390"/>
      <c r="O247" s="143"/>
      <c r="P247" s="32"/>
      <c r="Q247" s="31">
        <f t="shared" si="51"/>
        <v>3555.4306539999961</v>
      </c>
      <c r="R247" s="393">
        <f t="shared" si="52"/>
        <v>8.5693459999999995</v>
      </c>
      <c r="S247" s="393"/>
      <c r="T247" s="393"/>
      <c r="U247" s="393"/>
      <c r="V247" s="31"/>
      <c r="W247" s="32"/>
      <c r="X247" s="32"/>
      <c r="Y247" s="32"/>
      <c r="Z247" s="394" t="e">
        <f t="shared" si="42"/>
        <v>#DIV/0!</v>
      </c>
      <c r="AA247" s="31"/>
      <c r="AB247" s="322"/>
      <c r="AC247" s="40">
        <f t="shared" si="43"/>
        <v>-935.49826356577557</v>
      </c>
      <c r="AD247" s="40">
        <f t="shared" si="44"/>
        <v>-8535.4982635657761</v>
      </c>
    </row>
    <row r="248" spans="2:30" x14ac:dyDescent="0.25">
      <c r="B248" s="400"/>
      <c r="C248" s="306" t="s">
        <v>634</v>
      </c>
      <c r="D248" s="16">
        <v>400</v>
      </c>
      <c r="E248" s="15">
        <f t="shared" si="57"/>
        <v>9.16</v>
      </c>
      <c r="F248" s="102">
        <f t="shared" si="58"/>
        <v>7200</v>
      </c>
      <c r="G248" s="32">
        <f t="shared" si="59"/>
        <v>10.055573438055564</v>
      </c>
      <c r="H248" s="390">
        <f t="shared" si="60"/>
        <v>72400.128754000063</v>
      </c>
      <c r="I248" s="390">
        <f t="shared" si="47"/>
        <v>-6448.1287540000631</v>
      </c>
      <c r="J248" s="391">
        <f t="shared" si="48"/>
        <v>-8.906239346492606E-2</v>
      </c>
      <c r="K248" s="390">
        <f t="shared" si="49"/>
        <v>65952</v>
      </c>
      <c r="L248" s="390">
        <f t="shared" si="50"/>
        <v>1891.3305039999977</v>
      </c>
      <c r="M248" s="390"/>
      <c r="N248" s="390"/>
      <c r="O248" s="143"/>
      <c r="P248" s="32"/>
      <c r="Q248" s="31">
        <f t="shared" si="51"/>
        <v>3655.3305039999977</v>
      </c>
      <c r="R248" s="393">
        <f t="shared" si="52"/>
        <v>8.6694960000000005</v>
      </c>
      <c r="S248" s="393"/>
      <c r="T248" s="393"/>
      <c r="U248" s="393"/>
      <c r="V248" s="31"/>
      <c r="W248" s="32"/>
      <c r="X248" s="32"/>
      <c r="Y248" s="32"/>
      <c r="Z248" s="394" t="e">
        <f t="shared" si="42"/>
        <v>#DIV/0!</v>
      </c>
      <c r="AA248" s="31"/>
      <c r="AB248" s="322"/>
      <c r="AC248" s="40">
        <f t="shared" si="43"/>
        <v>-703.59221502435184</v>
      </c>
      <c r="AD248" s="40">
        <f t="shared" si="44"/>
        <v>-7903.5922150243514</v>
      </c>
    </row>
    <row r="249" spans="2:30" x14ac:dyDescent="0.25">
      <c r="B249" s="400"/>
      <c r="C249" s="306" t="s">
        <v>634</v>
      </c>
      <c r="D249" s="16">
        <v>400</v>
      </c>
      <c r="E249" s="15">
        <f t="shared" si="57"/>
        <v>9.41</v>
      </c>
      <c r="F249" s="102">
        <f t="shared" si="58"/>
        <v>6800</v>
      </c>
      <c r="G249" s="32">
        <f t="shared" si="59"/>
        <v>10.09483800000001</v>
      </c>
      <c r="H249" s="390">
        <f t="shared" si="60"/>
        <v>68644.898400000064</v>
      </c>
      <c r="I249" s="390">
        <f t="shared" si="47"/>
        <v>-4656.8984000000637</v>
      </c>
      <c r="J249" s="391">
        <f t="shared" si="48"/>
        <v>-6.7840415071545396E-2</v>
      </c>
      <c r="K249" s="390">
        <f t="shared" si="49"/>
        <v>63988</v>
      </c>
      <c r="L249" s="390">
        <f t="shared" si="50"/>
        <v>1791.2303539999994</v>
      </c>
      <c r="M249" s="390"/>
      <c r="N249" s="390"/>
      <c r="O249" s="143"/>
      <c r="P249" s="32"/>
      <c r="Q249" s="31">
        <f t="shared" si="51"/>
        <v>3755.2303539999994</v>
      </c>
      <c r="R249" s="393">
        <f t="shared" si="52"/>
        <v>8.7696459999999998</v>
      </c>
      <c r="S249" s="393"/>
      <c r="T249" s="393"/>
      <c r="U249" s="393"/>
      <c r="V249" s="31"/>
      <c r="W249" s="32"/>
      <c r="X249" s="32"/>
      <c r="Y249" s="32"/>
      <c r="Z249" s="394" t="e">
        <f t="shared" si="42"/>
        <v>#DIV/0!</v>
      </c>
      <c r="AA249" s="31"/>
      <c r="AB249" s="322"/>
      <c r="AC249" s="40">
        <f t="shared" si="43"/>
        <v>-494.64080242296109</v>
      </c>
      <c r="AD249" s="40">
        <f t="shared" si="44"/>
        <v>-7294.6408024229613</v>
      </c>
    </row>
    <row r="250" spans="2:30" x14ac:dyDescent="0.25">
      <c r="B250" s="400"/>
      <c r="C250" s="306" t="s">
        <v>634</v>
      </c>
      <c r="D250" s="16">
        <v>400</v>
      </c>
      <c r="E250" s="15">
        <f t="shared" si="57"/>
        <v>9.66</v>
      </c>
      <c r="F250" s="102">
        <f t="shared" si="58"/>
        <v>6400</v>
      </c>
      <c r="G250" s="32">
        <f t="shared" si="59"/>
        <v>10.123401280625011</v>
      </c>
      <c r="H250" s="390">
        <f t="shared" si="60"/>
        <v>64789.768196000063</v>
      </c>
      <c r="I250" s="390">
        <f t="shared" si="47"/>
        <v>-2965.7681960000627</v>
      </c>
      <c r="J250" s="391">
        <f t="shared" si="48"/>
        <v>-4.5775255546957876E-2</v>
      </c>
      <c r="K250" s="390">
        <f t="shared" si="49"/>
        <v>61824</v>
      </c>
      <c r="L250" s="390">
        <f t="shared" si="50"/>
        <v>1691.130204000001</v>
      </c>
      <c r="M250" s="390"/>
      <c r="N250" s="390"/>
      <c r="O250" s="143"/>
      <c r="P250" s="32"/>
      <c r="Q250" s="31">
        <f t="shared" si="51"/>
        <v>3855.130204000001</v>
      </c>
      <c r="R250" s="393">
        <f t="shared" si="52"/>
        <v>8.8697960000000009</v>
      </c>
      <c r="S250" s="393"/>
      <c r="T250" s="393"/>
      <c r="U250" s="393"/>
      <c r="V250" s="31"/>
      <c r="W250" s="32"/>
      <c r="X250" s="32"/>
      <c r="Y250" s="32"/>
      <c r="Z250" s="394" t="e">
        <f t="shared" si="42"/>
        <v>#DIV/0!</v>
      </c>
      <c r="AA250" s="31"/>
      <c r="AB250" s="322"/>
      <c r="AC250" s="40">
        <f t="shared" si="43"/>
        <v>-306.86183353023426</v>
      </c>
      <c r="AD250" s="40">
        <f t="shared" si="44"/>
        <v>-6706.8618335302344</v>
      </c>
    </row>
    <row r="251" spans="2:30" x14ac:dyDescent="0.25">
      <c r="B251" s="400"/>
      <c r="C251" s="306" t="s">
        <v>634</v>
      </c>
      <c r="D251" s="16">
        <v>400</v>
      </c>
      <c r="E251" s="15">
        <f t="shared" si="57"/>
        <v>9.91</v>
      </c>
      <c r="F251" s="102">
        <f t="shared" si="58"/>
        <v>6000</v>
      </c>
      <c r="G251" s="32">
        <f t="shared" si="59"/>
        <v>10.139123023666677</v>
      </c>
      <c r="H251" s="390">
        <f t="shared" si="60"/>
        <v>60834.73814200006</v>
      </c>
      <c r="I251" s="390">
        <f t="shared" si="47"/>
        <v>-1374.7381420000602</v>
      </c>
      <c r="J251" s="391">
        <f t="shared" si="48"/>
        <v>-2.2597913363104433E-2</v>
      </c>
      <c r="K251" s="390">
        <f t="shared" si="49"/>
        <v>59460</v>
      </c>
      <c r="L251" s="390">
        <f t="shared" si="50"/>
        <v>1591.0300540000026</v>
      </c>
      <c r="M251" s="390"/>
      <c r="N251" s="390"/>
      <c r="O251" s="143"/>
      <c r="P251" s="32"/>
      <c r="Q251" s="31">
        <f t="shared" si="51"/>
        <v>3955.0300540000026</v>
      </c>
      <c r="R251" s="393">
        <f t="shared" si="52"/>
        <v>8.9699460000000002</v>
      </c>
      <c r="S251" s="393"/>
      <c r="T251" s="393"/>
      <c r="U251" s="393"/>
      <c r="V251" s="31"/>
      <c r="W251" s="32"/>
      <c r="X251" s="32"/>
      <c r="Y251" s="32"/>
      <c r="Z251" s="394" t="e">
        <f t="shared" si="42"/>
        <v>#DIV/0!</v>
      </c>
      <c r="AA251" s="31"/>
      <c r="AB251" s="322"/>
      <c r="AC251" s="40">
        <f t="shared" si="43"/>
        <v>-138.65295387780628</v>
      </c>
      <c r="AD251" s="40">
        <f t="shared" si="44"/>
        <v>-6138.6529538778059</v>
      </c>
    </row>
    <row r="252" spans="2:30" x14ac:dyDescent="0.25">
      <c r="B252" s="401"/>
      <c r="C252" s="306" t="s">
        <v>634</v>
      </c>
      <c r="D252" s="16">
        <v>400</v>
      </c>
      <c r="E252" s="15">
        <f t="shared" si="57"/>
        <v>10.16</v>
      </c>
      <c r="F252" s="102">
        <f t="shared" si="58"/>
        <v>5600</v>
      </c>
      <c r="G252" s="32">
        <f t="shared" si="59"/>
        <v>10.139251471071439</v>
      </c>
      <c r="H252" s="390">
        <f t="shared" si="60"/>
        <v>56779.808238000063</v>
      </c>
      <c r="I252" s="392">
        <f t="shared" si="47"/>
        <v>116.19176199993672</v>
      </c>
      <c r="J252" s="397">
        <f t="shared" si="48"/>
        <v>2.046357069627761E-3</v>
      </c>
      <c r="K252" s="392">
        <f t="shared" si="49"/>
        <v>56896</v>
      </c>
      <c r="L252" s="392">
        <f t="shared" si="50"/>
        <v>1490.9299039999969</v>
      </c>
      <c r="M252" s="392"/>
      <c r="N252" s="392"/>
      <c r="O252" s="143"/>
      <c r="P252" s="303"/>
      <c r="Q252" s="278">
        <f t="shared" si="51"/>
        <v>4054.9299039999969</v>
      </c>
      <c r="R252" s="398">
        <f t="shared" si="52"/>
        <v>9.0700959999999995</v>
      </c>
      <c r="S252" s="398"/>
      <c r="T252" s="398"/>
      <c r="U252" s="398"/>
      <c r="V252" s="278"/>
      <c r="W252" s="303"/>
      <c r="X252" s="303"/>
      <c r="Y252" s="303"/>
      <c r="Z252" s="399" t="e">
        <f t="shared" si="42"/>
        <v>#DIV/0!</v>
      </c>
      <c r="AA252" s="278"/>
      <c r="AB252" s="275"/>
      <c r="AC252" s="237">
        <f t="shared" si="43"/>
        <v>11.430478948714248</v>
      </c>
      <c r="AD252" s="237">
        <f t="shared" si="44"/>
        <v>-5588.5695210512858</v>
      </c>
    </row>
    <row r="253" spans="2:30" x14ac:dyDescent="0.25">
      <c r="B253" s="400"/>
      <c r="C253" s="306" t="s">
        <v>634</v>
      </c>
      <c r="D253" s="16">
        <v>400</v>
      </c>
      <c r="E253" s="15">
        <f t="shared" si="57"/>
        <v>10.41</v>
      </c>
      <c r="F253" s="102">
        <f t="shared" si="58"/>
        <v>5200</v>
      </c>
      <c r="G253" s="32">
        <f t="shared" si="59"/>
        <v>10.120188170000013</v>
      </c>
      <c r="H253" s="390">
        <f t="shared" si="60"/>
        <v>52624.978484000065</v>
      </c>
      <c r="I253" s="390">
        <f>-H253+K253</f>
        <v>1507.0215159999352</v>
      </c>
      <c r="J253" s="391">
        <f>(E253-G253)/G253</f>
        <v>2.8637000135935897E-2</v>
      </c>
      <c r="K253" s="390">
        <f>F253*E253</f>
        <v>54132</v>
      </c>
      <c r="L253" s="390">
        <f>I253-I252</f>
        <v>1390.8297539999985</v>
      </c>
      <c r="M253" s="390"/>
      <c r="N253" s="390"/>
      <c r="O253" s="392"/>
      <c r="P253" s="32"/>
      <c r="Q253" s="31">
        <f>(H253-H252)*-1</f>
        <v>4154.8297539999985</v>
      </c>
      <c r="R253" s="393">
        <f>commission($B$2,C253,D253,E253)</f>
        <v>9.1702459999999988</v>
      </c>
      <c r="S253" s="393"/>
      <c r="T253" s="393"/>
      <c r="U253" s="393"/>
      <c r="V253" s="31"/>
      <c r="W253" s="32"/>
      <c r="X253" s="32"/>
      <c r="Y253" s="32"/>
      <c r="Z253" s="394" t="e">
        <f>F253/U253</f>
        <v>#DIV/0!</v>
      </c>
      <c r="AA253" s="31"/>
      <c r="AB253" s="322"/>
      <c r="AC253" s="40">
        <f>I253/E253*(1-0.0005)</f>
        <v>144.6943328762666</v>
      </c>
      <c r="AD253" s="40">
        <f>AC253-F253</f>
        <v>-5055.3056671237337</v>
      </c>
    </row>
  </sheetData>
  <phoneticPr fontId="16" type="noConversion"/>
  <conditionalFormatting sqref="Y1">
    <cfRule type="top10" dxfId="196" priority="1" bottom="1" rank="10"/>
  </conditionalFormatting>
  <dataValidations count="2">
    <dataValidation type="list" allowBlank="1" showInputMessage="1" showErrorMessage="1" sqref="C2:C234">
      <formula1>"买,卖"</formula1>
    </dataValidation>
    <dataValidation type="list" allowBlank="1" showInputMessage="1" showErrorMessage="1" sqref="C235:C253">
      <formula1>"买,卖,转买,转卖"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G109"/>
  <sheetViews>
    <sheetView topLeftCell="A58" workbookViewId="0">
      <selection activeCell="P78" sqref="P78"/>
    </sheetView>
  </sheetViews>
  <sheetFormatPr defaultRowHeight="14.4" x14ac:dyDescent="0.25"/>
  <cols>
    <col min="1" max="1" width="11.6640625" style="9" bestFit="1" customWidth="1"/>
    <col min="2" max="2" width="13.88671875" style="1" bestFit="1" customWidth="1"/>
    <col min="7" max="7" width="15.109375" customWidth="1"/>
    <col min="8" max="8" width="14.44140625" bestFit="1" customWidth="1"/>
    <col min="9" max="10" width="14.44140625" style="1" bestFit="1" customWidth="1"/>
    <col min="11" max="11" width="10.5546875" style="1" bestFit="1" customWidth="1"/>
    <col min="12" max="12" width="15.21875" style="1" customWidth="1"/>
    <col min="13" max="14" width="12.33203125" style="1" bestFit="1" customWidth="1"/>
    <col min="15" max="15" width="12.77734375" style="1" customWidth="1"/>
    <col min="16" max="16" width="15.6640625" style="1" bestFit="1" customWidth="1"/>
    <col min="17" max="17" width="14.44140625" style="1" bestFit="1" customWidth="1"/>
    <col min="18" max="18" width="8.88671875" style="1"/>
    <col min="19" max="20" width="14.44140625" style="1" bestFit="1" customWidth="1"/>
    <col min="21" max="21" width="8.88671875" style="1"/>
    <col min="22" max="22" width="19.109375" style="1" bestFit="1" customWidth="1"/>
    <col min="23" max="26" width="8.88671875" style="1"/>
    <col min="27" max="27" width="16.77734375" style="1" bestFit="1" customWidth="1"/>
    <col min="28" max="28" width="8.88671875" style="1"/>
    <col min="29" max="30" width="19.109375" style="1" bestFit="1" customWidth="1"/>
    <col min="31" max="33" width="8.88671875" style="1"/>
  </cols>
  <sheetData>
    <row r="1" spans="1:30" ht="15" thickBot="1" x14ac:dyDescent="0.3">
      <c r="A1" s="9" t="s">
        <v>3</v>
      </c>
      <c r="B1" s="360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360" t="s">
        <v>7</v>
      </c>
      <c r="J1" s="360" t="s">
        <v>157</v>
      </c>
      <c r="K1" s="360" t="s">
        <v>5</v>
      </c>
      <c r="L1" s="360" t="s">
        <v>158</v>
      </c>
      <c r="M1" s="360" t="s">
        <v>1185</v>
      </c>
      <c r="N1" s="360" t="s">
        <v>1186</v>
      </c>
      <c r="O1" s="360" t="s">
        <v>1187</v>
      </c>
      <c r="P1" s="361" t="s">
        <v>1188</v>
      </c>
      <c r="Q1" s="360" t="s">
        <v>163</v>
      </c>
      <c r="R1" s="360" t="s">
        <v>1189</v>
      </c>
      <c r="S1" s="360" t="s">
        <v>1190</v>
      </c>
      <c r="T1" s="360" t="s">
        <v>166</v>
      </c>
      <c r="U1" s="360" t="s">
        <v>167</v>
      </c>
      <c r="V1" s="360" t="s">
        <v>17</v>
      </c>
      <c r="W1" s="361" t="s">
        <v>168</v>
      </c>
      <c r="X1" s="361" t="s">
        <v>169</v>
      </c>
      <c r="Y1" s="361" t="s">
        <v>170</v>
      </c>
      <c r="Z1" s="361" t="s">
        <v>171</v>
      </c>
      <c r="AA1" s="360" t="s">
        <v>106</v>
      </c>
      <c r="AB1" s="362" t="s">
        <v>172</v>
      </c>
      <c r="AC1" s="363" t="s">
        <v>50</v>
      </c>
      <c r="AD1" s="363" t="s">
        <v>173</v>
      </c>
    </row>
    <row r="2" spans="1:30" s="1" customFormat="1" ht="15" thickTop="1" x14ac:dyDescent="0.25">
      <c r="A2" s="9">
        <v>42887</v>
      </c>
      <c r="B2" s="266" t="s">
        <v>61</v>
      </c>
      <c r="C2" s="10"/>
      <c r="D2" s="11"/>
      <c r="E2" s="12">
        <v>5.05</v>
      </c>
      <c r="F2" s="12">
        <v>0</v>
      </c>
      <c r="G2" s="13">
        <v>0</v>
      </c>
      <c r="H2" s="12">
        <v>0</v>
      </c>
      <c r="I2" s="15">
        <v>0</v>
      </c>
      <c r="J2" s="33" t="e">
        <v>#DIV/0!</v>
      </c>
      <c r="K2" s="15">
        <v>0</v>
      </c>
      <c r="L2" s="15" t="e">
        <f t="shared" ref="L2:L65" si="0">I2-I1</f>
        <v>#VALUE!</v>
      </c>
      <c r="M2" s="15"/>
      <c r="N2" s="15"/>
      <c r="O2" s="15"/>
      <c r="P2" s="17"/>
      <c r="Q2" s="10" t="e">
        <f t="shared" ref="Q2:Q65" si="1">(H2-H1)*-1</f>
        <v>#VALUE!</v>
      </c>
      <c r="R2" s="10"/>
      <c r="S2" s="15"/>
      <c r="T2" s="10"/>
      <c r="U2" s="10"/>
      <c r="V2" s="10"/>
      <c r="W2" s="28"/>
      <c r="X2" s="28"/>
      <c r="Y2" s="28"/>
      <c r="Z2" s="38"/>
      <c r="AA2" s="31"/>
      <c r="AB2" s="39"/>
      <c r="AC2" s="40"/>
      <c r="AD2" s="40"/>
    </row>
    <row r="3" spans="1:30" s="1" customFormat="1" x14ac:dyDescent="0.25">
      <c r="A3" s="9">
        <v>42887</v>
      </c>
      <c r="B3" s="14"/>
      <c r="C3" s="15" t="s">
        <v>63</v>
      </c>
      <c r="D3" s="16">
        <v>500</v>
      </c>
      <c r="E3" s="15">
        <v>5.04</v>
      </c>
      <c r="F3" s="16">
        <f>IF(C3="买",F2+D3,IF(C3="卖",F2-D3,F2))</f>
        <v>500</v>
      </c>
      <c r="G3" s="17">
        <f t="shared" ref="G3" si="2">H3/F3</f>
        <v>5.05</v>
      </c>
      <c r="H3" s="15">
        <f>IF(C3="买",H2+D3*E3+R3+S3,IF(C3="卖",H2-D3*E3+R3+S3,H2))</f>
        <v>2525</v>
      </c>
      <c r="I3" s="15">
        <f t="shared" ref="I3" si="3">-H3+K3</f>
        <v>-5</v>
      </c>
      <c r="J3" s="33">
        <f t="shared" ref="J3" si="4">(E3-G3)/G3</f>
        <v>-1.9801980198019382E-3</v>
      </c>
      <c r="K3" s="15">
        <f t="shared" ref="K3" si="5">F3*E3</f>
        <v>2520</v>
      </c>
      <c r="L3" s="15">
        <f t="shared" si="0"/>
        <v>-5</v>
      </c>
      <c r="M3" s="15"/>
      <c r="N3" s="15"/>
      <c r="O3" s="15"/>
      <c r="P3" s="17"/>
      <c r="Q3" s="31">
        <f t="shared" si="1"/>
        <v>-2525</v>
      </c>
      <c r="R3" s="34">
        <f>commission($B$2,C3,D3,E3)</f>
        <v>5</v>
      </c>
      <c r="S3" s="31"/>
      <c r="T3" s="34"/>
      <c r="U3" s="34"/>
      <c r="V3" s="31"/>
      <c r="W3" s="32"/>
      <c r="X3" s="32"/>
      <c r="Y3" s="32"/>
      <c r="Z3" s="38"/>
      <c r="AA3" s="31"/>
      <c r="AB3" s="39"/>
      <c r="AC3" s="40"/>
      <c r="AD3" s="40"/>
    </row>
    <row r="4" spans="1:30" s="1" customFormat="1" x14ac:dyDescent="0.25">
      <c r="A4" s="9">
        <v>42893</v>
      </c>
      <c r="B4" s="14" t="s">
        <v>177</v>
      </c>
      <c r="C4" s="15" t="s">
        <v>69</v>
      </c>
      <c r="D4" s="16">
        <v>400</v>
      </c>
      <c r="E4" s="15">
        <v>5.0999999999999996</v>
      </c>
      <c r="F4" s="16">
        <f t="shared" ref="F4:F67" si="6">IF(C4="买",F3+D4,IF(C4="卖",F3-D4,F3))</f>
        <v>100</v>
      </c>
      <c r="G4" s="17">
        <f t="shared" ref="G4:G67" si="7">H4/F4</f>
        <v>4.9204000000000025</v>
      </c>
      <c r="H4" s="15">
        <f t="shared" ref="H4:H67" si="8">IF(C4="买",H3+D4*E4+R4+S4,IF(C4="卖",H3-D4*E4+R4+S4,H3))</f>
        <v>492.04000000000025</v>
      </c>
      <c r="I4" s="15">
        <f t="shared" ref="I4:I67" si="9">-H4+K4</f>
        <v>17.959999999999695</v>
      </c>
      <c r="J4" s="33">
        <f t="shared" ref="J4:J67" si="10">(E4-G4)/G4</f>
        <v>3.6501097471749656E-2</v>
      </c>
      <c r="K4" s="15">
        <f t="shared" ref="K4:K67" si="11">F4*E4</f>
        <v>509.99999999999994</v>
      </c>
      <c r="L4" s="15">
        <f t="shared" si="0"/>
        <v>22.959999999999695</v>
      </c>
      <c r="M4" s="15"/>
      <c r="N4" s="15"/>
      <c r="O4" s="15"/>
      <c r="P4" s="17"/>
      <c r="Q4" s="31">
        <f t="shared" si="1"/>
        <v>2032.9599999999998</v>
      </c>
      <c r="R4" s="34">
        <f t="shared" ref="R4:R67" si="12">commission($B$2,C4,D4,E4)</f>
        <v>7.04</v>
      </c>
      <c r="S4" s="31"/>
      <c r="T4" s="34"/>
      <c r="U4" s="34"/>
      <c r="V4" s="31"/>
      <c r="W4" s="32"/>
      <c r="X4" s="32"/>
      <c r="Y4" s="32"/>
      <c r="Z4" s="38"/>
      <c r="AA4" s="31"/>
      <c r="AB4" s="39"/>
      <c r="AC4" s="40"/>
      <c r="AD4" s="40"/>
    </row>
    <row r="5" spans="1:30" s="1" customFormat="1" x14ac:dyDescent="0.25">
      <c r="A5" s="9">
        <v>42957</v>
      </c>
      <c r="B5" s="14"/>
      <c r="C5" s="15" t="s">
        <v>63</v>
      </c>
      <c r="D5" s="16">
        <v>500</v>
      </c>
      <c r="E5" s="15">
        <v>5.49</v>
      </c>
      <c r="F5" s="16">
        <f t="shared" si="6"/>
        <v>600</v>
      </c>
      <c r="G5" s="17">
        <f t="shared" si="7"/>
        <v>5.4034000000000004</v>
      </c>
      <c r="H5" s="15">
        <f t="shared" si="8"/>
        <v>3242.0400000000004</v>
      </c>
      <c r="I5" s="15">
        <f t="shared" si="9"/>
        <v>51.959999999999582</v>
      </c>
      <c r="J5" s="33">
        <f t="shared" si="10"/>
        <v>1.6026945996964834E-2</v>
      </c>
      <c r="K5" s="15">
        <f t="shared" si="11"/>
        <v>3294</v>
      </c>
      <c r="L5" s="15">
        <f t="shared" si="0"/>
        <v>33.999999999999886</v>
      </c>
      <c r="M5" s="15"/>
      <c r="N5" s="15"/>
      <c r="O5" s="15"/>
      <c r="P5" s="17"/>
      <c r="Q5" s="31">
        <f t="shared" si="1"/>
        <v>-2750</v>
      </c>
      <c r="R5" s="34">
        <f t="shared" si="12"/>
        <v>5</v>
      </c>
      <c r="S5" s="31"/>
      <c r="T5" s="34"/>
      <c r="U5" s="34"/>
      <c r="V5" s="31"/>
      <c r="W5" s="32"/>
      <c r="X5" s="32"/>
      <c r="Y5" s="32"/>
      <c r="Z5" s="38"/>
      <c r="AA5" s="31"/>
      <c r="AB5" s="39"/>
      <c r="AC5" s="40"/>
      <c r="AD5" s="40"/>
    </row>
    <row r="6" spans="1:30" s="1" customFormat="1" x14ac:dyDescent="0.25">
      <c r="A6" s="9">
        <v>42958</v>
      </c>
      <c r="B6" s="18"/>
      <c r="C6" s="15" t="s">
        <v>63</v>
      </c>
      <c r="D6" s="16">
        <v>500</v>
      </c>
      <c r="E6" s="15">
        <v>5.39</v>
      </c>
      <c r="F6" s="16">
        <f t="shared" si="6"/>
        <v>1100</v>
      </c>
      <c r="G6" s="17">
        <f t="shared" si="7"/>
        <v>5.4018545454545466</v>
      </c>
      <c r="H6" s="15">
        <f t="shared" si="8"/>
        <v>5942.0400000000009</v>
      </c>
      <c r="I6" s="15">
        <f t="shared" si="9"/>
        <v>-13.040000000000873</v>
      </c>
      <c r="J6" s="33">
        <f t="shared" si="10"/>
        <v>-2.1945325174521847E-3</v>
      </c>
      <c r="K6" s="15">
        <f t="shared" si="11"/>
        <v>5929</v>
      </c>
      <c r="L6" s="15">
        <f t="shared" si="0"/>
        <v>-65.000000000000455</v>
      </c>
      <c r="M6" s="15"/>
      <c r="N6" s="15"/>
      <c r="O6" s="15"/>
      <c r="P6" s="17"/>
      <c r="Q6" s="31">
        <f t="shared" si="1"/>
        <v>-2700.0000000000005</v>
      </c>
      <c r="R6" s="34">
        <f t="shared" si="12"/>
        <v>5</v>
      </c>
      <c r="S6" s="31"/>
      <c r="T6" s="34"/>
      <c r="U6" s="34"/>
      <c r="V6" s="31"/>
      <c r="W6" s="32"/>
      <c r="X6" s="32"/>
      <c r="Y6" s="32"/>
      <c r="Z6" s="38"/>
      <c r="AA6" s="31"/>
      <c r="AB6" s="39"/>
      <c r="AC6" s="40"/>
      <c r="AD6" s="40"/>
    </row>
    <row r="7" spans="1:30" s="1" customFormat="1" x14ac:dyDescent="0.25">
      <c r="A7" s="9">
        <v>42965</v>
      </c>
      <c r="B7" s="18" t="s">
        <v>221</v>
      </c>
      <c r="C7" s="15" t="s">
        <v>69</v>
      </c>
      <c r="D7" s="16">
        <v>400</v>
      </c>
      <c r="E7" s="15">
        <v>5.51</v>
      </c>
      <c r="F7" s="16">
        <f t="shared" si="6"/>
        <v>700</v>
      </c>
      <c r="G7" s="17">
        <f t="shared" si="7"/>
        <v>5.3503485714285732</v>
      </c>
      <c r="H7" s="15">
        <f t="shared" si="8"/>
        <v>3745.2440000000011</v>
      </c>
      <c r="I7" s="15">
        <f t="shared" si="9"/>
        <v>111.75599999999895</v>
      </c>
      <c r="J7" s="33">
        <f t="shared" si="10"/>
        <v>2.98394443726493E-2</v>
      </c>
      <c r="K7" s="15">
        <f t="shared" si="11"/>
        <v>3857</v>
      </c>
      <c r="L7" s="15">
        <f t="shared" si="0"/>
        <v>124.79599999999982</v>
      </c>
      <c r="M7" s="15"/>
      <c r="N7" s="15"/>
      <c r="O7" s="15"/>
      <c r="P7" s="17"/>
      <c r="Q7" s="31">
        <f t="shared" si="1"/>
        <v>2196.7959999999998</v>
      </c>
      <c r="R7" s="34">
        <f t="shared" si="12"/>
        <v>7.2039999999999997</v>
      </c>
      <c r="S7" s="31"/>
      <c r="T7" s="34"/>
      <c r="U7" s="34"/>
      <c r="V7" s="31"/>
      <c r="W7" s="32"/>
      <c r="X7" s="32"/>
      <c r="Y7" s="32"/>
      <c r="Z7" s="38"/>
      <c r="AA7" s="31"/>
      <c r="AB7" s="39"/>
      <c r="AC7" s="40"/>
      <c r="AD7" s="40"/>
    </row>
    <row r="8" spans="1:30" s="1" customFormat="1" x14ac:dyDescent="0.25">
      <c r="A8" s="9">
        <v>42977</v>
      </c>
      <c r="B8" s="18" t="s">
        <v>220</v>
      </c>
      <c r="C8" s="15" t="s">
        <v>69</v>
      </c>
      <c r="D8" s="16">
        <v>400</v>
      </c>
      <c r="E8" s="15">
        <v>5.57</v>
      </c>
      <c r="F8" s="16">
        <f t="shared" si="6"/>
        <v>300</v>
      </c>
      <c r="G8" s="17">
        <f t="shared" si="7"/>
        <v>5.0815733333333375</v>
      </c>
      <c r="H8" s="15">
        <f t="shared" si="8"/>
        <v>1524.4720000000011</v>
      </c>
      <c r="I8" s="15">
        <f t="shared" si="9"/>
        <v>146.52799999999888</v>
      </c>
      <c r="J8" s="33">
        <f t="shared" si="10"/>
        <v>9.6117213041629304E-2</v>
      </c>
      <c r="K8" s="15">
        <f t="shared" si="11"/>
        <v>1671</v>
      </c>
      <c r="L8" s="15">
        <f t="shared" si="0"/>
        <v>34.771999999999935</v>
      </c>
      <c r="M8" s="15"/>
      <c r="N8" s="15"/>
      <c r="O8" s="15"/>
      <c r="P8" s="17"/>
      <c r="Q8" s="31">
        <f t="shared" si="1"/>
        <v>2220.7719999999999</v>
      </c>
      <c r="R8" s="34">
        <f t="shared" si="12"/>
        <v>7.2279999999999998</v>
      </c>
      <c r="S8" s="31"/>
      <c r="T8" s="34"/>
      <c r="U8" s="34"/>
      <c r="V8" s="31"/>
      <c r="W8" s="32"/>
      <c r="X8" s="32"/>
      <c r="Y8" s="32"/>
      <c r="Z8" s="38"/>
      <c r="AA8" s="31"/>
      <c r="AB8" s="39"/>
      <c r="AC8" s="40"/>
      <c r="AD8" s="40"/>
    </row>
    <row r="9" spans="1:30" s="1" customFormat="1" x14ac:dyDescent="0.25">
      <c r="A9" s="9">
        <v>42991</v>
      </c>
      <c r="B9" s="18"/>
      <c r="C9" s="15" t="s">
        <v>63</v>
      </c>
      <c r="D9" s="16">
        <v>500</v>
      </c>
      <c r="E9" s="15">
        <v>5.47</v>
      </c>
      <c r="F9" s="16">
        <f t="shared" si="6"/>
        <v>800</v>
      </c>
      <c r="G9" s="17">
        <f t="shared" si="7"/>
        <v>5.3305900000000017</v>
      </c>
      <c r="H9" s="15">
        <f t="shared" si="8"/>
        <v>4264.4720000000016</v>
      </c>
      <c r="I9" s="15">
        <f t="shared" si="9"/>
        <v>111.52799999999843</v>
      </c>
      <c r="J9" s="33">
        <f t="shared" si="10"/>
        <v>2.6152827360573217E-2</v>
      </c>
      <c r="K9" s="15">
        <f t="shared" si="11"/>
        <v>4376</v>
      </c>
      <c r="L9" s="15">
        <f t="shared" si="0"/>
        <v>-35.000000000000455</v>
      </c>
      <c r="M9" s="15"/>
      <c r="N9" s="15"/>
      <c r="O9" s="15"/>
      <c r="P9" s="17"/>
      <c r="Q9" s="31">
        <f t="shared" si="1"/>
        <v>-2740.0000000000005</v>
      </c>
      <c r="R9" s="34">
        <f t="shared" si="12"/>
        <v>5</v>
      </c>
      <c r="S9" s="31"/>
      <c r="T9" s="34"/>
      <c r="U9" s="34"/>
      <c r="V9" s="31"/>
      <c r="W9" s="32"/>
      <c r="X9" s="32"/>
      <c r="Y9" s="32"/>
      <c r="Z9" s="38"/>
      <c r="AA9" s="31"/>
      <c r="AB9" s="39"/>
      <c r="AC9" s="40"/>
      <c r="AD9" s="40"/>
    </row>
    <row r="10" spans="1:30" s="1" customFormat="1" x14ac:dyDescent="0.25">
      <c r="A10" s="9">
        <v>42997</v>
      </c>
      <c r="B10" s="18"/>
      <c r="C10" s="15" t="s">
        <v>63</v>
      </c>
      <c r="D10" s="16">
        <v>500</v>
      </c>
      <c r="E10" s="15">
        <v>5.42</v>
      </c>
      <c r="F10" s="16">
        <f t="shared" si="6"/>
        <v>1300</v>
      </c>
      <c r="G10" s="17">
        <f t="shared" si="7"/>
        <v>5.3688246153846162</v>
      </c>
      <c r="H10" s="15">
        <f t="shared" si="8"/>
        <v>6979.4720000000016</v>
      </c>
      <c r="I10" s="15">
        <f t="shared" si="9"/>
        <v>66.527999999998428</v>
      </c>
      <c r="J10" s="33">
        <f t="shared" si="10"/>
        <v>9.5319531334173771E-3</v>
      </c>
      <c r="K10" s="15">
        <f t="shared" si="11"/>
        <v>7046</v>
      </c>
      <c r="L10" s="15">
        <f t="shared" si="0"/>
        <v>-45</v>
      </c>
      <c r="M10" s="15"/>
      <c r="N10" s="15"/>
      <c r="O10" s="15"/>
      <c r="P10" s="17"/>
      <c r="Q10" s="31">
        <f t="shared" si="1"/>
        <v>-2715</v>
      </c>
      <c r="R10" s="34">
        <f t="shared" si="12"/>
        <v>5</v>
      </c>
      <c r="S10" s="31"/>
      <c r="T10" s="34"/>
      <c r="U10" s="34"/>
      <c r="V10" s="31"/>
      <c r="W10" s="32"/>
      <c r="X10" s="32"/>
      <c r="Y10" s="32"/>
      <c r="Z10" s="38"/>
      <c r="AA10" s="31"/>
      <c r="AB10" s="39"/>
      <c r="AC10" s="40"/>
      <c r="AD10" s="40"/>
    </row>
    <row r="11" spans="1:30" s="1" customFormat="1" x14ac:dyDescent="0.25">
      <c r="A11" s="9">
        <v>42998</v>
      </c>
      <c r="B11" s="18"/>
      <c r="C11" s="15" t="s">
        <v>63</v>
      </c>
      <c r="D11" s="16">
        <v>500</v>
      </c>
      <c r="E11" s="15">
        <v>5.38</v>
      </c>
      <c r="F11" s="16">
        <f t="shared" si="6"/>
        <v>1800</v>
      </c>
      <c r="G11" s="17">
        <f t="shared" si="7"/>
        <v>5.3747066666666674</v>
      </c>
      <c r="H11" s="15">
        <f t="shared" si="8"/>
        <v>9674.4720000000016</v>
      </c>
      <c r="I11" s="15">
        <f t="shared" si="9"/>
        <v>9.5279999999984284</v>
      </c>
      <c r="J11" s="33">
        <f t="shared" si="10"/>
        <v>9.8485994894589282E-4</v>
      </c>
      <c r="K11" s="15">
        <f t="shared" si="11"/>
        <v>9684</v>
      </c>
      <c r="L11" s="15">
        <f t="shared" si="0"/>
        <v>-57</v>
      </c>
      <c r="M11" s="15"/>
      <c r="N11" s="15"/>
      <c r="O11" s="15"/>
      <c r="P11" s="17"/>
      <c r="Q11" s="31">
        <f t="shared" si="1"/>
        <v>-2695</v>
      </c>
      <c r="R11" s="34">
        <f t="shared" si="12"/>
        <v>5</v>
      </c>
      <c r="S11" s="31"/>
      <c r="T11" s="34"/>
      <c r="U11" s="34"/>
      <c r="V11" s="31"/>
      <c r="W11" s="32"/>
      <c r="X11" s="32"/>
      <c r="Y11" s="32"/>
      <c r="Z11" s="38"/>
      <c r="AA11" s="31"/>
      <c r="AB11" s="39"/>
      <c r="AC11" s="40"/>
      <c r="AD11" s="40"/>
    </row>
    <row r="12" spans="1:30" s="1" customFormat="1" x14ac:dyDescent="0.25">
      <c r="A12" s="9">
        <v>43000</v>
      </c>
      <c r="B12" s="18"/>
      <c r="C12" s="15" t="s">
        <v>63</v>
      </c>
      <c r="D12" s="16">
        <v>500</v>
      </c>
      <c r="E12" s="15">
        <v>5.34</v>
      </c>
      <c r="F12" s="16">
        <f t="shared" si="6"/>
        <v>2300</v>
      </c>
      <c r="G12" s="17">
        <f t="shared" si="7"/>
        <v>5.3693356521739135</v>
      </c>
      <c r="H12" s="15">
        <f t="shared" si="8"/>
        <v>12349.472000000002</v>
      </c>
      <c r="I12" s="15">
        <f t="shared" si="9"/>
        <v>-67.472000000001572</v>
      </c>
      <c r="J12" s="33">
        <f t="shared" si="10"/>
        <v>-5.4635534215553014E-3</v>
      </c>
      <c r="K12" s="15">
        <f t="shared" si="11"/>
        <v>12282</v>
      </c>
      <c r="L12" s="15">
        <f t="shared" si="0"/>
        <v>-77</v>
      </c>
      <c r="M12" s="15"/>
      <c r="N12" s="15"/>
      <c r="O12" s="15"/>
      <c r="P12" s="17"/>
      <c r="Q12" s="31">
        <f t="shared" si="1"/>
        <v>-2675</v>
      </c>
      <c r="R12" s="34">
        <f t="shared" si="12"/>
        <v>5</v>
      </c>
      <c r="S12" s="31"/>
      <c r="T12" s="34"/>
      <c r="U12" s="34"/>
      <c r="V12" s="31"/>
      <c r="W12" s="32"/>
      <c r="X12" s="32"/>
      <c r="Y12" s="32"/>
      <c r="Z12" s="38"/>
      <c r="AA12" s="31"/>
      <c r="AB12" s="39"/>
      <c r="AC12" s="40"/>
      <c r="AD12" s="40"/>
    </row>
    <row r="13" spans="1:30" s="1" customFormat="1" x14ac:dyDescent="0.25">
      <c r="A13" s="9">
        <v>43003</v>
      </c>
      <c r="B13" s="18"/>
      <c r="C13" s="15" t="s">
        <v>63</v>
      </c>
      <c r="D13" s="16">
        <v>500</v>
      </c>
      <c r="E13" s="15">
        <v>5.3</v>
      </c>
      <c r="F13" s="16">
        <f t="shared" si="6"/>
        <v>2800</v>
      </c>
      <c r="G13" s="17">
        <f t="shared" si="7"/>
        <v>5.3587400000000009</v>
      </c>
      <c r="H13" s="15">
        <f t="shared" si="8"/>
        <v>15004.472000000002</v>
      </c>
      <c r="I13" s="15">
        <f t="shared" si="9"/>
        <v>-164.47200000000157</v>
      </c>
      <c r="J13" s="33">
        <f t="shared" si="10"/>
        <v>-1.0961532001926034E-2</v>
      </c>
      <c r="K13" s="15">
        <f t="shared" si="11"/>
        <v>14840</v>
      </c>
      <c r="L13" s="15">
        <f t="shared" si="0"/>
        <v>-97</v>
      </c>
      <c r="M13" s="15"/>
      <c r="N13" s="15"/>
      <c r="O13" s="15"/>
      <c r="P13" s="17"/>
      <c r="Q13" s="31">
        <f t="shared" si="1"/>
        <v>-2655</v>
      </c>
      <c r="R13" s="34">
        <f t="shared" si="12"/>
        <v>5</v>
      </c>
      <c r="S13" s="31"/>
      <c r="T13" s="34"/>
      <c r="U13" s="34"/>
      <c r="V13" s="31"/>
      <c r="W13" s="32"/>
      <c r="X13" s="32"/>
      <c r="Y13" s="32"/>
      <c r="Z13" s="38"/>
      <c r="AA13" s="31"/>
      <c r="AB13" s="39"/>
      <c r="AC13" s="40"/>
      <c r="AD13" s="40"/>
    </row>
    <row r="14" spans="1:30" s="1" customFormat="1" x14ac:dyDescent="0.25">
      <c r="A14" s="9">
        <v>43017</v>
      </c>
      <c r="B14" s="18" t="s">
        <v>228</v>
      </c>
      <c r="C14" s="15" t="s">
        <v>69</v>
      </c>
      <c r="D14" s="16">
        <v>400</v>
      </c>
      <c r="E14" s="15">
        <v>5.39</v>
      </c>
      <c r="F14" s="16">
        <f t="shared" si="6"/>
        <v>2400</v>
      </c>
      <c r="G14" s="17">
        <f t="shared" si="7"/>
        <v>5.3565116666666679</v>
      </c>
      <c r="H14" s="15">
        <f t="shared" si="8"/>
        <v>12855.628000000002</v>
      </c>
      <c r="I14" s="15">
        <f t="shared" si="9"/>
        <v>80.37199999999757</v>
      </c>
      <c r="J14" s="33">
        <f t="shared" si="10"/>
        <v>6.2518921673835205E-3</v>
      </c>
      <c r="K14" s="15">
        <f t="shared" si="11"/>
        <v>12936</v>
      </c>
      <c r="L14" s="15">
        <f t="shared" si="0"/>
        <v>244.84399999999914</v>
      </c>
      <c r="M14" s="15"/>
      <c r="N14" s="15"/>
      <c r="O14" s="15"/>
      <c r="P14" s="17"/>
      <c r="Q14" s="31">
        <f t="shared" si="1"/>
        <v>2148.8439999999991</v>
      </c>
      <c r="R14" s="34">
        <f t="shared" si="12"/>
        <v>7.1559999999999997</v>
      </c>
      <c r="S14" s="31"/>
      <c r="T14" s="34"/>
      <c r="U14" s="34"/>
      <c r="V14" s="31"/>
      <c r="W14" s="32"/>
      <c r="X14" s="32"/>
      <c r="Y14" s="32"/>
      <c r="Z14" s="38"/>
      <c r="AA14" s="31"/>
      <c r="AB14" s="41"/>
      <c r="AC14" s="40"/>
      <c r="AD14" s="40"/>
    </row>
    <row r="15" spans="1:30" s="1" customFormat="1" x14ac:dyDescent="0.25">
      <c r="A15" s="9">
        <v>43025</v>
      </c>
      <c r="B15" s="18"/>
      <c r="C15" s="19" t="s">
        <v>63</v>
      </c>
      <c r="D15" s="16">
        <v>500</v>
      </c>
      <c r="E15" s="15">
        <v>5.3</v>
      </c>
      <c r="F15" s="16">
        <f t="shared" si="6"/>
        <v>2900</v>
      </c>
      <c r="G15" s="17">
        <f t="shared" si="7"/>
        <v>5.348492413793104</v>
      </c>
      <c r="H15" s="15">
        <f t="shared" si="8"/>
        <v>15510.628000000002</v>
      </c>
      <c r="I15" s="15">
        <f t="shared" si="9"/>
        <v>-140.62800000000243</v>
      </c>
      <c r="J15" s="33">
        <f t="shared" si="10"/>
        <v>-9.0665574598270404E-3</v>
      </c>
      <c r="K15" s="15">
        <f t="shared" si="11"/>
        <v>15370</v>
      </c>
      <c r="L15" s="15">
        <f t="shared" si="0"/>
        <v>-221</v>
      </c>
      <c r="M15" s="15"/>
      <c r="N15" s="15"/>
      <c r="O15" s="15"/>
      <c r="P15" s="17"/>
      <c r="Q15" s="31">
        <f t="shared" si="1"/>
        <v>-2655</v>
      </c>
      <c r="R15" s="34">
        <f t="shared" si="12"/>
        <v>5</v>
      </c>
      <c r="S15" s="31"/>
      <c r="T15" s="34"/>
      <c r="U15" s="34"/>
      <c r="V15" s="31"/>
      <c r="W15" s="32"/>
      <c r="X15" s="32"/>
      <c r="Y15" s="32"/>
      <c r="Z15" s="38"/>
      <c r="AA15" s="31"/>
      <c r="AB15" s="41"/>
      <c r="AC15" s="40"/>
      <c r="AD15" s="40"/>
    </row>
    <row r="16" spans="1:30" s="1" customFormat="1" x14ac:dyDescent="0.25">
      <c r="A16" s="9">
        <v>43047</v>
      </c>
      <c r="B16" s="18" t="s">
        <v>475</v>
      </c>
      <c r="C16" s="15" t="s">
        <v>69</v>
      </c>
      <c r="D16" s="16">
        <v>400</v>
      </c>
      <c r="E16" s="15">
        <v>5.35</v>
      </c>
      <c r="F16" s="16">
        <f t="shared" si="6"/>
        <v>2500</v>
      </c>
      <c r="G16" s="17">
        <f t="shared" si="7"/>
        <v>5.3511072000000004</v>
      </c>
      <c r="H16" s="15">
        <f t="shared" si="8"/>
        <v>13377.768000000002</v>
      </c>
      <c r="I16" s="15">
        <f t="shared" si="9"/>
        <v>-2.7680000000018481</v>
      </c>
      <c r="J16" s="33">
        <f t="shared" si="10"/>
        <v>-2.0691045023369219E-4</v>
      </c>
      <c r="K16" s="15">
        <f t="shared" si="11"/>
        <v>13375</v>
      </c>
      <c r="L16" s="15">
        <f t="shared" si="0"/>
        <v>137.86000000000058</v>
      </c>
      <c r="M16" s="15"/>
      <c r="N16" s="15"/>
      <c r="O16" s="15"/>
      <c r="P16" s="17"/>
      <c r="Q16" s="31">
        <f t="shared" si="1"/>
        <v>2132.8600000000006</v>
      </c>
      <c r="R16" s="34">
        <f t="shared" si="12"/>
        <v>7.14</v>
      </c>
      <c r="S16" s="22"/>
      <c r="T16" s="34"/>
      <c r="U16" s="34"/>
      <c r="V16" s="31"/>
      <c r="W16" s="32"/>
      <c r="X16" s="32"/>
      <c r="Y16" s="32"/>
      <c r="Z16" s="38"/>
      <c r="AA16" s="31"/>
      <c r="AB16" s="41"/>
      <c r="AC16" s="40"/>
      <c r="AD16" s="40"/>
    </row>
    <row r="17" spans="1:30" s="1" customFormat="1" x14ac:dyDescent="0.25">
      <c r="A17" s="9">
        <v>43055</v>
      </c>
      <c r="B17" s="18"/>
      <c r="C17" s="19" t="s">
        <v>63</v>
      </c>
      <c r="D17" s="16">
        <v>500</v>
      </c>
      <c r="E17" s="15">
        <v>5.23</v>
      </c>
      <c r="F17" s="16">
        <f t="shared" si="6"/>
        <v>3000</v>
      </c>
      <c r="G17" s="17">
        <f t="shared" si="7"/>
        <v>5.3325893333333338</v>
      </c>
      <c r="H17" s="15">
        <f t="shared" si="8"/>
        <v>15997.768000000002</v>
      </c>
      <c r="I17" s="15">
        <f t="shared" si="9"/>
        <v>-307.76800000000003</v>
      </c>
      <c r="J17" s="33">
        <f t="shared" si="10"/>
        <v>-1.923818372662988E-2</v>
      </c>
      <c r="K17" s="15">
        <f t="shared" si="11"/>
        <v>15690.000000000002</v>
      </c>
      <c r="L17" s="15">
        <f t="shared" si="0"/>
        <v>-304.99999999999818</v>
      </c>
      <c r="M17" s="15"/>
      <c r="N17" s="15"/>
      <c r="O17" s="15"/>
      <c r="P17" s="17"/>
      <c r="Q17" s="31">
        <f t="shared" si="1"/>
        <v>-2620</v>
      </c>
      <c r="R17" s="34">
        <f t="shared" si="12"/>
        <v>5</v>
      </c>
      <c r="S17" s="22"/>
      <c r="T17" s="34"/>
      <c r="U17" s="34"/>
      <c r="V17" s="31"/>
      <c r="W17" s="32"/>
      <c r="X17" s="32"/>
      <c r="Y17" s="32"/>
      <c r="Z17" s="38"/>
      <c r="AA17" s="31"/>
      <c r="AB17" s="41"/>
      <c r="AC17" s="40"/>
      <c r="AD17" s="40"/>
    </row>
    <row r="18" spans="1:30" s="1" customFormat="1" x14ac:dyDescent="0.25">
      <c r="A18" s="9">
        <v>43059</v>
      </c>
      <c r="B18" s="18"/>
      <c r="C18" s="10" t="s">
        <v>63</v>
      </c>
      <c r="D18" s="16">
        <v>500</v>
      </c>
      <c r="E18" s="15">
        <v>5.14</v>
      </c>
      <c r="F18" s="16">
        <f t="shared" si="6"/>
        <v>3500</v>
      </c>
      <c r="G18" s="17">
        <f t="shared" si="7"/>
        <v>5.3065051428571435</v>
      </c>
      <c r="H18" s="15">
        <f t="shared" si="8"/>
        <v>18572.768000000004</v>
      </c>
      <c r="I18" s="15">
        <f t="shared" si="9"/>
        <v>-582.76800000000367</v>
      </c>
      <c r="J18" s="33">
        <f t="shared" si="10"/>
        <v>-3.1377552338994558E-2</v>
      </c>
      <c r="K18" s="15">
        <f t="shared" si="11"/>
        <v>17990</v>
      </c>
      <c r="L18" s="15">
        <f t="shared" si="0"/>
        <v>-275.00000000000364</v>
      </c>
      <c r="M18" s="15"/>
      <c r="N18" s="15"/>
      <c r="O18" s="15"/>
      <c r="P18" s="17"/>
      <c r="Q18" s="31">
        <f t="shared" si="1"/>
        <v>-2575.0000000000018</v>
      </c>
      <c r="R18" s="34">
        <f t="shared" si="12"/>
        <v>5</v>
      </c>
      <c r="S18" s="22"/>
      <c r="T18" s="34"/>
      <c r="U18" s="34"/>
      <c r="V18" s="31"/>
      <c r="W18" s="32"/>
      <c r="X18" s="32"/>
      <c r="Y18" s="32"/>
      <c r="Z18" s="38"/>
      <c r="AA18" s="31"/>
      <c r="AB18" s="41"/>
      <c r="AC18" s="40"/>
      <c r="AD18" s="40"/>
    </row>
    <row r="19" spans="1:30" s="1" customFormat="1" x14ac:dyDescent="0.25">
      <c r="A19" s="9">
        <v>43117</v>
      </c>
      <c r="B19" s="18" t="s">
        <v>186</v>
      </c>
      <c r="C19" s="15" t="s">
        <v>69</v>
      </c>
      <c r="D19" s="16">
        <v>400</v>
      </c>
      <c r="E19" s="15">
        <v>5.24</v>
      </c>
      <c r="F19" s="16">
        <f t="shared" si="6"/>
        <v>3100</v>
      </c>
      <c r="G19" s="17">
        <f t="shared" si="7"/>
        <v>5.3173754838709693</v>
      </c>
      <c r="H19" s="15">
        <f t="shared" si="8"/>
        <v>16483.864000000005</v>
      </c>
      <c r="I19" s="15">
        <f t="shared" si="9"/>
        <v>-239.86400000000503</v>
      </c>
      <c r="J19" s="33">
        <f t="shared" si="10"/>
        <v>-1.455144255012077E-2</v>
      </c>
      <c r="K19" s="15">
        <f t="shared" si="11"/>
        <v>16244</v>
      </c>
      <c r="L19" s="15">
        <f t="shared" si="0"/>
        <v>342.90399999999863</v>
      </c>
      <c r="M19" s="15"/>
      <c r="N19" s="15"/>
      <c r="O19" s="15"/>
      <c r="P19" s="17"/>
      <c r="Q19" s="31">
        <f t="shared" si="1"/>
        <v>2088.9039999999986</v>
      </c>
      <c r="R19" s="34">
        <f t="shared" si="12"/>
        <v>7.0960000000000001</v>
      </c>
      <c r="S19" s="22"/>
      <c r="T19" s="34"/>
      <c r="U19" s="34"/>
      <c r="V19" s="31"/>
      <c r="W19" s="32"/>
      <c r="X19" s="32"/>
      <c r="Y19" s="32"/>
      <c r="Z19" s="38"/>
      <c r="AA19" s="31"/>
      <c r="AB19" s="41"/>
      <c r="AC19" s="40"/>
      <c r="AD19" s="40"/>
    </row>
    <row r="20" spans="1:30" s="1" customFormat="1" x14ac:dyDescent="0.25">
      <c r="A20" s="9">
        <v>43119</v>
      </c>
      <c r="B20" s="18" t="s">
        <v>457</v>
      </c>
      <c r="C20" s="15" t="s">
        <v>69</v>
      </c>
      <c r="D20" s="16">
        <v>400</v>
      </c>
      <c r="E20" s="15">
        <v>5.33</v>
      </c>
      <c r="F20" s="16">
        <f t="shared" si="6"/>
        <v>2700</v>
      </c>
      <c r="G20" s="17">
        <f t="shared" si="7"/>
        <v>5.3181466666666681</v>
      </c>
      <c r="H20" s="15">
        <f t="shared" si="8"/>
        <v>14358.996000000005</v>
      </c>
      <c r="I20" s="15">
        <f t="shared" si="9"/>
        <v>32.003999999995358</v>
      </c>
      <c r="J20" s="33">
        <f t="shared" si="10"/>
        <v>2.2288466408094429E-3</v>
      </c>
      <c r="K20" s="15">
        <f t="shared" si="11"/>
        <v>14391</v>
      </c>
      <c r="L20" s="15">
        <f t="shared" si="0"/>
        <v>271.86800000000039</v>
      </c>
      <c r="M20" s="15"/>
      <c r="N20" s="15"/>
      <c r="O20" s="15"/>
      <c r="P20" s="17"/>
      <c r="Q20" s="31">
        <f t="shared" si="1"/>
        <v>2124.8680000000004</v>
      </c>
      <c r="R20" s="34">
        <f t="shared" si="12"/>
        <v>7.1319999999999997</v>
      </c>
      <c r="S20" s="15"/>
      <c r="T20" s="34"/>
      <c r="U20" s="34"/>
      <c r="V20" s="31"/>
      <c r="W20" s="32"/>
      <c r="X20" s="32"/>
      <c r="Y20" s="32"/>
      <c r="Z20" s="38"/>
      <c r="AA20" s="31"/>
      <c r="AB20" s="41"/>
      <c r="AC20" s="40"/>
      <c r="AD20" s="40"/>
    </row>
    <row r="21" spans="1:30" s="1" customFormat="1" x14ac:dyDescent="0.25">
      <c r="A21" s="9">
        <v>43123</v>
      </c>
      <c r="B21" s="18" t="s">
        <v>594</v>
      </c>
      <c r="C21" s="15" t="s">
        <v>69</v>
      </c>
      <c r="D21" s="16">
        <v>400</v>
      </c>
      <c r="E21" s="15">
        <v>5.36</v>
      </c>
      <c r="F21" s="16">
        <f t="shared" si="6"/>
        <v>2300</v>
      </c>
      <c r="G21" s="17">
        <f t="shared" si="7"/>
        <v>5.3139739130434807</v>
      </c>
      <c r="H21" s="15">
        <f t="shared" si="8"/>
        <v>12222.140000000005</v>
      </c>
      <c r="I21" s="15">
        <f t="shared" si="9"/>
        <v>105.85999999999513</v>
      </c>
      <c r="J21" s="33">
        <f t="shared" si="10"/>
        <v>8.6613309944081132E-3</v>
      </c>
      <c r="K21" s="15">
        <f t="shared" si="11"/>
        <v>12328</v>
      </c>
      <c r="L21" s="15">
        <f t="shared" si="0"/>
        <v>73.855999999999767</v>
      </c>
      <c r="M21" s="15"/>
      <c r="N21" s="15"/>
      <c r="O21" s="15"/>
      <c r="P21" s="17"/>
      <c r="Q21" s="31">
        <f t="shared" si="1"/>
        <v>2136.8559999999998</v>
      </c>
      <c r="R21" s="34">
        <f t="shared" si="12"/>
        <v>7.1440000000000001</v>
      </c>
      <c r="S21" s="15"/>
      <c r="T21" s="34"/>
      <c r="U21" s="34"/>
      <c r="V21" s="31"/>
      <c r="W21" s="32"/>
      <c r="X21" s="32"/>
      <c r="Y21" s="32"/>
      <c r="Z21" s="38"/>
      <c r="AA21" s="31"/>
      <c r="AB21" s="41"/>
      <c r="AC21" s="40"/>
      <c r="AD21" s="40"/>
    </row>
    <row r="22" spans="1:30" s="1" customFormat="1" x14ac:dyDescent="0.25">
      <c r="A22" s="9">
        <v>43124</v>
      </c>
      <c r="B22" s="18" t="s">
        <v>188</v>
      </c>
      <c r="C22" s="15" t="s">
        <v>69</v>
      </c>
      <c r="D22" s="16">
        <v>500</v>
      </c>
      <c r="E22" s="15">
        <v>5.45</v>
      </c>
      <c r="F22" s="16">
        <f t="shared" si="6"/>
        <v>1800</v>
      </c>
      <c r="G22" s="17">
        <f t="shared" si="7"/>
        <v>5.2804805555555587</v>
      </c>
      <c r="H22" s="15">
        <f t="shared" si="8"/>
        <v>9504.8650000000052</v>
      </c>
      <c r="I22" s="15">
        <f t="shared" si="9"/>
        <v>305.13499999999476</v>
      </c>
      <c r="J22" s="33">
        <f t="shared" si="10"/>
        <v>3.2103033551764748E-2</v>
      </c>
      <c r="K22" s="15">
        <f t="shared" si="11"/>
        <v>9810</v>
      </c>
      <c r="L22" s="15">
        <f t="shared" si="0"/>
        <v>199.27499999999964</v>
      </c>
      <c r="M22" s="15"/>
      <c r="N22" s="15"/>
      <c r="O22" s="15"/>
      <c r="P22" s="17"/>
      <c r="Q22" s="31">
        <f t="shared" si="1"/>
        <v>2717.2749999999996</v>
      </c>
      <c r="R22" s="34">
        <f t="shared" si="12"/>
        <v>7.7249999999999996</v>
      </c>
      <c r="S22" s="15"/>
      <c r="T22" s="34"/>
      <c r="U22" s="34"/>
      <c r="V22" s="31"/>
      <c r="W22" s="32"/>
      <c r="X22" s="32"/>
      <c r="Y22" s="32"/>
      <c r="Z22" s="38"/>
      <c r="AA22" s="31"/>
      <c r="AB22" s="41"/>
      <c r="AC22" s="40"/>
      <c r="AD22" s="40"/>
    </row>
    <row r="23" spans="1:30" s="1" customFormat="1" x14ac:dyDescent="0.25">
      <c r="A23" s="9">
        <v>43133</v>
      </c>
      <c r="B23" s="18"/>
      <c r="C23" s="15" t="s">
        <v>63</v>
      </c>
      <c r="D23" s="16">
        <v>500</v>
      </c>
      <c r="E23" s="15">
        <v>5.21</v>
      </c>
      <c r="F23" s="16">
        <f t="shared" si="6"/>
        <v>2300</v>
      </c>
      <c r="G23" s="17">
        <f t="shared" si="7"/>
        <v>5.2673326086956545</v>
      </c>
      <c r="H23" s="15">
        <f t="shared" si="8"/>
        <v>12114.865000000005</v>
      </c>
      <c r="I23" s="15">
        <f t="shared" si="9"/>
        <v>-131.86500000000524</v>
      </c>
      <c r="J23" s="33">
        <f t="shared" si="10"/>
        <v>-1.0884562064868677E-2</v>
      </c>
      <c r="K23" s="15">
        <f t="shared" si="11"/>
        <v>11983</v>
      </c>
      <c r="L23" s="15">
        <f t="shared" si="0"/>
        <v>-437</v>
      </c>
      <c r="M23" s="15"/>
      <c r="N23" s="15"/>
      <c r="O23" s="15"/>
      <c r="P23" s="17"/>
      <c r="Q23" s="31">
        <f t="shared" si="1"/>
        <v>-2610</v>
      </c>
      <c r="R23" s="34">
        <f t="shared" si="12"/>
        <v>5</v>
      </c>
      <c r="S23" s="15"/>
      <c r="T23" s="34"/>
      <c r="U23" s="34"/>
      <c r="V23" s="31"/>
      <c r="W23" s="32"/>
      <c r="X23" s="32"/>
      <c r="Y23" s="32"/>
      <c r="Z23" s="38"/>
      <c r="AA23" s="31"/>
      <c r="AB23" s="41"/>
      <c r="AC23" s="40"/>
      <c r="AD23" s="40"/>
    </row>
    <row r="24" spans="1:30" s="1" customFormat="1" x14ac:dyDescent="0.25">
      <c r="A24" s="9">
        <v>43140</v>
      </c>
      <c r="B24" s="18"/>
      <c r="C24" s="15" t="s">
        <v>63</v>
      </c>
      <c r="D24" s="16">
        <v>500</v>
      </c>
      <c r="E24" s="15">
        <v>4.92</v>
      </c>
      <c r="F24" s="16">
        <f t="shared" si="6"/>
        <v>2800</v>
      </c>
      <c r="G24" s="17">
        <f t="shared" si="7"/>
        <v>5.207094642857145</v>
      </c>
      <c r="H24" s="15">
        <f t="shared" si="8"/>
        <v>14579.865000000005</v>
      </c>
      <c r="I24" s="15">
        <f t="shared" si="9"/>
        <v>-803.86500000000524</v>
      </c>
      <c r="J24" s="33">
        <f t="shared" si="10"/>
        <v>-5.5135284174442342E-2</v>
      </c>
      <c r="K24" s="15">
        <f t="shared" si="11"/>
        <v>13776</v>
      </c>
      <c r="L24" s="15">
        <f t="shared" si="0"/>
        <v>-672</v>
      </c>
      <c r="M24" s="15"/>
      <c r="N24" s="15"/>
      <c r="O24" s="15"/>
      <c r="P24" s="17"/>
      <c r="Q24" s="31">
        <f t="shared" si="1"/>
        <v>-2465</v>
      </c>
      <c r="R24" s="34">
        <f t="shared" si="12"/>
        <v>5</v>
      </c>
      <c r="S24" s="15"/>
      <c r="T24" s="34"/>
      <c r="U24" s="34"/>
      <c r="V24" s="31"/>
      <c r="W24" s="32"/>
      <c r="X24" s="32"/>
      <c r="Y24" s="32"/>
      <c r="Z24" s="38"/>
      <c r="AA24" s="31"/>
      <c r="AB24" s="41"/>
      <c r="AC24" s="40"/>
      <c r="AD24" s="40"/>
    </row>
    <row r="25" spans="1:30" s="1" customFormat="1" x14ac:dyDescent="0.25">
      <c r="A25" s="9">
        <v>43167</v>
      </c>
      <c r="B25" s="20" t="s">
        <v>389</v>
      </c>
      <c r="C25" s="15" t="s">
        <v>69</v>
      </c>
      <c r="D25" s="16">
        <v>400</v>
      </c>
      <c r="E25" s="15">
        <v>5.04</v>
      </c>
      <c r="F25" s="16">
        <f t="shared" si="6"/>
        <v>2400</v>
      </c>
      <c r="G25" s="17">
        <f t="shared" si="7"/>
        <v>5.2378670833333354</v>
      </c>
      <c r="H25" s="15">
        <f t="shared" si="8"/>
        <v>12570.881000000005</v>
      </c>
      <c r="I25" s="15">
        <f t="shared" si="9"/>
        <v>-474.88100000000486</v>
      </c>
      <c r="J25" s="33">
        <f t="shared" si="10"/>
        <v>-3.7776270414142388E-2</v>
      </c>
      <c r="K25" s="15">
        <f t="shared" si="11"/>
        <v>12096</v>
      </c>
      <c r="L25" s="15">
        <f t="shared" si="0"/>
        <v>328.98400000000038</v>
      </c>
      <c r="M25" s="15"/>
      <c r="N25" s="15"/>
      <c r="O25" s="15"/>
      <c r="P25" s="17"/>
      <c r="Q25" s="31">
        <f t="shared" si="1"/>
        <v>2008.9840000000004</v>
      </c>
      <c r="R25" s="34">
        <f t="shared" si="12"/>
        <v>7.016</v>
      </c>
      <c r="S25" s="15"/>
      <c r="T25" s="34"/>
      <c r="U25" s="34"/>
      <c r="V25" s="31"/>
      <c r="W25" s="32"/>
      <c r="X25" s="32"/>
      <c r="Y25" s="32"/>
      <c r="Z25" s="38"/>
      <c r="AA25" s="31"/>
      <c r="AB25" s="42"/>
      <c r="AC25" s="40"/>
      <c r="AD25" s="40"/>
    </row>
    <row r="26" spans="1:30" s="1" customFormat="1" x14ac:dyDescent="0.25">
      <c r="A26" s="9">
        <v>43182</v>
      </c>
      <c r="B26" s="20"/>
      <c r="C26" s="15" t="s">
        <v>63</v>
      </c>
      <c r="D26" s="16">
        <v>500</v>
      </c>
      <c r="E26" s="15">
        <v>4.8899999999999997</v>
      </c>
      <c r="F26" s="16">
        <f t="shared" si="6"/>
        <v>2900</v>
      </c>
      <c r="G26" s="17">
        <f t="shared" si="7"/>
        <v>5.1796141379310363</v>
      </c>
      <c r="H26" s="15">
        <f t="shared" si="8"/>
        <v>15020.881000000005</v>
      </c>
      <c r="I26" s="15">
        <f t="shared" si="9"/>
        <v>-839.88100000000668</v>
      </c>
      <c r="J26" s="33">
        <f t="shared" si="10"/>
        <v>-5.5914230330431747E-2</v>
      </c>
      <c r="K26" s="15">
        <f t="shared" si="11"/>
        <v>14180.999999999998</v>
      </c>
      <c r="L26" s="15">
        <f t="shared" si="0"/>
        <v>-365.00000000000182</v>
      </c>
      <c r="M26" s="15"/>
      <c r="N26" s="15"/>
      <c r="O26" s="15"/>
      <c r="P26" s="17"/>
      <c r="Q26" s="31">
        <f t="shared" si="1"/>
        <v>-2450</v>
      </c>
      <c r="R26" s="34">
        <f t="shared" si="12"/>
        <v>5</v>
      </c>
      <c r="S26" s="15"/>
      <c r="T26" s="34"/>
      <c r="U26" s="34"/>
      <c r="V26" s="31"/>
      <c r="W26" s="32"/>
      <c r="X26" s="32"/>
      <c r="Y26" s="32"/>
      <c r="Z26" s="38"/>
      <c r="AA26" s="31"/>
      <c r="AB26" s="43"/>
      <c r="AC26" s="40"/>
      <c r="AD26" s="40"/>
    </row>
    <row r="27" spans="1:30" s="1" customFormat="1" x14ac:dyDescent="0.25">
      <c r="A27" s="9">
        <v>43193</v>
      </c>
      <c r="B27" s="20"/>
      <c r="C27" s="15" t="s">
        <v>63</v>
      </c>
      <c r="D27" s="16">
        <v>500</v>
      </c>
      <c r="E27" s="15">
        <v>4.75</v>
      </c>
      <c r="F27" s="16">
        <f t="shared" si="6"/>
        <v>3400</v>
      </c>
      <c r="G27" s="17">
        <f t="shared" si="7"/>
        <v>5.1179061764705898</v>
      </c>
      <c r="H27" s="15">
        <f t="shared" si="8"/>
        <v>17400.881000000005</v>
      </c>
      <c r="I27" s="15">
        <f t="shared" si="9"/>
        <v>-1250.8810000000049</v>
      </c>
      <c r="J27" s="33">
        <f t="shared" si="10"/>
        <v>-7.1886072894815203E-2</v>
      </c>
      <c r="K27" s="15">
        <f t="shared" si="11"/>
        <v>16150</v>
      </c>
      <c r="L27" s="15">
        <f t="shared" si="0"/>
        <v>-410.99999999999818</v>
      </c>
      <c r="M27" s="15"/>
      <c r="N27" s="15"/>
      <c r="O27" s="15"/>
      <c r="P27" s="17"/>
      <c r="Q27" s="31">
        <f t="shared" si="1"/>
        <v>-2380</v>
      </c>
      <c r="R27" s="34">
        <f t="shared" si="12"/>
        <v>5</v>
      </c>
      <c r="S27" s="15"/>
      <c r="T27" s="34"/>
      <c r="U27" s="34"/>
      <c r="V27" s="31"/>
      <c r="W27" s="32"/>
      <c r="X27" s="32"/>
      <c r="Y27" s="32"/>
      <c r="Z27" s="38"/>
      <c r="AA27" s="31"/>
      <c r="AB27" s="43"/>
      <c r="AC27" s="40"/>
      <c r="AD27" s="40"/>
    </row>
    <row r="28" spans="1:30" s="1" customFormat="1" x14ac:dyDescent="0.25">
      <c r="A28" s="9">
        <v>43216</v>
      </c>
      <c r="B28" s="20"/>
      <c r="C28" s="15" t="s">
        <v>63</v>
      </c>
      <c r="D28" s="16">
        <v>500</v>
      </c>
      <c r="E28" s="15">
        <v>4.59</v>
      </c>
      <c r="F28" s="16">
        <f t="shared" si="6"/>
        <v>3900</v>
      </c>
      <c r="G28" s="17">
        <f t="shared" si="7"/>
        <v>5.0515079487179504</v>
      </c>
      <c r="H28" s="15">
        <f t="shared" si="8"/>
        <v>19700.881000000005</v>
      </c>
      <c r="I28" s="15">
        <f t="shared" si="9"/>
        <v>-1799.8810000000049</v>
      </c>
      <c r="J28" s="33">
        <f t="shared" si="10"/>
        <v>-9.1360432053774976E-2</v>
      </c>
      <c r="K28" s="15">
        <f t="shared" si="11"/>
        <v>17901</v>
      </c>
      <c r="L28" s="15">
        <f t="shared" si="0"/>
        <v>-549</v>
      </c>
      <c r="M28" s="15"/>
      <c r="N28" s="15"/>
      <c r="O28" s="15"/>
      <c r="P28" s="17"/>
      <c r="Q28" s="31">
        <f t="shared" si="1"/>
        <v>-2300</v>
      </c>
      <c r="R28" s="34">
        <f t="shared" si="12"/>
        <v>5</v>
      </c>
      <c r="S28" s="15"/>
      <c r="T28" s="34"/>
      <c r="U28" s="34"/>
      <c r="V28" s="31"/>
      <c r="W28" s="32"/>
      <c r="X28" s="32"/>
      <c r="Y28" s="32"/>
      <c r="Z28" s="38"/>
      <c r="AA28" s="31"/>
      <c r="AB28" s="43"/>
      <c r="AC28" s="40"/>
      <c r="AD28" s="40"/>
    </row>
    <row r="29" spans="1:30" s="1" customFormat="1" x14ac:dyDescent="0.25">
      <c r="A29" s="9">
        <v>43265</v>
      </c>
      <c r="B29" s="20"/>
      <c r="C29" s="22" t="s">
        <v>63</v>
      </c>
      <c r="D29" s="16">
        <v>500</v>
      </c>
      <c r="E29" s="15">
        <v>4.3499999999999996</v>
      </c>
      <c r="F29" s="16">
        <f t="shared" si="6"/>
        <v>4400</v>
      </c>
      <c r="G29" s="17">
        <f t="shared" si="7"/>
        <v>4.9729275000000008</v>
      </c>
      <c r="H29" s="15">
        <f t="shared" si="8"/>
        <v>21880.881000000005</v>
      </c>
      <c r="I29" s="15">
        <f t="shared" si="9"/>
        <v>-2740.8810000000049</v>
      </c>
      <c r="J29" s="33">
        <f t="shared" si="10"/>
        <v>-0.12526374052306233</v>
      </c>
      <c r="K29" s="15">
        <f t="shared" si="11"/>
        <v>19140</v>
      </c>
      <c r="L29" s="15">
        <f t="shared" si="0"/>
        <v>-941</v>
      </c>
      <c r="M29" s="15"/>
      <c r="N29" s="15"/>
      <c r="O29" s="15"/>
      <c r="P29" s="17"/>
      <c r="Q29" s="31">
        <f t="shared" si="1"/>
        <v>-2180</v>
      </c>
      <c r="R29" s="34">
        <f t="shared" si="12"/>
        <v>5</v>
      </c>
      <c r="S29" s="15"/>
      <c r="T29" s="34"/>
      <c r="U29" s="34"/>
      <c r="V29" s="31"/>
      <c r="W29" s="32"/>
      <c r="X29" s="32"/>
      <c r="Y29" s="32"/>
      <c r="Z29" s="38"/>
      <c r="AA29" s="31"/>
      <c r="AB29" s="43"/>
      <c r="AC29" s="40"/>
      <c r="AD29" s="40"/>
    </row>
    <row r="30" spans="1:30" s="1" customFormat="1" x14ac:dyDescent="0.25">
      <c r="A30" s="9">
        <v>43270</v>
      </c>
      <c r="B30" s="20"/>
      <c r="C30" s="22" t="s">
        <v>63</v>
      </c>
      <c r="D30" s="16">
        <v>500</v>
      </c>
      <c r="E30" s="15">
        <v>4.1900000000000004</v>
      </c>
      <c r="F30" s="16">
        <f t="shared" si="6"/>
        <v>4900</v>
      </c>
      <c r="G30" s="17">
        <f t="shared" si="7"/>
        <v>4.8940573469387765</v>
      </c>
      <c r="H30" s="15">
        <f t="shared" si="8"/>
        <v>23980.881000000005</v>
      </c>
      <c r="I30" s="15">
        <f t="shared" si="9"/>
        <v>-3449.8810000000012</v>
      </c>
      <c r="J30" s="33">
        <f t="shared" si="10"/>
        <v>-0.14385964385545311</v>
      </c>
      <c r="K30" s="15">
        <f t="shared" si="11"/>
        <v>20531.000000000004</v>
      </c>
      <c r="L30" s="15">
        <f t="shared" si="0"/>
        <v>-708.99999999999636</v>
      </c>
      <c r="M30" s="15"/>
      <c r="N30" s="15"/>
      <c r="O30" s="15"/>
      <c r="P30" s="17"/>
      <c r="Q30" s="31">
        <f t="shared" si="1"/>
        <v>-2100</v>
      </c>
      <c r="R30" s="34">
        <f t="shared" si="12"/>
        <v>5</v>
      </c>
      <c r="S30" s="15"/>
      <c r="T30" s="34"/>
      <c r="U30" s="34"/>
      <c r="V30" s="31"/>
      <c r="W30" s="32"/>
      <c r="X30" s="32"/>
      <c r="Y30" s="32"/>
      <c r="Z30" s="38"/>
      <c r="AA30" s="31"/>
      <c r="AB30" s="43"/>
      <c r="AC30" s="40"/>
      <c r="AD30" s="40"/>
    </row>
    <row r="31" spans="1:30" s="1" customFormat="1" x14ac:dyDescent="0.25">
      <c r="A31" s="9">
        <v>43278</v>
      </c>
      <c r="B31" s="20"/>
      <c r="C31" s="22" t="s">
        <v>63</v>
      </c>
      <c r="D31" s="16">
        <v>500</v>
      </c>
      <c r="E31" s="15">
        <v>4.0599999999999996</v>
      </c>
      <c r="F31" s="16">
        <f t="shared" si="6"/>
        <v>5400</v>
      </c>
      <c r="G31" s="17">
        <f t="shared" si="7"/>
        <v>4.8177557407407416</v>
      </c>
      <c r="H31" s="15">
        <f t="shared" si="8"/>
        <v>26015.881000000005</v>
      </c>
      <c r="I31" s="15">
        <f t="shared" si="9"/>
        <v>-4091.8810000000085</v>
      </c>
      <c r="J31" s="33">
        <f t="shared" si="10"/>
        <v>-0.1572839682038831</v>
      </c>
      <c r="K31" s="15">
        <f t="shared" si="11"/>
        <v>21923.999999999996</v>
      </c>
      <c r="L31" s="15">
        <f t="shared" si="0"/>
        <v>-642.00000000000728</v>
      </c>
      <c r="M31" s="15"/>
      <c r="N31" s="15"/>
      <c r="O31" s="15"/>
      <c r="P31" s="17"/>
      <c r="Q31" s="31">
        <f t="shared" si="1"/>
        <v>-2035</v>
      </c>
      <c r="R31" s="34">
        <f t="shared" si="12"/>
        <v>5</v>
      </c>
      <c r="S31" s="15"/>
      <c r="T31" s="34"/>
      <c r="U31" s="34"/>
      <c r="V31" s="31"/>
      <c r="W31" s="32"/>
      <c r="X31" s="32"/>
      <c r="Y31" s="32"/>
      <c r="Z31" s="38"/>
      <c r="AA31" s="31"/>
      <c r="AB31" s="43"/>
      <c r="AC31" s="40"/>
      <c r="AD31" s="40"/>
    </row>
    <row r="32" spans="1:30" s="1" customFormat="1" x14ac:dyDescent="0.25">
      <c r="A32" s="9">
        <v>43301</v>
      </c>
      <c r="B32" s="20" t="s">
        <v>174</v>
      </c>
      <c r="C32" s="22" t="s">
        <v>69</v>
      </c>
      <c r="D32" s="16">
        <v>400</v>
      </c>
      <c r="E32" s="15">
        <v>4.17</v>
      </c>
      <c r="F32" s="16">
        <f t="shared" si="6"/>
        <v>5000</v>
      </c>
      <c r="G32" s="17">
        <f t="shared" si="7"/>
        <v>4.8709098000000015</v>
      </c>
      <c r="H32" s="15">
        <f t="shared" si="8"/>
        <v>24354.549000000006</v>
      </c>
      <c r="I32" s="15">
        <f t="shared" si="9"/>
        <v>-3504.5490000000063</v>
      </c>
      <c r="J32" s="33">
        <f t="shared" si="10"/>
        <v>-0.14389710111240436</v>
      </c>
      <c r="K32" s="15">
        <f t="shared" si="11"/>
        <v>20850</v>
      </c>
      <c r="L32" s="15">
        <f t="shared" si="0"/>
        <v>587.33200000000215</v>
      </c>
      <c r="M32" s="15"/>
      <c r="N32" s="15"/>
      <c r="O32" s="15"/>
      <c r="P32" s="17"/>
      <c r="Q32" s="31">
        <f t="shared" si="1"/>
        <v>1661.3319999999985</v>
      </c>
      <c r="R32" s="34">
        <f t="shared" si="12"/>
        <v>6.6680000000000001</v>
      </c>
      <c r="S32" s="15"/>
      <c r="T32" s="34"/>
      <c r="U32" s="34"/>
      <c r="V32" s="31"/>
      <c r="W32" s="32"/>
      <c r="X32" s="32"/>
      <c r="Y32" s="32"/>
      <c r="Z32" s="38"/>
      <c r="AA32" s="31"/>
      <c r="AB32" s="43"/>
      <c r="AC32" s="40"/>
      <c r="AD32" s="40"/>
    </row>
    <row r="33" spans="1:30" s="1" customFormat="1" x14ac:dyDescent="0.25">
      <c r="A33" s="9">
        <v>43302</v>
      </c>
      <c r="B33" s="20" t="s">
        <v>175</v>
      </c>
      <c r="C33" s="22" t="s">
        <v>69</v>
      </c>
      <c r="D33" s="16">
        <v>400</v>
      </c>
      <c r="E33" s="15">
        <v>4.3099999999999996</v>
      </c>
      <c r="F33" s="16">
        <f t="shared" si="6"/>
        <v>4600</v>
      </c>
      <c r="G33" s="17">
        <f t="shared" si="7"/>
        <v>4.7646245652173924</v>
      </c>
      <c r="H33" s="15">
        <f t="shared" si="8"/>
        <v>21917.273000000005</v>
      </c>
      <c r="I33" s="15">
        <f t="shared" si="9"/>
        <v>-2091.2730000000047</v>
      </c>
      <c r="J33" s="33">
        <f t="shared" si="10"/>
        <v>-9.5416660640217713E-2</v>
      </c>
      <c r="K33" s="15">
        <f t="shared" si="11"/>
        <v>19826</v>
      </c>
      <c r="L33" s="15">
        <f t="shared" si="0"/>
        <v>1413.2760000000017</v>
      </c>
      <c r="M33" s="15"/>
      <c r="N33" s="15"/>
      <c r="O33" s="15"/>
      <c r="P33" s="17"/>
      <c r="Q33" s="31">
        <f t="shared" si="1"/>
        <v>2437.2760000000017</v>
      </c>
      <c r="R33" s="34">
        <f t="shared" si="12"/>
        <v>6.7240000000000002</v>
      </c>
      <c r="S33" s="15">
        <v>-720</v>
      </c>
      <c r="T33" s="34"/>
      <c r="U33" s="34"/>
      <c r="V33" s="31"/>
      <c r="W33" s="32"/>
      <c r="X33" s="32"/>
      <c r="Y33" s="32"/>
      <c r="Z33" s="38"/>
      <c r="AA33" s="31"/>
      <c r="AB33" s="43"/>
      <c r="AC33" s="40"/>
      <c r="AD33" s="40"/>
    </row>
    <row r="34" spans="1:30" s="1" customFormat="1" x14ac:dyDescent="0.25">
      <c r="A34" s="9">
        <v>43307</v>
      </c>
      <c r="B34" s="20" t="s">
        <v>178</v>
      </c>
      <c r="C34" s="22" t="s">
        <v>69</v>
      </c>
      <c r="D34" s="16">
        <v>400</v>
      </c>
      <c r="E34" s="15">
        <v>4.3499999999999996</v>
      </c>
      <c r="F34" s="16">
        <f t="shared" si="6"/>
        <v>4200</v>
      </c>
      <c r="G34" s="17">
        <f t="shared" si="7"/>
        <v>4.8057173809523821</v>
      </c>
      <c r="H34" s="15">
        <f t="shared" si="8"/>
        <v>20184.013000000006</v>
      </c>
      <c r="I34" s="15">
        <f t="shared" si="9"/>
        <v>-1914.0130000000063</v>
      </c>
      <c r="J34" s="33">
        <f t="shared" si="10"/>
        <v>-9.4828169205004267E-2</v>
      </c>
      <c r="K34" s="15">
        <f t="shared" si="11"/>
        <v>18270</v>
      </c>
      <c r="L34" s="15">
        <f t="shared" si="0"/>
        <v>177.2599999999984</v>
      </c>
      <c r="M34" s="15"/>
      <c r="N34" s="15"/>
      <c r="O34" s="15"/>
      <c r="P34" s="17"/>
      <c r="Q34" s="31">
        <f t="shared" si="1"/>
        <v>1733.2599999999984</v>
      </c>
      <c r="R34" s="34">
        <f t="shared" si="12"/>
        <v>6.74</v>
      </c>
      <c r="S34" s="15"/>
      <c r="T34" s="34"/>
      <c r="U34" s="34"/>
      <c r="V34" s="31"/>
      <c r="W34" s="32"/>
      <c r="X34" s="32"/>
      <c r="Y34" s="32"/>
      <c r="Z34" s="38"/>
      <c r="AA34" s="31"/>
      <c r="AB34" s="43"/>
      <c r="AC34" s="40"/>
      <c r="AD34" s="40"/>
    </row>
    <row r="35" spans="1:30" s="1" customFormat="1" x14ac:dyDescent="0.25">
      <c r="A35" s="9">
        <v>43427</v>
      </c>
      <c r="B35" s="20"/>
      <c r="C35" s="22" t="s">
        <v>63</v>
      </c>
      <c r="D35" s="16">
        <v>500</v>
      </c>
      <c r="E35" s="15">
        <v>4.1100000000000003</v>
      </c>
      <c r="F35" s="16">
        <f t="shared" si="6"/>
        <v>4700</v>
      </c>
      <c r="G35" s="17">
        <f t="shared" si="7"/>
        <v>4.7327687234042566</v>
      </c>
      <c r="H35" s="15">
        <f t="shared" si="8"/>
        <v>22244.013000000006</v>
      </c>
      <c r="I35" s="15">
        <f t="shared" si="9"/>
        <v>-2927.0130000000063</v>
      </c>
      <c r="J35" s="33">
        <f t="shared" si="10"/>
        <v>-0.13158655319973081</v>
      </c>
      <c r="K35" s="15">
        <f t="shared" si="11"/>
        <v>19317</v>
      </c>
      <c r="L35" s="15">
        <f t="shared" si="0"/>
        <v>-1013</v>
      </c>
      <c r="M35" s="15"/>
      <c r="N35" s="15"/>
      <c r="O35" s="15"/>
      <c r="P35" s="17"/>
      <c r="Q35" s="31">
        <f t="shared" si="1"/>
        <v>-2060</v>
      </c>
      <c r="R35" s="34">
        <f t="shared" si="12"/>
        <v>5</v>
      </c>
      <c r="S35" s="15"/>
      <c r="T35" s="34"/>
      <c r="U35" s="34"/>
      <c r="V35" s="31"/>
      <c r="W35" s="32"/>
      <c r="X35" s="32"/>
      <c r="Y35" s="32"/>
      <c r="Z35" s="38"/>
      <c r="AA35" s="31"/>
      <c r="AB35" s="43"/>
      <c r="AC35" s="40"/>
      <c r="AD35" s="40"/>
    </row>
    <row r="36" spans="1:30" s="1" customFormat="1" x14ac:dyDescent="0.25">
      <c r="A36" s="9">
        <v>43521</v>
      </c>
      <c r="B36" s="20" t="s">
        <v>1118</v>
      </c>
      <c r="C36" s="22" t="s">
        <v>69</v>
      </c>
      <c r="D36" s="16">
        <v>400</v>
      </c>
      <c r="E36" s="15">
        <f>E35+0.17</f>
        <v>4.28</v>
      </c>
      <c r="F36" s="16">
        <f t="shared" si="6"/>
        <v>4300</v>
      </c>
      <c r="G36" s="17">
        <f t="shared" si="7"/>
        <v>4.7764476744186064</v>
      </c>
      <c r="H36" s="15">
        <f t="shared" si="8"/>
        <v>20538.725000000006</v>
      </c>
      <c r="I36" s="15">
        <f t="shared" si="9"/>
        <v>-2134.7250000000058</v>
      </c>
      <c r="J36" s="33">
        <f t="shared" si="10"/>
        <v>-0.10393658807934794</v>
      </c>
      <c r="K36" s="15">
        <f t="shared" si="11"/>
        <v>18404</v>
      </c>
      <c r="L36" s="15">
        <f t="shared" si="0"/>
        <v>792.28800000000047</v>
      </c>
      <c r="M36" s="15"/>
      <c r="N36" s="15"/>
      <c r="O36" s="15"/>
      <c r="P36" s="17"/>
      <c r="Q36" s="31">
        <f t="shared" si="1"/>
        <v>1705.2880000000005</v>
      </c>
      <c r="R36" s="34">
        <f t="shared" si="12"/>
        <v>6.7119999999999997</v>
      </c>
      <c r="S36" s="15"/>
      <c r="T36" s="34"/>
      <c r="U36" s="34"/>
      <c r="V36" s="31"/>
      <c r="W36" s="32"/>
      <c r="X36" s="32"/>
      <c r="Y36" s="32"/>
      <c r="Z36" s="38"/>
      <c r="AA36" s="31"/>
      <c r="AB36" s="43"/>
      <c r="AC36" s="40"/>
      <c r="AD36" s="40"/>
    </row>
    <row r="37" spans="1:30" s="1" customFormat="1" x14ac:dyDescent="0.25">
      <c r="A37" s="9">
        <v>43522</v>
      </c>
      <c r="B37" s="20" t="s">
        <v>1119</v>
      </c>
      <c r="C37" s="22" t="s">
        <v>69</v>
      </c>
      <c r="D37" s="16">
        <v>400</v>
      </c>
      <c r="E37" s="15">
        <v>4.37</v>
      </c>
      <c r="F37" s="16">
        <f t="shared" si="6"/>
        <v>3900</v>
      </c>
      <c r="G37" s="17">
        <f t="shared" si="7"/>
        <v>4.8198648717948736</v>
      </c>
      <c r="H37" s="15">
        <f t="shared" si="8"/>
        <v>18797.473000000005</v>
      </c>
      <c r="I37" s="15">
        <f t="shared" si="9"/>
        <v>-1754.4730000000054</v>
      </c>
      <c r="J37" s="33">
        <f t="shared" si="10"/>
        <v>-9.3335577606628597E-2</v>
      </c>
      <c r="K37" s="15">
        <f t="shared" si="11"/>
        <v>17043</v>
      </c>
      <c r="L37" s="15">
        <f t="shared" si="0"/>
        <v>380.25200000000041</v>
      </c>
      <c r="M37" s="15"/>
      <c r="N37" s="15"/>
      <c r="O37" s="15"/>
      <c r="P37" s="17"/>
      <c r="Q37" s="31">
        <f t="shared" si="1"/>
        <v>1741.2520000000004</v>
      </c>
      <c r="R37" s="34">
        <f t="shared" si="12"/>
        <v>6.7480000000000002</v>
      </c>
      <c r="S37" s="15"/>
      <c r="T37" s="34"/>
      <c r="U37" s="34"/>
      <c r="V37" s="31"/>
      <c r="W37" s="32"/>
      <c r="X37" s="32"/>
      <c r="Y37" s="32"/>
      <c r="Z37" s="38"/>
      <c r="AA37" s="31"/>
      <c r="AB37" s="43"/>
      <c r="AC37" s="40"/>
      <c r="AD37" s="40"/>
    </row>
    <row r="38" spans="1:30" s="1" customFormat="1" x14ac:dyDescent="0.25">
      <c r="A38" s="9">
        <v>43522</v>
      </c>
      <c r="B38" s="20" t="s">
        <v>1120</v>
      </c>
      <c r="C38" s="22" t="s">
        <v>69</v>
      </c>
      <c r="D38" s="16">
        <v>400</v>
      </c>
      <c r="E38" s="15">
        <v>4.4400000000000004</v>
      </c>
      <c r="F38" s="16">
        <f t="shared" si="6"/>
        <v>3500</v>
      </c>
      <c r="G38" s="17">
        <f t="shared" si="7"/>
        <v>4.8652140000000017</v>
      </c>
      <c r="H38" s="15">
        <f t="shared" si="8"/>
        <v>17028.249000000007</v>
      </c>
      <c r="I38" s="15">
        <f t="shared" si="9"/>
        <v>-1488.2490000000053</v>
      </c>
      <c r="J38" s="33">
        <f t="shared" si="10"/>
        <v>-8.7398827677467247E-2</v>
      </c>
      <c r="K38" s="15">
        <f t="shared" si="11"/>
        <v>15540.000000000002</v>
      </c>
      <c r="L38" s="15">
        <f t="shared" si="0"/>
        <v>266.22400000000016</v>
      </c>
      <c r="M38" s="15"/>
      <c r="N38" s="15"/>
      <c r="O38" s="15"/>
      <c r="P38" s="17"/>
      <c r="Q38" s="31">
        <f t="shared" si="1"/>
        <v>1769.2239999999983</v>
      </c>
      <c r="R38" s="34">
        <f t="shared" si="12"/>
        <v>6.7759999999999998</v>
      </c>
      <c r="S38" s="15"/>
      <c r="T38" s="34"/>
      <c r="U38" s="34"/>
      <c r="V38" s="31"/>
      <c r="W38" s="32"/>
      <c r="X38" s="32"/>
      <c r="Y38" s="32"/>
      <c r="Z38" s="38"/>
      <c r="AA38" s="31"/>
      <c r="AB38" s="43"/>
      <c r="AC38" s="40"/>
      <c r="AD38" s="40"/>
    </row>
    <row r="39" spans="1:30" s="1" customFormat="1" x14ac:dyDescent="0.25">
      <c r="A39" s="9">
        <v>43530</v>
      </c>
      <c r="B39" s="20" t="s">
        <v>1121</v>
      </c>
      <c r="C39" s="22" t="s">
        <v>69</v>
      </c>
      <c r="D39" s="16">
        <v>400</v>
      </c>
      <c r="E39" s="15">
        <v>4.53</v>
      </c>
      <c r="F39" s="16">
        <f t="shared" si="6"/>
        <v>3100</v>
      </c>
      <c r="G39" s="17">
        <f t="shared" si="7"/>
        <v>4.9106648387096801</v>
      </c>
      <c r="H39" s="15">
        <f t="shared" si="8"/>
        <v>15223.061000000007</v>
      </c>
      <c r="I39" s="15">
        <f t="shared" si="9"/>
        <v>-1180.061000000007</v>
      </c>
      <c r="J39" s="33">
        <f t="shared" si="10"/>
        <v>-7.7517984063783671E-2</v>
      </c>
      <c r="K39" s="15">
        <f t="shared" si="11"/>
        <v>14043</v>
      </c>
      <c r="L39" s="15">
        <f t="shared" si="0"/>
        <v>308.18799999999828</v>
      </c>
      <c r="M39" s="15"/>
      <c r="N39" s="15"/>
      <c r="O39" s="15"/>
      <c r="P39" s="17"/>
      <c r="Q39" s="31">
        <f t="shared" si="1"/>
        <v>1805.1880000000001</v>
      </c>
      <c r="R39" s="34">
        <f t="shared" si="12"/>
        <v>6.8120000000000003</v>
      </c>
      <c r="S39" s="15"/>
      <c r="T39" s="34"/>
      <c r="U39" s="34"/>
      <c r="V39" s="31"/>
      <c r="W39" s="32"/>
      <c r="X39" s="32"/>
      <c r="Y39" s="32"/>
      <c r="Z39" s="38"/>
      <c r="AA39" s="31"/>
      <c r="AB39" s="43"/>
      <c r="AC39" s="40"/>
      <c r="AD39" s="40"/>
    </row>
    <row r="40" spans="1:30" s="1" customFormat="1" x14ac:dyDescent="0.25">
      <c r="A40" s="9">
        <v>43531</v>
      </c>
      <c r="B40" s="20" t="s">
        <v>1122</v>
      </c>
      <c r="C40" s="22" t="s">
        <v>69</v>
      </c>
      <c r="D40" s="16">
        <v>400</v>
      </c>
      <c r="E40" s="15">
        <v>4.67</v>
      </c>
      <c r="F40" s="16">
        <f t="shared" si="6"/>
        <v>2700</v>
      </c>
      <c r="G40" s="17">
        <f t="shared" si="7"/>
        <v>4.9488625925925955</v>
      </c>
      <c r="H40" s="15">
        <f t="shared" si="8"/>
        <v>13361.929000000007</v>
      </c>
      <c r="I40" s="15">
        <f t="shared" si="9"/>
        <v>-752.92900000000736</v>
      </c>
      <c r="J40" s="33">
        <f t="shared" si="10"/>
        <v>-5.634882508356448E-2</v>
      </c>
      <c r="K40" s="15">
        <f t="shared" si="11"/>
        <v>12609</v>
      </c>
      <c r="L40" s="15">
        <f t="shared" si="0"/>
        <v>427.13199999999961</v>
      </c>
      <c r="M40" s="15"/>
      <c r="N40" s="15"/>
      <c r="O40" s="15"/>
      <c r="P40" s="17"/>
      <c r="Q40" s="31">
        <f t="shared" si="1"/>
        <v>1861.1319999999996</v>
      </c>
      <c r="R40" s="34">
        <f t="shared" si="12"/>
        <v>6.8680000000000003</v>
      </c>
      <c r="S40" s="15"/>
      <c r="T40" s="34"/>
      <c r="U40" s="34"/>
      <c r="V40" s="31"/>
      <c r="W40" s="32"/>
      <c r="X40" s="32"/>
      <c r="Y40" s="32"/>
      <c r="Z40" s="38"/>
      <c r="AA40" s="31"/>
      <c r="AB40" s="43"/>
      <c r="AC40" s="40"/>
      <c r="AD40" s="40"/>
    </row>
    <row r="41" spans="1:30" s="1" customFormat="1" x14ac:dyDescent="0.25">
      <c r="A41" s="9">
        <v>43559</v>
      </c>
      <c r="B41" s="20" t="s">
        <v>1123</v>
      </c>
      <c r="C41" s="22" t="s">
        <v>69</v>
      </c>
      <c r="D41" s="16">
        <v>400</v>
      </c>
      <c r="E41" s="15">
        <v>4.74</v>
      </c>
      <c r="F41" s="16">
        <f t="shared" si="6"/>
        <v>2300</v>
      </c>
      <c r="G41" s="17">
        <f t="shared" si="7"/>
        <v>4.9881847826086991</v>
      </c>
      <c r="H41" s="15">
        <f t="shared" si="8"/>
        <v>11472.825000000008</v>
      </c>
      <c r="I41" s="15">
        <f t="shared" si="9"/>
        <v>-570.825000000008</v>
      </c>
      <c r="J41" s="33">
        <f t="shared" si="10"/>
        <v>-4.9754528636147342E-2</v>
      </c>
      <c r="K41" s="15">
        <f t="shared" si="11"/>
        <v>10902</v>
      </c>
      <c r="L41" s="15">
        <f t="shared" si="0"/>
        <v>182.10399999999936</v>
      </c>
      <c r="M41" s="15"/>
      <c r="N41" s="15"/>
      <c r="O41" s="15"/>
      <c r="P41" s="17"/>
      <c r="Q41" s="31">
        <f t="shared" si="1"/>
        <v>1889.1039999999994</v>
      </c>
      <c r="R41" s="34">
        <f t="shared" si="12"/>
        <v>6.8959999999999999</v>
      </c>
      <c r="S41" s="15"/>
      <c r="T41" s="34"/>
      <c r="U41" s="34"/>
      <c r="V41" s="31"/>
      <c r="W41" s="32"/>
      <c r="X41" s="32"/>
      <c r="Y41" s="32"/>
      <c r="Z41" s="38"/>
      <c r="AA41" s="31"/>
      <c r="AB41" s="43"/>
      <c r="AC41" s="40"/>
      <c r="AD41" s="40"/>
    </row>
    <row r="42" spans="1:30" s="1" customFormat="1" x14ac:dyDescent="0.25">
      <c r="A42" s="9">
        <v>43570</v>
      </c>
      <c r="B42" s="18" t="s">
        <v>1124</v>
      </c>
      <c r="C42" s="22" t="s">
        <v>69</v>
      </c>
      <c r="D42" s="16">
        <v>400</v>
      </c>
      <c r="E42" s="15">
        <v>4.83</v>
      </c>
      <c r="F42" s="16">
        <f t="shared" si="6"/>
        <v>1900</v>
      </c>
      <c r="G42" s="17">
        <f t="shared" si="7"/>
        <v>5.0251352631578996</v>
      </c>
      <c r="H42" s="15">
        <f t="shared" si="8"/>
        <v>9547.7570000000087</v>
      </c>
      <c r="I42" s="15">
        <f t="shared" si="9"/>
        <v>-370.7570000000087</v>
      </c>
      <c r="J42" s="33">
        <f t="shared" si="10"/>
        <v>-3.8831842913472636E-2</v>
      </c>
      <c r="K42" s="15">
        <f t="shared" si="11"/>
        <v>9177</v>
      </c>
      <c r="L42" s="15">
        <f t="shared" si="0"/>
        <v>200.0679999999993</v>
      </c>
      <c r="M42" s="15"/>
      <c r="N42" s="15"/>
      <c r="O42" s="15"/>
      <c r="P42" s="17"/>
      <c r="Q42" s="31">
        <f t="shared" si="1"/>
        <v>1925.0679999999993</v>
      </c>
      <c r="R42" s="34">
        <f t="shared" si="12"/>
        <v>6.9320000000000004</v>
      </c>
      <c r="S42" s="15"/>
      <c r="T42" s="34"/>
      <c r="U42" s="34"/>
      <c r="V42" s="31"/>
      <c r="W42" s="32"/>
      <c r="X42" s="32"/>
      <c r="Y42" s="32"/>
      <c r="Z42" s="38"/>
      <c r="AA42" s="31"/>
      <c r="AB42" s="44"/>
      <c r="AC42" s="40"/>
      <c r="AD42" s="40"/>
    </row>
    <row r="43" spans="1:30" s="1" customFormat="1" x14ac:dyDescent="0.25">
      <c r="A43" s="9">
        <v>43571</v>
      </c>
      <c r="B43" s="283"/>
      <c r="C43" s="22" t="s">
        <v>63</v>
      </c>
      <c r="D43" s="16">
        <v>500</v>
      </c>
      <c r="E43" s="15">
        <v>4.66</v>
      </c>
      <c r="F43" s="16">
        <f t="shared" si="6"/>
        <v>2400</v>
      </c>
      <c r="G43" s="17">
        <f t="shared" si="7"/>
        <v>4.9511487500000033</v>
      </c>
      <c r="H43" s="15">
        <f t="shared" si="8"/>
        <v>11882.757000000009</v>
      </c>
      <c r="I43" s="15">
        <f t="shared" si="9"/>
        <v>-698.7570000000087</v>
      </c>
      <c r="J43" s="33">
        <f t="shared" si="10"/>
        <v>-5.8804282541501704E-2</v>
      </c>
      <c r="K43" s="15">
        <f t="shared" si="11"/>
        <v>11184</v>
      </c>
      <c r="L43" s="15">
        <f t="shared" si="0"/>
        <v>-328</v>
      </c>
      <c r="M43" s="15"/>
      <c r="N43" s="15"/>
      <c r="O43" s="15"/>
      <c r="P43" s="17"/>
      <c r="Q43" s="31">
        <f t="shared" si="1"/>
        <v>-2335</v>
      </c>
      <c r="R43" s="34">
        <f t="shared" si="12"/>
        <v>5</v>
      </c>
      <c r="S43" s="15"/>
      <c r="T43" s="273"/>
      <c r="U43" s="273"/>
      <c r="V43" s="22"/>
      <c r="W43" s="272"/>
      <c r="X43" s="272"/>
      <c r="Y43" s="272"/>
      <c r="Z43" s="274"/>
      <c r="AA43" s="22"/>
      <c r="AB43" s="275"/>
      <c r="AC43" s="40"/>
      <c r="AD43" s="40"/>
    </row>
    <row r="44" spans="1:30" s="1" customFormat="1" x14ac:dyDescent="0.25">
      <c r="A44" s="9">
        <v>43577</v>
      </c>
      <c r="B44" s="283" t="s">
        <v>1125</v>
      </c>
      <c r="C44" s="22" t="s">
        <v>69</v>
      </c>
      <c r="D44" s="16">
        <v>400</v>
      </c>
      <c r="E44" s="15">
        <v>4.84</v>
      </c>
      <c r="F44" s="16">
        <f t="shared" si="6"/>
        <v>2000</v>
      </c>
      <c r="G44" s="17">
        <f t="shared" si="7"/>
        <v>4.9768465000000042</v>
      </c>
      <c r="H44" s="15">
        <f t="shared" si="8"/>
        <v>9953.6930000000084</v>
      </c>
      <c r="I44" s="15">
        <f t="shared" si="9"/>
        <v>-273.6930000000084</v>
      </c>
      <c r="J44" s="33">
        <f t="shared" si="10"/>
        <v>-2.7496628638235918E-2</v>
      </c>
      <c r="K44" s="15">
        <f t="shared" si="11"/>
        <v>9680</v>
      </c>
      <c r="L44" s="15">
        <f t="shared" si="0"/>
        <v>425.06400000000031</v>
      </c>
      <c r="M44" s="15"/>
      <c r="N44" s="15"/>
      <c r="O44" s="15"/>
      <c r="P44" s="17"/>
      <c r="Q44" s="31">
        <f t="shared" si="1"/>
        <v>1929.0640000000003</v>
      </c>
      <c r="R44" s="34">
        <f t="shared" si="12"/>
        <v>6.9359999999999999</v>
      </c>
      <c r="S44" s="15"/>
      <c r="T44" s="273"/>
      <c r="U44" s="273"/>
      <c r="V44" s="22"/>
      <c r="W44" s="272"/>
      <c r="X44" s="272"/>
      <c r="Y44" s="272"/>
      <c r="Z44" s="274"/>
      <c r="AA44" s="22"/>
      <c r="AB44" s="275"/>
      <c r="AC44" s="40"/>
      <c r="AD44" s="40"/>
    </row>
    <row r="45" spans="1:30" s="1" customFormat="1" x14ac:dyDescent="0.25">
      <c r="A45" s="9">
        <v>43579</v>
      </c>
      <c r="B45" s="283"/>
      <c r="C45" s="22" t="s">
        <v>63</v>
      </c>
      <c r="D45" s="16">
        <v>500</v>
      </c>
      <c r="E45" s="15">
        <v>4.72</v>
      </c>
      <c r="F45" s="16">
        <f t="shared" si="6"/>
        <v>2500</v>
      </c>
      <c r="G45" s="17">
        <f t="shared" si="7"/>
        <v>4.9274772000000038</v>
      </c>
      <c r="H45" s="15">
        <f t="shared" si="8"/>
        <v>12318.693000000008</v>
      </c>
      <c r="I45" s="15">
        <f t="shared" si="9"/>
        <v>-518.6930000000084</v>
      </c>
      <c r="J45" s="33">
        <f t="shared" si="10"/>
        <v>-4.2106171490758772E-2</v>
      </c>
      <c r="K45" s="15">
        <f t="shared" si="11"/>
        <v>11800</v>
      </c>
      <c r="L45" s="15">
        <f t="shared" si="0"/>
        <v>-245</v>
      </c>
      <c r="M45" s="15"/>
      <c r="N45" s="15"/>
      <c r="O45" s="15"/>
      <c r="P45" s="17"/>
      <c r="Q45" s="31">
        <f t="shared" si="1"/>
        <v>-2365</v>
      </c>
      <c r="R45" s="34">
        <f t="shared" si="12"/>
        <v>5</v>
      </c>
      <c r="S45" s="15"/>
      <c r="T45" s="273"/>
      <c r="U45" s="273"/>
      <c r="V45" s="22"/>
      <c r="W45" s="272"/>
      <c r="X45" s="272"/>
      <c r="Y45" s="272"/>
      <c r="Z45" s="274"/>
      <c r="AA45" s="22"/>
      <c r="AB45" s="275"/>
      <c r="AC45" s="40"/>
      <c r="AD45" s="40"/>
    </row>
    <row r="46" spans="1:30" s="1" customFormat="1" x14ac:dyDescent="0.25">
      <c r="A46" s="9">
        <v>43585</v>
      </c>
      <c r="B46" s="283" t="s">
        <v>1126</v>
      </c>
      <c r="C46" s="22" t="s">
        <v>69</v>
      </c>
      <c r="D46" s="16">
        <v>400</v>
      </c>
      <c r="E46" s="15">
        <v>4.82</v>
      </c>
      <c r="F46" s="16">
        <f t="shared" si="6"/>
        <v>2100</v>
      </c>
      <c r="G46" s="17">
        <f t="shared" si="7"/>
        <v>4.9512480952380988</v>
      </c>
      <c r="H46" s="15">
        <f t="shared" si="8"/>
        <v>10397.621000000008</v>
      </c>
      <c r="I46" s="15">
        <f t="shared" si="9"/>
        <v>-275.62100000000828</v>
      </c>
      <c r="J46" s="33">
        <f t="shared" si="10"/>
        <v>-2.6508082954745778E-2</v>
      </c>
      <c r="K46" s="15">
        <f t="shared" si="11"/>
        <v>10122</v>
      </c>
      <c r="L46" s="15">
        <f t="shared" si="0"/>
        <v>243.07200000000012</v>
      </c>
      <c r="M46" s="15"/>
      <c r="N46" s="15"/>
      <c r="O46" s="15"/>
      <c r="P46" s="17"/>
      <c r="Q46" s="31">
        <f t="shared" si="1"/>
        <v>1921.0720000000001</v>
      </c>
      <c r="R46" s="34">
        <f t="shared" si="12"/>
        <v>6.9279999999999999</v>
      </c>
      <c r="S46" s="15"/>
      <c r="T46" s="273"/>
      <c r="U46" s="273"/>
      <c r="V46" s="22"/>
      <c r="W46" s="272"/>
      <c r="X46" s="272"/>
      <c r="Y46" s="272"/>
      <c r="Z46" s="274"/>
      <c r="AA46" s="22"/>
      <c r="AB46" s="275"/>
      <c r="AC46" s="40"/>
      <c r="AD46" s="40"/>
    </row>
    <row r="47" spans="1:30" s="1" customFormat="1" x14ac:dyDescent="0.25">
      <c r="A47" s="9">
        <v>43592</v>
      </c>
      <c r="B47" s="283"/>
      <c r="C47" s="282" t="s">
        <v>922</v>
      </c>
      <c r="D47" s="132">
        <v>500</v>
      </c>
      <c r="E47" s="22">
        <v>4.58</v>
      </c>
      <c r="F47" s="16">
        <f t="shared" si="6"/>
        <v>2600</v>
      </c>
      <c r="G47" s="17">
        <f t="shared" si="7"/>
        <v>4.8817773076923112</v>
      </c>
      <c r="H47" s="15">
        <f t="shared" si="8"/>
        <v>12692.621000000008</v>
      </c>
      <c r="I47" s="15">
        <f t="shared" si="9"/>
        <v>-784.62100000000828</v>
      </c>
      <c r="J47" s="33">
        <f t="shared" si="10"/>
        <v>-6.1817098296719677E-2</v>
      </c>
      <c r="K47" s="15">
        <f t="shared" si="11"/>
        <v>11908</v>
      </c>
      <c r="L47" s="15">
        <f t="shared" si="0"/>
        <v>-509</v>
      </c>
      <c r="M47" s="15"/>
      <c r="N47" s="15"/>
      <c r="O47" s="15"/>
      <c r="P47" s="17"/>
      <c r="Q47" s="31">
        <f t="shared" si="1"/>
        <v>-2295</v>
      </c>
      <c r="R47" s="34">
        <f t="shared" si="12"/>
        <v>5</v>
      </c>
      <c r="S47" s="15"/>
      <c r="T47" s="273"/>
      <c r="U47" s="273"/>
      <c r="V47" s="22"/>
      <c r="W47" s="272"/>
      <c r="X47" s="272"/>
      <c r="Y47" s="272"/>
      <c r="Z47" s="274"/>
      <c r="AA47" s="22"/>
      <c r="AB47" s="275"/>
      <c r="AC47" s="40"/>
      <c r="AD47" s="40"/>
    </row>
    <row r="48" spans="1:30" s="1" customFormat="1" x14ac:dyDescent="0.25">
      <c r="A48" s="9">
        <v>43601</v>
      </c>
      <c r="B48" s="283" t="s">
        <v>1063</v>
      </c>
      <c r="C48" s="282" t="s">
        <v>926</v>
      </c>
      <c r="D48" s="132">
        <v>400</v>
      </c>
      <c r="E48" s="22">
        <v>4.75</v>
      </c>
      <c r="F48" s="16">
        <f t="shared" si="6"/>
        <v>2200</v>
      </c>
      <c r="G48" s="17">
        <f t="shared" si="7"/>
        <v>4.7861459090909131</v>
      </c>
      <c r="H48" s="15">
        <f t="shared" si="8"/>
        <v>10529.521000000008</v>
      </c>
      <c r="I48" s="15">
        <f t="shared" si="9"/>
        <v>-79.521000000007916</v>
      </c>
      <c r="J48" s="33">
        <f t="shared" si="10"/>
        <v>-7.5521953942642526E-3</v>
      </c>
      <c r="K48" s="15">
        <f t="shared" si="11"/>
        <v>10450</v>
      </c>
      <c r="L48" s="15">
        <f t="shared" si="0"/>
        <v>705.10000000000036</v>
      </c>
      <c r="M48" s="15"/>
      <c r="N48" s="15"/>
      <c r="O48" s="15"/>
      <c r="P48" s="17"/>
      <c r="Q48" s="31">
        <f t="shared" si="1"/>
        <v>2163.1000000000004</v>
      </c>
      <c r="R48" s="34">
        <f t="shared" si="12"/>
        <v>6.9</v>
      </c>
      <c r="S48" s="15">
        <v>-270</v>
      </c>
      <c r="T48" s="273"/>
      <c r="U48" s="273"/>
      <c r="V48" s="22"/>
      <c r="W48" s="272"/>
      <c r="X48" s="272"/>
      <c r="Y48" s="272"/>
      <c r="Z48" s="274"/>
      <c r="AA48" s="22"/>
      <c r="AB48" s="275"/>
      <c r="AC48" s="40"/>
      <c r="AD48" s="40"/>
    </row>
    <row r="49" spans="1:30" s="1" customFormat="1" x14ac:dyDescent="0.25">
      <c r="A49" s="9">
        <v>43605</v>
      </c>
      <c r="B49" s="283"/>
      <c r="C49" s="282" t="s">
        <v>922</v>
      </c>
      <c r="D49" s="132">
        <v>500</v>
      </c>
      <c r="E49" s="22">
        <v>4.46</v>
      </c>
      <c r="F49" s="16">
        <f t="shared" si="6"/>
        <v>2700</v>
      </c>
      <c r="G49" s="17">
        <f t="shared" si="7"/>
        <v>4.7276003703703733</v>
      </c>
      <c r="H49" s="15">
        <f t="shared" si="8"/>
        <v>12764.521000000008</v>
      </c>
      <c r="I49" s="15">
        <f t="shared" si="9"/>
        <v>-722.52100000000792</v>
      </c>
      <c r="J49" s="33">
        <f t="shared" si="10"/>
        <v>-5.6603847492593534E-2</v>
      </c>
      <c r="K49" s="15">
        <f t="shared" si="11"/>
        <v>12042</v>
      </c>
      <c r="L49" s="15">
        <f t="shared" si="0"/>
        <v>-643</v>
      </c>
      <c r="M49" s="15"/>
      <c r="N49" s="15"/>
      <c r="O49" s="15"/>
      <c r="P49" s="17"/>
      <c r="Q49" s="31">
        <f t="shared" si="1"/>
        <v>-2235</v>
      </c>
      <c r="R49" s="34">
        <f t="shared" si="12"/>
        <v>5</v>
      </c>
      <c r="S49" s="15"/>
      <c r="T49" s="273"/>
      <c r="U49" s="273"/>
      <c r="V49" s="22"/>
      <c r="W49" s="272"/>
      <c r="X49" s="272"/>
      <c r="Y49" s="272"/>
      <c r="Z49" s="274"/>
      <c r="AA49" s="22"/>
      <c r="AB49" s="275"/>
      <c r="AC49" s="40"/>
      <c r="AD49" s="40"/>
    </row>
    <row r="50" spans="1:30" s="1" customFormat="1" x14ac:dyDescent="0.25">
      <c r="A50" s="9">
        <v>43651</v>
      </c>
      <c r="B50" s="283" t="s">
        <v>1127</v>
      </c>
      <c r="C50" s="282" t="s">
        <v>926</v>
      </c>
      <c r="D50" s="132">
        <v>400</v>
      </c>
      <c r="E50" s="22">
        <v>4.58</v>
      </c>
      <c r="F50" s="16">
        <f t="shared" si="6"/>
        <v>2300</v>
      </c>
      <c r="G50" s="17">
        <f t="shared" si="7"/>
        <v>4.7562404347826126</v>
      </c>
      <c r="H50" s="15">
        <f t="shared" si="8"/>
        <v>10939.353000000008</v>
      </c>
      <c r="I50" s="15">
        <f t="shared" si="9"/>
        <v>-405.35300000000825</v>
      </c>
      <c r="J50" s="33">
        <f t="shared" si="10"/>
        <v>-3.7054568035240154E-2</v>
      </c>
      <c r="K50" s="15">
        <f t="shared" si="11"/>
        <v>10534</v>
      </c>
      <c r="L50" s="15">
        <f t="shared" si="0"/>
        <v>317.16799999999967</v>
      </c>
      <c r="M50" s="15"/>
      <c r="N50" s="15"/>
      <c r="O50" s="15"/>
      <c r="P50" s="17"/>
      <c r="Q50" s="31">
        <f t="shared" si="1"/>
        <v>1825.1679999999997</v>
      </c>
      <c r="R50" s="34">
        <f t="shared" si="12"/>
        <v>6.8319999999999999</v>
      </c>
      <c r="S50" s="15"/>
      <c r="T50" s="273"/>
      <c r="U50" s="273"/>
      <c r="V50" s="22"/>
      <c r="W50" s="272"/>
      <c r="X50" s="272"/>
      <c r="Y50" s="272"/>
      <c r="Z50" s="274"/>
      <c r="AA50" s="22"/>
      <c r="AB50" s="275"/>
      <c r="AC50" s="40"/>
      <c r="AD50" s="40"/>
    </row>
    <row r="51" spans="1:30" s="1" customFormat="1" x14ac:dyDescent="0.25">
      <c r="A51" s="9">
        <v>43658</v>
      </c>
      <c r="B51" s="283"/>
      <c r="C51" s="282" t="s">
        <v>922</v>
      </c>
      <c r="D51" s="132">
        <v>500</v>
      </c>
      <c r="E51" s="22">
        <v>4.4000000000000004</v>
      </c>
      <c r="F51" s="16">
        <f t="shared" si="6"/>
        <v>2800</v>
      </c>
      <c r="G51" s="17">
        <f t="shared" si="7"/>
        <v>4.6944117857142889</v>
      </c>
      <c r="H51" s="15">
        <f t="shared" si="8"/>
        <v>13144.353000000008</v>
      </c>
      <c r="I51" s="15">
        <f t="shared" si="9"/>
        <v>-824.35300000000643</v>
      </c>
      <c r="J51" s="33">
        <f t="shared" si="10"/>
        <v>-6.2715372905764719E-2</v>
      </c>
      <c r="K51" s="15">
        <f t="shared" si="11"/>
        <v>12320.000000000002</v>
      </c>
      <c r="L51" s="15">
        <f t="shared" si="0"/>
        <v>-418.99999999999818</v>
      </c>
      <c r="M51" s="15"/>
      <c r="N51" s="15"/>
      <c r="O51" s="15"/>
      <c r="P51" s="17"/>
      <c r="Q51" s="31">
        <f t="shared" si="1"/>
        <v>-2205</v>
      </c>
      <c r="R51" s="34">
        <f t="shared" si="12"/>
        <v>5</v>
      </c>
      <c r="S51" s="15"/>
      <c r="T51" s="273"/>
      <c r="U51" s="273"/>
      <c r="V51" s="22"/>
      <c r="W51" s="272"/>
      <c r="X51" s="272"/>
      <c r="Y51" s="272"/>
      <c r="Z51" s="274"/>
      <c r="AA51" s="22"/>
      <c r="AB51" s="275"/>
      <c r="AC51" s="40"/>
      <c r="AD51" s="40"/>
    </row>
    <row r="52" spans="1:30" s="1" customFormat="1" x14ac:dyDescent="0.25">
      <c r="A52" s="9">
        <v>43713</v>
      </c>
      <c r="B52" s="271"/>
      <c r="C52" s="282" t="s">
        <v>922</v>
      </c>
      <c r="D52" s="132">
        <v>500</v>
      </c>
      <c r="E52" s="22">
        <v>4.26</v>
      </c>
      <c r="F52" s="16">
        <f t="shared" si="6"/>
        <v>3300</v>
      </c>
      <c r="G52" s="17">
        <f t="shared" si="7"/>
        <v>4.6301069696969721</v>
      </c>
      <c r="H52" s="15">
        <f t="shared" si="8"/>
        <v>15279.353000000008</v>
      </c>
      <c r="I52" s="15">
        <f t="shared" si="9"/>
        <v>-1221.3530000000083</v>
      </c>
      <c r="J52" s="33">
        <f t="shared" si="10"/>
        <v>-7.9934863734086647E-2</v>
      </c>
      <c r="K52" s="15">
        <f t="shared" si="11"/>
        <v>14058</v>
      </c>
      <c r="L52" s="15">
        <f t="shared" si="0"/>
        <v>-397.00000000000182</v>
      </c>
      <c r="M52" s="15"/>
      <c r="N52" s="15"/>
      <c r="O52" s="15"/>
      <c r="P52" s="17"/>
      <c r="Q52" s="31">
        <f t="shared" si="1"/>
        <v>-2135</v>
      </c>
      <c r="R52" s="34">
        <f t="shared" si="12"/>
        <v>5</v>
      </c>
      <c r="S52" s="15"/>
      <c r="T52" s="273"/>
      <c r="U52" s="273"/>
      <c r="V52" s="22"/>
      <c r="W52" s="272"/>
      <c r="X52" s="272"/>
      <c r="Y52" s="272"/>
      <c r="Z52" s="274"/>
      <c r="AA52" s="22"/>
      <c r="AB52" s="275"/>
      <c r="AC52" s="237"/>
      <c r="AD52" s="237"/>
    </row>
    <row r="53" spans="1:30" s="1" customFormat="1" x14ac:dyDescent="0.25">
      <c r="A53" s="9">
        <v>43762</v>
      </c>
      <c r="B53" s="283"/>
      <c r="C53" s="282" t="s">
        <v>922</v>
      </c>
      <c r="D53" s="132">
        <v>500</v>
      </c>
      <c r="E53" s="22">
        <v>4.0999999999999996</v>
      </c>
      <c r="F53" s="16">
        <f t="shared" si="6"/>
        <v>3800</v>
      </c>
      <c r="G53" s="17">
        <f t="shared" si="7"/>
        <v>4.561671842105266</v>
      </c>
      <c r="H53" s="15">
        <f t="shared" si="8"/>
        <v>17334.35300000001</v>
      </c>
      <c r="I53" s="15">
        <f t="shared" si="9"/>
        <v>-1754.3530000000119</v>
      </c>
      <c r="J53" s="33">
        <f t="shared" si="10"/>
        <v>-0.10120671939702687</v>
      </c>
      <c r="K53" s="15">
        <f t="shared" si="11"/>
        <v>15579.999999999998</v>
      </c>
      <c r="L53" s="15">
        <f t="shared" si="0"/>
        <v>-533.00000000000364</v>
      </c>
      <c r="M53" s="15"/>
      <c r="N53" s="15"/>
      <c r="O53" s="15"/>
      <c r="P53" s="17"/>
      <c r="Q53" s="31">
        <f t="shared" si="1"/>
        <v>-2055.0000000000018</v>
      </c>
      <c r="R53" s="34">
        <f t="shared" si="12"/>
        <v>5</v>
      </c>
      <c r="S53" s="15"/>
      <c r="T53" s="273"/>
      <c r="U53" s="273"/>
      <c r="V53" s="22"/>
      <c r="W53" s="272"/>
      <c r="X53" s="272"/>
      <c r="Y53" s="272"/>
      <c r="Z53" s="274"/>
      <c r="AA53" s="22"/>
      <c r="AB53" s="275"/>
      <c r="AC53" s="40"/>
      <c r="AD53" s="40"/>
    </row>
    <row r="54" spans="1:30" s="1" customFormat="1" x14ac:dyDescent="0.25">
      <c r="A54" s="9">
        <v>43810</v>
      </c>
      <c r="B54" s="271"/>
      <c r="C54" s="282" t="s">
        <v>922</v>
      </c>
      <c r="D54" s="132">
        <v>500</v>
      </c>
      <c r="E54" s="22">
        <v>4.04</v>
      </c>
      <c r="F54" s="16">
        <f t="shared" si="6"/>
        <v>4300</v>
      </c>
      <c r="G54" s="17">
        <f t="shared" si="7"/>
        <v>4.502175116279072</v>
      </c>
      <c r="H54" s="15">
        <f t="shared" si="8"/>
        <v>19359.35300000001</v>
      </c>
      <c r="I54" s="15">
        <f t="shared" si="9"/>
        <v>-1987.3530000000101</v>
      </c>
      <c r="J54" s="33">
        <f t="shared" si="10"/>
        <v>-0.10265596169458806</v>
      </c>
      <c r="K54" s="15">
        <f t="shared" si="11"/>
        <v>17372</v>
      </c>
      <c r="L54" s="15">
        <f t="shared" si="0"/>
        <v>-232.99999999999818</v>
      </c>
      <c r="M54" s="15"/>
      <c r="N54" s="15"/>
      <c r="O54" s="15"/>
      <c r="P54" s="17"/>
      <c r="Q54" s="31">
        <f t="shared" si="1"/>
        <v>-2025</v>
      </c>
      <c r="R54" s="34">
        <f t="shared" si="12"/>
        <v>5</v>
      </c>
      <c r="S54" s="15"/>
      <c r="T54" s="273"/>
      <c r="U54" s="273"/>
      <c r="V54" s="22"/>
      <c r="W54" s="272"/>
      <c r="X54" s="272"/>
      <c r="Y54" s="272"/>
      <c r="Z54" s="274"/>
      <c r="AA54" s="22"/>
      <c r="AB54" s="275"/>
      <c r="AC54" s="40"/>
      <c r="AD54" s="40"/>
    </row>
    <row r="55" spans="1:30" s="1" customFormat="1" x14ac:dyDescent="0.25">
      <c r="A55" s="9">
        <v>43816</v>
      </c>
      <c r="B55" s="283" t="s">
        <v>1065</v>
      </c>
      <c r="C55" s="282" t="s">
        <v>926</v>
      </c>
      <c r="D55" s="132">
        <v>400</v>
      </c>
      <c r="E55" s="22">
        <v>4.1399999999999997</v>
      </c>
      <c r="F55" s="16">
        <f t="shared" si="6"/>
        <v>3900</v>
      </c>
      <c r="G55" s="17">
        <f t="shared" si="7"/>
        <v>4.541027948717951</v>
      </c>
      <c r="H55" s="15">
        <f t="shared" si="8"/>
        <v>17710.009000000009</v>
      </c>
      <c r="I55" s="15">
        <f t="shared" si="9"/>
        <v>-1564.0090000000109</v>
      </c>
      <c r="J55" s="33">
        <f t="shared" si="10"/>
        <v>-8.831215162002512E-2</v>
      </c>
      <c r="K55" s="15">
        <f t="shared" si="11"/>
        <v>16145.999999999998</v>
      </c>
      <c r="L55" s="15">
        <f t="shared" si="0"/>
        <v>423.34399999999914</v>
      </c>
      <c r="M55" s="15"/>
      <c r="N55" s="15"/>
      <c r="O55" s="15"/>
      <c r="P55" s="17"/>
      <c r="Q55" s="31">
        <f t="shared" si="1"/>
        <v>1649.344000000001</v>
      </c>
      <c r="R55" s="34">
        <f t="shared" si="12"/>
        <v>6.6559999999999997</v>
      </c>
      <c r="S55" s="15"/>
      <c r="T55" s="273"/>
      <c r="U55" s="273"/>
      <c r="V55" s="22"/>
      <c r="W55" s="272"/>
      <c r="X55" s="272"/>
      <c r="Y55" s="272"/>
      <c r="Z55" s="274"/>
      <c r="AA55" s="22"/>
      <c r="AB55" s="275"/>
      <c r="AC55" s="40"/>
      <c r="AD55" s="40"/>
    </row>
    <row r="56" spans="1:30" s="1" customFormat="1" x14ac:dyDescent="0.25">
      <c r="A56" s="9">
        <v>43864</v>
      </c>
      <c r="B56" s="283"/>
      <c r="C56" s="282" t="s">
        <v>922</v>
      </c>
      <c r="D56" s="132">
        <v>500</v>
      </c>
      <c r="E56" s="22">
        <v>3.58</v>
      </c>
      <c r="F56" s="16">
        <f t="shared" si="6"/>
        <v>4400</v>
      </c>
      <c r="G56" s="17">
        <f t="shared" si="7"/>
        <v>4.4329565909090931</v>
      </c>
      <c r="H56" s="15">
        <f t="shared" si="8"/>
        <v>19505.009000000009</v>
      </c>
      <c r="I56" s="15">
        <f t="shared" si="9"/>
        <v>-3753.0090000000091</v>
      </c>
      <c r="J56" s="33">
        <f t="shared" si="10"/>
        <v>-0.19241257463659758</v>
      </c>
      <c r="K56" s="15">
        <f t="shared" si="11"/>
        <v>15752</v>
      </c>
      <c r="L56" s="15">
        <f t="shared" si="0"/>
        <v>-2188.9999999999982</v>
      </c>
      <c r="M56" s="15" t="str">
        <f>Uncovered((0))</f>
        <v>0@0</v>
      </c>
      <c r="N56" s="15"/>
      <c r="O56" s="15"/>
      <c r="P56" s="17" t="str">
        <f>Covered(1)</f>
        <v>0@0</v>
      </c>
      <c r="Q56" s="31">
        <f t="shared" si="1"/>
        <v>-1795</v>
      </c>
      <c r="R56" s="34">
        <f t="shared" si="12"/>
        <v>5</v>
      </c>
      <c r="S56" s="15"/>
      <c r="T56" s="273"/>
      <c r="U56" s="273"/>
      <c r="V56" s="22"/>
      <c r="W56" s="272"/>
      <c r="X56" s="272"/>
      <c r="Y56" s="272"/>
      <c r="Z56" s="274"/>
      <c r="AA56" s="22"/>
      <c r="AB56" s="275"/>
      <c r="AC56" s="40"/>
      <c r="AD56" s="40"/>
    </row>
    <row r="57" spans="1:30" s="1" customFormat="1" x14ac:dyDescent="0.25">
      <c r="A57" s="9">
        <v>43895</v>
      </c>
      <c r="B57" s="283" t="s">
        <v>1068</v>
      </c>
      <c r="C57" s="282" t="s">
        <v>926</v>
      </c>
      <c r="D57" s="132">
        <v>400</v>
      </c>
      <c r="E57" s="22">
        <v>3.8</v>
      </c>
      <c r="F57" s="16">
        <f t="shared" si="6"/>
        <v>4000</v>
      </c>
      <c r="G57" s="17">
        <f t="shared" si="7"/>
        <v>4.4978822500000026</v>
      </c>
      <c r="H57" s="15">
        <f t="shared" si="8"/>
        <v>17991.52900000001</v>
      </c>
      <c r="I57" s="15">
        <f t="shared" si="9"/>
        <v>-2791.5290000000095</v>
      </c>
      <c r="J57" s="33">
        <f t="shared" si="10"/>
        <v>-0.1551579635060483</v>
      </c>
      <c r="K57" s="15">
        <f t="shared" si="11"/>
        <v>15200</v>
      </c>
      <c r="L57" s="15">
        <f t="shared" si="0"/>
        <v>961.47999999999956</v>
      </c>
      <c r="M57" s="15"/>
      <c r="N57" s="15"/>
      <c r="O57" s="15"/>
      <c r="P57" s="17"/>
      <c r="Q57" s="31">
        <f t="shared" si="1"/>
        <v>1513.4799999999996</v>
      </c>
      <c r="R57" s="34">
        <f t="shared" si="12"/>
        <v>6.52</v>
      </c>
      <c r="S57" s="15"/>
      <c r="T57" s="273"/>
      <c r="U57" s="273"/>
      <c r="V57" s="22"/>
      <c r="W57" s="272"/>
      <c r="X57" s="272"/>
      <c r="Y57" s="272"/>
      <c r="Z57" s="274"/>
      <c r="AA57" s="22"/>
      <c r="AB57" s="275"/>
      <c r="AC57" s="40"/>
      <c r="AD57" s="40"/>
    </row>
    <row r="58" spans="1:30" s="1" customFormat="1" x14ac:dyDescent="0.25">
      <c r="A58" s="9">
        <v>43914</v>
      </c>
      <c r="B58" s="283"/>
      <c r="C58" s="282" t="s">
        <v>922</v>
      </c>
      <c r="D58" s="132">
        <v>500</v>
      </c>
      <c r="E58" s="22">
        <v>3.5</v>
      </c>
      <c r="F58" s="16">
        <f t="shared" si="6"/>
        <v>4500</v>
      </c>
      <c r="G58" s="17">
        <f t="shared" si="7"/>
        <v>4.3881175555555574</v>
      </c>
      <c r="H58" s="15">
        <f t="shared" si="8"/>
        <v>19746.52900000001</v>
      </c>
      <c r="I58" s="15">
        <f t="shared" si="9"/>
        <v>-3996.5290000000095</v>
      </c>
      <c r="J58" s="33">
        <f t="shared" si="10"/>
        <v>-0.2023914683942685</v>
      </c>
      <c r="K58" s="15">
        <f t="shared" si="11"/>
        <v>15750</v>
      </c>
      <c r="L58" s="15">
        <f t="shared" si="0"/>
        <v>-1205</v>
      </c>
      <c r="M58" s="15"/>
      <c r="N58" s="15"/>
      <c r="O58" s="15"/>
      <c r="P58" s="17"/>
      <c r="Q58" s="31">
        <f t="shared" si="1"/>
        <v>-1755</v>
      </c>
      <c r="R58" s="34">
        <f t="shared" si="12"/>
        <v>5</v>
      </c>
      <c r="S58" s="15"/>
      <c r="T58" s="273"/>
      <c r="U58" s="273"/>
      <c r="V58" s="22"/>
      <c r="W58" s="272"/>
      <c r="X58" s="272"/>
      <c r="Y58" s="272"/>
      <c r="Z58" s="274"/>
      <c r="AA58" s="22"/>
      <c r="AB58" s="275"/>
      <c r="AC58" s="40"/>
      <c r="AD58" s="40"/>
    </row>
    <row r="59" spans="1:30" s="1" customFormat="1" x14ac:dyDescent="0.25">
      <c r="A59" s="9">
        <v>43950</v>
      </c>
      <c r="B59" s="283" t="s">
        <v>1128</v>
      </c>
      <c r="C59" s="282" t="s">
        <v>926</v>
      </c>
      <c r="D59" s="132">
        <v>400</v>
      </c>
      <c r="E59" s="22">
        <v>3.63</v>
      </c>
      <c r="F59" s="16">
        <f t="shared" si="6"/>
        <v>4100</v>
      </c>
      <c r="G59" s="17">
        <f t="shared" si="7"/>
        <v>4.4636539024390274</v>
      </c>
      <c r="H59" s="15">
        <f t="shared" si="8"/>
        <v>18300.981000000011</v>
      </c>
      <c r="I59" s="15">
        <f t="shared" si="9"/>
        <v>-3417.9810000000107</v>
      </c>
      <c r="J59" s="33">
        <f t="shared" si="10"/>
        <v>-0.18676490620912672</v>
      </c>
      <c r="K59" s="15">
        <f t="shared" si="11"/>
        <v>14883</v>
      </c>
      <c r="L59" s="15">
        <f t="shared" si="0"/>
        <v>578.54799999999886</v>
      </c>
      <c r="M59" s="15"/>
      <c r="N59" s="15"/>
      <c r="O59" s="15"/>
      <c r="P59" s="17"/>
      <c r="Q59" s="31">
        <f t="shared" si="1"/>
        <v>1445.5479999999989</v>
      </c>
      <c r="R59" s="34">
        <f t="shared" si="12"/>
        <v>6.452</v>
      </c>
      <c r="S59" s="15"/>
      <c r="T59" s="273"/>
      <c r="U59" s="273"/>
      <c r="V59" s="22"/>
      <c r="W59" s="272"/>
      <c r="X59" s="272"/>
      <c r="Y59" s="272"/>
      <c r="Z59" s="274"/>
      <c r="AA59" s="22"/>
      <c r="AB59" s="275"/>
      <c r="AC59" s="40"/>
      <c r="AD59" s="40"/>
    </row>
    <row r="60" spans="1:30" s="1" customFormat="1" x14ac:dyDescent="0.25">
      <c r="A60" s="9">
        <v>43978</v>
      </c>
      <c r="B60" s="283"/>
      <c r="C60" s="282" t="s">
        <v>922</v>
      </c>
      <c r="D60" s="132">
        <v>500</v>
      </c>
      <c r="E60" s="22">
        <v>3.51</v>
      </c>
      <c r="F60" s="16">
        <f t="shared" si="6"/>
        <v>4600</v>
      </c>
      <c r="G60" s="17">
        <f t="shared" si="7"/>
        <v>4.3610828260869585</v>
      </c>
      <c r="H60" s="15">
        <f t="shared" si="8"/>
        <v>20060.981000000011</v>
      </c>
      <c r="I60" s="15">
        <f t="shared" si="9"/>
        <v>-3914.9810000000125</v>
      </c>
      <c r="J60" s="33">
        <f t="shared" si="10"/>
        <v>-0.19515401564858709</v>
      </c>
      <c r="K60" s="15">
        <f t="shared" si="11"/>
        <v>16145.999999999998</v>
      </c>
      <c r="L60" s="15">
        <f t="shared" si="0"/>
        <v>-497.00000000000182</v>
      </c>
      <c r="M60" s="15"/>
      <c r="N60" s="15"/>
      <c r="O60" s="15"/>
      <c r="P60" s="17"/>
      <c r="Q60" s="31">
        <f t="shared" si="1"/>
        <v>-1760</v>
      </c>
      <c r="R60" s="34">
        <f t="shared" si="12"/>
        <v>5</v>
      </c>
      <c r="S60" s="15"/>
      <c r="T60" s="273"/>
      <c r="U60" s="273"/>
      <c r="V60" s="22"/>
      <c r="W60" s="272"/>
      <c r="X60" s="272"/>
      <c r="Y60" s="272"/>
      <c r="Z60" s="274"/>
      <c r="AA60" s="22"/>
      <c r="AB60" s="275"/>
      <c r="AC60" s="40"/>
      <c r="AD60" s="40"/>
    </row>
    <row r="61" spans="1:30" s="1" customFormat="1" x14ac:dyDescent="0.25">
      <c r="A61" s="9">
        <v>43998</v>
      </c>
      <c r="B61" s="283"/>
      <c r="C61" s="282" t="s">
        <v>922</v>
      </c>
      <c r="D61" s="132">
        <v>500</v>
      </c>
      <c r="E61" s="22">
        <v>3.5</v>
      </c>
      <c r="F61" s="16">
        <f t="shared" si="6"/>
        <v>5100</v>
      </c>
      <c r="G61" s="17">
        <f t="shared" si="7"/>
        <v>4.2776433333333355</v>
      </c>
      <c r="H61" s="15">
        <f t="shared" si="8"/>
        <v>21815.981000000011</v>
      </c>
      <c r="I61" s="15">
        <f t="shared" si="9"/>
        <v>-3965.9810000000107</v>
      </c>
      <c r="J61" s="33">
        <f t="shared" si="10"/>
        <v>-0.18179246672427926</v>
      </c>
      <c r="K61" s="15">
        <f t="shared" si="11"/>
        <v>17850</v>
      </c>
      <c r="L61" s="15">
        <f t="shared" si="0"/>
        <v>-50.999999999998181</v>
      </c>
      <c r="M61" s="15"/>
      <c r="N61" s="15"/>
      <c r="O61" s="15"/>
      <c r="P61" s="17"/>
      <c r="Q61" s="31">
        <f t="shared" si="1"/>
        <v>-1755</v>
      </c>
      <c r="R61" s="34">
        <f t="shared" si="12"/>
        <v>5</v>
      </c>
      <c r="S61" s="15"/>
      <c r="T61" s="273"/>
      <c r="U61" s="273"/>
      <c r="V61" s="22"/>
      <c r="W61" s="272"/>
      <c r="X61" s="272"/>
      <c r="Y61" s="272"/>
      <c r="Z61" s="274"/>
      <c r="AA61" s="22"/>
      <c r="AB61" s="275"/>
      <c r="AC61" s="40"/>
      <c r="AD61" s="40"/>
    </row>
    <row r="62" spans="1:30" s="1" customFormat="1" x14ac:dyDescent="0.25">
      <c r="A62" s="9">
        <v>44005</v>
      </c>
      <c r="B62" s="283"/>
      <c r="C62" s="282" t="s">
        <v>922</v>
      </c>
      <c r="D62" s="132">
        <v>500</v>
      </c>
      <c r="E62" s="22">
        <v>3.5</v>
      </c>
      <c r="F62" s="16">
        <f t="shared" si="6"/>
        <v>5600</v>
      </c>
      <c r="G62" s="17">
        <f t="shared" si="7"/>
        <v>4.2091037500000015</v>
      </c>
      <c r="H62" s="15">
        <f t="shared" si="8"/>
        <v>23570.981000000011</v>
      </c>
      <c r="I62" s="15">
        <f t="shared" si="9"/>
        <v>-3970.9810000000107</v>
      </c>
      <c r="J62" s="33">
        <f t="shared" si="10"/>
        <v>-0.16846905947614174</v>
      </c>
      <c r="K62" s="15">
        <f t="shared" si="11"/>
        <v>19600</v>
      </c>
      <c r="L62" s="15">
        <f t="shared" si="0"/>
        <v>-5</v>
      </c>
      <c r="M62" s="15"/>
      <c r="N62" s="15"/>
      <c r="O62" s="15"/>
      <c r="P62" s="17"/>
      <c r="Q62" s="31">
        <f t="shared" si="1"/>
        <v>-1755</v>
      </c>
      <c r="R62" s="34">
        <f t="shared" si="12"/>
        <v>5</v>
      </c>
      <c r="S62" s="15"/>
      <c r="T62" s="273"/>
      <c r="U62" s="273"/>
      <c r="V62" s="22"/>
      <c r="W62" s="272"/>
      <c r="X62" s="272"/>
      <c r="Y62" s="272"/>
      <c r="Z62" s="274"/>
      <c r="AA62" s="22"/>
      <c r="AB62" s="275"/>
      <c r="AC62" s="40"/>
      <c r="AD62" s="40"/>
    </row>
    <row r="63" spans="1:30" s="1" customFormat="1" x14ac:dyDescent="0.25">
      <c r="A63" s="9">
        <v>44015</v>
      </c>
      <c r="B63" s="337" t="s">
        <v>1061</v>
      </c>
      <c r="C63" s="282" t="s">
        <v>926</v>
      </c>
      <c r="D63" s="132">
        <v>400</v>
      </c>
      <c r="E63" s="22">
        <v>3.6</v>
      </c>
      <c r="F63" s="16">
        <f t="shared" si="6"/>
        <v>5200</v>
      </c>
      <c r="G63" s="17">
        <f t="shared" si="7"/>
        <v>4.2571963461538482</v>
      </c>
      <c r="H63" s="15">
        <f t="shared" si="8"/>
        <v>22137.421000000009</v>
      </c>
      <c r="I63" s="15">
        <f t="shared" si="9"/>
        <v>-3417.4210000000094</v>
      </c>
      <c r="J63" s="33">
        <f t="shared" si="10"/>
        <v>-0.15437304101503099</v>
      </c>
      <c r="K63" s="15">
        <f t="shared" si="11"/>
        <v>18720</v>
      </c>
      <c r="L63" s="15">
        <f t="shared" si="0"/>
        <v>553.56000000000131</v>
      </c>
      <c r="M63" s="15"/>
      <c r="N63" s="15"/>
      <c r="O63" s="15"/>
      <c r="P63" s="17"/>
      <c r="Q63" s="31">
        <f t="shared" si="1"/>
        <v>1433.5600000000013</v>
      </c>
      <c r="R63" s="34">
        <f t="shared" si="12"/>
        <v>6.4399999999999995</v>
      </c>
      <c r="S63" s="15"/>
      <c r="T63" s="320"/>
      <c r="U63" s="320"/>
      <c r="V63" s="15"/>
      <c r="W63" s="17"/>
      <c r="X63" s="17"/>
      <c r="Y63" s="17"/>
      <c r="Z63" s="321"/>
      <c r="AA63" s="15"/>
      <c r="AB63" s="322"/>
      <c r="AC63" s="40"/>
      <c r="AD63" s="40"/>
    </row>
    <row r="64" spans="1:30" s="1" customFormat="1" x14ac:dyDescent="0.25">
      <c r="A64" s="9">
        <v>44018</v>
      </c>
      <c r="B64" s="283" t="s">
        <v>1073</v>
      </c>
      <c r="C64" s="282" t="s">
        <v>926</v>
      </c>
      <c r="D64" s="132">
        <v>400</v>
      </c>
      <c r="E64" s="22">
        <v>3.76</v>
      </c>
      <c r="F64" s="16">
        <f t="shared" si="6"/>
        <v>4800</v>
      </c>
      <c r="G64" s="17">
        <f t="shared" si="7"/>
        <v>4.299984375000002</v>
      </c>
      <c r="H64" s="15">
        <f t="shared" si="8"/>
        <v>20639.92500000001</v>
      </c>
      <c r="I64" s="15">
        <f t="shared" si="9"/>
        <v>-2591.9250000000102</v>
      </c>
      <c r="J64" s="33">
        <f t="shared" si="10"/>
        <v>-0.12557821794410634</v>
      </c>
      <c r="K64" s="15">
        <f t="shared" si="11"/>
        <v>18048</v>
      </c>
      <c r="L64" s="15">
        <f t="shared" si="0"/>
        <v>825.49599999999919</v>
      </c>
      <c r="M64" s="15"/>
      <c r="N64" s="15"/>
      <c r="O64" s="15"/>
      <c r="P64" s="17"/>
      <c r="Q64" s="31">
        <f t="shared" si="1"/>
        <v>1497.4959999999992</v>
      </c>
      <c r="R64" s="34">
        <f t="shared" si="12"/>
        <v>6.5039999999999996</v>
      </c>
      <c r="S64" s="15"/>
      <c r="T64" s="273"/>
      <c r="U64" s="273"/>
      <c r="V64" s="22"/>
      <c r="W64" s="272"/>
      <c r="X64" s="272"/>
      <c r="Y64" s="272"/>
      <c r="Z64" s="274"/>
      <c r="AA64" s="22"/>
      <c r="AB64" s="275"/>
      <c r="AC64" s="40"/>
      <c r="AD64" s="40"/>
    </row>
    <row r="65" spans="1:33" s="1" customFormat="1" x14ac:dyDescent="0.25">
      <c r="A65" s="9">
        <v>44021</v>
      </c>
      <c r="B65" s="283" t="s">
        <v>1060</v>
      </c>
      <c r="C65" s="282" t="s">
        <v>926</v>
      </c>
      <c r="D65" s="132">
        <v>400</v>
      </c>
      <c r="E65" s="22">
        <v>3.86</v>
      </c>
      <c r="F65" s="16">
        <f t="shared" si="6"/>
        <v>4400</v>
      </c>
      <c r="G65" s="17">
        <f t="shared" si="7"/>
        <v>4.2369247727272752</v>
      </c>
      <c r="H65" s="15">
        <f t="shared" si="8"/>
        <v>18642.469000000012</v>
      </c>
      <c r="I65" s="15">
        <f t="shared" si="9"/>
        <v>-1658.4690000000119</v>
      </c>
      <c r="J65" s="33">
        <f t="shared" si="10"/>
        <v>-8.8961875167930304E-2</v>
      </c>
      <c r="K65" s="15">
        <f t="shared" si="11"/>
        <v>16984</v>
      </c>
      <c r="L65" s="15">
        <f t="shared" si="0"/>
        <v>933.45599999999831</v>
      </c>
      <c r="M65" s="15"/>
      <c r="N65" s="15"/>
      <c r="O65" s="15"/>
      <c r="P65" s="17"/>
      <c r="Q65" s="31">
        <f t="shared" si="1"/>
        <v>1997.4559999999983</v>
      </c>
      <c r="R65" s="34">
        <f t="shared" si="12"/>
        <v>6.5440000000000005</v>
      </c>
      <c r="S65" s="15">
        <v>-460</v>
      </c>
      <c r="T65" s="273"/>
      <c r="U65" s="273"/>
      <c r="V65" s="22"/>
      <c r="W65" s="272"/>
      <c r="X65" s="272"/>
      <c r="Y65" s="272"/>
      <c r="Z65" s="274"/>
      <c r="AA65" s="22"/>
      <c r="AB65" s="275"/>
      <c r="AC65" s="40"/>
      <c r="AD65" s="40"/>
    </row>
    <row r="66" spans="1:33" s="1" customFormat="1" x14ac:dyDescent="0.25">
      <c r="A66" s="9">
        <v>44024</v>
      </c>
      <c r="B66" s="283" t="s">
        <v>1129</v>
      </c>
      <c r="C66" s="282" t="s">
        <v>926</v>
      </c>
      <c r="D66" s="132">
        <v>1400</v>
      </c>
      <c r="E66" s="22">
        <v>3.85</v>
      </c>
      <c r="F66" s="16">
        <f t="shared" si="6"/>
        <v>3000</v>
      </c>
      <c r="G66" s="17">
        <f t="shared" si="7"/>
        <v>4.4209530000000035</v>
      </c>
      <c r="H66" s="15">
        <f t="shared" si="8"/>
        <v>13262.859000000011</v>
      </c>
      <c r="I66" s="15">
        <f t="shared" si="9"/>
        <v>-1712.8590000000113</v>
      </c>
      <c r="J66" s="33">
        <f t="shared" si="10"/>
        <v>-0.12914704137320684</v>
      </c>
      <c r="K66" s="15">
        <f t="shared" si="11"/>
        <v>11550</v>
      </c>
      <c r="L66" s="15">
        <f t="shared" ref="L66:L76" si="13">I66-I65</f>
        <v>-54.389999999999418</v>
      </c>
      <c r="M66" s="15"/>
      <c r="N66" s="15"/>
      <c r="O66" s="15"/>
      <c r="P66" s="17"/>
      <c r="Q66" s="31">
        <f t="shared" ref="Q66:Q76" si="14">(H66-H65)*-1</f>
        <v>5379.6100000000006</v>
      </c>
      <c r="R66" s="34">
        <f t="shared" si="12"/>
        <v>10.39</v>
      </c>
      <c r="S66" s="15"/>
      <c r="T66" s="273"/>
      <c r="U66" s="273"/>
      <c r="V66" s="22"/>
      <c r="W66" s="272"/>
      <c r="X66" s="272"/>
      <c r="Y66" s="272"/>
      <c r="Z66" s="274"/>
      <c r="AA66" s="22"/>
      <c r="AB66" s="275"/>
      <c r="AC66" s="40"/>
      <c r="AD66" s="40"/>
    </row>
    <row r="67" spans="1:33" s="1" customFormat="1" x14ac:dyDescent="0.25">
      <c r="A67" s="9">
        <v>44029</v>
      </c>
      <c r="B67" s="283"/>
      <c r="C67" s="282" t="s">
        <v>922</v>
      </c>
      <c r="D67" s="132">
        <v>500</v>
      </c>
      <c r="E67" s="22">
        <v>3.58</v>
      </c>
      <c r="F67" s="16">
        <f t="shared" si="6"/>
        <v>3500</v>
      </c>
      <c r="G67" s="17">
        <f t="shared" si="7"/>
        <v>4.3022454285714318</v>
      </c>
      <c r="H67" s="15">
        <f t="shared" si="8"/>
        <v>15057.859000000011</v>
      </c>
      <c r="I67" s="15">
        <f t="shared" si="9"/>
        <v>-2527.8590000000113</v>
      </c>
      <c r="J67" s="33">
        <f t="shared" si="10"/>
        <v>-0.16787638933264079</v>
      </c>
      <c r="K67" s="15">
        <f t="shared" si="11"/>
        <v>12530</v>
      </c>
      <c r="L67" s="15">
        <f t="shared" si="13"/>
        <v>-815</v>
      </c>
      <c r="M67" s="15"/>
      <c r="N67" s="15"/>
      <c r="O67" s="15"/>
      <c r="P67" s="17"/>
      <c r="Q67" s="31">
        <f t="shared" si="14"/>
        <v>-1795</v>
      </c>
      <c r="R67" s="34">
        <f t="shared" si="12"/>
        <v>5</v>
      </c>
      <c r="S67" s="15"/>
      <c r="T67" s="273"/>
      <c r="U67" s="273"/>
      <c r="V67" s="22"/>
      <c r="W67" s="272"/>
      <c r="X67" s="272"/>
      <c r="Y67" s="272"/>
      <c r="Z67" s="274"/>
      <c r="AA67" s="22"/>
      <c r="AB67" s="275"/>
      <c r="AC67" s="40"/>
      <c r="AD67" s="40"/>
    </row>
    <row r="68" spans="1:33" s="1" customFormat="1" x14ac:dyDescent="0.25">
      <c r="A68" s="9">
        <v>44050</v>
      </c>
      <c r="B68" s="337"/>
      <c r="C68" s="282" t="s">
        <v>922</v>
      </c>
      <c r="D68" s="132">
        <v>500</v>
      </c>
      <c r="E68" s="22">
        <v>3.56</v>
      </c>
      <c r="F68" s="16">
        <f t="shared" ref="F68:F76" si="15">IF(C68="买",F67+D68,IF(C68="卖",F67-D68,F67))</f>
        <v>4000</v>
      </c>
      <c r="G68" s="17">
        <f t="shared" ref="G68:G76" si="16">H68/F68</f>
        <v>4.2107147500000028</v>
      </c>
      <c r="H68" s="15">
        <f t="shared" ref="H68:H75" si="17">IF(C68="买",H67+D68*E68+R68+S68,IF(C68="卖",H67-D68*E68+R68+S68,H67))</f>
        <v>16842.859000000011</v>
      </c>
      <c r="I68" s="15">
        <f t="shared" ref="I68:I76" si="18">-H68+K68</f>
        <v>-2602.8590000000113</v>
      </c>
      <c r="J68" s="33">
        <f t="shared" ref="J68:J76" si="19">(E68-G68)/G68</f>
        <v>-0.15453783707386076</v>
      </c>
      <c r="K68" s="15">
        <f t="shared" ref="K68:K75" si="20">F68*E68</f>
        <v>14240</v>
      </c>
      <c r="L68" s="15">
        <f t="shared" si="13"/>
        <v>-75</v>
      </c>
      <c r="M68" s="15"/>
      <c r="N68" s="15"/>
      <c r="O68" s="15"/>
      <c r="P68" s="17"/>
      <c r="Q68" s="31">
        <f t="shared" si="14"/>
        <v>-1785</v>
      </c>
      <c r="R68" s="34">
        <f t="shared" ref="R68:R76" si="21">commission($B$2,C68,D68,E68)</f>
        <v>5</v>
      </c>
      <c r="S68" s="15"/>
      <c r="T68" s="273"/>
      <c r="U68" s="273"/>
      <c r="V68" s="22"/>
      <c r="W68" s="272"/>
      <c r="X68" s="272"/>
      <c r="Y68" s="272"/>
      <c r="Z68" s="274"/>
      <c r="AA68" s="22"/>
      <c r="AB68" s="275"/>
      <c r="AC68" s="40"/>
      <c r="AD68" s="40"/>
    </row>
    <row r="69" spans="1:33" s="1" customFormat="1" x14ac:dyDescent="0.25">
      <c r="A69" s="9">
        <v>44055</v>
      </c>
      <c r="B69" s="337"/>
      <c r="C69" s="282" t="s">
        <v>922</v>
      </c>
      <c r="D69" s="132">
        <v>400</v>
      </c>
      <c r="E69" s="22">
        <v>3.54</v>
      </c>
      <c r="F69" s="16">
        <f t="shared" si="15"/>
        <v>4400</v>
      </c>
      <c r="G69" s="17">
        <f t="shared" si="16"/>
        <v>4.1508770454545481</v>
      </c>
      <c r="H69" s="15">
        <f t="shared" si="17"/>
        <v>18263.859000000011</v>
      </c>
      <c r="I69" s="15">
        <f t="shared" si="18"/>
        <v>-2687.8590000000113</v>
      </c>
      <c r="J69" s="33">
        <f t="shared" si="19"/>
        <v>-0.14716818608816515</v>
      </c>
      <c r="K69" s="15">
        <f t="shared" si="20"/>
        <v>15576</v>
      </c>
      <c r="L69" s="15">
        <f t="shared" si="13"/>
        <v>-85</v>
      </c>
      <c r="M69" s="15"/>
      <c r="N69" s="15"/>
      <c r="O69" s="15"/>
      <c r="P69" s="17"/>
      <c r="Q69" s="31">
        <f t="shared" si="14"/>
        <v>-1421</v>
      </c>
      <c r="R69" s="34">
        <f t="shared" si="21"/>
        <v>5</v>
      </c>
      <c r="S69" s="15"/>
      <c r="T69" s="273"/>
      <c r="U69" s="273"/>
      <c r="V69" s="22"/>
      <c r="W69" s="272"/>
      <c r="X69" s="272"/>
      <c r="Y69" s="272"/>
      <c r="Z69" s="274"/>
      <c r="AA69" s="22"/>
      <c r="AB69" s="275"/>
      <c r="AC69" s="40"/>
      <c r="AD69" s="40"/>
    </row>
    <row r="70" spans="1:33" s="1" customFormat="1" x14ac:dyDescent="0.25">
      <c r="A70" s="9">
        <v>44060</v>
      </c>
      <c r="B70" s="283"/>
      <c r="C70" s="282" t="s">
        <v>926</v>
      </c>
      <c r="D70" s="132">
        <v>400</v>
      </c>
      <c r="E70" s="22">
        <v>3.64</v>
      </c>
      <c r="F70" s="16">
        <f t="shared" si="15"/>
        <v>4000</v>
      </c>
      <c r="G70" s="17">
        <f t="shared" si="16"/>
        <v>4.2035787500000028</v>
      </c>
      <c r="H70" s="15">
        <f t="shared" si="17"/>
        <v>16814.31500000001</v>
      </c>
      <c r="I70" s="15">
        <f t="shared" si="18"/>
        <v>-2254.3150000000096</v>
      </c>
      <c r="J70" s="33">
        <f t="shared" si="19"/>
        <v>-0.13407117685139175</v>
      </c>
      <c r="K70" s="15">
        <f t="shared" si="20"/>
        <v>14560</v>
      </c>
      <c r="L70" s="15">
        <f t="shared" si="13"/>
        <v>433.54400000000169</v>
      </c>
      <c r="M70" s="15"/>
      <c r="N70" s="15"/>
      <c r="O70" s="15"/>
      <c r="P70" s="17"/>
      <c r="Q70" s="31">
        <f t="shared" si="14"/>
        <v>1449.5440000000017</v>
      </c>
      <c r="R70" s="34">
        <f t="shared" si="21"/>
        <v>6.4559999999999995</v>
      </c>
      <c r="S70" s="15"/>
      <c r="T70" s="273"/>
      <c r="U70" s="273"/>
      <c r="V70" s="22"/>
      <c r="W70" s="272"/>
      <c r="X70" s="272"/>
      <c r="Y70" s="272"/>
      <c r="Z70" s="274"/>
      <c r="AA70" s="22"/>
      <c r="AB70" s="275"/>
      <c r="AC70" s="40"/>
      <c r="AD70" s="40"/>
    </row>
    <row r="71" spans="1:33" s="1" customFormat="1" x14ac:dyDescent="0.25">
      <c r="A71" s="9">
        <v>44082</v>
      </c>
      <c r="B71" s="283" t="s">
        <v>1130</v>
      </c>
      <c r="C71" s="282" t="s">
        <v>922</v>
      </c>
      <c r="D71" s="132">
        <v>500</v>
      </c>
      <c r="E71" s="22">
        <v>3.55</v>
      </c>
      <c r="F71" s="16">
        <f t="shared" si="15"/>
        <v>4500</v>
      </c>
      <c r="G71" s="17">
        <f t="shared" si="16"/>
        <v>4.1320700000000024</v>
      </c>
      <c r="H71" s="15">
        <f t="shared" si="17"/>
        <v>18594.31500000001</v>
      </c>
      <c r="I71" s="15">
        <f t="shared" si="18"/>
        <v>-2619.3150000000096</v>
      </c>
      <c r="J71" s="33">
        <f t="shared" si="19"/>
        <v>-0.14086644224323455</v>
      </c>
      <c r="K71" s="15">
        <f t="shared" si="20"/>
        <v>15975</v>
      </c>
      <c r="L71" s="15">
        <f t="shared" si="13"/>
        <v>-365</v>
      </c>
      <c r="M71" s="15"/>
      <c r="N71" s="15"/>
      <c r="O71" s="15"/>
      <c r="P71" s="17"/>
      <c r="Q71" s="31">
        <f t="shared" si="14"/>
        <v>-1780</v>
      </c>
      <c r="R71" s="34">
        <f t="shared" si="21"/>
        <v>5</v>
      </c>
      <c r="S71" s="15"/>
      <c r="T71" s="273"/>
      <c r="U71" s="273"/>
      <c r="V71" s="22"/>
      <c r="W71" s="272"/>
      <c r="X71" s="272"/>
      <c r="Y71" s="272"/>
      <c r="Z71" s="274"/>
      <c r="AA71" s="22"/>
      <c r="AB71" s="275"/>
      <c r="AC71" s="40"/>
      <c r="AD71" s="40"/>
    </row>
    <row r="72" spans="1:33" s="1" customFormat="1" x14ac:dyDescent="0.25">
      <c r="A72" s="9">
        <v>44119</v>
      </c>
      <c r="B72" s="283"/>
      <c r="C72" s="282" t="s">
        <v>922</v>
      </c>
      <c r="D72" s="132">
        <v>500</v>
      </c>
      <c r="E72" s="22">
        <v>3.46</v>
      </c>
      <c r="F72" s="16">
        <f t="shared" si="15"/>
        <v>5000</v>
      </c>
      <c r="G72" s="17">
        <f t="shared" si="16"/>
        <v>4.065863000000002</v>
      </c>
      <c r="H72" s="15">
        <f t="shared" si="17"/>
        <v>20329.31500000001</v>
      </c>
      <c r="I72" s="15">
        <f t="shared" si="18"/>
        <v>-3029.3150000000096</v>
      </c>
      <c r="J72" s="33">
        <f t="shared" si="19"/>
        <v>-0.14901215313944463</v>
      </c>
      <c r="K72" s="15">
        <f t="shared" si="20"/>
        <v>17300</v>
      </c>
      <c r="L72" s="15">
        <f t="shared" si="13"/>
        <v>-410</v>
      </c>
      <c r="M72" s="15"/>
      <c r="N72" s="15"/>
      <c r="O72" s="15"/>
      <c r="P72" s="17"/>
      <c r="Q72" s="31">
        <f t="shared" si="14"/>
        <v>-1735</v>
      </c>
      <c r="R72" s="34">
        <f t="shared" si="21"/>
        <v>5</v>
      </c>
      <c r="S72" s="15"/>
      <c r="T72" s="273"/>
      <c r="U72" s="273"/>
      <c r="V72" s="22"/>
      <c r="W72" s="272"/>
      <c r="X72" s="272"/>
      <c r="Y72" s="272"/>
      <c r="Z72" s="274"/>
      <c r="AA72" s="22"/>
      <c r="AB72" s="275"/>
      <c r="AC72" s="40"/>
      <c r="AD72" s="40"/>
    </row>
    <row r="73" spans="1:33" s="1" customFormat="1" x14ac:dyDescent="0.25">
      <c r="A73" s="329">
        <v>44160</v>
      </c>
      <c r="B73" s="367" t="s">
        <v>1141</v>
      </c>
      <c r="C73" s="315" t="s">
        <v>634</v>
      </c>
      <c r="D73" s="104">
        <v>400</v>
      </c>
      <c r="E73" s="104">
        <v>3.53</v>
      </c>
      <c r="F73" s="16">
        <f t="shared" si="15"/>
        <v>4600</v>
      </c>
      <c r="G73" s="17">
        <f t="shared" si="16"/>
        <v>4.1138536956521756</v>
      </c>
      <c r="H73" s="15">
        <f t="shared" si="17"/>
        <v>18923.72700000001</v>
      </c>
      <c r="I73" s="15">
        <f t="shared" si="18"/>
        <v>-2685.7270000000099</v>
      </c>
      <c r="J73" s="33">
        <f t="shared" si="19"/>
        <v>-0.14192378700030958</v>
      </c>
      <c r="K73" s="15">
        <f t="shared" si="20"/>
        <v>16238</v>
      </c>
      <c r="L73" s="15">
        <f t="shared" si="13"/>
        <v>343.58799999999974</v>
      </c>
      <c r="M73" s="15"/>
      <c r="N73" s="15"/>
      <c r="O73" s="15"/>
      <c r="P73" s="17"/>
      <c r="Q73" s="31">
        <f t="shared" si="14"/>
        <v>1405.5879999999997</v>
      </c>
      <c r="R73" s="34">
        <f t="shared" si="21"/>
        <v>6.4119999999999999</v>
      </c>
      <c r="S73" s="15"/>
      <c r="T73" s="273"/>
      <c r="U73" s="273"/>
      <c r="V73" s="22"/>
      <c r="W73" s="272"/>
      <c r="X73" s="272"/>
      <c r="Y73" s="272"/>
      <c r="Z73" s="274"/>
      <c r="AA73" s="22"/>
      <c r="AB73" s="275"/>
      <c r="AC73" s="40"/>
      <c r="AD73" s="40"/>
    </row>
    <row r="74" spans="1:33" s="1" customFormat="1" x14ac:dyDescent="0.25">
      <c r="A74" s="329">
        <v>44165</v>
      </c>
      <c r="B74" s="367" t="s">
        <v>1146</v>
      </c>
      <c r="C74" s="315" t="s">
        <v>634</v>
      </c>
      <c r="D74" s="104">
        <v>400</v>
      </c>
      <c r="E74" s="104">
        <v>3.57</v>
      </c>
      <c r="F74" s="16">
        <f t="shared" si="15"/>
        <v>4200</v>
      </c>
      <c r="G74" s="17">
        <f t="shared" si="16"/>
        <v>4.1671797619047641</v>
      </c>
      <c r="H74" s="15">
        <f t="shared" si="17"/>
        <v>17502.15500000001</v>
      </c>
      <c r="I74" s="15">
        <f t="shared" si="18"/>
        <v>-2508.1550000000097</v>
      </c>
      <c r="J74" s="33">
        <f t="shared" si="19"/>
        <v>-0.14330549580894517</v>
      </c>
      <c r="K74" s="15">
        <f t="shared" si="20"/>
        <v>14994</v>
      </c>
      <c r="L74" s="15">
        <f t="shared" si="13"/>
        <v>177.57200000000012</v>
      </c>
      <c r="M74" s="15"/>
      <c r="N74" s="15"/>
      <c r="O74" s="15"/>
      <c r="P74" s="17"/>
      <c r="Q74" s="31">
        <f t="shared" si="14"/>
        <v>1421.5720000000001</v>
      </c>
      <c r="R74" s="34">
        <f t="shared" si="21"/>
        <v>6.4279999999999999</v>
      </c>
      <c r="S74" s="15"/>
      <c r="T74" s="273"/>
      <c r="U74" s="273"/>
      <c r="V74" s="22"/>
      <c r="W74" s="272"/>
      <c r="X74" s="272"/>
      <c r="Y74" s="272"/>
      <c r="Z74" s="274"/>
      <c r="AA74" s="22"/>
      <c r="AB74" s="275"/>
      <c r="AC74" s="40"/>
      <c r="AD74" s="40"/>
    </row>
    <row r="75" spans="1:33" s="1" customFormat="1" x14ac:dyDescent="0.25">
      <c r="A75" s="329">
        <v>44209</v>
      </c>
      <c r="B75" s="367"/>
      <c r="C75" s="315" t="s">
        <v>922</v>
      </c>
      <c r="D75" s="104">
        <v>400</v>
      </c>
      <c r="E75" s="104">
        <v>3.29</v>
      </c>
      <c r="F75" s="16">
        <f t="shared" si="15"/>
        <v>4600</v>
      </c>
      <c r="G75" s="17">
        <f t="shared" si="16"/>
        <v>4.0919902173913068</v>
      </c>
      <c r="H75" s="15">
        <f t="shared" si="17"/>
        <v>18823.15500000001</v>
      </c>
      <c r="I75" s="15">
        <f t="shared" si="18"/>
        <v>-3689.1550000000097</v>
      </c>
      <c r="J75" s="33">
        <f t="shared" si="19"/>
        <v>-0.19599025774372089</v>
      </c>
      <c r="K75" s="15">
        <f t="shared" si="20"/>
        <v>15134</v>
      </c>
      <c r="L75" s="15">
        <f t="shared" si="13"/>
        <v>-1181</v>
      </c>
      <c r="M75" s="15"/>
      <c r="N75" s="15"/>
      <c r="O75" s="15"/>
      <c r="P75" s="17"/>
      <c r="Q75" s="31">
        <f t="shared" si="14"/>
        <v>-1321</v>
      </c>
      <c r="R75" s="34">
        <f t="shared" si="21"/>
        <v>5</v>
      </c>
      <c r="S75" s="15"/>
      <c r="T75" s="273"/>
      <c r="U75" s="273"/>
      <c r="V75" s="22"/>
      <c r="W75" s="272"/>
      <c r="X75" s="272"/>
      <c r="Y75" s="272"/>
      <c r="Z75" s="274"/>
      <c r="AA75" s="22"/>
      <c r="AB75" s="275"/>
      <c r="AC75" s="40"/>
      <c r="AD75" s="40"/>
    </row>
    <row r="76" spans="1:33" s="70" customFormat="1" x14ac:dyDescent="0.25">
      <c r="A76" s="270">
        <v>44249</v>
      </c>
      <c r="B76" s="402" t="s">
        <v>1198</v>
      </c>
      <c r="C76" s="306" t="s">
        <v>1192</v>
      </c>
      <c r="D76" s="16">
        <v>400</v>
      </c>
      <c r="E76" s="15">
        <f>E75+0.15</f>
        <v>3.44</v>
      </c>
      <c r="F76" s="102">
        <f t="shared" si="15"/>
        <v>4200</v>
      </c>
      <c r="G76" s="32">
        <f t="shared" si="16"/>
        <v>4.1556026190476212</v>
      </c>
      <c r="H76" s="390">
        <f>IF(C76="买",H75+D76*E76+R76+S76,IF(C76="卖",H75-D76*E76+R76+S76,H75))</f>
        <v>17453.53100000001</v>
      </c>
      <c r="I76" s="390">
        <f t="shared" si="18"/>
        <v>-3005.53100000001</v>
      </c>
      <c r="J76" s="391">
        <f t="shared" si="19"/>
        <v>-0.17220188854622068</v>
      </c>
      <c r="K76" s="390">
        <f>IF(C76="买",F76*E76,IF(C76="卖",F76*E76,K75))</f>
        <v>14448</v>
      </c>
      <c r="L76" s="390">
        <f t="shared" si="13"/>
        <v>683.6239999999998</v>
      </c>
      <c r="M76" s="390"/>
      <c r="N76" s="390"/>
      <c r="O76" s="390"/>
      <c r="P76" s="32"/>
      <c r="Q76" s="31">
        <f t="shared" si="14"/>
        <v>1369.6239999999998</v>
      </c>
      <c r="R76" s="393">
        <f t="shared" si="21"/>
        <v>6.3759999999999994</v>
      </c>
      <c r="S76" s="393"/>
      <c r="T76" s="393"/>
      <c r="U76" s="393"/>
      <c r="V76" s="31"/>
      <c r="W76" s="32"/>
      <c r="X76" s="32"/>
      <c r="Y76" s="32"/>
      <c r="Z76" s="394" t="e">
        <f t="shared" ref="Z76:Z109" si="22">F76/U76</f>
        <v>#DIV/0!</v>
      </c>
      <c r="AA76" s="31"/>
      <c r="AB76" s="322"/>
      <c r="AC76" s="237">
        <f t="shared" ref="AC76:AC109" si="23">I76/E76*(1-0.0005)</f>
        <v>-873.26402165697971</v>
      </c>
      <c r="AD76" s="237">
        <f t="shared" ref="AD76:AD109" si="24">AC76-F76</f>
        <v>-5073.2640216569798</v>
      </c>
      <c r="AE76" s="165"/>
      <c r="AF76" s="165"/>
      <c r="AG76" s="165"/>
    </row>
    <row r="77" spans="1:33" x14ac:dyDescent="0.25">
      <c r="A77" s="369"/>
      <c r="B77" s="400"/>
      <c r="C77" s="306" t="s">
        <v>634</v>
      </c>
      <c r="D77" s="16">
        <v>400</v>
      </c>
      <c r="E77" s="15">
        <f t="shared" ref="E77:E96" si="25">E76+0.15</f>
        <v>3.59</v>
      </c>
      <c r="F77" s="102">
        <f t="shared" ref="F77:F96" si="26">IF(C77="买",F76+D77,IF(C77="卖",F76-D77,F76))</f>
        <v>3800</v>
      </c>
      <c r="G77" s="32">
        <f t="shared" ref="G77:G96" si="27">H77/F77</f>
        <v>4.2168334210526339</v>
      </c>
      <c r="H77" s="390">
        <f t="shared" ref="H77:H96" si="28">IF(C77="买",H76+D77*E77+R77+S77,IF(C77="卖",H76-D77*E77+R77+S77,H76))</f>
        <v>16023.96700000001</v>
      </c>
      <c r="I77" s="390">
        <f t="shared" ref="I77:I109" si="29">-H77+K77</f>
        <v>-2381.9670000000096</v>
      </c>
      <c r="J77" s="391">
        <f t="shared" ref="J77:J109" si="30">(E77-G77)/G77</f>
        <v>-0.14865026868814746</v>
      </c>
      <c r="K77" s="390">
        <f t="shared" ref="K77:K109" si="31">F77*E77</f>
        <v>13642</v>
      </c>
      <c r="L77" s="390">
        <f t="shared" ref="L77:L109" si="32">I77-I76</f>
        <v>623.56400000000031</v>
      </c>
      <c r="M77" s="390" t="str">
        <f>Uncovered(0)</f>
        <v>0@0</v>
      </c>
      <c r="N77" s="390"/>
      <c r="O77" s="143" t="str">
        <f>Covered(0)</f>
        <v>0@0</v>
      </c>
      <c r="P77" s="32" t="str">
        <f>Covered(1)</f>
        <v>0@0</v>
      </c>
      <c r="Q77" s="31">
        <f t="shared" ref="Q77:Q109" si="33">(H77-H76)*-1</f>
        <v>1429.5640000000003</v>
      </c>
      <c r="R77" s="393">
        <f t="shared" ref="R77:R109" si="34">commission($B$2,C77,D77,E77)</f>
        <v>6.4359999999999999</v>
      </c>
      <c r="S77" s="393"/>
      <c r="T77" s="393"/>
      <c r="U77" s="393"/>
      <c r="V77" s="31"/>
      <c r="W77" s="32"/>
      <c r="X77" s="32"/>
      <c r="Y77" s="32"/>
      <c r="Z77" s="394" t="e">
        <f t="shared" si="22"/>
        <v>#DIV/0!</v>
      </c>
      <c r="AA77" s="31"/>
      <c r="AB77" s="322"/>
      <c r="AC77" s="40">
        <f t="shared" si="23"/>
        <v>-663.16880682451529</v>
      </c>
      <c r="AD77" s="40">
        <f t="shared" si="24"/>
        <v>-4463.1688068245148</v>
      </c>
    </row>
    <row r="78" spans="1:33" x14ac:dyDescent="0.25">
      <c r="A78" s="369"/>
      <c r="B78" s="400"/>
      <c r="C78" s="306" t="s">
        <v>634</v>
      </c>
      <c r="D78" s="16">
        <v>400</v>
      </c>
      <c r="E78" s="15">
        <f t="shared" si="25"/>
        <v>3.7399999999999998</v>
      </c>
      <c r="F78" s="102">
        <f t="shared" si="26"/>
        <v>3400</v>
      </c>
      <c r="G78" s="32">
        <f t="shared" si="27"/>
        <v>4.2748420588235323</v>
      </c>
      <c r="H78" s="390">
        <f t="shared" si="28"/>
        <v>14534.463000000009</v>
      </c>
      <c r="I78" s="390">
        <f t="shared" si="29"/>
        <v>-1818.4630000000088</v>
      </c>
      <c r="J78" s="391">
        <f t="shared" si="30"/>
        <v>-0.12511387589620679</v>
      </c>
      <c r="K78" s="390">
        <f t="shared" si="31"/>
        <v>12716</v>
      </c>
      <c r="L78" s="390">
        <f t="shared" si="32"/>
        <v>563.50400000000081</v>
      </c>
      <c r="M78" s="390"/>
      <c r="N78" s="390"/>
      <c r="O78" s="143"/>
      <c r="P78" s="32"/>
      <c r="Q78" s="31">
        <f t="shared" si="33"/>
        <v>1489.5040000000008</v>
      </c>
      <c r="R78" s="393">
        <f t="shared" si="34"/>
        <v>6.4960000000000004</v>
      </c>
      <c r="S78" s="393"/>
      <c r="T78" s="393"/>
      <c r="U78" s="393"/>
      <c r="V78" s="31"/>
      <c r="W78" s="32"/>
      <c r="X78" s="32"/>
      <c r="Y78" s="32"/>
      <c r="Z78" s="394" t="e">
        <f t="shared" si="22"/>
        <v>#DIV/0!</v>
      </c>
      <c r="AA78" s="31"/>
      <c r="AB78" s="322"/>
      <c r="AC78" s="40">
        <f t="shared" si="23"/>
        <v>-485.97694344920029</v>
      </c>
      <c r="AD78" s="40">
        <f t="shared" si="24"/>
        <v>-3885.9769434492005</v>
      </c>
    </row>
    <row r="79" spans="1:33" x14ac:dyDescent="0.25">
      <c r="A79" s="369"/>
      <c r="B79" s="400"/>
      <c r="C79" s="306" t="s">
        <v>634</v>
      </c>
      <c r="D79" s="16">
        <v>400</v>
      </c>
      <c r="E79" s="15">
        <f t="shared" si="25"/>
        <v>3.8899999999999997</v>
      </c>
      <c r="F79" s="102">
        <f t="shared" si="26"/>
        <v>3000</v>
      </c>
      <c r="G79" s="32">
        <f t="shared" si="27"/>
        <v>4.32833966666667</v>
      </c>
      <c r="H79" s="390">
        <f t="shared" si="28"/>
        <v>12985.019000000009</v>
      </c>
      <c r="I79" s="390">
        <f t="shared" si="29"/>
        <v>-1315.0190000000111</v>
      </c>
      <c r="J79" s="391">
        <f t="shared" si="30"/>
        <v>-0.10127201200090735</v>
      </c>
      <c r="K79" s="390">
        <f t="shared" si="31"/>
        <v>11669.999999999998</v>
      </c>
      <c r="L79" s="390">
        <f t="shared" si="32"/>
        <v>503.44399999999769</v>
      </c>
      <c r="M79" s="390"/>
      <c r="N79" s="390"/>
      <c r="O79" s="143"/>
      <c r="P79" s="32"/>
      <c r="Q79" s="31">
        <f t="shared" si="33"/>
        <v>1549.4439999999995</v>
      </c>
      <c r="R79" s="393">
        <f t="shared" si="34"/>
        <v>6.556</v>
      </c>
      <c r="S79" s="393"/>
      <c r="T79" s="393"/>
      <c r="U79" s="393"/>
      <c r="V79" s="31"/>
      <c r="W79" s="32"/>
      <c r="X79" s="32"/>
      <c r="Y79" s="32"/>
      <c r="Z79" s="394" t="e">
        <f t="shared" si="22"/>
        <v>#DIV/0!</v>
      </c>
      <c r="AA79" s="31"/>
      <c r="AB79" s="322"/>
      <c r="AC79" s="40">
        <f t="shared" si="23"/>
        <v>-337.88213123393609</v>
      </c>
      <c r="AD79" s="40">
        <f t="shared" si="24"/>
        <v>-3337.882131233936</v>
      </c>
    </row>
    <row r="80" spans="1:33" x14ac:dyDescent="0.25">
      <c r="A80" s="369"/>
      <c r="B80" s="400"/>
      <c r="C80" s="306" t="s">
        <v>634</v>
      </c>
      <c r="D80" s="16">
        <v>400</v>
      </c>
      <c r="E80" s="15">
        <f t="shared" si="25"/>
        <v>4.04</v>
      </c>
      <c r="F80" s="102">
        <f t="shared" si="26"/>
        <v>2600</v>
      </c>
      <c r="G80" s="32">
        <f t="shared" si="27"/>
        <v>4.3752442307692343</v>
      </c>
      <c r="H80" s="390">
        <f t="shared" si="28"/>
        <v>11375.635000000009</v>
      </c>
      <c r="I80" s="390">
        <f t="shared" si="29"/>
        <v>-871.63500000000931</v>
      </c>
      <c r="J80" s="391">
        <f t="shared" si="30"/>
        <v>-7.6622975332806334E-2</v>
      </c>
      <c r="K80" s="390">
        <f t="shared" si="31"/>
        <v>10504</v>
      </c>
      <c r="L80" s="390">
        <f t="shared" si="32"/>
        <v>443.38400000000183</v>
      </c>
      <c r="M80" s="390"/>
      <c r="N80" s="390"/>
      <c r="O80" s="143"/>
      <c r="P80" s="32"/>
      <c r="Q80" s="31">
        <f t="shared" si="33"/>
        <v>1609.384</v>
      </c>
      <c r="R80" s="393">
        <f t="shared" si="34"/>
        <v>6.6159999999999997</v>
      </c>
      <c r="S80" s="393"/>
      <c r="T80" s="393"/>
      <c r="U80" s="393"/>
      <c r="V80" s="31"/>
      <c r="W80" s="32"/>
      <c r="X80" s="32"/>
      <c r="Y80" s="32"/>
      <c r="Z80" s="394" t="e">
        <f t="shared" si="22"/>
        <v>#DIV/0!</v>
      </c>
      <c r="AA80" s="31"/>
      <c r="AB80" s="322"/>
      <c r="AC80" s="40">
        <f t="shared" si="23"/>
        <v>-215.64336200495279</v>
      </c>
      <c r="AD80" s="40">
        <f t="shared" si="24"/>
        <v>-2815.6433620049529</v>
      </c>
    </row>
    <row r="81" spans="1:30" x14ac:dyDescent="0.25">
      <c r="A81" s="369"/>
      <c r="B81" s="400"/>
      <c r="C81" s="306" t="s">
        <v>634</v>
      </c>
      <c r="D81" s="16">
        <v>400</v>
      </c>
      <c r="E81" s="15">
        <f t="shared" si="25"/>
        <v>4.1900000000000004</v>
      </c>
      <c r="F81" s="102">
        <f t="shared" si="26"/>
        <v>2200</v>
      </c>
      <c r="G81" s="32">
        <f t="shared" si="27"/>
        <v>4.4119595454545495</v>
      </c>
      <c r="H81" s="390">
        <f t="shared" si="28"/>
        <v>9706.3110000000088</v>
      </c>
      <c r="I81" s="390">
        <f t="shared" si="29"/>
        <v>-488.31100000000879</v>
      </c>
      <c r="J81" s="391">
        <f t="shared" si="30"/>
        <v>-5.0308608491939688E-2</v>
      </c>
      <c r="K81" s="390">
        <f t="shared" si="31"/>
        <v>9218</v>
      </c>
      <c r="L81" s="390">
        <f t="shared" si="32"/>
        <v>383.32400000000052</v>
      </c>
      <c r="M81" s="390"/>
      <c r="N81" s="390"/>
      <c r="O81" s="143"/>
      <c r="P81" s="32"/>
      <c r="Q81" s="31">
        <f t="shared" si="33"/>
        <v>1669.3240000000005</v>
      </c>
      <c r="R81" s="393">
        <f t="shared" si="34"/>
        <v>6.6760000000000002</v>
      </c>
      <c r="S81" s="393"/>
      <c r="T81" s="393"/>
      <c r="U81" s="393"/>
      <c r="V81" s="31"/>
      <c r="W81" s="32"/>
      <c r="X81" s="32"/>
      <c r="Y81" s="32"/>
      <c r="Z81" s="394" t="e">
        <f t="shared" si="22"/>
        <v>#DIV/0!</v>
      </c>
      <c r="AA81" s="31"/>
      <c r="AB81" s="322"/>
      <c r="AC81" s="40">
        <f t="shared" si="23"/>
        <v>-116.48373377088514</v>
      </c>
      <c r="AD81" s="40">
        <f t="shared" si="24"/>
        <v>-2316.483733770885</v>
      </c>
    </row>
    <row r="82" spans="1:30" x14ac:dyDescent="0.25">
      <c r="A82" s="369"/>
      <c r="B82" s="400"/>
      <c r="C82" s="306" t="s">
        <v>634</v>
      </c>
      <c r="D82" s="16">
        <v>400</v>
      </c>
      <c r="E82" s="15">
        <f t="shared" si="25"/>
        <v>4.3400000000000007</v>
      </c>
      <c r="F82" s="102">
        <f t="shared" si="26"/>
        <v>1800</v>
      </c>
      <c r="G82" s="32">
        <f t="shared" si="27"/>
        <v>4.4316927777777826</v>
      </c>
      <c r="H82" s="390">
        <f t="shared" si="28"/>
        <v>7977.0470000000087</v>
      </c>
      <c r="I82" s="390">
        <f t="shared" si="29"/>
        <v>-165.04700000000776</v>
      </c>
      <c r="J82" s="391">
        <f t="shared" si="30"/>
        <v>-2.0690237878754774E-2</v>
      </c>
      <c r="K82" s="390">
        <f t="shared" si="31"/>
        <v>7812.0000000000009</v>
      </c>
      <c r="L82" s="390">
        <f t="shared" si="32"/>
        <v>323.26400000000103</v>
      </c>
      <c r="M82" s="390"/>
      <c r="N82" s="390"/>
      <c r="O82" s="143"/>
      <c r="P82" s="32"/>
      <c r="Q82" s="31">
        <f t="shared" si="33"/>
        <v>1729.2640000000001</v>
      </c>
      <c r="R82" s="393">
        <f t="shared" si="34"/>
        <v>6.7360000000000007</v>
      </c>
      <c r="S82" s="393"/>
      <c r="T82" s="393"/>
      <c r="U82" s="393"/>
      <c r="V82" s="31"/>
      <c r="W82" s="32"/>
      <c r="X82" s="32"/>
      <c r="Y82" s="32"/>
      <c r="Z82" s="394" t="e">
        <f t="shared" si="22"/>
        <v>#DIV/0!</v>
      </c>
      <c r="AA82" s="31"/>
      <c r="AB82" s="322"/>
      <c r="AC82" s="40">
        <f t="shared" si="23"/>
        <v>-38.010248041476437</v>
      </c>
      <c r="AD82" s="40">
        <f t="shared" si="24"/>
        <v>-1838.0102480414764</v>
      </c>
    </row>
    <row r="83" spans="1:30" x14ac:dyDescent="0.25">
      <c r="A83" s="369"/>
      <c r="B83" s="400"/>
      <c r="C83" s="306" t="s">
        <v>634</v>
      </c>
      <c r="D83" s="16">
        <v>400</v>
      </c>
      <c r="E83" s="15">
        <f t="shared" si="25"/>
        <v>4.4900000000000011</v>
      </c>
      <c r="F83" s="102">
        <f t="shared" si="26"/>
        <v>1400</v>
      </c>
      <c r="G83" s="32">
        <f t="shared" si="27"/>
        <v>4.4198878571428626</v>
      </c>
      <c r="H83" s="390">
        <f t="shared" si="28"/>
        <v>6187.843000000008</v>
      </c>
      <c r="I83" s="390">
        <f t="shared" si="29"/>
        <v>98.156999999993786</v>
      </c>
      <c r="J83" s="391">
        <f t="shared" si="30"/>
        <v>1.5862878227517051E-2</v>
      </c>
      <c r="K83" s="390">
        <f t="shared" si="31"/>
        <v>6286.0000000000018</v>
      </c>
      <c r="L83" s="390">
        <f t="shared" si="32"/>
        <v>263.20400000000154</v>
      </c>
      <c r="M83" s="390"/>
      <c r="N83" s="390"/>
      <c r="O83" s="143"/>
      <c r="P83" s="32"/>
      <c r="Q83" s="31">
        <f t="shared" si="33"/>
        <v>1789.2040000000006</v>
      </c>
      <c r="R83" s="393">
        <f t="shared" si="34"/>
        <v>6.7960000000000003</v>
      </c>
      <c r="S83" s="393"/>
      <c r="T83" s="393"/>
      <c r="U83" s="393"/>
      <c r="V83" s="31"/>
      <c r="W83" s="32"/>
      <c r="X83" s="32"/>
      <c r="Y83" s="32"/>
      <c r="Z83" s="394" t="e">
        <f t="shared" si="22"/>
        <v>#DIV/0!</v>
      </c>
      <c r="AA83" s="31"/>
      <c r="AB83" s="322"/>
      <c r="AC83" s="40">
        <f t="shared" si="23"/>
        <v>21.850316592426232</v>
      </c>
      <c r="AD83" s="40">
        <f t="shared" si="24"/>
        <v>-1378.1496834075738</v>
      </c>
    </row>
    <row r="84" spans="1:30" x14ac:dyDescent="0.25">
      <c r="A84" s="369"/>
      <c r="B84" s="400"/>
      <c r="C84" s="306" t="s">
        <v>634</v>
      </c>
      <c r="D84" s="16">
        <v>400</v>
      </c>
      <c r="E84" s="15">
        <f t="shared" si="25"/>
        <v>4.6400000000000015</v>
      </c>
      <c r="F84" s="102">
        <f t="shared" si="26"/>
        <v>1000</v>
      </c>
      <c r="G84" s="32">
        <f t="shared" si="27"/>
        <v>4.3386990000000072</v>
      </c>
      <c r="H84" s="390">
        <f t="shared" si="28"/>
        <v>4338.6990000000069</v>
      </c>
      <c r="I84" s="390">
        <f t="shared" si="29"/>
        <v>301.30099999999493</v>
      </c>
      <c r="J84" s="391">
        <f t="shared" si="30"/>
        <v>6.9445011050546207E-2</v>
      </c>
      <c r="K84" s="390">
        <f t="shared" si="31"/>
        <v>4640.0000000000018</v>
      </c>
      <c r="L84" s="390">
        <f t="shared" si="32"/>
        <v>203.14400000000114</v>
      </c>
      <c r="M84" s="390"/>
      <c r="N84" s="390"/>
      <c r="O84" s="143"/>
      <c r="P84" s="32"/>
      <c r="Q84" s="31">
        <f t="shared" si="33"/>
        <v>1849.1440000000011</v>
      </c>
      <c r="R84" s="393">
        <f t="shared" si="34"/>
        <v>6.8560000000000008</v>
      </c>
      <c r="S84" s="393"/>
      <c r="T84" s="393"/>
      <c r="U84" s="393"/>
      <c r="V84" s="31"/>
      <c r="W84" s="32"/>
      <c r="X84" s="32"/>
      <c r="Y84" s="32"/>
      <c r="Z84" s="394" t="e">
        <f t="shared" si="22"/>
        <v>#DIV/0!</v>
      </c>
      <c r="AA84" s="31"/>
      <c r="AB84" s="322"/>
      <c r="AC84" s="40">
        <f t="shared" si="23"/>
        <v>64.90309256465406</v>
      </c>
      <c r="AD84" s="40">
        <f t="shared" si="24"/>
        <v>-935.09690743534588</v>
      </c>
    </row>
    <row r="85" spans="1:30" x14ac:dyDescent="0.25">
      <c r="A85" s="369"/>
      <c r="B85" s="400"/>
      <c r="C85" s="306" t="s">
        <v>634</v>
      </c>
      <c r="D85" s="16">
        <v>400</v>
      </c>
      <c r="E85" s="15">
        <f t="shared" si="25"/>
        <v>4.7900000000000018</v>
      </c>
      <c r="F85" s="102">
        <f t="shared" si="26"/>
        <v>600</v>
      </c>
      <c r="G85" s="32">
        <f t="shared" si="27"/>
        <v>4.0493583333333438</v>
      </c>
      <c r="H85" s="390">
        <f t="shared" si="28"/>
        <v>2429.6150000000061</v>
      </c>
      <c r="I85" s="390">
        <f t="shared" si="29"/>
        <v>444.38499999999476</v>
      </c>
      <c r="J85" s="391">
        <f t="shared" si="30"/>
        <v>0.18290346412908778</v>
      </c>
      <c r="K85" s="390">
        <f t="shared" si="31"/>
        <v>2874.0000000000009</v>
      </c>
      <c r="L85" s="390">
        <f t="shared" si="32"/>
        <v>143.08399999999983</v>
      </c>
      <c r="M85" s="390"/>
      <c r="N85" s="390"/>
      <c r="O85" s="143"/>
      <c r="P85" s="32"/>
      <c r="Q85" s="31">
        <f t="shared" si="33"/>
        <v>1909.0840000000007</v>
      </c>
      <c r="R85" s="393">
        <f t="shared" si="34"/>
        <v>6.9160000000000004</v>
      </c>
      <c r="S85" s="393"/>
      <c r="T85" s="393"/>
      <c r="U85" s="393"/>
      <c r="V85" s="31"/>
      <c r="W85" s="32"/>
      <c r="X85" s="32"/>
      <c r="Y85" s="32"/>
      <c r="Z85" s="394" t="e">
        <f t="shared" si="22"/>
        <v>#DIV/0!</v>
      </c>
      <c r="AA85" s="31"/>
      <c r="AB85" s="322"/>
      <c r="AC85" s="40">
        <f t="shared" si="23"/>
        <v>92.727099686846472</v>
      </c>
      <c r="AD85" s="40">
        <f t="shared" si="24"/>
        <v>-507.27290031315351</v>
      </c>
    </row>
    <row r="86" spans="1:30" x14ac:dyDescent="0.25">
      <c r="A86" s="369"/>
      <c r="B86" s="400"/>
      <c r="C86" s="306" t="s">
        <v>634</v>
      </c>
      <c r="D86" s="16">
        <v>400</v>
      </c>
      <c r="E86" s="15">
        <f t="shared" si="25"/>
        <v>4.9400000000000022</v>
      </c>
      <c r="F86" s="102">
        <f t="shared" si="26"/>
        <v>200</v>
      </c>
      <c r="G86" s="32">
        <f t="shared" si="27"/>
        <v>2.3029550000000261</v>
      </c>
      <c r="H86" s="390">
        <f t="shared" si="28"/>
        <v>460.59100000000524</v>
      </c>
      <c r="I86" s="390">
        <f t="shared" si="29"/>
        <v>527.40899999999522</v>
      </c>
      <c r="J86" s="391">
        <f t="shared" si="30"/>
        <v>1.1450701381485726</v>
      </c>
      <c r="K86" s="390">
        <f t="shared" si="31"/>
        <v>988.00000000000045</v>
      </c>
      <c r="L86" s="390">
        <f t="shared" si="32"/>
        <v>83.024000000000456</v>
      </c>
      <c r="M86" s="390"/>
      <c r="N86" s="390"/>
      <c r="O86" s="143"/>
      <c r="P86" s="32"/>
      <c r="Q86" s="31">
        <f t="shared" si="33"/>
        <v>1969.0240000000008</v>
      </c>
      <c r="R86" s="393">
        <f t="shared" si="34"/>
        <v>6.9760000000000009</v>
      </c>
      <c r="S86" s="393"/>
      <c r="T86" s="393"/>
      <c r="U86" s="393"/>
      <c r="V86" s="31"/>
      <c r="W86" s="32"/>
      <c r="X86" s="32"/>
      <c r="Y86" s="32"/>
      <c r="Z86" s="394" t="e">
        <f t="shared" si="22"/>
        <v>#DIV/0!</v>
      </c>
      <c r="AA86" s="31"/>
      <c r="AB86" s="322"/>
      <c r="AC86" s="40">
        <f t="shared" si="23"/>
        <v>106.70957398785325</v>
      </c>
      <c r="AD86" s="40">
        <f t="shared" si="24"/>
        <v>-93.290426012146753</v>
      </c>
    </row>
    <row r="87" spans="1:30" x14ac:dyDescent="0.25">
      <c r="A87" s="369"/>
      <c r="B87" s="400"/>
      <c r="C87" s="306" t="s">
        <v>634</v>
      </c>
      <c r="D87" s="16">
        <v>400</v>
      </c>
      <c r="E87" s="15">
        <f t="shared" si="25"/>
        <v>5.0900000000000025</v>
      </c>
      <c r="F87" s="102">
        <f t="shared" si="26"/>
        <v>-200</v>
      </c>
      <c r="G87" s="32">
        <f t="shared" si="27"/>
        <v>7.8418649999999772</v>
      </c>
      <c r="H87" s="390">
        <f t="shared" si="28"/>
        <v>-1568.3729999999955</v>
      </c>
      <c r="I87" s="390">
        <f t="shared" si="29"/>
        <v>550.37299999999505</v>
      </c>
      <c r="J87" s="391">
        <f t="shared" si="30"/>
        <v>-0.35091971106362868</v>
      </c>
      <c r="K87" s="390">
        <f t="shared" si="31"/>
        <v>-1018.0000000000005</v>
      </c>
      <c r="L87" s="390">
        <f t="shared" si="32"/>
        <v>22.963999999999828</v>
      </c>
      <c r="M87" s="390"/>
      <c r="N87" s="390"/>
      <c r="O87" s="143"/>
      <c r="P87" s="32"/>
      <c r="Q87" s="31">
        <f t="shared" si="33"/>
        <v>2028.9640000000009</v>
      </c>
      <c r="R87" s="393">
        <f t="shared" si="34"/>
        <v>7.0360000000000014</v>
      </c>
      <c r="S87" s="393"/>
      <c r="T87" s="393"/>
      <c r="U87" s="393"/>
      <c r="V87" s="31"/>
      <c r="W87" s="32"/>
      <c r="X87" s="32"/>
      <c r="Y87" s="32"/>
      <c r="Z87" s="394" t="e">
        <f t="shared" si="22"/>
        <v>#DIV/0!</v>
      </c>
      <c r="AA87" s="31"/>
      <c r="AB87" s="322"/>
      <c r="AC87" s="40">
        <f t="shared" si="23"/>
        <v>108.07422662082413</v>
      </c>
      <c r="AD87" s="40">
        <f t="shared" si="24"/>
        <v>308.07422662082411</v>
      </c>
    </row>
    <row r="88" spans="1:30" x14ac:dyDescent="0.25">
      <c r="A88" s="369"/>
      <c r="B88" s="400"/>
      <c r="C88" s="306" t="s">
        <v>634</v>
      </c>
      <c r="D88" s="16">
        <v>400</v>
      </c>
      <c r="E88" s="15">
        <f t="shared" si="25"/>
        <v>5.2400000000000029</v>
      </c>
      <c r="F88" s="102">
        <f t="shared" si="26"/>
        <v>-600</v>
      </c>
      <c r="G88" s="32">
        <f t="shared" si="27"/>
        <v>6.0954616666666617</v>
      </c>
      <c r="H88" s="390">
        <f t="shared" si="28"/>
        <v>-3657.2769999999969</v>
      </c>
      <c r="I88" s="390">
        <f t="shared" si="29"/>
        <v>513.27699999999504</v>
      </c>
      <c r="J88" s="391">
        <f t="shared" si="30"/>
        <v>-0.1403440319122658</v>
      </c>
      <c r="K88" s="390">
        <f t="shared" si="31"/>
        <v>-3144.0000000000018</v>
      </c>
      <c r="L88" s="390">
        <f t="shared" si="32"/>
        <v>-37.096000000000004</v>
      </c>
      <c r="M88" s="390"/>
      <c r="N88" s="390"/>
      <c r="O88" s="143"/>
      <c r="P88" s="32"/>
      <c r="Q88" s="31">
        <f t="shared" si="33"/>
        <v>2088.9040000000014</v>
      </c>
      <c r="R88" s="393">
        <f t="shared" si="34"/>
        <v>7.096000000000001</v>
      </c>
      <c r="S88" s="393"/>
      <c r="T88" s="393"/>
      <c r="U88" s="393"/>
      <c r="V88" s="31"/>
      <c r="W88" s="32"/>
      <c r="X88" s="32"/>
      <c r="Y88" s="32"/>
      <c r="Z88" s="394" t="e">
        <f t="shared" si="22"/>
        <v>#DIV/0!</v>
      </c>
      <c r="AA88" s="31"/>
      <c r="AB88" s="322"/>
      <c r="AC88" s="40">
        <f t="shared" si="23"/>
        <v>97.904649141220389</v>
      </c>
      <c r="AD88" s="40">
        <f t="shared" si="24"/>
        <v>697.90464914122037</v>
      </c>
    </row>
    <row r="89" spans="1:30" x14ac:dyDescent="0.25">
      <c r="A89" s="369"/>
      <c r="B89" s="400"/>
      <c r="C89" s="306" t="s">
        <v>634</v>
      </c>
      <c r="D89" s="16">
        <v>400</v>
      </c>
      <c r="E89" s="15">
        <f t="shared" si="25"/>
        <v>5.3900000000000032</v>
      </c>
      <c r="F89" s="102">
        <f t="shared" si="26"/>
        <v>-1000</v>
      </c>
      <c r="G89" s="32">
        <f t="shared" si="27"/>
        <v>5.8061209999999983</v>
      </c>
      <c r="H89" s="390">
        <f t="shared" si="28"/>
        <v>-5806.1209999999983</v>
      </c>
      <c r="I89" s="390">
        <f t="shared" si="29"/>
        <v>416.12099999999464</v>
      </c>
      <c r="J89" s="391">
        <f t="shared" si="30"/>
        <v>-7.1669364107292147E-2</v>
      </c>
      <c r="K89" s="390">
        <f t="shared" si="31"/>
        <v>-5390.0000000000036</v>
      </c>
      <c r="L89" s="390">
        <f t="shared" si="32"/>
        <v>-97.156000000000404</v>
      </c>
      <c r="M89" s="390"/>
      <c r="N89" s="390"/>
      <c r="O89" s="143"/>
      <c r="P89" s="32"/>
      <c r="Q89" s="31">
        <f t="shared" si="33"/>
        <v>2148.8440000000014</v>
      </c>
      <c r="R89" s="393">
        <f t="shared" si="34"/>
        <v>7.1560000000000015</v>
      </c>
      <c r="S89" s="393"/>
      <c r="T89" s="393"/>
      <c r="U89" s="393"/>
      <c r="V89" s="31"/>
      <c r="W89" s="32"/>
      <c r="X89" s="32"/>
      <c r="Y89" s="32"/>
      <c r="Z89" s="394" t="e">
        <f t="shared" si="22"/>
        <v>#DIV/0!</v>
      </c>
      <c r="AA89" s="31"/>
      <c r="AB89" s="322"/>
      <c r="AC89" s="40">
        <f t="shared" si="23"/>
        <v>77.163810667902496</v>
      </c>
      <c r="AD89" s="40">
        <f t="shared" si="24"/>
        <v>1077.1638106679025</v>
      </c>
    </row>
    <row r="90" spans="1:30" x14ac:dyDescent="0.25">
      <c r="A90" s="369"/>
      <c r="B90" s="400"/>
      <c r="C90" s="306" t="s">
        <v>634</v>
      </c>
      <c r="D90" s="16">
        <v>400</v>
      </c>
      <c r="E90" s="15">
        <f t="shared" si="25"/>
        <v>5.5400000000000036</v>
      </c>
      <c r="F90" s="102">
        <f t="shared" si="26"/>
        <v>-1400</v>
      </c>
      <c r="G90" s="32">
        <f t="shared" si="27"/>
        <v>5.724932142857142</v>
      </c>
      <c r="H90" s="390">
        <f t="shared" si="28"/>
        <v>-8014.9049999999988</v>
      </c>
      <c r="I90" s="390">
        <f t="shared" si="29"/>
        <v>258.90499999999338</v>
      </c>
      <c r="J90" s="391">
        <f t="shared" si="30"/>
        <v>-3.2302940583823991E-2</v>
      </c>
      <c r="K90" s="390">
        <f t="shared" si="31"/>
        <v>-7756.0000000000055</v>
      </c>
      <c r="L90" s="390">
        <f t="shared" si="32"/>
        <v>-157.21600000000126</v>
      </c>
      <c r="M90" s="390"/>
      <c r="N90" s="390"/>
      <c r="O90" s="143"/>
      <c r="P90" s="32"/>
      <c r="Q90" s="31">
        <f t="shared" si="33"/>
        <v>2208.7840000000006</v>
      </c>
      <c r="R90" s="393">
        <f t="shared" si="34"/>
        <v>7.2160000000000011</v>
      </c>
      <c r="S90" s="393"/>
      <c r="T90" s="393"/>
      <c r="U90" s="393"/>
      <c r="V90" s="31"/>
      <c r="W90" s="32"/>
      <c r="X90" s="32"/>
      <c r="Y90" s="32"/>
      <c r="Z90" s="394" t="e">
        <f t="shared" si="22"/>
        <v>#DIV/0!</v>
      </c>
      <c r="AA90" s="31"/>
      <c r="AB90" s="322"/>
      <c r="AC90" s="40">
        <f t="shared" si="23"/>
        <v>46.710387635377842</v>
      </c>
      <c r="AD90" s="40">
        <f t="shared" si="24"/>
        <v>1446.7103876353779</v>
      </c>
    </row>
    <row r="91" spans="1:30" x14ac:dyDescent="0.25">
      <c r="A91" s="369"/>
      <c r="B91" s="400"/>
      <c r="C91" s="306" t="s">
        <v>634</v>
      </c>
      <c r="D91" s="16">
        <v>400</v>
      </c>
      <c r="E91" s="15">
        <f t="shared" si="25"/>
        <v>5.6900000000000039</v>
      </c>
      <c r="F91" s="102">
        <f t="shared" si="26"/>
        <v>-1800</v>
      </c>
      <c r="G91" s="32">
        <f t="shared" si="27"/>
        <v>5.7131272222222229</v>
      </c>
      <c r="H91" s="390">
        <f t="shared" si="28"/>
        <v>-10283.629000000001</v>
      </c>
      <c r="I91" s="390">
        <f t="shared" si="29"/>
        <v>41.628999999993539</v>
      </c>
      <c r="J91" s="391">
        <f t="shared" si="30"/>
        <v>-4.0480845818138848E-3</v>
      </c>
      <c r="K91" s="390">
        <f t="shared" si="31"/>
        <v>-10242.000000000007</v>
      </c>
      <c r="L91" s="390">
        <f t="shared" si="32"/>
        <v>-217.27599999999984</v>
      </c>
      <c r="M91" s="390"/>
      <c r="N91" s="390"/>
      <c r="O91" s="143"/>
      <c r="P91" s="32"/>
      <c r="Q91" s="31">
        <f t="shared" si="33"/>
        <v>2268.724000000002</v>
      </c>
      <c r="R91" s="393">
        <f t="shared" si="34"/>
        <v>7.2760000000000016</v>
      </c>
      <c r="S91" s="393"/>
      <c r="T91" s="393"/>
      <c r="U91" s="393"/>
      <c r="V91" s="31"/>
      <c r="W91" s="32"/>
      <c r="X91" s="32"/>
      <c r="Y91" s="32"/>
      <c r="Z91" s="394" t="e">
        <f t="shared" si="22"/>
        <v>#DIV/0!</v>
      </c>
      <c r="AA91" s="31"/>
      <c r="AB91" s="322"/>
      <c r="AC91" s="40">
        <f t="shared" si="23"/>
        <v>7.3125106326877889</v>
      </c>
      <c r="AD91" s="40">
        <f t="shared" si="24"/>
        <v>1807.3125106326877</v>
      </c>
    </row>
    <row r="92" spans="1:30" x14ac:dyDescent="0.25">
      <c r="A92" s="369"/>
      <c r="B92" s="400"/>
      <c r="C92" s="306" t="s">
        <v>634</v>
      </c>
      <c r="D92" s="16">
        <v>400</v>
      </c>
      <c r="E92" s="15">
        <f t="shared" si="25"/>
        <v>5.8400000000000043</v>
      </c>
      <c r="F92" s="102">
        <f t="shared" si="26"/>
        <v>-2200</v>
      </c>
      <c r="G92" s="32">
        <f t="shared" si="27"/>
        <v>5.732860454545456</v>
      </c>
      <c r="H92" s="390">
        <f t="shared" si="28"/>
        <v>-12612.293000000003</v>
      </c>
      <c r="I92" s="390">
        <f t="shared" si="29"/>
        <v>-235.70700000000579</v>
      </c>
      <c r="J92" s="391">
        <f t="shared" si="30"/>
        <v>1.8688671441426725E-2</v>
      </c>
      <c r="K92" s="390">
        <f t="shared" si="31"/>
        <v>-12848.000000000009</v>
      </c>
      <c r="L92" s="390">
        <f t="shared" si="32"/>
        <v>-277.33599999999933</v>
      </c>
      <c r="M92" s="390"/>
      <c r="N92" s="390"/>
      <c r="O92" s="143"/>
      <c r="P92" s="32"/>
      <c r="Q92" s="31">
        <f t="shared" si="33"/>
        <v>2328.6640000000025</v>
      </c>
      <c r="R92" s="393">
        <f t="shared" si="34"/>
        <v>7.3360000000000021</v>
      </c>
      <c r="S92" s="393"/>
      <c r="T92" s="393"/>
      <c r="U92" s="393"/>
      <c r="V92" s="31"/>
      <c r="W92" s="32"/>
      <c r="X92" s="32"/>
      <c r="Y92" s="32"/>
      <c r="Z92" s="394" t="e">
        <f t="shared" si="22"/>
        <v>#DIV/0!</v>
      </c>
      <c r="AA92" s="31"/>
      <c r="AB92" s="322"/>
      <c r="AC92" s="40">
        <f t="shared" si="23"/>
        <v>-40.34060727739822</v>
      </c>
      <c r="AD92" s="40">
        <f t="shared" si="24"/>
        <v>2159.6593927226018</v>
      </c>
    </row>
    <row r="93" spans="1:30" x14ac:dyDescent="0.25">
      <c r="A93" s="369"/>
      <c r="B93" s="400"/>
      <c r="C93" s="306" t="s">
        <v>634</v>
      </c>
      <c r="D93" s="16">
        <v>400</v>
      </c>
      <c r="E93" s="15">
        <f t="shared" si="25"/>
        <v>5.9900000000000047</v>
      </c>
      <c r="F93" s="102">
        <f t="shared" si="26"/>
        <v>-2600</v>
      </c>
      <c r="G93" s="32">
        <f t="shared" si="27"/>
        <v>5.7695757692307712</v>
      </c>
      <c r="H93" s="390">
        <f t="shared" si="28"/>
        <v>-15000.897000000004</v>
      </c>
      <c r="I93" s="390">
        <f t="shared" si="29"/>
        <v>-573.10300000000825</v>
      </c>
      <c r="J93" s="391">
        <f t="shared" si="30"/>
        <v>3.8204582032661569E-2</v>
      </c>
      <c r="K93" s="390">
        <f t="shared" si="31"/>
        <v>-15574.000000000013</v>
      </c>
      <c r="L93" s="390">
        <f t="shared" si="32"/>
        <v>-337.39600000000246</v>
      </c>
      <c r="M93" s="390"/>
      <c r="N93" s="390"/>
      <c r="O93" s="143"/>
      <c r="P93" s="32"/>
      <c r="Q93" s="31">
        <f t="shared" si="33"/>
        <v>2388.6040000000012</v>
      </c>
      <c r="R93" s="393">
        <f t="shared" si="34"/>
        <v>7.3960000000000017</v>
      </c>
      <c r="S93" s="393"/>
      <c r="T93" s="393"/>
      <c r="U93" s="393"/>
      <c r="V93" s="31"/>
      <c r="W93" s="32"/>
      <c r="X93" s="32"/>
      <c r="Y93" s="32"/>
      <c r="Z93" s="394" t="e">
        <f t="shared" si="22"/>
        <v>#DIV/0!</v>
      </c>
      <c r="AA93" s="31"/>
      <c r="AB93" s="322"/>
      <c r="AC93" s="40">
        <f t="shared" si="23"/>
        <v>-95.628789398999643</v>
      </c>
      <c r="AD93" s="40">
        <f t="shared" si="24"/>
        <v>2504.3712106010003</v>
      </c>
    </row>
    <row r="94" spans="1:30" x14ac:dyDescent="0.25">
      <c r="A94" s="369"/>
      <c r="B94" s="400"/>
      <c r="C94" s="306" t="s">
        <v>634</v>
      </c>
      <c r="D94" s="16">
        <v>400</v>
      </c>
      <c r="E94" s="15">
        <f t="shared" si="25"/>
        <v>6.140000000000005</v>
      </c>
      <c r="F94" s="102">
        <f t="shared" si="26"/>
        <v>-3000</v>
      </c>
      <c r="G94" s="32">
        <f t="shared" si="27"/>
        <v>5.8164803333333355</v>
      </c>
      <c r="H94" s="390">
        <f t="shared" si="28"/>
        <v>-17449.441000000006</v>
      </c>
      <c r="I94" s="390">
        <f t="shared" si="29"/>
        <v>-970.55900000000838</v>
      </c>
      <c r="J94" s="391">
        <f t="shared" si="30"/>
        <v>5.5621208725254195E-2</v>
      </c>
      <c r="K94" s="390">
        <f t="shared" si="31"/>
        <v>-18420.000000000015</v>
      </c>
      <c r="L94" s="390">
        <f t="shared" si="32"/>
        <v>-397.45600000000013</v>
      </c>
      <c r="M94" s="390"/>
      <c r="N94" s="390"/>
      <c r="O94" s="143"/>
      <c r="P94" s="32"/>
      <c r="Q94" s="31">
        <f t="shared" si="33"/>
        <v>2448.5440000000017</v>
      </c>
      <c r="R94" s="393">
        <f t="shared" si="34"/>
        <v>7.4560000000000022</v>
      </c>
      <c r="S94" s="393"/>
      <c r="T94" s="393"/>
      <c r="U94" s="393"/>
      <c r="V94" s="31"/>
      <c r="W94" s="32"/>
      <c r="X94" s="32"/>
      <c r="Y94" s="32"/>
      <c r="Z94" s="394" t="e">
        <f t="shared" si="22"/>
        <v>#DIV/0!</v>
      </c>
      <c r="AA94" s="31"/>
      <c r="AB94" s="322"/>
      <c r="AC94" s="40">
        <f t="shared" si="23"/>
        <v>-157.99246262215107</v>
      </c>
      <c r="AD94" s="40">
        <f t="shared" si="24"/>
        <v>2842.0075373778491</v>
      </c>
    </row>
    <row r="95" spans="1:30" x14ac:dyDescent="0.25">
      <c r="A95" s="369"/>
      <c r="B95" s="400"/>
      <c r="C95" s="306" t="s">
        <v>634</v>
      </c>
      <c r="D95" s="16">
        <v>400</v>
      </c>
      <c r="E95" s="15">
        <f t="shared" si="25"/>
        <v>6.2900000000000054</v>
      </c>
      <c r="F95" s="102">
        <f t="shared" si="26"/>
        <v>-3400</v>
      </c>
      <c r="G95" s="32">
        <f t="shared" si="27"/>
        <v>5.8699779411764732</v>
      </c>
      <c r="H95" s="390">
        <f t="shared" si="28"/>
        <v>-19957.92500000001</v>
      </c>
      <c r="I95" s="390">
        <f t="shared" si="29"/>
        <v>-1428.075000000008</v>
      </c>
      <c r="J95" s="391">
        <f t="shared" si="30"/>
        <v>7.1554282321434154E-2</v>
      </c>
      <c r="K95" s="390">
        <f t="shared" si="31"/>
        <v>-21386.000000000018</v>
      </c>
      <c r="L95" s="390">
        <f t="shared" si="32"/>
        <v>-457.51599999999962</v>
      </c>
      <c r="M95" s="390"/>
      <c r="N95" s="390"/>
      <c r="O95" s="143"/>
      <c r="P95" s="32"/>
      <c r="Q95" s="31">
        <f t="shared" si="33"/>
        <v>2508.484000000004</v>
      </c>
      <c r="R95" s="393">
        <f t="shared" si="34"/>
        <v>7.5160000000000018</v>
      </c>
      <c r="S95" s="393"/>
      <c r="T95" s="393"/>
      <c r="U95" s="393"/>
      <c r="V95" s="31"/>
      <c r="W95" s="32"/>
      <c r="X95" s="32"/>
      <c r="Y95" s="32"/>
      <c r="Z95" s="394" t="e">
        <f t="shared" si="22"/>
        <v>#DIV/0!</v>
      </c>
      <c r="AA95" s="31"/>
      <c r="AB95" s="322"/>
      <c r="AC95" s="40">
        <f t="shared" si="23"/>
        <v>-226.92543124006468</v>
      </c>
      <c r="AD95" s="40">
        <f t="shared" si="24"/>
        <v>3173.0745687599351</v>
      </c>
    </row>
    <row r="96" spans="1:30" x14ac:dyDescent="0.25">
      <c r="A96" s="369"/>
      <c r="B96" s="400"/>
      <c r="C96" s="306" t="s">
        <v>634</v>
      </c>
      <c r="D96" s="16">
        <v>400</v>
      </c>
      <c r="E96" s="15">
        <f t="shared" si="25"/>
        <v>6.4400000000000057</v>
      </c>
      <c r="F96" s="102">
        <f t="shared" si="26"/>
        <v>-3800</v>
      </c>
      <c r="G96" s="32">
        <f t="shared" si="27"/>
        <v>5.9279865789473716</v>
      </c>
      <c r="H96" s="390">
        <f t="shared" si="28"/>
        <v>-22526.349000000013</v>
      </c>
      <c r="I96" s="390">
        <f t="shared" si="29"/>
        <v>-1945.6510000000089</v>
      </c>
      <c r="J96" s="391">
        <f t="shared" si="30"/>
        <v>8.6372230138137732E-2</v>
      </c>
      <c r="K96" s="390">
        <f t="shared" si="31"/>
        <v>-24472.000000000022</v>
      </c>
      <c r="L96" s="390">
        <f t="shared" si="32"/>
        <v>-517.57600000000093</v>
      </c>
      <c r="M96" s="390"/>
      <c r="N96" s="390"/>
      <c r="O96" s="143"/>
      <c r="P96" s="32"/>
      <c r="Q96" s="31">
        <f t="shared" si="33"/>
        <v>2568.4240000000027</v>
      </c>
      <c r="R96" s="393">
        <f t="shared" si="34"/>
        <v>7.5760000000000023</v>
      </c>
      <c r="S96" s="393"/>
      <c r="T96" s="393"/>
      <c r="U96" s="393"/>
      <c r="V96" s="31"/>
      <c r="W96" s="32"/>
      <c r="X96" s="32"/>
      <c r="Y96" s="32"/>
      <c r="Z96" s="394" t="e">
        <f t="shared" si="22"/>
        <v>#DIV/0!</v>
      </c>
      <c r="AA96" s="31"/>
      <c r="AB96" s="322"/>
      <c r="AC96" s="40">
        <f t="shared" si="23"/>
        <v>-301.96866063664709</v>
      </c>
      <c r="AD96" s="40">
        <f t="shared" si="24"/>
        <v>3498.0313393633528</v>
      </c>
    </row>
    <row r="97" spans="1:30" x14ac:dyDescent="0.25">
      <c r="A97" s="369"/>
      <c r="B97" s="400"/>
      <c r="C97" s="15"/>
      <c r="D97" s="16"/>
      <c r="E97" s="15"/>
      <c r="F97" s="102"/>
      <c r="G97" s="32"/>
      <c r="H97" s="390"/>
      <c r="I97" s="390">
        <f t="shared" si="29"/>
        <v>0</v>
      </c>
      <c r="J97" s="391" t="e">
        <f t="shared" si="30"/>
        <v>#DIV/0!</v>
      </c>
      <c r="K97" s="390">
        <f t="shared" si="31"/>
        <v>0</v>
      </c>
      <c r="L97" s="390">
        <f t="shared" si="32"/>
        <v>1945.6510000000089</v>
      </c>
      <c r="M97" s="390"/>
      <c r="N97" s="390"/>
      <c r="O97" s="143"/>
      <c r="P97" s="32"/>
      <c r="Q97" s="31">
        <f t="shared" si="33"/>
        <v>-22526.349000000013</v>
      </c>
      <c r="R97" s="393">
        <f t="shared" si="34"/>
        <v>0</v>
      </c>
      <c r="S97" s="393"/>
      <c r="T97" s="393"/>
      <c r="U97" s="393"/>
      <c r="V97" s="31"/>
      <c r="W97" s="32"/>
      <c r="X97" s="32"/>
      <c r="Y97" s="32"/>
      <c r="Z97" s="394" t="e">
        <f t="shared" si="22"/>
        <v>#DIV/0!</v>
      </c>
      <c r="AA97" s="31"/>
      <c r="AB97" s="322"/>
      <c r="AC97" s="40" t="e">
        <f t="shared" si="23"/>
        <v>#DIV/0!</v>
      </c>
      <c r="AD97" s="40" t="e">
        <f t="shared" si="24"/>
        <v>#DIV/0!</v>
      </c>
    </row>
    <row r="98" spans="1:30" x14ac:dyDescent="0.25">
      <c r="A98" s="369"/>
      <c r="B98" s="400"/>
      <c r="C98" s="15"/>
      <c r="D98" s="16"/>
      <c r="E98" s="15"/>
      <c r="F98" s="102"/>
      <c r="G98" s="32"/>
      <c r="H98" s="390"/>
      <c r="I98" s="390">
        <f t="shared" si="29"/>
        <v>0</v>
      </c>
      <c r="J98" s="391" t="e">
        <f t="shared" si="30"/>
        <v>#DIV/0!</v>
      </c>
      <c r="K98" s="390">
        <f t="shared" si="31"/>
        <v>0</v>
      </c>
      <c r="L98" s="390">
        <f t="shared" si="32"/>
        <v>0</v>
      </c>
      <c r="M98" s="390"/>
      <c r="N98" s="390"/>
      <c r="O98" s="143"/>
      <c r="P98" s="32"/>
      <c r="Q98" s="31">
        <f t="shared" si="33"/>
        <v>0</v>
      </c>
      <c r="R98" s="393">
        <f t="shared" si="34"/>
        <v>0</v>
      </c>
      <c r="S98" s="393"/>
      <c r="T98" s="393"/>
      <c r="U98" s="393"/>
      <c r="V98" s="31"/>
      <c r="W98" s="32"/>
      <c r="X98" s="32"/>
      <c r="Y98" s="32"/>
      <c r="Z98" s="394" t="e">
        <f t="shared" si="22"/>
        <v>#DIV/0!</v>
      </c>
      <c r="AA98" s="31"/>
      <c r="AB98" s="322"/>
      <c r="AC98" s="40" t="e">
        <f t="shared" si="23"/>
        <v>#DIV/0!</v>
      </c>
      <c r="AD98" s="40" t="e">
        <f t="shared" si="24"/>
        <v>#DIV/0!</v>
      </c>
    </row>
    <row r="99" spans="1:30" x14ac:dyDescent="0.25">
      <c r="A99" s="369"/>
      <c r="B99" s="400"/>
      <c r="C99" s="15"/>
      <c r="D99" s="16"/>
      <c r="E99" s="15"/>
      <c r="F99" s="102"/>
      <c r="G99" s="32"/>
      <c r="H99" s="390"/>
      <c r="I99" s="390">
        <f t="shared" si="29"/>
        <v>0</v>
      </c>
      <c r="J99" s="391" t="e">
        <f t="shared" si="30"/>
        <v>#DIV/0!</v>
      </c>
      <c r="K99" s="390">
        <f t="shared" si="31"/>
        <v>0</v>
      </c>
      <c r="L99" s="390">
        <f t="shared" si="32"/>
        <v>0</v>
      </c>
      <c r="M99" s="390"/>
      <c r="N99" s="390"/>
      <c r="O99" s="143"/>
      <c r="P99" s="32"/>
      <c r="Q99" s="31">
        <f t="shared" si="33"/>
        <v>0</v>
      </c>
      <c r="R99" s="393">
        <f t="shared" si="34"/>
        <v>0</v>
      </c>
      <c r="S99" s="393"/>
      <c r="T99" s="393"/>
      <c r="U99" s="393"/>
      <c r="V99" s="31"/>
      <c r="W99" s="32"/>
      <c r="X99" s="32"/>
      <c r="Y99" s="32"/>
      <c r="Z99" s="394" t="e">
        <f t="shared" si="22"/>
        <v>#DIV/0!</v>
      </c>
      <c r="AA99" s="31"/>
      <c r="AB99" s="322"/>
      <c r="AC99" s="40" t="e">
        <f t="shared" si="23"/>
        <v>#DIV/0!</v>
      </c>
      <c r="AD99" s="40" t="e">
        <f t="shared" si="24"/>
        <v>#DIV/0!</v>
      </c>
    </row>
    <row r="100" spans="1:30" x14ac:dyDescent="0.25">
      <c r="A100" s="369"/>
      <c r="B100" s="400"/>
      <c r="C100" s="15"/>
      <c r="D100" s="16"/>
      <c r="E100" s="15"/>
      <c r="F100" s="102"/>
      <c r="G100" s="32"/>
      <c r="H100" s="390"/>
      <c r="I100" s="390">
        <f t="shared" si="29"/>
        <v>0</v>
      </c>
      <c r="J100" s="391" t="e">
        <f t="shared" si="30"/>
        <v>#DIV/0!</v>
      </c>
      <c r="K100" s="390">
        <f t="shared" si="31"/>
        <v>0</v>
      </c>
      <c r="L100" s="390">
        <f t="shared" si="32"/>
        <v>0</v>
      </c>
      <c r="M100" s="390"/>
      <c r="N100" s="390"/>
      <c r="O100" s="143"/>
      <c r="P100" s="32"/>
      <c r="Q100" s="31">
        <f t="shared" si="33"/>
        <v>0</v>
      </c>
      <c r="R100" s="393">
        <f t="shared" si="34"/>
        <v>0</v>
      </c>
      <c r="S100" s="393"/>
      <c r="T100" s="393"/>
      <c r="U100" s="393"/>
      <c r="V100" s="31"/>
      <c r="W100" s="32"/>
      <c r="X100" s="32"/>
      <c r="Y100" s="32"/>
      <c r="Z100" s="394" t="e">
        <f t="shared" si="22"/>
        <v>#DIV/0!</v>
      </c>
      <c r="AA100" s="31"/>
      <c r="AB100" s="322"/>
      <c r="AC100" s="40" t="e">
        <f t="shared" si="23"/>
        <v>#DIV/0!</v>
      </c>
      <c r="AD100" s="40" t="e">
        <f t="shared" si="24"/>
        <v>#DIV/0!</v>
      </c>
    </row>
    <row r="101" spans="1:30" x14ac:dyDescent="0.25">
      <c r="A101" s="369"/>
      <c r="B101" s="400"/>
      <c r="C101" s="15"/>
      <c r="D101" s="16"/>
      <c r="E101" s="15"/>
      <c r="F101" s="102"/>
      <c r="G101" s="32"/>
      <c r="H101" s="390"/>
      <c r="I101" s="390">
        <f t="shared" si="29"/>
        <v>0</v>
      </c>
      <c r="J101" s="391" t="e">
        <f t="shared" si="30"/>
        <v>#DIV/0!</v>
      </c>
      <c r="K101" s="390">
        <f t="shared" si="31"/>
        <v>0</v>
      </c>
      <c r="L101" s="390">
        <f t="shared" si="32"/>
        <v>0</v>
      </c>
      <c r="M101" s="390"/>
      <c r="N101" s="390"/>
      <c r="O101" s="143"/>
      <c r="P101" s="32"/>
      <c r="Q101" s="31">
        <f t="shared" si="33"/>
        <v>0</v>
      </c>
      <c r="R101" s="393">
        <f t="shared" si="34"/>
        <v>0</v>
      </c>
      <c r="S101" s="393"/>
      <c r="T101" s="393"/>
      <c r="U101" s="393"/>
      <c r="V101" s="31"/>
      <c r="W101" s="32"/>
      <c r="X101" s="32"/>
      <c r="Y101" s="32"/>
      <c r="Z101" s="394" t="e">
        <f t="shared" si="22"/>
        <v>#DIV/0!</v>
      </c>
      <c r="AA101" s="31"/>
      <c r="AB101" s="322"/>
      <c r="AC101" s="40" t="e">
        <f t="shared" si="23"/>
        <v>#DIV/0!</v>
      </c>
      <c r="AD101" s="40" t="e">
        <f t="shared" si="24"/>
        <v>#DIV/0!</v>
      </c>
    </row>
    <row r="102" spans="1:30" x14ac:dyDescent="0.25">
      <c r="A102" s="369"/>
      <c r="B102" s="400"/>
      <c r="C102" s="15"/>
      <c r="D102" s="16"/>
      <c r="E102" s="15"/>
      <c r="F102" s="102"/>
      <c r="G102" s="32"/>
      <c r="H102" s="390"/>
      <c r="I102" s="390">
        <f t="shared" si="29"/>
        <v>0</v>
      </c>
      <c r="J102" s="391" t="e">
        <f t="shared" si="30"/>
        <v>#DIV/0!</v>
      </c>
      <c r="K102" s="390">
        <f t="shared" si="31"/>
        <v>0</v>
      </c>
      <c r="L102" s="390">
        <f t="shared" si="32"/>
        <v>0</v>
      </c>
      <c r="M102" s="390"/>
      <c r="N102" s="390"/>
      <c r="O102" s="143"/>
      <c r="P102" s="32"/>
      <c r="Q102" s="31">
        <f t="shared" si="33"/>
        <v>0</v>
      </c>
      <c r="R102" s="393">
        <f t="shared" si="34"/>
        <v>0</v>
      </c>
      <c r="S102" s="393"/>
      <c r="T102" s="393"/>
      <c r="U102" s="393"/>
      <c r="V102" s="31"/>
      <c r="W102" s="32"/>
      <c r="X102" s="32"/>
      <c r="Y102" s="32"/>
      <c r="Z102" s="394" t="e">
        <f t="shared" si="22"/>
        <v>#DIV/0!</v>
      </c>
      <c r="AA102" s="31"/>
      <c r="AB102" s="322"/>
      <c r="AC102" s="40" t="e">
        <f t="shared" si="23"/>
        <v>#DIV/0!</v>
      </c>
      <c r="AD102" s="40" t="e">
        <f t="shared" si="24"/>
        <v>#DIV/0!</v>
      </c>
    </row>
    <row r="103" spans="1:30" x14ac:dyDescent="0.25">
      <c r="A103" s="369"/>
      <c r="B103" s="400"/>
      <c r="C103" s="15"/>
      <c r="D103" s="16"/>
      <c r="E103" s="15"/>
      <c r="F103" s="102"/>
      <c r="G103" s="32"/>
      <c r="H103" s="390"/>
      <c r="I103" s="390">
        <f t="shared" si="29"/>
        <v>0</v>
      </c>
      <c r="J103" s="391" t="e">
        <f t="shared" si="30"/>
        <v>#DIV/0!</v>
      </c>
      <c r="K103" s="390">
        <f t="shared" si="31"/>
        <v>0</v>
      </c>
      <c r="L103" s="390">
        <f t="shared" si="32"/>
        <v>0</v>
      </c>
      <c r="M103" s="390"/>
      <c r="N103" s="390"/>
      <c r="O103" s="143"/>
      <c r="P103" s="32"/>
      <c r="Q103" s="31">
        <f t="shared" si="33"/>
        <v>0</v>
      </c>
      <c r="R103" s="393">
        <f t="shared" si="34"/>
        <v>0</v>
      </c>
      <c r="S103" s="393"/>
      <c r="T103" s="393"/>
      <c r="U103" s="393"/>
      <c r="V103" s="31"/>
      <c r="W103" s="32"/>
      <c r="X103" s="32"/>
      <c r="Y103" s="32"/>
      <c r="Z103" s="394" t="e">
        <f t="shared" si="22"/>
        <v>#DIV/0!</v>
      </c>
      <c r="AA103" s="31"/>
      <c r="AB103" s="322"/>
      <c r="AC103" s="40" t="e">
        <f t="shared" si="23"/>
        <v>#DIV/0!</v>
      </c>
      <c r="AD103" s="40" t="e">
        <f t="shared" si="24"/>
        <v>#DIV/0!</v>
      </c>
    </row>
    <row r="104" spans="1:30" x14ac:dyDescent="0.25">
      <c r="A104" s="369"/>
      <c r="B104" s="400"/>
      <c r="C104" s="15"/>
      <c r="D104" s="16"/>
      <c r="E104" s="15"/>
      <c r="F104" s="102"/>
      <c r="G104" s="32"/>
      <c r="H104" s="390"/>
      <c r="I104" s="390">
        <f t="shared" si="29"/>
        <v>0</v>
      </c>
      <c r="J104" s="391" t="e">
        <f t="shared" si="30"/>
        <v>#DIV/0!</v>
      </c>
      <c r="K104" s="390">
        <f t="shared" si="31"/>
        <v>0</v>
      </c>
      <c r="L104" s="390">
        <f t="shared" si="32"/>
        <v>0</v>
      </c>
      <c r="M104" s="390"/>
      <c r="N104" s="390"/>
      <c r="O104" s="143"/>
      <c r="P104" s="32"/>
      <c r="Q104" s="31">
        <f t="shared" si="33"/>
        <v>0</v>
      </c>
      <c r="R104" s="393">
        <f t="shared" si="34"/>
        <v>0</v>
      </c>
      <c r="S104" s="393"/>
      <c r="T104" s="393"/>
      <c r="U104" s="393"/>
      <c r="V104" s="31"/>
      <c r="W104" s="32"/>
      <c r="X104" s="32"/>
      <c r="Y104" s="32"/>
      <c r="Z104" s="394" t="e">
        <f t="shared" si="22"/>
        <v>#DIV/0!</v>
      </c>
      <c r="AA104" s="31"/>
      <c r="AB104" s="322"/>
      <c r="AC104" s="40" t="e">
        <f t="shared" si="23"/>
        <v>#DIV/0!</v>
      </c>
      <c r="AD104" s="40" t="e">
        <f t="shared" si="24"/>
        <v>#DIV/0!</v>
      </c>
    </row>
    <row r="105" spans="1:30" x14ac:dyDescent="0.25">
      <c r="A105" s="369"/>
      <c r="B105" s="400"/>
      <c r="C105" s="15"/>
      <c r="D105" s="16"/>
      <c r="E105" s="15"/>
      <c r="F105" s="102"/>
      <c r="G105" s="32"/>
      <c r="H105" s="390"/>
      <c r="I105" s="390">
        <f t="shared" si="29"/>
        <v>0</v>
      </c>
      <c r="J105" s="391" t="e">
        <f t="shared" si="30"/>
        <v>#DIV/0!</v>
      </c>
      <c r="K105" s="390">
        <f t="shared" si="31"/>
        <v>0</v>
      </c>
      <c r="L105" s="390">
        <f t="shared" si="32"/>
        <v>0</v>
      </c>
      <c r="M105" s="390"/>
      <c r="N105" s="390"/>
      <c r="O105" s="143"/>
      <c r="P105" s="32"/>
      <c r="Q105" s="31">
        <f t="shared" si="33"/>
        <v>0</v>
      </c>
      <c r="R105" s="393">
        <f t="shared" si="34"/>
        <v>0</v>
      </c>
      <c r="S105" s="393"/>
      <c r="T105" s="393"/>
      <c r="U105" s="393"/>
      <c r="V105" s="31"/>
      <c r="W105" s="32"/>
      <c r="X105" s="32"/>
      <c r="Y105" s="32"/>
      <c r="Z105" s="394" t="e">
        <f t="shared" si="22"/>
        <v>#DIV/0!</v>
      </c>
      <c r="AA105" s="31"/>
      <c r="AB105" s="322"/>
      <c r="AC105" s="40" t="e">
        <f t="shared" si="23"/>
        <v>#DIV/0!</v>
      </c>
      <c r="AD105" s="40" t="e">
        <f t="shared" si="24"/>
        <v>#DIV/0!</v>
      </c>
    </row>
    <row r="106" spans="1:30" x14ac:dyDescent="0.25">
      <c r="A106" s="369"/>
      <c r="B106" s="400"/>
      <c r="C106" s="15"/>
      <c r="D106" s="16"/>
      <c r="E106" s="15"/>
      <c r="F106" s="102"/>
      <c r="G106" s="32"/>
      <c r="H106" s="390"/>
      <c r="I106" s="390">
        <f t="shared" si="29"/>
        <v>0</v>
      </c>
      <c r="J106" s="391" t="e">
        <f t="shared" si="30"/>
        <v>#DIV/0!</v>
      </c>
      <c r="K106" s="390">
        <f t="shared" si="31"/>
        <v>0</v>
      </c>
      <c r="L106" s="390">
        <f t="shared" si="32"/>
        <v>0</v>
      </c>
      <c r="M106" s="390"/>
      <c r="N106" s="390"/>
      <c r="O106" s="143"/>
      <c r="P106" s="32"/>
      <c r="Q106" s="31">
        <f t="shared" si="33"/>
        <v>0</v>
      </c>
      <c r="R106" s="393">
        <f t="shared" si="34"/>
        <v>0</v>
      </c>
      <c r="S106" s="393"/>
      <c r="T106" s="393"/>
      <c r="U106" s="393"/>
      <c r="V106" s="31"/>
      <c r="W106" s="32"/>
      <c r="X106" s="32"/>
      <c r="Y106" s="32"/>
      <c r="Z106" s="394" t="e">
        <f t="shared" si="22"/>
        <v>#DIV/0!</v>
      </c>
      <c r="AA106" s="31"/>
      <c r="AB106" s="322"/>
      <c r="AC106" s="40" t="e">
        <f t="shared" si="23"/>
        <v>#DIV/0!</v>
      </c>
      <c r="AD106" s="40" t="e">
        <f t="shared" si="24"/>
        <v>#DIV/0!</v>
      </c>
    </row>
    <row r="107" spans="1:30" x14ac:dyDescent="0.25">
      <c r="A107" s="369"/>
      <c r="B107" s="400"/>
      <c r="C107" s="15"/>
      <c r="D107" s="16"/>
      <c r="E107" s="15"/>
      <c r="F107" s="102"/>
      <c r="G107" s="32"/>
      <c r="H107" s="390"/>
      <c r="I107" s="390">
        <f t="shared" si="29"/>
        <v>0</v>
      </c>
      <c r="J107" s="391" t="e">
        <f t="shared" si="30"/>
        <v>#DIV/0!</v>
      </c>
      <c r="K107" s="390">
        <f t="shared" si="31"/>
        <v>0</v>
      </c>
      <c r="L107" s="390">
        <f t="shared" si="32"/>
        <v>0</v>
      </c>
      <c r="M107" s="390"/>
      <c r="N107" s="390"/>
      <c r="O107" s="143"/>
      <c r="P107" s="32"/>
      <c r="Q107" s="31">
        <f t="shared" si="33"/>
        <v>0</v>
      </c>
      <c r="R107" s="393">
        <f t="shared" si="34"/>
        <v>0</v>
      </c>
      <c r="S107" s="393"/>
      <c r="T107" s="393"/>
      <c r="U107" s="393"/>
      <c r="V107" s="31"/>
      <c r="W107" s="32"/>
      <c r="X107" s="32"/>
      <c r="Y107" s="32"/>
      <c r="Z107" s="394" t="e">
        <f t="shared" si="22"/>
        <v>#DIV/0!</v>
      </c>
      <c r="AA107" s="31"/>
      <c r="AB107" s="322"/>
      <c r="AC107" s="40" t="e">
        <f t="shared" si="23"/>
        <v>#DIV/0!</v>
      </c>
      <c r="AD107" s="40" t="e">
        <f t="shared" si="24"/>
        <v>#DIV/0!</v>
      </c>
    </row>
    <row r="108" spans="1:30" x14ac:dyDescent="0.25">
      <c r="A108" s="369"/>
      <c r="B108" s="400"/>
      <c r="C108" s="15"/>
      <c r="D108" s="16"/>
      <c r="E108" s="15"/>
      <c r="F108" s="102"/>
      <c r="G108" s="32"/>
      <c r="H108" s="390"/>
      <c r="I108" s="390">
        <f t="shared" si="29"/>
        <v>0</v>
      </c>
      <c r="J108" s="391" t="e">
        <f t="shared" si="30"/>
        <v>#DIV/0!</v>
      </c>
      <c r="K108" s="390">
        <f t="shared" si="31"/>
        <v>0</v>
      </c>
      <c r="L108" s="390">
        <f t="shared" si="32"/>
        <v>0</v>
      </c>
      <c r="M108" s="390"/>
      <c r="N108" s="390"/>
      <c r="O108" s="143"/>
      <c r="P108" s="32"/>
      <c r="Q108" s="31">
        <f t="shared" si="33"/>
        <v>0</v>
      </c>
      <c r="R108" s="393">
        <f t="shared" si="34"/>
        <v>0</v>
      </c>
      <c r="S108" s="393"/>
      <c r="T108" s="393"/>
      <c r="U108" s="393"/>
      <c r="V108" s="31"/>
      <c r="W108" s="32"/>
      <c r="X108" s="32"/>
      <c r="Y108" s="32"/>
      <c r="Z108" s="394" t="e">
        <f t="shared" si="22"/>
        <v>#DIV/0!</v>
      </c>
      <c r="AA108" s="31"/>
      <c r="AB108" s="322"/>
      <c r="AC108" s="40" t="e">
        <f t="shared" si="23"/>
        <v>#DIV/0!</v>
      </c>
      <c r="AD108" s="40" t="e">
        <f t="shared" si="24"/>
        <v>#DIV/0!</v>
      </c>
    </row>
    <row r="109" spans="1:30" x14ac:dyDescent="0.25">
      <c r="A109" s="368"/>
      <c r="B109" s="401"/>
      <c r="C109" s="22"/>
      <c r="D109" s="132"/>
      <c r="E109" s="22"/>
      <c r="F109" s="396"/>
      <c r="G109" s="303"/>
      <c r="H109" s="392"/>
      <c r="I109" s="392">
        <f t="shared" si="29"/>
        <v>0</v>
      </c>
      <c r="J109" s="397" t="e">
        <f t="shared" si="30"/>
        <v>#DIV/0!</v>
      </c>
      <c r="K109" s="392">
        <f t="shared" si="31"/>
        <v>0</v>
      </c>
      <c r="L109" s="392">
        <f t="shared" si="32"/>
        <v>0</v>
      </c>
      <c r="M109" s="392"/>
      <c r="N109" s="392"/>
      <c r="O109" s="143"/>
      <c r="P109" s="303"/>
      <c r="Q109" s="278">
        <f t="shared" si="33"/>
        <v>0</v>
      </c>
      <c r="R109" s="398">
        <f t="shared" si="34"/>
        <v>0</v>
      </c>
      <c r="S109" s="398"/>
      <c r="T109" s="398"/>
      <c r="U109" s="398"/>
      <c r="V109" s="278"/>
      <c r="W109" s="303"/>
      <c r="X109" s="303"/>
      <c r="Y109" s="303"/>
      <c r="Z109" s="399" t="e">
        <f t="shared" si="22"/>
        <v>#DIV/0!</v>
      </c>
      <c r="AA109" s="278"/>
      <c r="AB109" s="275"/>
      <c r="AC109" s="237" t="e">
        <f t="shared" si="23"/>
        <v>#DIV/0!</v>
      </c>
      <c r="AD109" s="237" t="e">
        <f t="shared" si="24"/>
        <v>#DIV/0!</v>
      </c>
    </row>
  </sheetData>
  <phoneticPr fontId="16" type="noConversion"/>
  <conditionalFormatting sqref="Y1">
    <cfRule type="top10" dxfId="164" priority="1" bottom="1" rank="10"/>
  </conditionalFormatting>
  <dataValidations count="2">
    <dataValidation type="list" allowBlank="1" showInputMessage="1" showErrorMessage="1" sqref="C2:C75">
      <formula1>"买,卖"</formula1>
    </dataValidation>
    <dataValidation type="list" allowBlank="1" showInputMessage="1" showErrorMessage="1" sqref="C76:C96">
      <formula1>"买,卖,转买,转卖"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45"/>
  <sheetViews>
    <sheetView workbookViewId="0">
      <pane ySplit="1" topLeftCell="A20" activePane="bottomLeft" state="frozen"/>
      <selection pane="bottomLeft" activeCell="D24" sqref="D24"/>
    </sheetView>
  </sheetViews>
  <sheetFormatPr defaultColWidth="8.88671875" defaultRowHeight="14.4" x14ac:dyDescent="0.25"/>
  <cols>
    <col min="1" max="1" width="11.6640625" customWidth="1"/>
    <col min="2" max="2" width="11.6640625" style="2" customWidth="1"/>
    <col min="4" max="4" width="10.77734375" customWidth="1"/>
    <col min="6" max="6" width="10.77734375" customWidth="1"/>
    <col min="7" max="7" width="13.88671875" customWidth="1"/>
    <col min="8" max="10" width="10.77734375" customWidth="1"/>
    <col min="11" max="11" width="10.44140625" customWidth="1"/>
    <col min="12" max="12" width="12.77734375" customWidth="1"/>
    <col min="15" max="15" width="14.77734375" customWidth="1"/>
    <col min="16" max="16" width="11.88671875" customWidth="1"/>
    <col min="17" max="17" width="10.77734375" customWidth="1"/>
    <col min="18" max="18" width="14.77734375" customWidth="1"/>
    <col min="19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7" max="27" width="12.77734375" customWidth="1"/>
    <col min="28" max="28" width="10.77734375" customWidth="1"/>
    <col min="29" max="29" width="19.109375" customWidth="1"/>
    <col min="30" max="30" width="11.77734375" customWidth="1"/>
  </cols>
  <sheetData>
    <row r="1" spans="1:30" x14ac:dyDescent="0.25">
      <c r="A1" s="3" t="s">
        <v>3</v>
      </c>
      <c r="B1" s="4" t="s">
        <v>591</v>
      </c>
      <c r="C1" s="4" t="s">
        <v>152</v>
      </c>
      <c r="D1" s="5" t="s">
        <v>153</v>
      </c>
      <c r="E1" s="6" t="s">
        <v>154</v>
      </c>
      <c r="F1" s="7" t="s">
        <v>155</v>
      </c>
      <c r="G1" s="8" t="s">
        <v>156</v>
      </c>
      <c r="H1" s="6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 t="s">
        <v>17</v>
      </c>
      <c r="W1" s="26" t="s">
        <v>168</v>
      </c>
      <c r="X1" s="26" t="s">
        <v>169</v>
      </c>
      <c r="Y1" s="26" t="s">
        <v>170</v>
      </c>
      <c r="Z1" s="26" t="s">
        <v>171</v>
      </c>
      <c r="AA1" s="4" t="s">
        <v>106</v>
      </c>
      <c r="AB1" s="36" t="s">
        <v>172</v>
      </c>
      <c r="AC1" s="37" t="s">
        <v>50</v>
      </c>
      <c r="AD1" s="37" t="s">
        <v>173</v>
      </c>
    </row>
    <row r="2" spans="1:30" x14ac:dyDescent="0.25">
      <c r="A2" s="9">
        <v>43032</v>
      </c>
      <c r="B2" s="45" t="s">
        <v>78</v>
      </c>
      <c r="C2" s="10"/>
      <c r="D2" s="11"/>
      <c r="E2" s="12">
        <v>11.56</v>
      </c>
      <c r="F2" s="12">
        <v>0</v>
      </c>
      <c r="G2" s="13">
        <v>0</v>
      </c>
      <c r="H2" s="12">
        <v>0</v>
      </c>
      <c r="I2" s="10">
        <f t="shared" ref="I2:I36" si="0">-H2+K2</f>
        <v>0</v>
      </c>
      <c r="J2" s="27" t="e">
        <f t="shared" ref="J2:J36" si="1">(E2-G2)/G2</f>
        <v>#DIV/0!</v>
      </c>
      <c r="K2" s="10">
        <f t="shared" ref="K2:K36" si="2">F2*E2</f>
        <v>0</v>
      </c>
      <c r="L2" s="10"/>
      <c r="M2" s="10"/>
      <c r="N2" s="10"/>
      <c r="O2" s="10"/>
      <c r="P2" s="28"/>
      <c r="Q2" s="10"/>
      <c r="R2" s="10"/>
      <c r="S2" s="10">
        <v>20000</v>
      </c>
      <c r="T2" s="10"/>
      <c r="U2" s="10"/>
      <c r="V2" s="10"/>
      <c r="W2" s="28"/>
      <c r="X2" s="28"/>
      <c r="Y2" s="28"/>
      <c r="Z2" s="38" t="e">
        <f>F2/U2</f>
        <v>#DIV/0!</v>
      </c>
      <c r="AA2" s="31">
        <f>SUM(L$2:L2)-SUM(AB$2:AB2)</f>
        <v>0</v>
      </c>
      <c r="AB2" s="39"/>
      <c r="AC2" s="40">
        <f t="shared" ref="AC2:AC42" si="3">I2/E2*(1-0.0005)</f>
        <v>0</v>
      </c>
      <c r="AD2" s="40">
        <f t="shared" ref="AD2:AD42" si="4">AC2-F2</f>
        <v>0</v>
      </c>
    </row>
    <row r="3" spans="1:30" x14ac:dyDescent="0.25">
      <c r="A3" s="9">
        <v>43032</v>
      </c>
      <c r="B3" s="14"/>
      <c r="C3" s="15" t="s">
        <v>63</v>
      </c>
      <c r="D3" s="16">
        <v>500</v>
      </c>
      <c r="E3" s="15">
        <v>11.56</v>
      </c>
      <c r="F3" s="16">
        <f t="shared" ref="F3:F8" si="5">IF(C3="买",F2+D3,F2-D3)</f>
        <v>500</v>
      </c>
      <c r="G3" s="17">
        <f t="shared" ref="G3:G15" si="6">H3/F3</f>
        <v>11.57</v>
      </c>
      <c r="H3" s="15">
        <f t="shared" ref="H3:H15" si="7">IF(C3="买",H2+D3*E3+M3+N3,H2+-1*D3*E3+M3+N3)+O2</f>
        <v>5785</v>
      </c>
      <c r="I3" s="19">
        <f t="shared" si="0"/>
        <v>-5</v>
      </c>
      <c r="J3" s="29">
        <f t="shared" si="1"/>
        <v>-8.6430423509073354E-4</v>
      </c>
      <c r="K3" s="19">
        <f t="shared" si="2"/>
        <v>5780</v>
      </c>
      <c r="L3" s="19">
        <f t="shared" ref="L3:L36" si="8">I3-I2</f>
        <v>-5</v>
      </c>
      <c r="M3" s="15">
        <f>IF(D3*E3*2.5/10000&gt;5,D3*E3*2.5/10000,5)</f>
        <v>5</v>
      </c>
      <c r="N3" s="30">
        <f>IF(C3="卖",D3*E3/1000,0)</f>
        <v>0</v>
      </c>
      <c r="O3" s="31"/>
      <c r="P3" s="32">
        <f>E3-G3</f>
        <v>-9.9999999999997868E-3</v>
      </c>
      <c r="Q3" s="31">
        <f>(H3-H2)*-1</f>
        <v>-5785</v>
      </c>
      <c r="R3" s="34"/>
      <c r="S3" s="34">
        <f>S2+Q3+O3+R3</f>
        <v>14215</v>
      </c>
      <c r="T3" s="34">
        <f>S3/E3</f>
        <v>1229.6712802768166</v>
      </c>
      <c r="U3" s="34">
        <f>F3+T3</f>
        <v>1729.6712802768166</v>
      </c>
      <c r="V3" s="31">
        <f>H3+S3</f>
        <v>20000</v>
      </c>
      <c r="W3" s="32">
        <f>V3/U3</f>
        <v>11.56289072268067</v>
      </c>
      <c r="X3" s="32">
        <f>W3-G3</f>
        <v>-7.1092773193299763E-3</v>
      </c>
      <c r="Y3" s="32">
        <f>(X3-P3)*-1</f>
        <v>-2.8907226806698105E-3</v>
      </c>
      <c r="Z3" s="38">
        <f t="shared" ref="Z3:Z36" si="9">F3/U3</f>
        <v>0.28907226806701675</v>
      </c>
      <c r="AA3" s="31">
        <f>SUM(L$2:L3)-SUM(AB$2:AB3)</f>
        <v>-5</v>
      </c>
      <c r="AB3" s="39"/>
      <c r="AC3" s="40">
        <f t="shared" si="3"/>
        <v>-0.43230968858131485</v>
      </c>
      <c r="AD3" s="40">
        <f t="shared" si="4"/>
        <v>-500.43230968858131</v>
      </c>
    </row>
    <row r="4" spans="1:30" x14ac:dyDescent="0.25">
      <c r="A4" s="9">
        <v>43033</v>
      </c>
      <c r="B4" s="14" t="s">
        <v>177</v>
      </c>
      <c r="C4" s="15" t="s">
        <v>69</v>
      </c>
      <c r="D4" s="16">
        <v>400</v>
      </c>
      <c r="E4" s="15">
        <v>11.74</v>
      </c>
      <c r="F4" s="16">
        <f t="shared" si="5"/>
        <v>100</v>
      </c>
      <c r="G4" s="17">
        <f t="shared" si="6"/>
        <v>10.98696</v>
      </c>
      <c r="H4" s="15">
        <f t="shared" si="7"/>
        <v>1098.6959999999999</v>
      </c>
      <c r="I4" s="10">
        <f t="shared" si="0"/>
        <v>75.304000000000087</v>
      </c>
      <c r="J4" s="27">
        <f t="shared" si="1"/>
        <v>6.8539432199625772E-2</v>
      </c>
      <c r="K4" s="10">
        <f t="shared" si="2"/>
        <v>1174</v>
      </c>
      <c r="L4" s="10">
        <f t="shared" si="8"/>
        <v>80.304000000000087</v>
      </c>
      <c r="M4" s="15">
        <f t="shared" ref="M4:M42" si="10">IF(D4*E4*2.5/10000&gt;5,D4*E4*2.5/10000,5)</f>
        <v>5</v>
      </c>
      <c r="N4" s="10">
        <f t="shared" ref="N4:N36" si="11">IF(C4="卖",D4*E4/1000,0)</f>
        <v>4.6959999999999997</v>
      </c>
      <c r="O4" s="15"/>
      <c r="P4" s="32">
        <f t="shared" ref="P4:P36" si="12">E4-G4</f>
        <v>0.75304000000000038</v>
      </c>
      <c r="Q4" s="31">
        <f t="shared" ref="Q4:Q36" si="13">(H4-H3)*-1</f>
        <v>4686.3040000000001</v>
      </c>
      <c r="R4" s="35"/>
      <c r="S4" s="34">
        <f t="shared" ref="S4:S36" si="14">S3+Q4+O4+R4</f>
        <v>18901.304</v>
      </c>
      <c r="T4" s="34">
        <f t="shared" ref="T4:T36" si="15">S4/E4</f>
        <v>1609.9918228279387</v>
      </c>
      <c r="U4" s="34">
        <f t="shared" ref="U4:U36" si="16">F4+T4</f>
        <v>1709.9918228279387</v>
      </c>
      <c r="V4" s="31">
        <f t="shared" ref="V4:V36" si="17">H4+S4</f>
        <v>20000</v>
      </c>
      <c r="W4" s="32">
        <f t="shared" ref="W4:W36" si="18">V4/U4</f>
        <v>11.695962362512667</v>
      </c>
      <c r="X4" s="32">
        <f t="shared" ref="X4:X36" si="19">W4-G4</f>
        <v>0.70900236251266691</v>
      </c>
      <c r="Y4" s="32">
        <f t="shared" ref="Y4:Y36" si="20">(X4-P4)*-1</f>
        <v>4.403763748733347E-2</v>
      </c>
      <c r="Z4" s="38">
        <f t="shared" si="9"/>
        <v>5.8479811812563336E-2</v>
      </c>
      <c r="AA4" s="31">
        <f>SUM(L$2:L4)-SUM(AB$2:AB4)</f>
        <v>75.304000000000087</v>
      </c>
      <c r="AB4" s="39"/>
      <c r="AC4" s="40">
        <f t="shared" si="3"/>
        <v>6.41110289608178</v>
      </c>
      <c r="AD4" s="40">
        <f t="shared" si="4"/>
        <v>-93.588897103918214</v>
      </c>
    </row>
    <row r="5" spans="1:30" x14ac:dyDescent="0.25">
      <c r="A5" s="9">
        <v>43075</v>
      </c>
      <c r="B5" s="14"/>
      <c r="C5" s="15" t="s">
        <v>63</v>
      </c>
      <c r="D5" s="16">
        <v>500</v>
      </c>
      <c r="E5" s="15">
        <v>10.61</v>
      </c>
      <c r="F5" s="16">
        <f t="shared" si="5"/>
        <v>600</v>
      </c>
      <c r="G5" s="17">
        <f t="shared" si="6"/>
        <v>10.68116</v>
      </c>
      <c r="H5" s="15">
        <f t="shared" si="7"/>
        <v>6408.6959999999999</v>
      </c>
      <c r="I5" s="19">
        <f t="shared" si="0"/>
        <v>-42.695999999999913</v>
      </c>
      <c r="J5" s="29">
        <f t="shared" si="1"/>
        <v>-6.6621977388224476E-3</v>
      </c>
      <c r="K5" s="19">
        <f t="shared" si="2"/>
        <v>6366</v>
      </c>
      <c r="L5" s="19">
        <f t="shared" si="8"/>
        <v>-118</v>
      </c>
      <c r="M5" s="15">
        <f t="shared" si="10"/>
        <v>5</v>
      </c>
      <c r="N5" s="19">
        <f t="shared" si="11"/>
        <v>0</v>
      </c>
      <c r="O5" s="15"/>
      <c r="P5" s="32">
        <f t="shared" si="12"/>
        <v>-7.1160000000000778E-2</v>
      </c>
      <c r="Q5" s="31">
        <f t="shared" si="13"/>
        <v>-5310</v>
      </c>
      <c r="R5" s="35"/>
      <c r="S5" s="34">
        <f t="shared" si="14"/>
        <v>13591.304</v>
      </c>
      <c r="T5" s="34">
        <f t="shared" si="15"/>
        <v>1280.9900094250709</v>
      </c>
      <c r="U5" s="34">
        <f t="shared" si="16"/>
        <v>1880.9900094250709</v>
      </c>
      <c r="V5" s="31">
        <f t="shared" si="17"/>
        <v>20000</v>
      </c>
      <c r="W5" s="32">
        <f t="shared" si="18"/>
        <v>10.632698685153064</v>
      </c>
      <c r="X5" s="32">
        <f t="shared" si="19"/>
        <v>-4.8461314846935721E-2</v>
      </c>
      <c r="Y5" s="32">
        <f t="shared" si="20"/>
        <v>-2.2698685153065057E-2</v>
      </c>
      <c r="Z5" s="38">
        <f t="shared" si="9"/>
        <v>0.31898096055459191</v>
      </c>
      <c r="AA5" s="31">
        <f>SUM(L$2:L5)-SUM(AB$2:AB5)</f>
        <v>-42.695999999999913</v>
      </c>
      <c r="AB5" s="39"/>
      <c r="AC5" s="40">
        <f t="shared" si="3"/>
        <v>-4.022116116870869</v>
      </c>
      <c r="AD5" s="40">
        <f t="shared" si="4"/>
        <v>-604.02211611687085</v>
      </c>
    </row>
    <row r="6" spans="1:30" s="1" customFormat="1" x14ac:dyDescent="0.25">
      <c r="A6" s="9">
        <v>43087</v>
      </c>
      <c r="B6" s="18"/>
      <c r="C6" s="15" t="s">
        <v>63</v>
      </c>
      <c r="D6" s="16">
        <v>500</v>
      </c>
      <c r="E6" s="15">
        <v>10.16</v>
      </c>
      <c r="F6" s="16">
        <f t="shared" si="5"/>
        <v>1100</v>
      </c>
      <c r="G6" s="17">
        <f t="shared" si="6"/>
        <v>10.448814545454546</v>
      </c>
      <c r="H6" s="15">
        <f t="shared" si="7"/>
        <v>11493.696</v>
      </c>
      <c r="I6" s="15">
        <f t="shared" si="0"/>
        <v>-317.69599999999991</v>
      </c>
      <c r="J6" s="33">
        <f t="shared" si="1"/>
        <v>-2.7640891145894277E-2</v>
      </c>
      <c r="K6" s="15">
        <f t="shared" si="2"/>
        <v>11176</v>
      </c>
      <c r="L6" s="15">
        <f t="shared" si="8"/>
        <v>-275</v>
      </c>
      <c r="M6" s="15">
        <f t="shared" si="10"/>
        <v>5</v>
      </c>
      <c r="N6" s="15">
        <f t="shared" si="11"/>
        <v>0</v>
      </c>
      <c r="O6" s="15"/>
      <c r="P6" s="32">
        <f t="shared" si="12"/>
        <v>-0.28881454545454588</v>
      </c>
      <c r="Q6" s="31">
        <f t="shared" si="13"/>
        <v>-5085</v>
      </c>
      <c r="R6" s="35"/>
      <c r="S6" s="34">
        <f t="shared" si="14"/>
        <v>8506.3040000000001</v>
      </c>
      <c r="T6" s="34">
        <f t="shared" si="15"/>
        <v>837.23464566929135</v>
      </c>
      <c r="U6" s="34">
        <f t="shared" si="16"/>
        <v>1937.2346456692912</v>
      </c>
      <c r="V6" s="31">
        <f t="shared" si="17"/>
        <v>20000</v>
      </c>
      <c r="W6" s="32">
        <f t="shared" si="18"/>
        <v>10.32399458925134</v>
      </c>
      <c r="X6" s="32">
        <f t="shared" si="19"/>
        <v>-0.12481995620320596</v>
      </c>
      <c r="Y6" s="32">
        <f t="shared" si="20"/>
        <v>-0.16399458925133992</v>
      </c>
      <c r="Z6" s="38">
        <f t="shared" si="9"/>
        <v>0.56781970240882373</v>
      </c>
      <c r="AA6" s="31">
        <f>SUM(L$2:L6)-SUM(AB$2:AB6)</f>
        <v>-317.69599999999991</v>
      </c>
      <c r="AB6" s="39"/>
      <c r="AC6" s="40">
        <f t="shared" si="3"/>
        <v>-31.253656692913378</v>
      </c>
      <c r="AD6" s="40">
        <f t="shared" si="4"/>
        <v>-1131.2536566929134</v>
      </c>
    </row>
    <row r="7" spans="1:30" s="1" customFormat="1" x14ac:dyDescent="0.25">
      <c r="A7" s="9">
        <v>43094</v>
      </c>
      <c r="B7" s="18"/>
      <c r="C7" s="15" t="s">
        <v>63</v>
      </c>
      <c r="D7" s="16">
        <v>500</v>
      </c>
      <c r="E7" s="15">
        <v>9.86</v>
      </c>
      <c r="F7" s="16">
        <f t="shared" si="5"/>
        <v>1600</v>
      </c>
      <c r="G7" s="17">
        <f t="shared" si="6"/>
        <v>10.267935</v>
      </c>
      <c r="H7" s="15">
        <f t="shared" si="7"/>
        <v>16428.696</v>
      </c>
      <c r="I7" s="15">
        <f t="shared" si="0"/>
        <v>-652.69599999999991</v>
      </c>
      <c r="J7" s="33">
        <f t="shared" si="1"/>
        <v>-3.9729020489514218E-2</v>
      </c>
      <c r="K7" s="15">
        <f t="shared" si="2"/>
        <v>15776</v>
      </c>
      <c r="L7" s="15">
        <f t="shared" si="8"/>
        <v>-335</v>
      </c>
      <c r="M7" s="15">
        <f t="shared" si="10"/>
        <v>5</v>
      </c>
      <c r="N7" s="15">
        <f t="shared" si="11"/>
        <v>0</v>
      </c>
      <c r="O7" s="15"/>
      <c r="P7" s="32">
        <f t="shared" si="12"/>
        <v>-0.40793500000000016</v>
      </c>
      <c r="Q7" s="31">
        <f t="shared" si="13"/>
        <v>-4935</v>
      </c>
      <c r="R7" s="35"/>
      <c r="S7" s="34">
        <f t="shared" si="14"/>
        <v>3571.3040000000001</v>
      </c>
      <c r="T7" s="34">
        <f t="shared" si="15"/>
        <v>362.2012170385396</v>
      </c>
      <c r="U7" s="34">
        <f t="shared" si="16"/>
        <v>1962.2012170385397</v>
      </c>
      <c r="V7" s="31">
        <f t="shared" si="17"/>
        <v>20000</v>
      </c>
      <c r="W7" s="32">
        <f t="shared" si="18"/>
        <v>10.192634591362186</v>
      </c>
      <c r="X7" s="32">
        <f t="shared" si="19"/>
        <v>-7.5300408637813732E-2</v>
      </c>
      <c r="Y7" s="32">
        <f t="shared" si="20"/>
        <v>-0.33263459136218643</v>
      </c>
      <c r="Z7" s="38">
        <f t="shared" si="9"/>
        <v>0.81541076730897488</v>
      </c>
      <c r="AA7" s="31">
        <f>SUM(L$2:L7)-SUM(AB$2:AB7)</f>
        <v>-652.69599999999991</v>
      </c>
      <c r="AB7" s="39"/>
      <c r="AC7" s="40">
        <f t="shared" si="3"/>
        <v>-66.163250709939149</v>
      </c>
      <c r="AD7" s="40">
        <f t="shared" si="4"/>
        <v>-1666.1632507099391</v>
      </c>
    </row>
    <row r="8" spans="1:30" s="1" customFormat="1" x14ac:dyDescent="0.25">
      <c r="A8" s="9">
        <v>43096</v>
      </c>
      <c r="B8" s="18"/>
      <c r="C8" s="15" t="s">
        <v>63</v>
      </c>
      <c r="D8" s="16">
        <v>500</v>
      </c>
      <c r="E8" s="15">
        <v>9.76</v>
      </c>
      <c r="F8" s="16">
        <f t="shared" si="5"/>
        <v>2100</v>
      </c>
      <c r="G8" s="17">
        <f t="shared" si="6"/>
        <v>10.149379047619048</v>
      </c>
      <c r="H8" s="15">
        <f t="shared" si="7"/>
        <v>21313.696</v>
      </c>
      <c r="I8" s="15">
        <f t="shared" si="0"/>
        <v>-817.69599999999991</v>
      </c>
      <c r="J8" s="33">
        <f t="shared" si="1"/>
        <v>-3.8364814812034534E-2</v>
      </c>
      <c r="K8" s="15">
        <f t="shared" si="2"/>
        <v>20496</v>
      </c>
      <c r="L8" s="15">
        <f t="shared" si="8"/>
        <v>-165</v>
      </c>
      <c r="M8" s="15">
        <f t="shared" si="10"/>
        <v>5</v>
      </c>
      <c r="N8" s="15">
        <f t="shared" si="11"/>
        <v>0</v>
      </c>
      <c r="O8" s="15"/>
      <c r="P8" s="32">
        <f t="shared" si="12"/>
        <v>-0.38937904761904818</v>
      </c>
      <c r="Q8" s="31">
        <f t="shared" si="13"/>
        <v>-4885</v>
      </c>
      <c r="R8" s="35"/>
      <c r="S8" s="34">
        <f t="shared" si="14"/>
        <v>-1313.6959999999999</v>
      </c>
      <c r="T8" s="34">
        <f t="shared" si="15"/>
        <v>-134.6</v>
      </c>
      <c r="U8" s="34">
        <f t="shared" si="16"/>
        <v>1965.4</v>
      </c>
      <c r="V8" s="31">
        <f t="shared" si="17"/>
        <v>20000</v>
      </c>
      <c r="W8" s="32">
        <f t="shared" si="18"/>
        <v>10.176045588684238</v>
      </c>
      <c r="X8" s="32">
        <f t="shared" si="19"/>
        <v>2.666654106518962E-2</v>
      </c>
      <c r="Y8" s="32">
        <f t="shared" si="20"/>
        <v>-0.4160455886842378</v>
      </c>
      <c r="Z8" s="38">
        <f t="shared" si="9"/>
        <v>1.0684847868118448</v>
      </c>
      <c r="AA8" s="31">
        <f>SUM(L$2:L8)-SUM(AB$2:AB8)</f>
        <v>-817.69599999999991</v>
      </c>
      <c r="AB8" s="39"/>
      <c r="AC8" s="40">
        <f t="shared" si="3"/>
        <v>-83.738437704918027</v>
      </c>
      <c r="AD8" s="40">
        <f t="shared" si="4"/>
        <v>-2183.7384377049179</v>
      </c>
    </row>
    <row r="9" spans="1:30" s="1" customFormat="1" x14ac:dyDescent="0.25">
      <c r="A9" s="9">
        <v>43102</v>
      </c>
      <c r="B9" s="18" t="s">
        <v>200</v>
      </c>
      <c r="C9" s="15" t="s">
        <v>69</v>
      </c>
      <c r="D9" s="16">
        <v>400</v>
      </c>
      <c r="E9" s="15">
        <v>9.91</v>
      </c>
      <c r="F9" s="16">
        <f t="shared" ref="F9:F23" si="21">IF(C9="买",F8+D9,F8-D9)</f>
        <v>1700</v>
      </c>
      <c r="G9" s="17">
        <f t="shared" si="6"/>
        <v>10.210976470588236</v>
      </c>
      <c r="H9" s="15">
        <f t="shared" si="7"/>
        <v>17358.66</v>
      </c>
      <c r="I9" s="15">
        <f t="shared" si="0"/>
        <v>-511.65999999999985</v>
      </c>
      <c r="J9" s="33">
        <f t="shared" si="1"/>
        <v>-2.9475777508171725E-2</v>
      </c>
      <c r="K9" s="15">
        <f t="shared" si="2"/>
        <v>16847</v>
      </c>
      <c r="L9" s="15">
        <f t="shared" si="8"/>
        <v>306.03600000000006</v>
      </c>
      <c r="M9" s="15">
        <f t="shared" si="10"/>
        <v>5</v>
      </c>
      <c r="N9" s="15">
        <f t="shared" si="11"/>
        <v>3.964</v>
      </c>
      <c r="O9" s="15"/>
      <c r="P9" s="32">
        <f t="shared" si="12"/>
        <v>-0.3009764705882354</v>
      </c>
      <c r="Q9" s="31">
        <f t="shared" si="13"/>
        <v>3955.0360000000001</v>
      </c>
      <c r="R9" s="35"/>
      <c r="S9" s="34">
        <f t="shared" si="14"/>
        <v>2641.34</v>
      </c>
      <c r="T9" s="34">
        <f t="shared" si="15"/>
        <v>266.5327951564077</v>
      </c>
      <c r="U9" s="34">
        <f t="shared" si="16"/>
        <v>1966.5327951564077</v>
      </c>
      <c r="V9" s="31">
        <f t="shared" si="17"/>
        <v>20000</v>
      </c>
      <c r="W9" s="32">
        <f t="shared" si="18"/>
        <v>10.170183812474535</v>
      </c>
      <c r="X9" s="32">
        <f t="shared" si="19"/>
        <v>-4.0792658113700142E-2</v>
      </c>
      <c r="Y9" s="32">
        <f t="shared" si="20"/>
        <v>-0.26018381247453526</v>
      </c>
      <c r="Z9" s="38">
        <f t="shared" si="9"/>
        <v>0.86446562406033556</v>
      </c>
      <c r="AA9" s="31">
        <f>SUM(L$2:L9)-SUM(AB$2:AB9)</f>
        <v>-511.65999999999985</v>
      </c>
      <c r="AB9" s="39"/>
      <c r="AC9" s="40">
        <f t="shared" si="3"/>
        <v>-51.604860746720476</v>
      </c>
      <c r="AD9" s="40">
        <f t="shared" si="4"/>
        <v>-1751.6048607467205</v>
      </c>
    </row>
    <row r="10" spans="1:30" s="1" customFormat="1" x14ac:dyDescent="0.25">
      <c r="A10" s="9">
        <v>43102</v>
      </c>
      <c r="B10" s="18" t="s">
        <v>185</v>
      </c>
      <c r="C10" s="15" t="s">
        <v>69</v>
      </c>
      <c r="D10" s="16">
        <v>400</v>
      </c>
      <c r="E10" s="15">
        <v>10.039999999999999</v>
      </c>
      <c r="F10" s="16">
        <f t="shared" si="21"/>
        <v>1300</v>
      </c>
      <c r="G10" s="17">
        <f t="shared" si="6"/>
        <v>10.270519999999999</v>
      </c>
      <c r="H10" s="15">
        <f t="shared" si="7"/>
        <v>13351.675999999999</v>
      </c>
      <c r="I10" s="15">
        <f t="shared" si="0"/>
        <v>-299.6760000000013</v>
      </c>
      <c r="J10" s="33">
        <f t="shared" si="1"/>
        <v>-2.2444822657470147E-2</v>
      </c>
      <c r="K10" s="15">
        <f t="shared" si="2"/>
        <v>13051.999999999998</v>
      </c>
      <c r="L10" s="15">
        <f t="shared" si="8"/>
        <v>211.98399999999856</v>
      </c>
      <c r="M10" s="15">
        <f t="shared" si="10"/>
        <v>5</v>
      </c>
      <c r="N10" s="15">
        <f t="shared" si="11"/>
        <v>4.0159999999999991</v>
      </c>
      <c r="O10" s="15"/>
      <c r="P10" s="32">
        <f t="shared" si="12"/>
        <v>-0.23052000000000028</v>
      </c>
      <c r="Q10" s="31">
        <f t="shared" si="13"/>
        <v>4006.9840000000004</v>
      </c>
      <c r="R10" s="35"/>
      <c r="S10" s="34">
        <f t="shared" si="14"/>
        <v>6648.3240000000005</v>
      </c>
      <c r="T10" s="34">
        <f t="shared" si="15"/>
        <v>662.18366533864548</v>
      </c>
      <c r="U10" s="34">
        <f t="shared" si="16"/>
        <v>1962.1836653386454</v>
      </c>
      <c r="V10" s="31">
        <f t="shared" si="17"/>
        <v>20000</v>
      </c>
      <c r="W10" s="32">
        <f t="shared" si="18"/>
        <v>10.192725764307227</v>
      </c>
      <c r="X10" s="32">
        <f t="shared" si="19"/>
        <v>-7.7794235692772773E-2</v>
      </c>
      <c r="Y10" s="32">
        <f t="shared" si="20"/>
        <v>-0.15272576430722751</v>
      </c>
      <c r="Z10" s="38">
        <f t="shared" si="9"/>
        <v>0.6625271746799698</v>
      </c>
      <c r="AA10" s="31">
        <f>SUM(L$2:L10)-SUM(AB$2:AB10)</f>
        <v>-299.6760000000013</v>
      </c>
      <c r="AB10" s="39"/>
      <c r="AC10" s="40">
        <f t="shared" si="3"/>
        <v>-29.833283067729216</v>
      </c>
      <c r="AD10" s="40">
        <f t="shared" si="4"/>
        <v>-1329.8332830677293</v>
      </c>
    </row>
    <row r="11" spans="1:30" s="1" customFormat="1" x14ac:dyDescent="0.25">
      <c r="A11" s="9">
        <v>43105</v>
      </c>
      <c r="B11" s="18" t="s">
        <v>220</v>
      </c>
      <c r="C11" s="15" t="s">
        <v>69</v>
      </c>
      <c r="D11" s="16">
        <v>400</v>
      </c>
      <c r="E11" s="15">
        <v>10.25</v>
      </c>
      <c r="F11" s="16">
        <f t="shared" si="21"/>
        <v>900</v>
      </c>
      <c r="G11" s="17">
        <f t="shared" si="6"/>
        <v>10.28975111111111</v>
      </c>
      <c r="H11" s="15">
        <f t="shared" si="7"/>
        <v>9260.7759999999998</v>
      </c>
      <c r="I11" s="15">
        <f t="shared" si="0"/>
        <v>-35.77599999999984</v>
      </c>
      <c r="J11" s="33">
        <f t="shared" si="1"/>
        <v>-3.8631751809998821E-3</v>
      </c>
      <c r="K11" s="15">
        <f t="shared" si="2"/>
        <v>9225</v>
      </c>
      <c r="L11" s="15">
        <f t="shared" si="8"/>
        <v>263.90000000000146</v>
      </c>
      <c r="M11" s="15">
        <f t="shared" si="10"/>
        <v>5</v>
      </c>
      <c r="N11" s="15">
        <f t="shared" si="11"/>
        <v>4.0999999999999996</v>
      </c>
      <c r="O11" s="15"/>
      <c r="P11" s="32">
        <f t="shared" si="12"/>
        <v>-3.9751111111110404E-2</v>
      </c>
      <c r="Q11" s="31">
        <f t="shared" si="13"/>
        <v>4090.8999999999996</v>
      </c>
      <c r="R11" s="35"/>
      <c r="S11" s="34">
        <f t="shared" si="14"/>
        <v>10739.224</v>
      </c>
      <c r="T11" s="34">
        <f t="shared" si="15"/>
        <v>1047.7291707317074</v>
      </c>
      <c r="U11" s="34">
        <f t="shared" si="16"/>
        <v>1947.7291707317074</v>
      </c>
      <c r="V11" s="31">
        <f t="shared" si="17"/>
        <v>20000</v>
      </c>
      <c r="W11" s="32">
        <f t="shared" si="18"/>
        <v>10.268368056779968</v>
      </c>
      <c r="X11" s="32">
        <f t="shared" si="19"/>
        <v>-2.1383054331142404E-2</v>
      </c>
      <c r="Y11" s="32">
        <f t="shared" si="20"/>
        <v>-1.8368056779968001E-2</v>
      </c>
      <c r="Z11" s="38">
        <f t="shared" si="9"/>
        <v>0.46207656255509855</v>
      </c>
      <c r="AA11" s="31">
        <f>SUM(L$2:L11)-SUM(AB$2:AB11)</f>
        <v>-35.77599999999984</v>
      </c>
      <c r="AB11" s="39"/>
      <c r="AC11" s="40">
        <f t="shared" si="3"/>
        <v>-3.4885962926829115</v>
      </c>
      <c r="AD11" s="40">
        <f t="shared" si="4"/>
        <v>-903.48859629268293</v>
      </c>
    </row>
    <row r="12" spans="1:30" x14ac:dyDescent="0.25">
      <c r="A12" s="9">
        <v>43111</v>
      </c>
      <c r="B12" s="18"/>
      <c r="C12" s="15" t="s">
        <v>63</v>
      </c>
      <c r="D12" s="16">
        <v>500</v>
      </c>
      <c r="E12" s="15">
        <v>9.89</v>
      </c>
      <c r="F12" s="16">
        <f t="shared" si="21"/>
        <v>1400</v>
      </c>
      <c r="G12" s="17">
        <f t="shared" si="6"/>
        <v>10.150554285714286</v>
      </c>
      <c r="H12" s="15">
        <f t="shared" si="7"/>
        <v>14210.776</v>
      </c>
      <c r="I12" s="10">
        <f t="shared" si="0"/>
        <v>-364.77599999999984</v>
      </c>
      <c r="J12" s="27">
        <f t="shared" si="1"/>
        <v>-2.5668971208890994E-2</v>
      </c>
      <c r="K12" s="10">
        <f t="shared" si="2"/>
        <v>13846</v>
      </c>
      <c r="L12" s="10">
        <f t="shared" si="8"/>
        <v>-329</v>
      </c>
      <c r="M12" s="15">
        <f t="shared" si="10"/>
        <v>5</v>
      </c>
      <c r="N12" s="10">
        <f t="shared" si="11"/>
        <v>0</v>
      </c>
      <c r="O12" s="15"/>
      <c r="P12" s="32">
        <f t="shared" si="12"/>
        <v>-0.26055428571428507</v>
      </c>
      <c r="Q12" s="31">
        <f t="shared" si="13"/>
        <v>-4950</v>
      </c>
      <c r="R12" s="35"/>
      <c r="S12" s="34">
        <f t="shared" si="14"/>
        <v>5789.2240000000002</v>
      </c>
      <c r="T12" s="34">
        <f t="shared" si="15"/>
        <v>585.36137512639027</v>
      </c>
      <c r="U12" s="34">
        <f t="shared" si="16"/>
        <v>1985.3613751263902</v>
      </c>
      <c r="V12" s="31">
        <f t="shared" si="17"/>
        <v>20000</v>
      </c>
      <c r="W12" s="32">
        <f t="shared" si="18"/>
        <v>10.073732797751633</v>
      </c>
      <c r="X12" s="32">
        <f t="shared" si="19"/>
        <v>-7.6821487962652313E-2</v>
      </c>
      <c r="Y12" s="32">
        <f t="shared" si="20"/>
        <v>-0.18373279775163276</v>
      </c>
      <c r="Z12" s="38">
        <f t="shared" si="9"/>
        <v>0.70516129584261433</v>
      </c>
      <c r="AA12" s="31">
        <f>SUM(L$2:L12)-SUM(AB$2:AB12)</f>
        <v>-364.77599999999984</v>
      </c>
      <c r="AB12" s="39"/>
      <c r="AC12" s="40">
        <f t="shared" si="3"/>
        <v>-36.864874823053569</v>
      </c>
      <c r="AD12" s="40">
        <f t="shared" si="4"/>
        <v>-1436.8648748230535</v>
      </c>
    </row>
    <row r="13" spans="1:30" x14ac:dyDescent="0.25">
      <c r="A13" s="9">
        <v>43117</v>
      </c>
      <c r="B13" s="18" t="s">
        <v>475</v>
      </c>
      <c r="C13" s="15" t="s">
        <v>69</v>
      </c>
      <c r="D13" s="16">
        <v>400</v>
      </c>
      <c r="E13" s="15">
        <v>10.16</v>
      </c>
      <c r="F13" s="16">
        <f t="shared" si="21"/>
        <v>1000</v>
      </c>
      <c r="G13" s="17">
        <f t="shared" si="6"/>
        <v>10.15584</v>
      </c>
      <c r="H13" s="15">
        <f t="shared" si="7"/>
        <v>10155.84</v>
      </c>
      <c r="I13" s="19">
        <f t="shared" si="0"/>
        <v>4.1599999999998545</v>
      </c>
      <c r="J13" s="29">
        <f t="shared" si="1"/>
        <v>4.0961653590452466E-4</v>
      </c>
      <c r="K13" s="19">
        <f t="shared" si="2"/>
        <v>10160</v>
      </c>
      <c r="L13" s="19">
        <f t="shared" si="8"/>
        <v>368.93599999999969</v>
      </c>
      <c r="M13" s="15">
        <f t="shared" si="10"/>
        <v>5</v>
      </c>
      <c r="N13" s="19">
        <f t="shared" si="11"/>
        <v>4.0640000000000001</v>
      </c>
      <c r="O13" s="15"/>
      <c r="P13" s="32">
        <f t="shared" si="12"/>
        <v>4.1600000000006077E-3</v>
      </c>
      <c r="Q13" s="31">
        <f t="shared" si="13"/>
        <v>4054.9359999999997</v>
      </c>
      <c r="R13" s="35"/>
      <c r="S13" s="34">
        <f t="shared" si="14"/>
        <v>9844.16</v>
      </c>
      <c r="T13" s="34">
        <f t="shared" si="15"/>
        <v>968.91338582677167</v>
      </c>
      <c r="U13" s="34">
        <f t="shared" si="16"/>
        <v>1968.9133858267717</v>
      </c>
      <c r="V13" s="31">
        <f t="shared" si="17"/>
        <v>20000</v>
      </c>
      <c r="W13" s="32">
        <f t="shared" si="18"/>
        <v>10.15788715947083</v>
      </c>
      <c r="X13" s="32">
        <f t="shared" si="19"/>
        <v>2.0471594708304508E-3</v>
      </c>
      <c r="Y13" s="32">
        <f t="shared" si="20"/>
        <v>2.1128405291701569E-3</v>
      </c>
      <c r="Z13" s="38">
        <f t="shared" si="9"/>
        <v>0.50789435797354154</v>
      </c>
      <c r="AA13" s="31">
        <f>SUM(L$2:L13)-SUM(AB$2:AB13)</f>
        <v>4.1599999999998545</v>
      </c>
      <c r="AB13" s="39"/>
      <c r="AC13" s="40">
        <f t="shared" si="3"/>
        <v>0.40924409448817467</v>
      </c>
      <c r="AD13" s="40">
        <f t="shared" si="4"/>
        <v>-999.59075590551186</v>
      </c>
    </row>
    <row r="14" spans="1:30" x14ac:dyDescent="0.25">
      <c r="A14" s="9">
        <v>43117</v>
      </c>
      <c r="B14" s="18" t="s">
        <v>221</v>
      </c>
      <c r="C14" s="15" t="s">
        <v>69</v>
      </c>
      <c r="D14" s="16">
        <v>400</v>
      </c>
      <c r="E14" s="15">
        <v>10.27</v>
      </c>
      <c r="F14" s="16">
        <f t="shared" si="21"/>
        <v>600</v>
      </c>
      <c r="G14" s="17">
        <f t="shared" si="6"/>
        <v>10.094913333333334</v>
      </c>
      <c r="H14" s="15">
        <f t="shared" si="7"/>
        <v>6056.9480000000003</v>
      </c>
      <c r="I14" s="10">
        <f t="shared" si="0"/>
        <v>105.05199999999968</v>
      </c>
      <c r="J14" s="27">
        <f t="shared" si="1"/>
        <v>1.7344048520806048E-2</v>
      </c>
      <c r="K14" s="10">
        <f t="shared" si="2"/>
        <v>6162</v>
      </c>
      <c r="L14" s="10">
        <f t="shared" si="8"/>
        <v>100.89199999999983</v>
      </c>
      <c r="M14" s="15">
        <f t="shared" si="10"/>
        <v>5</v>
      </c>
      <c r="N14" s="10">
        <f t="shared" si="11"/>
        <v>4.1079999999999997</v>
      </c>
      <c r="O14" s="15"/>
      <c r="P14" s="32">
        <f t="shared" si="12"/>
        <v>0.17508666666666528</v>
      </c>
      <c r="Q14" s="31">
        <f t="shared" si="13"/>
        <v>4098.8919999999998</v>
      </c>
      <c r="R14" s="35"/>
      <c r="S14" s="34">
        <f t="shared" si="14"/>
        <v>13943.052</v>
      </c>
      <c r="T14" s="34">
        <f t="shared" si="15"/>
        <v>1357.6486854917234</v>
      </c>
      <c r="U14" s="34">
        <f t="shared" si="16"/>
        <v>1957.6486854917234</v>
      </c>
      <c r="V14" s="31">
        <f t="shared" si="17"/>
        <v>20000</v>
      </c>
      <c r="W14" s="32">
        <f t="shared" si="18"/>
        <v>10.216337664781966</v>
      </c>
      <c r="X14" s="32">
        <f t="shared" si="19"/>
        <v>0.12142433144863141</v>
      </c>
      <c r="Y14" s="32">
        <f t="shared" si="20"/>
        <v>5.3662335218033874E-2</v>
      </c>
      <c r="Z14" s="38">
        <f t="shared" si="9"/>
        <v>0.30649012994345898</v>
      </c>
      <c r="AA14" s="31">
        <f>SUM(L$2:L14)-SUM(AB$2:AB14)</f>
        <v>105.05199999999968</v>
      </c>
      <c r="AB14" s="41"/>
      <c r="AC14" s="40">
        <f t="shared" si="3"/>
        <v>10.223902044790622</v>
      </c>
      <c r="AD14" s="40">
        <f t="shared" si="4"/>
        <v>-589.77609795520937</v>
      </c>
    </row>
    <row r="15" spans="1:30" x14ac:dyDescent="0.25">
      <c r="A15" s="9">
        <v>43119</v>
      </c>
      <c r="B15" s="18"/>
      <c r="C15" s="15" t="s">
        <v>69</v>
      </c>
      <c r="D15" s="16">
        <v>400</v>
      </c>
      <c r="E15" s="15">
        <v>10.31</v>
      </c>
      <c r="F15" s="16">
        <f t="shared" si="21"/>
        <v>200</v>
      </c>
      <c r="G15" s="17">
        <f t="shared" si="6"/>
        <v>9.7103600000000014</v>
      </c>
      <c r="H15" s="15">
        <f t="shared" si="7"/>
        <v>1942.0720000000003</v>
      </c>
      <c r="I15" s="19">
        <f t="shared" si="0"/>
        <v>119.92799999999966</v>
      </c>
      <c r="J15" s="29">
        <f t="shared" si="1"/>
        <v>6.1752602375195045E-2</v>
      </c>
      <c r="K15" s="19">
        <f t="shared" si="2"/>
        <v>2062</v>
      </c>
      <c r="L15" s="19">
        <f t="shared" si="8"/>
        <v>14.875999999999976</v>
      </c>
      <c r="M15" s="15">
        <f t="shared" si="10"/>
        <v>5</v>
      </c>
      <c r="N15" s="19">
        <f t="shared" si="11"/>
        <v>4.1239999999999997</v>
      </c>
      <c r="O15" s="15"/>
      <c r="P15" s="32">
        <f t="shared" si="12"/>
        <v>0.59963999999999906</v>
      </c>
      <c r="Q15" s="31">
        <f t="shared" si="13"/>
        <v>4114.8760000000002</v>
      </c>
      <c r="R15" s="35"/>
      <c r="S15" s="34">
        <f t="shared" si="14"/>
        <v>18057.928</v>
      </c>
      <c r="T15" s="34">
        <f t="shared" si="15"/>
        <v>1751.4964112512123</v>
      </c>
      <c r="U15" s="34">
        <f t="shared" si="16"/>
        <v>1951.4964112512123</v>
      </c>
      <c r="V15" s="31">
        <f t="shared" si="17"/>
        <v>20000</v>
      </c>
      <c r="W15" s="32">
        <f t="shared" si="18"/>
        <v>10.248545621038009</v>
      </c>
      <c r="X15" s="32">
        <f t="shared" si="19"/>
        <v>0.53818562103800716</v>
      </c>
      <c r="Y15" s="32">
        <f t="shared" si="20"/>
        <v>6.1454378961991907E-2</v>
      </c>
      <c r="Z15" s="38">
        <f t="shared" si="9"/>
        <v>0.10248545621038008</v>
      </c>
      <c r="AA15" s="31">
        <f>SUM(L$2:L15)-SUM(AB$2:AB15)</f>
        <v>119.92799999999966</v>
      </c>
      <c r="AB15" s="41"/>
      <c r="AC15" s="40">
        <f t="shared" si="3"/>
        <v>11.626385645004817</v>
      </c>
      <c r="AD15" s="40">
        <f t="shared" si="4"/>
        <v>-188.3736143549952</v>
      </c>
    </row>
    <row r="16" spans="1:30" x14ac:dyDescent="0.25">
      <c r="A16" s="9">
        <v>43119</v>
      </c>
      <c r="B16" s="18"/>
      <c r="C16" s="15" t="s">
        <v>69</v>
      </c>
      <c r="D16" s="16">
        <v>100</v>
      </c>
      <c r="E16" s="15">
        <v>10.6</v>
      </c>
      <c r="F16" s="16">
        <f t="shared" si="21"/>
        <v>100</v>
      </c>
      <c r="G16" s="17">
        <f t="shared" ref="G16:G23" si="22">H16/F16</f>
        <v>8.8813200000000023</v>
      </c>
      <c r="H16" s="15">
        <f t="shared" ref="H16:H23" si="23">IF(C16="买",H15+D16*E16+M16+N16,H15+-1*D16*E16+M16+N16)+O15</f>
        <v>888.13200000000029</v>
      </c>
      <c r="I16" s="10">
        <f t="shared" si="0"/>
        <v>171.86799999999971</v>
      </c>
      <c r="J16" s="27">
        <f t="shared" si="1"/>
        <v>0.19351627911166322</v>
      </c>
      <c r="K16" s="10">
        <f t="shared" si="2"/>
        <v>1060</v>
      </c>
      <c r="L16" s="10">
        <f t="shared" si="8"/>
        <v>51.940000000000055</v>
      </c>
      <c r="M16" s="15">
        <f t="shared" si="10"/>
        <v>5</v>
      </c>
      <c r="N16" s="10">
        <f t="shared" si="11"/>
        <v>1.06</v>
      </c>
      <c r="O16" s="15"/>
      <c r="P16" s="32">
        <f t="shared" si="12"/>
        <v>1.7186799999999973</v>
      </c>
      <c r="Q16" s="31">
        <f t="shared" si="13"/>
        <v>1053.94</v>
      </c>
      <c r="R16" s="35"/>
      <c r="S16" s="34">
        <f t="shared" si="14"/>
        <v>19111.867999999999</v>
      </c>
      <c r="T16" s="34">
        <f t="shared" si="15"/>
        <v>1803.0064150943394</v>
      </c>
      <c r="U16" s="34">
        <f t="shared" si="16"/>
        <v>1903.0064150943394</v>
      </c>
      <c r="V16" s="31">
        <f t="shared" si="17"/>
        <v>20000</v>
      </c>
      <c r="W16" s="32">
        <f t="shared" si="18"/>
        <v>10.509686063779519</v>
      </c>
      <c r="X16" s="32">
        <f t="shared" si="19"/>
        <v>1.6283660637795165</v>
      </c>
      <c r="Y16" s="32">
        <f t="shared" si="20"/>
        <v>9.0313936220480784E-2</v>
      </c>
      <c r="Z16" s="38">
        <f t="shared" si="9"/>
        <v>5.2548430318897589E-2</v>
      </c>
      <c r="AA16" s="31">
        <f>SUM(L$2:L16)-SUM(AB$2:AB16)</f>
        <v>171.86799999999971</v>
      </c>
      <c r="AB16" s="41"/>
      <c r="AC16" s="40">
        <f t="shared" si="3"/>
        <v>16.205855283018842</v>
      </c>
      <c r="AD16" s="40">
        <f t="shared" si="4"/>
        <v>-83.794144716981151</v>
      </c>
    </row>
    <row r="17" spans="1:30" x14ac:dyDescent="0.25">
      <c r="A17" s="9">
        <v>43131</v>
      </c>
      <c r="B17" s="18" t="s">
        <v>594</v>
      </c>
      <c r="C17" s="15" t="s">
        <v>63</v>
      </c>
      <c r="D17" s="16">
        <v>500</v>
      </c>
      <c r="E17" s="15">
        <v>9.84</v>
      </c>
      <c r="F17" s="16">
        <f t="shared" si="21"/>
        <v>600</v>
      </c>
      <c r="G17" s="17">
        <f t="shared" si="22"/>
        <v>9.6885533333333349</v>
      </c>
      <c r="H17" s="15">
        <f t="shared" si="23"/>
        <v>5813.1320000000005</v>
      </c>
      <c r="I17" s="19">
        <f t="shared" si="0"/>
        <v>90.867999999999483</v>
      </c>
      <c r="J17" s="29">
        <f t="shared" si="1"/>
        <v>1.5631504669083543E-2</v>
      </c>
      <c r="K17" s="19">
        <f t="shared" si="2"/>
        <v>5904</v>
      </c>
      <c r="L17" s="19">
        <f t="shared" si="8"/>
        <v>-81.000000000000227</v>
      </c>
      <c r="M17" s="15">
        <f t="shared" si="10"/>
        <v>5</v>
      </c>
      <c r="N17" s="19">
        <f t="shared" si="11"/>
        <v>0</v>
      </c>
      <c r="O17" s="15"/>
      <c r="P17" s="32">
        <f t="shared" si="12"/>
        <v>0.15144666666666495</v>
      </c>
      <c r="Q17" s="31">
        <f t="shared" si="13"/>
        <v>-4925</v>
      </c>
      <c r="R17" s="35"/>
      <c r="S17" s="34">
        <f t="shared" si="14"/>
        <v>14186.867999999999</v>
      </c>
      <c r="T17" s="34">
        <f t="shared" si="15"/>
        <v>1441.7548780487803</v>
      </c>
      <c r="U17" s="34">
        <f t="shared" si="16"/>
        <v>2041.7548780487803</v>
      </c>
      <c r="V17" s="31">
        <f t="shared" si="17"/>
        <v>20000</v>
      </c>
      <c r="W17" s="32">
        <f t="shared" si="18"/>
        <v>9.7954951473475429</v>
      </c>
      <c r="X17" s="32">
        <f t="shared" si="19"/>
        <v>0.10694181401420799</v>
      </c>
      <c r="Y17" s="32">
        <f t="shared" si="20"/>
        <v>4.4504852652456961E-2</v>
      </c>
      <c r="Z17" s="38">
        <f t="shared" si="9"/>
        <v>0.29386485442042626</v>
      </c>
      <c r="AA17" s="31">
        <f>SUM(L$2:L17)-SUM(AB$2:AB17)</f>
        <v>90.867999999999483</v>
      </c>
      <c r="AB17" s="41"/>
      <c r="AC17" s="40">
        <f t="shared" si="3"/>
        <v>9.2299355691056402</v>
      </c>
      <c r="AD17" s="40">
        <f t="shared" si="4"/>
        <v>-590.77006443089431</v>
      </c>
    </row>
    <row r="18" spans="1:30" x14ac:dyDescent="0.25">
      <c r="A18" s="9">
        <v>43132</v>
      </c>
      <c r="B18" s="18" t="s">
        <v>611</v>
      </c>
      <c r="C18" s="15" t="s">
        <v>63</v>
      </c>
      <c r="D18" s="16">
        <v>500</v>
      </c>
      <c r="E18" s="15">
        <v>9.44</v>
      </c>
      <c r="F18" s="16">
        <f t="shared" si="21"/>
        <v>1100</v>
      </c>
      <c r="G18" s="17">
        <f t="shared" si="22"/>
        <v>9.5801200000000009</v>
      </c>
      <c r="H18" s="15">
        <f t="shared" si="23"/>
        <v>10538.132000000001</v>
      </c>
      <c r="I18" s="10">
        <f t="shared" si="0"/>
        <v>-154.13200000000143</v>
      </c>
      <c r="J18" s="27">
        <f t="shared" si="1"/>
        <v>-1.462612159346661E-2</v>
      </c>
      <c r="K18" s="10">
        <f t="shared" si="2"/>
        <v>10384</v>
      </c>
      <c r="L18" s="10">
        <f t="shared" si="8"/>
        <v>-245.00000000000091</v>
      </c>
      <c r="M18" s="15">
        <f t="shared" si="10"/>
        <v>5</v>
      </c>
      <c r="N18" s="10">
        <f t="shared" si="11"/>
        <v>0</v>
      </c>
      <c r="O18" s="15"/>
      <c r="P18" s="32">
        <f t="shared" si="12"/>
        <v>-0.14012000000000135</v>
      </c>
      <c r="Q18" s="31">
        <f t="shared" si="13"/>
        <v>-4725.0000000000009</v>
      </c>
      <c r="R18" s="35"/>
      <c r="S18" s="34">
        <f t="shared" si="14"/>
        <v>9461.8679999999986</v>
      </c>
      <c r="T18" s="34">
        <f t="shared" si="15"/>
        <v>1002.3165254237288</v>
      </c>
      <c r="U18" s="34">
        <f t="shared" si="16"/>
        <v>2102.3165254237288</v>
      </c>
      <c r="V18" s="31">
        <f t="shared" si="17"/>
        <v>20000</v>
      </c>
      <c r="W18" s="32">
        <f t="shared" si="18"/>
        <v>9.513315315812843</v>
      </c>
      <c r="X18" s="32">
        <f t="shared" si="19"/>
        <v>-6.6804684187157903E-2</v>
      </c>
      <c r="Y18" s="32">
        <f t="shared" si="20"/>
        <v>-7.3315315812843451E-2</v>
      </c>
      <c r="Z18" s="38">
        <f t="shared" si="9"/>
        <v>0.52323234236970639</v>
      </c>
      <c r="AA18" s="31">
        <f>SUM(L$2:L18)-SUM(AB$2:AB18)</f>
        <v>-154.13200000000143</v>
      </c>
      <c r="AB18" s="41"/>
      <c r="AC18" s="40">
        <f t="shared" si="3"/>
        <v>-16.319378601695067</v>
      </c>
      <c r="AD18" s="40">
        <f t="shared" si="4"/>
        <v>-1116.319378601695</v>
      </c>
    </row>
    <row r="19" spans="1:30" s="1" customFormat="1" x14ac:dyDescent="0.25">
      <c r="A19" s="9">
        <v>43132</v>
      </c>
      <c r="B19" s="18"/>
      <c r="C19" s="15" t="s">
        <v>63</v>
      </c>
      <c r="D19" s="16">
        <v>500</v>
      </c>
      <c r="E19" s="15">
        <v>9.09</v>
      </c>
      <c r="F19" s="16">
        <f t="shared" si="21"/>
        <v>1600</v>
      </c>
      <c r="G19" s="17">
        <f t="shared" si="22"/>
        <v>9.430082500000001</v>
      </c>
      <c r="H19" s="15">
        <f t="shared" si="23"/>
        <v>15088.132000000001</v>
      </c>
      <c r="I19" s="15">
        <f t="shared" si="0"/>
        <v>-544.13200000000143</v>
      </c>
      <c r="J19" s="33">
        <f t="shared" si="1"/>
        <v>-3.6063576326082106E-2</v>
      </c>
      <c r="K19" s="15">
        <f t="shared" si="2"/>
        <v>14544</v>
      </c>
      <c r="L19" s="15">
        <f t="shared" si="8"/>
        <v>-390</v>
      </c>
      <c r="M19" s="15">
        <f t="shared" si="10"/>
        <v>5</v>
      </c>
      <c r="N19" s="15">
        <f t="shared" si="11"/>
        <v>0</v>
      </c>
      <c r="O19" s="15"/>
      <c r="P19" s="32">
        <f t="shared" si="12"/>
        <v>-0.34008250000000118</v>
      </c>
      <c r="Q19" s="31">
        <f t="shared" si="13"/>
        <v>-4550</v>
      </c>
      <c r="R19" s="35"/>
      <c r="S19" s="34">
        <f t="shared" si="14"/>
        <v>4911.8679999999986</v>
      </c>
      <c r="T19" s="34">
        <f t="shared" si="15"/>
        <v>540.35951595159497</v>
      </c>
      <c r="U19" s="34">
        <f t="shared" si="16"/>
        <v>2140.3595159515949</v>
      </c>
      <c r="V19" s="31">
        <f t="shared" si="17"/>
        <v>20000</v>
      </c>
      <c r="W19" s="32">
        <f t="shared" si="18"/>
        <v>9.3442245804710442</v>
      </c>
      <c r="X19" s="32">
        <f t="shared" si="19"/>
        <v>-8.5857919528956828E-2</v>
      </c>
      <c r="Y19" s="32">
        <f t="shared" si="20"/>
        <v>-0.25422458047104435</v>
      </c>
      <c r="Z19" s="38">
        <f t="shared" si="9"/>
        <v>0.74753796643768355</v>
      </c>
      <c r="AA19" s="31">
        <f>SUM(L$2:L19)-SUM(AB$2:AB19)</f>
        <v>-544.13200000000143</v>
      </c>
      <c r="AB19" s="41"/>
      <c r="AC19" s="40">
        <f t="shared" si="3"/>
        <v>-59.830575797579918</v>
      </c>
      <c r="AD19" s="40">
        <f t="shared" si="4"/>
        <v>-1659.83057579758</v>
      </c>
    </row>
    <row r="20" spans="1:30" s="1" customFormat="1" x14ac:dyDescent="0.25">
      <c r="A20" s="9">
        <v>43137</v>
      </c>
      <c r="B20" s="18"/>
      <c r="C20" s="15" t="s">
        <v>63</v>
      </c>
      <c r="D20" s="16">
        <v>500</v>
      </c>
      <c r="E20" s="15">
        <v>8.83</v>
      </c>
      <c r="F20" s="16">
        <f t="shared" si="21"/>
        <v>2100</v>
      </c>
      <c r="G20" s="17">
        <f t="shared" si="22"/>
        <v>9.2895866666666667</v>
      </c>
      <c r="H20" s="15">
        <f t="shared" si="23"/>
        <v>19508.132000000001</v>
      </c>
      <c r="I20" s="15">
        <f t="shared" si="0"/>
        <v>-965.13200000000143</v>
      </c>
      <c r="J20" s="33">
        <f t="shared" si="1"/>
        <v>-4.9473317076181349E-2</v>
      </c>
      <c r="K20" s="15">
        <f t="shared" si="2"/>
        <v>18543</v>
      </c>
      <c r="L20" s="15">
        <f t="shared" si="8"/>
        <v>-421</v>
      </c>
      <c r="M20" s="15">
        <f t="shared" si="10"/>
        <v>5</v>
      </c>
      <c r="N20" s="15">
        <f t="shared" si="11"/>
        <v>0</v>
      </c>
      <c r="O20" s="15"/>
      <c r="P20" s="32">
        <f t="shared" si="12"/>
        <v>-0.45958666666666659</v>
      </c>
      <c r="Q20" s="31">
        <f t="shared" si="13"/>
        <v>-4420</v>
      </c>
      <c r="R20" s="35"/>
      <c r="S20" s="34">
        <f t="shared" si="14"/>
        <v>491.86799999999857</v>
      </c>
      <c r="T20" s="34">
        <f t="shared" si="15"/>
        <v>55.704190260475492</v>
      </c>
      <c r="U20" s="34">
        <f t="shared" si="16"/>
        <v>2155.7041902604756</v>
      </c>
      <c r="V20" s="31">
        <f t="shared" si="17"/>
        <v>20000</v>
      </c>
      <c r="W20" s="32">
        <f t="shared" si="18"/>
        <v>9.2777107779260675</v>
      </c>
      <c r="X20" s="32">
        <f t="shared" si="19"/>
        <v>-1.1875888740599194E-2</v>
      </c>
      <c r="Y20" s="32">
        <f t="shared" si="20"/>
        <v>-0.44771077792606739</v>
      </c>
      <c r="Z20" s="38">
        <f t="shared" si="9"/>
        <v>0.97415963168223707</v>
      </c>
      <c r="AA20" s="31">
        <f>SUM(L$2:L20)-SUM(AB$2:AB20)</f>
        <v>-965.13200000000143</v>
      </c>
      <c r="AB20" s="41"/>
      <c r="AC20" s="40">
        <f t="shared" si="3"/>
        <v>-109.24682151755397</v>
      </c>
      <c r="AD20" s="40">
        <f t="shared" si="4"/>
        <v>-2209.2468215175541</v>
      </c>
    </row>
    <row r="21" spans="1:30" s="1" customFormat="1" x14ac:dyDescent="0.25">
      <c r="A21" s="9">
        <v>43137</v>
      </c>
      <c r="B21" s="18"/>
      <c r="C21" s="15" t="s">
        <v>63</v>
      </c>
      <c r="D21" s="16">
        <v>500</v>
      </c>
      <c r="E21" s="15">
        <v>8.58</v>
      </c>
      <c r="F21" s="16">
        <f t="shared" si="21"/>
        <v>2600</v>
      </c>
      <c r="G21" s="17">
        <f t="shared" si="22"/>
        <v>9.155050769230769</v>
      </c>
      <c r="H21" s="15">
        <f t="shared" si="23"/>
        <v>23803.132000000001</v>
      </c>
      <c r="I21" s="15">
        <f t="shared" si="0"/>
        <v>-1495.1320000000014</v>
      </c>
      <c r="J21" s="33">
        <f t="shared" si="1"/>
        <v>-6.2812406367363724E-2</v>
      </c>
      <c r="K21" s="15">
        <f t="shared" si="2"/>
        <v>22308</v>
      </c>
      <c r="L21" s="15">
        <f t="shared" si="8"/>
        <v>-530</v>
      </c>
      <c r="M21" s="15">
        <f t="shared" si="10"/>
        <v>5</v>
      </c>
      <c r="N21" s="15">
        <f t="shared" si="11"/>
        <v>0</v>
      </c>
      <c r="O21" s="15"/>
      <c r="P21" s="32">
        <f t="shared" si="12"/>
        <v>-0.57505076923076892</v>
      </c>
      <c r="Q21" s="31">
        <f t="shared" si="13"/>
        <v>-4295</v>
      </c>
      <c r="R21" s="35"/>
      <c r="S21" s="34">
        <f t="shared" si="14"/>
        <v>-3803.1320000000014</v>
      </c>
      <c r="T21" s="34">
        <f t="shared" si="15"/>
        <v>-443.25547785547803</v>
      </c>
      <c r="U21" s="34">
        <f t="shared" si="16"/>
        <v>2156.7445221445219</v>
      </c>
      <c r="V21" s="31">
        <f t="shared" si="17"/>
        <v>20000</v>
      </c>
      <c r="W21" s="32">
        <f t="shared" si="18"/>
        <v>9.2732355615830393</v>
      </c>
      <c r="X21" s="32">
        <f t="shared" si="19"/>
        <v>0.11818479235227031</v>
      </c>
      <c r="Y21" s="32">
        <f t="shared" si="20"/>
        <v>-0.69323556158303923</v>
      </c>
      <c r="Z21" s="38">
        <f t="shared" si="9"/>
        <v>1.2055206230057951</v>
      </c>
      <c r="AA21" s="31">
        <f>SUM(L$2:L21)-SUM(AB$2:AB21)</f>
        <v>-1495.1320000000014</v>
      </c>
      <c r="AB21" s="41"/>
      <c r="AC21" s="40">
        <f t="shared" si="3"/>
        <v>-174.1706799533801</v>
      </c>
      <c r="AD21" s="40">
        <f t="shared" si="4"/>
        <v>-2774.1706799533799</v>
      </c>
    </row>
    <row r="22" spans="1:30" s="1" customFormat="1" x14ac:dyDescent="0.25">
      <c r="A22" s="9">
        <v>43140</v>
      </c>
      <c r="B22" s="18"/>
      <c r="C22" s="15" t="s">
        <v>63</v>
      </c>
      <c r="D22" s="16">
        <v>500</v>
      </c>
      <c r="E22" s="15">
        <v>8.31</v>
      </c>
      <c r="F22" s="16">
        <f t="shared" si="21"/>
        <v>3100</v>
      </c>
      <c r="G22" s="17">
        <f t="shared" si="22"/>
        <v>9.0203651612903233</v>
      </c>
      <c r="H22" s="15">
        <f t="shared" si="23"/>
        <v>27963.132000000001</v>
      </c>
      <c r="I22" s="15">
        <f t="shared" si="0"/>
        <v>-2202.1320000000014</v>
      </c>
      <c r="J22" s="33">
        <f t="shared" si="1"/>
        <v>-7.8751264343350391E-2</v>
      </c>
      <c r="K22" s="15">
        <f t="shared" si="2"/>
        <v>25761</v>
      </c>
      <c r="L22" s="15">
        <f t="shared" si="8"/>
        <v>-707</v>
      </c>
      <c r="M22" s="15">
        <f t="shared" si="10"/>
        <v>5</v>
      </c>
      <c r="N22" s="15">
        <f t="shared" si="11"/>
        <v>0</v>
      </c>
      <c r="O22" s="15"/>
      <c r="P22" s="32">
        <f t="shared" si="12"/>
        <v>-0.71036516129032279</v>
      </c>
      <c r="Q22" s="31">
        <f t="shared" si="13"/>
        <v>-4160</v>
      </c>
      <c r="R22" s="35"/>
      <c r="S22" s="34">
        <f t="shared" si="14"/>
        <v>-7963.1320000000014</v>
      </c>
      <c r="T22" s="34">
        <f t="shared" si="15"/>
        <v>-958.25896510228654</v>
      </c>
      <c r="U22" s="34">
        <f t="shared" si="16"/>
        <v>2141.7410348977137</v>
      </c>
      <c r="V22" s="31">
        <f t="shared" si="17"/>
        <v>20000</v>
      </c>
      <c r="W22" s="32">
        <f t="shared" si="18"/>
        <v>9.3381971368705514</v>
      </c>
      <c r="X22" s="32">
        <f t="shared" si="19"/>
        <v>0.31783197558022813</v>
      </c>
      <c r="Y22" s="32">
        <f t="shared" si="20"/>
        <v>-1.0281971368705509</v>
      </c>
      <c r="Z22" s="38">
        <f t="shared" si="9"/>
        <v>1.4474205562149354</v>
      </c>
      <c r="AA22" s="31">
        <f>SUM(L$2:L22)-SUM(AB$2:AB22)</f>
        <v>-2202.1320000000014</v>
      </c>
      <c r="AB22" s="41"/>
      <c r="AC22" s="40">
        <f t="shared" si="3"/>
        <v>-264.8653350180507</v>
      </c>
      <c r="AD22" s="40">
        <f t="shared" si="4"/>
        <v>-3364.8653350180507</v>
      </c>
    </row>
    <row r="23" spans="1:30" s="1" customFormat="1" x14ac:dyDescent="0.25">
      <c r="A23" s="9">
        <v>43144</v>
      </c>
      <c r="B23" s="18" t="s">
        <v>187</v>
      </c>
      <c r="C23" s="15" t="s">
        <v>69</v>
      </c>
      <c r="D23" s="16">
        <v>400</v>
      </c>
      <c r="E23" s="15">
        <v>8.58</v>
      </c>
      <c r="F23" s="16">
        <f t="shared" si="21"/>
        <v>2700</v>
      </c>
      <c r="G23" s="17">
        <f t="shared" si="22"/>
        <v>9.0887274074074078</v>
      </c>
      <c r="H23" s="15">
        <f t="shared" si="23"/>
        <v>24539.564000000002</v>
      </c>
      <c r="I23" s="15">
        <f t="shared" si="0"/>
        <v>-1373.5640000000021</v>
      </c>
      <c r="J23" s="33">
        <f t="shared" si="1"/>
        <v>-5.5973447613005711E-2</v>
      </c>
      <c r="K23" s="15">
        <f t="shared" si="2"/>
        <v>23166</v>
      </c>
      <c r="L23" s="15">
        <f t="shared" si="8"/>
        <v>828.5679999999993</v>
      </c>
      <c r="M23" s="15">
        <f t="shared" si="10"/>
        <v>5</v>
      </c>
      <c r="N23" s="15">
        <f t="shared" si="11"/>
        <v>3.4319999999999999</v>
      </c>
      <c r="O23" s="15"/>
      <c r="P23" s="32">
        <f t="shared" si="12"/>
        <v>-0.50872740740740774</v>
      </c>
      <c r="Q23" s="31">
        <f t="shared" si="13"/>
        <v>3423.5679999999993</v>
      </c>
      <c r="R23" s="35"/>
      <c r="S23" s="34">
        <f t="shared" si="14"/>
        <v>-4539.5640000000021</v>
      </c>
      <c r="T23" s="34">
        <f t="shared" si="15"/>
        <v>-529.08671328671358</v>
      </c>
      <c r="U23" s="34">
        <f t="shared" si="16"/>
        <v>2170.9132867132867</v>
      </c>
      <c r="V23" s="31">
        <f t="shared" si="17"/>
        <v>20000</v>
      </c>
      <c r="W23" s="32">
        <f t="shared" si="18"/>
        <v>9.2127125124742069</v>
      </c>
      <c r="X23" s="32">
        <f t="shared" si="19"/>
        <v>0.12398510506679905</v>
      </c>
      <c r="Y23" s="32">
        <f t="shared" si="20"/>
        <v>-0.63271251247420679</v>
      </c>
      <c r="Z23" s="38">
        <f t="shared" si="9"/>
        <v>1.2437161891840178</v>
      </c>
      <c r="AA23" s="31">
        <f>SUM(L$2:L23)-SUM(AB$2:AB23)</f>
        <v>-1373.5640000000021</v>
      </c>
      <c r="AB23" s="41"/>
      <c r="AC23" s="40">
        <f t="shared" si="3"/>
        <v>-160.00899976690002</v>
      </c>
      <c r="AD23" s="40">
        <f t="shared" si="4"/>
        <v>-2860.0089997669002</v>
      </c>
    </row>
    <row r="24" spans="1:30" s="1" customFormat="1" x14ac:dyDescent="0.25">
      <c r="A24" s="9">
        <v>43157</v>
      </c>
      <c r="B24" s="18" t="s">
        <v>223</v>
      </c>
      <c r="C24" s="15" t="s">
        <v>69</v>
      </c>
      <c r="D24" s="16">
        <v>400</v>
      </c>
      <c r="E24" s="15">
        <v>8.7200000000000006</v>
      </c>
      <c r="F24" s="16">
        <f t="shared" ref="F24:F34" si="24">IF(C24="买",F23+D24,F23-D24)</f>
        <v>2300</v>
      </c>
      <c r="G24" s="17">
        <f t="shared" ref="G24:G34" si="25">H24/F24</f>
        <v>9.1565443478260882</v>
      </c>
      <c r="H24" s="15">
        <f t="shared" ref="H24:H34" si="26">IF(C24="买",H23+D24*E24+M24+N24,H23+-1*D24*E24+M24+N24)+O23</f>
        <v>21060.052000000003</v>
      </c>
      <c r="I24" s="15">
        <f t="shared" si="0"/>
        <v>-1004.0520000000033</v>
      </c>
      <c r="J24" s="33">
        <f t="shared" si="1"/>
        <v>-4.7675665758090305E-2</v>
      </c>
      <c r="K24" s="15">
        <f t="shared" si="2"/>
        <v>20056</v>
      </c>
      <c r="L24" s="15">
        <f t="shared" si="8"/>
        <v>369.51199999999881</v>
      </c>
      <c r="M24" s="15">
        <f t="shared" si="10"/>
        <v>5</v>
      </c>
      <c r="N24" s="15">
        <f t="shared" si="11"/>
        <v>3.4880000000000004</v>
      </c>
      <c r="O24" s="15"/>
      <c r="P24" s="32">
        <f t="shared" si="12"/>
        <v>-0.43654434782608753</v>
      </c>
      <c r="Q24" s="31">
        <f t="shared" si="13"/>
        <v>3479.5119999999988</v>
      </c>
      <c r="R24" s="35"/>
      <c r="S24" s="34">
        <f t="shared" si="14"/>
        <v>-1060.0520000000033</v>
      </c>
      <c r="T24" s="34">
        <f t="shared" si="15"/>
        <v>-121.5655963302756</v>
      </c>
      <c r="U24" s="34">
        <f t="shared" si="16"/>
        <v>2178.4344036697244</v>
      </c>
      <c r="V24" s="31">
        <f t="shared" si="17"/>
        <v>20000</v>
      </c>
      <c r="W24" s="32">
        <f t="shared" si="18"/>
        <v>9.1809053172813506</v>
      </c>
      <c r="X24" s="32">
        <f t="shared" si="19"/>
        <v>2.4360969455262449E-2</v>
      </c>
      <c r="Y24" s="32">
        <f t="shared" si="20"/>
        <v>-0.46090531728134998</v>
      </c>
      <c r="Z24" s="38">
        <f t="shared" si="9"/>
        <v>1.0558041114873553</v>
      </c>
      <c r="AA24" s="31">
        <f>SUM(L$2:L24)-SUM(AB$2:AB24)</f>
        <v>-1004.0520000000033</v>
      </c>
      <c r="AB24" s="41"/>
      <c r="AC24" s="40">
        <f t="shared" si="3"/>
        <v>-115.08600619266093</v>
      </c>
      <c r="AD24" s="40">
        <f t="shared" si="4"/>
        <v>-2415.086006192661</v>
      </c>
    </row>
    <row r="25" spans="1:30" s="1" customFormat="1" x14ac:dyDescent="0.25">
      <c r="A25" s="9">
        <v>43161</v>
      </c>
      <c r="B25" s="20" t="s">
        <v>609</v>
      </c>
      <c r="C25" s="15" t="s">
        <v>69</v>
      </c>
      <c r="D25" s="16">
        <v>500</v>
      </c>
      <c r="E25" s="15">
        <v>9.65</v>
      </c>
      <c r="F25" s="16">
        <f t="shared" si="24"/>
        <v>1800</v>
      </c>
      <c r="G25" s="17">
        <f t="shared" si="25"/>
        <v>9.024931666666669</v>
      </c>
      <c r="H25" s="15">
        <f t="shared" si="26"/>
        <v>16244.877000000004</v>
      </c>
      <c r="I25" s="15">
        <f t="shared" si="0"/>
        <v>1125.122999999996</v>
      </c>
      <c r="J25" s="33">
        <f t="shared" si="1"/>
        <v>6.9260173530399524E-2</v>
      </c>
      <c r="K25" s="15">
        <f t="shared" si="2"/>
        <v>17370</v>
      </c>
      <c r="L25" s="15">
        <f t="shared" si="8"/>
        <v>2129.1749999999993</v>
      </c>
      <c r="M25" s="15">
        <f t="shared" si="10"/>
        <v>5</v>
      </c>
      <c r="N25" s="15">
        <f t="shared" si="11"/>
        <v>4.8250000000000002</v>
      </c>
      <c r="O25" s="15"/>
      <c r="P25" s="32">
        <f t="shared" si="12"/>
        <v>0.62506833333333134</v>
      </c>
      <c r="Q25" s="31">
        <f t="shared" si="13"/>
        <v>4815.1749999999993</v>
      </c>
      <c r="R25" s="35"/>
      <c r="S25" s="34">
        <f t="shared" si="14"/>
        <v>3755.122999999996</v>
      </c>
      <c r="T25" s="34">
        <f t="shared" si="15"/>
        <v>389.13191709844517</v>
      </c>
      <c r="U25" s="34">
        <f t="shared" si="16"/>
        <v>2189.1319170984452</v>
      </c>
      <c r="V25" s="31">
        <f t="shared" si="17"/>
        <v>20000</v>
      </c>
      <c r="W25" s="32">
        <f t="shared" si="18"/>
        <v>9.1360414800898457</v>
      </c>
      <c r="X25" s="32">
        <f t="shared" si="19"/>
        <v>0.11110981342317672</v>
      </c>
      <c r="Y25" s="32">
        <f t="shared" si="20"/>
        <v>0.51395851991015462</v>
      </c>
      <c r="Z25" s="38">
        <f t="shared" si="9"/>
        <v>0.82224373320808608</v>
      </c>
      <c r="AA25" s="31">
        <f>SUM(L$2:L25)-SUM(AB$2:AB25)</f>
        <v>1125.122999999996</v>
      </c>
      <c r="AB25" s="42"/>
      <c r="AC25" s="40">
        <f t="shared" si="3"/>
        <v>116.53476046632082</v>
      </c>
      <c r="AD25" s="40">
        <f t="shared" si="4"/>
        <v>-1683.4652395336791</v>
      </c>
    </row>
    <row r="26" spans="1:30" s="1" customFormat="1" x14ac:dyDescent="0.25">
      <c r="A26" s="9">
        <v>43161</v>
      </c>
      <c r="B26" s="20"/>
      <c r="C26" s="15" t="s">
        <v>69</v>
      </c>
      <c r="D26" s="16">
        <v>400</v>
      </c>
      <c r="E26" s="15">
        <v>9.4600000000000009</v>
      </c>
      <c r="F26" s="16">
        <f t="shared" si="24"/>
        <v>1400</v>
      </c>
      <c r="G26" s="17">
        <f t="shared" si="25"/>
        <v>8.9069007142857171</v>
      </c>
      <c r="H26" s="15">
        <f t="shared" si="26"/>
        <v>12469.661000000004</v>
      </c>
      <c r="I26" s="15">
        <f t="shared" si="0"/>
        <v>774.33899999999812</v>
      </c>
      <c r="J26" s="33">
        <f t="shared" si="1"/>
        <v>6.2097838906767157E-2</v>
      </c>
      <c r="K26" s="15">
        <f t="shared" si="2"/>
        <v>13244.000000000002</v>
      </c>
      <c r="L26" s="15">
        <f t="shared" si="8"/>
        <v>-350.78399999999783</v>
      </c>
      <c r="M26" s="15">
        <f t="shared" si="10"/>
        <v>5</v>
      </c>
      <c r="N26" s="15">
        <f t="shared" si="11"/>
        <v>3.7840000000000003</v>
      </c>
      <c r="O26" s="15"/>
      <c r="P26" s="32">
        <f t="shared" si="12"/>
        <v>0.55309928571428379</v>
      </c>
      <c r="Q26" s="31">
        <f t="shared" si="13"/>
        <v>3775.2160000000003</v>
      </c>
      <c r="R26" s="35"/>
      <c r="S26" s="34">
        <f t="shared" si="14"/>
        <v>7530.3389999999963</v>
      </c>
      <c r="T26" s="34">
        <f t="shared" si="15"/>
        <v>796.01892177589809</v>
      </c>
      <c r="U26" s="34">
        <f t="shared" si="16"/>
        <v>2196.018921775898</v>
      </c>
      <c r="V26" s="31">
        <f t="shared" si="17"/>
        <v>20000</v>
      </c>
      <c r="W26" s="32">
        <f t="shared" si="18"/>
        <v>9.1073896502796092</v>
      </c>
      <c r="X26" s="32">
        <f t="shared" si="19"/>
        <v>0.20048893599389217</v>
      </c>
      <c r="Y26" s="32">
        <f t="shared" si="20"/>
        <v>0.35261034972039162</v>
      </c>
      <c r="Z26" s="38">
        <f t="shared" si="9"/>
        <v>0.6375172755195726</v>
      </c>
      <c r="AA26" s="31">
        <f>SUM(L$2:L26)-SUM(AB$2:AB26)</f>
        <v>774.33899999999812</v>
      </c>
      <c r="AB26" s="43"/>
      <c r="AC26" s="40">
        <f t="shared" si="3"/>
        <v>81.81308990486238</v>
      </c>
      <c r="AD26" s="40">
        <f t="shared" si="4"/>
        <v>-1318.1869100951376</v>
      </c>
    </row>
    <row r="27" spans="1:30" s="1" customFormat="1" x14ac:dyDescent="0.25">
      <c r="A27" s="9">
        <v>43161</v>
      </c>
      <c r="B27" s="20"/>
      <c r="C27" s="15" t="s">
        <v>69</v>
      </c>
      <c r="D27" s="16">
        <v>400</v>
      </c>
      <c r="E27" s="15">
        <v>9.5500000000000007</v>
      </c>
      <c r="F27" s="16">
        <f t="shared" si="24"/>
        <v>1000</v>
      </c>
      <c r="G27" s="17">
        <f t="shared" si="25"/>
        <v>8.6584810000000036</v>
      </c>
      <c r="H27" s="15">
        <f t="shared" si="26"/>
        <v>8658.4810000000034</v>
      </c>
      <c r="I27" s="15">
        <f t="shared" si="0"/>
        <v>891.51899999999659</v>
      </c>
      <c r="J27" s="33">
        <f t="shared" si="1"/>
        <v>0.10296482720236917</v>
      </c>
      <c r="K27" s="15">
        <f t="shared" si="2"/>
        <v>9550</v>
      </c>
      <c r="L27" s="15">
        <f t="shared" si="8"/>
        <v>117.17999999999847</v>
      </c>
      <c r="M27" s="15">
        <f t="shared" si="10"/>
        <v>5</v>
      </c>
      <c r="N27" s="15">
        <f t="shared" si="11"/>
        <v>3.8200000000000003</v>
      </c>
      <c r="O27" s="15"/>
      <c r="P27" s="32">
        <f t="shared" si="12"/>
        <v>0.89151899999999706</v>
      </c>
      <c r="Q27" s="31">
        <f t="shared" si="13"/>
        <v>3811.1800000000003</v>
      </c>
      <c r="R27" s="35"/>
      <c r="S27" s="34">
        <f t="shared" si="14"/>
        <v>11341.518999999997</v>
      </c>
      <c r="T27" s="34">
        <f t="shared" si="15"/>
        <v>1187.5936125654446</v>
      </c>
      <c r="U27" s="34">
        <f t="shared" si="16"/>
        <v>2187.5936125654443</v>
      </c>
      <c r="V27" s="31">
        <f t="shared" si="17"/>
        <v>20000</v>
      </c>
      <c r="W27" s="32">
        <f t="shared" si="18"/>
        <v>9.1424658972858825</v>
      </c>
      <c r="X27" s="32">
        <f t="shared" si="19"/>
        <v>0.4839848972858789</v>
      </c>
      <c r="Y27" s="32">
        <f t="shared" si="20"/>
        <v>0.40753410271411816</v>
      </c>
      <c r="Z27" s="38">
        <f t="shared" si="9"/>
        <v>0.45712329486429409</v>
      </c>
      <c r="AA27" s="31">
        <f>SUM(L$2:L27)-SUM(AB$2:AB27)</f>
        <v>891.51899999999659</v>
      </c>
      <c r="AB27" s="43"/>
      <c r="AC27" s="40">
        <f t="shared" si="3"/>
        <v>93.306098481675036</v>
      </c>
      <c r="AD27" s="40">
        <f t="shared" si="4"/>
        <v>-906.69390151832499</v>
      </c>
    </row>
    <row r="28" spans="1:30" s="1" customFormat="1" x14ac:dyDescent="0.25">
      <c r="A28" s="9">
        <v>43164</v>
      </c>
      <c r="B28" s="20"/>
      <c r="C28" s="15" t="s">
        <v>69</v>
      </c>
      <c r="D28" s="16">
        <v>400</v>
      </c>
      <c r="E28" s="15">
        <v>9.89</v>
      </c>
      <c r="F28" s="16">
        <f t="shared" si="24"/>
        <v>600</v>
      </c>
      <c r="G28" s="17">
        <f t="shared" si="25"/>
        <v>7.8523950000000058</v>
      </c>
      <c r="H28" s="15">
        <f t="shared" si="26"/>
        <v>4711.4370000000035</v>
      </c>
      <c r="I28" s="15">
        <f t="shared" si="0"/>
        <v>1222.5629999999965</v>
      </c>
      <c r="J28" s="33">
        <f t="shared" si="1"/>
        <v>0.25948834718579405</v>
      </c>
      <c r="K28" s="15">
        <f t="shared" si="2"/>
        <v>5934</v>
      </c>
      <c r="L28" s="15">
        <f t="shared" si="8"/>
        <v>331.04399999999987</v>
      </c>
      <c r="M28" s="15">
        <f t="shared" si="10"/>
        <v>5</v>
      </c>
      <c r="N28" s="15">
        <f t="shared" si="11"/>
        <v>3.956</v>
      </c>
      <c r="O28" s="15"/>
      <c r="P28" s="32">
        <f t="shared" si="12"/>
        <v>2.0376049999999948</v>
      </c>
      <c r="Q28" s="31">
        <f t="shared" si="13"/>
        <v>3947.0439999999999</v>
      </c>
      <c r="R28" s="35"/>
      <c r="S28" s="34">
        <f t="shared" si="14"/>
        <v>15288.562999999996</v>
      </c>
      <c r="T28" s="34">
        <f t="shared" si="15"/>
        <v>1545.8607684529823</v>
      </c>
      <c r="U28" s="34">
        <f t="shared" si="16"/>
        <v>2145.8607684529825</v>
      </c>
      <c r="V28" s="31">
        <f t="shared" si="17"/>
        <v>20000</v>
      </c>
      <c r="W28" s="32">
        <f t="shared" si="18"/>
        <v>9.3202691870911174</v>
      </c>
      <c r="X28" s="32">
        <f t="shared" si="19"/>
        <v>1.4678741870911116</v>
      </c>
      <c r="Y28" s="32">
        <f t="shared" si="20"/>
        <v>0.56973081290888317</v>
      </c>
      <c r="Z28" s="38">
        <f t="shared" si="9"/>
        <v>0.27960807561273354</v>
      </c>
      <c r="AA28" s="31">
        <f>SUM(L$2:L28)-SUM(AB$2:AB28)</f>
        <v>1222.5629999999965</v>
      </c>
      <c r="AB28" s="43"/>
      <c r="AC28" s="40">
        <f t="shared" si="3"/>
        <v>123.55426880687527</v>
      </c>
      <c r="AD28" s="40">
        <f t="shared" si="4"/>
        <v>-476.44573119312474</v>
      </c>
    </row>
    <row r="29" spans="1:30" s="1" customFormat="1" x14ac:dyDescent="0.25">
      <c r="A29" s="9">
        <v>43164</v>
      </c>
      <c r="B29" s="21"/>
      <c r="C29" s="15" t="s">
        <v>69</v>
      </c>
      <c r="D29" s="16">
        <v>400</v>
      </c>
      <c r="E29" s="15">
        <v>10.26</v>
      </c>
      <c r="F29" s="16">
        <f t="shared" si="24"/>
        <v>200</v>
      </c>
      <c r="G29" s="17">
        <f t="shared" si="25"/>
        <v>3.082705000000018</v>
      </c>
      <c r="H29" s="15">
        <f t="shared" si="26"/>
        <v>616.54100000000358</v>
      </c>
      <c r="I29" s="15">
        <f t="shared" si="0"/>
        <v>1435.4589999999964</v>
      </c>
      <c r="J29" s="33">
        <f t="shared" si="1"/>
        <v>2.3282458100920911</v>
      </c>
      <c r="K29" s="15">
        <f t="shared" si="2"/>
        <v>2052</v>
      </c>
      <c r="L29" s="15">
        <f t="shared" si="8"/>
        <v>212.89599999999996</v>
      </c>
      <c r="M29" s="15">
        <f t="shared" si="10"/>
        <v>5</v>
      </c>
      <c r="N29" s="15">
        <f t="shared" si="11"/>
        <v>4.1040000000000001</v>
      </c>
      <c r="O29" s="15"/>
      <c r="P29" s="32">
        <f t="shared" si="12"/>
        <v>7.1772949999999813</v>
      </c>
      <c r="Q29" s="31">
        <f t="shared" si="13"/>
        <v>4094.8959999999997</v>
      </c>
      <c r="R29" s="35"/>
      <c r="S29" s="34">
        <f t="shared" si="14"/>
        <v>19383.458999999995</v>
      </c>
      <c r="T29" s="34">
        <f t="shared" si="15"/>
        <v>1889.2260233918125</v>
      </c>
      <c r="U29" s="34">
        <f t="shared" si="16"/>
        <v>2089.2260233918123</v>
      </c>
      <c r="V29" s="31">
        <f t="shared" si="17"/>
        <v>20000</v>
      </c>
      <c r="W29" s="32">
        <f t="shared" si="18"/>
        <v>9.5729230710664996</v>
      </c>
      <c r="X29" s="32">
        <f t="shared" si="19"/>
        <v>6.4902180710664812</v>
      </c>
      <c r="Y29" s="32">
        <f t="shared" si="20"/>
        <v>0.68707692893350014</v>
      </c>
      <c r="Z29" s="38">
        <f t="shared" si="9"/>
        <v>9.5729230710664998E-2</v>
      </c>
      <c r="AA29" s="31">
        <f>SUM(L$2:L29)-SUM(AB$2:AB29)</f>
        <v>1435.4589999999964</v>
      </c>
      <c r="AB29" s="43"/>
      <c r="AC29" s="40">
        <f t="shared" si="3"/>
        <v>139.83833045808933</v>
      </c>
      <c r="AD29" s="40">
        <f t="shared" si="4"/>
        <v>-60.161669541910669</v>
      </c>
    </row>
    <row r="30" spans="1:30" s="1" customFormat="1" x14ac:dyDescent="0.25">
      <c r="A30" s="9">
        <v>43167</v>
      </c>
      <c r="B30" s="20" t="s">
        <v>613</v>
      </c>
      <c r="C30" s="15" t="s">
        <v>63</v>
      </c>
      <c r="D30" s="16">
        <v>500</v>
      </c>
      <c r="E30" s="15">
        <v>9.8800000000000008</v>
      </c>
      <c r="F30" s="16">
        <f t="shared" si="24"/>
        <v>700</v>
      </c>
      <c r="G30" s="17">
        <f t="shared" si="25"/>
        <v>7.9450585714285769</v>
      </c>
      <c r="H30" s="15">
        <f t="shared" si="26"/>
        <v>5561.5410000000038</v>
      </c>
      <c r="I30" s="15">
        <f t="shared" si="0"/>
        <v>1354.4589999999971</v>
      </c>
      <c r="J30" s="33">
        <f t="shared" si="1"/>
        <v>0.24354023462202218</v>
      </c>
      <c r="K30" s="15">
        <f t="shared" si="2"/>
        <v>6916.0000000000009</v>
      </c>
      <c r="L30" s="15">
        <f t="shared" si="8"/>
        <v>-80.999999999999318</v>
      </c>
      <c r="M30" s="15">
        <f t="shared" si="10"/>
        <v>5</v>
      </c>
      <c r="N30" s="15">
        <f t="shared" si="11"/>
        <v>0</v>
      </c>
      <c r="O30" s="15"/>
      <c r="P30" s="32">
        <f t="shared" si="12"/>
        <v>1.9349414285714239</v>
      </c>
      <c r="Q30" s="31">
        <f t="shared" si="13"/>
        <v>-4945</v>
      </c>
      <c r="R30" s="35"/>
      <c r="S30" s="34">
        <f t="shared" si="14"/>
        <v>14438.458999999995</v>
      </c>
      <c r="T30" s="34">
        <f t="shared" si="15"/>
        <v>1461.3824898785419</v>
      </c>
      <c r="U30" s="34">
        <f t="shared" si="16"/>
        <v>2161.3824898785419</v>
      </c>
      <c r="V30" s="31">
        <f t="shared" si="17"/>
        <v>20000</v>
      </c>
      <c r="W30" s="32">
        <f t="shared" si="18"/>
        <v>9.2533367387111074</v>
      </c>
      <c r="X30" s="32">
        <f t="shared" si="19"/>
        <v>1.3082781672825305</v>
      </c>
      <c r="Y30" s="32">
        <f t="shared" si="20"/>
        <v>0.62666326128889338</v>
      </c>
      <c r="Z30" s="38">
        <f t="shared" si="9"/>
        <v>0.32386678585488876</v>
      </c>
      <c r="AA30" s="31">
        <f>SUM(L$2:L30)-SUM(AB$2:AB30)</f>
        <v>1354.4589999999971</v>
      </c>
      <c r="AB30" s="43"/>
      <c r="AC30" s="40">
        <f t="shared" si="3"/>
        <v>137.0224464068823</v>
      </c>
      <c r="AD30" s="40">
        <f t="shared" si="4"/>
        <v>-562.9775535931177</v>
      </c>
    </row>
    <row r="31" spans="1:30" s="1" customFormat="1" x14ac:dyDescent="0.25">
      <c r="A31" s="9">
        <v>43167</v>
      </c>
      <c r="B31" s="20" t="s">
        <v>294</v>
      </c>
      <c r="C31" s="15" t="s">
        <v>69</v>
      </c>
      <c r="D31" s="16">
        <v>200</v>
      </c>
      <c r="E31" s="15">
        <v>10.02</v>
      </c>
      <c r="F31" s="16">
        <f t="shared" si="24"/>
        <v>500</v>
      </c>
      <c r="G31" s="17">
        <f t="shared" si="25"/>
        <v>7.1290900000000077</v>
      </c>
      <c r="H31" s="15">
        <f t="shared" si="26"/>
        <v>3564.5450000000037</v>
      </c>
      <c r="I31" s="15">
        <f t="shared" si="0"/>
        <v>1445.4549999999963</v>
      </c>
      <c r="J31" s="33">
        <f t="shared" si="1"/>
        <v>0.40550897800420371</v>
      </c>
      <c r="K31" s="15">
        <f t="shared" si="2"/>
        <v>5010</v>
      </c>
      <c r="L31" s="15">
        <f t="shared" si="8"/>
        <v>90.995999999999185</v>
      </c>
      <c r="M31" s="15">
        <f t="shared" si="10"/>
        <v>5</v>
      </c>
      <c r="N31" s="15">
        <f t="shared" si="11"/>
        <v>2.004</v>
      </c>
      <c r="O31" s="15"/>
      <c r="P31" s="32">
        <f t="shared" si="12"/>
        <v>2.8909099999999919</v>
      </c>
      <c r="Q31" s="31">
        <f t="shared" si="13"/>
        <v>1996.9960000000001</v>
      </c>
      <c r="R31" s="35"/>
      <c r="S31" s="34">
        <f t="shared" si="14"/>
        <v>16435.454999999994</v>
      </c>
      <c r="T31" s="34">
        <f t="shared" si="15"/>
        <v>1640.2649700598797</v>
      </c>
      <c r="U31" s="34">
        <f t="shared" si="16"/>
        <v>2140.2649700598795</v>
      </c>
      <c r="V31" s="31">
        <f t="shared" si="17"/>
        <v>20000</v>
      </c>
      <c r="W31" s="32">
        <f t="shared" si="18"/>
        <v>9.3446373602238832</v>
      </c>
      <c r="X31" s="32">
        <f t="shared" si="19"/>
        <v>2.2155473602238756</v>
      </c>
      <c r="Y31" s="32">
        <f t="shared" si="20"/>
        <v>0.67536263977611632</v>
      </c>
      <c r="Z31" s="38">
        <f t="shared" si="9"/>
        <v>0.23361593400559708</v>
      </c>
      <c r="AA31" s="31">
        <f>SUM(L$2:L31)-SUM(AB$2:AB31)</f>
        <v>1445.4549999999963</v>
      </c>
      <c r="AB31" s="43"/>
      <c r="AC31" s="40">
        <f t="shared" si="3"/>
        <v>144.18485753492979</v>
      </c>
      <c r="AD31" s="40">
        <f t="shared" si="4"/>
        <v>-355.81514246507021</v>
      </c>
    </row>
    <row r="32" spans="1:30" s="1" customFormat="1" x14ac:dyDescent="0.25">
      <c r="A32" s="9">
        <v>43168</v>
      </c>
      <c r="B32" s="21"/>
      <c r="C32" s="15" t="s">
        <v>69</v>
      </c>
      <c r="D32" s="16">
        <v>400</v>
      </c>
      <c r="E32" s="15">
        <v>10.16</v>
      </c>
      <c r="F32" s="16">
        <f t="shared" si="24"/>
        <v>100</v>
      </c>
      <c r="G32" s="17">
        <f t="shared" si="25"/>
        <v>-4.9039099999999625</v>
      </c>
      <c r="H32" s="15">
        <f t="shared" si="26"/>
        <v>-490.39099999999627</v>
      </c>
      <c r="I32" s="15">
        <f t="shared" si="0"/>
        <v>1506.3909999999962</v>
      </c>
      <c r="J32" s="33">
        <f t="shared" si="1"/>
        <v>-3.0718161630209524</v>
      </c>
      <c r="K32" s="15">
        <f t="shared" si="2"/>
        <v>1016</v>
      </c>
      <c r="L32" s="15">
        <f t="shared" si="8"/>
        <v>60.935999999999922</v>
      </c>
      <c r="M32" s="15">
        <f t="shared" si="10"/>
        <v>5</v>
      </c>
      <c r="N32" s="15">
        <f t="shared" si="11"/>
        <v>4.0640000000000001</v>
      </c>
      <c r="O32" s="15"/>
      <c r="P32" s="32">
        <f t="shared" si="12"/>
        <v>15.063909999999963</v>
      </c>
      <c r="Q32" s="31">
        <f t="shared" si="13"/>
        <v>4054.9360000000001</v>
      </c>
      <c r="R32" s="35"/>
      <c r="S32" s="34">
        <f t="shared" si="14"/>
        <v>20490.390999999996</v>
      </c>
      <c r="T32" s="34">
        <f t="shared" si="15"/>
        <v>2016.7707677165349</v>
      </c>
      <c r="U32" s="34">
        <f t="shared" si="16"/>
        <v>2116.7707677165349</v>
      </c>
      <c r="V32" s="31">
        <f t="shared" si="17"/>
        <v>20000</v>
      </c>
      <c r="W32" s="32">
        <f t="shared" si="18"/>
        <v>9.448354212475726</v>
      </c>
      <c r="X32" s="32">
        <f t="shared" si="19"/>
        <v>14.352264212475689</v>
      </c>
      <c r="Y32" s="32">
        <f t="shared" si="20"/>
        <v>0.7116457875242741</v>
      </c>
      <c r="Z32" s="38">
        <f t="shared" si="9"/>
        <v>4.7241771062378632E-2</v>
      </c>
      <c r="AA32" s="31">
        <f>SUM(L$2:L32)-SUM(AB$2:AB32)</f>
        <v>1506.3909999999962</v>
      </c>
      <c r="AB32" s="43"/>
      <c r="AC32" s="40">
        <f t="shared" si="3"/>
        <v>148.19269729330674</v>
      </c>
      <c r="AD32" s="40">
        <f t="shared" si="4"/>
        <v>48.192697293306736</v>
      </c>
    </row>
    <row r="33" spans="1:30" s="1" customFormat="1" x14ac:dyDescent="0.25">
      <c r="A33" s="9">
        <v>43213</v>
      </c>
      <c r="B33" s="20" t="s">
        <v>615</v>
      </c>
      <c r="C33" s="15" t="s">
        <v>63</v>
      </c>
      <c r="D33" s="16">
        <v>500</v>
      </c>
      <c r="E33" s="15">
        <v>9.3000000000000007</v>
      </c>
      <c r="F33" s="16">
        <f t="shared" si="24"/>
        <v>600</v>
      </c>
      <c r="G33" s="17">
        <f t="shared" si="25"/>
        <v>6.9410150000000064</v>
      </c>
      <c r="H33" s="15">
        <f t="shared" si="26"/>
        <v>4164.609000000004</v>
      </c>
      <c r="I33" s="15">
        <f t="shared" si="0"/>
        <v>1415.390999999996</v>
      </c>
      <c r="J33" s="33">
        <f t="shared" si="1"/>
        <v>0.33986167729071209</v>
      </c>
      <c r="K33" s="15">
        <f t="shared" si="2"/>
        <v>5580</v>
      </c>
      <c r="L33" s="15">
        <f t="shared" si="8"/>
        <v>-91.000000000000227</v>
      </c>
      <c r="M33" s="15">
        <f t="shared" si="10"/>
        <v>5</v>
      </c>
      <c r="N33" s="15">
        <f t="shared" si="11"/>
        <v>0</v>
      </c>
      <c r="O33" s="15">
        <f>-18-18</f>
        <v>-36</v>
      </c>
      <c r="P33" s="32">
        <f t="shared" si="12"/>
        <v>2.3589849999999943</v>
      </c>
      <c r="Q33" s="31">
        <f t="shared" si="13"/>
        <v>-4655</v>
      </c>
      <c r="R33" s="35"/>
      <c r="S33" s="34">
        <f t="shared" si="14"/>
        <v>15799.390999999996</v>
      </c>
      <c r="T33" s="34">
        <f t="shared" si="15"/>
        <v>1698.8592473118274</v>
      </c>
      <c r="U33" s="34">
        <f t="shared" si="16"/>
        <v>2298.8592473118274</v>
      </c>
      <c r="V33" s="31">
        <f t="shared" si="17"/>
        <v>19964</v>
      </c>
      <c r="W33" s="32">
        <f t="shared" si="18"/>
        <v>8.6843072377506001</v>
      </c>
      <c r="X33" s="32">
        <f t="shared" si="19"/>
        <v>1.7432922377505937</v>
      </c>
      <c r="Y33" s="32">
        <f t="shared" si="20"/>
        <v>0.61569276224940062</v>
      </c>
      <c r="Z33" s="38">
        <f t="shared" si="9"/>
        <v>0.26099901536016629</v>
      </c>
      <c r="AA33" s="31">
        <f>SUM(L$2:L33)-SUM(AB$2:AB33)</f>
        <v>1415.390999999996</v>
      </c>
      <c r="AB33" s="43"/>
      <c r="AC33" s="40">
        <f t="shared" si="3"/>
        <v>152.11648435483829</v>
      </c>
      <c r="AD33" s="40">
        <f t="shared" si="4"/>
        <v>-447.88351564516171</v>
      </c>
    </row>
    <row r="34" spans="1:30" s="1" customFormat="1" x14ac:dyDescent="0.25">
      <c r="A34" s="9">
        <v>43241</v>
      </c>
      <c r="B34" s="21"/>
      <c r="C34" s="15" t="s">
        <v>69</v>
      </c>
      <c r="D34" s="16">
        <v>400</v>
      </c>
      <c r="E34" s="15">
        <v>9.35</v>
      </c>
      <c r="F34" s="16">
        <f t="shared" si="24"/>
        <v>200</v>
      </c>
      <c r="G34" s="17">
        <f t="shared" si="25"/>
        <v>1.9867450000000202</v>
      </c>
      <c r="H34" s="15">
        <f t="shared" si="26"/>
        <v>397.34900000000403</v>
      </c>
      <c r="I34" s="15">
        <f t="shared" si="0"/>
        <v>1472.650999999996</v>
      </c>
      <c r="J34" s="33">
        <f t="shared" si="1"/>
        <v>3.7061902760545036</v>
      </c>
      <c r="K34" s="15">
        <f t="shared" si="2"/>
        <v>1870</v>
      </c>
      <c r="L34" s="15">
        <f t="shared" si="8"/>
        <v>57.259999999999991</v>
      </c>
      <c r="M34" s="15">
        <f t="shared" si="10"/>
        <v>5</v>
      </c>
      <c r="N34" s="15">
        <f t="shared" si="11"/>
        <v>3.74</v>
      </c>
      <c r="O34" s="15"/>
      <c r="P34" s="32">
        <f t="shared" si="12"/>
        <v>7.3632549999999792</v>
      </c>
      <c r="Q34" s="31">
        <f t="shared" si="13"/>
        <v>3767.26</v>
      </c>
      <c r="R34" s="35"/>
      <c r="S34" s="34">
        <f t="shared" si="14"/>
        <v>19566.650999999998</v>
      </c>
      <c r="T34" s="34">
        <f t="shared" si="15"/>
        <v>2092.689946524064</v>
      </c>
      <c r="U34" s="34">
        <f t="shared" si="16"/>
        <v>2292.689946524064</v>
      </c>
      <c r="V34" s="31">
        <f t="shared" si="17"/>
        <v>19964.000000000004</v>
      </c>
      <c r="W34" s="32">
        <f t="shared" si="18"/>
        <v>8.70767546665755</v>
      </c>
      <c r="X34" s="32">
        <f t="shared" si="19"/>
        <v>6.7209304666575296</v>
      </c>
      <c r="Y34" s="32">
        <f t="shared" si="20"/>
        <v>0.64232453334244966</v>
      </c>
      <c r="Z34" s="38">
        <f t="shared" si="9"/>
        <v>8.723377546240782E-2</v>
      </c>
      <c r="AA34" s="31">
        <f>SUM(L$2:L34)-SUM(AB$2:AB34)</f>
        <v>1472.650999999996</v>
      </c>
      <c r="AB34" s="43"/>
      <c r="AC34" s="40">
        <f t="shared" si="3"/>
        <v>157.42402935828835</v>
      </c>
      <c r="AD34" s="40">
        <f t="shared" si="4"/>
        <v>-42.575970641711649</v>
      </c>
    </row>
    <row r="35" spans="1:30" s="1" customFormat="1" x14ac:dyDescent="0.25">
      <c r="A35" s="9">
        <v>43657</v>
      </c>
      <c r="B35" s="21"/>
      <c r="C35" s="15" t="s">
        <v>69</v>
      </c>
      <c r="D35" s="16">
        <v>100</v>
      </c>
      <c r="E35" s="15">
        <v>9.9</v>
      </c>
      <c r="F35" s="16">
        <f>IF(C35="买",F34+D35,F34-D35)</f>
        <v>100</v>
      </c>
      <c r="G35" s="17">
        <f>H35/F35</f>
        <v>-5.8666099999999597</v>
      </c>
      <c r="H35" s="15">
        <f>IF(C35="买",H34+D35*E35+M35+N35,H34+-1*D35*E35+M35+N35)+O34</f>
        <v>-586.66099999999597</v>
      </c>
      <c r="I35" s="15">
        <f>-H35+K35</f>
        <v>1576.660999999996</v>
      </c>
      <c r="J35" s="33">
        <f>(E35-G35)/G35</f>
        <v>-2.687516299873363</v>
      </c>
      <c r="K35" s="15">
        <f>F35*E35</f>
        <v>990</v>
      </c>
      <c r="L35" s="15">
        <f>I35-I34</f>
        <v>104.00999999999999</v>
      </c>
      <c r="M35" s="15">
        <f>IF(D35*E35*2.5/10000&gt;5,D35*E35*2.5/10000,5)</f>
        <v>5</v>
      </c>
      <c r="N35" s="15">
        <f>IF(C35="卖",D35*E35/1000,0)</f>
        <v>0.99</v>
      </c>
      <c r="O35" s="15"/>
      <c r="P35" s="32">
        <f>E35-G35</f>
        <v>15.766609999999961</v>
      </c>
      <c r="Q35" s="31">
        <f>(H35-H34)*-1</f>
        <v>984.01</v>
      </c>
      <c r="R35" s="35"/>
      <c r="S35" s="34">
        <f>S34+Q35+O35+R35</f>
        <v>20550.660999999996</v>
      </c>
      <c r="T35" s="34">
        <f>S35/E35</f>
        <v>2075.8243434343431</v>
      </c>
      <c r="U35" s="34">
        <f>F35+T35</f>
        <v>2175.8243434343431</v>
      </c>
      <c r="V35" s="31">
        <f>H35+S35</f>
        <v>19964</v>
      </c>
      <c r="W35" s="32">
        <f>V35/U35</f>
        <v>9.1753730305676342</v>
      </c>
      <c r="X35" s="32">
        <f>W35-G35</f>
        <v>15.041983030567593</v>
      </c>
      <c r="Y35" s="32">
        <f>(X35-P35)*-1</f>
        <v>0.72462696943236793</v>
      </c>
      <c r="Z35" s="38">
        <f>F35/U35</f>
        <v>4.5959592419192716E-2</v>
      </c>
      <c r="AA35" s="31">
        <f>SUM(L$2:L35)-SUM(AB$2:AB35)</f>
        <v>1576.660999999996</v>
      </c>
      <c r="AB35" s="43"/>
      <c r="AC35" s="40">
        <f>I35/E35*(1-0.0005)</f>
        <v>159.17905752525212</v>
      </c>
      <c r="AD35" s="40">
        <f>AC35-F35</f>
        <v>59.179057525252119</v>
      </c>
    </row>
    <row r="36" spans="1:30" s="1" customFormat="1" x14ac:dyDescent="0.25">
      <c r="A36" s="9"/>
      <c r="B36" s="21"/>
      <c r="C36" s="22"/>
      <c r="D36" s="16"/>
      <c r="E36" s="15"/>
      <c r="F36" s="16"/>
      <c r="G36" s="17"/>
      <c r="H36" s="15"/>
      <c r="I36" s="15">
        <f t="shared" si="0"/>
        <v>0</v>
      </c>
      <c r="J36" s="33" t="e">
        <f t="shared" si="1"/>
        <v>#DIV/0!</v>
      </c>
      <c r="K36" s="15">
        <f t="shared" si="2"/>
        <v>0</v>
      </c>
      <c r="L36" s="15">
        <f t="shared" si="8"/>
        <v>-1576.660999999996</v>
      </c>
      <c r="M36" s="15">
        <f t="shared" si="10"/>
        <v>5</v>
      </c>
      <c r="N36" s="15">
        <f t="shared" si="11"/>
        <v>0</v>
      </c>
      <c r="O36" s="15"/>
      <c r="P36" s="32">
        <f t="shared" si="12"/>
        <v>0</v>
      </c>
      <c r="Q36" s="31">
        <f t="shared" si="13"/>
        <v>-586.66099999999597</v>
      </c>
      <c r="R36" s="35"/>
      <c r="S36" s="34">
        <f t="shared" si="14"/>
        <v>19964</v>
      </c>
      <c r="T36" s="34" t="e">
        <f t="shared" si="15"/>
        <v>#DIV/0!</v>
      </c>
      <c r="U36" s="34" t="e">
        <f t="shared" si="16"/>
        <v>#DIV/0!</v>
      </c>
      <c r="V36" s="31">
        <f t="shared" si="17"/>
        <v>19964</v>
      </c>
      <c r="W36" s="32" t="e">
        <f t="shared" si="18"/>
        <v>#DIV/0!</v>
      </c>
      <c r="X36" s="32" t="e">
        <f t="shared" si="19"/>
        <v>#DIV/0!</v>
      </c>
      <c r="Y36" s="32" t="e">
        <f t="shared" si="20"/>
        <v>#DIV/0!</v>
      </c>
      <c r="Z36" s="38" t="e">
        <f t="shared" si="9"/>
        <v>#DIV/0!</v>
      </c>
      <c r="AA36" s="31">
        <f>SUM(L$2:L36)-SUM(AB$2:AB36)</f>
        <v>0</v>
      </c>
      <c r="AB36" s="43"/>
      <c r="AC36" s="40" t="e">
        <f t="shared" si="3"/>
        <v>#DIV/0!</v>
      </c>
      <c r="AD36" s="40" t="e">
        <f t="shared" si="4"/>
        <v>#DIV/0!</v>
      </c>
    </row>
    <row r="37" spans="1:30" s="1" customFormat="1" x14ac:dyDescent="0.25">
      <c r="A37" s="9"/>
      <c r="B37" s="21"/>
      <c r="C37" s="22"/>
      <c r="D37" s="16"/>
      <c r="E37" s="15"/>
      <c r="F37" s="16"/>
      <c r="G37" s="17"/>
      <c r="H37" s="15"/>
      <c r="I37" s="15">
        <f t="shared" ref="I37:I42" si="27">-H37+K37</f>
        <v>0</v>
      </c>
      <c r="J37" s="33" t="e">
        <f t="shared" ref="J37:J42" si="28">(E37-G37)/G37</f>
        <v>#DIV/0!</v>
      </c>
      <c r="K37" s="15">
        <f t="shared" ref="K37:K42" si="29">F37*E37</f>
        <v>0</v>
      </c>
      <c r="L37" s="15">
        <f t="shared" ref="L37:L42" si="30">I37-I36</f>
        <v>0</v>
      </c>
      <c r="M37" s="15">
        <f t="shared" si="10"/>
        <v>5</v>
      </c>
      <c r="N37" s="15">
        <f t="shared" ref="N37:N42" si="31">IF(C37="卖",D37*E37/1000,0)</f>
        <v>0</v>
      </c>
      <c r="O37" s="15"/>
      <c r="P37" s="32">
        <f t="shared" ref="P37:P42" si="32">E37-G37</f>
        <v>0</v>
      </c>
      <c r="Q37" s="31">
        <f t="shared" ref="Q37:Q42" si="33">(H37-H36)*-1</f>
        <v>0</v>
      </c>
      <c r="R37" s="35"/>
      <c r="S37" s="34">
        <f t="shared" ref="S37:S42" si="34">S36+Q37+O37+R37</f>
        <v>19964</v>
      </c>
      <c r="T37" s="34" t="e">
        <f t="shared" ref="T37:T42" si="35">S37/E37</f>
        <v>#DIV/0!</v>
      </c>
      <c r="U37" s="34" t="e">
        <f t="shared" ref="U37:U42" si="36">F37+T37</f>
        <v>#DIV/0!</v>
      </c>
      <c r="V37" s="31">
        <f t="shared" ref="V37:V42" si="37">H37+S37</f>
        <v>19964</v>
      </c>
      <c r="W37" s="32" t="e">
        <f t="shared" ref="W37:W42" si="38">V37/U37</f>
        <v>#DIV/0!</v>
      </c>
      <c r="X37" s="32" t="e">
        <f t="shared" ref="X37:X42" si="39">W37-G37</f>
        <v>#DIV/0!</v>
      </c>
      <c r="Y37" s="32" t="e">
        <f t="shared" ref="Y37:Y42" si="40">(X37-P37)*-1</f>
        <v>#DIV/0!</v>
      </c>
      <c r="Z37" s="38" t="e">
        <f t="shared" ref="Z37:Z42" si="41">F37/U37</f>
        <v>#DIV/0!</v>
      </c>
      <c r="AA37" s="31">
        <f>SUM(L$2:L37)-SUM(AB$2:AB37)</f>
        <v>0</v>
      </c>
      <c r="AB37" s="43"/>
      <c r="AC37" s="40" t="e">
        <f t="shared" si="3"/>
        <v>#DIV/0!</v>
      </c>
      <c r="AD37" s="40" t="e">
        <f t="shared" si="4"/>
        <v>#DIV/0!</v>
      </c>
    </row>
    <row r="38" spans="1:30" s="1" customFormat="1" x14ac:dyDescent="0.25">
      <c r="A38" s="9"/>
      <c r="B38" s="21"/>
      <c r="C38" s="22"/>
      <c r="D38" s="16"/>
      <c r="E38" s="15"/>
      <c r="F38" s="16"/>
      <c r="G38" s="17"/>
      <c r="H38" s="15"/>
      <c r="I38" s="15">
        <f t="shared" si="27"/>
        <v>0</v>
      </c>
      <c r="J38" s="33" t="e">
        <f t="shared" si="28"/>
        <v>#DIV/0!</v>
      </c>
      <c r="K38" s="15">
        <f t="shared" si="29"/>
        <v>0</v>
      </c>
      <c r="L38" s="15">
        <f t="shared" si="30"/>
        <v>0</v>
      </c>
      <c r="M38" s="15">
        <f t="shared" si="10"/>
        <v>5</v>
      </c>
      <c r="N38" s="15">
        <f t="shared" si="31"/>
        <v>0</v>
      </c>
      <c r="O38" s="15"/>
      <c r="P38" s="32">
        <f t="shared" si="32"/>
        <v>0</v>
      </c>
      <c r="Q38" s="31">
        <f t="shared" si="33"/>
        <v>0</v>
      </c>
      <c r="R38" s="35"/>
      <c r="S38" s="34">
        <f t="shared" si="34"/>
        <v>19964</v>
      </c>
      <c r="T38" s="34" t="e">
        <f t="shared" si="35"/>
        <v>#DIV/0!</v>
      </c>
      <c r="U38" s="34" t="e">
        <f t="shared" si="36"/>
        <v>#DIV/0!</v>
      </c>
      <c r="V38" s="31">
        <f t="shared" si="37"/>
        <v>19964</v>
      </c>
      <c r="W38" s="32" t="e">
        <f t="shared" si="38"/>
        <v>#DIV/0!</v>
      </c>
      <c r="X38" s="32" t="e">
        <f t="shared" si="39"/>
        <v>#DIV/0!</v>
      </c>
      <c r="Y38" s="32" t="e">
        <f t="shared" si="40"/>
        <v>#DIV/0!</v>
      </c>
      <c r="Z38" s="38" t="e">
        <f t="shared" si="41"/>
        <v>#DIV/0!</v>
      </c>
      <c r="AA38" s="31">
        <f>SUM(L$2:L38)-SUM(AB$2:AB38)</f>
        <v>0</v>
      </c>
      <c r="AB38" s="43"/>
      <c r="AC38" s="40" t="e">
        <f t="shared" si="3"/>
        <v>#DIV/0!</v>
      </c>
      <c r="AD38" s="40" t="e">
        <f t="shared" si="4"/>
        <v>#DIV/0!</v>
      </c>
    </row>
    <row r="39" spans="1:30" s="1" customFormat="1" x14ac:dyDescent="0.25">
      <c r="A39" s="9"/>
      <c r="B39" s="21"/>
      <c r="C39" s="22"/>
      <c r="D39" s="16"/>
      <c r="E39" s="15"/>
      <c r="F39" s="16"/>
      <c r="G39" s="17"/>
      <c r="H39" s="15"/>
      <c r="I39" s="15">
        <f t="shared" si="27"/>
        <v>0</v>
      </c>
      <c r="J39" s="33" t="e">
        <f t="shared" si="28"/>
        <v>#DIV/0!</v>
      </c>
      <c r="K39" s="15">
        <f t="shared" si="29"/>
        <v>0</v>
      </c>
      <c r="L39" s="15">
        <f t="shared" si="30"/>
        <v>0</v>
      </c>
      <c r="M39" s="15">
        <f t="shared" si="10"/>
        <v>5</v>
      </c>
      <c r="N39" s="15">
        <f t="shared" si="31"/>
        <v>0</v>
      </c>
      <c r="O39" s="15"/>
      <c r="P39" s="32">
        <f t="shared" si="32"/>
        <v>0</v>
      </c>
      <c r="Q39" s="31">
        <f t="shared" si="33"/>
        <v>0</v>
      </c>
      <c r="R39" s="35"/>
      <c r="S39" s="34">
        <f t="shared" si="34"/>
        <v>19964</v>
      </c>
      <c r="T39" s="34" t="e">
        <f t="shared" si="35"/>
        <v>#DIV/0!</v>
      </c>
      <c r="U39" s="34" t="e">
        <f t="shared" si="36"/>
        <v>#DIV/0!</v>
      </c>
      <c r="V39" s="31">
        <f t="shared" si="37"/>
        <v>19964</v>
      </c>
      <c r="W39" s="32" t="e">
        <f t="shared" si="38"/>
        <v>#DIV/0!</v>
      </c>
      <c r="X39" s="32" t="e">
        <f t="shared" si="39"/>
        <v>#DIV/0!</v>
      </c>
      <c r="Y39" s="32" t="e">
        <f t="shared" si="40"/>
        <v>#DIV/0!</v>
      </c>
      <c r="Z39" s="38" t="e">
        <f t="shared" si="41"/>
        <v>#DIV/0!</v>
      </c>
      <c r="AA39" s="31">
        <f>SUM(L$2:L39)-SUM(AB$2:AB39)</f>
        <v>0</v>
      </c>
      <c r="AB39" s="43"/>
      <c r="AC39" s="40" t="e">
        <f t="shared" si="3"/>
        <v>#DIV/0!</v>
      </c>
      <c r="AD39" s="40" t="e">
        <f t="shared" si="4"/>
        <v>#DIV/0!</v>
      </c>
    </row>
    <row r="40" spans="1:30" s="1" customFormat="1" x14ac:dyDescent="0.25">
      <c r="A40" s="9"/>
      <c r="B40" s="21"/>
      <c r="C40" s="22"/>
      <c r="D40" s="16"/>
      <c r="E40" s="15"/>
      <c r="F40" s="16"/>
      <c r="G40" s="17"/>
      <c r="H40" s="15"/>
      <c r="I40" s="15">
        <f t="shared" si="27"/>
        <v>0</v>
      </c>
      <c r="J40" s="33" t="e">
        <f t="shared" si="28"/>
        <v>#DIV/0!</v>
      </c>
      <c r="K40" s="15">
        <f t="shared" si="29"/>
        <v>0</v>
      </c>
      <c r="L40" s="15">
        <f t="shared" si="30"/>
        <v>0</v>
      </c>
      <c r="M40" s="15">
        <f t="shared" si="10"/>
        <v>5</v>
      </c>
      <c r="N40" s="15">
        <f t="shared" si="31"/>
        <v>0</v>
      </c>
      <c r="O40" s="15"/>
      <c r="P40" s="32">
        <f t="shared" si="32"/>
        <v>0</v>
      </c>
      <c r="Q40" s="31">
        <f t="shared" si="33"/>
        <v>0</v>
      </c>
      <c r="R40" s="35"/>
      <c r="S40" s="34">
        <f t="shared" si="34"/>
        <v>19964</v>
      </c>
      <c r="T40" s="34" t="e">
        <f t="shared" si="35"/>
        <v>#DIV/0!</v>
      </c>
      <c r="U40" s="34" t="e">
        <f t="shared" si="36"/>
        <v>#DIV/0!</v>
      </c>
      <c r="V40" s="31">
        <f t="shared" si="37"/>
        <v>19964</v>
      </c>
      <c r="W40" s="32" t="e">
        <f t="shared" si="38"/>
        <v>#DIV/0!</v>
      </c>
      <c r="X40" s="32" t="e">
        <f t="shared" si="39"/>
        <v>#DIV/0!</v>
      </c>
      <c r="Y40" s="32" t="e">
        <f t="shared" si="40"/>
        <v>#DIV/0!</v>
      </c>
      <c r="Z40" s="38" t="e">
        <f t="shared" si="41"/>
        <v>#DIV/0!</v>
      </c>
      <c r="AA40" s="31">
        <f>SUM(L$2:L40)-SUM(AB$2:AB40)</f>
        <v>0</v>
      </c>
      <c r="AB40" s="43"/>
      <c r="AC40" s="40" t="e">
        <f t="shared" si="3"/>
        <v>#DIV/0!</v>
      </c>
      <c r="AD40" s="40" t="e">
        <f t="shared" si="4"/>
        <v>#DIV/0!</v>
      </c>
    </row>
    <row r="41" spans="1:30" s="1" customFormat="1" x14ac:dyDescent="0.25">
      <c r="A41" s="9"/>
      <c r="B41" s="21"/>
      <c r="C41" s="22"/>
      <c r="D41" s="16"/>
      <c r="E41" s="15"/>
      <c r="F41" s="16"/>
      <c r="G41" s="17"/>
      <c r="H41" s="15"/>
      <c r="I41" s="15">
        <f t="shared" si="27"/>
        <v>0</v>
      </c>
      <c r="J41" s="33" t="e">
        <f t="shared" si="28"/>
        <v>#DIV/0!</v>
      </c>
      <c r="K41" s="15">
        <f t="shared" si="29"/>
        <v>0</v>
      </c>
      <c r="L41" s="15">
        <f t="shared" si="30"/>
        <v>0</v>
      </c>
      <c r="M41" s="15">
        <f t="shared" si="10"/>
        <v>5</v>
      </c>
      <c r="N41" s="15">
        <f t="shared" si="31"/>
        <v>0</v>
      </c>
      <c r="O41" s="15"/>
      <c r="P41" s="32">
        <f t="shared" si="32"/>
        <v>0</v>
      </c>
      <c r="Q41" s="31">
        <f t="shared" si="33"/>
        <v>0</v>
      </c>
      <c r="R41" s="35"/>
      <c r="S41" s="34">
        <f t="shared" si="34"/>
        <v>19964</v>
      </c>
      <c r="T41" s="34" t="e">
        <f t="shared" si="35"/>
        <v>#DIV/0!</v>
      </c>
      <c r="U41" s="34" t="e">
        <f t="shared" si="36"/>
        <v>#DIV/0!</v>
      </c>
      <c r="V41" s="31">
        <f t="shared" si="37"/>
        <v>19964</v>
      </c>
      <c r="W41" s="32" t="e">
        <f t="shared" si="38"/>
        <v>#DIV/0!</v>
      </c>
      <c r="X41" s="32" t="e">
        <f t="shared" si="39"/>
        <v>#DIV/0!</v>
      </c>
      <c r="Y41" s="32" t="e">
        <f t="shared" si="40"/>
        <v>#DIV/0!</v>
      </c>
      <c r="Z41" s="38" t="e">
        <f t="shared" si="41"/>
        <v>#DIV/0!</v>
      </c>
      <c r="AA41" s="31">
        <f>SUM(L$2:L41)-SUM(AB$2:AB41)</f>
        <v>0</v>
      </c>
      <c r="AB41" s="43"/>
      <c r="AC41" s="40" t="e">
        <f t="shared" si="3"/>
        <v>#DIV/0!</v>
      </c>
      <c r="AD41" s="40" t="e">
        <f t="shared" si="4"/>
        <v>#DIV/0!</v>
      </c>
    </row>
    <row r="42" spans="1:30" s="1" customFormat="1" x14ac:dyDescent="0.25">
      <c r="A42" s="9"/>
      <c r="B42" s="23"/>
      <c r="C42" s="22"/>
      <c r="D42" s="16"/>
      <c r="E42" s="15"/>
      <c r="F42" s="16"/>
      <c r="G42" s="17"/>
      <c r="H42" s="15"/>
      <c r="I42" s="15">
        <f t="shared" si="27"/>
        <v>0</v>
      </c>
      <c r="J42" s="33" t="e">
        <f t="shared" si="28"/>
        <v>#DIV/0!</v>
      </c>
      <c r="K42" s="15">
        <f t="shared" si="29"/>
        <v>0</v>
      </c>
      <c r="L42" s="15">
        <f t="shared" si="30"/>
        <v>0</v>
      </c>
      <c r="M42" s="15">
        <f t="shared" si="10"/>
        <v>5</v>
      </c>
      <c r="N42" s="15">
        <f t="shared" si="31"/>
        <v>0</v>
      </c>
      <c r="O42" s="15"/>
      <c r="P42" s="32">
        <f t="shared" si="32"/>
        <v>0</v>
      </c>
      <c r="Q42" s="31">
        <f t="shared" si="33"/>
        <v>0</v>
      </c>
      <c r="R42" s="35"/>
      <c r="S42" s="34">
        <f t="shared" si="34"/>
        <v>19964</v>
      </c>
      <c r="T42" s="34" t="e">
        <f t="shared" si="35"/>
        <v>#DIV/0!</v>
      </c>
      <c r="U42" s="34" t="e">
        <f t="shared" si="36"/>
        <v>#DIV/0!</v>
      </c>
      <c r="V42" s="31">
        <f t="shared" si="37"/>
        <v>19964</v>
      </c>
      <c r="W42" s="32" t="e">
        <f t="shared" si="38"/>
        <v>#DIV/0!</v>
      </c>
      <c r="X42" s="32" t="e">
        <f t="shared" si="39"/>
        <v>#DIV/0!</v>
      </c>
      <c r="Y42" s="32" t="e">
        <f t="shared" si="40"/>
        <v>#DIV/0!</v>
      </c>
      <c r="Z42" s="38" t="e">
        <f t="shared" si="41"/>
        <v>#DIV/0!</v>
      </c>
      <c r="AA42" s="31">
        <f>SUM(L$2:L42)-SUM(AB$2:AB42)</f>
        <v>0</v>
      </c>
      <c r="AB42" s="44"/>
      <c r="AC42" s="40" t="e">
        <f t="shared" si="3"/>
        <v>#DIV/0!</v>
      </c>
      <c r="AD42" s="40" t="e">
        <f t="shared" si="4"/>
        <v>#DIV/0!</v>
      </c>
    </row>
    <row r="43" spans="1:30" s="1" customFormat="1" x14ac:dyDescent="0.25">
      <c r="B43" s="24"/>
    </row>
    <row r="44" spans="1:30" s="1" customFormat="1" x14ac:dyDescent="0.25">
      <c r="B44" s="24"/>
      <c r="H44" s="25">
        <f>H40-H34</f>
        <v>-397.34900000000403</v>
      </c>
      <c r="I44" s="25">
        <f>I40-I34</f>
        <v>-1472.650999999996</v>
      </c>
    </row>
    <row r="45" spans="1:30" s="1" customFormat="1" x14ac:dyDescent="0.25">
      <c r="B45" s="24"/>
    </row>
  </sheetData>
  <phoneticPr fontId="16" type="noConversion"/>
  <conditionalFormatting sqref="Y1">
    <cfRule type="top10" dxfId="132" priority="1" bottom="1" rank="10"/>
  </conditionalFormatting>
  <dataValidations count="1">
    <dataValidation type="list" allowBlank="1" showInputMessage="1" showErrorMessage="1" sqref="B15 C2:C42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19"/>
  <sheetViews>
    <sheetView workbookViewId="0">
      <selection activeCell="O115" sqref="O115"/>
    </sheetView>
  </sheetViews>
  <sheetFormatPr defaultRowHeight="14.4" x14ac:dyDescent="0.25"/>
  <cols>
    <col min="1" max="1" width="11.21875" bestFit="1" customWidth="1"/>
    <col min="7" max="7" width="14.88671875" customWidth="1"/>
    <col min="8" max="8" width="10.6640625" customWidth="1"/>
    <col min="9" max="9" width="13.33203125" customWidth="1"/>
    <col min="11" max="11" width="12.33203125" customWidth="1"/>
    <col min="15" max="15" width="9.5546875" bestFit="1" customWidth="1"/>
    <col min="17" max="17" width="12.6640625" customWidth="1"/>
    <col min="19" max="19" width="14.44140625" bestFit="1" customWidth="1"/>
    <col min="22" max="22" width="17.44140625" customWidth="1"/>
    <col min="30" max="30" width="19.109375" bestFit="1" customWidth="1"/>
  </cols>
  <sheetData>
    <row r="1" spans="1:30" ht="15" thickBot="1" x14ac:dyDescent="0.3">
      <c r="A1" s="3" t="s">
        <v>635</v>
      </c>
      <c r="B1" s="4" t="s">
        <v>636</v>
      </c>
      <c r="C1" s="289" t="s">
        <v>637</v>
      </c>
      <c r="D1" s="5" t="s">
        <v>638</v>
      </c>
      <c r="E1" s="4" t="s">
        <v>639</v>
      </c>
      <c r="F1" s="5" t="s">
        <v>640</v>
      </c>
      <c r="G1" s="26" t="s">
        <v>641</v>
      </c>
      <c r="H1" s="4" t="s">
        <v>642</v>
      </c>
      <c r="I1" s="4" t="s">
        <v>643</v>
      </c>
      <c r="J1" s="4" t="s">
        <v>644</v>
      </c>
      <c r="K1" s="4" t="s">
        <v>645</v>
      </c>
      <c r="L1" s="4" t="s">
        <v>646</v>
      </c>
      <c r="M1" s="4" t="s">
        <v>647</v>
      </c>
      <c r="N1" s="4" t="s">
        <v>648</v>
      </c>
      <c r="O1" s="4" t="s">
        <v>649</v>
      </c>
      <c r="P1" s="26" t="s">
        <v>650</v>
      </c>
      <c r="Q1" s="4" t="s">
        <v>651</v>
      </c>
      <c r="R1" s="4" t="s">
        <v>652</v>
      </c>
      <c r="S1" s="4" t="s">
        <v>653</v>
      </c>
      <c r="T1" s="4" t="s">
        <v>654</v>
      </c>
      <c r="U1" s="4" t="s">
        <v>655</v>
      </c>
      <c r="V1" s="4" t="s">
        <v>656</v>
      </c>
      <c r="W1" s="26" t="s">
        <v>657</v>
      </c>
      <c r="X1" s="26" t="s">
        <v>658</v>
      </c>
      <c r="Y1" s="26" t="s">
        <v>659</v>
      </c>
      <c r="Z1" s="126" t="s">
        <v>660</v>
      </c>
      <c r="AA1" s="4" t="s">
        <v>661</v>
      </c>
      <c r="AB1" s="36" t="s">
        <v>662</v>
      </c>
      <c r="AC1" s="37" t="s">
        <v>663</v>
      </c>
      <c r="AD1" s="37" t="s">
        <v>664</v>
      </c>
    </row>
    <row r="2" spans="1:30" ht="15" thickTop="1" x14ac:dyDescent="0.25">
      <c r="A2" s="290">
        <v>42142</v>
      </c>
      <c r="B2" s="291" t="s">
        <v>696</v>
      </c>
      <c r="C2" s="143" t="s">
        <v>63</v>
      </c>
      <c r="D2" s="142">
        <v>1000</v>
      </c>
      <c r="E2" s="143">
        <v>5</v>
      </c>
      <c r="F2" s="142">
        <v>1000</v>
      </c>
      <c r="G2" s="292">
        <v>5.0056000000000003</v>
      </c>
      <c r="H2" s="143">
        <v>5005.6000000000004</v>
      </c>
      <c r="I2" s="143">
        <v>-5.6000000000003638</v>
      </c>
      <c r="J2" s="293">
        <v>-1.1187470033562951E-3</v>
      </c>
      <c r="K2" s="143">
        <v>5000</v>
      </c>
      <c r="L2" s="143">
        <v>-5.6000000000003638</v>
      </c>
      <c r="M2" s="143">
        <v>5.6</v>
      </c>
      <c r="N2" s="101">
        <v>0</v>
      </c>
      <c r="O2" s="31"/>
      <c r="P2" s="32">
        <v>-5.6000000000002714E-3</v>
      </c>
      <c r="Q2" s="31">
        <v>-5005.6000000000004</v>
      </c>
      <c r="R2" s="34"/>
      <c r="S2" s="34">
        <v>24994.400000000001</v>
      </c>
      <c r="T2" s="34">
        <v>4998.88</v>
      </c>
      <c r="U2" s="34">
        <v>5998.88</v>
      </c>
      <c r="V2" s="31">
        <v>30000</v>
      </c>
      <c r="W2" s="32">
        <v>5.0009335075880834</v>
      </c>
      <c r="X2" s="32">
        <v>-4.666492411916856E-3</v>
      </c>
      <c r="Y2" s="32">
        <v>-9.3350758808341538E-4</v>
      </c>
      <c r="Z2" s="38">
        <v>0.16669778358626944</v>
      </c>
      <c r="AA2" s="31">
        <v>-5.6000000000003638</v>
      </c>
      <c r="AB2" s="79"/>
      <c r="AC2" s="40">
        <v>-1.1194400000000728</v>
      </c>
      <c r="AD2" s="40">
        <v>-1001.1194400000001</v>
      </c>
    </row>
    <row r="3" spans="1:30" x14ac:dyDescent="0.25">
      <c r="A3" s="290">
        <v>42143</v>
      </c>
      <c r="B3" s="135" t="s">
        <v>665</v>
      </c>
      <c r="C3" s="143" t="s">
        <v>69</v>
      </c>
      <c r="D3" s="142">
        <v>900</v>
      </c>
      <c r="E3" s="143">
        <v>5.13</v>
      </c>
      <c r="F3" s="142">
        <v>100</v>
      </c>
      <c r="G3" s="292">
        <v>3.9875700000000038</v>
      </c>
      <c r="H3" s="143">
        <v>398.7570000000004</v>
      </c>
      <c r="I3" s="143">
        <v>114.2429999999996</v>
      </c>
      <c r="J3" s="293">
        <v>0.28649779188829161</v>
      </c>
      <c r="K3" s="143">
        <v>513</v>
      </c>
      <c r="L3" s="143">
        <v>119.84299999999996</v>
      </c>
      <c r="M3" s="143">
        <v>5.54</v>
      </c>
      <c r="N3" s="143">
        <v>4.617</v>
      </c>
      <c r="O3" s="143"/>
      <c r="P3" s="32">
        <v>1.1424299999999961</v>
      </c>
      <c r="Q3" s="31">
        <v>4606.8429999999998</v>
      </c>
      <c r="R3" s="34"/>
      <c r="S3" s="34">
        <v>29601.243000000002</v>
      </c>
      <c r="T3" s="34">
        <v>5770.2228070175443</v>
      </c>
      <c r="U3" s="34">
        <v>5870.2228070175443</v>
      </c>
      <c r="V3" s="31">
        <v>30000.000000000004</v>
      </c>
      <c r="W3" s="32">
        <v>5.1105385581168354</v>
      </c>
      <c r="X3" s="32">
        <v>1.1229685581168316</v>
      </c>
      <c r="Y3" s="32">
        <v>1.9461441883164454E-2</v>
      </c>
      <c r="Z3" s="38">
        <v>1.7035128527056118E-2</v>
      </c>
      <c r="AA3" s="31">
        <v>114.2429999999996</v>
      </c>
      <c r="AB3" s="79"/>
      <c r="AC3" s="40">
        <v>22.25845584795314</v>
      </c>
      <c r="AD3" s="40">
        <v>-77.741544152046856</v>
      </c>
    </row>
    <row r="4" spans="1:30" x14ac:dyDescent="0.25">
      <c r="A4" s="290">
        <v>42156</v>
      </c>
      <c r="B4" s="135"/>
      <c r="C4" s="143" t="s">
        <v>63</v>
      </c>
      <c r="D4" s="142">
        <v>1100</v>
      </c>
      <c r="E4" s="143">
        <v>5.08</v>
      </c>
      <c r="F4" s="142">
        <v>1200</v>
      </c>
      <c r="G4" s="292">
        <v>4.9936808333333333</v>
      </c>
      <c r="H4" s="143">
        <v>5992.4170000000004</v>
      </c>
      <c r="I4" s="143">
        <v>103.58299999999963</v>
      </c>
      <c r="J4" s="293">
        <v>1.7285679551339646E-2</v>
      </c>
      <c r="K4" s="143">
        <v>6096</v>
      </c>
      <c r="L4" s="143">
        <v>-10.659999999999968</v>
      </c>
      <c r="M4" s="143">
        <v>5.66</v>
      </c>
      <c r="N4" s="143">
        <v>0</v>
      </c>
      <c r="O4" s="143"/>
      <c r="P4" s="32">
        <v>8.6319166666666725E-2</v>
      </c>
      <c r="Q4" s="31">
        <v>-5593.66</v>
      </c>
      <c r="R4" s="34"/>
      <c r="S4" s="34">
        <v>24007.583000000002</v>
      </c>
      <c r="T4" s="34">
        <v>4725.9021653543314</v>
      </c>
      <c r="U4" s="34">
        <v>5925.9021653543314</v>
      </c>
      <c r="V4" s="31">
        <v>30000.000000000004</v>
      </c>
      <c r="W4" s="32">
        <v>5.0625202986634514</v>
      </c>
      <c r="X4" s="32">
        <v>6.8839465330118088E-2</v>
      </c>
      <c r="Y4" s="32">
        <v>1.7479701336548636E-2</v>
      </c>
      <c r="Z4" s="38">
        <v>0.20250081194653805</v>
      </c>
      <c r="AA4" s="31">
        <v>103.58299999999963</v>
      </c>
      <c r="AB4" s="79"/>
      <c r="AC4" s="40">
        <v>20.380159153543236</v>
      </c>
      <c r="AD4" s="40">
        <v>-1179.6198408464568</v>
      </c>
    </row>
    <row r="5" spans="1:30" x14ac:dyDescent="0.25">
      <c r="A5" s="290">
        <v>42157</v>
      </c>
      <c r="B5" s="135"/>
      <c r="C5" s="143" t="s">
        <v>63</v>
      </c>
      <c r="D5" s="142">
        <v>1100</v>
      </c>
      <c r="E5" s="143">
        <v>5.18</v>
      </c>
      <c r="F5" s="142">
        <v>2300</v>
      </c>
      <c r="G5" s="292">
        <v>5.0852508695652183</v>
      </c>
      <c r="H5" s="143">
        <v>11696.077000000001</v>
      </c>
      <c r="I5" s="143">
        <v>217.92299999999886</v>
      </c>
      <c r="J5" s="293">
        <v>1.8632144778116387E-2</v>
      </c>
      <c r="K5" s="143">
        <v>11914</v>
      </c>
      <c r="L5" s="143">
        <v>114.33999999999924</v>
      </c>
      <c r="M5" s="143">
        <v>5.66</v>
      </c>
      <c r="N5" s="143">
        <v>0</v>
      </c>
      <c r="O5" s="143"/>
      <c r="P5" s="32">
        <v>9.4749130434781392E-2</v>
      </c>
      <c r="Q5" s="31">
        <v>-5703.6600000000008</v>
      </c>
      <c r="R5" s="34"/>
      <c r="S5" s="34">
        <v>18303.923000000003</v>
      </c>
      <c r="T5" s="34">
        <v>3533.5758687258694</v>
      </c>
      <c r="U5" s="34">
        <v>5833.5758687258694</v>
      </c>
      <c r="V5" s="31">
        <v>30000.000000000004</v>
      </c>
      <c r="W5" s="32">
        <v>5.1426433246255874</v>
      </c>
      <c r="X5" s="32">
        <v>5.7392455060369052E-2</v>
      </c>
      <c r="Y5" s="32">
        <v>3.735667537441234E-2</v>
      </c>
      <c r="Z5" s="38">
        <v>0.39426932155462829</v>
      </c>
      <c r="AA5" s="31">
        <v>217.92299999999886</v>
      </c>
      <c r="AB5" s="79"/>
      <c r="AC5" s="40">
        <v>42.049042181466966</v>
      </c>
      <c r="AD5" s="40">
        <v>-2257.950957818533</v>
      </c>
    </row>
    <row r="6" spans="1:30" x14ac:dyDescent="0.25">
      <c r="A6" s="290">
        <v>42157</v>
      </c>
      <c r="B6" s="135" t="s">
        <v>666</v>
      </c>
      <c r="C6" s="143" t="s">
        <v>69</v>
      </c>
      <c r="D6" s="142">
        <v>1000</v>
      </c>
      <c r="E6" s="143">
        <v>5.24</v>
      </c>
      <c r="F6" s="142">
        <v>1300</v>
      </c>
      <c r="G6" s="292">
        <v>4.9745515384615393</v>
      </c>
      <c r="H6" s="143">
        <v>6466.9170000000013</v>
      </c>
      <c r="I6" s="143">
        <v>345.08299999999872</v>
      </c>
      <c r="J6" s="293">
        <v>5.3361284828612944E-2</v>
      </c>
      <c r="K6" s="143">
        <v>6812</v>
      </c>
      <c r="L6" s="143">
        <v>127.15999999999985</v>
      </c>
      <c r="M6" s="143">
        <v>5.6</v>
      </c>
      <c r="N6" s="143">
        <v>5.24</v>
      </c>
      <c r="O6" s="143"/>
      <c r="P6" s="32">
        <v>0.26544846153846091</v>
      </c>
      <c r="Q6" s="31">
        <v>5229.16</v>
      </c>
      <c r="R6" s="34"/>
      <c r="S6" s="34">
        <v>23533.083000000002</v>
      </c>
      <c r="T6" s="34">
        <v>4491.0463740458017</v>
      </c>
      <c r="U6" s="34">
        <v>5791.0463740458017</v>
      </c>
      <c r="V6" s="31">
        <v>30000.000000000004</v>
      </c>
      <c r="W6" s="32">
        <v>5.1804109417001767</v>
      </c>
      <c r="X6" s="32">
        <v>0.20585940323863738</v>
      </c>
      <c r="Y6" s="32">
        <v>5.9589058299823527E-2</v>
      </c>
      <c r="Z6" s="38">
        <v>0.22448447414034095</v>
      </c>
      <c r="AA6" s="31">
        <v>345.08299999999872</v>
      </c>
      <c r="AB6" s="79"/>
      <c r="AC6" s="40">
        <v>65.822606583969232</v>
      </c>
      <c r="AD6" s="40">
        <v>-1234.1773934160308</v>
      </c>
    </row>
    <row r="7" spans="1:30" x14ac:dyDescent="0.25">
      <c r="A7" s="290">
        <v>42158</v>
      </c>
      <c r="B7" s="135"/>
      <c r="C7" s="143" t="s">
        <v>63</v>
      </c>
      <c r="D7" s="142">
        <v>1000</v>
      </c>
      <c r="E7" s="143">
        <v>5.13</v>
      </c>
      <c r="F7" s="142">
        <v>2300</v>
      </c>
      <c r="G7" s="292">
        <v>5.0445726086956526</v>
      </c>
      <c r="H7" s="143">
        <v>11602.517000000002</v>
      </c>
      <c r="I7" s="143">
        <v>196.48299999999836</v>
      </c>
      <c r="J7" s="293">
        <v>1.6934515157357558E-2</v>
      </c>
      <c r="K7" s="143">
        <v>11799</v>
      </c>
      <c r="L7" s="143">
        <v>-148.60000000000036</v>
      </c>
      <c r="M7" s="143">
        <v>5.6</v>
      </c>
      <c r="N7" s="143">
        <v>0</v>
      </c>
      <c r="O7" s="143"/>
      <c r="P7" s="32">
        <v>8.5427391304347289E-2</v>
      </c>
      <c r="Q7" s="31">
        <v>-5135.6000000000004</v>
      </c>
      <c r="R7" s="34"/>
      <c r="S7" s="34">
        <v>18397.483</v>
      </c>
      <c r="T7" s="34">
        <v>3586.2539961013645</v>
      </c>
      <c r="U7" s="34">
        <v>5886.2539961013645</v>
      </c>
      <c r="V7" s="31">
        <v>30000</v>
      </c>
      <c r="W7" s="32">
        <v>5.0966200269084316</v>
      </c>
      <c r="X7" s="32">
        <v>5.2047418212779029E-2</v>
      </c>
      <c r="Y7" s="32">
        <v>3.337997309156826E-2</v>
      </c>
      <c r="Z7" s="38">
        <v>0.39074086872964642</v>
      </c>
      <c r="AA7" s="31">
        <v>196.48299999999836</v>
      </c>
      <c r="AB7" s="79"/>
      <c r="AC7" s="40">
        <v>38.281629337231649</v>
      </c>
      <c r="AD7" s="40">
        <v>-2261.7183706627684</v>
      </c>
    </row>
    <row r="8" spans="1:30" x14ac:dyDescent="0.25">
      <c r="A8" s="290">
        <v>42159</v>
      </c>
      <c r="B8" s="135"/>
      <c r="C8" s="143" t="s">
        <v>69</v>
      </c>
      <c r="D8" s="142">
        <v>1000</v>
      </c>
      <c r="E8" s="143">
        <v>5.26</v>
      </c>
      <c r="F8" s="142">
        <v>1300</v>
      </c>
      <c r="G8" s="292">
        <v>4.8872130769230786</v>
      </c>
      <c r="H8" s="143">
        <v>6353.3770000000022</v>
      </c>
      <c r="I8" s="143">
        <v>484.62299999999777</v>
      </c>
      <c r="J8" s="293">
        <v>7.6278017186764982E-2</v>
      </c>
      <c r="K8" s="143">
        <v>6838</v>
      </c>
      <c r="L8" s="143">
        <v>288.13999999999942</v>
      </c>
      <c r="M8" s="143">
        <v>5.6</v>
      </c>
      <c r="N8" s="143">
        <v>5.26</v>
      </c>
      <c r="O8" s="143"/>
      <c r="P8" s="32">
        <v>0.37278692307692118</v>
      </c>
      <c r="Q8" s="31">
        <v>5249.1399999999994</v>
      </c>
      <c r="R8" s="34"/>
      <c r="S8" s="34">
        <v>23646.623</v>
      </c>
      <c r="T8" s="34">
        <v>4495.5557034220537</v>
      </c>
      <c r="U8" s="34">
        <v>5795.5557034220537</v>
      </c>
      <c r="V8" s="31">
        <v>30000</v>
      </c>
      <c r="W8" s="32">
        <v>5.1763802360291606</v>
      </c>
      <c r="X8" s="32">
        <v>0.28916715910608204</v>
      </c>
      <c r="Y8" s="32">
        <v>8.3619763970839145E-2</v>
      </c>
      <c r="Z8" s="38">
        <v>0.22430981022793031</v>
      </c>
      <c r="AA8" s="31">
        <v>484.62299999999777</v>
      </c>
      <c r="AB8" s="79"/>
      <c r="AC8" s="40">
        <v>92.087583365018602</v>
      </c>
      <c r="AD8" s="40">
        <v>-1207.9124166349814</v>
      </c>
    </row>
    <row r="9" spans="1:30" x14ac:dyDescent="0.25">
      <c r="A9" s="290">
        <v>42159</v>
      </c>
      <c r="B9" s="135"/>
      <c r="C9" s="143" t="s">
        <v>69</v>
      </c>
      <c r="D9" s="142">
        <v>1000</v>
      </c>
      <c r="E9" s="143">
        <v>5.3</v>
      </c>
      <c r="F9" s="142">
        <v>300</v>
      </c>
      <c r="G9" s="292">
        <v>3.5475900000000071</v>
      </c>
      <c r="H9" s="143">
        <v>1064.2770000000021</v>
      </c>
      <c r="I9" s="143">
        <v>525.72299999999791</v>
      </c>
      <c r="J9" s="293">
        <v>0.49397196406574301</v>
      </c>
      <c r="K9" s="143">
        <v>1590</v>
      </c>
      <c r="L9" s="143">
        <v>41.100000000000136</v>
      </c>
      <c r="M9" s="143">
        <v>5.6</v>
      </c>
      <c r="N9" s="143">
        <v>5.3</v>
      </c>
      <c r="O9" s="143"/>
      <c r="P9" s="32">
        <v>1.7524099999999927</v>
      </c>
      <c r="Q9" s="31">
        <v>5289.1</v>
      </c>
      <c r="R9" s="34"/>
      <c r="S9" s="34">
        <v>28935.722999999998</v>
      </c>
      <c r="T9" s="34">
        <v>5459.5703773584901</v>
      </c>
      <c r="U9" s="34">
        <v>5759.5703773584901</v>
      </c>
      <c r="V9" s="31">
        <v>30000</v>
      </c>
      <c r="W9" s="32">
        <v>5.2087218376449274</v>
      </c>
      <c r="X9" s="32">
        <v>1.6611318376449202</v>
      </c>
      <c r="Y9" s="32">
        <v>9.1278162355072467E-2</v>
      </c>
      <c r="Z9" s="38">
        <v>5.2087218376449272E-2</v>
      </c>
      <c r="AA9" s="31">
        <v>525.72299999999791</v>
      </c>
      <c r="AB9" s="79"/>
      <c r="AC9" s="40">
        <v>99.143422358490184</v>
      </c>
      <c r="AD9" s="40">
        <v>-200.85657764150983</v>
      </c>
    </row>
    <row r="10" spans="1:30" x14ac:dyDescent="0.25">
      <c r="A10" s="290">
        <v>42159</v>
      </c>
      <c r="B10" s="135"/>
      <c r="C10" s="143" t="s">
        <v>63</v>
      </c>
      <c r="D10" s="142">
        <v>500</v>
      </c>
      <c r="E10" s="143">
        <v>5.17</v>
      </c>
      <c r="F10" s="142">
        <v>800</v>
      </c>
      <c r="G10" s="292">
        <v>4.5682212500000023</v>
      </c>
      <c r="H10" s="143">
        <v>3654.577000000002</v>
      </c>
      <c r="I10" s="143">
        <v>481.42299999999796</v>
      </c>
      <c r="J10" s="293">
        <v>0.13173152460599347</v>
      </c>
      <c r="K10" s="143">
        <v>4136</v>
      </c>
      <c r="L10" s="143">
        <v>-44.299999999999955</v>
      </c>
      <c r="M10" s="143">
        <v>5.3</v>
      </c>
      <c r="N10" s="143">
        <v>0</v>
      </c>
      <c r="O10" s="143"/>
      <c r="P10" s="32">
        <v>0.60177874999999759</v>
      </c>
      <c r="Q10" s="31">
        <v>-2590.3000000000002</v>
      </c>
      <c r="R10" s="34"/>
      <c r="S10" s="34">
        <v>26345.422999999999</v>
      </c>
      <c r="T10" s="34">
        <v>5095.8264990328817</v>
      </c>
      <c r="U10" s="34">
        <v>5895.8264990328817</v>
      </c>
      <c r="V10" s="31">
        <v>30000</v>
      </c>
      <c r="W10" s="32">
        <v>5.0883451208954389</v>
      </c>
      <c r="X10" s="32">
        <v>0.52012387089543655</v>
      </c>
      <c r="Y10" s="32">
        <v>8.165487910456104E-2</v>
      </c>
      <c r="Z10" s="38">
        <v>0.13568920322387837</v>
      </c>
      <c r="AA10" s="31">
        <v>481.42299999999796</v>
      </c>
      <c r="AB10" s="79"/>
      <c r="AC10" s="40">
        <v>93.072009381044097</v>
      </c>
      <c r="AD10" s="40">
        <v>-706.92799061895585</v>
      </c>
    </row>
    <row r="11" spans="1:30" x14ac:dyDescent="0.25">
      <c r="A11" s="290">
        <v>42160</v>
      </c>
      <c r="B11" s="135" t="s">
        <v>667</v>
      </c>
      <c r="C11" s="143" t="s">
        <v>69</v>
      </c>
      <c r="D11" s="142">
        <v>400</v>
      </c>
      <c r="E11" s="143">
        <v>5.41</v>
      </c>
      <c r="F11" s="142">
        <v>400</v>
      </c>
      <c r="G11" s="292">
        <v>3.744952500000005</v>
      </c>
      <c r="H11" s="143">
        <v>1497.981000000002</v>
      </c>
      <c r="I11" s="143">
        <v>666.01899999999796</v>
      </c>
      <c r="J11" s="293">
        <v>0.44461111322506569</v>
      </c>
      <c r="K11" s="143">
        <v>2164</v>
      </c>
      <c r="L11" s="143">
        <v>184.596</v>
      </c>
      <c r="M11" s="143">
        <v>5.24</v>
      </c>
      <c r="N11" s="143">
        <v>2.1640000000000001</v>
      </c>
      <c r="O11" s="143"/>
      <c r="P11" s="32">
        <v>1.6650474999999951</v>
      </c>
      <c r="Q11" s="31">
        <v>2156.596</v>
      </c>
      <c r="R11" s="34"/>
      <c r="S11" s="34">
        <v>28502.019</v>
      </c>
      <c r="T11" s="34">
        <v>5268.3953789279112</v>
      </c>
      <c r="U11" s="34">
        <v>5668.3953789279112</v>
      </c>
      <c r="V11" s="31">
        <v>30000.000000000004</v>
      </c>
      <c r="W11" s="32">
        <v>5.292503079711782</v>
      </c>
      <c r="X11" s="32">
        <v>1.547550579711777</v>
      </c>
      <c r="Y11" s="32">
        <v>0.11749692028821812</v>
      </c>
      <c r="Z11" s="38">
        <v>7.0566707729490419E-2</v>
      </c>
      <c r="AA11" s="31">
        <v>666.01899999999796</v>
      </c>
      <c r="AB11" s="79"/>
      <c r="AC11" s="40">
        <v>123.04731802218078</v>
      </c>
      <c r="AD11" s="40">
        <v>-276.95268197781922</v>
      </c>
    </row>
    <row r="12" spans="1:30" x14ac:dyDescent="0.25">
      <c r="A12" s="290">
        <v>42160</v>
      </c>
      <c r="B12" s="135"/>
      <c r="C12" s="143" t="s">
        <v>63</v>
      </c>
      <c r="D12" s="142">
        <v>1000</v>
      </c>
      <c r="E12" s="143">
        <v>5.31</v>
      </c>
      <c r="F12" s="142">
        <v>1400</v>
      </c>
      <c r="G12" s="292">
        <v>4.8668435714285732</v>
      </c>
      <c r="H12" s="143">
        <v>6813.5810000000019</v>
      </c>
      <c r="I12" s="143">
        <v>620.41899999999714</v>
      </c>
      <c r="J12" s="293">
        <v>9.1056230196719878E-2</v>
      </c>
      <c r="K12" s="143">
        <v>7433.9999999999991</v>
      </c>
      <c r="L12" s="143">
        <v>-45.600000000000819</v>
      </c>
      <c r="M12" s="143">
        <v>5.6</v>
      </c>
      <c r="N12" s="143">
        <v>0</v>
      </c>
      <c r="O12" s="143"/>
      <c r="P12" s="32">
        <v>0.44315642857142645</v>
      </c>
      <c r="Q12" s="31">
        <v>-5315.6</v>
      </c>
      <c r="R12" s="34"/>
      <c r="S12" s="34">
        <v>23186.419000000002</v>
      </c>
      <c r="T12" s="34">
        <v>4366.5572504708107</v>
      </c>
      <c r="U12" s="34">
        <v>5766.5572504708107</v>
      </c>
      <c r="V12" s="31">
        <v>30000.000000000004</v>
      </c>
      <c r="W12" s="32">
        <v>5.202410848786883</v>
      </c>
      <c r="X12" s="32">
        <v>0.33556727735830982</v>
      </c>
      <c r="Y12" s="32">
        <v>0.10758915121311663</v>
      </c>
      <c r="Z12" s="38">
        <v>0.24277917294338783</v>
      </c>
      <c r="AA12" s="31">
        <v>620.41899999999714</v>
      </c>
      <c r="AB12" s="79"/>
      <c r="AC12" s="40">
        <v>116.78131647834223</v>
      </c>
      <c r="AD12" s="40">
        <v>-1283.2186835216578</v>
      </c>
    </row>
    <row r="13" spans="1:30" x14ac:dyDescent="0.25">
      <c r="A13" s="290">
        <v>42161</v>
      </c>
      <c r="B13" s="135"/>
      <c r="C13" s="143" t="s">
        <v>69</v>
      </c>
      <c r="D13" s="142">
        <v>1000</v>
      </c>
      <c r="E13" s="143">
        <v>5.48</v>
      </c>
      <c r="F13" s="142">
        <v>400</v>
      </c>
      <c r="G13" s="292">
        <v>3.3616525000000048</v>
      </c>
      <c r="H13" s="143">
        <v>1344.6610000000019</v>
      </c>
      <c r="I13" s="143">
        <v>847.33899999999812</v>
      </c>
      <c r="J13" s="293">
        <v>0.63015064763534978</v>
      </c>
      <c r="K13" s="143">
        <v>2192</v>
      </c>
      <c r="L13" s="143">
        <v>226.92000000000098</v>
      </c>
      <c r="M13" s="143">
        <v>5.6</v>
      </c>
      <c r="N13" s="143">
        <v>5.48</v>
      </c>
      <c r="O13" s="143"/>
      <c r="P13" s="32">
        <v>2.1183474999999956</v>
      </c>
      <c r="Q13" s="31">
        <v>5468.92</v>
      </c>
      <c r="R13" s="34"/>
      <c r="S13" s="34">
        <v>28655.339</v>
      </c>
      <c r="T13" s="34">
        <v>5229.0764598540145</v>
      </c>
      <c r="U13" s="34">
        <v>5629.0764598540145</v>
      </c>
      <c r="V13" s="31">
        <v>30000</v>
      </c>
      <c r="W13" s="32">
        <v>5.3294710444878248</v>
      </c>
      <c r="X13" s="32">
        <v>1.96781854448782</v>
      </c>
      <c r="Y13" s="32">
        <v>0.1505289555121756</v>
      </c>
      <c r="Z13" s="38">
        <v>7.1059613926504325E-2</v>
      </c>
      <c r="AA13" s="31">
        <v>847.33899999999812</v>
      </c>
      <c r="AB13" s="79"/>
      <c r="AC13" s="40">
        <v>154.54659315693397</v>
      </c>
      <c r="AD13" s="40">
        <v>-245.45340684306603</v>
      </c>
    </row>
    <row r="14" spans="1:30" x14ac:dyDescent="0.25">
      <c r="A14" s="290">
        <v>42165</v>
      </c>
      <c r="B14" s="135"/>
      <c r="C14" s="143" t="s">
        <v>63</v>
      </c>
      <c r="D14" s="142">
        <v>1100</v>
      </c>
      <c r="E14" s="143">
        <v>5.44</v>
      </c>
      <c r="F14" s="142">
        <v>1500</v>
      </c>
      <c r="G14" s="292">
        <v>4.8895473333333346</v>
      </c>
      <c r="H14" s="143">
        <v>7334.3210000000017</v>
      </c>
      <c r="I14" s="143">
        <v>825.67899999999918</v>
      </c>
      <c r="J14" s="293">
        <v>0.11257742877629688</v>
      </c>
      <c r="K14" s="143">
        <v>8160.0000000000009</v>
      </c>
      <c r="L14" s="143">
        <v>-21.659999999998945</v>
      </c>
      <c r="M14" s="143">
        <v>5.66</v>
      </c>
      <c r="N14" s="143">
        <v>0</v>
      </c>
      <c r="O14" s="143"/>
      <c r="P14" s="32">
        <v>0.55045266666666581</v>
      </c>
      <c r="Q14" s="31">
        <v>-5989.66</v>
      </c>
      <c r="R14" s="34"/>
      <c r="S14" s="34">
        <v>22665.679</v>
      </c>
      <c r="T14" s="34">
        <v>4166.4851102941175</v>
      </c>
      <c r="U14" s="34">
        <v>5666.4851102941175</v>
      </c>
      <c r="V14" s="31">
        <v>30000</v>
      </c>
      <c r="W14" s="32">
        <v>5.2942872726339623</v>
      </c>
      <c r="X14" s="32">
        <v>0.40473993930062768</v>
      </c>
      <c r="Y14" s="32">
        <v>0.14571272736603813</v>
      </c>
      <c r="Z14" s="38">
        <v>0.26471436363169809</v>
      </c>
      <c r="AA14" s="31">
        <v>825.67899999999918</v>
      </c>
      <c r="AB14" s="79"/>
      <c r="AC14" s="40">
        <v>151.70333832720573</v>
      </c>
      <c r="AD14" s="40">
        <v>-1348.2966616727942</v>
      </c>
    </row>
    <row r="15" spans="1:30" x14ac:dyDescent="0.25">
      <c r="A15" s="290">
        <v>42166</v>
      </c>
      <c r="B15" s="135"/>
      <c r="C15" s="143" t="s">
        <v>63</v>
      </c>
      <c r="D15" s="142">
        <v>600</v>
      </c>
      <c r="E15" s="143">
        <v>5.44</v>
      </c>
      <c r="F15" s="142">
        <v>2100</v>
      </c>
      <c r="G15" s="292">
        <v>5.0493719047619061</v>
      </c>
      <c r="H15" s="143">
        <v>10603.681000000002</v>
      </c>
      <c r="I15" s="143">
        <v>820.31899999999769</v>
      </c>
      <c r="J15" s="293">
        <v>7.7361719953664934E-2</v>
      </c>
      <c r="K15" s="143">
        <v>11424</v>
      </c>
      <c r="L15" s="143">
        <v>-5.3600000000014916</v>
      </c>
      <c r="M15" s="143">
        <v>5.36</v>
      </c>
      <c r="N15" s="143">
        <v>0</v>
      </c>
      <c r="O15" s="143"/>
      <c r="P15" s="32">
        <v>0.39062809523809428</v>
      </c>
      <c r="Q15" s="31">
        <v>-3269.3600000000006</v>
      </c>
      <c r="R15" s="34"/>
      <c r="S15" s="34">
        <v>19396.319</v>
      </c>
      <c r="T15" s="34">
        <v>3565.4998161764702</v>
      </c>
      <c r="U15" s="34">
        <v>5665.4998161764706</v>
      </c>
      <c r="V15" s="31">
        <v>30000</v>
      </c>
      <c r="W15" s="32">
        <v>5.2952080087165871</v>
      </c>
      <c r="X15" s="32">
        <v>0.24583610395468103</v>
      </c>
      <c r="Y15" s="32">
        <v>0.14479199128341325</v>
      </c>
      <c r="Z15" s="38">
        <v>0.37066456061016112</v>
      </c>
      <c r="AA15" s="31">
        <v>820.31899999999769</v>
      </c>
      <c r="AB15" s="79"/>
      <c r="AC15" s="40">
        <v>150.71853685661722</v>
      </c>
      <c r="AD15" s="40">
        <v>-1949.2814631433828</v>
      </c>
    </row>
    <row r="16" spans="1:30" x14ac:dyDescent="0.25">
      <c r="A16" s="290">
        <v>42170</v>
      </c>
      <c r="B16" s="135"/>
      <c r="C16" s="143" t="s">
        <v>63</v>
      </c>
      <c r="D16" s="142">
        <v>1000</v>
      </c>
      <c r="E16" s="143">
        <v>5.36</v>
      </c>
      <c r="F16" s="142">
        <v>3100</v>
      </c>
      <c r="G16" s="292">
        <v>5.151380967741936</v>
      </c>
      <c r="H16" s="143">
        <v>15969.281000000003</v>
      </c>
      <c r="I16" s="143">
        <v>646.71899999999732</v>
      </c>
      <c r="J16" s="293">
        <v>4.0497690534720965E-2</v>
      </c>
      <c r="K16" s="143">
        <v>16616</v>
      </c>
      <c r="L16" s="143">
        <v>-173.60000000000036</v>
      </c>
      <c r="M16" s="143">
        <v>5.6</v>
      </c>
      <c r="N16" s="143">
        <v>0</v>
      </c>
      <c r="O16" s="143"/>
      <c r="P16" s="32">
        <v>0.20861903225806433</v>
      </c>
      <c r="Q16" s="31">
        <v>-5365.6</v>
      </c>
      <c r="R16" s="34"/>
      <c r="S16" s="34">
        <v>14030.718999999999</v>
      </c>
      <c r="T16" s="34">
        <v>2617.6714552238805</v>
      </c>
      <c r="U16" s="34">
        <v>5717.6714552238809</v>
      </c>
      <c r="V16" s="31">
        <v>30000</v>
      </c>
      <c r="W16" s="32">
        <v>5.2468911924960056</v>
      </c>
      <c r="X16" s="32">
        <v>9.5510224754069561E-2</v>
      </c>
      <c r="Y16" s="32">
        <v>0.11310880750399477</v>
      </c>
      <c r="Z16" s="38">
        <v>0.54217875655792058</v>
      </c>
      <c r="AA16" s="31">
        <v>646.71899999999732</v>
      </c>
      <c r="AB16" s="79"/>
      <c r="AC16" s="40">
        <v>120.5962015858204</v>
      </c>
      <c r="AD16" s="40">
        <v>-2979.4037984141796</v>
      </c>
    </row>
    <row r="17" spans="1:30" x14ac:dyDescent="0.25">
      <c r="A17" s="290">
        <v>42171</v>
      </c>
      <c r="B17" s="135"/>
      <c r="C17" s="143" t="s">
        <v>63</v>
      </c>
      <c r="D17" s="142">
        <v>1000</v>
      </c>
      <c r="E17" s="143">
        <v>5.24</v>
      </c>
      <c r="F17" s="142">
        <v>4100</v>
      </c>
      <c r="G17" s="292">
        <v>5.1743612195121953</v>
      </c>
      <c r="H17" s="143">
        <v>21214.881000000001</v>
      </c>
      <c r="I17" s="143">
        <v>269.11899999999878</v>
      </c>
      <c r="J17" s="293">
        <v>1.2685388148064566E-2</v>
      </c>
      <c r="K17" s="143">
        <v>21484</v>
      </c>
      <c r="L17" s="143">
        <v>-377.59999999999854</v>
      </c>
      <c r="M17" s="143">
        <v>5.6</v>
      </c>
      <c r="N17" s="143">
        <v>0</v>
      </c>
      <c r="O17" s="143"/>
      <c r="P17" s="32">
        <v>6.5638780487804915E-2</v>
      </c>
      <c r="Q17" s="31">
        <v>-5245.5999999999985</v>
      </c>
      <c r="R17" s="34"/>
      <c r="S17" s="34">
        <v>8785.1190000000006</v>
      </c>
      <c r="T17" s="34">
        <v>1676.5494274809162</v>
      </c>
      <c r="U17" s="34">
        <v>5776.5494274809162</v>
      </c>
      <c r="V17" s="31">
        <v>30000</v>
      </c>
      <c r="W17" s="32">
        <v>5.1934118069310173</v>
      </c>
      <c r="X17" s="32">
        <v>1.905058741882204E-2</v>
      </c>
      <c r="Y17" s="32">
        <v>4.6588193068982875E-2</v>
      </c>
      <c r="Z17" s="38">
        <v>0.70976628028057243</v>
      </c>
      <c r="AA17" s="31">
        <v>269.11899999999878</v>
      </c>
      <c r="AB17" s="79"/>
      <c r="AC17" s="40">
        <v>51.33290849236618</v>
      </c>
      <c r="AD17" s="40">
        <v>-4048.6670915076338</v>
      </c>
    </row>
    <row r="18" spans="1:30" x14ac:dyDescent="0.25">
      <c r="A18" s="290">
        <v>42173</v>
      </c>
      <c r="B18" s="135"/>
      <c r="C18" s="143" t="s">
        <v>63</v>
      </c>
      <c r="D18" s="142">
        <v>1000</v>
      </c>
      <c r="E18" s="143">
        <v>5.16</v>
      </c>
      <c r="F18" s="142">
        <v>5100</v>
      </c>
      <c r="G18" s="292">
        <v>5.1726433333333333</v>
      </c>
      <c r="H18" s="143">
        <v>26380.481</v>
      </c>
      <c r="I18" s="143">
        <v>-64.480999999999767</v>
      </c>
      <c r="J18" s="293">
        <v>-2.4442693065376215E-3</v>
      </c>
      <c r="K18" s="143">
        <v>26316</v>
      </c>
      <c r="L18" s="143">
        <v>-333.59999999999854</v>
      </c>
      <c r="M18" s="143">
        <v>5.6</v>
      </c>
      <c r="N18" s="143">
        <v>0</v>
      </c>
      <c r="O18" s="143"/>
      <c r="P18" s="32">
        <v>-1.2643333333333118E-2</v>
      </c>
      <c r="Q18" s="31">
        <v>-5165.5999999999985</v>
      </c>
      <c r="R18" s="34"/>
      <c r="S18" s="34">
        <v>3619.5190000000021</v>
      </c>
      <c r="T18" s="34">
        <v>701.45717054263605</v>
      </c>
      <c r="U18" s="34">
        <v>5801.457170542636</v>
      </c>
      <c r="V18" s="31">
        <v>30000</v>
      </c>
      <c r="W18" s="32">
        <v>5.1711146213967423</v>
      </c>
      <c r="X18" s="32">
        <v>-1.5287119365909874E-3</v>
      </c>
      <c r="Y18" s="32">
        <v>-1.111462139674213E-2</v>
      </c>
      <c r="Z18" s="38">
        <v>0.87908948563744627</v>
      </c>
      <c r="AA18" s="31">
        <v>-64.480999999999767</v>
      </c>
      <c r="AB18" s="79"/>
      <c r="AC18" s="40">
        <v>-12.49006967054259</v>
      </c>
      <c r="AD18" s="40">
        <v>-5112.4900696705427</v>
      </c>
    </row>
    <row r="19" spans="1:30" x14ac:dyDescent="0.25">
      <c r="A19" s="290">
        <v>42174</v>
      </c>
      <c r="B19" s="135"/>
      <c r="C19" s="143" t="s">
        <v>63</v>
      </c>
      <c r="D19" s="142">
        <v>1100</v>
      </c>
      <c r="E19" s="143">
        <v>5.09</v>
      </c>
      <c r="F19" s="142">
        <v>6200</v>
      </c>
      <c r="G19" s="292">
        <v>5.158893709677419</v>
      </c>
      <c r="H19" s="143">
        <v>31985.141</v>
      </c>
      <c r="I19" s="143">
        <v>-427.14099999999962</v>
      </c>
      <c r="J19" s="293">
        <v>-1.335435726232999E-2</v>
      </c>
      <c r="K19" s="143">
        <v>31558</v>
      </c>
      <c r="L19" s="143">
        <v>-362.65999999999985</v>
      </c>
      <c r="M19" s="143">
        <v>5.66</v>
      </c>
      <c r="N19" s="143">
        <v>0</v>
      </c>
      <c r="O19" s="143"/>
      <c r="P19" s="32">
        <v>-6.8893709677419146E-2</v>
      </c>
      <c r="Q19" s="31">
        <v>-5604.66</v>
      </c>
      <c r="R19" s="34"/>
      <c r="S19" s="34">
        <v>-1985.1409999999978</v>
      </c>
      <c r="T19" s="34">
        <v>-390.00805500982278</v>
      </c>
      <c r="U19" s="34">
        <v>5809.9919449901772</v>
      </c>
      <c r="V19" s="31">
        <v>30000</v>
      </c>
      <c r="W19" s="32">
        <v>5.1635183463323582</v>
      </c>
      <c r="X19" s="32">
        <v>4.6246366549391738E-3</v>
      </c>
      <c r="Y19" s="32">
        <v>-7.351834633235832E-2</v>
      </c>
      <c r="Z19" s="38">
        <v>1.0671271249086873</v>
      </c>
      <c r="AA19" s="31">
        <v>-427.14099999999962</v>
      </c>
      <c r="AB19" s="79"/>
      <c r="AC19" s="40">
        <v>-83.875722888015645</v>
      </c>
      <c r="AD19" s="40">
        <v>-6283.8757228880158</v>
      </c>
    </row>
    <row r="20" spans="1:30" x14ac:dyDescent="0.25">
      <c r="A20" s="290">
        <v>42178</v>
      </c>
      <c r="B20" s="135"/>
      <c r="C20" s="143" t="s">
        <v>63</v>
      </c>
      <c r="D20" s="142">
        <v>1000</v>
      </c>
      <c r="E20" s="143">
        <v>5</v>
      </c>
      <c r="F20" s="142">
        <v>7200</v>
      </c>
      <c r="G20" s="292">
        <v>5.1376029166666672</v>
      </c>
      <c r="H20" s="143">
        <v>36990.741000000002</v>
      </c>
      <c r="I20" s="143">
        <v>-990.7410000000018</v>
      </c>
      <c r="J20" s="293">
        <v>-2.678348617022849E-2</v>
      </c>
      <c r="K20" s="143">
        <v>36000</v>
      </c>
      <c r="L20" s="143">
        <v>-563.60000000000218</v>
      </c>
      <c r="M20" s="143">
        <v>5.6</v>
      </c>
      <c r="N20" s="143">
        <v>0</v>
      </c>
      <c r="O20" s="143"/>
      <c r="P20" s="32">
        <v>-0.13760291666666724</v>
      </c>
      <c r="Q20" s="31">
        <v>-5005.6000000000022</v>
      </c>
      <c r="R20" s="34"/>
      <c r="S20" s="34">
        <v>-6990.741</v>
      </c>
      <c r="T20" s="34">
        <v>-1398.1482000000001</v>
      </c>
      <c r="U20" s="34">
        <v>5801.8518000000004</v>
      </c>
      <c r="V20" s="31">
        <v>30000</v>
      </c>
      <c r="W20" s="32">
        <v>5.1707628933231282</v>
      </c>
      <c r="X20" s="32">
        <v>3.3159976656460977E-2</v>
      </c>
      <c r="Y20" s="32">
        <v>-0.17076289332312822</v>
      </c>
      <c r="Z20" s="38">
        <v>1.2409830943975506</v>
      </c>
      <c r="AA20" s="31">
        <v>-990.7410000000018</v>
      </c>
      <c r="AB20" s="79"/>
      <c r="AC20" s="40">
        <v>-198.04912590000038</v>
      </c>
      <c r="AD20" s="40">
        <v>-7398.0491259</v>
      </c>
    </row>
    <row r="21" spans="1:30" x14ac:dyDescent="0.25">
      <c r="A21" s="290">
        <v>42178</v>
      </c>
      <c r="B21" s="135" t="s">
        <v>668</v>
      </c>
      <c r="C21" s="143" t="s">
        <v>69</v>
      </c>
      <c r="D21" s="142">
        <v>1000</v>
      </c>
      <c r="E21" s="143">
        <v>5.16</v>
      </c>
      <c r="F21" s="142">
        <v>6200</v>
      </c>
      <c r="G21" s="292">
        <v>5.1357259677419353</v>
      </c>
      <c r="H21" s="143">
        <v>31841.501</v>
      </c>
      <c r="I21" s="143">
        <v>150.4989999999998</v>
      </c>
      <c r="J21" s="293">
        <v>4.7265045702462871E-3</v>
      </c>
      <c r="K21" s="143">
        <v>31992</v>
      </c>
      <c r="L21" s="143">
        <v>1141.2400000000016</v>
      </c>
      <c r="M21" s="143">
        <v>5.6</v>
      </c>
      <c r="N21" s="143">
        <v>5.16</v>
      </c>
      <c r="O21" s="143"/>
      <c r="P21" s="32">
        <v>2.4274032258064793E-2</v>
      </c>
      <c r="Q21" s="31">
        <v>5149.2400000000016</v>
      </c>
      <c r="R21" s="34"/>
      <c r="S21" s="34">
        <v>-1841.5009999999984</v>
      </c>
      <c r="T21" s="34">
        <v>-356.88003875968963</v>
      </c>
      <c r="U21" s="34">
        <v>5843.1199612403107</v>
      </c>
      <c r="V21" s="31">
        <v>30000</v>
      </c>
      <c r="W21" s="32">
        <v>5.1342433835008832</v>
      </c>
      <c r="X21" s="32">
        <v>-1.4825842410521872E-3</v>
      </c>
      <c r="Y21" s="32">
        <v>2.575661649911698E-2</v>
      </c>
      <c r="Z21" s="38">
        <v>1.0610769659235157</v>
      </c>
      <c r="AA21" s="31">
        <v>150.4989999999998</v>
      </c>
      <c r="AB21" s="79"/>
      <c r="AC21" s="40">
        <v>29.151889631782907</v>
      </c>
      <c r="AD21" s="40">
        <v>-6170.848110368217</v>
      </c>
    </row>
    <row r="22" spans="1:30" x14ac:dyDescent="0.25">
      <c r="A22" s="290">
        <v>42180</v>
      </c>
      <c r="B22" s="135"/>
      <c r="C22" s="143" t="s">
        <v>69</v>
      </c>
      <c r="D22" s="142">
        <v>600</v>
      </c>
      <c r="E22" s="143">
        <v>5.31</v>
      </c>
      <c r="F22" s="142">
        <v>5600</v>
      </c>
      <c r="G22" s="292">
        <v>5.1185798214285718</v>
      </c>
      <c r="H22" s="143">
        <v>28664.047000000002</v>
      </c>
      <c r="I22" s="143">
        <v>1071.9529999999941</v>
      </c>
      <c r="J22" s="293">
        <v>3.7397126790923683E-2</v>
      </c>
      <c r="K22" s="143">
        <v>29735.999999999996</v>
      </c>
      <c r="L22" s="143">
        <v>921.45399999999427</v>
      </c>
      <c r="M22" s="143">
        <v>5.36</v>
      </c>
      <c r="N22" s="143">
        <v>3.1859999999999995</v>
      </c>
      <c r="O22" s="143"/>
      <c r="P22" s="32">
        <v>0.19142017857142779</v>
      </c>
      <c r="Q22" s="31">
        <v>3177.4539999999979</v>
      </c>
      <c r="R22" s="34"/>
      <c r="S22" s="34">
        <v>1335.9529999999995</v>
      </c>
      <c r="T22" s="34">
        <v>251.59190207156303</v>
      </c>
      <c r="U22" s="34">
        <v>5851.5919020715628</v>
      </c>
      <c r="V22" s="31">
        <v>30000</v>
      </c>
      <c r="W22" s="32">
        <v>5.1268100205996063</v>
      </c>
      <c r="X22" s="32">
        <v>8.2301991710345135E-3</v>
      </c>
      <c r="Y22" s="32">
        <v>0.18318997940039328</v>
      </c>
      <c r="Z22" s="38">
        <v>0.95700453717859324</v>
      </c>
      <c r="AA22" s="31">
        <v>1071.9529999999941</v>
      </c>
      <c r="AB22" s="79"/>
      <c r="AC22" s="40">
        <v>201.77345075329455</v>
      </c>
      <c r="AD22" s="40">
        <v>-5398.2265492467059</v>
      </c>
    </row>
    <row r="23" spans="1:30" x14ac:dyDescent="0.25">
      <c r="A23" s="290">
        <v>42181</v>
      </c>
      <c r="B23" s="135"/>
      <c r="C23" s="143" t="s">
        <v>63</v>
      </c>
      <c r="D23" s="142">
        <v>1000</v>
      </c>
      <c r="E23" s="143">
        <v>5</v>
      </c>
      <c r="F23" s="142">
        <v>6600</v>
      </c>
      <c r="G23" s="292">
        <v>5.1014616666666672</v>
      </c>
      <c r="H23" s="143">
        <v>33669.647000000004</v>
      </c>
      <c r="I23" s="143">
        <v>-669.64700000000448</v>
      </c>
      <c r="J23" s="293">
        <v>-1.9888744304328573E-2</v>
      </c>
      <c r="K23" s="143">
        <v>33000</v>
      </c>
      <c r="L23" s="143">
        <v>-1741.5999999999985</v>
      </c>
      <c r="M23" s="143">
        <v>5.6</v>
      </c>
      <c r="N23" s="143">
        <v>0</v>
      </c>
      <c r="O23" s="143"/>
      <c r="P23" s="32">
        <v>-0.10146166666666723</v>
      </c>
      <c r="Q23" s="31">
        <v>-5005.6000000000022</v>
      </c>
      <c r="R23" s="34"/>
      <c r="S23" s="34">
        <v>-3669.6470000000027</v>
      </c>
      <c r="T23" s="34">
        <v>-733.92940000000056</v>
      </c>
      <c r="U23" s="34">
        <v>5866.0705999999991</v>
      </c>
      <c r="V23" s="31">
        <v>30000</v>
      </c>
      <c r="W23" s="32">
        <v>5.114155973506354</v>
      </c>
      <c r="X23" s="32">
        <v>1.2694306839686753E-2</v>
      </c>
      <c r="Y23" s="32">
        <v>-0.11415597350635398</v>
      </c>
      <c r="Z23" s="38">
        <v>1.125114314171398</v>
      </c>
      <c r="AA23" s="31">
        <v>-669.64700000000448</v>
      </c>
      <c r="AB23" s="79"/>
      <c r="AC23" s="40">
        <v>-133.8624353000009</v>
      </c>
      <c r="AD23" s="40">
        <v>-6733.8624353000005</v>
      </c>
    </row>
    <row r="24" spans="1:30" x14ac:dyDescent="0.25">
      <c r="A24" s="290">
        <v>42181</v>
      </c>
      <c r="B24" s="135"/>
      <c r="C24" s="143" t="s">
        <v>63</v>
      </c>
      <c r="D24" s="142">
        <v>1000</v>
      </c>
      <c r="E24" s="143">
        <v>4.91</v>
      </c>
      <c r="F24" s="142">
        <v>7600</v>
      </c>
      <c r="G24" s="292">
        <v>5.0770061842105267</v>
      </c>
      <c r="H24" s="143">
        <v>38585.247000000003</v>
      </c>
      <c r="I24" s="143">
        <v>-1269.247000000003</v>
      </c>
      <c r="J24" s="293">
        <v>-3.2894619023690633E-2</v>
      </c>
      <c r="K24" s="143">
        <v>37316</v>
      </c>
      <c r="L24" s="143">
        <v>-599.59999999999854</v>
      </c>
      <c r="M24" s="143">
        <v>5.6</v>
      </c>
      <c r="N24" s="143">
        <v>0</v>
      </c>
      <c r="O24" s="143"/>
      <c r="P24" s="32">
        <v>-0.1670061842105266</v>
      </c>
      <c r="Q24" s="31">
        <v>-4915.5999999999985</v>
      </c>
      <c r="R24" s="34"/>
      <c r="S24" s="34">
        <v>-8585.2470000000012</v>
      </c>
      <c r="T24" s="34">
        <v>-1748.5228105906315</v>
      </c>
      <c r="U24" s="34">
        <v>5851.4771894093683</v>
      </c>
      <c r="V24" s="31">
        <v>30000</v>
      </c>
      <c r="W24" s="32">
        <v>5.1269105268490529</v>
      </c>
      <c r="X24" s="32">
        <v>4.9904342638526167E-2</v>
      </c>
      <c r="Y24" s="32">
        <v>-0.21691052684905276</v>
      </c>
      <c r="Z24" s="38">
        <v>1.2988173334684268</v>
      </c>
      <c r="AA24" s="31">
        <v>-1269.247000000003</v>
      </c>
      <c r="AB24" s="79"/>
      <c r="AC24" s="40">
        <v>-258.37319276985806</v>
      </c>
      <c r="AD24" s="40">
        <v>-7858.3731927698582</v>
      </c>
    </row>
    <row r="25" spans="1:30" x14ac:dyDescent="0.25">
      <c r="A25" s="290">
        <v>42184</v>
      </c>
      <c r="B25" s="135"/>
      <c r="C25" s="143" t="s">
        <v>63</v>
      </c>
      <c r="D25" s="142">
        <v>1000</v>
      </c>
      <c r="E25" s="143">
        <v>4.8499999999999996</v>
      </c>
      <c r="F25" s="142">
        <v>8600</v>
      </c>
      <c r="G25" s="292">
        <v>5.0512612790697675</v>
      </c>
      <c r="H25" s="143">
        <v>43440.847000000002</v>
      </c>
      <c r="I25" s="143">
        <v>-1730.8470000000016</v>
      </c>
      <c r="J25" s="293">
        <v>-3.9843767318809502E-2</v>
      </c>
      <c r="K25" s="143">
        <v>41710</v>
      </c>
      <c r="L25" s="143">
        <v>-461.59999999999854</v>
      </c>
      <c r="M25" s="143">
        <v>5.6</v>
      </c>
      <c r="N25" s="143">
        <v>0</v>
      </c>
      <c r="O25" s="143"/>
      <c r="P25" s="32">
        <v>-0.20126127906976787</v>
      </c>
      <c r="Q25" s="31">
        <v>-4855.5999999999985</v>
      </c>
      <c r="R25" s="34"/>
      <c r="S25" s="34">
        <v>-13440.847</v>
      </c>
      <c r="T25" s="34">
        <v>-2771.3086597938145</v>
      </c>
      <c r="U25" s="34">
        <v>5828.6913402061855</v>
      </c>
      <c r="V25" s="31">
        <v>30000</v>
      </c>
      <c r="W25" s="32">
        <v>5.1469529348827683</v>
      </c>
      <c r="X25" s="32">
        <v>9.5691655813000764E-2</v>
      </c>
      <c r="Y25" s="32">
        <v>-0.29695293488276864</v>
      </c>
      <c r="Z25" s="38">
        <v>1.4754598413330602</v>
      </c>
      <c r="AA25" s="31">
        <v>-1730.8470000000016</v>
      </c>
      <c r="AB25" s="79"/>
      <c r="AC25" s="40">
        <v>-356.6972322680416</v>
      </c>
      <c r="AD25" s="40">
        <v>-8956.6972322680413</v>
      </c>
    </row>
    <row r="26" spans="1:30" x14ac:dyDescent="0.25">
      <c r="A26" s="290">
        <v>42184</v>
      </c>
      <c r="B26" s="135"/>
      <c r="C26" s="143" t="s">
        <v>69</v>
      </c>
      <c r="D26" s="142">
        <v>600</v>
      </c>
      <c r="E26" s="143">
        <v>5.07</v>
      </c>
      <c r="F26" s="142">
        <v>8000</v>
      </c>
      <c r="G26" s="292">
        <v>5.050906125</v>
      </c>
      <c r="H26" s="143">
        <v>40407.249000000003</v>
      </c>
      <c r="I26" s="143">
        <v>152.75099999999657</v>
      </c>
      <c r="J26" s="293">
        <v>3.7802870470098589E-3</v>
      </c>
      <c r="K26" s="143">
        <v>40560</v>
      </c>
      <c r="L26" s="143">
        <v>1883.5979999999981</v>
      </c>
      <c r="M26" s="143">
        <v>5.36</v>
      </c>
      <c r="N26" s="143">
        <v>3.0419999999999998</v>
      </c>
      <c r="O26" s="143"/>
      <c r="P26" s="32">
        <v>1.909387500000026E-2</v>
      </c>
      <c r="Q26" s="31">
        <v>3033.5979999999981</v>
      </c>
      <c r="R26" s="34"/>
      <c r="S26" s="34">
        <v>-10407.249000000002</v>
      </c>
      <c r="T26" s="34">
        <v>-2052.711834319527</v>
      </c>
      <c r="U26" s="34">
        <v>5947.288165680473</v>
      </c>
      <c r="V26" s="31">
        <v>30000</v>
      </c>
      <c r="W26" s="32">
        <v>5.0443158569511617</v>
      </c>
      <c r="X26" s="32">
        <v>-6.5902680488383325E-3</v>
      </c>
      <c r="Y26" s="32">
        <v>2.5684143048838592E-2</v>
      </c>
      <c r="Z26" s="38">
        <v>1.3451508951869766</v>
      </c>
      <c r="AA26" s="31">
        <v>152.75099999999657</v>
      </c>
      <c r="AB26" s="79"/>
      <c r="AC26" s="40">
        <v>30.113338165679796</v>
      </c>
      <c r="AD26" s="40">
        <v>-7969.88666183432</v>
      </c>
    </row>
    <row r="27" spans="1:30" x14ac:dyDescent="0.25">
      <c r="A27" s="290">
        <v>42185</v>
      </c>
      <c r="B27" s="135"/>
      <c r="C27" s="143" t="s">
        <v>69</v>
      </c>
      <c r="D27" s="142">
        <v>600</v>
      </c>
      <c r="E27" s="143">
        <v>5.22</v>
      </c>
      <c r="F27" s="142">
        <v>7400</v>
      </c>
      <c r="G27" s="292">
        <v>5.0383433783783786</v>
      </c>
      <c r="H27" s="143">
        <v>37283.741000000002</v>
      </c>
      <c r="I27" s="143">
        <v>1344.2589999999982</v>
      </c>
      <c r="J27" s="293">
        <v>3.6054831514895358E-2</v>
      </c>
      <c r="K27" s="143">
        <v>38628</v>
      </c>
      <c r="L27" s="143">
        <v>1191.5080000000016</v>
      </c>
      <c r="M27" s="143">
        <v>5.36</v>
      </c>
      <c r="N27" s="143">
        <v>3.1320000000000001</v>
      </c>
      <c r="O27" s="143"/>
      <c r="P27" s="32">
        <v>0.18165662162162111</v>
      </c>
      <c r="Q27" s="31">
        <v>3123.5080000000016</v>
      </c>
      <c r="R27" s="34"/>
      <c r="S27" s="34">
        <v>-7283.741</v>
      </c>
      <c r="T27" s="34">
        <v>-1395.3526819923372</v>
      </c>
      <c r="U27" s="34">
        <v>6004.6473180076628</v>
      </c>
      <c r="V27" s="31">
        <v>30000</v>
      </c>
      <c r="W27" s="32">
        <v>4.9961302323337744</v>
      </c>
      <c r="X27" s="32">
        <v>-4.2213146044604244E-2</v>
      </c>
      <c r="Y27" s="32">
        <v>0.22386976766622535</v>
      </c>
      <c r="Z27" s="38">
        <v>1.2323787906423311</v>
      </c>
      <c r="AA27" s="31">
        <v>1344.2589999999982</v>
      </c>
      <c r="AB27" s="79"/>
      <c r="AC27" s="40">
        <v>257.39212078544028</v>
      </c>
      <c r="AD27" s="40">
        <v>-7142.6078792145599</v>
      </c>
    </row>
    <row r="28" spans="1:30" x14ac:dyDescent="0.25">
      <c r="A28" s="290">
        <v>42187</v>
      </c>
      <c r="B28" s="135"/>
      <c r="C28" s="143" t="s">
        <v>69</v>
      </c>
      <c r="D28" s="142">
        <v>600</v>
      </c>
      <c r="E28" s="143">
        <v>5.35</v>
      </c>
      <c r="F28" s="142">
        <v>6800</v>
      </c>
      <c r="G28" s="292">
        <v>5.0121045588235296</v>
      </c>
      <c r="H28" s="143">
        <v>34082.311000000002</v>
      </c>
      <c r="I28" s="143">
        <v>2297.6889999999985</v>
      </c>
      <c r="J28" s="293">
        <v>6.741588033745706E-2</v>
      </c>
      <c r="K28" s="143">
        <v>36380</v>
      </c>
      <c r="L28" s="143">
        <v>953.43000000000029</v>
      </c>
      <c r="M28" s="143">
        <v>5.36</v>
      </c>
      <c r="N28" s="143">
        <v>3.21</v>
      </c>
      <c r="O28" s="143"/>
      <c r="P28" s="32">
        <v>0.33789544117647008</v>
      </c>
      <c r="Q28" s="31">
        <v>3201.4300000000003</v>
      </c>
      <c r="R28" s="34"/>
      <c r="S28" s="34">
        <v>-4082.3109999999997</v>
      </c>
      <c r="T28" s="34">
        <v>-763.04878504672899</v>
      </c>
      <c r="U28" s="34">
        <v>6036.9512149532711</v>
      </c>
      <c r="V28" s="31">
        <v>30000</v>
      </c>
      <c r="W28" s="32">
        <v>4.9693957979470298</v>
      </c>
      <c r="X28" s="32">
        <v>-4.2708760876499774E-2</v>
      </c>
      <c r="Y28" s="32">
        <v>0.38060420205296985</v>
      </c>
      <c r="Z28" s="38">
        <v>1.1263963808679933</v>
      </c>
      <c r="AA28" s="31">
        <v>2297.6889999999985</v>
      </c>
      <c r="AB28" s="79"/>
      <c r="AC28" s="40">
        <v>429.25984214953246</v>
      </c>
      <c r="AD28" s="40">
        <v>-6370.7401578504678</v>
      </c>
    </row>
    <row r="29" spans="1:30" x14ac:dyDescent="0.25">
      <c r="A29" s="290">
        <v>42188</v>
      </c>
      <c r="B29" s="135"/>
      <c r="C29" s="143" t="s">
        <v>69</v>
      </c>
      <c r="D29" s="142">
        <v>800</v>
      </c>
      <c r="E29" s="143">
        <v>5.3</v>
      </c>
      <c r="F29" s="142">
        <v>6000</v>
      </c>
      <c r="G29" s="292">
        <v>4.9753385000000003</v>
      </c>
      <c r="H29" s="143">
        <v>29852.031000000003</v>
      </c>
      <c r="I29" s="143">
        <v>1947.9689999999973</v>
      </c>
      <c r="J29" s="293">
        <v>6.5254153059133457E-2</v>
      </c>
      <c r="K29" s="143">
        <v>31800</v>
      </c>
      <c r="L29" s="143">
        <v>-349.72000000000116</v>
      </c>
      <c r="M29" s="143">
        <v>5.48</v>
      </c>
      <c r="N29" s="143">
        <v>4.24</v>
      </c>
      <c r="O29" s="143"/>
      <c r="P29" s="32">
        <v>0.32466149999999949</v>
      </c>
      <c r="Q29" s="31">
        <v>4230.2799999999988</v>
      </c>
      <c r="R29" s="34"/>
      <c r="S29" s="34">
        <v>147.96899999999914</v>
      </c>
      <c r="T29" s="34">
        <v>27.918679245282856</v>
      </c>
      <c r="U29" s="34">
        <v>6027.9186792452829</v>
      </c>
      <c r="V29" s="31">
        <v>30000</v>
      </c>
      <c r="W29" s="32">
        <v>4.9768421898744171</v>
      </c>
      <c r="X29" s="32">
        <v>1.503689874416736E-3</v>
      </c>
      <c r="Y29" s="32">
        <v>0.32315781012558276</v>
      </c>
      <c r="Z29" s="38">
        <v>0.9953684379748835</v>
      </c>
      <c r="AA29" s="31">
        <v>1947.9689999999973</v>
      </c>
      <c r="AB29" s="79"/>
      <c r="AC29" s="40">
        <v>367.35755009433916</v>
      </c>
      <c r="AD29" s="40">
        <v>-5632.6424499056611</v>
      </c>
    </row>
    <row r="30" spans="1:30" x14ac:dyDescent="0.25">
      <c r="A30" s="290">
        <v>42188</v>
      </c>
      <c r="B30" s="135"/>
      <c r="C30" s="143" t="s">
        <v>69</v>
      </c>
      <c r="D30" s="142">
        <v>3000</v>
      </c>
      <c r="E30" s="143">
        <v>5.34</v>
      </c>
      <c r="F30" s="142">
        <v>3000</v>
      </c>
      <c r="G30" s="292">
        <v>4.6192870000000008</v>
      </c>
      <c r="H30" s="143">
        <v>13857.861000000003</v>
      </c>
      <c r="I30" s="143">
        <v>2162.1389999999974</v>
      </c>
      <c r="J30" s="293">
        <v>0.15602256365538641</v>
      </c>
      <c r="K30" s="143">
        <v>16020</v>
      </c>
      <c r="L30" s="143">
        <v>214.17000000000007</v>
      </c>
      <c r="M30" s="143">
        <v>9.8099999999999987</v>
      </c>
      <c r="N30" s="143">
        <v>16.02</v>
      </c>
      <c r="O30" s="143"/>
      <c r="P30" s="32">
        <v>0.72071299999999905</v>
      </c>
      <c r="Q30" s="31">
        <v>15994.17</v>
      </c>
      <c r="R30" s="34"/>
      <c r="S30" s="34">
        <v>16142.138999999999</v>
      </c>
      <c r="T30" s="34">
        <v>3022.8724719101124</v>
      </c>
      <c r="U30" s="34">
        <v>6022.8724719101119</v>
      </c>
      <c r="V30" s="31">
        <v>30000</v>
      </c>
      <c r="W30" s="32">
        <v>4.9810119905271231</v>
      </c>
      <c r="X30" s="32">
        <v>0.36172499052712226</v>
      </c>
      <c r="Y30" s="32">
        <v>0.35898800947287679</v>
      </c>
      <c r="Z30" s="38">
        <v>0.49810119905271227</v>
      </c>
      <c r="AA30" s="31">
        <v>2162.1389999999974</v>
      </c>
      <c r="AB30" s="79"/>
      <c r="AC30" s="40">
        <v>404.69249634831414</v>
      </c>
      <c r="AD30" s="40">
        <v>-2595.3075036516857</v>
      </c>
    </row>
    <row r="31" spans="1:30" x14ac:dyDescent="0.25">
      <c r="A31" s="290">
        <v>42191</v>
      </c>
      <c r="B31" s="135"/>
      <c r="C31" s="143" t="s">
        <v>69</v>
      </c>
      <c r="D31" s="142">
        <v>500</v>
      </c>
      <c r="E31" s="143">
        <v>5.51</v>
      </c>
      <c r="F31" s="142">
        <v>2500</v>
      </c>
      <c r="G31" s="292">
        <v>4.4443664000000007</v>
      </c>
      <c r="H31" s="143">
        <v>11110.916000000001</v>
      </c>
      <c r="I31" s="143">
        <v>2664.0839999999989</v>
      </c>
      <c r="J31" s="293">
        <v>0.23977177039228784</v>
      </c>
      <c r="K31" s="143">
        <v>13775</v>
      </c>
      <c r="L31" s="143">
        <v>501.94500000000153</v>
      </c>
      <c r="M31" s="143">
        <v>5.3</v>
      </c>
      <c r="N31" s="143">
        <v>2.7549999999999999</v>
      </c>
      <c r="O31" s="143"/>
      <c r="P31" s="32">
        <v>1.0656335999999991</v>
      </c>
      <c r="Q31" s="31">
        <v>2746.9450000000015</v>
      </c>
      <c r="R31" s="34"/>
      <c r="S31" s="34">
        <v>18889.084000000003</v>
      </c>
      <c r="T31" s="34">
        <v>3428.145916515427</v>
      </c>
      <c r="U31" s="34">
        <v>5928.1459165154265</v>
      </c>
      <c r="V31" s="31">
        <v>30000.000000000004</v>
      </c>
      <c r="W31" s="32">
        <v>5.0606041791957193</v>
      </c>
      <c r="X31" s="32">
        <v>0.61623777919571854</v>
      </c>
      <c r="Y31" s="32">
        <v>0.44939582080428053</v>
      </c>
      <c r="Z31" s="38">
        <v>0.42171701493297653</v>
      </c>
      <c r="AA31" s="31">
        <v>2664.0839999999989</v>
      </c>
      <c r="AB31" s="79"/>
      <c r="AC31" s="40">
        <v>483.25806860254067</v>
      </c>
      <c r="AD31" s="40">
        <v>-2016.7419313974592</v>
      </c>
    </row>
    <row r="32" spans="1:30" x14ac:dyDescent="0.25">
      <c r="A32" s="290">
        <v>42191</v>
      </c>
      <c r="B32" s="135"/>
      <c r="C32" s="143" t="s">
        <v>69</v>
      </c>
      <c r="D32" s="142">
        <v>500</v>
      </c>
      <c r="E32" s="143">
        <v>5.71</v>
      </c>
      <c r="F32" s="142">
        <v>2000</v>
      </c>
      <c r="G32" s="292">
        <v>4.1320354999999998</v>
      </c>
      <c r="H32" s="143">
        <v>8264.0709999999999</v>
      </c>
      <c r="I32" s="143">
        <v>3155.9290000000001</v>
      </c>
      <c r="J32" s="293">
        <v>0.38188551381032432</v>
      </c>
      <c r="K32" s="143">
        <v>11420</v>
      </c>
      <c r="L32" s="143">
        <v>491.84500000000116</v>
      </c>
      <c r="M32" s="143">
        <v>5.3</v>
      </c>
      <c r="N32" s="143">
        <v>2.855</v>
      </c>
      <c r="O32" s="143">
        <v>-485</v>
      </c>
      <c r="P32" s="32">
        <v>1.5779645000000002</v>
      </c>
      <c r="Q32" s="31">
        <v>2846.8450000000012</v>
      </c>
      <c r="R32" s="34"/>
      <c r="S32" s="34">
        <v>21250.929000000004</v>
      </c>
      <c r="T32" s="34">
        <v>3721.7038528896678</v>
      </c>
      <c r="U32" s="34">
        <v>5721.7038528896683</v>
      </c>
      <c r="V32" s="31">
        <v>29515.000000000004</v>
      </c>
      <c r="W32" s="32">
        <v>5.1584284609721376</v>
      </c>
      <c r="X32" s="32">
        <v>1.0263929609721378</v>
      </c>
      <c r="Y32" s="32">
        <v>0.55157153902786238</v>
      </c>
      <c r="Z32" s="38">
        <v>0.34954622808552516</v>
      </c>
      <c r="AA32" s="31">
        <v>3155.9290000000001</v>
      </c>
      <c r="AB32" s="79"/>
      <c r="AC32" s="40">
        <v>552.42575052539405</v>
      </c>
      <c r="AD32" s="40">
        <v>-1447.5742494746059</v>
      </c>
    </row>
    <row r="33" spans="1:30" x14ac:dyDescent="0.25">
      <c r="A33" s="290">
        <v>42192</v>
      </c>
      <c r="B33" s="135"/>
      <c r="C33" s="143" t="s">
        <v>69</v>
      </c>
      <c r="D33" s="142">
        <v>500</v>
      </c>
      <c r="E33" s="143">
        <v>5.68</v>
      </c>
      <c r="F33" s="142">
        <v>1500</v>
      </c>
      <c r="G33" s="292">
        <v>3.2981406666666668</v>
      </c>
      <c r="H33" s="143">
        <v>4947.2110000000002</v>
      </c>
      <c r="I33" s="143">
        <v>3572.7889999999998</v>
      </c>
      <c r="J33" s="293">
        <v>0.72218245795459279</v>
      </c>
      <c r="K33" s="143">
        <v>8520</v>
      </c>
      <c r="L33" s="143">
        <v>416.85999999999967</v>
      </c>
      <c r="M33" s="143">
        <v>5.3</v>
      </c>
      <c r="N33" s="143">
        <v>2.84</v>
      </c>
      <c r="O33" s="143"/>
      <c r="P33" s="32">
        <v>2.3818593333333329</v>
      </c>
      <c r="Q33" s="31">
        <v>3316.8599999999997</v>
      </c>
      <c r="R33" s="34"/>
      <c r="S33" s="34">
        <v>24567.789000000004</v>
      </c>
      <c r="T33" s="34">
        <v>4325.3149647887331</v>
      </c>
      <c r="U33" s="34">
        <v>5825.3149647887331</v>
      </c>
      <c r="V33" s="31">
        <v>29515.000000000004</v>
      </c>
      <c r="W33" s="32">
        <v>5.0666788282529245</v>
      </c>
      <c r="X33" s="32">
        <v>1.7685381615862577</v>
      </c>
      <c r="Y33" s="32">
        <v>0.61332117174707523</v>
      </c>
      <c r="Z33" s="38">
        <v>0.25749680645025869</v>
      </c>
      <c r="AA33" s="31">
        <v>3572.7889999999998</v>
      </c>
      <c r="AB33" s="79"/>
      <c r="AC33" s="40">
        <v>628.6976418133803</v>
      </c>
      <c r="AD33" s="40">
        <v>-871.3023581866197</v>
      </c>
    </row>
    <row r="34" spans="1:30" x14ac:dyDescent="0.25">
      <c r="A34" s="290">
        <v>42192</v>
      </c>
      <c r="B34" s="135"/>
      <c r="C34" s="143" t="s">
        <v>69</v>
      </c>
      <c r="D34" s="142">
        <v>500</v>
      </c>
      <c r="E34" s="143">
        <v>5.9</v>
      </c>
      <c r="F34" s="142">
        <v>1000</v>
      </c>
      <c r="G34" s="292">
        <v>2.0054610000000004</v>
      </c>
      <c r="H34" s="143">
        <v>2005.4610000000002</v>
      </c>
      <c r="I34" s="143">
        <v>3894.5389999999998</v>
      </c>
      <c r="J34" s="293">
        <v>1.9419669592178552</v>
      </c>
      <c r="K34" s="143">
        <v>5900</v>
      </c>
      <c r="L34" s="143">
        <v>321.75</v>
      </c>
      <c r="M34" s="143">
        <v>5.3</v>
      </c>
      <c r="N34" s="143">
        <v>2.95</v>
      </c>
      <c r="O34" s="143"/>
      <c r="P34" s="32">
        <v>3.894539</v>
      </c>
      <c r="Q34" s="31">
        <v>2941.75</v>
      </c>
      <c r="R34" s="34"/>
      <c r="S34" s="34">
        <v>27509.539000000004</v>
      </c>
      <c r="T34" s="34">
        <v>4662.6337288135601</v>
      </c>
      <c r="U34" s="34">
        <v>5662.6337288135601</v>
      </c>
      <c r="V34" s="31">
        <v>29515.000000000004</v>
      </c>
      <c r="W34" s="32">
        <v>5.2122389357123424</v>
      </c>
      <c r="X34" s="32">
        <v>3.206777935712342</v>
      </c>
      <c r="Y34" s="32">
        <v>0.68776106428765793</v>
      </c>
      <c r="Z34" s="38">
        <v>0.17659627090334887</v>
      </c>
      <c r="AA34" s="31">
        <v>3894.5389999999998</v>
      </c>
      <c r="AB34" s="79"/>
      <c r="AC34" s="40">
        <v>659.76131025423729</v>
      </c>
      <c r="AD34" s="40">
        <v>-340.23868974576271</v>
      </c>
    </row>
    <row r="35" spans="1:30" x14ac:dyDescent="0.25">
      <c r="A35" s="290">
        <v>42193</v>
      </c>
      <c r="B35" s="135"/>
      <c r="C35" s="143" t="s">
        <v>63</v>
      </c>
      <c r="D35" s="142">
        <v>500</v>
      </c>
      <c r="E35" s="143">
        <v>5.17</v>
      </c>
      <c r="F35" s="142">
        <v>1500</v>
      </c>
      <c r="G35" s="292">
        <v>3.0638406666666671</v>
      </c>
      <c r="H35" s="143">
        <v>4595.7610000000004</v>
      </c>
      <c r="I35" s="143">
        <v>3159.2389999999996</v>
      </c>
      <c r="J35" s="293">
        <v>0.68742456363592419</v>
      </c>
      <c r="K35" s="143">
        <v>7755</v>
      </c>
      <c r="L35" s="143">
        <v>-735.30000000000018</v>
      </c>
      <c r="M35" s="143">
        <v>5.3</v>
      </c>
      <c r="N35" s="143">
        <v>0</v>
      </c>
      <c r="O35" s="143"/>
      <c r="P35" s="32">
        <v>2.1061593333333328</v>
      </c>
      <c r="Q35" s="31">
        <v>-2590.3000000000002</v>
      </c>
      <c r="R35" s="34"/>
      <c r="S35" s="34">
        <v>24919.239000000005</v>
      </c>
      <c r="T35" s="34">
        <v>4819.9688588007748</v>
      </c>
      <c r="U35" s="34">
        <v>6319.9688588007748</v>
      </c>
      <c r="V35" s="31">
        <v>29515.000000000007</v>
      </c>
      <c r="W35" s="32">
        <v>4.6701179482711135</v>
      </c>
      <c r="X35" s="32">
        <v>1.6062772816044464</v>
      </c>
      <c r="Y35" s="32">
        <v>0.49988205172888645</v>
      </c>
      <c r="Z35" s="38">
        <v>0.23734294163668199</v>
      </c>
      <c r="AA35" s="31">
        <v>3159.2389999999996</v>
      </c>
      <c r="AB35" s="79"/>
      <c r="AC35" s="40">
        <v>610.76583762088978</v>
      </c>
      <c r="AD35" s="40">
        <v>-889.23416237911022</v>
      </c>
    </row>
    <row r="36" spans="1:30" x14ac:dyDescent="0.25">
      <c r="A36" s="290">
        <v>42193</v>
      </c>
      <c r="B36" s="135"/>
      <c r="C36" s="143" t="s">
        <v>69</v>
      </c>
      <c r="D36" s="142">
        <v>500</v>
      </c>
      <c r="E36" s="143">
        <v>5.39</v>
      </c>
      <c r="F36" s="142">
        <v>1000</v>
      </c>
      <c r="G36" s="292">
        <v>1.9087560000000003</v>
      </c>
      <c r="H36" s="143">
        <v>1908.7560000000003</v>
      </c>
      <c r="I36" s="143">
        <v>3481.2439999999997</v>
      </c>
      <c r="J36" s="293">
        <v>1.8238287135705133</v>
      </c>
      <c r="K36" s="143">
        <v>5390</v>
      </c>
      <c r="L36" s="143">
        <v>322.00500000000011</v>
      </c>
      <c r="M36" s="143">
        <v>5.3</v>
      </c>
      <c r="N36" s="143">
        <v>2.6949999999999998</v>
      </c>
      <c r="O36" s="143"/>
      <c r="P36" s="32">
        <v>3.4812439999999993</v>
      </c>
      <c r="Q36" s="31">
        <v>2687.0050000000001</v>
      </c>
      <c r="R36" s="34"/>
      <c r="S36" s="34">
        <v>27606.244000000006</v>
      </c>
      <c r="T36" s="34">
        <v>5121.7521335807069</v>
      </c>
      <c r="U36" s="34">
        <v>6121.7521335807069</v>
      </c>
      <c r="V36" s="31">
        <v>29515.000000000007</v>
      </c>
      <c r="W36" s="32">
        <v>4.8213320885855975</v>
      </c>
      <c r="X36" s="32">
        <v>2.9125760885855971</v>
      </c>
      <c r="Y36" s="32">
        <v>0.56866791141440221</v>
      </c>
      <c r="Z36" s="38">
        <v>0.16335192575251894</v>
      </c>
      <c r="AA36" s="31">
        <v>3481.2439999999997</v>
      </c>
      <c r="AB36" s="79"/>
      <c r="AC36" s="40">
        <v>645.54793654916512</v>
      </c>
      <c r="AD36" s="40">
        <v>-354.45206345083488</v>
      </c>
    </row>
    <row r="37" spans="1:30" x14ac:dyDescent="0.25">
      <c r="A37" s="290">
        <v>42194</v>
      </c>
      <c r="B37" s="135"/>
      <c r="C37" s="143" t="s">
        <v>63</v>
      </c>
      <c r="D37" s="142">
        <v>1000</v>
      </c>
      <c r="E37" s="143">
        <v>5.71</v>
      </c>
      <c r="F37" s="142">
        <v>2000</v>
      </c>
      <c r="G37" s="292">
        <v>3.8121780000000003</v>
      </c>
      <c r="H37" s="143">
        <v>7624.3560000000007</v>
      </c>
      <c r="I37" s="143">
        <v>3795.6439999999993</v>
      </c>
      <c r="J37" s="293">
        <v>0.49783142340153047</v>
      </c>
      <c r="K37" s="143">
        <v>11420</v>
      </c>
      <c r="L37" s="143">
        <v>314.39999999999964</v>
      </c>
      <c r="M37" s="143">
        <v>5.6</v>
      </c>
      <c r="N37" s="143">
        <v>0</v>
      </c>
      <c r="O37" s="143"/>
      <c r="P37" s="32">
        <v>1.8978219999999997</v>
      </c>
      <c r="Q37" s="31">
        <v>-5715.6</v>
      </c>
      <c r="R37" s="34"/>
      <c r="S37" s="34">
        <v>21890.644000000008</v>
      </c>
      <c r="T37" s="34">
        <v>3833.7380035026281</v>
      </c>
      <c r="U37" s="34">
        <v>5833.7380035026281</v>
      </c>
      <c r="V37" s="31">
        <v>29515.000000000007</v>
      </c>
      <c r="W37" s="32">
        <v>5.059363307416092</v>
      </c>
      <c r="X37" s="32">
        <v>1.2471853074160917</v>
      </c>
      <c r="Y37" s="32">
        <v>0.65063669258390799</v>
      </c>
      <c r="Z37" s="38">
        <v>0.34283335981135632</v>
      </c>
      <c r="AA37" s="31">
        <v>3795.6439999999993</v>
      </c>
      <c r="AB37" s="79"/>
      <c r="AC37" s="40">
        <v>664.40388406304726</v>
      </c>
      <c r="AD37" s="40">
        <v>-1335.5961159369526</v>
      </c>
    </row>
    <row r="38" spans="1:30" x14ac:dyDescent="0.25">
      <c r="A38" s="290">
        <v>42194</v>
      </c>
      <c r="B38" s="135"/>
      <c r="C38" s="143" t="s">
        <v>69</v>
      </c>
      <c r="D38" s="142">
        <v>1000</v>
      </c>
      <c r="E38" s="143">
        <v>5.7</v>
      </c>
      <c r="F38" s="142">
        <v>1000</v>
      </c>
      <c r="G38" s="292">
        <v>1.9356560000000007</v>
      </c>
      <c r="H38" s="143">
        <v>1935.6560000000006</v>
      </c>
      <c r="I38" s="143">
        <v>3764.3439999999991</v>
      </c>
      <c r="J38" s="293">
        <v>1.9447381146236717</v>
      </c>
      <c r="K38" s="143">
        <v>5700</v>
      </c>
      <c r="L38" s="143">
        <v>-31.300000000000182</v>
      </c>
      <c r="M38" s="143">
        <v>5.6</v>
      </c>
      <c r="N38" s="143">
        <v>5.7</v>
      </c>
      <c r="O38" s="143"/>
      <c r="P38" s="32">
        <v>3.7643439999999995</v>
      </c>
      <c r="Q38" s="31">
        <v>5688.7</v>
      </c>
      <c r="R38" s="34"/>
      <c r="S38" s="34">
        <v>27579.344000000008</v>
      </c>
      <c r="T38" s="34">
        <v>4838.4814035087729</v>
      </c>
      <c r="U38" s="34">
        <v>5838.4814035087729</v>
      </c>
      <c r="V38" s="31">
        <v>29515.000000000007</v>
      </c>
      <c r="W38" s="32">
        <v>5.0552528920041215</v>
      </c>
      <c r="X38" s="32">
        <v>3.1195968920041208</v>
      </c>
      <c r="Y38" s="32">
        <v>0.64474710799587864</v>
      </c>
      <c r="Z38" s="38">
        <v>0.17127741460288398</v>
      </c>
      <c r="AA38" s="31">
        <v>3764.3439999999991</v>
      </c>
      <c r="AB38" s="79"/>
      <c r="AC38" s="40">
        <v>660.0810224561402</v>
      </c>
      <c r="AD38" s="40">
        <v>-339.9189775438598</v>
      </c>
    </row>
    <row r="39" spans="1:30" x14ac:dyDescent="0.25">
      <c r="A39" s="290">
        <v>42195</v>
      </c>
      <c r="B39" s="135"/>
      <c r="C39" s="143" t="s">
        <v>69</v>
      </c>
      <c r="D39" s="142">
        <v>500</v>
      </c>
      <c r="E39" s="143">
        <v>5.75</v>
      </c>
      <c r="F39" s="142">
        <v>500</v>
      </c>
      <c r="G39" s="292">
        <v>-1.8623379999999989</v>
      </c>
      <c r="H39" s="143">
        <v>-931.16899999999941</v>
      </c>
      <c r="I39" s="143">
        <v>3806.1689999999994</v>
      </c>
      <c r="J39" s="293">
        <v>-4.0875168739509178</v>
      </c>
      <c r="K39" s="143">
        <v>2875</v>
      </c>
      <c r="L39" s="143">
        <v>41.825000000000273</v>
      </c>
      <c r="M39" s="143">
        <v>5.3</v>
      </c>
      <c r="N39" s="143">
        <v>2.875</v>
      </c>
      <c r="O39" s="143"/>
      <c r="P39" s="32">
        <v>7.6123379999999994</v>
      </c>
      <c r="Q39" s="31">
        <v>2866.8249999999998</v>
      </c>
      <c r="R39" s="34"/>
      <c r="S39" s="34">
        <v>30446.169000000009</v>
      </c>
      <c r="T39" s="34">
        <v>5294.9859130434797</v>
      </c>
      <c r="U39" s="34">
        <v>5794.9859130434797</v>
      </c>
      <c r="V39" s="31">
        <v>29515.000000000011</v>
      </c>
      <c r="W39" s="32">
        <v>5.0931961600746964</v>
      </c>
      <c r="X39" s="32">
        <v>6.9555341600746949</v>
      </c>
      <c r="Y39" s="32">
        <v>0.65680383992530444</v>
      </c>
      <c r="Z39" s="38">
        <v>8.6281486702942486E-2</v>
      </c>
      <c r="AA39" s="31">
        <v>3806.1689999999994</v>
      </c>
      <c r="AB39" s="79"/>
      <c r="AC39" s="40">
        <v>661.61146356521738</v>
      </c>
      <c r="AD39" s="40">
        <v>161.61146356521738</v>
      </c>
    </row>
    <row r="40" spans="1:30" x14ac:dyDescent="0.25">
      <c r="A40" s="290">
        <v>42195</v>
      </c>
      <c r="B40" s="135"/>
      <c r="C40" s="143" t="s">
        <v>63</v>
      </c>
      <c r="D40" s="142">
        <v>500</v>
      </c>
      <c r="E40" s="143">
        <v>5.62</v>
      </c>
      <c r="F40" s="142">
        <v>1000</v>
      </c>
      <c r="G40" s="292">
        <v>1.8841310000000004</v>
      </c>
      <c r="H40" s="143">
        <v>1884.1310000000005</v>
      </c>
      <c r="I40" s="143">
        <v>3735.8689999999997</v>
      </c>
      <c r="J40" s="293">
        <v>1.9828074587170419</v>
      </c>
      <c r="K40" s="143">
        <v>5620</v>
      </c>
      <c r="L40" s="143">
        <v>-70.299999999999727</v>
      </c>
      <c r="M40" s="143">
        <v>5.3</v>
      </c>
      <c r="N40" s="143">
        <v>0</v>
      </c>
      <c r="O40" s="143"/>
      <c r="P40" s="32">
        <v>3.7358689999999997</v>
      </c>
      <c r="Q40" s="31">
        <v>-2815.3</v>
      </c>
      <c r="R40" s="34"/>
      <c r="S40" s="34">
        <v>27630.86900000001</v>
      </c>
      <c r="T40" s="34">
        <v>4916.5247330960874</v>
      </c>
      <c r="U40" s="34">
        <v>5916.5247330960874</v>
      </c>
      <c r="V40" s="31">
        <v>29515.000000000011</v>
      </c>
      <c r="W40" s="32">
        <v>4.988570373905115</v>
      </c>
      <c r="X40" s="32">
        <v>3.1044393739051146</v>
      </c>
      <c r="Y40" s="32">
        <v>0.63142962609488507</v>
      </c>
      <c r="Z40" s="38">
        <v>0.16901813904472687</v>
      </c>
      <c r="AA40" s="31">
        <v>3735.8689999999997</v>
      </c>
      <c r="AB40" s="79"/>
      <c r="AC40" s="40">
        <v>664.41300097864757</v>
      </c>
      <c r="AD40" s="40">
        <v>-335.58699902135243</v>
      </c>
    </row>
    <row r="41" spans="1:30" x14ac:dyDescent="0.25">
      <c r="A41" s="290">
        <v>42199</v>
      </c>
      <c r="B41" s="135"/>
      <c r="C41" s="143" t="s">
        <v>63</v>
      </c>
      <c r="D41" s="142">
        <v>500</v>
      </c>
      <c r="E41" s="143">
        <v>5.08</v>
      </c>
      <c r="F41" s="142">
        <v>1500</v>
      </c>
      <c r="G41" s="292">
        <v>2.9529540000000005</v>
      </c>
      <c r="H41" s="143">
        <v>4429.4310000000005</v>
      </c>
      <c r="I41" s="143">
        <v>3190.5689999999995</v>
      </c>
      <c r="J41" s="293">
        <v>0.72031125442522947</v>
      </c>
      <c r="K41" s="143">
        <v>7620</v>
      </c>
      <c r="L41" s="143">
        <v>-545.30000000000018</v>
      </c>
      <c r="M41" s="143">
        <v>5.3</v>
      </c>
      <c r="N41" s="143">
        <v>0</v>
      </c>
      <c r="O41" s="143"/>
      <c r="P41" s="32">
        <v>2.1270459999999995</v>
      </c>
      <c r="Q41" s="31">
        <v>-2545.3000000000002</v>
      </c>
      <c r="R41" s="34"/>
      <c r="S41" s="34">
        <v>25085.56900000001</v>
      </c>
      <c r="T41" s="34">
        <v>4938.10413385827</v>
      </c>
      <c r="U41" s="34">
        <v>6438.10413385827</v>
      </c>
      <c r="V41" s="31">
        <v>29515.000000000011</v>
      </c>
      <c r="W41" s="32">
        <v>4.5844241388981795</v>
      </c>
      <c r="X41" s="32">
        <v>1.6314701388981789</v>
      </c>
      <c r="Y41" s="32">
        <v>0.49557586110182061</v>
      </c>
      <c r="Z41" s="38">
        <v>0.23298784375223675</v>
      </c>
      <c r="AA41" s="31">
        <v>3190.5689999999995</v>
      </c>
      <c r="AB41" s="79"/>
      <c r="AC41" s="40">
        <v>627.75073139763765</v>
      </c>
      <c r="AD41" s="40">
        <v>-872.24926860236235</v>
      </c>
    </row>
    <row r="42" spans="1:30" x14ac:dyDescent="0.25">
      <c r="A42" s="290">
        <v>42200</v>
      </c>
      <c r="B42" s="135"/>
      <c r="C42" s="143" t="s">
        <v>69</v>
      </c>
      <c r="D42" s="142">
        <v>500</v>
      </c>
      <c r="E42" s="143">
        <v>5.29</v>
      </c>
      <c r="F42" s="142">
        <v>1000</v>
      </c>
      <c r="G42" s="292">
        <v>1.7923760000000004</v>
      </c>
      <c r="H42" s="143">
        <v>1792.3760000000004</v>
      </c>
      <c r="I42" s="143">
        <v>3497.6239999999998</v>
      </c>
      <c r="J42" s="293">
        <v>1.9513896637759034</v>
      </c>
      <c r="K42" s="143">
        <v>5290</v>
      </c>
      <c r="L42" s="143">
        <v>307.05500000000029</v>
      </c>
      <c r="M42" s="143">
        <v>5.3</v>
      </c>
      <c r="N42" s="143">
        <v>2.645</v>
      </c>
      <c r="O42" s="143"/>
      <c r="P42" s="32">
        <v>3.4976239999999996</v>
      </c>
      <c r="Q42" s="31">
        <v>2637.0550000000003</v>
      </c>
      <c r="R42" s="34"/>
      <c r="S42" s="34">
        <v>27722.624000000011</v>
      </c>
      <c r="T42" s="34">
        <v>5240.5716446124779</v>
      </c>
      <c r="U42" s="34">
        <v>6240.5716446124779</v>
      </c>
      <c r="V42" s="31">
        <v>29515.000000000011</v>
      </c>
      <c r="W42" s="32">
        <v>4.7295346774009852</v>
      </c>
      <c r="X42" s="32">
        <v>2.9371586774009848</v>
      </c>
      <c r="Y42" s="32">
        <v>0.56046532259901483</v>
      </c>
      <c r="Z42" s="38">
        <v>0.16024173055737703</v>
      </c>
      <c r="AA42" s="31">
        <v>3497.6239999999998</v>
      </c>
      <c r="AB42" s="79"/>
      <c r="AC42" s="40">
        <v>660.84597126654069</v>
      </c>
      <c r="AD42" s="40">
        <v>-339.15402873345931</v>
      </c>
    </row>
    <row r="43" spans="1:30" x14ac:dyDescent="0.25">
      <c r="A43" s="290">
        <v>42212</v>
      </c>
      <c r="B43" s="135"/>
      <c r="C43" s="143" t="s">
        <v>63</v>
      </c>
      <c r="D43" s="142">
        <v>1000</v>
      </c>
      <c r="E43" s="143">
        <v>5.08</v>
      </c>
      <c r="F43" s="142">
        <v>2000</v>
      </c>
      <c r="G43" s="292">
        <v>3.4389880000000002</v>
      </c>
      <c r="H43" s="143">
        <v>6877.9760000000006</v>
      </c>
      <c r="I43" s="143">
        <v>3282.0239999999994</v>
      </c>
      <c r="J43" s="293">
        <v>0.47717875142338378</v>
      </c>
      <c r="K43" s="143">
        <v>10160</v>
      </c>
      <c r="L43" s="143">
        <v>-215.60000000000036</v>
      </c>
      <c r="M43" s="143">
        <v>5.6</v>
      </c>
      <c r="N43" s="143">
        <v>0</v>
      </c>
      <c r="O43" s="143"/>
      <c r="P43" s="32">
        <v>1.6410119999999999</v>
      </c>
      <c r="Q43" s="31">
        <v>-5085.6000000000004</v>
      </c>
      <c r="R43" s="34"/>
      <c r="S43" s="34">
        <v>22637.024000000012</v>
      </c>
      <c r="T43" s="34">
        <v>4456.1070866141754</v>
      </c>
      <c r="U43" s="34">
        <v>6456.1070866141754</v>
      </c>
      <c r="V43" s="31">
        <v>29515.000000000015</v>
      </c>
      <c r="W43" s="32">
        <v>4.5716404024950563</v>
      </c>
      <c r="X43" s="32">
        <v>1.1326524024950562</v>
      </c>
      <c r="Y43" s="32">
        <v>0.50835959750494375</v>
      </c>
      <c r="Z43" s="38">
        <v>0.30978420481077784</v>
      </c>
      <c r="AA43" s="31">
        <v>3282.0239999999994</v>
      </c>
      <c r="AB43" s="79"/>
      <c r="AC43" s="40">
        <v>645.74468267716531</v>
      </c>
      <c r="AD43" s="40">
        <v>-1354.2553173228348</v>
      </c>
    </row>
    <row r="44" spans="1:30" x14ac:dyDescent="0.25">
      <c r="A44" s="290">
        <v>42212</v>
      </c>
      <c r="B44" s="135"/>
      <c r="C44" s="143" t="s">
        <v>63</v>
      </c>
      <c r="D44" s="142">
        <v>100</v>
      </c>
      <c r="E44" s="143">
        <v>4.9800000000000004</v>
      </c>
      <c r="F44" s="142">
        <v>2100</v>
      </c>
      <c r="G44" s="292">
        <v>3.5147790476190481</v>
      </c>
      <c r="H44" s="143">
        <v>7381.036000000001</v>
      </c>
      <c r="I44" s="143">
        <v>3076.963999999999</v>
      </c>
      <c r="J44" s="293">
        <v>0.41687427076632594</v>
      </c>
      <c r="K44" s="143">
        <v>10458</v>
      </c>
      <c r="L44" s="143">
        <v>-205.0600000000004</v>
      </c>
      <c r="M44" s="143">
        <v>5.0599999999999996</v>
      </c>
      <c r="N44" s="143">
        <v>0</v>
      </c>
      <c r="O44" s="143"/>
      <c r="P44" s="32">
        <v>1.4652209523809523</v>
      </c>
      <c r="Q44" s="31">
        <v>-503.0600000000004</v>
      </c>
      <c r="R44" s="34"/>
      <c r="S44" s="34">
        <v>22133.964000000011</v>
      </c>
      <c r="T44" s="34">
        <v>4444.5710843373508</v>
      </c>
      <c r="U44" s="34">
        <v>6544.5710843373508</v>
      </c>
      <c r="V44" s="31">
        <v>29515.000000000011</v>
      </c>
      <c r="W44" s="32">
        <v>4.5098448194162222</v>
      </c>
      <c r="X44" s="32">
        <v>0.99506577179717404</v>
      </c>
      <c r="Y44" s="32">
        <v>0.47015518058377825</v>
      </c>
      <c r="Z44" s="38">
        <v>0.32087664308907549</v>
      </c>
      <c r="AA44" s="31">
        <v>3076.963999999999</v>
      </c>
      <c r="AB44" s="79"/>
      <c r="AC44" s="40">
        <v>617.55532489959819</v>
      </c>
      <c r="AD44" s="40">
        <v>-1482.4446751004018</v>
      </c>
    </row>
    <row r="45" spans="1:30" x14ac:dyDescent="0.25">
      <c r="A45" s="290">
        <v>42216</v>
      </c>
      <c r="B45" s="135"/>
      <c r="C45" s="143" t="s">
        <v>63</v>
      </c>
      <c r="D45" s="142">
        <v>100</v>
      </c>
      <c r="E45" s="143">
        <v>4.75</v>
      </c>
      <c r="F45" s="142">
        <v>2200</v>
      </c>
      <c r="G45" s="292">
        <v>3.5732254545454554</v>
      </c>
      <c r="H45" s="143">
        <v>7861.0960000000014</v>
      </c>
      <c r="I45" s="143">
        <v>2588.9039999999986</v>
      </c>
      <c r="J45" s="293">
        <v>0.32933117723024852</v>
      </c>
      <c r="K45" s="143">
        <v>10450</v>
      </c>
      <c r="L45" s="143">
        <v>-488.0600000000004</v>
      </c>
      <c r="M45" s="143">
        <v>5.0599999999999996</v>
      </c>
      <c r="N45" s="143">
        <v>0</v>
      </c>
      <c r="O45" s="143"/>
      <c r="P45" s="32">
        <v>1.1767745454545446</v>
      </c>
      <c r="Q45" s="31">
        <v>-480.0600000000004</v>
      </c>
      <c r="R45" s="34"/>
      <c r="S45" s="34">
        <v>21653.90400000001</v>
      </c>
      <c r="T45" s="34">
        <v>4558.7166315789491</v>
      </c>
      <c r="U45" s="34">
        <v>6758.7166315789491</v>
      </c>
      <c r="V45" s="31">
        <v>29515.000000000011</v>
      </c>
      <c r="W45" s="32">
        <v>4.3669533150859161</v>
      </c>
      <c r="X45" s="32">
        <v>0.79372786054046074</v>
      </c>
      <c r="Y45" s="32">
        <v>0.38304668491408389</v>
      </c>
      <c r="Z45" s="38">
        <v>0.32550558337079494</v>
      </c>
      <c r="AA45" s="31">
        <v>2588.9039999999986</v>
      </c>
      <c r="AB45" s="79"/>
      <c r="AC45" s="40">
        <v>544.75990484210502</v>
      </c>
      <c r="AD45" s="40">
        <v>-1655.240095157895</v>
      </c>
    </row>
    <row r="46" spans="1:30" x14ac:dyDescent="0.25">
      <c r="A46" s="290">
        <v>42220</v>
      </c>
      <c r="B46" s="135"/>
      <c r="C46" s="143" t="s">
        <v>669</v>
      </c>
      <c r="D46" s="142">
        <v>1000</v>
      </c>
      <c r="E46" s="143">
        <v>4.84</v>
      </c>
      <c r="F46" s="142">
        <v>3200</v>
      </c>
      <c r="G46" s="292">
        <v>3.9708425000000007</v>
      </c>
      <c r="H46" s="143">
        <v>12706.696000000002</v>
      </c>
      <c r="I46" s="143">
        <v>2781.3039999999983</v>
      </c>
      <c r="J46" s="293">
        <v>0.21888490918488934</v>
      </c>
      <c r="K46" s="143">
        <v>15488</v>
      </c>
      <c r="L46" s="143">
        <v>192.39999999999964</v>
      </c>
      <c r="M46" s="143">
        <v>5.6</v>
      </c>
      <c r="N46" s="143">
        <v>0</v>
      </c>
      <c r="O46" s="143"/>
      <c r="P46" s="32">
        <v>0.86915749999999914</v>
      </c>
      <c r="Q46" s="31">
        <v>-4845.6000000000004</v>
      </c>
      <c r="R46" s="34"/>
      <c r="S46" s="34">
        <v>16808.304000000011</v>
      </c>
      <c r="T46" s="34">
        <v>3472.7900826446303</v>
      </c>
      <c r="U46" s="34">
        <v>6672.7900826446303</v>
      </c>
      <c r="V46" s="31">
        <v>29515.000000000015</v>
      </c>
      <c r="W46" s="32">
        <v>4.4231872476801071</v>
      </c>
      <c r="X46" s="32">
        <v>0.45234474768010635</v>
      </c>
      <c r="Y46" s="32">
        <v>0.41681275231989279</v>
      </c>
      <c r="Z46" s="38">
        <v>0.47955951863717888</v>
      </c>
      <c r="AA46" s="31">
        <v>2781.3039999999983</v>
      </c>
      <c r="AB46" s="79"/>
      <c r="AC46" s="40">
        <v>574.36226198347072</v>
      </c>
      <c r="AD46" s="40">
        <v>-2625.6377380165295</v>
      </c>
    </row>
    <row r="47" spans="1:30" x14ac:dyDescent="0.25">
      <c r="A47" s="290">
        <v>42235</v>
      </c>
      <c r="B47" s="135"/>
      <c r="C47" s="143" t="s">
        <v>63</v>
      </c>
      <c r="D47" s="142">
        <v>500</v>
      </c>
      <c r="E47" s="143">
        <v>4.53</v>
      </c>
      <c r="F47" s="142">
        <v>3700</v>
      </c>
      <c r="G47" s="292">
        <v>4.047836756756757</v>
      </c>
      <c r="H47" s="143">
        <v>14976.996000000001</v>
      </c>
      <c r="I47" s="143">
        <v>1784.003999999999</v>
      </c>
      <c r="J47" s="293">
        <v>0.11911627672198082</v>
      </c>
      <c r="K47" s="143">
        <v>16761</v>
      </c>
      <c r="L47" s="143">
        <v>-997.29999999999927</v>
      </c>
      <c r="M47" s="143">
        <v>5.3</v>
      </c>
      <c r="N47" s="143">
        <v>0</v>
      </c>
      <c r="O47" s="143"/>
      <c r="P47" s="32">
        <v>0.48216324324324322</v>
      </c>
      <c r="Q47" s="31">
        <v>-2270.2999999999993</v>
      </c>
      <c r="R47" s="34"/>
      <c r="S47" s="34">
        <v>14538.004000000012</v>
      </c>
      <c r="T47" s="34">
        <v>3209.2724061810177</v>
      </c>
      <c r="U47" s="34">
        <v>6909.2724061810177</v>
      </c>
      <c r="V47" s="31">
        <v>29515.000000000015</v>
      </c>
      <c r="W47" s="32">
        <v>4.2717956775876962</v>
      </c>
      <c r="X47" s="32">
        <v>0.22395892083093916</v>
      </c>
      <c r="Y47" s="32">
        <v>0.25820432241230407</v>
      </c>
      <c r="Z47" s="38">
        <v>0.53551224824917731</v>
      </c>
      <c r="AA47" s="31">
        <v>1784.003999999999</v>
      </c>
      <c r="AB47" s="79"/>
      <c r="AC47" s="40">
        <v>393.62295761589382</v>
      </c>
      <c r="AD47" s="40">
        <v>-3306.3770423841061</v>
      </c>
    </row>
    <row r="48" spans="1:30" x14ac:dyDescent="0.25">
      <c r="A48" s="290">
        <v>42240</v>
      </c>
      <c r="B48" s="135"/>
      <c r="C48" s="143" t="s">
        <v>63</v>
      </c>
      <c r="D48" s="142">
        <v>500</v>
      </c>
      <c r="E48" s="143">
        <v>4.18</v>
      </c>
      <c r="F48" s="142">
        <v>4200</v>
      </c>
      <c r="G48" s="292">
        <v>4.0648323809523808</v>
      </c>
      <c r="H48" s="143">
        <v>17072.295999999998</v>
      </c>
      <c r="I48" s="143">
        <v>483.70400000000154</v>
      </c>
      <c r="J48" s="293">
        <v>2.833268589063824E-2</v>
      </c>
      <c r="K48" s="143">
        <v>17556</v>
      </c>
      <c r="L48" s="143">
        <v>-1300.2999999999975</v>
      </c>
      <c r="M48" s="143">
        <v>5.3</v>
      </c>
      <c r="N48" s="143">
        <v>0</v>
      </c>
      <c r="O48" s="143"/>
      <c r="P48" s="32">
        <v>0.11516761904761896</v>
      </c>
      <c r="Q48" s="31">
        <v>-2095.2999999999975</v>
      </c>
      <c r="R48" s="34"/>
      <c r="S48" s="34">
        <v>12442.704000000014</v>
      </c>
      <c r="T48" s="34">
        <v>2976.7234449760804</v>
      </c>
      <c r="U48" s="34">
        <v>7176.7234449760799</v>
      </c>
      <c r="V48" s="31">
        <v>29515.000000000015</v>
      </c>
      <c r="W48" s="32">
        <v>4.1126009976964335</v>
      </c>
      <c r="X48" s="32">
        <v>4.776861674405275E-2</v>
      </c>
      <c r="Y48" s="32">
        <v>6.7399002303566213E-2</v>
      </c>
      <c r="Z48" s="38">
        <v>0.58522528173217059</v>
      </c>
      <c r="AA48" s="31">
        <v>483.70400000000154</v>
      </c>
      <c r="AB48" s="79"/>
      <c r="AC48" s="40">
        <v>115.66080095693819</v>
      </c>
      <c r="AD48" s="40">
        <v>-4084.3391990430619</v>
      </c>
    </row>
    <row r="49" spans="1:30" x14ac:dyDescent="0.25">
      <c r="A49" s="290">
        <v>42241</v>
      </c>
      <c r="B49" s="135"/>
      <c r="C49" s="143" t="s">
        <v>63</v>
      </c>
      <c r="D49" s="142">
        <v>500</v>
      </c>
      <c r="E49" s="143">
        <v>4</v>
      </c>
      <c r="F49" s="142">
        <v>4700</v>
      </c>
      <c r="G49" s="292">
        <v>4.0590629787234036</v>
      </c>
      <c r="H49" s="143">
        <v>19077.595999999998</v>
      </c>
      <c r="I49" s="143">
        <v>-277.59599999999773</v>
      </c>
      <c r="J49" s="293">
        <v>-1.4550889954897723E-2</v>
      </c>
      <c r="K49" s="143">
        <v>18800</v>
      </c>
      <c r="L49" s="143">
        <v>-761.29999999999927</v>
      </c>
      <c r="M49" s="143">
        <v>5.3</v>
      </c>
      <c r="N49" s="143">
        <v>0</v>
      </c>
      <c r="O49" s="143"/>
      <c r="P49" s="32">
        <v>-5.9062978723403603E-2</v>
      </c>
      <c r="Q49" s="31">
        <v>-2005.2999999999993</v>
      </c>
      <c r="R49" s="34"/>
      <c r="S49" s="34">
        <v>10437.404000000015</v>
      </c>
      <c r="T49" s="34">
        <v>2609.3510000000038</v>
      </c>
      <c r="U49" s="34">
        <v>7309.3510000000042</v>
      </c>
      <c r="V49" s="31">
        <v>29515.000000000015</v>
      </c>
      <c r="W49" s="32">
        <v>4.0379782008005902</v>
      </c>
      <c r="X49" s="32">
        <v>-2.108477792281338E-2</v>
      </c>
      <c r="Y49" s="32">
        <v>-3.7978200800590223E-2</v>
      </c>
      <c r="Z49" s="38">
        <v>0.64301194456251964</v>
      </c>
      <c r="AA49" s="31">
        <v>-277.59599999999773</v>
      </c>
      <c r="AB49" s="79"/>
      <c r="AC49" s="40">
        <v>-69.36430049999943</v>
      </c>
      <c r="AD49" s="40">
        <v>-4769.3643004999994</v>
      </c>
    </row>
    <row r="50" spans="1:30" x14ac:dyDescent="0.25">
      <c r="A50" s="290">
        <v>42241</v>
      </c>
      <c r="B50" s="135"/>
      <c r="C50" s="143" t="s">
        <v>63</v>
      </c>
      <c r="D50" s="142">
        <v>500</v>
      </c>
      <c r="E50" s="143">
        <v>3.89</v>
      </c>
      <c r="F50" s="142">
        <v>5200</v>
      </c>
      <c r="G50" s="292">
        <v>4.0438261538461528</v>
      </c>
      <c r="H50" s="143">
        <v>21027.895999999997</v>
      </c>
      <c r="I50" s="143">
        <v>-799.895999999997</v>
      </c>
      <c r="J50" s="293">
        <v>-3.8039754429068623E-2</v>
      </c>
      <c r="K50" s="143">
        <v>20228</v>
      </c>
      <c r="L50" s="143">
        <v>-522.29999999999927</v>
      </c>
      <c r="M50" s="143">
        <v>5.3</v>
      </c>
      <c r="N50" s="143">
        <v>0</v>
      </c>
      <c r="O50" s="143"/>
      <c r="P50" s="32">
        <v>-0.15382615384615272</v>
      </c>
      <c r="Q50" s="31">
        <v>-1950.2999999999993</v>
      </c>
      <c r="R50" s="34"/>
      <c r="S50" s="34">
        <v>8487.1040000000157</v>
      </c>
      <c r="T50" s="34">
        <v>2181.7748071979472</v>
      </c>
      <c r="U50" s="34">
        <v>7381.7748071979477</v>
      </c>
      <c r="V50" s="31">
        <v>29515.000000000015</v>
      </c>
      <c r="W50" s="32">
        <v>3.9983609322814915</v>
      </c>
      <c r="X50" s="32">
        <v>-4.5465221564661373E-2</v>
      </c>
      <c r="Y50" s="32">
        <v>-0.10836093228149135</v>
      </c>
      <c r="Z50" s="38">
        <v>0.70443763672247151</v>
      </c>
      <c r="AA50" s="31">
        <v>-799.895999999997</v>
      </c>
      <c r="AB50" s="79"/>
      <c r="AC50" s="40">
        <v>-205.52597737789128</v>
      </c>
      <c r="AD50" s="40">
        <v>-5405.5259773778916</v>
      </c>
    </row>
    <row r="51" spans="1:30" x14ac:dyDescent="0.25">
      <c r="A51" s="290">
        <v>42243</v>
      </c>
      <c r="B51" s="135" t="s">
        <v>670</v>
      </c>
      <c r="C51" s="143" t="s">
        <v>69</v>
      </c>
      <c r="D51" s="142">
        <v>500</v>
      </c>
      <c r="E51" s="143">
        <v>4.18</v>
      </c>
      <c r="F51" s="142">
        <v>4700</v>
      </c>
      <c r="G51" s="292">
        <v>4.0309119148936166</v>
      </c>
      <c r="H51" s="143">
        <v>18945.285999999996</v>
      </c>
      <c r="I51" s="143">
        <v>700.71400000000358</v>
      </c>
      <c r="J51" s="293">
        <v>3.6986192765841641E-2</v>
      </c>
      <c r="K51" s="143">
        <v>19646</v>
      </c>
      <c r="L51" s="143">
        <v>1500.6100000000006</v>
      </c>
      <c r="M51" s="143">
        <v>5.3</v>
      </c>
      <c r="N51" s="143">
        <v>2.09</v>
      </c>
      <c r="O51" s="143"/>
      <c r="P51" s="32">
        <v>0.14908808510638316</v>
      </c>
      <c r="Q51" s="31">
        <v>2082.6100000000006</v>
      </c>
      <c r="R51" s="34"/>
      <c r="S51" s="34">
        <v>10569.714000000016</v>
      </c>
      <c r="T51" s="34">
        <v>2528.6397129186644</v>
      </c>
      <c r="U51" s="34">
        <v>7228.6397129186644</v>
      </c>
      <c r="V51" s="31">
        <v>29515.000000000015</v>
      </c>
      <c r="W51" s="32">
        <v>4.0830641963317493</v>
      </c>
      <c r="X51" s="32">
        <v>5.2152281438132775E-2</v>
      </c>
      <c r="Y51" s="32">
        <v>9.6935803668250387E-2</v>
      </c>
      <c r="Z51" s="38">
        <v>0.6501914864563515</v>
      </c>
      <c r="AA51" s="31">
        <v>700.71400000000358</v>
      </c>
      <c r="AB51" s="79"/>
      <c r="AC51" s="40">
        <v>167.55111076555113</v>
      </c>
      <c r="AD51" s="40">
        <v>-4532.4488892344489</v>
      </c>
    </row>
    <row r="52" spans="1:30" x14ac:dyDescent="0.25">
      <c r="A52" s="290">
        <v>42248</v>
      </c>
      <c r="B52" s="135"/>
      <c r="C52" s="143" t="s">
        <v>69</v>
      </c>
      <c r="D52" s="142">
        <v>500</v>
      </c>
      <c r="E52" s="143">
        <v>4.42</v>
      </c>
      <c r="F52" s="142">
        <v>4200</v>
      </c>
      <c r="G52" s="292">
        <v>3.9863799999999987</v>
      </c>
      <c r="H52" s="143">
        <v>16742.795999999995</v>
      </c>
      <c r="I52" s="143">
        <v>1821.2040000000052</v>
      </c>
      <c r="J52" s="293">
        <v>0.10877538016947741</v>
      </c>
      <c r="K52" s="143">
        <v>18564</v>
      </c>
      <c r="L52" s="143">
        <v>1120.4900000000016</v>
      </c>
      <c r="M52" s="143">
        <v>5.3</v>
      </c>
      <c r="N52" s="143">
        <v>2.21</v>
      </c>
      <c r="O52" s="143"/>
      <c r="P52" s="32">
        <v>0.43362000000000123</v>
      </c>
      <c r="Q52" s="31">
        <v>2202.4900000000016</v>
      </c>
      <c r="R52" s="34"/>
      <c r="S52" s="34">
        <v>12772.204000000018</v>
      </c>
      <c r="T52" s="34">
        <v>2889.6389140271535</v>
      </c>
      <c r="U52" s="34">
        <v>7089.6389140271531</v>
      </c>
      <c r="V52" s="31">
        <v>29515.000000000015</v>
      </c>
      <c r="W52" s="32">
        <v>4.1631175237434626</v>
      </c>
      <c r="X52" s="32">
        <v>0.17673752374346385</v>
      </c>
      <c r="Y52" s="32">
        <v>0.25688247625653737</v>
      </c>
      <c r="Z52" s="38">
        <v>0.59241380991775483</v>
      </c>
      <c r="AA52" s="31">
        <v>1821.2040000000052</v>
      </c>
      <c r="AB52" s="79"/>
      <c r="AC52" s="40">
        <v>411.83108552036316</v>
      </c>
      <c r="AD52" s="40">
        <v>-3788.1689144796369</v>
      </c>
    </row>
    <row r="53" spans="1:30" x14ac:dyDescent="0.25">
      <c r="A53" s="290">
        <v>42248</v>
      </c>
      <c r="B53" s="135"/>
      <c r="C53" s="143" t="s">
        <v>69</v>
      </c>
      <c r="D53" s="142">
        <v>500</v>
      </c>
      <c r="E53" s="143">
        <v>4.5199999999999996</v>
      </c>
      <c r="F53" s="142">
        <v>3700</v>
      </c>
      <c r="G53" s="292">
        <v>3.9163124324324308</v>
      </c>
      <c r="H53" s="143">
        <v>14490.355999999994</v>
      </c>
      <c r="I53" s="143">
        <v>2233.6440000000057</v>
      </c>
      <c r="J53" s="293">
        <v>0.15414693745274483</v>
      </c>
      <c r="K53" s="143">
        <v>16724</v>
      </c>
      <c r="L53" s="143">
        <v>412.44000000000051</v>
      </c>
      <c r="M53" s="143">
        <v>5.3</v>
      </c>
      <c r="N53" s="143">
        <v>2.2599999999999998</v>
      </c>
      <c r="O53" s="143"/>
      <c r="P53" s="32">
        <v>0.60368756756756881</v>
      </c>
      <c r="Q53" s="31">
        <v>2252.4400000000005</v>
      </c>
      <c r="R53" s="34"/>
      <c r="S53" s="34">
        <v>15024.644000000018</v>
      </c>
      <c r="T53" s="34">
        <v>3324.0362831858452</v>
      </c>
      <c r="U53" s="34">
        <v>7024.0362831858456</v>
      </c>
      <c r="V53" s="31">
        <v>29515.000000000015</v>
      </c>
      <c r="W53" s="32">
        <v>4.2019999342334104</v>
      </c>
      <c r="X53" s="32">
        <v>0.28568750180097968</v>
      </c>
      <c r="Y53" s="32">
        <v>0.31800006576658912</v>
      </c>
      <c r="Z53" s="38">
        <v>0.52676265480818607</v>
      </c>
      <c r="AA53" s="31">
        <v>2233.6440000000057</v>
      </c>
      <c r="AB53" s="79"/>
      <c r="AC53" s="40">
        <v>493.92194203539952</v>
      </c>
      <c r="AD53" s="40">
        <v>-3206.0780579646007</v>
      </c>
    </row>
    <row r="54" spans="1:30" x14ac:dyDescent="0.25">
      <c r="A54" s="290">
        <v>42249</v>
      </c>
      <c r="B54" s="135"/>
      <c r="C54" s="143" t="s">
        <v>69</v>
      </c>
      <c r="D54" s="142">
        <v>600</v>
      </c>
      <c r="E54" s="143">
        <v>4.6399999999999997</v>
      </c>
      <c r="F54" s="142">
        <v>3100</v>
      </c>
      <c r="G54" s="292">
        <v>3.7788709677419337</v>
      </c>
      <c r="H54" s="143">
        <v>11714.499999999995</v>
      </c>
      <c r="I54" s="143">
        <v>2669.5000000000036</v>
      </c>
      <c r="J54" s="293">
        <v>0.22787997780528457</v>
      </c>
      <c r="K54" s="143">
        <v>14383.999999999998</v>
      </c>
      <c r="L54" s="143">
        <v>435.85599999999795</v>
      </c>
      <c r="M54" s="143">
        <v>5.36</v>
      </c>
      <c r="N54" s="143">
        <v>2.7839999999999998</v>
      </c>
      <c r="O54" s="143"/>
      <c r="P54" s="32">
        <v>0.86112903225806603</v>
      </c>
      <c r="Q54" s="31">
        <v>2775.8559999999998</v>
      </c>
      <c r="R54" s="34"/>
      <c r="S54" s="34">
        <v>17800.500000000018</v>
      </c>
      <c r="T54" s="34">
        <v>3836.314655172418</v>
      </c>
      <c r="U54" s="34">
        <v>6936.3146551724185</v>
      </c>
      <c r="V54" s="31">
        <v>29515.000000000015</v>
      </c>
      <c r="W54" s="32">
        <v>4.2551414500768994</v>
      </c>
      <c r="X54" s="32">
        <v>0.47627048233496572</v>
      </c>
      <c r="Y54" s="32">
        <v>0.38485854992310031</v>
      </c>
      <c r="Z54" s="38">
        <v>0.44692320837670274</v>
      </c>
      <c r="AA54" s="31">
        <v>2669.5000000000036</v>
      </c>
      <c r="AB54" s="79"/>
      <c r="AC54" s="40">
        <v>575.03561422413873</v>
      </c>
      <c r="AD54" s="40">
        <v>-2524.964385775861</v>
      </c>
    </row>
    <row r="55" spans="1:30" x14ac:dyDescent="0.25">
      <c r="A55" s="290">
        <v>42249</v>
      </c>
      <c r="B55" s="135"/>
      <c r="C55" s="143" t="s">
        <v>69</v>
      </c>
      <c r="D55" s="142">
        <v>500</v>
      </c>
      <c r="E55" s="143">
        <v>4.87</v>
      </c>
      <c r="F55" s="142">
        <v>2600</v>
      </c>
      <c r="G55" s="292">
        <v>3.5720134615384591</v>
      </c>
      <c r="H55" s="143">
        <v>9287.2349999999933</v>
      </c>
      <c r="I55" s="143">
        <v>3374.7650000000067</v>
      </c>
      <c r="J55" s="293">
        <v>0.36337672084317979</v>
      </c>
      <c r="K55" s="143">
        <v>12662</v>
      </c>
      <c r="L55" s="143">
        <v>705.26500000000306</v>
      </c>
      <c r="M55" s="143">
        <v>5.3</v>
      </c>
      <c r="N55" s="143">
        <v>2.4350000000000001</v>
      </c>
      <c r="O55" s="143"/>
      <c r="P55" s="32">
        <v>1.297986538461541</v>
      </c>
      <c r="Q55" s="31">
        <v>2427.2650000000012</v>
      </c>
      <c r="R55" s="34"/>
      <c r="S55" s="34">
        <v>20227.765000000021</v>
      </c>
      <c r="T55" s="34">
        <v>4153.5451745379924</v>
      </c>
      <c r="U55" s="34">
        <v>6753.5451745379924</v>
      </c>
      <c r="V55" s="31">
        <v>29515.000000000015</v>
      </c>
      <c r="W55" s="32">
        <v>4.3702972642097011</v>
      </c>
      <c r="X55" s="32">
        <v>0.79828380267124199</v>
      </c>
      <c r="Y55" s="32">
        <v>0.499702735790299</v>
      </c>
      <c r="Z55" s="38">
        <v>0.38498298786871815</v>
      </c>
      <c r="AA55" s="31">
        <v>3374.7650000000067</v>
      </c>
      <c r="AB55" s="79"/>
      <c r="AC55" s="40">
        <v>692.62374075975504</v>
      </c>
      <c r="AD55" s="40">
        <v>-1907.376259240245</v>
      </c>
    </row>
    <row r="56" spans="1:30" x14ac:dyDescent="0.25">
      <c r="A56" s="290">
        <v>42249</v>
      </c>
      <c r="B56" s="135"/>
      <c r="C56" s="143" t="s">
        <v>69</v>
      </c>
      <c r="D56" s="142">
        <v>500</v>
      </c>
      <c r="E56" s="143">
        <v>4.95</v>
      </c>
      <c r="F56" s="142">
        <v>2100</v>
      </c>
      <c r="G56" s="292">
        <v>3.2476238095238066</v>
      </c>
      <c r="H56" s="143">
        <v>6820.0099999999939</v>
      </c>
      <c r="I56" s="143">
        <v>3574.9900000000061</v>
      </c>
      <c r="J56" s="293">
        <v>0.52419131350247428</v>
      </c>
      <c r="K56" s="143">
        <v>10395</v>
      </c>
      <c r="L56" s="143">
        <v>200.22499999999945</v>
      </c>
      <c r="M56" s="143">
        <v>5.3</v>
      </c>
      <c r="N56" s="143">
        <v>2.4750000000000001</v>
      </c>
      <c r="O56" s="143"/>
      <c r="P56" s="32">
        <v>1.7023761904761936</v>
      </c>
      <c r="Q56" s="31">
        <v>2467.2249999999995</v>
      </c>
      <c r="R56" s="34"/>
      <c r="S56" s="34">
        <v>22694.99000000002</v>
      </c>
      <c r="T56" s="34">
        <v>4584.8464646464681</v>
      </c>
      <c r="U56" s="34">
        <v>6684.8464646464681</v>
      </c>
      <c r="V56" s="31">
        <v>29515.000000000015</v>
      </c>
      <c r="W56" s="32">
        <v>4.4152098565155198</v>
      </c>
      <c r="X56" s="32">
        <v>1.1675860469917132</v>
      </c>
      <c r="Y56" s="32">
        <v>0.5347901434844804</v>
      </c>
      <c r="Z56" s="38">
        <v>0.31414334062959809</v>
      </c>
      <c r="AA56" s="31">
        <v>3574.9900000000061</v>
      </c>
      <c r="AB56" s="79"/>
      <c r="AC56" s="40">
        <v>721.85909191919325</v>
      </c>
      <c r="AD56" s="40">
        <v>-1378.1409080808066</v>
      </c>
    </row>
    <row r="57" spans="1:30" x14ac:dyDescent="0.25">
      <c r="A57" s="290">
        <v>42255</v>
      </c>
      <c r="B57" s="135"/>
      <c r="C57" s="143" t="s">
        <v>63</v>
      </c>
      <c r="D57" s="142">
        <v>500</v>
      </c>
      <c r="E57" s="143">
        <v>4.45</v>
      </c>
      <c r="F57" s="142">
        <v>2600</v>
      </c>
      <c r="G57" s="292">
        <v>3.4808884615384592</v>
      </c>
      <c r="H57" s="143">
        <v>9050.309999999994</v>
      </c>
      <c r="I57" s="143">
        <v>2519.690000000006</v>
      </c>
      <c r="J57" s="293">
        <v>0.27840924786001897</v>
      </c>
      <c r="K57" s="143">
        <v>11570</v>
      </c>
      <c r="L57" s="143">
        <v>-1055.3000000000002</v>
      </c>
      <c r="M57" s="143">
        <v>5.3</v>
      </c>
      <c r="N57" s="143">
        <v>0</v>
      </c>
      <c r="O57" s="143"/>
      <c r="P57" s="32">
        <v>0.96911153846154097</v>
      </c>
      <c r="Q57" s="31">
        <v>-2230.3000000000002</v>
      </c>
      <c r="R57" s="34"/>
      <c r="S57" s="34">
        <v>20464.690000000021</v>
      </c>
      <c r="T57" s="34">
        <v>4598.8067415730384</v>
      </c>
      <c r="U57" s="34">
        <v>7198.8067415730384</v>
      </c>
      <c r="V57" s="31">
        <v>29515.000000000015</v>
      </c>
      <c r="W57" s="32">
        <v>4.0999850474594881</v>
      </c>
      <c r="X57" s="32">
        <v>0.6190965859210289</v>
      </c>
      <c r="Y57" s="32">
        <v>0.35001495254051207</v>
      </c>
      <c r="Z57" s="38">
        <v>0.36117096809739668</v>
      </c>
      <c r="AA57" s="31">
        <v>2519.690000000006</v>
      </c>
      <c r="AB57" s="79"/>
      <c r="AC57" s="40">
        <v>565.93936067415859</v>
      </c>
      <c r="AD57" s="40">
        <v>-2034.0606393258413</v>
      </c>
    </row>
    <row r="58" spans="1:30" x14ac:dyDescent="0.25">
      <c r="A58" s="290">
        <v>42264</v>
      </c>
      <c r="B58" s="135"/>
      <c r="C58" s="143" t="s">
        <v>69</v>
      </c>
      <c r="D58" s="142">
        <v>500</v>
      </c>
      <c r="E58" s="143">
        <v>4.5599999999999996</v>
      </c>
      <c r="F58" s="142">
        <v>2100</v>
      </c>
      <c r="G58" s="292">
        <v>3.2275666666666636</v>
      </c>
      <c r="H58" s="143">
        <v>6777.889999999994</v>
      </c>
      <c r="I58" s="143">
        <v>2798.110000000006</v>
      </c>
      <c r="J58" s="293">
        <v>0.41282906627283833</v>
      </c>
      <c r="K58" s="143">
        <v>9576</v>
      </c>
      <c r="L58" s="143">
        <v>278.42000000000007</v>
      </c>
      <c r="M58" s="143">
        <v>5.3</v>
      </c>
      <c r="N58" s="143">
        <v>2.2799999999999998</v>
      </c>
      <c r="O58" s="143"/>
      <c r="P58" s="32">
        <v>1.332433333333336</v>
      </c>
      <c r="Q58" s="31">
        <v>2272.42</v>
      </c>
      <c r="R58" s="34"/>
      <c r="S58" s="34">
        <v>22737.110000000022</v>
      </c>
      <c r="T58" s="34">
        <v>4986.2083333333385</v>
      </c>
      <c r="U58" s="34">
        <v>7086.2083333333385</v>
      </c>
      <c r="V58" s="31">
        <v>29515.000000000015</v>
      </c>
      <c r="W58" s="32">
        <v>4.1651329754393798</v>
      </c>
      <c r="X58" s="32">
        <v>0.93756630877271618</v>
      </c>
      <c r="Y58" s="32">
        <v>0.39486702456061984</v>
      </c>
      <c r="Z58" s="38">
        <v>0.29635030487625591</v>
      </c>
      <c r="AA58" s="31">
        <v>2798.110000000006</v>
      </c>
      <c r="AB58" s="79"/>
      <c r="AC58" s="40">
        <v>613.31380372807166</v>
      </c>
      <c r="AD58" s="40">
        <v>-1486.6861962719283</v>
      </c>
    </row>
    <row r="59" spans="1:30" x14ac:dyDescent="0.25">
      <c r="A59" s="290">
        <v>42272</v>
      </c>
      <c r="B59" s="135"/>
      <c r="C59" s="143" t="s">
        <v>63</v>
      </c>
      <c r="D59" s="142">
        <v>500</v>
      </c>
      <c r="E59" s="143">
        <v>4.4000000000000004</v>
      </c>
      <c r="F59" s="142">
        <v>2600</v>
      </c>
      <c r="G59" s="292">
        <v>3.4550730769230742</v>
      </c>
      <c r="H59" s="143">
        <v>8983.1899999999932</v>
      </c>
      <c r="I59" s="143">
        <v>2456.8100000000086</v>
      </c>
      <c r="J59" s="293">
        <v>0.27348970688586238</v>
      </c>
      <c r="K59" s="143">
        <v>11440.000000000002</v>
      </c>
      <c r="L59" s="143">
        <v>-341.29999999999745</v>
      </c>
      <c r="M59" s="143">
        <v>5.3</v>
      </c>
      <c r="N59" s="143">
        <v>0</v>
      </c>
      <c r="O59" s="143">
        <v>-15</v>
      </c>
      <c r="P59" s="32">
        <v>0.94492692307692616</v>
      </c>
      <c r="Q59" s="31">
        <v>-2205.2999999999993</v>
      </c>
      <c r="R59" s="34"/>
      <c r="S59" s="34">
        <v>20516.810000000023</v>
      </c>
      <c r="T59" s="34">
        <v>4662.9113636363682</v>
      </c>
      <c r="U59" s="34">
        <v>7262.9113636363682</v>
      </c>
      <c r="V59" s="31">
        <v>29500.000000000015</v>
      </c>
      <c r="W59" s="32">
        <v>4.0617320690018808</v>
      </c>
      <c r="X59" s="32">
        <v>0.60665899207880658</v>
      </c>
      <c r="Y59" s="32">
        <v>0.33826793099811958</v>
      </c>
      <c r="Z59" s="38">
        <v>0.3579831654035554</v>
      </c>
      <c r="AA59" s="31">
        <v>2456.8100000000086</v>
      </c>
      <c r="AB59" s="79"/>
      <c r="AC59" s="40">
        <v>558.08672613636566</v>
      </c>
      <c r="AD59" s="40">
        <v>-2041.9132738636345</v>
      </c>
    </row>
    <row r="60" spans="1:30" x14ac:dyDescent="0.25">
      <c r="A60" s="290">
        <v>42289</v>
      </c>
      <c r="B60" s="135"/>
      <c r="C60" s="143" t="s">
        <v>69</v>
      </c>
      <c r="D60" s="142">
        <v>500</v>
      </c>
      <c r="E60" s="143">
        <v>4.5199999999999996</v>
      </c>
      <c r="F60" s="142">
        <v>2100</v>
      </c>
      <c r="G60" s="292">
        <v>3.1979761904761874</v>
      </c>
      <c r="H60" s="143">
        <v>6715.7499999999936</v>
      </c>
      <c r="I60" s="143">
        <v>2776.2500000000064</v>
      </c>
      <c r="J60" s="293">
        <v>0.41339388750325851</v>
      </c>
      <c r="K60" s="143">
        <v>9492</v>
      </c>
      <c r="L60" s="143">
        <v>319.43999999999778</v>
      </c>
      <c r="M60" s="143">
        <v>5.3</v>
      </c>
      <c r="N60" s="143">
        <v>2.2599999999999998</v>
      </c>
      <c r="O60" s="143"/>
      <c r="P60" s="32">
        <v>1.3220238095238122</v>
      </c>
      <c r="Q60" s="31">
        <v>2267.4399999999996</v>
      </c>
      <c r="R60" s="34"/>
      <c r="S60" s="34">
        <v>22784.250000000022</v>
      </c>
      <c r="T60" s="34">
        <v>5040.7632743362883</v>
      </c>
      <c r="U60" s="34">
        <v>7140.7632743362883</v>
      </c>
      <c r="V60" s="31">
        <v>29500.000000000015</v>
      </c>
      <c r="W60" s="32">
        <v>4.1312110297819595</v>
      </c>
      <c r="X60" s="32">
        <v>0.93323483930577211</v>
      </c>
      <c r="Y60" s="32">
        <v>0.38878897021804004</v>
      </c>
      <c r="Z60" s="38">
        <v>0.29408620889973258</v>
      </c>
      <c r="AA60" s="31">
        <v>2776.2500000000064</v>
      </c>
      <c r="AB60" s="79"/>
      <c r="AC60" s="40">
        <v>613.90749446902805</v>
      </c>
      <c r="AD60" s="40">
        <v>-1486.0925055309719</v>
      </c>
    </row>
    <row r="61" spans="1:30" x14ac:dyDescent="0.25">
      <c r="A61" s="290">
        <v>42299</v>
      </c>
      <c r="B61" s="135"/>
      <c r="C61" s="143" t="s">
        <v>69</v>
      </c>
      <c r="D61" s="142">
        <v>500</v>
      </c>
      <c r="E61" s="143">
        <v>4.7</v>
      </c>
      <c r="F61" s="142">
        <v>1600</v>
      </c>
      <c r="G61" s="292">
        <v>2.7333749999999966</v>
      </c>
      <c r="H61" s="143">
        <v>4373.3999999999942</v>
      </c>
      <c r="I61" s="143">
        <v>3146.6000000000058</v>
      </c>
      <c r="J61" s="293">
        <v>0.71948598344537651</v>
      </c>
      <c r="K61" s="143">
        <v>7520</v>
      </c>
      <c r="L61" s="143">
        <v>370.34999999999945</v>
      </c>
      <c r="M61" s="143">
        <v>5.3</v>
      </c>
      <c r="N61" s="143">
        <v>2.35</v>
      </c>
      <c r="O61" s="143"/>
      <c r="P61" s="32">
        <v>1.9666250000000036</v>
      </c>
      <c r="Q61" s="31">
        <v>2342.3499999999995</v>
      </c>
      <c r="R61" s="34"/>
      <c r="S61" s="34">
        <v>25126.60000000002</v>
      </c>
      <c r="T61" s="34">
        <v>5346.0851063829832</v>
      </c>
      <c r="U61" s="34">
        <v>6946.0851063829832</v>
      </c>
      <c r="V61" s="31">
        <v>29500.000000000015</v>
      </c>
      <c r="W61" s="32">
        <v>4.2469966244570641</v>
      </c>
      <c r="X61" s="32">
        <v>1.5136216244570675</v>
      </c>
      <c r="Y61" s="32">
        <v>0.45300337554293613</v>
      </c>
      <c r="Z61" s="38">
        <v>0.23034557963156946</v>
      </c>
      <c r="AA61" s="31">
        <v>3146.6000000000058</v>
      </c>
      <c r="AB61" s="79"/>
      <c r="AC61" s="40">
        <v>669.15461702127789</v>
      </c>
      <c r="AD61" s="40">
        <v>-930.84538297872211</v>
      </c>
    </row>
    <row r="62" spans="1:30" x14ac:dyDescent="0.25">
      <c r="A62" s="290">
        <v>42317</v>
      </c>
      <c r="B62" s="135"/>
      <c r="C62" s="143" t="s">
        <v>69</v>
      </c>
      <c r="D62" s="142">
        <v>500</v>
      </c>
      <c r="E62" s="143">
        <v>4.91</v>
      </c>
      <c r="F62" s="142">
        <v>1100</v>
      </c>
      <c r="G62" s="292">
        <v>1.7510499999999947</v>
      </c>
      <c r="H62" s="143">
        <v>1926.1549999999941</v>
      </c>
      <c r="I62" s="143">
        <v>3474.8450000000057</v>
      </c>
      <c r="J62" s="293">
        <v>1.8040318665943376</v>
      </c>
      <c r="K62" s="143">
        <v>5401</v>
      </c>
      <c r="L62" s="143">
        <v>328.24499999999989</v>
      </c>
      <c r="M62" s="143">
        <v>5.3</v>
      </c>
      <c r="N62" s="143">
        <v>2.4550000000000001</v>
      </c>
      <c r="O62" s="143"/>
      <c r="P62" s="32">
        <v>3.1589500000000053</v>
      </c>
      <c r="Q62" s="31">
        <v>2447.2449999999999</v>
      </c>
      <c r="R62" s="34"/>
      <c r="S62" s="34">
        <v>27573.845000000019</v>
      </c>
      <c r="T62" s="34">
        <v>5615.8543788187408</v>
      </c>
      <c r="U62" s="34">
        <v>6715.8543788187408</v>
      </c>
      <c r="V62" s="31">
        <v>29500.000000000015</v>
      </c>
      <c r="W62" s="32">
        <v>4.3925907763933383</v>
      </c>
      <c r="X62" s="32">
        <v>2.6415407763933434</v>
      </c>
      <c r="Y62" s="32">
        <v>0.51740922360666186</v>
      </c>
      <c r="Z62" s="38">
        <v>0.16379152047568374</v>
      </c>
      <c r="AA62" s="31">
        <v>3474.8450000000057</v>
      </c>
      <c r="AB62" s="79"/>
      <c r="AC62" s="40">
        <v>707.35388543788315</v>
      </c>
      <c r="AD62" s="40">
        <v>-392.64611456211685</v>
      </c>
    </row>
    <row r="63" spans="1:30" x14ac:dyDescent="0.25">
      <c r="A63" s="290">
        <v>42319</v>
      </c>
      <c r="B63" s="135" t="s">
        <v>671</v>
      </c>
      <c r="C63" s="143" t="s">
        <v>63</v>
      </c>
      <c r="D63" s="142">
        <v>500</v>
      </c>
      <c r="E63" s="143">
        <v>4.68</v>
      </c>
      <c r="F63" s="142">
        <v>1600</v>
      </c>
      <c r="G63" s="292">
        <v>2.6696593749999966</v>
      </c>
      <c r="H63" s="143">
        <v>4271.4549999999945</v>
      </c>
      <c r="I63" s="143">
        <v>3216.5450000000055</v>
      </c>
      <c r="J63" s="293">
        <v>0.75303263173789936</v>
      </c>
      <c r="K63" s="143">
        <v>7488</v>
      </c>
      <c r="L63" s="143">
        <v>-258.30000000000018</v>
      </c>
      <c r="M63" s="143">
        <v>5.3</v>
      </c>
      <c r="N63" s="143">
        <v>0</v>
      </c>
      <c r="O63" s="143"/>
      <c r="P63" s="32">
        <v>2.0103406250000031</v>
      </c>
      <c r="Q63" s="31">
        <v>-2345.3000000000002</v>
      </c>
      <c r="R63" s="34"/>
      <c r="S63" s="34">
        <v>25228.54500000002</v>
      </c>
      <c r="T63" s="34">
        <v>5390.7147435897487</v>
      </c>
      <c r="U63" s="34">
        <v>6990.7147435897487</v>
      </c>
      <c r="V63" s="31">
        <v>29500.000000000015</v>
      </c>
      <c r="W63" s="32">
        <v>4.2198832425612167</v>
      </c>
      <c r="X63" s="32">
        <v>1.5502238675612201</v>
      </c>
      <c r="Y63" s="32">
        <v>0.460116757438783</v>
      </c>
      <c r="Z63" s="38">
        <v>0.22887502332535403</v>
      </c>
      <c r="AA63" s="31">
        <v>3216.5450000000055</v>
      </c>
      <c r="AB63" s="79"/>
      <c r="AC63" s="40">
        <v>686.95229220085605</v>
      </c>
      <c r="AD63" s="40">
        <v>-913.04770779914395</v>
      </c>
    </row>
    <row r="64" spans="1:30" x14ac:dyDescent="0.25">
      <c r="A64" s="290">
        <v>42332</v>
      </c>
      <c r="B64" s="135" t="s">
        <v>672</v>
      </c>
      <c r="C64" s="143" t="s">
        <v>63</v>
      </c>
      <c r="D64" s="142">
        <v>500</v>
      </c>
      <c r="E64" s="143">
        <v>4.5999999999999996</v>
      </c>
      <c r="F64" s="142">
        <v>2100</v>
      </c>
      <c r="G64" s="292">
        <v>3.1317880952380928</v>
      </c>
      <c r="H64" s="143">
        <v>6576.7549999999947</v>
      </c>
      <c r="I64" s="143">
        <v>3083.2450000000053</v>
      </c>
      <c r="J64" s="293">
        <v>0.46880946606647306</v>
      </c>
      <c r="K64" s="143">
        <v>9660</v>
      </c>
      <c r="L64" s="143">
        <v>-133.30000000000018</v>
      </c>
      <c r="M64" s="143">
        <v>5.3</v>
      </c>
      <c r="N64" s="143">
        <v>0</v>
      </c>
      <c r="O64" s="143"/>
      <c r="P64" s="32">
        <v>1.4682119047619069</v>
      </c>
      <c r="Q64" s="31">
        <v>-2305.3000000000002</v>
      </c>
      <c r="R64" s="34"/>
      <c r="S64" s="34">
        <v>22923.245000000021</v>
      </c>
      <c r="T64" s="34">
        <v>4983.3141304347873</v>
      </c>
      <c r="U64" s="34">
        <v>7083.3141304347873</v>
      </c>
      <c r="V64" s="31">
        <v>29500.000000000015</v>
      </c>
      <c r="W64" s="32">
        <v>4.164717172890545</v>
      </c>
      <c r="X64" s="32">
        <v>1.0329290776524522</v>
      </c>
      <c r="Y64" s="32">
        <v>0.43528282710945465</v>
      </c>
      <c r="Z64" s="38">
        <v>0.29647139196847933</v>
      </c>
      <c r="AA64" s="31">
        <v>3083.2450000000053</v>
      </c>
      <c r="AB64" s="79"/>
      <c r="AC64" s="40">
        <v>669.93551684782733</v>
      </c>
      <c r="AD64" s="40">
        <v>-1430.0644831521727</v>
      </c>
    </row>
    <row r="65" spans="1:30" x14ac:dyDescent="0.25">
      <c r="A65" s="290">
        <v>42334</v>
      </c>
      <c r="B65" s="135"/>
      <c r="C65" s="143" t="s">
        <v>69</v>
      </c>
      <c r="D65" s="142">
        <v>500</v>
      </c>
      <c r="E65" s="143">
        <v>4.68</v>
      </c>
      <c r="F65" s="142">
        <v>1600</v>
      </c>
      <c r="G65" s="292">
        <v>2.652746874999997</v>
      </c>
      <c r="H65" s="143">
        <v>4244.394999999995</v>
      </c>
      <c r="I65" s="143">
        <v>3243.605000000005</v>
      </c>
      <c r="J65" s="293">
        <v>0.76420903332512835</v>
      </c>
      <c r="K65" s="143">
        <v>7488</v>
      </c>
      <c r="L65" s="143">
        <v>160.35999999999967</v>
      </c>
      <c r="M65" s="143">
        <v>5.3</v>
      </c>
      <c r="N65" s="143">
        <v>2.34</v>
      </c>
      <c r="O65" s="143"/>
      <c r="P65" s="32">
        <v>2.0272531250000028</v>
      </c>
      <c r="Q65" s="31">
        <v>2332.3599999999997</v>
      </c>
      <c r="R65" s="34"/>
      <c r="S65" s="34">
        <v>25255.605000000021</v>
      </c>
      <c r="T65" s="34">
        <v>5396.4967948717995</v>
      </c>
      <c r="U65" s="34">
        <v>6996.4967948717995</v>
      </c>
      <c r="V65" s="31">
        <v>29500.000000000015</v>
      </c>
      <c r="W65" s="32">
        <v>4.216395842791286</v>
      </c>
      <c r="X65" s="32">
        <v>1.563648967791289</v>
      </c>
      <c r="Y65" s="32">
        <v>0.46360415720871373</v>
      </c>
      <c r="Z65" s="38">
        <v>0.22868587621918829</v>
      </c>
      <c r="AA65" s="31">
        <v>3243.605000000005</v>
      </c>
      <c r="AB65" s="79"/>
      <c r="AC65" s="40">
        <v>692.73145245726619</v>
      </c>
      <c r="AD65" s="40">
        <v>-907.26854754273381</v>
      </c>
    </row>
    <row r="66" spans="1:30" x14ac:dyDescent="0.25">
      <c r="A66" s="290">
        <v>42335</v>
      </c>
      <c r="B66" s="135"/>
      <c r="C66" s="143" t="s">
        <v>63</v>
      </c>
      <c r="D66" s="142">
        <v>700</v>
      </c>
      <c r="E66" s="143">
        <v>4.5999999999999996</v>
      </c>
      <c r="F66" s="142">
        <v>2300</v>
      </c>
      <c r="G66" s="292">
        <v>3.247745652173911</v>
      </c>
      <c r="H66" s="143">
        <v>7469.8149999999951</v>
      </c>
      <c r="I66" s="143">
        <v>3110.1850000000049</v>
      </c>
      <c r="J66" s="293">
        <v>0.41636707200914691</v>
      </c>
      <c r="K66" s="143">
        <v>10580</v>
      </c>
      <c r="L66" s="143">
        <v>-133.42000000000007</v>
      </c>
      <c r="M66" s="143">
        <v>5.42</v>
      </c>
      <c r="N66" s="143">
        <v>0</v>
      </c>
      <c r="O66" s="143"/>
      <c r="P66" s="32">
        <v>1.3522543478260887</v>
      </c>
      <c r="Q66" s="31">
        <v>-3225.42</v>
      </c>
      <c r="R66" s="34"/>
      <c r="S66" s="34">
        <v>22030.185000000019</v>
      </c>
      <c r="T66" s="34">
        <v>4789.1706521739179</v>
      </c>
      <c r="U66" s="34">
        <v>7089.1706521739179</v>
      </c>
      <c r="V66" s="31">
        <v>29500.000000000015</v>
      </c>
      <c r="W66" s="32">
        <v>4.1612766072930887</v>
      </c>
      <c r="X66" s="32">
        <v>0.9135309551191777</v>
      </c>
      <c r="Y66" s="32">
        <v>0.43872339270691096</v>
      </c>
      <c r="Z66" s="38">
        <v>0.32443851514488475</v>
      </c>
      <c r="AA66" s="31">
        <v>3110.1850000000049</v>
      </c>
      <c r="AB66" s="79"/>
      <c r="AC66" s="40">
        <v>675.78911032608812</v>
      </c>
      <c r="AD66" s="40">
        <v>-1624.2108896739119</v>
      </c>
    </row>
    <row r="67" spans="1:30" x14ac:dyDescent="0.25">
      <c r="A67" s="290">
        <v>42336</v>
      </c>
      <c r="B67" s="135" t="s">
        <v>673</v>
      </c>
      <c r="C67" s="143" t="s">
        <v>63</v>
      </c>
      <c r="D67" s="142">
        <v>500</v>
      </c>
      <c r="E67" s="143">
        <v>4.53</v>
      </c>
      <c r="F67" s="142">
        <v>2800</v>
      </c>
      <c r="G67" s="292">
        <v>3.4786124999999979</v>
      </c>
      <c r="H67" s="143">
        <v>9740.1149999999943</v>
      </c>
      <c r="I67" s="143">
        <v>2943.8850000000057</v>
      </c>
      <c r="J67" s="293">
        <v>0.30224335133620173</v>
      </c>
      <c r="K67" s="143">
        <v>12684</v>
      </c>
      <c r="L67" s="143">
        <v>-166.29999999999927</v>
      </c>
      <c r="M67" s="143">
        <v>5.3</v>
      </c>
      <c r="N67" s="143">
        <v>0</v>
      </c>
      <c r="O67" s="143"/>
      <c r="P67" s="32">
        <v>1.0513875000000024</v>
      </c>
      <c r="Q67" s="31">
        <v>-2270.2999999999993</v>
      </c>
      <c r="R67" s="34"/>
      <c r="S67" s="34">
        <v>19759.88500000002</v>
      </c>
      <c r="T67" s="34">
        <v>4362.0055187638009</v>
      </c>
      <c r="U67" s="34">
        <v>7162.0055187638009</v>
      </c>
      <c r="V67" s="31">
        <v>29500.000000000015</v>
      </c>
      <c r="W67" s="32">
        <v>4.1189580101150032</v>
      </c>
      <c r="X67" s="32">
        <v>0.64034551011500529</v>
      </c>
      <c r="Y67" s="32">
        <v>0.41104198988499707</v>
      </c>
      <c r="Z67" s="38">
        <v>0.39095194672277972</v>
      </c>
      <c r="AA67" s="31">
        <v>2943.8850000000057</v>
      </c>
      <c r="AB67" s="79"/>
      <c r="AC67" s="40">
        <v>649.53930629139199</v>
      </c>
      <c r="AD67" s="40">
        <v>-2150.4606937086082</v>
      </c>
    </row>
    <row r="68" spans="1:30" x14ac:dyDescent="0.25">
      <c r="A68" s="290">
        <v>42340</v>
      </c>
      <c r="B68" s="135"/>
      <c r="C68" s="143" t="s">
        <v>69</v>
      </c>
      <c r="D68" s="142">
        <v>500</v>
      </c>
      <c r="E68" s="143">
        <v>4.6399999999999997</v>
      </c>
      <c r="F68" s="142">
        <v>2300</v>
      </c>
      <c r="G68" s="292">
        <v>3.2294499999999973</v>
      </c>
      <c r="H68" s="143">
        <v>7427.7349999999942</v>
      </c>
      <c r="I68" s="143">
        <v>3244.2650000000058</v>
      </c>
      <c r="J68" s="293">
        <v>0.43677716019755797</v>
      </c>
      <c r="K68" s="143">
        <v>10672</v>
      </c>
      <c r="L68" s="143">
        <v>300.38000000000011</v>
      </c>
      <c r="M68" s="143">
        <v>5.3</v>
      </c>
      <c r="N68" s="143">
        <v>2.3199999999999998</v>
      </c>
      <c r="O68" s="143"/>
      <c r="P68" s="32">
        <v>1.4105500000000024</v>
      </c>
      <c r="Q68" s="31">
        <v>2312.38</v>
      </c>
      <c r="R68" s="34"/>
      <c r="S68" s="34">
        <v>22072.265000000021</v>
      </c>
      <c r="T68" s="34">
        <v>4756.9536637931087</v>
      </c>
      <c r="U68" s="34">
        <v>7056.9536637931087</v>
      </c>
      <c r="V68" s="31">
        <v>29500.000000000015</v>
      </c>
      <c r="W68" s="32">
        <v>4.1802740113421377</v>
      </c>
      <c r="X68" s="32">
        <v>0.95082401134214045</v>
      </c>
      <c r="Y68" s="32">
        <v>0.45972598865786196</v>
      </c>
      <c r="Z68" s="38">
        <v>0.32591966868091227</v>
      </c>
      <c r="AA68" s="31">
        <v>3244.2650000000058</v>
      </c>
      <c r="AB68" s="79"/>
      <c r="AC68" s="40">
        <v>698.84544558189793</v>
      </c>
      <c r="AD68" s="40">
        <v>-1601.1545544181022</v>
      </c>
    </row>
    <row r="69" spans="1:30" x14ac:dyDescent="0.25">
      <c r="A69" s="290">
        <v>42341</v>
      </c>
      <c r="B69" s="135"/>
      <c r="C69" s="143" t="s">
        <v>69</v>
      </c>
      <c r="D69" s="142">
        <v>500</v>
      </c>
      <c r="E69" s="143">
        <v>4.82</v>
      </c>
      <c r="F69" s="142">
        <v>1800</v>
      </c>
      <c r="G69" s="292">
        <v>2.7919138888888857</v>
      </c>
      <c r="H69" s="143">
        <v>5025.4449999999943</v>
      </c>
      <c r="I69" s="143">
        <v>3650.5550000000057</v>
      </c>
      <c r="J69" s="293">
        <v>0.72641427774058032</v>
      </c>
      <c r="K69" s="143">
        <v>8676</v>
      </c>
      <c r="L69" s="143">
        <v>406.28999999999996</v>
      </c>
      <c r="M69" s="143">
        <v>5.3</v>
      </c>
      <c r="N69" s="143">
        <v>2.41</v>
      </c>
      <c r="O69" s="143"/>
      <c r="P69" s="32">
        <v>2.0280861111111146</v>
      </c>
      <c r="Q69" s="31">
        <v>2402.29</v>
      </c>
      <c r="R69" s="34"/>
      <c r="S69" s="34">
        <v>24474.555000000022</v>
      </c>
      <c r="T69" s="34">
        <v>5077.7085062240703</v>
      </c>
      <c r="U69" s="34">
        <v>6877.7085062240703</v>
      </c>
      <c r="V69" s="31">
        <v>29500.000000000015</v>
      </c>
      <c r="W69" s="32">
        <v>4.2892192905970949</v>
      </c>
      <c r="X69" s="32">
        <v>1.4973054017082092</v>
      </c>
      <c r="Y69" s="32">
        <v>0.53078070940290534</v>
      </c>
      <c r="Z69" s="38">
        <v>0.26171507535846672</v>
      </c>
      <c r="AA69" s="31">
        <v>3650.5550000000057</v>
      </c>
      <c r="AB69" s="79"/>
      <c r="AC69" s="40">
        <v>756.99786773859046</v>
      </c>
      <c r="AD69" s="40">
        <v>-1043.0021322614095</v>
      </c>
    </row>
    <row r="70" spans="1:30" x14ac:dyDescent="0.25">
      <c r="A70" s="290">
        <v>42341</v>
      </c>
      <c r="B70" s="135" t="s">
        <v>674</v>
      </c>
      <c r="C70" s="143" t="s">
        <v>69</v>
      </c>
      <c r="D70" s="142">
        <v>500</v>
      </c>
      <c r="E70" s="143">
        <v>4.87</v>
      </c>
      <c r="F70" s="142">
        <v>1300</v>
      </c>
      <c r="G70" s="292">
        <v>1.9985999999999957</v>
      </c>
      <c r="H70" s="143">
        <v>2598.1799999999944</v>
      </c>
      <c r="I70" s="143">
        <v>3732.8200000000056</v>
      </c>
      <c r="J70" s="293">
        <v>1.4367056939857954</v>
      </c>
      <c r="K70" s="143">
        <v>6331</v>
      </c>
      <c r="L70" s="143">
        <v>82.264999999999873</v>
      </c>
      <c r="M70" s="143">
        <v>5.3</v>
      </c>
      <c r="N70" s="143">
        <v>2.4350000000000001</v>
      </c>
      <c r="O70" s="143"/>
      <c r="P70" s="32">
        <v>2.8714000000000044</v>
      </c>
      <c r="Q70" s="31">
        <v>2427.2649999999999</v>
      </c>
      <c r="R70" s="34"/>
      <c r="S70" s="34">
        <v>26901.820000000022</v>
      </c>
      <c r="T70" s="34">
        <v>5523.9876796714625</v>
      </c>
      <c r="U70" s="34">
        <v>6823.9876796714625</v>
      </c>
      <c r="V70" s="31">
        <v>29500.000000000015</v>
      </c>
      <c r="W70" s="32">
        <v>4.3229855305688769</v>
      </c>
      <c r="X70" s="32">
        <v>2.3243855305688812</v>
      </c>
      <c r="Y70" s="32">
        <v>0.5470144694311232</v>
      </c>
      <c r="Z70" s="38">
        <v>0.19050444710981482</v>
      </c>
      <c r="AA70" s="31">
        <v>3732.8200000000056</v>
      </c>
      <c r="AB70" s="79"/>
      <c r="AC70" s="40">
        <v>766.10956673511407</v>
      </c>
      <c r="AD70" s="40">
        <v>-533.89043326488593</v>
      </c>
    </row>
    <row r="71" spans="1:30" x14ac:dyDescent="0.25">
      <c r="A71" s="290">
        <v>42342</v>
      </c>
      <c r="B71" s="135" t="s">
        <v>675</v>
      </c>
      <c r="C71" s="143" t="s">
        <v>63</v>
      </c>
      <c r="D71" s="142">
        <v>500</v>
      </c>
      <c r="E71" s="143">
        <v>4.71</v>
      </c>
      <c r="F71" s="142">
        <v>1800</v>
      </c>
      <c r="G71" s="292">
        <v>2.7547111111111082</v>
      </c>
      <c r="H71" s="143">
        <v>4958.479999999995</v>
      </c>
      <c r="I71" s="143">
        <v>3519.520000000005</v>
      </c>
      <c r="J71" s="293">
        <v>0.70979816395347139</v>
      </c>
      <c r="K71" s="143">
        <v>8478</v>
      </c>
      <c r="L71" s="143">
        <v>-213.30000000000064</v>
      </c>
      <c r="M71" s="143">
        <v>5.3</v>
      </c>
      <c r="N71" s="143">
        <v>0</v>
      </c>
      <c r="O71" s="143"/>
      <c r="P71" s="32">
        <v>1.9552888888888917</v>
      </c>
      <c r="Q71" s="31">
        <v>-2360.3000000000006</v>
      </c>
      <c r="R71" s="34"/>
      <c r="S71" s="34">
        <v>24541.520000000022</v>
      </c>
      <c r="T71" s="34">
        <v>5210.5138004246328</v>
      </c>
      <c r="U71" s="34">
        <v>7010.5138004246328</v>
      </c>
      <c r="V71" s="31">
        <v>29500.000000000018</v>
      </c>
      <c r="W71" s="32">
        <v>4.2079654701219154</v>
      </c>
      <c r="X71" s="32">
        <v>1.4532543590108071</v>
      </c>
      <c r="Y71" s="32">
        <v>0.50203452987808461</v>
      </c>
      <c r="Z71" s="38">
        <v>0.25675721512608285</v>
      </c>
      <c r="AA71" s="31">
        <v>3519.520000000005</v>
      </c>
      <c r="AB71" s="79"/>
      <c r="AC71" s="40">
        <v>746.8705392781327</v>
      </c>
      <c r="AD71" s="40">
        <v>-1053.1294607218674</v>
      </c>
    </row>
    <row r="72" spans="1:30" x14ac:dyDescent="0.25">
      <c r="A72" s="290">
        <v>42345</v>
      </c>
      <c r="B72" s="135" t="s">
        <v>676</v>
      </c>
      <c r="C72" s="143" t="s">
        <v>63</v>
      </c>
      <c r="D72" s="142">
        <v>500</v>
      </c>
      <c r="E72" s="143">
        <v>4.6399999999999997</v>
      </c>
      <c r="F72" s="142">
        <v>2300</v>
      </c>
      <c r="G72" s="292">
        <v>3.1668608695652152</v>
      </c>
      <c r="H72" s="143">
        <v>7283.7799999999952</v>
      </c>
      <c r="I72" s="143">
        <v>3388.2200000000048</v>
      </c>
      <c r="J72" s="293">
        <v>0.46517330287295977</v>
      </c>
      <c r="K72" s="143">
        <v>10672</v>
      </c>
      <c r="L72" s="143">
        <v>-131.30000000000018</v>
      </c>
      <c r="M72" s="143">
        <v>5.3</v>
      </c>
      <c r="N72" s="143">
        <v>0</v>
      </c>
      <c r="O72" s="143"/>
      <c r="P72" s="32">
        <v>1.4731391304347845</v>
      </c>
      <c r="Q72" s="31">
        <v>-2325.3000000000002</v>
      </c>
      <c r="R72" s="34"/>
      <c r="S72" s="34">
        <v>22216.220000000023</v>
      </c>
      <c r="T72" s="34">
        <v>4787.9784482758678</v>
      </c>
      <c r="U72" s="34">
        <v>7087.9784482758678</v>
      </c>
      <c r="V72" s="31">
        <v>29500.000000000018</v>
      </c>
      <c r="W72" s="32">
        <v>4.1619765374957955</v>
      </c>
      <c r="X72" s="32">
        <v>0.99511566793058037</v>
      </c>
      <c r="Y72" s="32">
        <v>0.47802346250420413</v>
      </c>
      <c r="Z72" s="38">
        <v>0.32449308597424825</v>
      </c>
      <c r="AA72" s="31">
        <v>3388.2200000000048</v>
      </c>
      <c r="AB72" s="79"/>
      <c r="AC72" s="40">
        <v>729.85471767241495</v>
      </c>
      <c r="AD72" s="40">
        <v>-1570.1452823275849</v>
      </c>
    </row>
    <row r="73" spans="1:30" x14ac:dyDescent="0.25">
      <c r="A73" s="290">
        <v>42349</v>
      </c>
      <c r="B73" s="135"/>
      <c r="C73" s="143" t="s">
        <v>63</v>
      </c>
      <c r="D73" s="142">
        <v>500</v>
      </c>
      <c r="E73" s="143">
        <v>4.57</v>
      </c>
      <c r="F73" s="142">
        <v>2800</v>
      </c>
      <c r="G73" s="292">
        <v>3.4193142857142838</v>
      </c>
      <c r="H73" s="143">
        <v>9574.0799999999945</v>
      </c>
      <c r="I73" s="143">
        <v>3221.9200000000055</v>
      </c>
      <c r="J73" s="293">
        <v>0.33652528493599471</v>
      </c>
      <c r="K73" s="143">
        <v>12796</v>
      </c>
      <c r="L73" s="143">
        <v>-166.29999999999927</v>
      </c>
      <c r="M73" s="143">
        <v>5.3</v>
      </c>
      <c r="N73" s="143">
        <v>0</v>
      </c>
      <c r="O73" s="143"/>
      <c r="P73" s="32">
        <v>1.1506857142857165</v>
      </c>
      <c r="Q73" s="31">
        <v>-2290.2999999999993</v>
      </c>
      <c r="R73" s="34"/>
      <c r="S73" s="34">
        <v>19925.920000000024</v>
      </c>
      <c r="T73" s="34">
        <v>4360.1575492341408</v>
      </c>
      <c r="U73" s="34">
        <v>7160.1575492341408</v>
      </c>
      <c r="V73" s="31">
        <v>29500.000000000018</v>
      </c>
      <c r="W73" s="32">
        <v>4.1200210745579717</v>
      </c>
      <c r="X73" s="32">
        <v>0.70070678884368798</v>
      </c>
      <c r="Y73" s="32">
        <v>0.44997892544202855</v>
      </c>
      <c r="Z73" s="38">
        <v>0.39105284775465471</v>
      </c>
      <c r="AA73" s="31">
        <v>3221.9200000000055</v>
      </c>
      <c r="AB73" s="79"/>
      <c r="AC73" s="40">
        <v>704.66280962801</v>
      </c>
      <c r="AD73" s="40">
        <v>-2095.3371903719899</v>
      </c>
    </row>
    <row r="74" spans="1:30" x14ac:dyDescent="0.25">
      <c r="A74" s="290">
        <v>42356</v>
      </c>
      <c r="B74" s="135" t="s">
        <v>677</v>
      </c>
      <c r="C74" s="143" t="s">
        <v>69</v>
      </c>
      <c r="D74" s="142">
        <v>500</v>
      </c>
      <c r="E74" s="143">
        <v>4.67</v>
      </c>
      <c r="F74" s="142">
        <v>2300</v>
      </c>
      <c r="G74" s="292">
        <v>3.1507456521739106</v>
      </c>
      <c r="H74" s="143">
        <v>7246.7149999999947</v>
      </c>
      <c r="I74" s="143">
        <v>3494.2850000000053</v>
      </c>
      <c r="J74" s="293">
        <v>0.48218882624748016</v>
      </c>
      <c r="K74" s="143">
        <v>10741</v>
      </c>
      <c r="L74" s="143">
        <v>272.36499999999978</v>
      </c>
      <c r="M74" s="143">
        <v>5.3</v>
      </c>
      <c r="N74" s="143">
        <v>2.335</v>
      </c>
      <c r="O74" s="143"/>
      <c r="P74" s="32">
        <v>1.5192543478260894</v>
      </c>
      <c r="Q74" s="31">
        <v>2327.3649999999998</v>
      </c>
      <c r="R74" s="34"/>
      <c r="S74" s="34">
        <v>22253.285000000025</v>
      </c>
      <c r="T74" s="34">
        <v>4765.1573875803051</v>
      </c>
      <c r="U74" s="34">
        <v>7065.1573875803051</v>
      </c>
      <c r="V74" s="31">
        <v>29500.000000000022</v>
      </c>
      <c r="W74" s="32">
        <v>4.1754200765374971</v>
      </c>
      <c r="X74" s="32">
        <v>1.0246744243635866</v>
      </c>
      <c r="Y74" s="32">
        <v>0.49457992346250279</v>
      </c>
      <c r="Z74" s="38">
        <v>0.3255412263063131</v>
      </c>
      <c r="AA74" s="31">
        <v>3494.2850000000053</v>
      </c>
      <c r="AB74" s="79"/>
      <c r="AC74" s="40">
        <v>747.86677890792407</v>
      </c>
      <c r="AD74" s="40">
        <v>-1552.1332210920759</v>
      </c>
    </row>
    <row r="75" spans="1:30" x14ac:dyDescent="0.25">
      <c r="A75" s="290">
        <v>42374</v>
      </c>
      <c r="B75" s="135"/>
      <c r="C75" s="143" t="s">
        <v>63</v>
      </c>
      <c r="D75" s="142">
        <v>1000</v>
      </c>
      <c r="E75" s="143">
        <v>4.4800000000000004</v>
      </c>
      <c r="F75" s="142">
        <v>3300</v>
      </c>
      <c r="G75" s="292">
        <v>3.5552469696969684</v>
      </c>
      <c r="H75" s="143">
        <v>11732.314999999995</v>
      </c>
      <c r="I75" s="143">
        <v>3051.6850000000068</v>
      </c>
      <c r="J75" s="293">
        <v>0.26010936460536621</v>
      </c>
      <c r="K75" s="143">
        <v>14784.000000000002</v>
      </c>
      <c r="L75" s="143">
        <v>-442.59999999999854</v>
      </c>
      <c r="M75" s="143">
        <v>5.6</v>
      </c>
      <c r="N75" s="143">
        <v>0</v>
      </c>
      <c r="O75" s="143"/>
      <c r="P75" s="32">
        <v>0.92475303030303202</v>
      </c>
      <c r="Q75" s="31">
        <v>-4485.6000000000004</v>
      </c>
      <c r="R75" s="34"/>
      <c r="S75" s="34">
        <v>17767.685000000027</v>
      </c>
      <c r="T75" s="34">
        <v>3966.0011160714344</v>
      </c>
      <c r="U75" s="34">
        <v>7266.0011160714348</v>
      </c>
      <c r="V75" s="31">
        <v>29500.000000000022</v>
      </c>
      <c r="W75" s="32">
        <v>4.0600048814677328</v>
      </c>
      <c r="X75" s="32">
        <v>0.50475791177076434</v>
      </c>
      <c r="Y75" s="32">
        <v>0.41999511853226767</v>
      </c>
      <c r="Z75" s="38">
        <v>0.45417003758791558</v>
      </c>
      <c r="AA75" s="31">
        <v>3051.6850000000068</v>
      </c>
      <c r="AB75" s="79"/>
      <c r="AC75" s="40">
        <v>680.83909765625151</v>
      </c>
      <c r="AD75" s="40">
        <v>-2619.1609023437486</v>
      </c>
    </row>
    <row r="76" spans="1:30" x14ac:dyDescent="0.25">
      <c r="A76" s="290">
        <v>42403</v>
      </c>
      <c r="B76" s="135"/>
      <c r="C76" s="143" t="s">
        <v>63</v>
      </c>
      <c r="D76" s="142">
        <v>500</v>
      </c>
      <c r="E76" s="143">
        <v>4</v>
      </c>
      <c r="F76" s="142">
        <v>3800</v>
      </c>
      <c r="G76" s="292">
        <v>3.6151618421052616</v>
      </c>
      <c r="H76" s="143">
        <v>13737.614999999994</v>
      </c>
      <c r="I76" s="143">
        <v>1462.3850000000057</v>
      </c>
      <c r="J76" s="293">
        <v>0.10645115618686407</v>
      </c>
      <c r="K76" s="143">
        <v>15200</v>
      </c>
      <c r="L76" s="143">
        <v>-1589.3000000000011</v>
      </c>
      <c r="M76" s="143">
        <v>5.3</v>
      </c>
      <c r="N76" s="143">
        <v>0</v>
      </c>
      <c r="O76" s="143"/>
      <c r="P76" s="32">
        <v>0.38483815789473841</v>
      </c>
      <c r="Q76" s="31">
        <v>-2005.2999999999993</v>
      </c>
      <c r="R76" s="34"/>
      <c r="S76" s="34">
        <v>15762.385000000028</v>
      </c>
      <c r="T76" s="34">
        <v>3940.5962500000069</v>
      </c>
      <c r="U76" s="34">
        <v>7740.5962500000069</v>
      </c>
      <c r="V76" s="31">
        <v>29500.000000000022</v>
      </c>
      <c r="W76" s="32">
        <v>3.8110759232533278</v>
      </c>
      <c r="X76" s="32">
        <v>0.19591408114806619</v>
      </c>
      <c r="Y76" s="32">
        <v>0.18892407674667222</v>
      </c>
      <c r="Z76" s="38">
        <v>0.49091825452076726</v>
      </c>
      <c r="AA76" s="31">
        <v>1462.3850000000057</v>
      </c>
      <c r="AB76" s="79"/>
      <c r="AC76" s="40">
        <v>365.41345187500144</v>
      </c>
      <c r="AD76" s="40">
        <v>-3434.5865481249984</v>
      </c>
    </row>
    <row r="77" spans="1:30" x14ac:dyDescent="0.25">
      <c r="A77" s="290">
        <v>42433</v>
      </c>
      <c r="B77" s="135" t="s">
        <v>678</v>
      </c>
      <c r="C77" s="143" t="s">
        <v>69</v>
      </c>
      <c r="D77" s="142">
        <v>500</v>
      </c>
      <c r="E77" s="143">
        <v>4.28</v>
      </c>
      <c r="F77" s="142">
        <v>3300</v>
      </c>
      <c r="G77" s="292">
        <v>3.5166833333333312</v>
      </c>
      <c r="H77" s="143">
        <v>11605.054999999993</v>
      </c>
      <c r="I77" s="143">
        <v>2518.945000000007</v>
      </c>
      <c r="J77" s="293">
        <v>0.21705584333723618</v>
      </c>
      <c r="K77" s="143">
        <v>14124</v>
      </c>
      <c r="L77" s="143">
        <v>1056.5600000000013</v>
      </c>
      <c r="M77" s="143">
        <v>5.3</v>
      </c>
      <c r="N77" s="143">
        <v>2.14</v>
      </c>
      <c r="O77" s="143"/>
      <c r="P77" s="32">
        <v>0.76331666666666909</v>
      </c>
      <c r="Q77" s="31">
        <v>2132.5600000000013</v>
      </c>
      <c r="R77" s="34"/>
      <c r="S77" s="34">
        <v>17894.945000000029</v>
      </c>
      <c r="T77" s="34">
        <v>4181.0619158878571</v>
      </c>
      <c r="U77" s="34">
        <v>7481.0619158878571</v>
      </c>
      <c r="V77" s="31">
        <v>29500.000000000022</v>
      </c>
      <c r="W77" s="32">
        <v>3.9432904488264677</v>
      </c>
      <c r="X77" s="32">
        <v>0.42660711549313657</v>
      </c>
      <c r="Y77" s="32">
        <v>0.33670955117353252</v>
      </c>
      <c r="Z77" s="38">
        <v>0.44111384681787569</v>
      </c>
      <c r="AA77" s="31">
        <v>2518.945000000007</v>
      </c>
      <c r="AB77" s="79"/>
      <c r="AC77" s="40">
        <v>588.24428212616988</v>
      </c>
      <c r="AD77" s="40">
        <v>-2711.7557178738302</v>
      </c>
    </row>
    <row r="78" spans="1:30" x14ac:dyDescent="0.25">
      <c r="A78" s="290">
        <v>42555</v>
      </c>
      <c r="B78" s="135" t="s">
        <v>679</v>
      </c>
      <c r="C78" s="143" t="s">
        <v>69</v>
      </c>
      <c r="D78" s="142">
        <v>500</v>
      </c>
      <c r="E78" s="143">
        <v>4.54</v>
      </c>
      <c r="F78" s="142">
        <v>2800</v>
      </c>
      <c r="G78" s="292">
        <v>3.3366517857142832</v>
      </c>
      <c r="H78" s="143">
        <v>9342.6249999999927</v>
      </c>
      <c r="I78" s="143">
        <v>3369.3750000000073</v>
      </c>
      <c r="J78" s="293">
        <v>0.36064542888107032</v>
      </c>
      <c r="K78" s="143">
        <v>12712</v>
      </c>
      <c r="L78" s="143">
        <v>850.43000000000029</v>
      </c>
      <c r="M78" s="143">
        <v>5.3</v>
      </c>
      <c r="N78" s="143">
        <v>2.27</v>
      </c>
      <c r="O78" s="143">
        <v>-660.24</v>
      </c>
      <c r="P78" s="32">
        <v>1.2033482142857168</v>
      </c>
      <c r="Q78" s="31">
        <v>2262.4300000000003</v>
      </c>
      <c r="R78" s="34"/>
      <c r="S78" s="34">
        <v>19497.135000000028</v>
      </c>
      <c r="T78" s="34">
        <v>4294.5231277533103</v>
      </c>
      <c r="U78" s="34">
        <v>7094.5231277533103</v>
      </c>
      <c r="V78" s="31">
        <v>28839.76000000002</v>
      </c>
      <c r="W78" s="32">
        <v>4.0650737872966776</v>
      </c>
      <c r="X78" s="32">
        <v>0.72842200158239434</v>
      </c>
      <c r="Y78" s="32">
        <v>0.47492621270332247</v>
      </c>
      <c r="Z78" s="38">
        <v>0.39467064235037636</v>
      </c>
      <c r="AA78" s="31">
        <v>3369.3750000000073</v>
      </c>
      <c r="AB78" s="79"/>
      <c r="AC78" s="40">
        <v>741.78200715859202</v>
      </c>
      <c r="AD78" s="40">
        <v>-2058.217992841408</v>
      </c>
    </row>
    <row r="79" spans="1:30" x14ac:dyDescent="0.25">
      <c r="A79" s="290">
        <v>42571</v>
      </c>
      <c r="B79" s="135"/>
      <c r="C79" s="143" t="s">
        <v>63</v>
      </c>
      <c r="D79" s="142">
        <v>500</v>
      </c>
      <c r="E79" s="143">
        <v>4.28</v>
      </c>
      <c r="F79" s="142">
        <v>3300</v>
      </c>
      <c r="G79" s="292">
        <v>3.2826318181818159</v>
      </c>
      <c r="H79" s="143">
        <v>10832.684999999992</v>
      </c>
      <c r="I79" s="143">
        <v>3291.3150000000078</v>
      </c>
      <c r="J79" s="293">
        <v>0.30383187547685642</v>
      </c>
      <c r="K79" s="143">
        <v>14124</v>
      </c>
      <c r="L79" s="143">
        <v>-201.29999999999745</v>
      </c>
      <c r="M79" s="143">
        <v>5.3</v>
      </c>
      <c r="N79" s="143">
        <v>0</v>
      </c>
      <c r="O79" s="143">
        <v>5</v>
      </c>
      <c r="P79" s="32">
        <v>0.99736818181818432</v>
      </c>
      <c r="Q79" s="31">
        <v>-2145.2999999999993</v>
      </c>
      <c r="R79" s="34"/>
      <c r="S79" s="34">
        <v>18012.07500000003</v>
      </c>
      <c r="T79" s="34">
        <v>4208.4287383177634</v>
      </c>
      <c r="U79" s="34">
        <v>7508.4287383177634</v>
      </c>
      <c r="V79" s="31">
        <v>28844.760000000024</v>
      </c>
      <c r="W79" s="32">
        <v>3.8416506309497969</v>
      </c>
      <c r="X79" s="32">
        <v>0.55901881276798093</v>
      </c>
      <c r="Y79" s="32">
        <v>0.43834936905020339</v>
      </c>
      <c r="Z79" s="38">
        <v>0.43950606911391599</v>
      </c>
      <c r="AA79" s="31">
        <v>3291.3150000000078</v>
      </c>
      <c r="AB79" s="79"/>
      <c r="AC79" s="40">
        <v>768.61433235981485</v>
      </c>
      <c r="AD79" s="40">
        <v>-2531.3856676401851</v>
      </c>
    </row>
    <row r="80" spans="1:30" x14ac:dyDescent="0.25">
      <c r="A80" s="290">
        <v>42593</v>
      </c>
      <c r="B80" s="135" t="s">
        <v>680</v>
      </c>
      <c r="C80" s="143" t="s">
        <v>69</v>
      </c>
      <c r="D80" s="142">
        <v>500</v>
      </c>
      <c r="E80" s="143">
        <v>4.4400000000000004</v>
      </c>
      <c r="F80" s="142">
        <v>2800</v>
      </c>
      <c r="G80" s="292">
        <v>3.0804303571428537</v>
      </c>
      <c r="H80" s="143">
        <v>8625.2049999999908</v>
      </c>
      <c r="I80" s="143">
        <v>3806.795000000011</v>
      </c>
      <c r="J80" s="293">
        <v>0.44135704600644449</v>
      </c>
      <c r="K80" s="143">
        <v>12432.000000000002</v>
      </c>
      <c r="L80" s="143">
        <v>515.4800000000032</v>
      </c>
      <c r="M80" s="143">
        <v>5.3</v>
      </c>
      <c r="N80" s="143">
        <v>2.2200000000000002</v>
      </c>
      <c r="O80" s="143"/>
      <c r="P80" s="32">
        <v>1.3595696428571467</v>
      </c>
      <c r="Q80" s="31">
        <v>2207.4800000000014</v>
      </c>
      <c r="R80" s="34"/>
      <c r="S80" s="34">
        <v>20219.555000000029</v>
      </c>
      <c r="T80" s="34">
        <v>4553.953828828835</v>
      </c>
      <c r="U80" s="34">
        <v>7353.953828828835</v>
      </c>
      <c r="V80" s="31">
        <v>28844.76000000002</v>
      </c>
      <c r="W80" s="32">
        <v>3.9223471715206206</v>
      </c>
      <c r="X80" s="32">
        <v>0.84191681437776689</v>
      </c>
      <c r="Y80" s="32">
        <v>0.51765282847937977</v>
      </c>
      <c r="Z80" s="38">
        <v>0.38074756317118708</v>
      </c>
      <c r="AA80" s="31">
        <v>3806.795000000011</v>
      </c>
      <c r="AB80" s="79"/>
      <c r="AC80" s="40">
        <v>856.95756813063315</v>
      </c>
      <c r="AD80" s="40">
        <v>-1943.0424318693667</v>
      </c>
    </row>
    <row r="81" spans="1:30" x14ac:dyDescent="0.25">
      <c r="A81" s="290">
        <v>42702</v>
      </c>
      <c r="B81" s="135" t="s">
        <v>681</v>
      </c>
      <c r="C81" s="143" t="s">
        <v>69</v>
      </c>
      <c r="D81" s="142">
        <v>500</v>
      </c>
      <c r="E81" s="143">
        <v>4.55</v>
      </c>
      <c r="F81" s="142">
        <v>2300</v>
      </c>
      <c r="G81" s="292">
        <v>2.7642521739130395</v>
      </c>
      <c r="H81" s="143">
        <v>6357.7799999999907</v>
      </c>
      <c r="I81" s="143">
        <v>4107.2200000000093</v>
      </c>
      <c r="J81" s="293">
        <v>0.64601480390954313</v>
      </c>
      <c r="K81" s="143">
        <v>10465</v>
      </c>
      <c r="L81" s="143">
        <v>300.42499999999836</v>
      </c>
      <c r="M81" s="143">
        <v>5.3</v>
      </c>
      <c r="N81" s="143">
        <v>2.2749999999999999</v>
      </c>
      <c r="O81" s="143"/>
      <c r="P81" s="32">
        <v>1.7857478260869604</v>
      </c>
      <c r="Q81" s="31">
        <v>2267.4250000000002</v>
      </c>
      <c r="R81" s="34"/>
      <c r="S81" s="34">
        <v>22486.980000000029</v>
      </c>
      <c r="T81" s="34">
        <v>4942.1934065934129</v>
      </c>
      <c r="U81" s="34">
        <v>7242.1934065934129</v>
      </c>
      <c r="V81" s="31">
        <v>28844.76000000002</v>
      </c>
      <c r="W81" s="32">
        <v>3.9828762338408792</v>
      </c>
      <c r="X81" s="32">
        <v>1.2186240599278397</v>
      </c>
      <c r="Y81" s="32">
        <v>0.56712376615912063</v>
      </c>
      <c r="Z81" s="38">
        <v>0.3175833440054282</v>
      </c>
      <c r="AA81" s="31">
        <v>4107.2200000000093</v>
      </c>
      <c r="AB81" s="79"/>
      <c r="AC81" s="40">
        <v>902.23437142857358</v>
      </c>
      <c r="AD81" s="40">
        <v>-1397.7656285714265</v>
      </c>
    </row>
    <row r="82" spans="1:30" x14ac:dyDescent="0.25">
      <c r="A82" s="290">
        <v>42716</v>
      </c>
      <c r="B82" s="135"/>
      <c r="C82" s="143" t="s">
        <v>69</v>
      </c>
      <c r="D82" s="142">
        <v>800</v>
      </c>
      <c r="E82" s="143">
        <v>4.6100000000000003</v>
      </c>
      <c r="F82" s="142">
        <v>1500</v>
      </c>
      <c r="G82" s="292">
        <v>1.785965333333327</v>
      </c>
      <c r="H82" s="143">
        <v>2678.9479999999903</v>
      </c>
      <c r="I82" s="143">
        <v>4236.0520000000106</v>
      </c>
      <c r="J82" s="293">
        <v>1.5812371124784896</v>
      </c>
      <c r="K82" s="143">
        <v>6915.0000000000009</v>
      </c>
      <c r="L82" s="143">
        <v>128.83200000000124</v>
      </c>
      <c r="M82" s="143">
        <v>5.48</v>
      </c>
      <c r="N82" s="143">
        <v>3.6880000000000006</v>
      </c>
      <c r="O82" s="143"/>
      <c r="P82" s="32">
        <v>2.8240346666666731</v>
      </c>
      <c r="Q82" s="31">
        <v>3678.8320000000003</v>
      </c>
      <c r="R82" s="34"/>
      <c r="S82" s="34">
        <v>26165.812000000027</v>
      </c>
      <c r="T82" s="34">
        <v>5675.8811279826523</v>
      </c>
      <c r="U82" s="34">
        <v>7175.8811279826523</v>
      </c>
      <c r="V82" s="31">
        <v>28844.760000000017</v>
      </c>
      <c r="W82" s="32">
        <v>4.0196819715308063</v>
      </c>
      <c r="X82" s="32">
        <v>2.2337166381974791</v>
      </c>
      <c r="Y82" s="32">
        <v>0.59031802846919401</v>
      </c>
      <c r="Z82" s="38">
        <v>0.20903356302136702</v>
      </c>
      <c r="AA82" s="31">
        <v>4236.0520000000106</v>
      </c>
      <c r="AB82" s="79"/>
      <c r="AC82" s="40">
        <v>918.42385553145562</v>
      </c>
      <c r="AD82" s="40">
        <v>-581.57614446854438</v>
      </c>
    </row>
    <row r="83" spans="1:30" x14ac:dyDescent="0.25">
      <c r="A83" s="290">
        <v>42719</v>
      </c>
      <c r="B83" s="135" t="s">
        <v>682</v>
      </c>
      <c r="C83" s="143" t="s">
        <v>63</v>
      </c>
      <c r="D83" s="142">
        <v>800</v>
      </c>
      <c r="E83" s="143">
        <v>4.47</v>
      </c>
      <c r="F83" s="142">
        <v>2300</v>
      </c>
      <c r="G83" s="292">
        <v>2.7219252173912998</v>
      </c>
      <c r="H83" s="143">
        <v>6260.4279999999899</v>
      </c>
      <c r="I83" s="143">
        <v>4020.5720000000101</v>
      </c>
      <c r="J83" s="293">
        <v>0.64221998879310116</v>
      </c>
      <c r="K83" s="143">
        <v>10281</v>
      </c>
      <c r="L83" s="143">
        <v>-215.48000000000047</v>
      </c>
      <c r="M83" s="143">
        <v>5.48</v>
      </c>
      <c r="N83" s="143">
        <v>0</v>
      </c>
      <c r="O83" s="143">
        <v>-8</v>
      </c>
      <c r="P83" s="32">
        <v>1.7480747826087</v>
      </c>
      <c r="Q83" s="31">
        <v>-3581.4799999999996</v>
      </c>
      <c r="R83" s="34"/>
      <c r="S83" s="34">
        <v>22576.332000000028</v>
      </c>
      <c r="T83" s="34">
        <v>5050.6335570469864</v>
      </c>
      <c r="U83" s="34">
        <v>7350.6335570469864</v>
      </c>
      <c r="V83" s="31">
        <v>28836.760000000017</v>
      </c>
      <c r="W83" s="32">
        <v>3.9230305491632724</v>
      </c>
      <c r="X83" s="32">
        <v>1.2011053317719727</v>
      </c>
      <c r="Y83" s="32">
        <v>0.54696945083672732</v>
      </c>
      <c r="Z83" s="38">
        <v>0.3128981987947162</v>
      </c>
      <c r="AA83" s="31">
        <v>4020.5720000000101</v>
      </c>
      <c r="AB83" s="79"/>
      <c r="AC83" s="40">
        <v>899.00709485458856</v>
      </c>
      <c r="AD83" s="40">
        <v>-1400.9929051454114</v>
      </c>
    </row>
    <row r="84" spans="1:30" x14ac:dyDescent="0.25">
      <c r="A84" s="290">
        <v>42779</v>
      </c>
      <c r="B84" s="294"/>
      <c r="C84" s="143" t="s">
        <v>69</v>
      </c>
      <c r="D84" s="142">
        <v>500</v>
      </c>
      <c r="E84" s="143">
        <v>4.5999999999999996</v>
      </c>
      <c r="F84" s="142">
        <v>1800</v>
      </c>
      <c r="G84" s="292">
        <v>2.2000155555555501</v>
      </c>
      <c r="H84" s="143">
        <v>3960.0279999999902</v>
      </c>
      <c r="I84" s="143">
        <v>4319.9720000000098</v>
      </c>
      <c r="J84" s="293">
        <v>1.0908943068079366</v>
      </c>
      <c r="K84" s="143">
        <v>8280</v>
      </c>
      <c r="L84" s="143">
        <v>299.39999999999964</v>
      </c>
      <c r="M84" s="143">
        <v>5.3</v>
      </c>
      <c r="N84" s="143">
        <v>2.2999999999999998</v>
      </c>
      <c r="O84" s="143"/>
      <c r="P84" s="32">
        <v>2.3999844444444496</v>
      </c>
      <c r="Q84" s="31">
        <v>2300.3999999999996</v>
      </c>
      <c r="R84" s="34"/>
      <c r="S84" s="34">
        <v>24876.732000000025</v>
      </c>
      <c r="T84" s="34">
        <v>5407.9852173913105</v>
      </c>
      <c r="U84" s="34">
        <v>7207.9852173913105</v>
      </c>
      <c r="V84" s="31">
        <v>28836.760000000017</v>
      </c>
      <c r="W84" s="32">
        <v>4.0006685821751056</v>
      </c>
      <c r="X84" s="32">
        <v>1.8006530266195555</v>
      </c>
      <c r="Y84" s="32">
        <v>0.59933141782489407</v>
      </c>
      <c r="Z84" s="38">
        <v>0.24972304266898177</v>
      </c>
      <c r="AA84" s="31">
        <v>4319.9720000000098</v>
      </c>
      <c r="AB84" s="79"/>
      <c r="AC84" s="40">
        <v>938.6547856521762</v>
      </c>
      <c r="AD84" s="40">
        <v>-861.3452143478238</v>
      </c>
    </row>
    <row r="85" spans="1:30" x14ac:dyDescent="0.25">
      <c r="A85" s="290">
        <v>42781</v>
      </c>
      <c r="B85" s="135"/>
      <c r="C85" s="143" t="s">
        <v>69</v>
      </c>
      <c r="D85" s="142">
        <v>500</v>
      </c>
      <c r="E85" s="143">
        <v>4.6500000000000004</v>
      </c>
      <c r="F85" s="142">
        <v>1300</v>
      </c>
      <c r="G85" s="292">
        <v>1.2635792307692233</v>
      </c>
      <c r="H85" s="143">
        <v>1642.6529999999902</v>
      </c>
      <c r="I85" s="143">
        <v>4402.3470000000107</v>
      </c>
      <c r="J85" s="293">
        <v>2.6800225001872193</v>
      </c>
      <c r="K85" s="143">
        <v>6045.0000000000009</v>
      </c>
      <c r="L85" s="143">
        <v>82.375000000000909</v>
      </c>
      <c r="M85" s="143">
        <v>5.3</v>
      </c>
      <c r="N85" s="143">
        <v>2.3250000000000002</v>
      </c>
      <c r="O85" s="143"/>
      <c r="P85" s="32">
        <v>3.3864207692307771</v>
      </c>
      <c r="Q85" s="31">
        <v>2317.375</v>
      </c>
      <c r="R85" s="34"/>
      <c r="S85" s="34">
        <v>27194.107000000025</v>
      </c>
      <c r="T85" s="34">
        <v>5848.1950537634457</v>
      </c>
      <c r="U85" s="34">
        <v>7148.1950537634457</v>
      </c>
      <c r="V85" s="31">
        <v>28836.760000000017</v>
      </c>
      <c r="W85" s="32">
        <v>4.0341316630437749</v>
      </c>
      <c r="X85" s="32">
        <v>2.7705524322745516</v>
      </c>
      <c r="Y85" s="32">
        <v>0.61586833695622545</v>
      </c>
      <c r="Z85" s="38">
        <v>0.18186409159548106</v>
      </c>
      <c r="AA85" s="31">
        <v>4402.3470000000107</v>
      </c>
      <c r="AB85" s="79"/>
      <c r="AC85" s="40">
        <v>946.26791967742156</v>
      </c>
      <c r="AD85" s="40">
        <v>-353.73208032257844</v>
      </c>
    </row>
    <row r="86" spans="1:30" x14ac:dyDescent="0.25">
      <c r="A86" s="290">
        <v>42786</v>
      </c>
      <c r="B86" s="135"/>
      <c r="C86" s="143" t="s">
        <v>69</v>
      </c>
      <c r="D86" s="142">
        <v>500</v>
      </c>
      <c r="E86" s="143">
        <v>4.68</v>
      </c>
      <c r="F86" s="142">
        <v>800</v>
      </c>
      <c r="G86" s="292">
        <v>-0.86213375000001224</v>
      </c>
      <c r="H86" s="143">
        <v>-689.70700000000977</v>
      </c>
      <c r="I86" s="143">
        <v>4433.7070000000094</v>
      </c>
      <c r="J86" s="293">
        <v>-6.4283920563368886</v>
      </c>
      <c r="K86" s="143">
        <v>3744</v>
      </c>
      <c r="L86" s="143">
        <v>31.359999999998763</v>
      </c>
      <c r="M86" s="143">
        <v>5.3</v>
      </c>
      <c r="N86" s="143">
        <v>2.34</v>
      </c>
      <c r="O86" s="143"/>
      <c r="P86" s="32">
        <v>5.5421337500000121</v>
      </c>
      <c r="Q86" s="31">
        <v>2332.36</v>
      </c>
      <c r="R86" s="34"/>
      <c r="S86" s="34">
        <v>29526.467000000026</v>
      </c>
      <c r="T86" s="34">
        <v>6309.0741452991515</v>
      </c>
      <c r="U86" s="34">
        <v>7109.0741452991515</v>
      </c>
      <c r="V86" s="31">
        <v>28836.760000000017</v>
      </c>
      <c r="W86" s="32">
        <v>4.0563313042765516</v>
      </c>
      <c r="X86" s="32">
        <v>4.918465054276564</v>
      </c>
      <c r="Y86" s="32">
        <v>0.62366869572344807</v>
      </c>
      <c r="Z86" s="38">
        <v>0.11253223466926379</v>
      </c>
      <c r="AA86" s="31">
        <v>4433.7070000000094</v>
      </c>
      <c r="AB86" s="278"/>
      <c r="AC86" s="40">
        <v>946.89960395299363</v>
      </c>
      <c r="AD86" s="40">
        <v>146.89960395299363</v>
      </c>
    </row>
    <row r="87" spans="1:30" x14ac:dyDescent="0.25">
      <c r="A87" s="290">
        <v>42787</v>
      </c>
      <c r="B87" s="135"/>
      <c r="C87" s="143" t="s">
        <v>69</v>
      </c>
      <c r="D87" s="142">
        <v>500</v>
      </c>
      <c r="E87" s="143">
        <v>4.71</v>
      </c>
      <c r="F87" s="142">
        <v>300</v>
      </c>
      <c r="G87" s="292">
        <v>-10.1235066666667</v>
      </c>
      <c r="H87" s="143">
        <v>-3037.0520000000097</v>
      </c>
      <c r="I87" s="143">
        <v>4450.0520000000097</v>
      </c>
      <c r="J87" s="293">
        <v>-1.4652538053349089</v>
      </c>
      <c r="K87" s="143">
        <v>1413</v>
      </c>
      <c r="L87" s="143">
        <v>16.345000000000255</v>
      </c>
      <c r="M87" s="143">
        <v>5.3</v>
      </c>
      <c r="N87" s="143">
        <v>2.355</v>
      </c>
      <c r="O87" s="143"/>
      <c r="P87" s="32">
        <v>14.8335066666667</v>
      </c>
      <c r="Q87" s="31">
        <v>2347.3449999999998</v>
      </c>
      <c r="R87" s="34"/>
      <c r="S87" s="34">
        <v>31873.812000000027</v>
      </c>
      <c r="T87" s="34">
        <v>6767.2636942675217</v>
      </c>
      <c r="U87" s="34">
        <v>7067.2636942675217</v>
      </c>
      <c r="V87" s="31">
        <v>28836.760000000017</v>
      </c>
      <c r="W87" s="32">
        <v>4.0803288581676123</v>
      </c>
      <c r="X87" s="32">
        <v>14.203835524834311</v>
      </c>
      <c r="Y87" s="32">
        <v>0.62967114183238948</v>
      </c>
      <c r="Z87" s="38">
        <v>4.244924386270451E-2</v>
      </c>
      <c r="AA87" s="31">
        <v>4450.0520000000097</v>
      </c>
      <c r="AB87" s="31"/>
      <c r="AC87" s="40">
        <v>944.33693715499157</v>
      </c>
      <c r="AD87" s="40">
        <v>644.33693715499157</v>
      </c>
    </row>
    <row r="88" spans="1:30" x14ac:dyDescent="0.25">
      <c r="A88" s="290">
        <v>42800</v>
      </c>
      <c r="B88" s="63" t="s">
        <v>683</v>
      </c>
      <c r="C88" s="143" t="s">
        <v>63</v>
      </c>
      <c r="D88" s="142">
        <v>1000</v>
      </c>
      <c r="E88" s="143">
        <v>4.6500000000000004</v>
      </c>
      <c r="F88" s="142">
        <v>1300</v>
      </c>
      <c r="G88" s="292">
        <v>1.2450369230769156</v>
      </c>
      <c r="H88" s="143">
        <v>1618.5479999999902</v>
      </c>
      <c r="I88" s="143">
        <v>4426.4520000000102</v>
      </c>
      <c r="J88" s="293">
        <v>2.7348289948769122</v>
      </c>
      <c r="K88" s="143">
        <v>6045.0000000000009</v>
      </c>
      <c r="L88" s="143">
        <v>-23.599999999999454</v>
      </c>
      <c r="M88" s="143">
        <v>5.6</v>
      </c>
      <c r="N88" s="143">
        <v>0</v>
      </c>
      <c r="O88" s="143"/>
      <c r="P88" s="32">
        <v>3.4049630769230848</v>
      </c>
      <c r="Q88" s="31">
        <v>-4655.6000000000004</v>
      </c>
      <c r="R88" s="34"/>
      <c r="S88" s="34">
        <v>27218.212000000029</v>
      </c>
      <c r="T88" s="34">
        <v>5853.3789247311888</v>
      </c>
      <c r="U88" s="34">
        <v>7153.3789247311888</v>
      </c>
      <c r="V88" s="31">
        <v>28836.76000000002</v>
      </c>
      <c r="W88" s="32">
        <v>4.0312082308828137</v>
      </c>
      <c r="X88" s="32">
        <v>2.7861713078058981</v>
      </c>
      <c r="Y88" s="32">
        <v>0.6187917691171867</v>
      </c>
      <c r="Z88" s="38">
        <v>0.18173229933417118</v>
      </c>
      <c r="AA88" s="31">
        <v>4426.4520000000102</v>
      </c>
      <c r="AB88" s="31"/>
      <c r="AC88" s="40">
        <v>951.44919870967954</v>
      </c>
      <c r="AD88" s="40">
        <v>-348.55080129032046</v>
      </c>
    </row>
    <row r="89" spans="1:30" x14ac:dyDescent="0.25">
      <c r="A89" s="290">
        <v>42801</v>
      </c>
      <c r="B89" s="63" t="s">
        <v>684</v>
      </c>
      <c r="C89" s="143" t="s">
        <v>63</v>
      </c>
      <c r="D89" s="142">
        <v>1000</v>
      </c>
      <c r="E89" s="143">
        <v>4.63</v>
      </c>
      <c r="F89" s="142">
        <v>2300</v>
      </c>
      <c r="G89" s="292">
        <v>2.7191947826086915</v>
      </c>
      <c r="H89" s="143">
        <v>6254.1479999999901</v>
      </c>
      <c r="I89" s="143">
        <v>4394.8520000000099</v>
      </c>
      <c r="J89" s="293">
        <v>0.70270994546339738</v>
      </c>
      <c r="K89" s="143">
        <v>10649</v>
      </c>
      <c r="L89" s="143">
        <v>-31.600000000000364</v>
      </c>
      <c r="M89" s="143">
        <v>5.6</v>
      </c>
      <c r="N89" s="143">
        <v>0</v>
      </c>
      <c r="O89" s="143"/>
      <c r="P89" s="32">
        <v>1.9108052173913084</v>
      </c>
      <c r="Q89" s="31">
        <v>-4635.6000000000004</v>
      </c>
      <c r="R89" s="34"/>
      <c r="S89" s="34">
        <v>22582.61200000003</v>
      </c>
      <c r="T89" s="34">
        <v>4877.4539956803519</v>
      </c>
      <c r="U89" s="34">
        <v>7177.4539956803519</v>
      </c>
      <c r="V89" s="31">
        <v>28836.76000000002</v>
      </c>
      <c r="W89" s="32">
        <v>4.0176864968211587</v>
      </c>
      <c r="X89" s="32">
        <v>1.2984917142124672</v>
      </c>
      <c r="Y89" s="32">
        <v>0.61231350317884115</v>
      </c>
      <c r="Z89" s="38">
        <v>0.32044789160393394</v>
      </c>
      <c r="AA89" s="31">
        <v>4394.8520000000099</v>
      </c>
      <c r="AB89" s="31"/>
      <c r="AC89" s="40">
        <v>948.73748898488338</v>
      </c>
      <c r="AD89" s="40">
        <v>-1351.2625110151166</v>
      </c>
    </row>
    <row r="90" spans="1:30" x14ac:dyDescent="0.25">
      <c r="A90" s="290">
        <v>42803</v>
      </c>
      <c r="B90" s="24"/>
      <c r="C90" s="143" t="s">
        <v>69</v>
      </c>
      <c r="D90" s="142">
        <v>500</v>
      </c>
      <c r="E90" s="143">
        <v>4.7</v>
      </c>
      <c r="F90" s="142">
        <v>1800</v>
      </c>
      <c r="G90" s="292">
        <v>2.1732211111111055</v>
      </c>
      <c r="H90" s="143">
        <v>3911.7979999999902</v>
      </c>
      <c r="I90" s="143">
        <v>4548.2020000000102</v>
      </c>
      <c r="J90" s="293">
        <v>1.1626883596750195</v>
      </c>
      <c r="K90" s="143">
        <v>8460</v>
      </c>
      <c r="L90" s="143">
        <v>153.35000000000036</v>
      </c>
      <c r="M90" s="143">
        <v>5.3</v>
      </c>
      <c r="N90" s="143">
        <v>2.35</v>
      </c>
      <c r="O90" s="143"/>
      <c r="P90" s="32">
        <v>2.5267788888888947</v>
      </c>
      <c r="Q90" s="31">
        <v>2342.35</v>
      </c>
      <c r="R90" s="34"/>
      <c r="S90" s="34">
        <v>24924.962000000029</v>
      </c>
      <c r="T90" s="34">
        <v>5303.1834042553246</v>
      </c>
      <c r="U90" s="34">
        <v>7103.1834042553246</v>
      </c>
      <c r="V90" s="31">
        <v>28836.76000000002</v>
      </c>
      <c r="W90" s="32">
        <v>4.0596952603989784</v>
      </c>
      <c r="X90" s="32">
        <v>1.8864741492878729</v>
      </c>
      <c r="Y90" s="32">
        <v>0.64030473960102174</v>
      </c>
      <c r="Z90" s="38">
        <v>0.25340750724832317</v>
      </c>
      <c r="AA90" s="31">
        <v>4548.2020000000102</v>
      </c>
      <c r="AB90" s="31"/>
      <c r="AC90" s="40">
        <v>967.21870191489575</v>
      </c>
      <c r="AD90" s="40">
        <v>-832.78129808510425</v>
      </c>
    </row>
    <row r="91" spans="1:30" x14ac:dyDescent="0.25">
      <c r="A91" s="290">
        <v>42808</v>
      </c>
      <c r="B91" s="63"/>
      <c r="C91" s="143" t="s">
        <v>69</v>
      </c>
      <c r="D91" s="142">
        <v>400</v>
      </c>
      <c r="E91" s="143">
        <v>4.74</v>
      </c>
      <c r="F91" s="142">
        <v>1400</v>
      </c>
      <c r="G91" s="292">
        <v>1.44495285714285</v>
      </c>
      <c r="H91" s="143">
        <v>2022.9339999999902</v>
      </c>
      <c r="I91" s="143">
        <v>4613.0660000000098</v>
      </c>
      <c r="J91" s="293">
        <v>2.2803838385236657</v>
      </c>
      <c r="K91" s="143">
        <v>6636</v>
      </c>
      <c r="L91" s="143">
        <v>64.863999999999578</v>
      </c>
      <c r="M91" s="143">
        <v>5.24</v>
      </c>
      <c r="N91" s="143">
        <v>1.8959999999999999</v>
      </c>
      <c r="O91" s="143"/>
      <c r="P91" s="32">
        <v>3.2950471428571504</v>
      </c>
      <c r="Q91" s="31">
        <v>1888.864</v>
      </c>
      <c r="R91" s="34"/>
      <c r="S91" s="34">
        <v>26813.82600000003</v>
      </c>
      <c r="T91" s="34">
        <v>5656.9253164557022</v>
      </c>
      <c r="U91" s="34">
        <v>7056.9253164557022</v>
      </c>
      <c r="V91" s="31">
        <v>28836.76000000002</v>
      </c>
      <c r="W91" s="32">
        <v>4.0863065296662526</v>
      </c>
      <c r="X91" s="32">
        <v>2.6413536725234028</v>
      </c>
      <c r="Y91" s="32">
        <v>0.65369347033374758</v>
      </c>
      <c r="Z91" s="38">
        <v>0.19838668219081301</v>
      </c>
      <c r="AA91" s="31">
        <v>4613.0660000000098</v>
      </c>
      <c r="AB91" s="31"/>
      <c r="AC91" s="40">
        <v>972.73406476793457</v>
      </c>
      <c r="AD91" s="40">
        <v>-427.26593523206543</v>
      </c>
    </row>
    <row r="92" spans="1:30" x14ac:dyDescent="0.25">
      <c r="A92" s="290">
        <v>42816</v>
      </c>
      <c r="B92" s="63" t="s">
        <v>685</v>
      </c>
      <c r="C92" s="143" t="s">
        <v>63</v>
      </c>
      <c r="D92" s="142">
        <v>500</v>
      </c>
      <c r="E92" s="143">
        <v>4.66</v>
      </c>
      <c r="F92" s="142">
        <v>1900</v>
      </c>
      <c r="G92" s="292">
        <v>2.2938073684210476</v>
      </c>
      <c r="H92" s="143">
        <v>4358.2339999999904</v>
      </c>
      <c r="I92" s="143">
        <v>4495.7660000000096</v>
      </c>
      <c r="J92" s="293">
        <v>1.0315568186563686</v>
      </c>
      <c r="K92" s="143">
        <v>8854</v>
      </c>
      <c r="L92" s="143">
        <v>-117.30000000000018</v>
      </c>
      <c r="M92" s="143">
        <v>5.3</v>
      </c>
      <c r="N92" s="143">
        <v>0</v>
      </c>
      <c r="O92" s="143"/>
      <c r="P92" s="32">
        <v>2.3661926315789525</v>
      </c>
      <c r="Q92" s="31">
        <v>-2335.3000000000002</v>
      </c>
      <c r="R92" s="34"/>
      <c r="S92" s="34">
        <v>24478.526000000031</v>
      </c>
      <c r="T92" s="34">
        <v>5252.9025751073023</v>
      </c>
      <c r="U92" s="34">
        <v>7152.9025751073023</v>
      </c>
      <c r="V92" s="31">
        <v>28836.76000000002</v>
      </c>
      <c r="W92" s="32">
        <v>4.03147669036544</v>
      </c>
      <c r="X92" s="32">
        <v>1.7376693219443924</v>
      </c>
      <c r="Y92" s="32">
        <v>0.62852330963456016</v>
      </c>
      <c r="Z92" s="38">
        <v>0.26562643347221848</v>
      </c>
      <c r="AA92" s="31">
        <v>4495.7660000000096</v>
      </c>
      <c r="AB92" s="31"/>
      <c r="AC92" s="40">
        <v>964.27427403433683</v>
      </c>
      <c r="AD92" s="40">
        <v>-935.72572596566317</v>
      </c>
    </row>
    <row r="93" spans="1:30" x14ac:dyDescent="0.25">
      <c r="A93" s="290">
        <v>42822</v>
      </c>
      <c r="B93" s="63"/>
      <c r="C93" s="143" t="s">
        <v>69</v>
      </c>
      <c r="D93" s="142">
        <v>500</v>
      </c>
      <c r="E93" s="143">
        <v>4.76</v>
      </c>
      <c r="F93" s="142">
        <v>1400</v>
      </c>
      <c r="G93" s="292">
        <v>1.4185099999999933</v>
      </c>
      <c r="H93" s="143">
        <v>1985.9139999999904</v>
      </c>
      <c r="I93" s="143">
        <v>4678.0860000000093</v>
      </c>
      <c r="J93" s="293">
        <v>2.355633728348776</v>
      </c>
      <c r="K93" s="143">
        <v>6664</v>
      </c>
      <c r="L93" s="143">
        <v>182.31999999999971</v>
      </c>
      <c r="M93" s="143">
        <v>5.3</v>
      </c>
      <c r="N93" s="143">
        <v>2.38</v>
      </c>
      <c r="O93" s="143"/>
      <c r="P93" s="32">
        <v>3.3414900000000065</v>
      </c>
      <c r="Q93" s="31">
        <v>2372.3199999999997</v>
      </c>
      <c r="R93" s="34"/>
      <c r="S93" s="34">
        <v>26850.84600000003</v>
      </c>
      <c r="T93" s="34">
        <v>5640.9340336134519</v>
      </c>
      <c r="U93" s="34">
        <v>7040.9340336134519</v>
      </c>
      <c r="V93" s="31">
        <v>28836.76000000002</v>
      </c>
      <c r="W93" s="32">
        <v>4.0955872988346709</v>
      </c>
      <c r="X93" s="32">
        <v>2.6770772988346776</v>
      </c>
      <c r="Y93" s="32">
        <v>0.66441270116532891</v>
      </c>
      <c r="Z93" s="38">
        <v>0.19883725558518137</v>
      </c>
      <c r="AA93" s="31">
        <v>4678.0860000000093</v>
      </c>
      <c r="AB93" s="31"/>
      <c r="AC93" s="40">
        <v>982.29978088235498</v>
      </c>
      <c r="AD93" s="40">
        <v>-417.70021911764502</v>
      </c>
    </row>
    <row r="94" spans="1:30" x14ac:dyDescent="0.25">
      <c r="A94" s="290">
        <v>42825</v>
      </c>
      <c r="B94" s="63"/>
      <c r="C94" s="143" t="s">
        <v>69</v>
      </c>
      <c r="D94" s="142">
        <v>400</v>
      </c>
      <c r="E94" s="143">
        <v>4.82</v>
      </c>
      <c r="F94" s="142">
        <v>1000</v>
      </c>
      <c r="G94" s="292">
        <v>6.5081999999990439E-2</v>
      </c>
      <c r="H94" s="143">
        <v>65.081999999990444</v>
      </c>
      <c r="I94" s="143">
        <v>4754.9180000000097</v>
      </c>
      <c r="J94" s="293">
        <v>73.060416090481368</v>
      </c>
      <c r="K94" s="143">
        <v>4820</v>
      </c>
      <c r="L94" s="143">
        <v>76.832000000000335</v>
      </c>
      <c r="M94" s="143">
        <v>5.24</v>
      </c>
      <c r="N94" s="143">
        <v>1.9279999999999999</v>
      </c>
      <c r="O94" s="143"/>
      <c r="P94" s="32">
        <v>4.7549180000000097</v>
      </c>
      <c r="Q94" s="31">
        <v>1920.8319999999999</v>
      </c>
      <c r="R94" s="34"/>
      <c r="S94" s="34">
        <v>28771.678000000029</v>
      </c>
      <c r="T94" s="34">
        <v>5969.2278008298808</v>
      </c>
      <c r="U94" s="34">
        <v>6969.2278008298808</v>
      </c>
      <c r="V94" s="31">
        <v>28836.76000000002</v>
      </c>
      <c r="W94" s="32">
        <v>4.1377267071921802</v>
      </c>
      <c r="X94" s="32">
        <v>4.0726447071921896</v>
      </c>
      <c r="Y94" s="32">
        <v>0.68227329280782012</v>
      </c>
      <c r="Z94" s="38">
        <v>0.14348791983538292</v>
      </c>
      <c r="AA94" s="31">
        <v>4754.9180000000097</v>
      </c>
      <c r="AB94" s="31"/>
      <c r="AC94" s="40">
        <v>986.00426161825931</v>
      </c>
      <c r="AD94" s="40">
        <v>-13.995738381740694</v>
      </c>
    </row>
    <row r="95" spans="1:30" x14ac:dyDescent="0.25">
      <c r="A95" s="290">
        <v>42825</v>
      </c>
      <c r="B95" s="63"/>
      <c r="C95" s="143" t="s">
        <v>69</v>
      </c>
      <c r="D95" s="142">
        <v>400</v>
      </c>
      <c r="E95" s="143">
        <v>4.87</v>
      </c>
      <c r="F95" s="142">
        <v>600</v>
      </c>
      <c r="G95" s="292">
        <v>-3.1262166666666826</v>
      </c>
      <c r="H95" s="143">
        <v>-1875.7300000000096</v>
      </c>
      <c r="I95" s="143">
        <v>4797.7300000000096</v>
      </c>
      <c r="J95" s="293">
        <v>-2.5577934990643567</v>
      </c>
      <c r="K95" s="143">
        <v>2922</v>
      </c>
      <c r="L95" s="143">
        <v>42.811999999999898</v>
      </c>
      <c r="M95" s="143">
        <v>5.24</v>
      </c>
      <c r="N95" s="143">
        <v>1.948</v>
      </c>
      <c r="O95" s="143"/>
      <c r="P95" s="32">
        <v>7.9962166666666832</v>
      </c>
      <c r="Q95" s="31">
        <v>1940.8119999999999</v>
      </c>
      <c r="R95" s="34"/>
      <c r="S95" s="34">
        <v>30712.490000000027</v>
      </c>
      <c r="T95" s="34">
        <v>6306.4661190965144</v>
      </c>
      <c r="U95" s="34">
        <v>6906.4661190965144</v>
      </c>
      <c r="V95" s="31">
        <v>28836.760000000017</v>
      </c>
      <c r="W95" s="32">
        <v>4.1753278019081002</v>
      </c>
      <c r="X95" s="32">
        <v>7.3015444685747823</v>
      </c>
      <c r="Y95" s="32">
        <v>0.69467219809190084</v>
      </c>
      <c r="Z95" s="38">
        <v>8.6875109448664084E-2</v>
      </c>
      <c r="AA95" s="31">
        <v>4797.7300000000096</v>
      </c>
      <c r="AB95" s="31"/>
      <c r="AC95" s="40">
        <v>984.66758418891379</v>
      </c>
      <c r="AD95" s="40">
        <v>384.66758418891379</v>
      </c>
    </row>
    <row r="96" spans="1:30" x14ac:dyDescent="0.25">
      <c r="A96" s="290">
        <v>42836</v>
      </c>
      <c r="B96" s="63" t="s">
        <v>686</v>
      </c>
      <c r="C96" s="143" t="s">
        <v>63</v>
      </c>
      <c r="D96" s="142">
        <v>500</v>
      </c>
      <c r="E96" s="143">
        <v>4.8</v>
      </c>
      <c r="F96" s="142">
        <v>1100</v>
      </c>
      <c r="G96" s="292">
        <v>0.48142727272726399</v>
      </c>
      <c r="H96" s="143">
        <v>529.56999999999039</v>
      </c>
      <c r="I96" s="143">
        <v>4750.4300000000094</v>
      </c>
      <c r="J96" s="293">
        <v>8.9703533055121998</v>
      </c>
      <c r="K96" s="143">
        <v>5280</v>
      </c>
      <c r="L96" s="143">
        <v>-47.300000000000182</v>
      </c>
      <c r="M96" s="143">
        <v>5.3</v>
      </c>
      <c r="N96" s="143">
        <v>0</v>
      </c>
      <c r="O96" s="143"/>
      <c r="P96" s="32">
        <v>4.3185727272727359</v>
      </c>
      <c r="Q96" s="31">
        <v>-2405.3000000000002</v>
      </c>
      <c r="R96" s="34"/>
      <c r="S96" s="34">
        <v>28307.190000000028</v>
      </c>
      <c r="T96" s="34">
        <v>5897.3312500000056</v>
      </c>
      <c r="U96" s="34">
        <v>6997.3312500000056</v>
      </c>
      <c r="V96" s="31">
        <v>28836.760000000017</v>
      </c>
      <c r="W96" s="32">
        <v>4.1211083154023891</v>
      </c>
      <c r="X96" s="32">
        <v>3.6396810426751252</v>
      </c>
      <c r="Y96" s="32">
        <v>0.67889168459761073</v>
      </c>
      <c r="Z96" s="38">
        <v>0.15720279070681398</v>
      </c>
      <c r="AA96" s="31">
        <v>4750.4300000000094</v>
      </c>
      <c r="AB96" s="31"/>
      <c r="AC96" s="40">
        <v>989.17808020833547</v>
      </c>
      <c r="AD96" s="40">
        <v>-110.82191979166453</v>
      </c>
    </row>
    <row r="97" spans="1:30" x14ac:dyDescent="0.25">
      <c r="A97" s="290">
        <v>42837</v>
      </c>
      <c r="B97" s="63" t="s">
        <v>687</v>
      </c>
      <c r="C97" s="143" t="s">
        <v>63</v>
      </c>
      <c r="D97" s="142">
        <v>2000</v>
      </c>
      <c r="E97" s="143">
        <v>4.79</v>
      </c>
      <c r="F97" s="142">
        <v>3100</v>
      </c>
      <c r="G97" s="292">
        <v>3.263151612903223</v>
      </c>
      <c r="H97" s="143">
        <v>10115.769999999991</v>
      </c>
      <c r="I97" s="143">
        <v>4733.2300000000087</v>
      </c>
      <c r="J97" s="293">
        <v>0.46790605164016313</v>
      </c>
      <c r="K97" s="143">
        <v>14849</v>
      </c>
      <c r="L97" s="143">
        <v>-17.200000000000728</v>
      </c>
      <c r="M97" s="143">
        <v>6.2</v>
      </c>
      <c r="N97" s="143">
        <v>0</v>
      </c>
      <c r="O97" s="143"/>
      <c r="P97" s="32">
        <v>1.5268483870967771</v>
      </c>
      <c r="Q97" s="31">
        <v>-9586.2000000000007</v>
      </c>
      <c r="R97" s="34">
        <v>-8301.89</v>
      </c>
      <c r="S97" s="34">
        <v>10419.100000000028</v>
      </c>
      <c r="T97" s="34">
        <v>2175.1774530271455</v>
      </c>
      <c r="U97" s="34">
        <v>5275.177453027145</v>
      </c>
      <c r="V97" s="31">
        <v>20534.870000000017</v>
      </c>
      <c r="W97" s="32">
        <v>3.8927353975961783</v>
      </c>
      <c r="X97" s="32">
        <v>0.62958378469295528</v>
      </c>
      <c r="Y97" s="32">
        <v>0.89726460240382178</v>
      </c>
      <c r="Z97" s="38">
        <v>0.58765795607900817</v>
      </c>
      <c r="AA97" s="31">
        <v>4733.2300000000087</v>
      </c>
      <c r="AB97" s="31"/>
      <c r="AC97" s="40">
        <v>987.65415135699561</v>
      </c>
      <c r="AD97" s="40">
        <v>-2112.3458486430045</v>
      </c>
    </row>
    <row r="98" spans="1:30" x14ac:dyDescent="0.25">
      <c r="A98" s="290">
        <v>42851</v>
      </c>
      <c r="B98" s="63" t="s">
        <v>688</v>
      </c>
      <c r="C98" s="143" t="s">
        <v>69</v>
      </c>
      <c r="D98" s="142">
        <v>400</v>
      </c>
      <c r="E98" s="143">
        <v>4.8499999999999996</v>
      </c>
      <c r="F98" s="142">
        <v>2700</v>
      </c>
      <c r="G98" s="292">
        <v>3.0307222222222188</v>
      </c>
      <c r="H98" s="143">
        <v>8182.9499999999907</v>
      </c>
      <c r="I98" s="143">
        <v>4912.0500000000075</v>
      </c>
      <c r="J98" s="293">
        <v>0.60027862812311139</v>
      </c>
      <c r="K98" s="143">
        <v>13094.999999999998</v>
      </c>
      <c r="L98" s="143">
        <v>178.8199999999988</v>
      </c>
      <c r="M98" s="143">
        <v>5.24</v>
      </c>
      <c r="N98" s="143">
        <v>1.9399999999999997</v>
      </c>
      <c r="O98" s="143"/>
      <c r="P98" s="32">
        <v>1.8192777777777809</v>
      </c>
      <c r="Q98" s="31">
        <v>1932.8200000000006</v>
      </c>
      <c r="R98" s="34"/>
      <c r="S98" s="34">
        <v>12351.920000000027</v>
      </c>
      <c r="T98" s="34">
        <v>2546.7876288659854</v>
      </c>
      <c r="U98" s="34">
        <v>5246.7876288659854</v>
      </c>
      <c r="V98" s="31">
        <v>20534.870000000017</v>
      </c>
      <c r="W98" s="32">
        <v>3.913798585447668</v>
      </c>
      <c r="X98" s="32">
        <v>0.88307636322544925</v>
      </c>
      <c r="Y98" s="32">
        <v>0.93620141455233163</v>
      </c>
      <c r="Z98" s="38">
        <v>0.51460058820478016</v>
      </c>
      <c r="AA98" s="31">
        <v>4912.0500000000075</v>
      </c>
      <c r="AB98" s="31"/>
      <c r="AC98" s="40">
        <v>1012.2874175257749</v>
      </c>
      <c r="AD98" s="40">
        <v>-1687.7125824742252</v>
      </c>
    </row>
    <row r="99" spans="1:30" x14ac:dyDescent="0.25">
      <c r="A99" s="290">
        <v>42863</v>
      </c>
      <c r="B99" s="63" t="s">
        <v>688</v>
      </c>
      <c r="C99" s="143" t="s">
        <v>69</v>
      </c>
      <c r="D99" s="142">
        <v>500</v>
      </c>
      <c r="E99" s="143">
        <v>4.8899999999999997</v>
      </c>
      <c r="F99" s="142">
        <v>2200</v>
      </c>
      <c r="G99" s="292">
        <v>2.6116795454545412</v>
      </c>
      <c r="H99" s="143">
        <v>5745.6949999999906</v>
      </c>
      <c r="I99" s="143">
        <v>5012.3050000000094</v>
      </c>
      <c r="J99" s="293">
        <v>0.87235834829381254</v>
      </c>
      <c r="K99" s="143">
        <v>10758</v>
      </c>
      <c r="L99" s="143">
        <v>100.25500000000193</v>
      </c>
      <c r="M99" s="143">
        <v>5.3</v>
      </c>
      <c r="N99" s="143">
        <v>2.4449999999999998</v>
      </c>
      <c r="O99" s="143"/>
      <c r="P99" s="32">
        <v>2.2783204545454585</v>
      </c>
      <c r="Q99" s="31">
        <v>2437.2550000000001</v>
      </c>
      <c r="R99" s="34"/>
      <c r="S99" s="34">
        <v>14789.175000000028</v>
      </c>
      <c r="T99" s="34">
        <v>3024.3711656441778</v>
      </c>
      <c r="U99" s="34">
        <v>5224.3711656441774</v>
      </c>
      <c r="V99" s="31">
        <v>20534.870000000017</v>
      </c>
      <c r="W99" s="32">
        <v>3.9305917112166013</v>
      </c>
      <c r="X99" s="32">
        <v>1.3189121657620602</v>
      </c>
      <c r="Y99" s="32">
        <v>0.95940828878339834</v>
      </c>
      <c r="Z99" s="38">
        <v>0.42110331181431954</v>
      </c>
      <c r="AA99" s="31">
        <v>5012.3050000000094</v>
      </c>
      <c r="AB99" s="31"/>
      <c r="AC99" s="40">
        <v>1024.4987418200428</v>
      </c>
      <c r="AD99" s="40">
        <v>-1175.5012581799572</v>
      </c>
    </row>
    <row r="100" spans="1:30" x14ac:dyDescent="0.25">
      <c r="A100" s="290">
        <v>42865</v>
      </c>
      <c r="B100" s="63" t="s">
        <v>689</v>
      </c>
      <c r="C100" s="143" t="s">
        <v>69</v>
      </c>
      <c r="D100" s="142">
        <v>400</v>
      </c>
      <c r="E100" s="143">
        <v>4.9000000000000004</v>
      </c>
      <c r="F100" s="142">
        <v>1800</v>
      </c>
      <c r="G100" s="292">
        <v>2.1071638888888837</v>
      </c>
      <c r="H100" s="143">
        <v>3792.8949999999904</v>
      </c>
      <c r="I100" s="143">
        <v>5027.1050000000096</v>
      </c>
      <c r="J100" s="293">
        <v>1.3254005186012325</v>
      </c>
      <c r="K100" s="143">
        <v>8820</v>
      </c>
      <c r="L100" s="143">
        <v>14.800000000000182</v>
      </c>
      <c r="M100" s="143">
        <v>5.24</v>
      </c>
      <c r="N100" s="143">
        <v>1.9600000000000002</v>
      </c>
      <c r="O100" s="143"/>
      <c r="P100" s="32">
        <v>2.7928361111111166</v>
      </c>
      <c r="Q100" s="31">
        <v>1952.8000000000002</v>
      </c>
      <c r="R100" s="34"/>
      <c r="S100" s="34">
        <v>16741.975000000028</v>
      </c>
      <c r="T100" s="34">
        <v>3416.7295918367399</v>
      </c>
      <c r="U100" s="34">
        <v>5216.7295918367399</v>
      </c>
      <c r="V100" s="31">
        <v>20534.870000000017</v>
      </c>
      <c r="W100" s="32">
        <v>3.9363493235557887</v>
      </c>
      <c r="X100" s="32">
        <v>1.829185434666905</v>
      </c>
      <c r="Y100" s="32">
        <v>0.96365067644421165</v>
      </c>
      <c r="Z100" s="38">
        <v>0.34504376128996256</v>
      </c>
      <c r="AA100" s="31">
        <v>5027.1050000000096</v>
      </c>
      <c r="AB100" s="31"/>
      <c r="AC100" s="40">
        <v>1025.4268260204101</v>
      </c>
      <c r="AD100" s="40">
        <v>-774.57317397958991</v>
      </c>
    </row>
    <row r="101" spans="1:30" x14ac:dyDescent="0.25">
      <c r="A101" s="290">
        <v>42866</v>
      </c>
      <c r="B101" s="63" t="s">
        <v>689</v>
      </c>
      <c r="C101" s="143" t="s">
        <v>69</v>
      </c>
      <c r="D101" s="142">
        <v>500</v>
      </c>
      <c r="E101" s="143">
        <v>4.95</v>
      </c>
      <c r="F101" s="142">
        <v>1300</v>
      </c>
      <c r="G101" s="292">
        <v>1.0197461538461463</v>
      </c>
      <c r="H101" s="143">
        <v>1325.6699999999903</v>
      </c>
      <c r="I101" s="143">
        <v>5109.3300000000099</v>
      </c>
      <c r="J101" s="293">
        <v>3.8541492226572585</v>
      </c>
      <c r="K101" s="143">
        <v>6435</v>
      </c>
      <c r="L101" s="143">
        <v>82.225000000000364</v>
      </c>
      <c r="M101" s="143">
        <v>5.3</v>
      </c>
      <c r="N101" s="143">
        <v>2.4750000000000001</v>
      </c>
      <c r="O101" s="143"/>
      <c r="P101" s="32">
        <v>3.9302538461538541</v>
      </c>
      <c r="Q101" s="31">
        <v>2467.2250000000004</v>
      </c>
      <c r="R101" s="34"/>
      <c r="S101" s="34">
        <v>19209.200000000026</v>
      </c>
      <c r="T101" s="34">
        <v>3880.6464646464697</v>
      </c>
      <c r="U101" s="34">
        <v>5180.6464646464701</v>
      </c>
      <c r="V101" s="31">
        <v>20534.870000000017</v>
      </c>
      <c r="W101" s="32">
        <v>3.9637659392767168</v>
      </c>
      <c r="X101" s="32">
        <v>2.9440197854305703</v>
      </c>
      <c r="Y101" s="32">
        <v>0.98623406072328379</v>
      </c>
      <c r="Z101" s="38">
        <v>0.25093393437892364</v>
      </c>
      <c r="AA101" s="31">
        <v>5109.3300000000099</v>
      </c>
      <c r="AB101" s="31"/>
      <c r="AC101" s="40">
        <v>1031.6717848484868</v>
      </c>
      <c r="AD101" s="40">
        <v>-268.32821515151318</v>
      </c>
    </row>
    <row r="102" spans="1:30" x14ac:dyDescent="0.25">
      <c r="A102" s="290">
        <v>42867</v>
      </c>
      <c r="B102" s="63"/>
      <c r="C102" s="143" t="s">
        <v>69</v>
      </c>
      <c r="D102" s="142">
        <v>400</v>
      </c>
      <c r="E102" s="143">
        <v>5.03</v>
      </c>
      <c r="F102" s="142">
        <v>900</v>
      </c>
      <c r="G102" s="292">
        <v>-0.75453111111112192</v>
      </c>
      <c r="H102" s="143">
        <v>-679.07800000000975</v>
      </c>
      <c r="I102" s="143">
        <v>5206.0780000000095</v>
      </c>
      <c r="J102" s="293">
        <v>-7.6663917841543023</v>
      </c>
      <c r="K102" s="143">
        <v>4527</v>
      </c>
      <c r="L102" s="143">
        <v>96.747999999999593</v>
      </c>
      <c r="M102" s="143">
        <v>5.24</v>
      </c>
      <c r="N102" s="143">
        <v>2.012</v>
      </c>
      <c r="O102" s="143"/>
      <c r="P102" s="32">
        <v>5.7845311111111224</v>
      </c>
      <c r="Q102" s="31">
        <v>2004.748</v>
      </c>
      <c r="R102" s="34"/>
      <c r="S102" s="34">
        <v>21213.948000000026</v>
      </c>
      <c r="T102" s="34">
        <v>4217.4846918489111</v>
      </c>
      <c r="U102" s="34">
        <v>5117.4846918489111</v>
      </c>
      <c r="V102" s="31">
        <v>20534.870000000017</v>
      </c>
      <c r="W102" s="32">
        <v>4.0126881146723887</v>
      </c>
      <c r="X102" s="32">
        <v>4.7672192257835109</v>
      </c>
      <c r="Y102" s="32">
        <v>1.0173118853276115</v>
      </c>
      <c r="Z102" s="38">
        <v>0.17586764869732055</v>
      </c>
      <c r="AA102" s="31">
        <v>5206.0780000000095</v>
      </c>
      <c r="AB102" s="31"/>
      <c r="AC102" s="40">
        <v>1034.4880638170994</v>
      </c>
      <c r="AD102" s="40">
        <v>134.48806381709937</v>
      </c>
    </row>
    <row r="103" spans="1:30" x14ac:dyDescent="0.25">
      <c r="A103" s="290">
        <v>42870</v>
      </c>
      <c r="B103" s="63" t="s">
        <v>690</v>
      </c>
      <c r="C103" s="143" t="s">
        <v>69</v>
      </c>
      <c r="D103" s="142">
        <v>800</v>
      </c>
      <c r="E103" s="143">
        <v>5.0999999999999996</v>
      </c>
      <c r="F103" s="142">
        <v>100</v>
      </c>
      <c r="G103" s="292">
        <v>-47.495180000000097</v>
      </c>
      <c r="H103" s="143">
        <v>-4749.51800000001</v>
      </c>
      <c r="I103" s="143">
        <v>5259.51800000001</v>
      </c>
      <c r="J103" s="293">
        <v>-1.1073793172275586</v>
      </c>
      <c r="K103" s="143">
        <v>509.99999999999994</v>
      </c>
      <c r="L103" s="143">
        <v>53.440000000000509</v>
      </c>
      <c r="M103" s="143">
        <v>5.48</v>
      </c>
      <c r="N103" s="143">
        <v>4.0799999999999992</v>
      </c>
      <c r="O103" s="143"/>
      <c r="P103" s="32">
        <v>52.595180000000099</v>
      </c>
      <c r="Q103" s="31">
        <v>4070.4400000000005</v>
      </c>
      <c r="R103" s="34">
        <v>-100</v>
      </c>
      <c r="S103" s="34">
        <v>25184.388000000028</v>
      </c>
      <c r="T103" s="34">
        <v>4938.1152941176533</v>
      </c>
      <c r="U103" s="34">
        <v>5038.1152941176533</v>
      </c>
      <c r="V103" s="31">
        <v>20434.870000000017</v>
      </c>
      <c r="W103" s="32">
        <v>4.0560544582731435</v>
      </c>
      <c r="X103" s="32">
        <v>51.551234458273242</v>
      </c>
      <c r="Y103" s="32">
        <v>1.0439455417268562</v>
      </c>
      <c r="Z103" s="38">
        <v>1.9848692251397439E-2</v>
      </c>
      <c r="AA103" s="31">
        <v>5159.51800000001</v>
      </c>
      <c r="AB103" s="31">
        <v>100</v>
      </c>
      <c r="AC103" s="40">
        <v>1030.7624001960805</v>
      </c>
      <c r="AD103" s="40">
        <v>930.76240019608053</v>
      </c>
    </row>
    <row r="104" spans="1:30" x14ac:dyDescent="0.25">
      <c r="A104" s="290">
        <v>42871</v>
      </c>
      <c r="B104" s="63" t="s">
        <v>691</v>
      </c>
      <c r="C104" s="143" t="s">
        <v>63</v>
      </c>
      <c r="D104" s="142">
        <v>500</v>
      </c>
      <c r="E104" s="143">
        <v>5</v>
      </c>
      <c r="F104" s="142">
        <v>600</v>
      </c>
      <c r="G104" s="292">
        <v>-3.7403633333333497</v>
      </c>
      <c r="H104" s="143">
        <v>-2244.2180000000099</v>
      </c>
      <c r="I104" s="143">
        <v>5244.2180000000099</v>
      </c>
      <c r="J104" s="293">
        <v>-2.33676853139935</v>
      </c>
      <c r="K104" s="143">
        <v>3000</v>
      </c>
      <c r="L104" s="143">
        <v>-15.300000000000182</v>
      </c>
      <c r="M104" s="143">
        <v>5.3</v>
      </c>
      <c r="N104" s="143">
        <v>0</v>
      </c>
      <c r="O104" s="143"/>
      <c r="P104" s="32">
        <v>8.7403633333333488</v>
      </c>
      <c r="Q104" s="31">
        <v>-2505.3000000000002</v>
      </c>
      <c r="R104" s="34"/>
      <c r="S104" s="34">
        <v>22679.088000000029</v>
      </c>
      <c r="T104" s="34">
        <v>4535.8176000000058</v>
      </c>
      <c r="U104" s="34">
        <v>5135.8176000000058</v>
      </c>
      <c r="V104" s="31">
        <v>20434.870000000017</v>
      </c>
      <c r="W104" s="32">
        <v>3.9788932535298751</v>
      </c>
      <c r="X104" s="32">
        <v>7.7192565868632244</v>
      </c>
      <c r="Y104" s="32">
        <v>1.0211067464701244</v>
      </c>
      <c r="Z104" s="38">
        <v>0.11682657888784823</v>
      </c>
      <c r="AA104" s="31">
        <v>5144.2180000000099</v>
      </c>
      <c r="AB104" s="31"/>
      <c r="AC104" s="40">
        <v>1048.3191782000019</v>
      </c>
      <c r="AD104" s="40">
        <v>448.31917820000194</v>
      </c>
    </row>
    <row r="105" spans="1:30" x14ac:dyDescent="0.25">
      <c r="A105" s="290">
        <v>42872</v>
      </c>
      <c r="B105" s="63"/>
      <c r="C105" s="143" t="s">
        <v>63</v>
      </c>
      <c r="D105" s="142">
        <v>500</v>
      </c>
      <c r="E105" s="143">
        <v>4.95</v>
      </c>
      <c r="F105" s="142">
        <v>1100</v>
      </c>
      <c r="G105" s="292">
        <v>0.21461999999999107</v>
      </c>
      <c r="H105" s="143">
        <v>236.08199999999016</v>
      </c>
      <c r="I105" s="143">
        <v>5208.9180000000097</v>
      </c>
      <c r="J105" s="293">
        <v>22.064020128600344</v>
      </c>
      <c r="K105" s="143">
        <v>5445</v>
      </c>
      <c r="L105" s="143">
        <v>-35.300000000000182</v>
      </c>
      <c r="M105" s="143">
        <v>5.3</v>
      </c>
      <c r="N105" s="143">
        <v>0</v>
      </c>
      <c r="O105" s="143"/>
      <c r="P105" s="32">
        <v>4.735380000000009</v>
      </c>
      <c r="Q105" s="31">
        <v>-2480.3000000000002</v>
      </c>
      <c r="R105" s="34"/>
      <c r="S105" s="34">
        <v>20198.78800000003</v>
      </c>
      <c r="T105" s="34">
        <v>4080.563232323238</v>
      </c>
      <c r="U105" s="34">
        <v>5180.5632323232385</v>
      </c>
      <c r="V105" s="31">
        <v>20434.870000000021</v>
      </c>
      <c r="W105" s="32">
        <v>3.9445267017493664</v>
      </c>
      <c r="X105" s="32">
        <v>3.7299067017493752</v>
      </c>
      <c r="Y105" s="32">
        <v>1.0054732982506338</v>
      </c>
      <c r="Z105" s="38">
        <v>0.21233212503550541</v>
      </c>
      <c r="AA105" s="31">
        <v>5108.9180000000097</v>
      </c>
      <c r="AB105" s="31"/>
      <c r="AC105" s="40">
        <v>1051.7805133333354</v>
      </c>
      <c r="AD105" s="40">
        <v>-48.219486666664579</v>
      </c>
    </row>
    <row r="106" spans="1:30" x14ac:dyDescent="0.25">
      <c r="A106" s="290">
        <v>42877</v>
      </c>
      <c r="B106" s="63" t="s">
        <v>692</v>
      </c>
      <c r="C106" s="143" t="s">
        <v>69</v>
      </c>
      <c r="D106" s="142">
        <v>400</v>
      </c>
      <c r="E106" s="143">
        <v>5.07</v>
      </c>
      <c r="F106" s="142">
        <v>700</v>
      </c>
      <c r="G106" s="292">
        <v>-2.5495000000000143</v>
      </c>
      <c r="H106" s="143">
        <v>-1784.6500000000099</v>
      </c>
      <c r="I106" s="143">
        <v>5333.6500000000096</v>
      </c>
      <c r="J106" s="293">
        <v>-2.9886252206314854</v>
      </c>
      <c r="K106" s="143">
        <v>3549</v>
      </c>
      <c r="L106" s="143">
        <v>124.73199999999997</v>
      </c>
      <c r="M106" s="143">
        <v>5.24</v>
      </c>
      <c r="N106" s="143">
        <v>2.028</v>
      </c>
      <c r="O106" s="143"/>
      <c r="P106" s="32">
        <v>7.6195000000000146</v>
      </c>
      <c r="Q106" s="31">
        <v>2020.732</v>
      </c>
      <c r="R106" s="34"/>
      <c r="S106" s="34">
        <v>22219.52000000003</v>
      </c>
      <c r="T106" s="34">
        <v>4382.5483234714056</v>
      </c>
      <c r="U106" s="34">
        <v>5082.5483234714056</v>
      </c>
      <c r="V106" s="31">
        <v>20434.870000000021</v>
      </c>
      <c r="W106" s="32">
        <v>4.0205953194052277</v>
      </c>
      <c r="X106" s="32">
        <v>6.5700953194052421</v>
      </c>
      <c r="Y106" s="32">
        <v>1.0494046805947725</v>
      </c>
      <c r="Z106" s="38">
        <v>0.13772618683572035</v>
      </c>
      <c r="AA106" s="31">
        <v>5233.6500000000096</v>
      </c>
      <c r="AB106" s="31"/>
      <c r="AC106" s="40">
        <v>1051.4759714003965</v>
      </c>
      <c r="AD106" s="40">
        <v>351.47597140039647</v>
      </c>
    </row>
    <row r="107" spans="1:30" x14ac:dyDescent="0.25">
      <c r="A107" s="290">
        <v>42880</v>
      </c>
      <c r="B107" s="63"/>
      <c r="C107" s="143" t="s">
        <v>69</v>
      </c>
      <c r="D107" s="142">
        <v>500</v>
      </c>
      <c r="E107" s="143">
        <v>5.18</v>
      </c>
      <c r="F107" s="142">
        <v>200</v>
      </c>
      <c r="G107" s="292">
        <v>-21.833800000000046</v>
      </c>
      <c r="H107" s="143">
        <v>-4366.7600000000093</v>
      </c>
      <c r="I107" s="143">
        <v>5402.7600000000093</v>
      </c>
      <c r="J107" s="293">
        <v>-1.2372468374721757</v>
      </c>
      <c r="K107" s="143">
        <v>1036</v>
      </c>
      <c r="L107" s="143">
        <v>69.109999999999673</v>
      </c>
      <c r="M107" s="143">
        <v>5.3</v>
      </c>
      <c r="N107" s="143">
        <v>2.59</v>
      </c>
      <c r="O107" s="143">
        <v>-8</v>
      </c>
      <c r="P107" s="32">
        <v>27.013800000000046</v>
      </c>
      <c r="Q107" s="31">
        <v>2582.1099999999997</v>
      </c>
      <c r="R107" s="34"/>
      <c r="S107" s="34">
        <v>24793.63000000003</v>
      </c>
      <c r="T107" s="34">
        <v>4786.4150579150637</v>
      </c>
      <c r="U107" s="34">
        <v>4986.4150579150637</v>
      </c>
      <c r="V107" s="31">
        <v>20426.870000000021</v>
      </c>
      <c r="W107" s="32">
        <v>4.0965041543374792</v>
      </c>
      <c r="X107" s="32">
        <v>25.930304154337527</v>
      </c>
      <c r="Y107" s="32">
        <v>1.0834958456625188</v>
      </c>
      <c r="Z107" s="38">
        <v>4.0108975622182692E-2</v>
      </c>
      <c r="AA107" s="31">
        <v>5302.7600000000093</v>
      </c>
      <c r="AB107" s="31"/>
      <c r="AC107" s="40">
        <v>1042.4823590733608</v>
      </c>
      <c r="AD107" s="40">
        <v>842.48235907336084</v>
      </c>
    </row>
    <row r="108" spans="1:30" x14ac:dyDescent="0.25">
      <c r="A108" s="290">
        <v>42891</v>
      </c>
      <c r="B108" s="63" t="s">
        <v>693</v>
      </c>
      <c r="C108" s="143" t="s">
        <v>63</v>
      </c>
      <c r="D108" s="142">
        <v>500</v>
      </c>
      <c r="E108" s="143">
        <v>5.1100000000000003</v>
      </c>
      <c r="F108" s="142">
        <v>700</v>
      </c>
      <c r="G108" s="292">
        <v>-2.5920857142857279</v>
      </c>
      <c r="H108" s="143">
        <v>-1814.4600000000094</v>
      </c>
      <c r="I108" s="143">
        <v>5391.4600000000091</v>
      </c>
      <c r="J108" s="293">
        <v>-2.9713854259669441</v>
      </c>
      <c r="K108" s="143">
        <v>3577</v>
      </c>
      <c r="L108" s="143">
        <v>-11.300000000000182</v>
      </c>
      <c r="M108" s="143">
        <v>5.3</v>
      </c>
      <c r="N108" s="143">
        <v>0</v>
      </c>
      <c r="O108" s="143"/>
      <c r="P108" s="32">
        <v>7.7020857142857277</v>
      </c>
      <c r="Q108" s="31">
        <v>-2552.3000000000002</v>
      </c>
      <c r="R108" s="34"/>
      <c r="S108" s="34">
        <v>22241.330000000031</v>
      </c>
      <c r="T108" s="34">
        <v>4352.5107632093996</v>
      </c>
      <c r="U108" s="34">
        <v>5052.5107632093996</v>
      </c>
      <c r="V108" s="31">
        <v>20426.870000000021</v>
      </c>
      <c r="W108" s="32">
        <v>4.0429146927783473</v>
      </c>
      <c r="X108" s="32">
        <v>6.6350004070640747</v>
      </c>
      <c r="Y108" s="32">
        <v>1.0670853072216531</v>
      </c>
      <c r="Z108" s="38">
        <v>0.13854497947775846</v>
      </c>
      <c r="AA108" s="31">
        <v>5291.4600000000091</v>
      </c>
      <c r="AB108" s="31"/>
      <c r="AC108" s="40">
        <v>1054.5526947162446</v>
      </c>
      <c r="AD108" s="40">
        <v>354.55269471624456</v>
      </c>
    </row>
    <row r="109" spans="1:30" x14ac:dyDescent="0.25">
      <c r="A109" s="290">
        <v>42905</v>
      </c>
      <c r="B109" s="63"/>
      <c r="C109" s="143" t="s">
        <v>669</v>
      </c>
      <c r="D109" s="142">
        <v>500</v>
      </c>
      <c r="E109" s="143">
        <v>5.03</v>
      </c>
      <c r="F109" s="142">
        <v>1200</v>
      </c>
      <c r="G109" s="292">
        <v>0.58819999999999217</v>
      </c>
      <c r="H109" s="143">
        <v>705.8399999999906</v>
      </c>
      <c r="I109" s="143">
        <v>5330.1600000000089</v>
      </c>
      <c r="J109" s="293">
        <v>7.5515130907855612</v>
      </c>
      <c r="K109" s="143">
        <v>6036</v>
      </c>
      <c r="L109" s="143">
        <v>-61.300000000000182</v>
      </c>
      <c r="M109" s="143">
        <v>5.3</v>
      </c>
      <c r="N109" s="143">
        <v>0</v>
      </c>
      <c r="O109" s="143"/>
      <c r="P109" s="32">
        <v>4.4418000000000077</v>
      </c>
      <c r="Q109" s="31">
        <v>-2520.3000000000002</v>
      </c>
      <c r="R109" s="34"/>
      <c r="S109" s="34">
        <v>19721.030000000032</v>
      </c>
      <c r="T109" s="34">
        <v>3920.6819085487136</v>
      </c>
      <c r="U109" s="34">
        <v>5120.6819085487132</v>
      </c>
      <c r="V109" s="31">
        <v>20426.870000000021</v>
      </c>
      <c r="W109" s="32">
        <v>3.9890917586383212</v>
      </c>
      <c r="X109" s="32">
        <v>3.4008917586383292</v>
      </c>
      <c r="Y109" s="32">
        <v>1.0409082413616786</v>
      </c>
      <c r="Z109" s="38">
        <v>0.23434378886074961</v>
      </c>
      <c r="AA109" s="31">
        <v>5230.1600000000089</v>
      </c>
      <c r="AB109" s="31"/>
      <c r="AC109" s="40">
        <v>1059.144119284296</v>
      </c>
      <c r="AD109" s="40">
        <v>-140.85588071570396</v>
      </c>
    </row>
    <row r="110" spans="1:30" x14ac:dyDescent="0.25">
      <c r="A110" s="290">
        <v>42908</v>
      </c>
      <c r="B110" s="63" t="s">
        <v>694</v>
      </c>
      <c r="C110" s="143" t="s">
        <v>69</v>
      </c>
      <c r="D110" s="142">
        <v>400</v>
      </c>
      <c r="E110" s="143">
        <v>5.16</v>
      </c>
      <c r="F110" s="142">
        <v>800</v>
      </c>
      <c r="G110" s="292">
        <v>-1.6885700000000117</v>
      </c>
      <c r="H110" s="143">
        <v>-1350.8560000000093</v>
      </c>
      <c r="I110" s="143">
        <v>5478.8560000000089</v>
      </c>
      <c r="J110" s="293">
        <v>-4.0558401487649105</v>
      </c>
      <c r="K110" s="143">
        <v>4128</v>
      </c>
      <c r="L110" s="143">
        <v>148.69599999999991</v>
      </c>
      <c r="M110" s="143">
        <v>5.24</v>
      </c>
      <c r="N110" s="143">
        <v>2.0640000000000001</v>
      </c>
      <c r="O110" s="143"/>
      <c r="P110" s="32">
        <v>6.848570000000012</v>
      </c>
      <c r="Q110" s="31">
        <v>2056.6959999999999</v>
      </c>
      <c r="R110" s="34"/>
      <c r="S110" s="34">
        <v>21777.726000000031</v>
      </c>
      <c r="T110" s="34">
        <v>4220.4895348837272</v>
      </c>
      <c r="U110" s="34">
        <v>5020.4895348837272</v>
      </c>
      <c r="V110" s="31">
        <v>20426.870000000021</v>
      </c>
      <c r="W110" s="32">
        <v>4.0687008424315136</v>
      </c>
      <c r="X110" s="32">
        <v>5.7572708424315255</v>
      </c>
      <c r="Y110" s="32">
        <v>1.0912991575684865</v>
      </c>
      <c r="Z110" s="38">
        <v>0.15934701077283048</v>
      </c>
      <c r="AA110" s="31">
        <v>5378.8560000000089</v>
      </c>
      <c r="AB110" s="31"/>
      <c r="AC110" s="40">
        <v>1061.2629015503894</v>
      </c>
      <c r="AD110" s="40">
        <v>261.26290155038942</v>
      </c>
    </row>
    <row r="111" spans="1:30" x14ac:dyDescent="0.25">
      <c r="A111" s="290">
        <v>42916</v>
      </c>
      <c r="B111" s="63"/>
      <c r="C111" s="143" t="s">
        <v>69</v>
      </c>
      <c r="D111" s="142">
        <v>400</v>
      </c>
      <c r="E111" s="143">
        <v>5.25</v>
      </c>
      <c r="F111" s="142">
        <v>400</v>
      </c>
      <c r="G111" s="292">
        <v>-8.6087900000000239</v>
      </c>
      <c r="H111" s="143">
        <v>-3443.5160000000096</v>
      </c>
      <c r="I111" s="143">
        <v>5543.5160000000096</v>
      </c>
      <c r="J111" s="293">
        <v>-1.6098418012287423</v>
      </c>
      <c r="K111" s="143">
        <v>2100</v>
      </c>
      <c r="L111" s="143">
        <v>64.660000000000764</v>
      </c>
      <c r="M111" s="143">
        <v>5.24</v>
      </c>
      <c r="N111" s="143">
        <v>2.1</v>
      </c>
      <c r="O111" s="143"/>
      <c r="P111" s="32">
        <v>13.858790000000024</v>
      </c>
      <c r="Q111" s="31">
        <v>2092.6600000000003</v>
      </c>
      <c r="R111" s="34"/>
      <c r="S111" s="34">
        <v>23870.386000000031</v>
      </c>
      <c r="T111" s="34">
        <v>4546.7401904761964</v>
      </c>
      <c r="U111" s="34">
        <v>4946.7401904761964</v>
      </c>
      <c r="V111" s="31">
        <v>20426.870000000021</v>
      </c>
      <c r="W111" s="32">
        <v>4.129359783100643</v>
      </c>
      <c r="X111" s="32">
        <v>12.738149783100667</v>
      </c>
      <c r="Y111" s="32">
        <v>1.120640216899357</v>
      </c>
      <c r="Z111" s="38">
        <v>8.0861331826180688E-2</v>
      </c>
      <c r="AA111" s="31">
        <v>5443.5160000000096</v>
      </c>
      <c r="AB111" s="31"/>
      <c r="AC111" s="40">
        <v>1055.3798556190495</v>
      </c>
      <c r="AD111" s="40">
        <v>655.37985561904952</v>
      </c>
    </row>
    <row r="112" spans="1:30" x14ac:dyDescent="0.25">
      <c r="A112" s="290">
        <v>42927</v>
      </c>
      <c r="B112" s="63" t="s">
        <v>695</v>
      </c>
      <c r="C112" s="143" t="s">
        <v>63</v>
      </c>
      <c r="D112" s="142">
        <v>1000</v>
      </c>
      <c r="E112" s="143">
        <v>4.9800000000000004</v>
      </c>
      <c r="F112" s="142">
        <v>1400</v>
      </c>
      <c r="G112" s="292">
        <v>1.1014885714285645</v>
      </c>
      <c r="H112" s="143">
        <v>1542.0839999999903</v>
      </c>
      <c r="I112" s="143">
        <v>5429.9160000000102</v>
      </c>
      <c r="J112" s="293">
        <v>3.5211544896387252</v>
      </c>
      <c r="K112" s="143">
        <v>6972.0000000000009</v>
      </c>
      <c r="L112" s="143">
        <v>-113.59999999999945</v>
      </c>
      <c r="M112" s="143">
        <v>5.6</v>
      </c>
      <c r="N112" s="143">
        <v>0</v>
      </c>
      <c r="O112" s="143">
        <v>-98.72</v>
      </c>
      <c r="P112" s="32">
        <v>3.8785114285714357</v>
      </c>
      <c r="Q112" s="31">
        <v>-4985.6000000000004</v>
      </c>
      <c r="R112" s="34"/>
      <c r="S112" s="34">
        <v>18786.066000000028</v>
      </c>
      <c r="T112" s="34">
        <v>3772.3024096385593</v>
      </c>
      <c r="U112" s="34">
        <v>5172.3024096385598</v>
      </c>
      <c r="V112" s="31">
        <v>20328.15000000002</v>
      </c>
      <c r="W112" s="32">
        <v>3.9301936333263527</v>
      </c>
      <c r="X112" s="32">
        <v>2.8287050618977885</v>
      </c>
      <c r="Y112" s="32">
        <v>1.0498063666736472</v>
      </c>
      <c r="Z112" s="38">
        <v>0.27067249536514087</v>
      </c>
      <c r="AA112" s="31">
        <v>5329.9160000000102</v>
      </c>
      <c r="AB112" s="31"/>
      <c r="AC112" s="40">
        <v>1089.7994060240983</v>
      </c>
      <c r="AD112" s="40">
        <v>-310.20059397590171</v>
      </c>
    </row>
    <row r="113" spans="1:30" x14ac:dyDescent="0.25">
      <c r="A113" s="290">
        <v>42928</v>
      </c>
      <c r="B113" s="2"/>
      <c r="C113" s="143" t="s">
        <v>69</v>
      </c>
      <c r="D113" s="142">
        <v>400</v>
      </c>
      <c r="E113" s="143">
        <v>5.14</v>
      </c>
      <c r="F113" s="142">
        <v>1000</v>
      </c>
      <c r="G113" s="292">
        <v>-0.60034000000000964</v>
      </c>
      <c r="H113" s="143">
        <v>-600.3400000000097</v>
      </c>
      <c r="I113" s="143">
        <v>5740.3400000000092</v>
      </c>
      <c r="J113" s="293">
        <v>-9.5618149715160037</v>
      </c>
      <c r="K113" s="143">
        <v>5140</v>
      </c>
      <c r="L113" s="143">
        <v>216.70399999999881</v>
      </c>
      <c r="M113" s="143">
        <v>5.24</v>
      </c>
      <c r="N113" s="143">
        <v>2.056</v>
      </c>
      <c r="O113" s="143"/>
      <c r="P113" s="32">
        <v>5.7403400000000095</v>
      </c>
      <c r="Q113" s="31">
        <v>2048.7039999999997</v>
      </c>
      <c r="R113" s="34"/>
      <c r="S113" s="34">
        <v>20928.490000000027</v>
      </c>
      <c r="T113" s="34">
        <v>4071.6906614786049</v>
      </c>
      <c r="U113" s="34">
        <v>5071.6906614786049</v>
      </c>
      <c r="V113" s="31">
        <v>20328.150000000016</v>
      </c>
      <c r="W113" s="32">
        <v>4.0081604649904907</v>
      </c>
      <c r="X113" s="32">
        <v>4.6085004649905006</v>
      </c>
      <c r="Y113" s="32">
        <v>1.131839535009509</v>
      </c>
      <c r="Z113" s="38">
        <v>0.19717290874922155</v>
      </c>
      <c r="AA113" s="31">
        <v>5640.3400000000092</v>
      </c>
      <c r="AB113" s="31"/>
      <c r="AC113" s="40">
        <v>1116.2392665369669</v>
      </c>
      <c r="AD113" s="40">
        <v>116.23926653696685</v>
      </c>
    </row>
    <row r="114" spans="1:30" x14ac:dyDescent="0.25">
      <c r="A114" s="290">
        <v>42933</v>
      </c>
      <c r="B114" s="2"/>
      <c r="C114" s="143" t="s">
        <v>69</v>
      </c>
      <c r="D114" s="142">
        <v>500</v>
      </c>
      <c r="E114" s="143">
        <v>5.27</v>
      </c>
      <c r="F114" s="142">
        <f>IF(C114="买",F113+D114,F113-D114)</f>
        <v>500</v>
      </c>
      <c r="G114" s="292">
        <f>H114/F114</f>
        <v>-6.4548100000000188</v>
      </c>
      <c r="H114" s="143">
        <f>IF(C114="买",H113+D114*E114+M114+N114,H113+-1*D114*E114+M114+N114)+O113</f>
        <v>-3227.4050000000093</v>
      </c>
      <c r="I114" s="143">
        <f>-H114+K114</f>
        <v>5862.4050000000097</v>
      </c>
      <c r="J114" s="293">
        <f>(E114-G114)/G114</f>
        <v>-1.8164454104768359</v>
      </c>
      <c r="K114" s="143">
        <f>F114*E114</f>
        <v>2635</v>
      </c>
      <c r="L114" s="143">
        <f>I114-I113</f>
        <v>122.06500000000051</v>
      </c>
      <c r="M114" s="143">
        <f>IF(D114*E114*5/10000&gt;5,D114*E114*5/10000,5)+(D114/1000)*0.6</f>
        <v>5.3</v>
      </c>
      <c r="N114" s="143">
        <f>IF(C114="卖",D114*E114/1000,0)</f>
        <v>2.6349999999999998</v>
      </c>
      <c r="O114" s="143">
        <v>-50</v>
      </c>
      <c r="P114" s="32">
        <f>E114-G114</f>
        <v>11.724810000000019</v>
      </c>
      <c r="Q114" s="31">
        <f>(H114-H113)*-1</f>
        <v>2627.0649999999996</v>
      </c>
      <c r="R114" s="34"/>
      <c r="S114" s="34">
        <f>S113+Q114+O114+R114</f>
        <v>23505.555000000026</v>
      </c>
      <c r="T114" s="34">
        <f>S114/E114</f>
        <v>4460.2571157495313</v>
      </c>
      <c r="U114" s="34">
        <f>F114+T114</f>
        <v>4960.2571157495313</v>
      </c>
      <c r="V114" s="31">
        <f>H114+S114</f>
        <v>20278.150000000016</v>
      </c>
      <c r="W114" s="32">
        <f>V114/U114</f>
        <v>4.088124773938425</v>
      </c>
      <c r="X114" s="32">
        <f>W114-G114</f>
        <v>10.542934773938445</v>
      </c>
      <c r="Y114" s="32">
        <f>(X114-P114)*-1</f>
        <v>1.1818752260615746</v>
      </c>
      <c r="Z114" s="38">
        <f>F114/U114</f>
        <v>0.1008012262937798</v>
      </c>
      <c r="AA114" s="31">
        <f>SUM(L$2:L114)-SUM(AB$2:AB114)</f>
        <v>5545.4450000000115</v>
      </c>
      <c r="AB114" s="31"/>
      <c r="AC114" s="40">
        <f>I114/E114*(1-0.0005)</f>
        <v>1111.8546105313112</v>
      </c>
      <c r="AD114" s="40">
        <f>AC114-表2_5[[#This Row],[证券余额]]</f>
        <v>611.85461053131121</v>
      </c>
    </row>
    <row r="115" spans="1:30" x14ac:dyDescent="0.25">
      <c r="A115" s="290">
        <v>42933</v>
      </c>
      <c r="B115" s="2"/>
      <c r="C115" s="143" t="s">
        <v>69</v>
      </c>
      <c r="D115" s="142">
        <v>400</v>
      </c>
      <c r="E115" s="143">
        <v>5.34</v>
      </c>
      <c r="F115" s="142">
        <f>IF(C115="买",F114+D115,F114-D115)</f>
        <v>100</v>
      </c>
      <c r="G115" s="292">
        <f>H115/F115</f>
        <v>-54.060290000000094</v>
      </c>
      <c r="H115" s="143">
        <f>IF(C115="买",H114+D115*E115+M115+N115,H114+-1*D115*E115+M115+N115)+O114</f>
        <v>-5406.0290000000095</v>
      </c>
      <c r="I115" s="143">
        <f>-H115+K115</f>
        <v>5940.0290000000095</v>
      </c>
      <c r="J115" s="293">
        <f>(E115-G115)/G115</f>
        <v>-1.0987786044063026</v>
      </c>
      <c r="K115" s="143">
        <f>F115*E115</f>
        <v>534</v>
      </c>
      <c r="L115" s="143">
        <f>I115-I114</f>
        <v>77.623999999999796</v>
      </c>
      <c r="M115" s="143">
        <f>IF(D115*E115*2.5/10000&gt;5,D115*E115*2.5/10000,5)+(D115/1000)*0.6</f>
        <v>5.24</v>
      </c>
      <c r="N115" s="143">
        <f>IF(C115="卖",D115*E115/1000,0)</f>
        <v>2.1360000000000001</v>
      </c>
      <c r="O115" s="143"/>
      <c r="P115" s="32">
        <f>E115-G115</f>
        <v>59.400290000000098</v>
      </c>
      <c r="Q115" s="31">
        <f>(H115-H114)*-1</f>
        <v>2178.6240000000003</v>
      </c>
      <c r="R115" s="34"/>
      <c r="S115" s="34">
        <f>S114+Q115+O115+R115</f>
        <v>25684.179000000026</v>
      </c>
      <c r="T115" s="34">
        <f>S115/E115</f>
        <v>4809.7713483146117</v>
      </c>
      <c r="U115" s="34">
        <f>F115+T115</f>
        <v>4909.7713483146117</v>
      </c>
      <c r="V115" s="31">
        <f>H115+S115</f>
        <v>20278.150000000016</v>
      </c>
      <c r="W115" s="32">
        <f>V115/U115</f>
        <v>4.1301617858356972</v>
      </c>
      <c r="X115" s="32">
        <f>W115-G115</f>
        <v>58.190451785835791</v>
      </c>
      <c r="Y115" s="32">
        <f>(X115-P115)*-1</f>
        <v>1.2098382141643071</v>
      </c>
      <c r="Z115" s="38">
        <f>F115/U115</f>
        <v>2.0367547265582382E-2</v>
      </c>
      <c r="AA115" s="31">
        <f>SUM(L$2:L115)-SUM(AB$2:AB115)</f>
        <v>5623.0690000000113</v>
      </c>
      <c r="AB115" s="31"/>
      <c r="AC115" s="40">
        <f>I115/E115*(1-0.0005)</f>
        <v>1111.8087987827732</v>
      </c>
      <c r="AD115" s="40">
        <f>AC115-表2_5[[#This Row],[证券余额]]</f>
        <v>1011.8087987827732</v>
      </c>
    </row>
    <row r="116" spans="1:30" x14ac:dyDescent="0.25">
      <c r="A116" s="295"/>
      <c r="B116" s="2"/>
      <c r="C116" s="338" t="s">
        <v>812</v>
      </c>
      <c r="D116" s="297">
        <v>2000</v>
      </c>
      <c r="E116" s="296">
        <v>5.18</v>
      </c>
      <c r="F116" s="142">
        <f>IF(C116="买",F115+D116,F115-D116)</f>
        <v>2100</v>
      </c>
      <c r="G116" s="292">
        <f>H116/F116</f>
        <v>2.3619861904761859</v>
      </c>
      <c r="H116" s="143">
        <f>IF(C116="买",H115+D116*E116+M116+N116,H115+-1*D116*E116+M116+N116)+O115</f>
        <v>4960.1709999999903</v>
      </c>
      <c r="I116" s="143">
        <f>-H116+K116</f>
        <v>5917.8290000000097</v>
      </c>
      <c r="J116" s="293">
        <f>(E116-G116)/G116</f>
        <v>1.1930695534488671</v>
      </c>
      <c r="K116" s="143">
        <f>F116*E116</f>
        <v>10878</v>
      </c>
      <c r="L116" s="143">
        <f>I116-I115</f>
        <v>-22.199999999999818</v>
      </c>
      <c r="M116" s="143">
        <f>IF(D116*E116*2.5/10000&gt;5,D116*E116*2.5/10000,5)+(D116/1000)*0.6</f>
        <v>6.2</v>
      </c>
      <c r="N116" s="143">
        <f>IF(C116="卖",D116*E116/1000,0)</f>
        <v>0</v>
      </c>
      <c r="O116" s="143"/>
      <c r="P116" s="32">
        <f>E116-G116</f>
        <v>2.8180138095238139</v>
      </c>
      <c r="Q116" s="31">
        <f>(H116-H115)*-1</f>
        <v>-10366.200000000001</v>
      </c>
      <c r="R116" s="34"/>
      <c r="S116" s="34">
        <f>S115+Q116+O116+R116</f>
        <v>15317.979000000025</v>
      </c>
      <c r="T116" s="34">
        <f>S116/E116</f>
        <v>2957.1388030888079</v>
      </c>
      <c r="U116" s="34">
        <f>F116+T116</f>
        <v>5057.1388030888083</v>
      </c>
      <c r="V116" s="31">
        <f>H116+S116</f>
        <v>20278.150000000016</v>
      </c>
      <c r="W116" s="32">
        <f>V116/U116</f>
        <v>4.0098068867744923</v>
      </c>
      <c r="X116" s="32">
        <f>W116-G116</f>
        <v>1.6478206962983064</v>
      </c>
      <c r="Y116" s="32">
        <f>(X116-P116)*-1</f>
        <v>1.1701931132255075</v>
      </c>
      <c r="Z116" s="38">
        <f>F116/U116</f>
        <v>0.4152545701765904</v>
      </c>
      <c r="AA116" s="31">
        <f>SUM(L$2:L116)-SUM(AB$2:AB116)</f>
        <v>5600.8690000000115</v>
      </c>
      <c r="AB116" s="31"/>
      <c r="AC116" s="40">
        <f>I116/E116*(1-0.0005)</f>
        <v>1141.8668118725889</v>
      </c>
      <c r="AD116" s="40">
        <f>AC116-表2_5[[#This Row],[证券余额]]</f>
        <v>-958.13318812741113</v>
      </c>
    </row>
    <row r="117" spans="1:30" x14ac:dyDescent="0.25">
      <c r="A117" s="295"/>
      <c r="B117" s="2"/>
      <c r="C117" s="296"/>
      <c r="D117" s="297"/>
      <c r="E117" s="296"/>
      <c r="F117" s="297"/>
      <c r="G117" s="145"/>
      <c r="H117" s="296"/>
      <c r="I117" s="296"/>
      <c r="J117" s="298"/>
      <c r="K117" s="296"/>
      <c r="L117" s="296"/>
      <c r="M117" s="296"/>
      <c r="N117" s="296"/>
      <c r="O117" s="296"/>
      <c r="P117" s="32"/>
      <c r="Q117" s="31"/>
      <c r="R117" s="299"/>
      <c r="S117" s="299"/>
      <c r="T117" s="299"/>
      <c r="U117" s="299"/>
      <c r="V117" s="31"/>
      <c r="W117" s="32"/>
      <c r="X117" s="32"/>
      <c r="Y117" s="32"/>
      <c r="Z117" s="300"/>
      <c r="AA117" s="31"/>
      <c r="AB117" s="31"/>
      <c r="AC117" s="64"/>
      <c r="AD117" s="64"/>
    </row>
    <row r="118" spans="1:30" x14ac:dyDescent="0.25">
      <c r="A118" s="295"/>
      <c r="B118" s="2"/>
      <c r="C118" s="296"/>
      <c r="D118" s="297"/>
      <c r="E118" s="296"/>
      <c r="F118" s="297"/>
      <c r="G118" s="145"/>
      <c r="H118" s="296"/>
      <c r="I118" s="296"/>
      <c r="J118" s="298"/>
      <c r="K118" s="296"/>
      <c r="L118" s="296"/>
      <c r="M118" s="296"/>
      <c r="N118" s="296"/>
      <c r="O118" s="296"/>
      <c r="P118" s="32"/>
      <c r="Q118" s="31"/>
      <c r="R118" s="299"/>
      <c r="S118" s="299"/>
      <c r="T118" s="299"/>
      <c r="U118" s="299"/>
      <c r="V118" s="31"/>
      <c r="W118" s="32"/>
      <c r="X118" s="32"/>
      <c r="Y118" s="32"/>
      <c r="Z118" s="300"/>
      <c r="AA118" s="31"/>
      <c r="AB118" s="31"/>
      <c r="AC118" s="64"/>
      <c r="AD118" s="64"/>
    </row>
    <row r="119" spans="1:30" x14ac:dyDescent="0.25">
      <c r="A119" s="301"/>
      <c r="B119" s="294"/>
      <c r="C119" s="143"/>
      <c r="D119" s="142"/>
      <c r="E119" s="143"/>
      <c r="F119" s="142"/>
      <c r="G119" s="292"/>
      <c r="H119" s="143"/>
      <c r="I119" s="143"/>
      <c r="J119" s="302"/>
      <c r="K119" s="143"/>
      <c r="L119" s="143"/>
      <c r="M119" s="143"/>
      <c r="N119" s="143"/>
      <c r="O119" s="143"/>
      <c r="P119" s="303"/>
      <c r="Q119" s="278"/>
      <c r="R119" s="304"/>
      <c r="S119" s="304"/>
      <c r="T119" s="304"/>
      <c r="U119" s="304"/>
      <c r="V119" s="278"/>
      <c r="W119" s="303"/>
      <c r="X119" s="303"/>
      <c r="Y119" s="303"/>
      <c r="Z119" s="305"/>
      <c r="AA119" s="278"/>
      <c r="AB119" s="278"/>
      <c r="AC119" s="64"/>
      <c r="AD119" s="64"/>
    </row>
  </sheetData>
  <phoneticPr fontId="16" type="noConversion"/>
  <conditionalFormatting sqref="Y1">
    <cfRule type="top10" dxfId="101" priority="3" bottom="1" rank="10"/>
  </conditionalFormatting>
  <conditionalFormatting sqref="I1">
    <cfRule type="top10" dxfId="100" priority="1" rank="10"/>
    <cfRule type="top10" dxfId="99" priority="2" rank="10"/>
  </conditionalFormatting>
  <dataValidations count="1">
    <dataValidation type="list" allowBlank="1" showInputMessage="1" showErrorMessage="1" sqref="C2:C119">
      <formula1>"买,卖"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458"/>
  <sheetViews>
    <sheetView topLeftCell="A445" workbookViewId="0">
      <selection activeCell="H455" sqref="H455"/>
    </sheetView>
  </sheetViews>
  <sheetFormatPr defaultColWidth="9" defaultRowHeight="14.4" x14ac:dyDescent="0.25"/>
  <cols>
    <col min="1" max="1" width="11.6640625" style="46" customWidth="1"/>
    <col min="2" max="2" width="10.77734375" style="106" customWidth="1"/>
    <col min="3" max="3" width="9" style="46"/>
    <col min="4" max="4" width="10.77734375" style="46" customWidth="1"/>
    <col min="5" max="5" width="9" style="46"/>
    <col min="6" max="6" width="10.77734375" style="46" customWidth="1"/>
    <col min="7" max="7" width="13.88671875" style="46" customWidth="1"/>
    <col min="8" max="8" width="11.6640625" style="46" customWidth="1"/>
    <col min="9" max="9" width="12.77734375" style="46" customWidth="1"/>
    <col min="10" max="10" width="14.44140625" style="46" customWidth="1"/>
    <col min="11" max="11" width="11.6640625" style="46" customWidth="1"/>
    <col min="12" max="12" width="12.77734375" style="46" customWidth="1"/>
    <col min="13" max="14" width="9" style="46"/>
    <col min="15" max="15" width="14.77734375" style="46" customWidth="1"/>
    <col min="16" max="16" width="11.88671875" style="46" customWidth="1"/>
    <col min="17" max="17" width="10.77734375" style="46" customWidth="1"/>
    <col min="18" max="18" width="14.77734375" style="46" customWidth="1"/>
    <col min="19" max="19" width="11.6640625" style="46" customWidth="1"/>
    <col min="20" max="20" width="10.77734375" style="46" customWidth="1"/>
    <col min="21" max="22" width="14.77734375" style="46" customWidth="1"/>
    <col min="23" max="23" width="18.77734375" style="46" customWidth="1"/>
    <col min="24" max="24" width="19.88671875" style="46" customWidth="1"/>
    <col min="25" max="25" width="15.88671875" style="46" customWidth="1"/>
    <col min="26" max="26" width="9" style="46"/>
    <col min="27" max="27" width="12.77734375" style="46" customWidth="1"/>
    <col min="28" max="28" width="10.77734375" style="46" customWidth="1"/>
    <col min="29" max="29" width="15" customWidth="1"/>
    <col min="30" max="30" width="13.77734375" customWidth="1"/>
    <col min="31" max="31" width="10.44140625" customWidth="1"/>
  </cols>
  <sheetData>
    <row r="1" spans="1:30" x14ac:dyDescent="0.25">
      <c r="A1" s="3" t="s">
        <v>3</v>
      </c>
      <c r="B1" s="4" t="s">
        <v>151</v>
      </c>
      <c r="C1" s="74" t="s">
        <v>152</v>
      </c>
      <c r="D1" s="5" t="s">
        <v>153</v>
      </c>
      <c r="E1" s="4" t="s">
        <v>154</v>
      </c>
      <c r="F1" s="5" t="s">
        <v>155</v>
      </c>
      <c r="G1" s="26" t="s">
        <v>156</v>
      </c>
      <c r="H1" s="4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 t="s">
        <v>17</v>
      </c>
      <c r="W1" s="26" t="s">
        <v>168</v>
      </c>
      <c r="X1" s="26" t="s">
        <v>169</v>
      </c>
      <c r="Y1" s="26" t="s">
        <v>170</v>
      </c>
      <c r="Z1" s="26" t="s">
        <v>171</v>
      </c>
      <c r="AA1" s="4" t="s">
        <v>106</v>
      </c>
      <c r="AB1" s="4" t="s">
        <v>172</v>
      </c>
      <c r="AC1" s="37" t="s">
        <v>50</v>
      </c>
      <c r="AD1" s="37" t="s">
        <v>173</v>
      </c>
    </row>
    <row r="2" spans="1:30" s="1" customFormat="1" x14ac:dyDescent="0.25">
      <c r="A2" s="99">
        <v>42396</v>
      </c>
      <c r="B2" s="265" t="s">
        <v>67</v>
      </c>
      <c r="C2" s="76" t="s">
        <v>63</v>
      </c>
      <c r="D2" s="77">
        <v>500</v>
      </c>
      <c r="E2" s="139">
        <v>6.22</v>
      </c>
      <c r="F2" s="77">
        <v>23600</v>
      </c>
      <c r="G2" s="32">
        <v>9.2212453813559296</v>
      </c>
      <c r="H2" s="31">
        <v>217621.391</v>
      </c>
      <c r="I2" s="31">
        <v>-70829.391000000003</v>
      </c>
      <c r="J2" s="108">
        <v>-0.32547072084471701</v>
      </c>
      <c r="K2" s="31">
        <v>146792</v>
      </c>
      <c r="L2" s="31">
        <f>87492.29-6011</f>
        <v>81481.289999999994</v>
      </c>
      <c r="M2" s="31">
        <v>5</v>
      </c>
      <c r="N2" s="31">
        <v>0</v>
      </c>
      <c r="O2" s="76"/>
      <c r="P2" s="32">
        <v>-3.0012453813559299</v>
      </c>
      <c r="Q2" s="31">
        <v>-3115</v>
      </c>
      <c r="R2" s="76"/>
      <c r="S2" s="34">
        <v>-14803.906000000101</v>
      </c>
      <c r="T2" s="34">
        <v>-2380.04919614149</v>
      </c>
      <c r="U2" s="34">
        <v>21219.950803858501</v>
      </c>
      <c r="V2" s="31">
        <v>202817.48499999999</v>
      </c>
      <c r="W2" s="32">
        <v>9.5578678232901808</v>
      </c>
      <c r="X2" s="32">
        <v>0.336622441934251</v>
      </c>
      <c r="Y2" s="32">
        <v>-3.3378678232901802</v>
      </c>
      <c r="Z2" s="144">
        <v>1.1121609196053699</v>
      </c>
      <c r="AA2" s="31">
        <v>-37203.981</v>
      </c>
      <c r="AB2" s="76"/>
      <c r="AC2" s="145"/>
      <c r="AD2" s="145"/>
    </row>
    <row r="3" spans="1:30" s="1" customFormat="1" x14ac:dyDescent="0.25">
      <c r="A3" s="99">
        <v>42398</v>
      </c>
      <c r="B3" s="138"/>
      <c r="C3" s="76" t="s">
        <v>63</v>
      </c>
      <c r="D3" s="77">
        <v>500</v>
      </c>
      <c r="E3" s="139">
        <v>6.23</v>
      </c>
      <c r="F3" s="77">
        <v>24600</v>
      </c>
      <c r="G3" s="32">
        <v>9.1012041056910604</v>
      </c>
      <c r="H3" s="31">
        <v>223889.62100000001</v>
      </c>
      <c r="I3" s="31">
        <v>-70631.620999999999</v>
      </c>
      <c r="J3" s="108">
        <v>-0.31547519123273698</v>
      </c>
      <c r="K3" s="31">
        <v>153258</v>
      </c>
      <c r="L3" s="31">
        <v>-2656</v>
      </c>
      <c r="M3" s="31">
        <v>5</v>
      </c>
      <c r="N3" s="31">
        <v>0</v>
      </c>
      <c r="O3" s="76"/>
      <c r="P3" s="32">
        <v>-2.87120410569106</v>
      </c>
      <c r="Q3" s="31">
        <v>-3120</v>
      </c>
      <c r="R3" s="76"/>
      <c r="S3" s="34">
        <v>-21072.1360000001</v>
      </c>
      <c r="T3" s="34">
        <v>-3382.3653290529801</v>
      </c>
      <c r="U3" s="34">
        <v>21217.634670947002</v>
      </c>
      <c r="V3" s="31">
        <v>202817.48499999999</v>
      </c>
      <c r="W3" s="32">
        <v>9.5589111673090894</v>
      </c>
      <c r="X3" s="32">
        <v>0.45770706161803099</v>
      </c>
      <c r="Y3" s="32">
        <v>-3.3289111673090899</v>
      </c>
      <c r="Z3" s="144">
        <v>1.1594129308713399</v>
      </c>
      <c r="AA3" s="31">
        <v>-37006.211000000003</v>
      </c>
      <c r="AB3" s="76"/>
      <c r="AC3" s="145">
        <f>I3/E3*(1-0.0005)</f>
        <v>-11331.670174879615</v>
      </c>
      <c r="AD3" s="145">
        <f>AC3-F3</f>
        <v>-35931.670174879619</v>
      </c>
    </row>
    <row r="4" spans="1:30" s="1" customFormat="1" x14ac:dyDescent="0.25">
      <c r="A4" s="99">
        <v>42401</v>
      </c>
      <c r="B4" s="138">
        <v>232699.9</v>
      </c>
      <c r="C4" s="76" t="s">
        <v>63</v>
      </c>
      <c r="D4" s="77">
        <v>500</v>
      </c>
      <c r="E4" s="31">
        <v>6.32</v>
      </c>
      <c r="F4" s="77">
        <v>24600</v>
      </c>
      <c r="G4" s="32">
        <v>9.1007238211382102</v>
      </c>
      <c r="H4" s="31">
        <v>223877.80600000001</v>
      </c>
      <c r="I4" s="31">
        <v>-68405.805999999997</v>
      </c>
      <c r="J4" s="108">
        <v>-0.305549742612718</v>
      </c>
      <c r="K4" s="31">
        <v>155472</v>
      </c>
      <c r="L4" s="31">
        <v>-1210</v>
      </c>
      <c r="M4" s="31">
        <v>5</v>
      </c>
      <c r="N4" s="31">
        <v>0</v>
      </c>
      <c r="O4" s="76"/>
      <c r="P4" s="32">
        <v>-2.7807238211382099</v>
      </c>
      <c r="Q4" s="31">
        <v>-3165</v>
      </c>
      <c r="R4" s="76"/>
      <c r="S4" s="34">
        <v>-21060.321000000102</v>
      </c>
      <c r="T4" s="34">
        <v>-3332.3292721519101</v>
      </c>
      <c r="U4" s="34">
        <v>21267.670727848101</v>
      </c>
      <c r="V4" s="31">
        <v>202817.48499999999</v>
      </c>
      <c r="W4" s="32">
        <v>9.5364220932021908</v>
      </c>
      <c r="X4" s="32">
        <v>0.43569827206397299</v>
      </c>
      <c r="Y4" s="32">
        <v>-3.2164220932021901</v>
      </c>
      <c r="Z4" s="144">
        <v>1.15668520143997</v>
      </c>
      <c r="AA4" s="31">
        <v>-34780.396000000001</v>
      </c>
      <c r="AB4" s="76"/>
      <c r="AC4" s="145">
        <f t="shared" ref="AC4:AC20" si="0">I4/E4*(1-0.0005)</f>
        <v>-10818.291629272151</v>
      </c>
      <c r="AD4" s="145">
        <f t="shared" ref="AD4:AD20" si="1">AC4-F4</f>
        <v>-35418.291629272149</v>
      </c>
    </row>
    <row r="5" spans="1:30" s="1" customFormat="1" x14ac:dyDescent="0.25">
      <c r="A5" s="9">
        <v>42401</v>
      </c>
      <c r="B5" s="18"/>
      <c r="C5" s="62" t="s">
        <v>63</v>
      </c>
      <c r="D5" s="16">
        <v>500</v>
      </c>
      <c r="E5" s="140">
        <v>6.22</v>
      </c>
      <c r="F5" s="16">
        <v>25100</v>
      </c>
      <c r="G5" s="17">
        <v>9.0435380876494005</v>
      </c>
      <c r="H5" s="15">
        <v>226992.80600000001</v>
      </c>
      <c r="I5" s="15">
        <v>-70870.805999999997</v>
      </c>
      <c r="J5" s="33">
        <v>-0.31221608846934101</v>
      </c>
      <c r="K5" s="15">
        <v>156122</v>
      </c>
      <c r="L5" s="15">
        <v>-2465</v>
      </c>
      <c r="M5" s="15">
        <v>5</v>
      </c>
      <c r="N5" s="15">
        <v>0</v>
      </c>
      <c r="O5" s="62"/>
      <c r="P5" s="17">
        <v>-2.8235380876493998</v>
      </c>
      <c r="Q5" s="15">
        <v>-3115</v>
      </c>
      <c r="R5" s="62"/>
      <c r="S5" s="35">
        <v>-24175.321000000102</v>
      </c>
      <c r="T5" s="35">
        <v>-3886.7075562701102</v>
      </c>
      <c r="U5" s="35">
        <v>21213.292443729901</v>
      </c>
      <c r="V5" s="15">
        <v>202817.48499999999</v>
      </c>
      <c r="W5" s="17">
        <v>9.5608678161577707</v>
      </c>
      <c r="X5" s="17">
        <v>0.517329728508368</v>
      </c>
      <c r="Y5" s="17">
        <v>-3.3408678161577701</v>
      </c>
      <c r="Z5" s="146">
        <v>1.1832203825304299</v>
      </c>
      <c r="AA5" s="15">
        <v>-37245.396000000001</v>
      </c>
      <c r="AB5" s="62"/>
      <c r="AC5" s="145">
        <f t="shared" si="0"/>
        <v>-11388.323247106109</v>
      </c>
      <c r="AD5" s="145">
        <f t="shared" si="1"/>
        <v>-36488.323247106106</v>
      </c>
    </row>
    <row r="6" spans="1:30" s="1" customFormat="1" x14ac:dyDescent="0.25">
      <c r="A6" s="9">
        <v>42401</v>
      </c>
      <c r="B6" s="18"/>
      <c r="C6" s="62" t="s">
        <v>63</v>
      </c>
      <c r="D6" s="16">
        <v>500</v>
      </c>
      <c r="E6" s="140">
        <v>6.14</v>
      </c>
      <c r="F6" s="16">
        <v>25600</v>
      </c>
      <c r="G6" s="17">
        <v>8.9870236718750007</v>
      </c>
      <c r="H6" s="15">
        <v>230067.80600000001</v>
      </c>
      <c r="I6" s="15">
        <v>-72883.805999999997</v>
      </c>
      <c r="J6" s="33">
        <v>-0.31679271979496298</v>
      </c>
      <c r="K6" s="15">
        <v>157184</v>
      </c>
      <c r="L6" s="15">
        <v>-2013</v>
      </c>
      <c r="M6" s="15">
        <v>5</v>
      </c>
      <c r="N6" s="15">
        <v>0</v>
      </c>
      <c r="O6" s="62"/>
      <c r="P6" s="17">
        <v>-2.8470236718750002</v>
      </c>
      <c r="Q6" s="15">
        <v>-3075</v>
      </c>
      <c r="R6" s="62"/>
      <c r="S6" s="35">
        <v>-27250.321000000102</v>
      </c>
      <c r="T6" s="35">
        <v>-4438.1630293159797</v>
      </c>
      <c r="U6" s="35">
        <v>21161.836970683999</v>
      </c>
      <c r="V6" s="15">
        <v>202817.48499999999</v>
      </c>
      <c r="W6" s="17">
        <v>9.5841152769945097</v>
      </c>
      <c r="X6" s="17">
        <v>0.59709160511950699</v>
      </c>
      <c r="Y6" s="17">
        <v>-3.44411527699451</v>
      </c>
      <c r="Z6" s="146">
        <v>1.20972484739696</v>
      </c>
      <c r="AA6" s="15">
        <v>-39258.396000000001</v>
      </c>
      <c r="AB6" s="62"/>
      <c r="AC6" s="145">
        <f t="shared" si="0"/>
        <v>-11864.39154674267</v>
      </c>
      <c r="AD6" s="145">
        <f t="shared" si="1"/>
        <v>-37464.39154674267</v>
      </c>
    </row>
    <row r="7" spans="1:30" s="1" customFormat="1" x14ac:dyDescent="0.25">
      <c r="A7" s="99">
        <v>42403</v>
      </c>
      <c r="B7" s="138"/>
      <c r="C7" s="76" t="s">
        <v>63</v>
      </c>
      <c r="D7" s="77">
        <v>500</v>
      </c>
      <c r="E7" s="139">
        <v>6.19</v>
      </c>
      <c r="F7" s="77">
        <v>25600</v>
      </c>
      <c r="G7" s="32">
        <v>8.986559609375</v>
      </c>
      <c r="H7" s="31">
        <v>230055.92600000001</v>
      </c>
      <c r="I7" s="31">
        <v>-71591.926000000007</v>
      </c>
      <c r="J7" s="108">
        <v>-0.31119357473104198</v>
      </c>
      <c r="K7" s="31">
        <v>158464</v>
      </c>
      <c r="L7" s="31">
        <v>-1260</v>
      </c>
      <c r="M7" s="31">
        <v>5</v>
      </c>
      <c r="N7" s="31">
        <v>0</v>
      </c>
      <c r="O7" s="76"/>
      <c r="P7" s="32">
        <v>-2.796559609375</v>
      </c>
      <c r="Q7" s="31">
        <v>-3100</v>
      </c>
      <c r="R7" s="76"/>
      <c r="S7" s="34">
        <v>-27238.441000000101</v>
      </c>
      <c r="T7" s="34">
        <v>-4400.3943457189098</v>
      </c>
      <c r="U7" s="34">
        <v>21199.605654281098</v>
      </c>
      <c r="V7" s="31">
        <v>202817.48499999999</v>
      </c>
      <c r="W7" s="32">
        <v>9.5670404585588393</v>
      </c>
      <c r="X7" s="32">
        <v>0.58048084918384302</v>
      </c>
      <c r="Y7" s="32">
        <v>-3.3770404585588398</v>
      </c>
      <c r="Z7" s="144">
        <v>1.20756963207145</v>
      </c>
      <c r="AA7" s="31">
        <v>-37966.516000000003</v>
      </c>
      <c r="AB7" s="76"/>
      <c r="AC7" s="145">
        <f t="shared" si="0"/>
        <v>-11559.95638723748</v>
      </c>
      <c r="AD7" s="145">
        <f t="shared" si="1"/>
        <v>-37159.956387237478</v>
      </c>
    </row>
    <row r="8" spans="1:30" s="1" customFormat="1" x14ac:dyDescent="0.25">
      <c r="A8" s="99">
        <v>42405</v>
      </c>
      <c r="B8" s="138"/>
      <c r="C8" s="76" t="s">
        <v>63</v>
      </c>
      <c r="D8" s="77">
        <v>500</v>
      </c>
      <c r="E8" s="31">
        <v>6.44</v>
      </c>
      <c r="F8" s="77">
        <v>24100</v>
      </c>
      <c r="G8" s="32">
        <v>9.1393019087136906</v>
      </c>
      <c r="H8" s="31">
        <v>220257.17600000001</v>
      </c>
      <c r="I8" s="31">
        <v>-65053.175999999999</v>
      </c>
      <c r="J8" s="108">
        <v>-0.29535099460278202</v>
      </c>
      <c r="K8" s="31">
        <v>155204</v>
      </c>
      <c r="L8" s="31">
        <v>-1657</v>
      </c>
      <c r="M8" s="31">
        <v>5</v>
      </c>
      <c r="N8" s="31">
        <v>0</v>
      </c>
      <c r="O8" s="76"/>
      <c r="P8" s="32">
        <v>-2.6993019087136898</v>
      </c>
      <c r="Q8" s="31">
        <v>-3225</v>
      </c>
      <c r="R8" s="76"/>
      <c r="S8" s="34">
        <v>-17439.691000000101</v>
      </c>
      <c r="T8" s="34">
        <v>-2708.0265527950401</v>
      </c>
      <c r="U8" s="34">
        <v>21391.973447205</v>
      </c>
      <c r="V8" s="31">
        <v>202817.48499999999</v>
      </c>
      <c r="W8" s="32">
        <v>9.4810086362789399</v>
      </c>
      <c r="X8" s="32">
        <v>0.341706727565246</v>
      </c>
      <c r="Y8" s="32">
        <v>-3.0410086362789399</v>
      </c>
      <c r="Z8" s="144">
        <v>1.1265907775866699</v>
      </c>
      <c r="AA8" s="31">
        <v>-31427.766</v>
      </c>
      <c r="AB8" s="76"/>
      <c r="AC8" s="145">
        <f t="shared" si="0"/>
        <v>-10096.374132298135</v>
      </c>
      <c r="AD8" s="145">
        <f t="shared" si="1"/>
        <v>-34196.374132298137</v>
      </c>
    </row>
    <row r="9" spans="1:30" s="1" customFormat="1" x14ac:dyDescent="0.25">
      <c r="A9" s="9">
        <v>42415</v>
      </c>
      <c r="B9" s="18"/>
      <c r="C9" s="62" t="s">
        <v>63</v>
      </c>
      <c r="D9" s="16">
        <v>500</v>
      </c>
      <c r="E9" s="140">
        <v>6.24</v>
      </c>
      <c r="F9" s="16">
        <v>24600</v>
      </c>
      <c r="G9" s="17">
        <v>9.0805762601625997</v>
      </c>
      <c r="H9" s="15">
        <v>223382.17600000001</v>
      </c>
      <c r="I9" s="15">
        <v>-69878.176000000007</v>
      </c>
      <c r="J9" s="33">
        <v>-0.31281894218811801</v>
      </c>
      <c r="K9" s="15">
        <v>153504</v>
      </c>
      <c r="L9" s="15">
        <v>-4825</v>
      </c>
      <c r="M9" s="15">
        <v>5</v>
      </c>
      <c r="N9" s="15">
        <v>0</v>
      </c>
      <c r="O9" s="62"/>
      <c r="P9" s="17">
        <v>-2.8405762601625999</v>
      </c>
      <c r="Q9" s="15">
        <v>-3125</v>
      </c>
      <c r="R9" s="62"/>
      <c r="S9" s="35">
        <v>-20564.691000000101</v>
      </c>
      <c r="T9" s="35">
        <v>-3295.62355769232</v>
      </c>
      <c r="U9" s="35">
        <v>21304.376442307701</v>
      </c>
      <c r="V9" s="15">
        <v>202817.48499999999</v>
      </c>
      <c r="W9" s="17">
        <v>9.5199916106078195</v>
      </c>
      <c r="X9" s="17">
        <v>0.43941535044521601</v>
      </c>
      <c r="Y9" s="17">
        <v>-3.2799916106078202</v>
      </c>
      <c r="Z9" s="146">
        <v>1.15469232655632</v>
      </c>
      <c r="AA9" s="15">
        <v>-36252.766000000003</v>
      </c>
      <c r="AB9" s="62"/>
      <c r="AC9" s="145">
        <f t="shared" si="0"/>
        <v>-11192.82642820513</v>
      </c>
      <c r="AD9" s="145">
        <f t="shared" si="1"/>
        <v>-35792.826428205131</v>
      </c>
    </row>
    <row r="10" spans="1:30" s="1" customFormat="1" x14ac:dyDescent="0.25">
      <c r="A10" s="99">
        <v>42425</v>
      </c>
      <c r="B10" s="138"/>
      <c r="C10" s="76" t="s">
        <v>63</v>
      </c>
      <c r="D10" s="77">
        <v>500</v>
      </c>
      <c r="E10" s="139">
        <v>6.24</v>
      </c>
      <c r="F10" s="77">
        <v>24100</v>
      </c>
      <c r="G10" s="32">
        <v>9.1112950622406608</v>
      </c>
      <c r="H10" s="31">
        <v>219582.21100000001</v>
      </c>
      <c r="I10" s="31">
        <v>-69198.210999999996</v>
      </c>
      <c r="J10" s="108">
        <v>-0.31513577846249102</v>
      </c>
      <c r="K10" s="31">
        <v>150384</v>
      </c>
      <c r="L10" s="31">
        <v>-4017</v>
      </c>
      <c r="M10" s="31">
        <v>5</v>
      </c>
      <c r="N10" s="31">
        <v>0</v>
      </c>
      <c r="O10" s="76"/>
      <c r="P10" s="32">
        <v>-2.8712950622406601</v>
      </c>
      <c r="Q10" s="31">
        <v>-3125</v>
      </c>
      <c r="R10" s="76"/>
      <c r="S10" s="34">
        <v>-16764.726000000101</v>
      </c>
      <c r="T10" s="34">
        <v>-2686.65480769232</v>
      </c>
      <c r="U10" s="34">
        <v>21413.345192307701</v>
      </c>
      <c r="V10" s="31">
        <v>202817.48499999999</v>
      </c>
      <c r="W10" s="32">
        <v>9.4715460465681005</v>
      </c>
      <c r="X10" s="32">
        <v>0.36025098432744002</v>
      </c>
      <c r="Y10" s="32">
        <v>-3.2315460465680999</v>
      </c>
      <c r="Z10" s="144">
        <v>1.1254663754571801</v>
      </c>
      <c r="AA10" s="31">
        <v>-35572.800999999999</v>
      </c>
      <c r="AB10" s="76"/>
      <c r="AC10" s="145">
        <f t="shared" si="0"/>
        <v>-11083.912162580127</v>
      </c>
      <c r="AD10" s="145">
        <f t="shared" si="1"/>
        <v>-35183.912162580127</v>
      </c>
    </row>
    <row r="11" spans="1:30" s="1" customFormat="1" x14ac:dyDescent="0.25">
      <c r="A11" s="9">
        <v>42429</v>
      </c>
      <c r="B11" s="18"/>
      <c r="C11" s="62" t="s">
        <v>63</v>
      </c>
      <c r="D11" s="16">
        <v>500</v>
      </c>
      <c r="E11" s="140">
        <v>5.93</v>
      </c>
      <c r="F11" s="16">
        <v>24600</v>
      </c>
      <c r="G11" s="17">
        <v>9.0468378455284508</v>
      </c>
      <c r="H11" s="15">
        <v>222552.21100000001</v>
      </c>
      <c r="I11" s="15">
        <v>-76674.210999999996</v>
      </c>
      <c r="J11" s="33">
        <v>-0.344522351206837</v>
      </c>
      <c r="K11" s="15">
        <v>145878</v>
      </c>
      <c r="L11" s="15">
        <v>-7476</v>
      </c>
      <c r="M11" s="15">
        <v>5</v>
      </c>
      <c r="N11" s="15">
        <v>0</v>
      </c>
      <c r="O11" s="62"/>
      <c r="P11" s="17">
        <v>-3.1168378455284498</v>
      </c>
      <c r="Q11" s="15">
        <v>-2970</v>
      </c>
      <c r="R11" s="62"/>
      <c r="S11" s="35">
        <v>-19734.726000000101</v>
      </c>
      <c r="T11" s="35">
        <v>-3327.9470489038899</v>
      </c>
      <c r="U11" s="35">
        <v>21272.052951096099</v>
      </c>
      <c r="V11" s="15">
        <v>202817.48499999999</v>
      </c>
      <c r="W11" s="17">
        <v>9.5344575094031594</v>
      </c>
      <c r="X11" s="17">
        <v>0.48761966387470301</v>
      </c>
      <c r="Y11" s="17">
        <v>-3.6044575094031601</v>
      </c>
      <c r="Z11" s="146">
        <v>1.1564469144823399</v>
      </c>
      <c r="AA11" s="15">
        <v>-43048.800999999999</v>
      </c>
      <c r="AB11" s="62"/>
      <c r="AC11" s="145">
        <f t="shared" si="0"/>
        <v>-12923.418869224284</v>
      </c>
      <c r="AD11" s="145">
        <f t="shared" si="1"/>
        <v>-37523.418869224282</v>
      </c>
    </row>
    <row r="12" spans="1:30" s="1" customFormat="1" x14ac:dyDescent="0.25">
      <c r="A12" s="9">
        <v>42429</v>
      </c>
      <c r="B12" s="18"/>
      <c r="C12" s="62" t="s">
        <v>63</v>
      </c>
      <c r="D12" s="16">
        <v>500</v>
      </c>
      <c r="E12" s="140">
        <v>5.86</v>
      </c>
      <c r="F12" s="16">
        <v>25100</v>
      </c>
      <c r="G12" s="17">
        <v>8.9835542231075696</v>
      </c>
      <c r="H12" s="15">
        <v>225487.21100000001</v>
      </c>
      <c r="I12" s="15">
        <v>-78401.210999999996</v>
      </c>
      <c r="J12" s="33">
        <v>-0.34769692991590501</v>
      </c>
      <c r="K12" s="15">
        <v>147086</v>
      </c>
      <c r="L12" s="15">
        <v>-1727</v>
      </c>
      <c r="M12" s="15">
        <v>5</v>
      </c>
      <c r="N12" s="15">
        <v>0</v>
      </c>
      <c r="O12" s="62"/>
      <c r="P12" s="17">
        <v>-3.1235542231075701</v>
      </c>
      <c r="Q12" s="15">
        <v>-2935</v>
      </c>
      <c r="R12" s="62"/>
      <c r="S12" s="35">
        <v>-22669.726000000101</v>
      </c>
      <c r="T12" s="35">
        <v>-3868.55392491468</v>
      </c>
      <c r="U12" s="35">
        <v>21231.4460750853</v>
      </c>
      <c r="V12" s="15">
        <v>202817.48499999999</v>
      </c>
      <c r="W12" s="17">
        <v>9.5526929387067199</v>
      </c>
      <c r="X12" s="17">
        <v>0.56913871559914897</v>
      </c>
      <c r="Y12" s="17">
        <v>-3.69269293870672</v>
      </c>
      <c r="Z12" s="146">
        <v>1.18220868758696</v>
      </c>
      <c r="AA12" s="15">
        <v>-44775.800999999999</v>
      </c>
      <c r="AB12" s="62"/>
      <c r="AC12" s="145">
        <f t="shared" si="0"/>
        <v>-13372.356722610921</v>
      </c>
      <c r="AD12" s="145">
        <f t="shared" si="1"/>
        <v>-38472.356722610923</v>
      </c>
    </row>
    <row r="13" spans="1:30" s="1" customFormat="1" x14ac:dyDescent="0.25">
      <c r="A13" s="99">
        <v>42430</v>
      </c>
      <c r="B13" s="138"/>
      <c r="C13" s="76" t="s">
        <v>63</v>
      </c>
      <c r="D13" s="77">
        <v>500</v>
      </c>
      <c r="E13" s="139">
        <v>5.97</v>
      </c>
      <c r="F13" s="77">
        <v>25100</v>
      </c>
      <c r="G13" s="32">
        <v>8.9844695617529897</v>
      </c>
      <c r="H13" s="31">
        <v>225510.18599999999</v>
      </c>
      <c r="I13" s="31">
        <v>-75663.186000000002</v>
      </c>
      <c r="J13" s="108">
        <v>-0.33552003721907298</v>
      </c>
      <c r="K13" s="31">
        <v>149847</v>
      </c>
      <c r="L13" s="31">
        <v>487</v>
      </c>
      <c r="M13" s="31">
        <v>5</v>
      </c>
      <c r="N13" s="31">
        <v>0</v>
      </c>
      <c r="O13" s="76"/>
      <c r="P13" s="32">
        <v>-3.01446956175299</v>
      </c>
      <c r="Q13" s="31">
        <v>-2990</v>
      </c>
      <c r="R13" s="76"/>
      <c r="S13" s="34">
        <v>-22692.701000000099</v>
      </c>
      <c r="T13" s="34">
        <v>-3801.12244556115</v>
      </c>
      <c r="U13" s="34">
        <v>21298.877554438899</v>
      </c>
      <c r="V13" s="31">
        <v>202817.48499999999</v>
      </c>
      <c r="W13" s="32">
        <v>9.5224494568602793</v>
      </c>
      <c r="X13" s="32">
        <v>0.53797989510729505</v>
      </c>
      <c r="Y13" s="32">
        <v>-3.55244945686028</v>
      </c>
      <c r="Z13" s="144">
        <v>1.1784658574540201</v>
      </c>
      <c r="AA13" s="31">
        <v>-42037.775999999998</v>
      </c>
      <c r="AB13" s="76"/>
      <c r="AC13" s="145">
        <f t="shared" si="0"/>
        <v>-12667.563552261308</v>
      </c>
      <c r="AD13" s="145">
        <f t="shared" si="1"/>
        <v>-37767.563552261308</v>
      </c>
    </row>
    <row r="14" spans="1:30" s="1" customFormat="1" x14ac:dyDescent="0.25">
      <c r="A14" s="99">
        <v>42499</v>
      </c>
      <c r="B14" s="138"/>
      <c r="C14" s="76" t="s">
        <v>63</v>
      </c>
      <c r="D14" s="77">
        <v>500</v>
      </c>
      <c r="E14" s="31">
        <v>6.53</v>
      </c>
      <c r="F14" s="77">
        <v>22100</v>
      </c>
      <c r="G14" s="32">
        <v>9.2138783257918604</v>
      </c>
      <c r="H14" s="31">
        <v>203626.71100000001</v>
      </c>
      <c r="I14" s="31">
        <v>-59313.711000000098</v>
      </c>
      <c r="J14" s="108">
        <v>-0.29128649531642298</v>
      </c>
      <c r="K14" s="31">
        <v>144313</v>
      </c>
      <c r="L14" s="31">
        <v>-4541</v>
      </c>
      <c r="M14" s="31">
        <v>5</v>
      </c>
      <c r="N14" s="31">
        <v>0</v>
      </c>
      <c r="O14" s="76"/>
      <c r="P14" s="32">
        <v>-2.6838783257918601</v>
      </c>
      <c r="Q14" s="31">
        <v>-3270</v>
      </c>
      <c r="R14" s="76"/>
      <c r="S14" s="34">
        <v>-809.22600000014097</v>
      </c>
      <c r="T14" s="34">
        <v>-123.924349157755</v>
      </c>
      <c r="U14" s="34">
        <v>21976.075650842198</v>
      </c>
      <c r="V14" s="31">
        <v>202817.48499999999</v>
      </c>
      <c r="W14" s="32">
        <v>9.2290128693758309</v>
      </c>
      <c r="X14" s="32">
        <v>1.51345435839723E-2</v>
      </c>
      <c r="Y14" s="32">
        <v>-2.6990128693758302</v>
      </c>
      <c r="Z14" s="144">
        <v>1.0056390572696701</v>
      </c>
      <c r="AA14" s="31">
        <v>-25688.301000000101</v>
      </c>
      <c r="AB14" s="76"/>
      <c r="AC14" s="145">
        <f t="shared" si="0"/>
        <v>-9078.7219210566764</v>
      </c>
      <c r="AD14" s="145">
        <f t="shared" si="1"/>
        <v>-31178.721921056676</v>
      </c>
    </row>
    <row r="15" spans="1:30" s="1" customFormat="1" x14ac:dyDescent="0.25">
      <c r="A15" s="99">
        <v>42502</v>
      </c>
      <c r="B15" s="138"/>
      <c r="C15" s="76" t="s">
        <v>63</v>
      </c>
      <c r="D15" s="77">
        <v>500</v>
      </c>
      <c r="E15" s="139">
        <v>6.3</v>
      </c>
      <c r="F15" s="77">
        <v>23100</v>
      </c>
      <c r="G15" s="32">
        <v>9.0903338095238109</v>
      </c>
      <c r="H15" s="31">
        <v>209986.71100000001</v>
      </c>
      <c r="I15" s="31">
        <v>-64456.711000000098</v>
      </c>
      <c r="J15" s="108">
        <v>-0.306956143524721</v>
      </c>
      <c r="K15" s="31">
        <v>145530</v>
      </c>
      <c r="L15" s="31">
        <v>-2265</v>
      </c>
      <c r="M15" s="31">
        <v>5</v>
      </c>
      <c r="N15" s="31">
        <v>0</v>
      </c>
      <c r="O15" s="76"/>
      <c r="P15" s="32">
        <v>-2.7903338095238102</v>
      </c>
      <c r="Q15" s="31">
        <v>-3155</v>
      </c>
      <c r="R15" s="76"/>
      <c r="S15" s="34">
        <v>-7169.2260000001397</v>
      </c>
      <c r="T15" s="34">
        <v>-1137.9723809524</v>
      </c>
      <c r="U15" s="34">
        <v>21962.0276190476</v>
      </c>
      <c r="V15" s="31">
        <v>202817.48499999999</v>
      </c>
      <c r="W15" s="32">
        <v>9.2349162162102392</v>
      </c>
      <c r="X15" s="32">
        <v>0.14458240668643199</v>
      </c>
      <c r="Y15" s="32">
        <v>-2.9349162162102398</v>
      </c>
      <c r="Z15" s="144">
        <v>1.0518154516828599</v>
      </c>
      <c r="AA15" s="31">
        <v>-30831.301000000101</v>
      </c>
      <c r="AB15" s="76"/>
      <c r="AC15" s="145">
        <f t="shared" si="0"/>
        <v>-10226.108356269857</v>
      </c>
      <c r="AD15" s="145">
        <f t="shared" si="1"/>
        <v>-33326.108356269855</v>
      </c>
    </row>
    <row r="16" spans="1:30" s="1" customFormat="1" x14ac:dyDescent="0.25">
      <c r="A16" s="9">
        <v>42506</v>
      </c>
      <c r="B16" s="18"/>
      <c r="C16" s="62" t="s">
        <v>63</v>
      </c>
      <c r="D16" s="16">
        <v>500</v>
      </c>
      <c r="E16" s="140">
        <v>6.27</v>
      </c>
      <c r="F16" s="16">
        <v>23600</v>
      </c>
      <c r="G16" s="17">
        <v>9.0307928389830501</v>
      </c>
      <c r="H16" s="15">
        <v>213126.71100000001</v>
      </c>
      <c r="I16" s="15">
        <v>-65154.711000000098</v>
      </c>
      <c r="J16" s="33">
        <v>-0.30570879968208198</v>
      </c>
      <c r="K16" s="15">
        <v>147972</v>
      </c>
      <c r="L16" s="15">
        <v>-698</v>
      </c>
      <c r="M16" s="15">
        <v>5</v>
      </c>
      <c r="N16" s="15">
        <v>0</v>
      </c>
      <c r="O16" s="62"/>
      <c r="P16" s="17">
        <v>-2.7607928389830501</v>
      </c>
      <c r="Q16" s="15">
        <v>-3140</v>
      </c>
      <c r="R16" s="62"/>
      <c r="S16" s="35">
        <v>-10309.226000000101</v>
      </c>
      <c r="T16" s="35">
        <v>-1644.21467304627</v>
      </c>
      <c r="U16" s="35">
        <v>21955.785326953701</v>
      </c>
      <c r="V16" s="15">
        <v>202817.48499999999</v>
      </c>
      <c r="W16" s="17">
        <v>9.2375418132283205</v>
      </c>
      <c r="X16" s="17">
        <v>0.206748974245269</v>
      </c>
      <c r="Y16" s="17">
        <v>-2.96754181322832</v>
      </c>
      <c r="Z16" s="146">
        <v>1.0748875364083501</v>
      </c>
      <c r="AA16" s="15">
        <v>-31529.301000000101</v>
      </c>
      <c r="AB16" s="62"/>
      <c r="AC16" s="145">
        <f t="shared" si="0"/>
        <v>-10386.305206459347</v>
      </c>
      <c r="AD16" s="145">
        <f t="shared" si="1"/>
        <v>-33986.30520645935</v>
      </c>
    </row>
    <row r="17" spans="1:30" s="1" customFormat="1" x14ac:dyDescent="0.25">
      <c r="A17" s="99">
        <v>42508</v>
      </c>
      <c r="B17" s="138"/>
      <c r="C17" s="76" t="s">
        <v>63</v>
      </c>
      <c r="D17" s="77">
        <v>500</v>
      </c>
      <c r="E17" s="139">
        <v>6.32</v>
      </c>
      <c r="F17" s="77">
        <v>23600</v>
      </c>
      <c r="G17" s="32">
        <v>9.0292339406779707</v>
      </c>
      <c r="H17" s="31">
        <v>213089.921</v>
      </c>
      <c r="I17" s="31">
        <v>-63937.921000000097</v>
      </c>
      <c r="J17" s="108">
        <v>-0.30005136188491999</v>
      </c>
      <c r="K17" s="31">
        <v>149152</v>
      </c>
      <c r="L17" s="31">
        <v>-2315</v>
      </c>
      <c r="M17" s="31">
        <v>5</v>
      </c>
      <c r="N17" s="31">
        <v>0</v>
      </c>
      <c r="O17" s="76"/>
      <c r="P17" s="32">
        <v>-2.70923394067797</v>
      </c>
      <c r="Q17" s="31">
        <v>-3165</v>
      </c>
      <c r="R17" s="76"/>
      <c r="S17" s="34">
        <v>-10272.4360000001</v>
      </c>
      <c r="T17" s="34">
        <v>-1625.3854430379999</v>
      </c>
      <c r="U17" s="34">
        <v>21974.614556961998</v>
      </c>
      <c r="V17" s="31">
        <v>202817.48499999999</v>
      </c>
      <c r="W17" s="32">
        <v>9.2296265071800008</v>
      </c>
      <c r="X17" s="32">
        <v>0.200392566502027</v>
      </c>
      <c r="Y17" s="32">
        <v>-2.9096265071799898</v>
      </c>
      <c r="Z17" s="144">
        <v>1.07396650525199</v>
      </c>
      <c r="AA17" s="31">
        <v>-30312.5110000001</v>
      </c>
      <c r="AB17" s="76"/>
      <c r="AC17" s="145">
        <f t="shared" si="0"/>
        <v>-10111.7012720728</v>
      </c>
      <c r="AD17" s="145">
        <f t="shared" si="1"/>
        <v>-33711.701272072802</v>
      </c>
    </row>
    <row r="18" spans="1:30" s="1" customFormat="1" x14ac:dyDescent="0.25">
      <c r="A18" s="99">
        <v>42516</v>
      </c>
      <c r="B18" s="138"/>
      <c r="C18" s="76" t="s">
        <v>63</v>
      </c>
      <c r="D18" s="77">
        <v>500</v>
      </c>
      <c r="E18" s="139">
        <v>6.27</v>
      </c>
      <c r="F18" s="77">
        <v>23600</v>
      </c>
      <c r="G18" s="32">
        <v>9.0274623305084791</v>
      </c>
      <c r="H18" s="31">
        <v>213048.111</v>
      </c>
      <c r="I18" s="31">
        <v>-65076.111000000099</v>
      </c>
      <c r="J18" s="108">
        <v>-0.30545265430680102</v>
      </c>
      <c r="K18" s="31">
        <v>147972</v>
      </c>
      <c r="L18" s="31">
        <v>-2546</v>
      </c>
      <c r="M18" s="31">
        <v>5</v>
      </c>
      <c r="N18" s="31">
        <v>0</v>
      </c>
      <c r="O18" s="76"/>
      <c r="P18" s="32">
        <v>-2.75746233050848</v>
      </c>
      <c r="Q18" s="31">
        <v>-3140</v>
      </c>
      <c r="R18" s="76"/>
      <c r="S18" s="34">
        <v>-10230.6260000001</v>
      </c>
      <c r="T18" s="34">
        <v>-1631.67878787881</v>
      </c>
      <c r="U18" s="34">
        <v>21968.321212121198</v>
      </c>
      <c r="V18" s="31">
        <v>202817.48499999999</v>
      </c>
      <c r="W18" s="32">
        <v>9.2322705518387007</v>
      </c>
      <c r="X18" s="32">
        <v>0.204808221330223</v>
      </c>
      <c r="Y18" s="32">
        <v>-2.9622705518386998</v>
      </c>
      <c r="Z18" s="144">
        <v>1.07427416834103</v>
      </c>
      <c r="AA18" s="31">
        <v>-31450.701000000099</v>
      </c>
      <c r="AB18" s="76"/>
      <c r="AC18" s="145">
        <f t="shared" si="0"/>
        <v>-10373.775589234467</v>
      </c>
      <c r="AD18" s="145">
        <f t="shared" si="1"/>
        <v>-33973.775589234465</v>
      </c>
    </row>
    <row r="19" spans="1:30" s="1" customFormat="1" x14ac:dyDescent="0.25">
      <c r="A19" s="99">
        <v>42534</v>
      </c>
      <c r="B19" s="138"/>
      <c r="C19" s="76" t="s">
        <v>63</v>
      </c>
      <c r="D19" s="77">
        <v>500</v>
      </c>
      <c r="E19" s="31">
        <v>6.46</v>
      </c>
      <c r="F19" s="77">
        <v>22600</v>
      </c>
      <c r="G19" s="32">
        <v>9.1361159734513304</v>
      </c>
      <c r="H19" s="31">
        <v>206476.22099999999</v>
      </c>
      <c r="I19" s="31">
        <v>-60480.220999999998</v>
      </c>
      <c r="J19" s="108">
        <v>-0.292916156190209</v>
      </c>
      <c r="K19" s="31">
        <v>145996</v>
      </c>
      <c r="L19" s="31">
        <v>-1552</v>
      </c>
      <c r="M19" s="79">
        <v>5</v>
      </c>
      <c r="N19" s="31">
        <v>0</v>
      </c>
      <c r="O19" s="76"/>
      <c r="P19" s="32">
        <v>-2.67611597345133</v>
      </c>
      <c r="Q19" s="31">
        <v>-3235</v>
      </c>
      <c r="R19" s="76"/>
      <c r="S19" s="34">
        <v>-3658.7360000001199</v>
      </c>
      <c r="T19" s="34">
        <v>-566.36780185760404</v>
      </c>
      <c r="U19" s="34">
        <v>22033.632198142401</v>
      </c>
      <c r="V19" s="31">
        <v>202817.48499999999</v>
      </c>
      <c r="W19" s="32">
        <v>9.2049047191183906</v>
      </c>
      <c r="X19" s="32">
        <v>6.8788745667063694E-2</v>
      </c>
      <c r="Y19" s="32">
        <v>-2.7449047191183902</v>
      </c>
      <c r="Z19" s="144">
        <v>1.02570469529329</v>
      </c>
      <c r="AA19" s="31">
        <v>-26854.8110000001</v>
      </c>
      <c r="AB19" s="76"/>
      <c r="AC19" s="145">
        <f t="shared" si="0"/>
        <v>-9357.5821810371508</v>
      </c>
      <c r="AD19" s="145">
        <f t="shared" si="1"/>
        <v>-31957.582181037149</v>
      </c>
    </row>
    <row r="20" spans="1:30" s="1" customFormat="1" x14ac:dyDescent="0.25">
      <c r="A20" s="9">
        <v>42534</v>
      </c>
      <c r="B20" s="18"/>
      <c r="C20" s="62" t="s">
        <v>63</v>
      </c>
      <c r="D20" s="16">
        <v>500</v>
      </c>
      <c r="E20" s="140">
        <v>6.34</v>
      </c>
      <c r="F20" s="16">
        <v>23100</v>
      </c>
      <c r="G20" s="17">
        <v>9.0758104329004308</v>
      </c>
      <c r="H20" s="15">
        <v>209651.22099999999</v>
      </c>
      <c r="I20" s="15">
        <v>-63197.220999999998</v>
      </c>
      <c r="J20" s="33">
        <v>-0.30143979461965598</v>
      </c>
      <c r="K20" s="15">
        <v>146454</v>
      </c>
      <c r="L20" s="15">
        <v>-2717</v>
      </c>
      <c r="M20" s="15">
        <v>5</v>
      </c>
      <c r="N20" s="15">
        <v>0</v>
      </c>
      <c r="O20" s="62"/>
      <c r="P20" s="17">
        <v>-2.73581043290043</v>
      </c>
      <c r="Q20" s="15">
        <v>-3175</v>
      </c>
      <c r="R20" s="62"/>
      <c r="S20" s="35">
        <v>-6833.7360000001199</v>
      </c>
      <c r="T20" s="35">
        <v>-1077.87634069403</v>
      </c>
      <c r="U20" s="35">
        <v>22022.123659305998</v>
      </c>
      <c r="V20" s="15">
        <v>202817.48499999999</v>
      </c>
      <c r="W20" s="17">
        <v>9.2097151091191201</v>
      </c>
      <c r="X20" s="17">
        <v>0.13390467621868901</v>
      </c>
      <c r="Y20" s="17">
        <v>-2.8697151091191202</v>
      </c>
      <c r="Z20" s="146">
        <v>1.0489451588488601</v>
      </c>
      <c r="AA20" s="15">
        <v>-29571.8110000001</v>
      </c>
      <c r="AB20" s="62"/>
      <c r="AC20" s="145">
        <f t="shared" si="0"/>
        <v>-9963.0319226340707</v>
      </c>
      <c r="AD20" s="145">
        <f t="shared" si="1"/>
        <v>-33063.031922634073</v>
      </c>
    </row>
    <row r="21" spans="1:30" s="1" customFormat="1" x14ac:dyDescent="0.25">
      <c r="A21" s="9">
        <v>42536</v>
      </c>
      <c r="B21" s="18"/>
      <c r="C21" s="62" t="s">
        <v>63</v>
      </c>
      <c r="D21" s="16">
        <v>500</v>
      </c>
      <c r="E21" s="140">
        <v>6.32</v>
      </c>
      <c r="F21" s="16">
        <v>23600</v>
      </c>
      <c r="G21" s="17">
        <v>9.0176364830508504</v>
      </c>
      <c r="H21" s="15">
        <v>212816.22099999999</v>
      </c>
      <c r="I21" s="15">
        <v>-63664.220999999998</v>
      </c>
      <c r="J21" s="33">
        <v>-0.29915116761705901</v>
      </c>
      <c r="K21" s="15">
        <v>149152</v>
      </c>
      <c r="L21" s="15">
        <v>-467</v>
      </c>
      <c r="M21" s="15">
        <v>5</v>
      </c>
      <c r="N21" s="15">
        <v>0</v>
      </c>
      <c r="O21" s="62">
        <v>16</v>
      </c>
      <c r="P21" s="17">
        <v>-2.6976364830508501</v>
      </c>
      <c r="Q21" s="15">
        <v>-3165</v>
      </c>
      <c r="R21" s="62"/>
      <c r="S21" s="35">
        <v>-9982.7360000001208</v>
      </c>
      <c r="T21" s="35">
        <v>-1579.54683544306</v>
      </c>
      <c r="U21" s="35">
        <v>22020.4531645569</v>
      </c>
      <c r="V21" s="15">
        <v>202833.48499999999</v>
      </c>
      <c r="W21" s="17">
        <v>9.2111403650162291</v>
      </c>
      <c r="X21" s="17">
        <v>0.19350388196538601</v>
      </c>
      <c r="Y21" s="17">
        <v>-2.8911403650162302</v>
      </c>
      <c r="Z21" s="146">
        <v>1.0717308959828999</v>
      </c>
      <c r="AA21" s="15">
        <v>-30038.8110000001</v>
      </c>
      <c r="AB21" s="62"/>
      <c r="AC21" s="145">
        <f t="shared" ref="AC21:AC84" si="2">I21/E21*(1-0.0005)</f>
        <v>-10068.41596352848</v>
      </c>
      <c r="AD21" s="145">
        <f t="shared" ref="AD21:AD84" si="3">AC21-F21</f>
        <v>-33668.415963528481</v>
      </c>
    </row>
    <row r="22" spans="1:30" s="1" customFormat="1" x14ac:dyDescent="0.25">
      <c r="A22" s="99">
        <v>42541</v>
      </c>
      <c r="B22" s="138"/>
      <c r="C22" s="76" t="s">
        <v>63</v>
      </c>
      <c r="D22" s="77">
        <v>500</v>
      </c>
      <c r="E22" s="139">
        <v>6.31</v>
      </c>
      <c r="F22" s="77">
        <v>23600</v>
      </c>
      <c r="G22" s="32">
        <v>8.9169691101694895</v>
      </c>
      <c r="H22" s="31">
        <v>210440.47099999999</v>
      </c>
      <c r="I22" s="31">
        <v>-61524.470999999998</v>
      </c>
      <c r="J22" s="108">
        <v>-0.29236045095147101</v>
      </c>
      <c r="K22" s="31">
        <v>148916</v>
      </c>
      <c r="L22" s="31">
        <v>-1391</v>
      </c>
      <c r="M22" s="31">
        <v>5</v>
      </c>
      <c r="N22" s="31">
        <v>0</v>
      </c>
      <c r="O22" s="76"/>
      <c r="P22" s="32">
        <v>-2.6069691101694898</v>
      </c>
      <c r="Q22" s="31">
        <v>-3160</v>
      </c>
      <c r="R22" s="76"/>
      <c r="S22" s="34">
        <v>-9921.9860000001208</v>
      </c>
      <c r="T22" s="34">
        <v>-1572.4225039619801</v>
      </c>
      <c r="U22" s="34">
        <v>22027.577496038</v>
      </c>
      <c r="V22" s="31">
        <v>200518.48499999999</v>
      </c>
      <c r="W22" s="32">
        <v>9.1030656928146598</v>
      </c>
      <c r="X22" s="32">
        <v>0.18609658264516901</v>
      </c>
      <c r="Y22" s="32">
        <v>-2.7930656928146602</v>
      </c>
      <c r="Z22" s="144">
        <v>1.07138426839015</v>
      </c>
      <c r="AA22" s="31">
        <v>-27899.0610000001</v>
      </c>
      <c r="AB22" s="76"/>
      <c r="AC22" s="145">
        <f t="shared" si="2"/>
        <v>-9745.4372051505543</v>
      </c>
      <c r="AD22" s="145">
        <f t="shared" si="3"/>
        <v>-33345.437205150556</v>
      </c>
    </row>
    <row r="23" spans="1:30" s="1" customFormat="1" x14ac:dyDescent="0.25">
      <c r="A23" s="9">
        <v>42545</v>
      </c>
      <c r="B23" s="18"/>
      <c r="C23" s="62" t="s">
        <v>63</v>
      </c>
      <c r="D23" s="16">
        <v>500</v>
      </c>
      <c r="E23" s="140">
        <v>6.24</v>
      </c>
      <c r="F23" s="16">
        <v>24100</v>
      </c>
      <c r="G23" s="17">
        <v>8.8616378008298806</v>
      </c>
      <c r="H23" s="15">
        <v>213565.47099999999</v>
      </c>
      <c r="I23" s="15">
        <v>-63181.470999999998</v>
      </c>
      <c r="J23" s="33">
        <v>-0.29584122706802202</v>
      </c>
      <c r="K23" s="15">
        <v>150384</v>
      </c>
      <c r="L23" s="15">
        <v>-1657</v>
      </c>
      <c r="M23" s="15">
        <v>5</v>
      </c>
      <c r="N23" s="15">
        <v>0</v>
      </c>
      <c r="O23" s="62"/>
      <c r="P23" s="17">
        <v>-2.62163780082988</v>
      </c>
      <c r="Q23" s="15">
        <v>-3125</v>
      </c>
      <c r="R23" s="62"/>
      <c r="S23" s="35">
        <v>-13046.986000000101</v>
      </c>
      <c r="T23" s="35">
        <v>-2090.8631410256598</v>
      </c>
      <c r="U23" s="35">
        <v>22009.1368589743</v>
      </c>
      <c r="V23" s="15">
        <v>200518.48499999999</v>
      </c>
      <c r="W23" s="17">
        <v>9.1106928129368008</v>
      </c>
      <c r="X23" s="17">
        <v>0.24905501210692199</v>
      </c>
      <c r="Y23" s="17">
        <v>-2.8706928129368001</v>
      </c>
      <c r="Z23" s="146">
        <v>1.0949997791564099</v>
      </c>
      <c r="AA23" s="15">
        <v>-29556.0610000001</v>
      </c>
      <c r="AB23" s="62"/>
      <c r="AC23" s="145">
        <f t="shared" si="2"/>
        <v>-10120.173119310897</v>
      </c>
      <c r="AD23" s="145">
        <f t="shared" si="3"/>
        <v>-34220.173119310901</v>
      </c>
    </row>
    <row r="24" spans="1:30" s="1" customFormat="1" x14ac:dyDescent="0.25">
      <c r="A24" s="99">
        <v>42557</v>
      </c>
      <c r="B24" s="138"/>
      <c r="C24" s="76" t="s">
        <v>63</v>
      </c>
      <c r="D24" s="77">
        <v>500</v>
      </c>
      <c r="E24" s="31">
        <v>6.69</v>
      </c>
      <c r="F24" s="77">
        <v>22100</v>
      </c>
      <c r="G24" s="32">
        <v>9.0697742533936694</v>
      </c>
      <c r="H24" s="31">
        <v>200442.011</v>
      </c>
      <c r="I24" s="31">
        <v>-52593.0110000001</v>
      </c>
      <c r="J24" s="108">
        <v>-0.26238516934456402</v>
      </c>
      <c r="K24" s="31">
        <v>147849</v>
      </c>
      <c r="L24" s="31">
        <v>-2386</v>
      </c>
      <c r="M24" s="31">
        <v>5</v>
      </c>
      <c r="N24" s="31">
        <v>0</v>
      </c>
      <c r="O24" s="76">
        <v>5</v>
      </c>
      <c r="P24" s="32">
        <v>-2.3797742533936699</v>
      </c>
      <c r="Q24" s="31">
        <v>-3355</v>
      </c>
      <c r="R24" s="76"/>
      <c r="S24" s="34">
        <v>106.473999999871</v>
      </c>
      <c r="T24" s="34">
        <v>15.9153961135831</v>
      </c>
      <c r="U24" s="34">
        <v>22115.9153961136</v>
      </c>
      <c r="V24" s="31">
        <v>200548.48499999999</v>
      </c>
      <c r="W24" s="32">
        <v>9.0680616835440695</v>
      </c>
      <c r="X24" s="32">
        <v>-1.7125698495981099E-3</v>
      </c>
      <c r="Y24" s="32">
        <v>-2.37806168354407</v>
      </c>
      <c r="Z24" s="144">
        <v>0.99928036457779301</v>
      </c>
      <c r="AA24" s="31">
        <v>-18967.601000000101</v>
      </c>
      <c r="AB24" s="76"/>
      <c r="AC24" s="145">
        <f t="shared" si="2"/>
        <v>-7857.5059035127206</v>
      </c>
      <c r="AD24" s="145">
        <f t="shared" si="3"/>
        <v>-29957.50590351272</v>
      </c>
    </row>
    <row r="25" spans="1:30" s="1" customFormat="1" x14ac:dyDescent="0.25">
      <c r="A25" s="99">
        <v>42569</v>
      </c>
      <c r="B25" s="138"/>
      <c r="C25" s="76" t="s">
        <v>63</v>
      </c>
      <c r="D25" s="77">
        <v>500</v>
      </c>
      <c r="E25" s="31">
        <v>6.76</v>
      </c>
      <c r="F25" s="77">
        <v>21600</v>
      </c>
      <c r="G25" s="32">
        <v>9.1221676388888895</v>
      </c>
      <c r="H25" s="31">
        <v>197038.821</v>
      </c>
      <c r="I25" s="31">
        <v>-51022.821000000098</v>
      </c>
      <c r="J25" s="108">
        <v>-0.25894806282869498</v>
      </c>
      <c r="K25" s="31">
        <v>146016</v>
      </c>
      <c r="L25" s="31">
        <v>-1693</v>
      </c>
      <c r="M25" s="31">
        <v>5</v>
      </c>
      <c r="N25" s="31">
        <v>0</v>
      </c>
      <c r="O25" s="76"/>
      <c r="P25" s="32">
        <v>-2.3621676388888901</v>
      </c>
      <c r="Q25" s="31">
        <v>-3385</v>
      </c>
      <c r="R25" s="76"/>
      <c r="S25" s="34">
        <v>3509.6639999998401</v>
      </c>
      <c r="T25" s="34">
        <v>519.18106508873404</v>
      </c>
      <c r="U25" s="34">
        <v>22119.181065088698</v>
      </c>
      <c r="V25" s="31">
        <v>200548.48499999999</v>
      </c>
      <c r="W25" s="32">
        <v>9.0667228777529498</v>
      </c>
      <c r="X25" s="32">
        <v>-5.5444761135941399E-2</v>
      </c>
      <c r="Y25" s="32">
        <v>-2.30672287775295</v>
      </c>
      <c r="Z25" s="144">
        <v>0.97652801595316896</v>
      </c>
      <c r="AA25" s="31">
        <v>-17397.411000000098</v>
      </c>
      <c r="AB25" s="76"/>
      <c r="AC25" s="145">
        <f t="shared" si="2"/>
        <v>-7543.9807085059329</v>
      </c>
      <c r="AD25" s="145">
        <f t="shared" si="3"/>
        <v>-29143.980708505933</v>
      </c>
    </row>
    <row r="26" spans="1:30" s="1" customFormat="1" x14ac:dyDescent="0.25">
      <c r="A26" s="99">
        <v>42578</v>
      </c>
      <c r="B26" s="138"/>
      <c r="C26" s="76" t="s">
        <v>63</v>
      </c>
      <c r="D26" s="77">
        <v>500</v>
      </c>
      <c r="E26" s="31">
        <v>6.51</v>
      </c>
      <c r="F26" s="77">
        <v>22100</v>
      </c>
      <c r="G26" s="32">
        <v>9.0604348868778306</v>
      </c>
      <c r="H26" s="31">
        <v>200235.611</v>
      </c>
      <c r="I26" s="31">
        <v>-56364.611000000099</v>
      </c>
      <c r="J26" s="108">
        <v>-0.28149144259858999</v>
      </c>
      <c r="K26" s="31">
        <v>143871</v>
      </c>
      <c r="L26" s="31">
        <v>-3461</v>
      </c>
      <c r="M26" s="31">
        <v>5</v>
      </c>
      <c r="N26" s="31">
        <v>0</v>
      </c>
      <c r="O26" s="76">
        <v>5</v>
      </c>
      <c r="P26" s="32">
        <v>-2.5504348868778299</v>
      </c>
      <c r="Q26" s="31">
        <v>-3260</v>
      </c>
      <c r="R26" s="76"/>
      <c r="S26" s="34">
        <v>327.87399999983597</v>
      </c>
      <c r="T26" s="34">
        <v>50.364669738838103</v>
      </c>
      <c r="U26" s="34">
        <v>22150.364669738799</v>
      </c>
      <c r="V26" s="31">
        <v>200563.48499999999</v>
      </c>
      <c r="W26" s="32">
        <v>9.0546358035361703</v>
      </c>
      <c r="X26" s="32">
        <v>-5.79908334166213E-3</v>
      </c>
      <c r="Y26" s="32">
        <v>-2.54463580353617</v>
      </c>
      <c r="Z26" s="144">
        <v>0.99772623744621003</v>
      </c>
      <c r="AA26" s="31">
        <v>-22739.201000000099</v>
      </c>
      <c r="AB26" s="76"/>
      <c r="AC26" s="145">
        <f t="shared" si="2"/>
        <v>-8653.8292925499391</v>
      </c>
      <c r="AD26" s="145">
        <f t="shared" si="3"/>
        <v>-30753.829292549941</v>
      </c>
    </row>
    <row r="27" spans="1:30" s="1" customFormat="1" x14ac:dyDescent="0.25">
      <c r="A27" s="99">
        <v>42593</v>
      </c>
      <c r="B27" s="138"/>
      <c r="C27" s="76" t="s">
        <v>63</v>
      </c>
      <c r="D27" s="77">
        <v>500</v>
      </c>
      <c r="E27" s="31">
        <v>6.67</v>
      </c>
      <c r="F27" s="77">
        <v>22100</v>
      </c>
      <c r="G27" s="32">
        <v>9.0599084162896002</v>
      </c>
      <c r="H27" s="31">
        <v>200223.976</v>
      </c>
      <c r="I27" s="31">
        <v>-52816.976000000097</v>
      </c>
      <c r="J27" s="108">
        <v>-0.26378946745119097</v>
      </c>
      <c r="K27" s="31">
        <v>147407</v>
      </c>
      <c r="L27" s="31">
        <v>-1301</v>
      </c>
      <c r="M27" s="31">
        <v>5</v>
      </c>
      <c r="N27" s="31">
        <v>0</v>
      </c>
      <c r="O27" s="76">
        <v>-48</v>
      </c>
      <c r="P27" s="32">
        <v>-2.3899084162895998</v>
      </c>
      <c r="Q27" s="31">
        <v>-3340</v>
      </c>
      <c r="R27" s="76"/>
      <c r="S27" s="34">
        <v>291.508999999845</v>
      </c>
      <c r="T27" s="34">
        <v>43.7044977511013</v>
      </c>
      <c r="U27" s="34">
        <v>22143.7044977511</v>
      </c>
      <c r="V27" s="31">
        <v>200515.48499999999</v>
      </c>
      <c r="W27" s="32">
        <v>9.0551915114458001</v>
      </c>
      <c r="X27" s="32">
        <v>-4.7169048437964997E-3</v>
      </c>
      <c r="Y27" s="32">
        <v>-2.3851915114458002</v>
      </c>
      <c r="Z27" s="144">
        <v>0.99802632401658298</v>
      </c>
      <c r="AA27" s="31">
        <v>-19191.566000000101</v>
      </c>
      <c r="AB27" s="76"/>
      <c r="AC27" s="145">
        <f t="shared" si="2"/>
        <v>-7914.6278128935683</v>
      </c>
      <c r="AD27" s="145">
        <f t="shared" si="3"/>
        <v>-30014.627812893566</v>
      </c>
    </row>
    <row r="28" spans="1:30" s="1" customFormat="1" x14ac:dyDescent="0.25">
      <c r="A28" s="9">
        <v>42594</v>
      </c>
      <c r="B28" s="18"/>
      <c r="C28" s="62" t="s">
        <v>63</v>
      </c>
      <c r="D28" s="16">
        <v>500</v>
      </c>
      <c r="E28" s="15">
        <v>6.62</v>
      </c>
      <c r="F28" s="16">
        <v>22600</v>
      </c>
      <c r="G28" s="17">
        <v>9.0040254867256699</v>
      </c>
      <c r="H28" s="15">
        <v>203490.976</v>
      </c>
      <c r="I28" s="15">
        <v>-53878.976000000097</v>
      </c>
      <c r="J28" s="33">
        <v>-0.26477329392729498</v>
      </c>
      <c r="K28" s="15">
        <v>149612</v>
      </c>
      <c r="L28" s="15">
        <v>-1062</v>
      </c>
      <c r="M28" s="15">
        <v>5</v>
      </c>
      <c r="N28" s="15">
        <v>0</v>
      </c>
      <c r="O28" s="62"/>
      <c r="P28" s="17">
        <v>-2.3840254867256698</v>
      </c>
      <c r="Q28" s="15">
        <v>-3267</v>
      </c>
      <c r="R28" s="62"/>
      <c r="S28" s="35">
        <v>-2975.4910000001501</v>
      </c>
      <c r="T28" s="35">
        <v>-449.46993957706297</v>
      </c>
      <c r="U28" s="35">
        <v>22150.530060422901</v>
      </c>
      <c r="V28" s="15">
        <v>200515.48499999999</v>
      </c>
      <c r="W28" s="17">
        <v>9.0524012045322308</v>
      </c>
      <c r="X28" s="17">
        <v>4.8375717806559103E-2</v>
      </c>
      <c r="Y28" s="17">
        <v>-2.4324012045322299</v>
      </c>
      <c r="Z28" s="146">
        <v>1.02029161100664</v>
      </c>
      <c r="AA28" s="15">
        <v>-20253.566000000101</v>
      </c>
      <c r="AB28" s="62"/>
      <c r="AC28" s="145">
        <f t="shared" si="2"/>
        <v>-8134.7487178247884</v>
      </c>
      <c r="AD28" s="145">
        <f t="shared" si="3"/>
        <v>-30734.74871782479</v>
      </c>
    </row>
    <row r="29" spans="1:30" s="1" customFormat="1" x14ac:dyDescent="0.25">
      <c r="A29" s="99">
        <v>42607</v>
      </c>
      <c r="B29" s="138"/>
      <c r="C29" s="76" t="s">
        <v>63</v>
      </c>
      <c r="D29" s="77">
        <v>500</v>
      </c>
      <c r="E29" s="31">
        <v>6.86</v>
      </c>
      <c r="F29" s="77">
        <v>21100</v>
      </c>
      <c r="G29" s="32">
        <v>9.1510377251184902</v>
      </c>
      <c r="H29" s="31">
        <v>193086.89600000001</v>
      </c>
      <c r="I29" s="31">
        <v>-48340.896000000103</v>
      </c>
      <c r="J29" s="108">
        <v>-0.25035824285041097</v>
      </c>
      <c r="K29" s="31">
        <v>144746</v>
      </c>
      <c r="L29" s="31">
        <v>-2271</v>
      </c>
      <c r="M29" s="31">
        <v>5</v>
      </c>
      <c r="N29" s="31">
        <v>0</v>
      </c>
      <c r="O29" s="76"/>
      <c r="P29" s="32">
        <v>-2.2910377251184899</v>
      </c>
      <c r="Q29" s="31">
        <v>-3435</v>
      </c>
      <c r="R29" s="76"/>
      <c r="S29" s="34">
        <v>7428.5889999998299</v>
      </c>
      <c r="T29" s="34">
        <v>1082.88469387753</v>
      </c>
      <c r="U29" s="34">
        <v>22182.884693877499</v>
      </c>
      <c r="V29" s="31">
        <v>200515.48499999999</v>
      </c>
      <c r="W29" s="32">
        <v>9.03919791168288</v>
      </c>
      <c r="X29" s="32">
        <v>-0.11183981343560701</v>
      </c>
      <c r="Y29" s="32">
        <v>-2.1791979116828801</v>
      </c>
      <c r="Z29" s="144">
        <v>0.95118377484167305</v>
      </c>
      <c r="AA29" s="31">
        <v>-14715.486000000101</v>
      </c>
      <c r="AB29" s="76"/>
      <c r="AC29" s="145">
        <f t="shared" si="2"/>
        <v>-7043.2544536443302</v>
      </c>
      <c r="AD29" s="145">
        <f t="shared" si="3"/>
        <v>-28143.254453644331</v>
      </c>
    </row>
    <row r="30" spans="1:30" s="1" customFormat="1" x14ac:dyDescent="0.25">
      <c r="A30" s="99">
        <v>42613</v>
      </c>
      <c r="B30" s="138"/>
      <c r="C30" s="76" t="s">
        <v>63</v>
      </c>
      <c r="D30" s="77">
        <v>500</v>
      </c>
      <c r="E30" s="31">
        <v>6.9</v>
      </c>
      <c r="F30" s="77">
        <v>20600</v>
      </c>
      <c r="G30" s="32">
        <v>9.2040704368932094</v>
      </c>
      <c r="H30" s="31">
        <v>189603.851</v>
      </c>
      <c r="I30" s="31">
        <v>-47463.851000000097</v>
      </c>
      <c r="J30" s="108">
        <v>-0.25033168234541903</v>
      </c>
      <c r="K30" s="31">
        <v>142140</v>
      </c>
      <c r="L30" s="31">
        <v>-2618</v>
      </c>
      <c r="M30" s="31">
        <v>5</v>
      </c>
      <c r="N30" s="31">
        <v>0</v>
      </c>
      <c r="O30" s="76"/>
      <c r="P30" s="32">
        <v>-2.3040704368932099</v>
      </c>
      <c r="Q30" s="31">
        <v>-3455</v>
      </c>
      <c r="R30" s="76"/>
      <c r="S30" s="34">
        <v>10911.6339999998</v>
      </c>
      <c r="T30" s="34">
        <v>1581.3962318840299</v>
      </c>
      <c r="U30" s="34">
        <v>22181.396231883999</v>
      </c>
      <c r="V30" s="31">
        <v>200515.48499999999</v>
      </c>
      <c r="W30" s="32">
        <v>9.0398044786637204</v>
      </c>
      <c r="X30" s="32">
        <v>-0.164265958229485</v>
      </c>
      <c r="Y30" s="32">
        <v>-2.13980447866372</v>
      </c>
      <c r="Z30" s="144">
        <v>0.928706190748674</v>
      </c>
      <c r="AA30" s="31">
        <v>-13838.441000000101</v>
      </c>
      <c r="AB30" s="76"/>
      <c r="AC30" s="145">
        <f t="shared" si="2"/>
        <v>-6875.3795760145067</v>
      </c>
      <c r="AD30" s="145">
        <f t="shared" si="3"/>
        <v>-27475.379576014508</v>
      </c>
    </row>
    <row r="31" spans="1:30" s="1" customFormat="1" x14ac:dyDescent="0.25">
      <c r="A31" s="99">
        <v>42625</v>
      </c>
      <c r="B31" s="138"/>
      <c r="C31" s="76" t="s">
        <v>63</v>
      </c>
      <c r="D31" s="77">
        <v>500</v>
      </c>
      <c r="E31" s="31">
        <v>7.1</v>
      </c>
      <c r="F31" s="77">
        <v>20100</v>
      </c>
      <c r="G31" s="32">
        <v>9.2496709452736408</v>
      </c>
      <c r="H31" s="31">
        <v>185918.386</v>
      </c>
      <c r="I31" s="31">
        <v>-43208.3860000001</v>
      </c>
      <c r="J31" s="108">
        <v>-0.232405126408531</v>
      </c>
      <c r="K31" s="31">
        <v>142710</v>
      </c>
      <c r="L31" s="31">
        <v>-3141</v>
      </c>
      <c r="M31" s="31">
        <v>5</v>
      </c>
      <c r="N31" s="31">
        <v>0</v>
      </c>
      <c r="O31" s="76"/>
      <c r="P31" s="32">
        <v>-2.1496709452736402</v>
      </c>
      <c r="Q31" s="31">
        <v>-3555</v>
      </c>
      <c r="R31" s="76"/>
      <c r="S31" s="34">
        <v>14597.0989999998</v>
      </c>
      <c r="T31" s="34">
        <v>2055.92943661969</v>
      </c>
      <c r="U31" s="34">
        <v>22155.929436619699</v>
      </c>
      <c r="V31" s="31">
        <v>200515.48499999999</v>
      </c>
      <c r="W31" s="32">
        <v>9.0501951440856505</v>
      </c>
      <c r="X31" s="32">
        <v>-0.199475801187983</v>
      </c>
      <c r="Y31" s="32">
        <v>-1.95019514408565</v>
      </c>
      <c r="Z31" s="144">
        <v>0.90720635563942498</v>
      </c>
      <c r="AA31" s="31">
        <v>-9582.9760000001297</v>
      </c>
      <c r="AB31" s="76"/>
      <c r="AC31" s="145">
        <f t="shared" si="2"/>
        <v>-6082.6453249295919</v>
      </c>
      <c r="AD31" s="145">
        <f t="shared" si="3"/>
        <v>-26182.645324929592</v>
      </c>
    </row>
    <row r="32" spans="1:30" s="1" customFormat="1" x14ac:dyDescent="0.25">
      <c r="A32" s="9">
        <v>42625</v>
      </c>
      <c r="B32" s="18"/>
      <c r="C32" s="62" t="s">
        <v>63</v>
      </c>
      <c r="D32" s="16">
        <v>500</v>
      </c>
      <c r="E32" s="15">
        <v>6.99</v>
      </c>
      <c r="F32" s="16">
        <v>20600</v>
      </c>
      <c r="G32" s="17">
        <v>9.1950672815533991</v>
      </c>
      <c r="H32" s="15">
        <v>189418.386</v>
      </c>
      <c r="I32" s="15">
        <v>-45424.3860000001</v>
      </c>
      <c r="J32" s="33">
        <v>-0.239809803890949</v>
      </c>
      <c r="K32" s="15">
        <v>143994</v>
      </c>
      <c r="L32" s="15">
        <v>-2216</v>
      </c>
      <c r="M32" s="15">
        <v>5</v>
      </c>
      <c r="N32" s="15">
        <v>0</v>
      </c>
      <c r="O32" s="62"/>
      <c r="P32" s="17">
        <v>-2.2050672815533998</v>
      </c>
      <c r="Q32" s="15">
        <v>-3500</v>
      </c>
      <c r="R32" s="62"/>
      <c r="S32" s="35">
        <v>11097.0989999998</v>
      </c>
      <c r="T32" s="35">
        <v>1587.5678111587699</v>
      </c>
      <c r="U32" s="35">
        <v>22187.567811158799</v>
      </c>
      <c r="V32" s="15">
        <v>200515.48499999999</v>
      </c>
      <c r="W32" s="17">
        <v>9.0372900133359693</v>
      </c>
      <c r="X32" s="17">
        <v>-0.15777726821742999</v>
      </c>
      <c r="Y32" s="17">
        <v>-2.0472900133359699</v>
      </c>
      <c r="Z32" s="146">
        <v>0.92844786663095402</v>
      </c>
      <c r="AA32" s="15">
        <v>-11798.976000000101</v>
      </c>
      <c r="AB32" s="62"/>
      <c r="AC32" s="145">
        <f t="shared" si="2"/>
        <v>-6495.2323042918597</v>
      </c>
      <c r="AD32" s="145">
        <f t="shared" si="3"/>
        <v>-27095.232304291858</v>
      </c>
    </row>
    <row r="33" spans="1:30" s="1" customFormat="1" x14ac:dyDescent="0.25">
      <c r="A33" s="99">
        <v>42661</v>
      </c>
      <c r="B33" s="138"/>
      <c r="C33" s="76" t="s">
        <v>63</v>
      </c>
      <c r="D33" s="77">
        <v>500</v>
      </c>
      <c r="E33" s="31">
        <v>7.15</v>
      </c>
      <c r="F33" s="77">
        <v>20600</v>
      </c>
      <c r="G33" s="32">
        <v>9.1891621844660296</v>
      </c>
      <c r="H33" s="31">
        <v>189296.74100000001</v>
      </c>
      <c r="I33" s="31">
        <v>-42006.741000000198</v>
      </c>
      <c r="J33" s="108">
        <v>-0.221909478092917</v>
      </c>
      <c r="K33" s="31">
        <v>147290</v>
      </c>
      <c r="L33" s="31">
        <v>-1412</v>
      </c>
      <c r="M33" s="31">
        <v>5</v>
      </c>
      <c r="N33" s="31">
        <v>0</v>
      </c>
      <c r="O33" s="76"/>
      <c r="P33" s="32">
        <v>-2.0391621844660301</v>
      </c>
      <c r="Q33" s="31">
        <v>-3580</v>
      </c>
      <c r="R33" s="76"/>
      <c r="S33" s="34">
        <v>11218.743999999801</v>
      </c>
      <c r="T33" s="34">
        <v>1569.0551048950699</v>
      </c>
      <c r="U33" s="34">
        <v>22169.055104895098</v>
      </c>
      <c r="V33" s="31">
        <v>200515.48499999999</v>
      </c>
      <c r="W33" s="32">
        <v>9.04483678042393</v>
      </c>
      <c r="X33" s="32">
        <v>-0.14432540404209199</v>
      </c>
      <c r="Y33" s="32">
        <v>-1.8948367804239299</v>
      </c>
      <c r="Z33" s="144">
        <v>0.92922318531525405</v>
      </c>
      <c r="AA33" s="31">
        <v>-8381.3310000001693</v>
      </c>
      <c r="AB33" s="76"/>
      <c r="AC33" s="145">
        <f t="shared" si="2"/>
        <v>-5872.1311369930345</v>
      </c>
      <c r="AD33" s="145">
        <f t="shared" si="3"/>
        <v>-26472.131136993034</v>
      </c>
    </row>
    <row r="34" spans="1:30" s="1" customFormat="1" x14ac:dyDescent="0.25">
      <c r="A34" s="99">
        <v>42674</v>
      </c>
      <c r="B34" s="138"/>
      <c r="C34" s="76" t="s">
        <v>63</v>
      </c>
      <c r="D34" s="77">
        <v>500</v>
      </c>
      <c r="E34" s="31">
        <v>7.17</v>
      </c>
      <c r="F34" s="77">
        <v>20600</v>
      </c>
      <c r="G34" s="32">
        <v>9.1849092718446705</v>
      </c>
      <c r="H34" s="31">
        <v>189209.13099999999</v>
      </c>
      <c r="I34" s="31">
        <v>-41507.131000000198</v>
      </c>
      <c r="J34" s="108">
        <v>-0.219371712034342</v>
      </c>
      <c r="K34" s="31">
        <v>147702</v>
      </c>
      <c r="L34" s="31">
        <v>-4226</v>
      </c>
      <c r="M34" s="31">
        <v>5</v>
      </c>
      <c r="N34" s="31">
        <v>0</v>
      </c>
      <c r="O34" s="76"/>
      <c r="P34" s="32">
        <v>-2.0149092718446702</v>
      </c>
      <c r="Q34" s="31">
        <v>-3590</v>
      </c>
      <c r="R34" s="76"/>
      <c r="S34" s="34">
        <v>11306.353999999799</v>
      </c>
      <c r="T34" s="34">
        <v>1576.8973500697</v>
      </c>
      <c r="U34" s="34">
        <v>22176.897350069699</v>
      </c>
      <c r="V34" s="31">
        <v>200515.48499999999</v>
      </c>
      <c r="W34" s="32">
        <v>9.0416383245499308</v>
      </c>
      <c r="X34" s="32">
        <v>-0.14327094729474299</v>
      </c>
      <c r="Y34" s="32">
        <v>-1.87163832454993</v>
      </c>
      <c r="Z34" s="144">
        <v>0.92889459128669605</v>
      </c>
      <c r="AA34" s="31">
        <v>-7881.7210000001796</v>
      </c>
      <c r="AB34" s="76"/>
      <c r="AC34" s="145">
        <f t="shared" si="2"/>
        <v>-5786.1056394003062</v>
      </c>
      <c r="AD34" s="145">
        <f t="shared" si="3"/>
        <v>-26386.105639400306</v>
      </c>
    </row>
    <row r="35" spans="1:30" s="1" customFormat="1" x14ac:dyDescent="0.25">
      <c r="A35" s="99">
        <v>42718</v>
      </c>
      <c r="B35" s="138"/>
      <c r="C35" s="76" t="s">
        <v>63</v>
      </c>
      <c r="D35" s="77">
        <v>500</v>
      </c>
      <c r="E35" s="31">
        <v>7.22</v>
      </c>
      <c r="F35" s="77">
        <v>22100</v>
      </c>
      <c r="G35" s="32">
        <v>9.0335876018099608</v>
      </c>
      <c r="H35" s="31">
        <v>199642.28599999999</v>
      </c>
      <c r="I35" s="31">
        <v>-40080.286000000197</v>
      </c>
      <c r="J35" s="108">
        <v>-0.200760504215025</v>
      </c>
      <c r="K35" s="31">
        <v>159562</v>
      </c>
      <c r="L35" s="31">
        <v>-2597</v>
      </c>
      <c r="M35" s="31">
        <v>5</v>
      </c>
      <c r="N35" s="31">
        <v>0</v>
      </c>
      <c r="O35" s="76"/>
      <c r="P35" s="32">
        <v>-1.8135876018099599</v>
      </c>
      <c r="Q35" s="31">
        <v>-3615</v>
      </c>
      <c r="R35" s="76"/>
      <c r="S35" s="34">
        <v>873.19899999975996</v>
      </c>
      <c r="T35" s="34">
        <v>120.94168975065899</v>
      </c>
      <c r="U35" s="34">
        <v>22220.9416897507</v>
      </c>
      <c r="V35" s="31">
        <v>200515.48499999999</v>
      </c>
      <c r="W35" s="32">
        <v>9.0237168073073608</v>
      </c>
      <c r="X35" s="32">
        <v>-9.8707945025981996E-3</v>
      </c>
      <c r="Y35" s="32">
        <v>-1.8037168073073599</v>
      </c>
      <c r="Z35" s="144">
        <v>0.99455731033188199</v>
      </c>
      <c r="AA35" s="31">
        <v>-6454.8760000001803</v>
      </c>
      <c r="AB35" s="76"/>
      <c r="AC35" s="145">
        <f t="shared" si="2"/>
        <v>-5548.5105065097223</v>
      </c>
      <c r="AD35" s="145">
        <f t="shared" si="3"/>
        <v>-27648.510506509723</v>
      </c>
    </row>
    <row r="36" spans="1:30" s="1" customFormat="1" x14ac:dyDescent="0.25">
      <c r="A36" s="99">
        <v>42751</v>
      </c>
      <c r="B36" s="138"/>
      <c r="C36" s="76" t="s">
        <v>63</v>
      </c>
      <c r="D36" s="77">
        <v>500</v>
      </c>
      <c r="E36" s="31">
        <v>7.28</v>
      </c>
      <c r="F36" s="77">
        <v>21100</v>
      </c>
      <c r="G36" s="32">
        <v>9.0897088151658902</v>
      </c>
      <c r="H36" s="31">
        <v>191792.856</v>
      </c>
      <c r="I36" s="31">
        <v>-38184.856000000203</v>
      </c>
      <c r="J36" s="108">
        <v>-0.199094256148937</v>
      </c>
      <c r="K36" s="31">
        <v>153608</v>
      </c>
      <c r="L36" s="31">
        <v>-4331</v>
      </c>
      <c r="M36" s="31">
        <v>5</v>
      </c>
      <c r="N36" s="31">
        <v>0</v>
      </c>
      <c r="O36" s="76"/>
      <c r="P36" s="32">
        <v>-1.80970881516589</v>
      </c>
      <c r="Q36" s="31">
        <v>-3645</v>
      </c>
      <c r="R36" s="76"/>
      <c r="S36" s="34">
        <v>8722.6289999997207</v>
      </c>
      <c r="T36" s="34">
        <v>1198.16332417579</v>
      </c>
      <c r="U36" s="34">
        <v>22298.163324175799</v>
      </c>
      <c r="V36" s="31">
        <v>200515.48499999999</v>
      </c>
      <c r="W36" s="32">
        <v>8.9924664235731004</v>
      </c>
      <c r="X36" s="32">
        <v>-9.7242391592786206E-2</v>
      </c>
      <c r="Y36" s="32">
        <v>-1.7124664235731</v>
      </c>
      <c r="Z36" s="144">
        <v>0.94626627732712298</v>
      </c>
      <c r="AA36" s="31">
        <v>-4559.44600000021</v>
      </c>
      <c r="AB36" s="76"/>
      <c r="AC36" s="145">
        <f t="shared" si="2"/>
        <v>-5242.5499412088193</v>
      </c>
      <c r="AD36" s="145">
        <f t="shared" si="3"/>
        <v>-26342.549941208817</v>
      </c>
    </row>
    <row r="37" spans="1:30" s="1" customFormat="1" x14ac:dyDescent="0.25">
      <c r="A37" s="99">
        <v>42753</v>
      </c>
      <c r="B37" s="138" t="s">
        <v>389</v>
      </c>
      <c r="C37" s="76" t="s">
        <v>69</v>
      </c>
      <c r="D37" s="77">
        <v>500</v>
      </c>
      <c r="E37" s="31">
        <v>7.74</v>
      </c>
      <c r="F37" s="77">
        <v>19600</v>
      </c>
      <c r="G37" s="32">
        <v>9.2065931632653193</v>
      </c>
      <c r="H37" s="31">
        <v>180449.226</v>
      </c>
      <c r="I37" s="31">
        <v>-28745.226000000199</v>
      </c>
      <c r="J37" s="108">
        <v>-0.159298139632919</v>
      </c>
      <c r="K37" s="31">
        <v>151704</v>
      </c>
      <c r="L37" s="31">
        <v>2604.13</v>
      </c>
      <c r="M37" s="31">
        <v>5</v>
      </c>
      <c r="N37" s="31">
        <v>3.87</v>
      </c>
      <c r="O37" s="76"/>
      <c r="P37" s="32">
        <v>-1.46659316326532</v>
      </c>
      <c r="Q37" s="31">
        <v>3861.13</v>
      </c>
      <c r="R37" s="76"/>
      <c r="S37" s="34">
        <v>20066.2589999997</v>
      </c>
      <c r="T37" s="34">
        <v>2592.5399224805901</v>
      </c>
      <c r="U37" s="34">
        <v>22192.539922480599</v>
      </c>
      <c r="V37" s="31">
        <v>200515.48499999999</v>
      </c>
      <c r="W37" s="32">
        <v>9.0352652603266002</v>
      </c>
      <c r="X37" s="32">
        <v>-0.171327902938719</v>
      </c>
      <c r="Y37" s="32">
        <v>-1.2952652603265999</v>
      </c>
      <c r="Z37" s="144">
        <v>0.883179666160952</v>
      </c>
      <c r="AA37" s="31">
        <v>4880.1839999997901</v>
      </c>
      <c r="AB37" s="76"/>
      <c r="AC37" s="145">
        <f t="shared" si="2"/>
        <v>-3711.9965616279328</v>
      </c>
      <c r="AD37" s="145">
        <f t="shared" si="3"/>
        <v>-23311.996561627933</v>
      </c>
    </row>
    <row r="38" spans="1:30" s="1" customFormat="1" x14ac:dyDescent="0.25">
      <c r="A38" s="99">
        <v>42759</v>
      </c>
      <c r="B38" s="138" t="s">
        <v>179</v>
      </c>
      <c r="C38" s="76" t="s">
        <v>69</v>
      </c>
      <c r="D38" s="77">
        <v>500</v>
      </c>
      <c r="E38" s="31">
        <v>8.06</v>
      </c>
      <c r="F38" s="77">
        <v>18100</v>
      </c>
      <c r="G38" s="32">
        <v>9.3080207734806706</v>
      </c>
      <c r="H38" s="31">
        <v>168475.17600000001</v>
      </c>
      <c r="I38" s="31">
        <v>-22589.1760000002</v>
      </c>
      <c r="J38" s="108">
        <v>-0.134080144839855</v>
      </c>
      <c r="K38" s="31">
        <v>145886</v>
      </c>
      <c r="L38" s="31">
        <v>1106.97</v>
      </c>
      <c r="M38" s="31">
        <v>5</v>
      </c>
      <c r="N38" s="31">
        <v>4.03</v>
      </c>
      <c r="O38" s="76"/>
      <c r="P38" s="32">
        <v>-1.2480207734806701</v>
      </c>
      <c r="Q38" s="31">
        <v>4020.97</v>
      </c>
      <c r="R38" s="76"/>
      <c r="S38" s="34">
        <v>32040.308999999699</v>
      </c>
      <c r="T38" s="34">
        <v>3975.22444168731</v>
      </c>
      <c r="U38" s="34">
        <v>22075.2244416873</v>
      </c>
      <c r="V38" s="31">
        <v>200515.48499999999</v>
      </c>
      <c r="W38" s="32">
        <v>9.0832818270849494</v>
      </c>
      <c r="X38" s="32">
        <v>-0.22473894639572101</v>
      </c>
      <c r="Y38" s="32">
        <v>-1.02328182708495</v>
      </c>
      <c r="Z38" s="144">
        <v>0.81992371347398796</v>
      </c>
      <c r="AA38" s="31">
        <v>11036.2339999998</v>
      </c>
      <c r="AB38" s="76"/>
      <c r="AC38" s="145">
        <f t="shared" si="2"/>
        <v>-2801.2259816377418</v>
      </c>
      <c r="AD38" s="145">
        <f t="shared" si="3"/>
        <v>-20901.225981637741</v>
      </c>
    </row>
    <row r="39" spans="1:30" s="1" customFormat="1" x14ac:dyDescent="0.25">
      <c r="A39" s="9">
        <v>42759</v>
      </c>
      <c r="B39" s="18" t="s">
        <v>180</v>
      </c>
      <c r="C39" s="62" t="s">
        <v>69</v>
      </c>
      <c r="D39" s="16">
        <v>500</v>
      </c>
      <c r="E39" s="15">
        <v>8.15</v>
      </c>
      <c r="F39" s="16">
        <v>17600</v>
      </c>
      <c r="G39" s="17">
        <v>9.3414347159091005</v>
      </c>
      <c r="H39" s="15">
        <v>164409.25099999999</v>
      </c>
      <c r="I39" s="15">
        <v>-20969.2510000002</v>
      </c>
      <c r="J39" s="33">
        <v>-0.12754301155474601</v>
      </c>
      <c r="K39" s="15">
        <v>143440</v>
      </c>
      <c r="L39" s="15">
        <v>1619.92499999999</v>
      </c>
      <c r="M39" s="15">
        <v>5</v>
      </c>
      <c r="N39" s="15">
        <v>4.0750000000000002</v>
      </c>
      <c r="O39" s="62"/>
      <c r="P39" s="17">
        <v>-1.1914347159091001</v>
      </c>
      <c r="Q39" s="15">
        <v>4065.9249999999902</v>
      </c>
      <c r="R39" s="62"/>
      <c r="S39" s="35">
        <v>36106.233999999698</v>
      </c>
      <c r="T39" s="35">
        <v>4430.2127607361599</v>
      </c>
      <c r="U39" s="35">
        <v>22030.212760736202</v>
      </c>
      <c r="V39" s="15">
        <v>200515.48499999999</v>
      </c>
      <c r="W39" s="17">
        <v>9.1018406030727608</v>
      </c>
      <c r="X39" s="17">
        <v>-0.23959411283634699</v>
      </c>
      <c r="Y39" s="17">
        <v>-0.95184060307275498</v>
      </c>
      <c r="Z39" s="146">
        <v>0.79890286086424001</v>
      </c>
      <c r="AA39" s="15">
        <v>12606.1589999998</v>
      </c>
      <c r="AB39" s="62">
        <v>50</v>
      </c>
      <c r="AC39" s="145">
        <f t="shared" si="2"/>
        <v>-2571.6277760122948</v>
      </c>
      <c r="AD39" s="145">
        <f t="shared" si="3"/>
        <v>-20171.627776012294</v>
      </c>
    </row>
    <row r="40" spans="1:30" s="1" customFormat="1" x14ac:dyDescent="0.25">
      <c r="A40" s="99">
        <v>42769</v>
      </c>
      <c r="B40" s="138" t="s">
        <v>194</v>
      </c>
      <c r="C40" s="76" t="s">
        <v>69</v>
      </c>
      <c r="D40" s="77">
        <v>500</v>
      </c>
      <c r="E40" s="31">
        <v>8.01</v>
      </c>
      <c r="F40" s="77">
        <v>18100</v>
      </c>
      <c r="G40" s="32">
        <v>9.3026660773480803</v>
      </c>
      <c r="H40" s="31">
        <v>168378.25599999999</v>
      </c>
      <c r="I40" s="31">
        <v>-23397.256000000201</v>
      </c>
      <c r="J40" s="108">
        <v>-0.138956517045765</v>
      </c>
      <c r="K40" s="31">
        <v>144981</v>
      </c>
      <c r="L40" s="31">
        <v>1850.9949999999999</v>
      </c>
      <c r="M40" s="31">
        <v>5</v>
      </c>
      <c r="N40" s="31">
        <v>4.0049999999999999</v>
      </c>
      <c r="O40" s="76"/>
      <c r="P40" s="32">
        <v>-1.29266607734808</v>
      </c>
      <c r="Q40" s="31">
        <v>3995.9949999999999</v>
      </c>
      <c r="R40" s="76"/>
      <c r="S40" s="34">
        <v>32137.228999999701</v>
      </c>
      <c r="T40" s="34">
        <v>4012.1384519350499</v>
      </c>
      <c r="U40" s="34">
        <v>22112.138451934999</v>
      </c>
      <c r="V40" s="31">
        <v>200515.48499999999</v>
      </c>
      <c r="W40" s="32">
        <v>9.0681181938082798</v>
      </c>
      <c r="X40" s="32">
        <v>-0.234547883539793</v>
      </c>
      <c r="Y40" s="32">
        <v>-1.05811819380828</v>
      </c>
      <c r="Z40" s="144">
        <v>0.818554932592513</v>
      </c>
      <c r="AA40" s="31">
        <v>10178.1539999998</v>
      </c>
      <c r="AB40" s="76"/>
      <c r="AC40" s="145">
        <f t="shared" si="2"/>
        <v>-2919.5452399500878</v>
      </c>
      <c r="AD40" s="145">
        <f t="shared" si="3"/>
        <v>-21019.545239950086</v>
      </c>
    </row>
    <row r="41" spans="1:30" s="1" customFormat="1" x14ac:dyDescent="0.25">
      <c r="A41" s="99">
        <v>42773</v>
      </c>
      <c r="B41" s="138" t="s">
        <v>205</v>
      </c>
      <c r="C41" s="76" t="s">
        <v>69</v>
      </c>
      <c r="D41" s="77">
        <v>500</v>
      </c>
      <c r="E41" s="31">
        <v>8.19</v>
      </c>
      <c r="F41" s="77">
        <v>17100</v>
      </c>
      <c r="G41" s="32">
        <v>9.3702585380117096</v>
      </c>
      <c r="H41" s="31">
        <v>160231.421</v>
      </c>
      <c r="I41" s="31">
        <v>-20182.421000000199</v>
      </c>
      <c r="J41" s="108">
        <v>-0.12595794803567401</v>
      </c>
      <c r="K41" s="31">
        <v>140049</v>
      </c>
      <c r="L41" s="31">
        <v>870.90499999999895</v>
      </c>
      <c r="M41" s="31">
        <v>5</v>
      </c>
      <c r="N41" s="31">
        <v>4.0949999999999998</v>
      </c>
      <c r="O41" s="76"/>
      <c r="P41" s="32">
        <v>-1.1802585380117101</v>
      </c>
      <c r="Q41" s="31">
        <v>4085.9050000000002</v>
      </c>
      <c r="R41" s="76"/>
      <c r="S41" s="34">
        <v>40284.0639999997</v>
      </c>
      <c r="T41" s="34">
        <v>4918.6891330891003</v>
      </c>
      <c r="U41" s="34">
        <v>22018.689133089101</v>
      </c>
      <c r="V41" s="31">
        <v>200515.48499999999</v>
      </c>
      <c r="W41" s="32">
        <v>9.1066041119891494</v>
      </c>
      <c r="X41" s="32">
        <v>-0.26365442602256201</v>
      </c>
      <c r="Y41" s="32">
        <v>-0.91660411198914604</v>
      </c>
      <c r="Z41" s="144">
        <v>0.77661298983973504</v>
      </c>
      <c r="AA41" s="31">
        <v>13392.988999999799</v>
      </c>
      <c r="AB41" s="76"/>
      <c r="AC41" s="145">
        <f t="shared" si="2"/>
        <v>-2463.0439303419048</v>
      </c>
      <c r="AD41" s="145">
        <f t="shared" si="3"/>
        <v>-19563.043930341904</v>
      </c>
    </row>
    <row r="42" spans="1:30" s="1" customFormat="1" x14ac:dyDescent="0.25">
      <c r="A42" s="9">
        <v>42774</v>
      </c>
      <c r="B42" s="18" t="s">
        <v>184</v>
      </c>
      <c r="C42" s="62" t="s">
        <v>69</v>
      </c>
      <c r="D42" s="16">
        <v>500</v>
      </c>
      <c r="E42" s="15">
        <v>8.25</v>
      </c>
      <c r="F42" s="16">
        <v>16600</v>
      </c>
      <c r="G42" s="17">
        <v>9.4045509638554297</v>
      </c>
      <c r="H42" s="15">
        <v>156115.546</v>
      </c>
      <c r="I42" s="15">
        <v>-19165.546000000199</v>
      </c>
      <c r="J42" s="33">
        <v>-0.122765134485711</v>
      </c>
      <c r="K42" s="15">
        <v>136950</v>
      </c>
      <c r="L42" s="15">
        <v>1016.875</v>
      </c>
      <c r="M42" s="15">
        <v>5</v>
      </c>
      <c r="N42" s="15">
        <v>4.125</v>
      </c>
      <c r="O42" s="62"/>
      <c r="P42" s="17">
        <v>-1.1545509638554301</v>
      </c>
      <c r="Q42" s="15">
        <v>4115.875</v>
      </c>
      <c r="R42" s="62"/>
      <c r="S42" s="35">
        <v>44399.9389999997</v>
      </c>
      <c r="T42" s="35">
        <v>5381.8107878787496</v>
      </c>
      <c r="U42" s="35">
        <v>21981.8107878788</v>
      </c>
      <c r="V42" s="15">
        <v>200515.48499999999</v>
      </c>
      <c r="W42" s="17">
        <v>9.1218820385156096</v>
      </c>
      <c r="X42" s="17">
        <v>-0.28266892533982202</v>
      </c>
      <c r="Y42" s="17">
        <v>-0.87188203851561097</v>
      </c>
      <c r="Z42" s="146">
        <v>0.75516981563473395</v>
      </c>
      <c r="AA42" s="15">
        <v>14409.863999999799</v>
      </c>
      <c r="AB42" s="62"/>
      <c r="AC42" s="145">
        <f t="shared" si="2"/>
        <v>-2321.9349366060851</v>
      </c>
      <c r="AD42" s="145">
        <f t="shared" si="3"/>
        <v>-18921.934936606085</v>
      </c>
    </row>
    <row r="43" spans="1:30" s="1" customFormat="1" x14ac:dyDescent="0.25">
      <c r="A43" s="99">
        <v>42774</v>
      </c>
      <c r="B43" s="138" t="s">
        <v>181</v>
      </c>
      <c r="C43" s="76" t="s">
        <v>69</v>
      </c>
      <c r="D43" s="77">
        <v>500</v>
      </c>
      <c r="E43" s="31">
        <v>8.2100000000000009</v>
      </c>
      <c r="F43" s="77">
        <v>16600</v>
      </c>
      <c r="G43" s="32">
        <v>9.4029910240963996</v>
      </c>
      <c r="H43" s="31">
        <v>156089.65100000001</v>
      </c>
      <c r="I43" s="31">
        <v>-19803.651000000202</v>
      </c>
      <c r="J43" s="108">
        <v>-0.12687356831876201</v>
      </c>
      <c r="K43" s="31">
        <v>136286</v>
      </c>
      <c r="L43" s="31">
        <v>1358.89499999999</v>
      </c>
      <c r="M43" s="31">
        <v>5</v>
      </c>
      <c r="N43" s="31">
        <v>4.1050000000000004</v>
      </c>
      <c r="O43" s="76"/>
      <c r="P43" s="32">
        <v>-1.1929910240963999</v>
      </c>
      <c r="Q43" s="31">
        <v>4095.89499999999</v>
      </c>
      <c r="R43" s="76"/>
      <c r="S43" s="34">
        <v>44425.833999999697</v>
      </c>
      <c r="T43" s="34">
        <v>5411.1856272837604</v>
      </c>
      <c r="U43" s="34">
        <v>22011.185627283801</v>
      </c>
      <c r="V43" s="31">
        <v>200515.48499999999</v>
      </c>
      <c r="W43" s="32">
        <v>9.1097085089070706</v>
      </c>
      <c r="X43" s="32">
        <v>-0.29328251518932702</v>
      </c>
      <c r="Y43" s="32">
        <v>-0.89970850890706999</v>
      </c>
      <c r="Z43" s="144">
        <v>0.75416201022009599</v>
      </c>
      <c r="AA43" s="31">
        <v>13771.7589999998</v>
      </c>
      <c r="AB43" s="76"/>
      <c r="AC43" s="145">
        <f t="shared" si="2"/>
        <v>-2410.9316899513033</v>
      </c>
      <c r="AD43" s="145">
        <f t="shared" si="3"/>
        <v>-19010.931689951303</v>
      </c>
    </row>
    <row r="44" spans="1:30" s="1" customFormat="1" x14ac:dyDescent="0.25">
      <c r="A44" s="9">
        <v>42774</v>
      </c>
      <c r="B44" s="18" t="s">
        <v>390</v>
      </c>
      <c r="C44" s="62" t="s">
        <v>69</v>
      </c>
      <c r="D44" s="16">
        <v>500</v>
      </c>
      <c r="E44" s="15">
        <v>8.26</v>
      </c>
      <c r="F44" s="16">
        <v>16100</v>
      </c>
      <c r="G44" s="17">
        <v>9.4390547204969106</v>
      </c>
      <c r="H44" s="15">
        <v>151968.78099999999</v>
      </c>
      <c r="I44" s="15">
        <v>-18982.781000000199</v>
      </c>
      <c r="J44" s="33">
        <v>-0.12491237262737701</v>
      </c>
      <c r="K44" s="15">
        <v>132986</v>
      </c>
      <c r="L44" s="15">
        <v>820.869999999995</v>
      </c>
      <c r="M44" s="15">
        <v>5</v>
      </c>
      <c r="N44" s="15">
        <v>4.13</v>
      </c>
      <c r="O44" s="62"/>
      <c r="P44" s="17">
        <v>-1.17905472049691</v>
      </c>
      <c r="Q44" s="15">
        <v>4120.87</v>
      </c>
      <c r="R44" s="62"/>
      <c r="S44" s="35">
        <v>48546.7039999997</v>
      </c>
      <c r="T44" s="35">
        <v>5877.3249394672803</v>
      </c>
      <c r="U44" s="35">
        <v>21977.3249394673</v>
      </c>
      <c r="V44" s="15">
        <v>200515.48499999999</v>
      </c>
      <c r="W44" s="17">
        <v>9.12374392935833</v>
      </c>
      <c r="X44" s="17">
        <v>-0.31531079113858101</v>
      </c>
      <c r="Y44" s="17">
        <v>-0.863743929358328</v>
      </c>
      <c r="Z44" s="146">
        <v>0.73257323374635697</v>
      </c>
      <c r="AA44" s="15">
        <v>14592.628999999801</v>
      </c>
      <c r="AB44" s="62"/>
      <c r="AC44" s="145">
        <f t="shared" si="2"/>
        <v>-2297.0084273002662</v>
      </c>
      <c r="AD44" s="145">
        <f t="shared" si="3"/>
        <v>-18397.008427300265</v>
      </c>
    </row>
    <row r="45" spans="1:30" s="1" customFormat="1" x14ac:dyDescent="0.25">
      <c r="A45" s="99">
        <v>42776</v>
      </c>
      <c r="B45" s="138" t="s">
        <v>391</v>
      </c>
      <c r="C45" s="76" t="s">
        <v>69</v>
      </c>
      <c r="D45" s="76">
        <v>500</v>
      </c>
      <c r="E45" s="31">
        <v>9.07</v>
      </c>
      <c r="F45" s="77">
        <v>12100</v>
      </c>
      <c r="G45" s="32">
        <v>9.7081285950413392</v>
      </c>
      <c r="H45" s="31">
        <v>117468.356</v>
      </c>
      <c r="I45" s="31">
        <v>-7721.3560000001999</v>
      </c>
      <c r="J45" s="108">
        <v>-6.5731370242384193E-2</v>
      </c>
      <c r="K45" s="31">
        <v>109747</v>
      </c>
      <c r="L45" s="31">
        <v>1502.4650000000099</v>
      </c>
      <c r="M45" s="31">
        <v>5</v>
      </c>
      <c r="N45" s="31">
        <v>4.5350000000000001</v>
      </c>
      <c r="O45" s="76"/>
      <c r="P45" s="32">
        <v>-0.63812859504133901</v>
      </c>
      <c r="Q45" s="31">
        <v>4525.4650000000001</v>
      </c>
      <c r="R45" s="76"/>
      <c r="S45" s="34">
        <v>83047.128999999695</v>
      </c>
      <c r="T45" s="34">
        <v>9156.2435501653508</v>
      </c>
      <c r="U45" s="34">
        <v>21256.243550165302</v>
      </c>
      <c r="V45" s="31">
        <v>200515.48499999999</v>
      </c>
      <c r="W45" s="32">
        <v>9.4332512010778196</v>
      </c>
      <c r="X45" s="32">
        <v>-0.27487739396352001</v>
      </c>
      <c r="Y45" s="32">
        <v>-0.363251201077819</v>
      </c>
      <c r="Z45" s="144">
        <v>0.56924451262724995</v>
      </c>
      <c r="AA45" s="31">
        <v>25854.0539999998</v>
      </c>
      <c r="AB45" s="76"/>
      <c r="AC45" s="145">
        <f t="shared" si="2"/>
        <v>-850.8815128996913</v>
      </c>
      <c r="AD45" s="145">
        <f t="shared" si="3"/>
        <v>-12950.881512899692</v>
      </c>
    </row>
    <row r="46" spans="1:30" s="1" customFormat="1" x14ac:dyDescent="0.25">
      <c r="A46" s="99">
        <v>42779</v>
      </c>
      <c r="B46" s="138" t="s">
        <v>391</v>
      </c>
      <c r="C46" s="76" t="s">
        <v>69</v>
      </c>
      <c r="D46" s="76">
        <v>500</v>
      </c>
      <c r="E46" s="31">
        <v>9.01</v>
      </c>
      <c r="F46" s="77">
        <v>12100</v>
      </c>
      <c r="G46" s="32">
        <v>9.7031290082644794</v>
      </c>
      <c r="H46" s="31">
        <v>117407.861</v>
      </c>
      <c r="I46" s="31">
        <v>-8386.86100000021</v>
      </c>
      <c r="J46" s="108">
        <v>-7.1433555884304806E-2</v>
      </c>
      <c r="K46" s="31">
        <v>109021</v>
      </c>
      <c r="L46" s="31">
        <v>1880.4949999999999</v>
      </c>
      <c r="M46" s="31">
        <v>5</v>
      </c>
      <c r="N46" s="31">
        <v>4.5049999999999999</v>
      </c>
      <c r="O46" s="76"/>
      <c r="P46" s="32">
        <v>-0.69312900826447998</v>
      </c>
      <c r="Q46" s="31">
        <v>4495.4949999999999</v>
      </c>
      <c r="R46" s="76"/>
      <c r="S46" s="34">
        <v>83107.623999999705</v>
      </c>
      <c r="T46" s="34">
        <v>9223.9316315204996</v>
      </c>
      <c r="U46" s="34">
        <v>21323.9316315205</v>
      </c>
      <c r="V46" s="31">
        <v>200515.48499999999</v>
      </c>
      <c r="W46" s="32">
        <v>9.4033074418416795</v>
      </c>
      <c r="X46" s="32">
        <v>-0.299821566422798</v>
      </c>
      <c r="Y46" s="32">
        <v>-0.39330744184168198</v>
      </c>
      <c r="Z46" s="144">
        <v>0.56743757244626003</v>
      </c>
      <c r="AA46" s="31">
        <v>25188.548999999799</v>
      </c>
      <c r="AB46" s="76"/>
      <c r="AC46" s="145">
        <f t="shared" si="2"/>
        <v>-930.37375910102219</v>
      </c>
      <c r="AD46" s="145">
        <f t="shared" si="3"/>
        <v>-13030.373759101021</v>
      </c>
    </row>
    <row r="47" spans="1:30" s="1" customFormat="1" x14ac:dyDescent="0.25">
      <c r="A47" s="99">
        <v>42779</v>
      </c>
      <c r="B47" s="138" t="s">
        <v>391</v>
      </c>
      <c r="C47" s="76" t="s">
        <v>69</v>
      </c>
      <c r="D47" s="76">
        <v>500</v>
      </c>
      <c r="E47" s="31">
        <v>8.84</v>
      </c>
      <c r="F47" s="77">
        <v>12100</v>
      </c>
      <c r="G47" s="32">
        <v>9.6985356198347308</v>
      </c>
      <c r="H47" s="31">
        <v>117352.281</v>
      </c>
      <c r="I47" s="31">
        <v>-10388.281000000199</v>
      </c>
      <c r="J47" s="108">
        <v>-8.8522190719072497E-2</v>
      </c>
      <c r="K47" s="31">
        <v>106964</v>
      </c>
      <c r="L47" s="31">
        <v>1754.5800000000199</v>
      </c>
      <c r="M47" s="31">
        <v>5</v>
      </c>
      <c r="N47" s="31">
        <v>4.42</v>
      </c>
      <c r="O47" s="76"/>
      <c r="P47" s="32">
        <v>-0.85853561983472704</v>
      </c>
      <c r="Q47" s="31">
        <v>4410.58</v>
      </c>
      <c r="R47" s="76"/>
      <c r="S47" s="34">
        <v>83163.203999999707</v>
      </c>
      <c r="T47" s="34">
        <v>9407.6022624434099</v>
      </c>
      <c r="U47" s="34">
        <v>21507.602262443401</v>
      </c>
      <c r="V47" s="31">
        <v>200515.48499999999</v>
      </c>
      <c r="W47" s="32">
        <v>9.3230050729615801</v>
      </c>
      <c r="X47" s="32">
        <v>-0.37553054687314402</v>
      </c>
      <c r="Y47" s="32">
        <v>-0.48300507296158401</v>
      </c>
      <c r="Z47" s="144">
        <v>0.56259176882441397</v>
      </c>
      <c r="AA47" s="31">
        <v>23187.128999999801</v>
      </c>
      <c r="AB47" s="76"/>
      <c r="AC47" s="145">
        <f t="shared" si="2"/>
        <v>-1174.5573370475338</v>
      </c>
      <c r="AD47" s="145">
        <f t="shared" si="3"/>
        <v>-13274.557337047534</v>
      </c>
    </row>
    <row r="48" spans="1:30" s="1" customFormat="1" x14ac:dyDescent="0.25">
      <c r="A48" s="99">
        <v>42782</v>
      </c>
      <c r="B48" s="138"/>
      <c r="C48" s="76" t="s">
        <v>69</v>
      </c>
      <c r="D48" s="76">
        <v>500</v>
      </c>
      <c r="E48" s="31">
        <v>8.68</v>
      </c>
      <c r="F48" s="77">
        <v>12100</v>
      </c>
      <c r="G48" s="32">
        <v>9.6855661983471197</v>
      </c>
      <c r="H48" s="31">
        <v>117195.351</v>
      </c>
      <c r="I48" s="31">
        <v>-12167.351000000201</v>
      </c>
      <c r="J48" s="108">
        <v>-0.103821106350884</v>
      </c>
      <c r="K48" s="31">
        <v>105028</v>
      </c>
      <c r="L48" s="31">
        <v>620.65999999998905</v>
      </c>
      <c r="M48" s="31">
        <v>5</v>
      </c>
      <c r="N48" s="31">
        <v>4.34</v>
      </c>
      <c r="O48" s="76"/>
      <c r="P48" s="32">
        <v>-1.00556619834712</v>
      </c>
      <c r="Q48" s="31">
        <v>4330.66</v>
      </c>
      <c r="R48" s="76"/>
      <c r="S48" s="34">
        <v>83320.1339999997</v>
      </c>
      <c r="T48" s="34">
        <v>9599.0937788018091</v>
      </c>
      <c r="U48" s="34">
        <v>21699.093778801802</v>
      </c>
      <c r="V48" s="31">
        <v>200515.48499999999</v>
      </c>
      <c r="W48" s="32">
        <v>9.2407308362290497</v>
      </c>
      <c r="X48" s="32">
        <v>-0.44483536211807001</v>
      </c>
      <c r="Y48" s="32">
        <v>-0.56073083622905395</v>
      </c>
      <c r="Z48" s="144">
        <v>0.55762697388868299</v>
      </c>
      <c r="AA48" s="31">
        <v>21408.058999999801</v>
      </c>
      <c r="AB48" s="76"/>
      <c r="AC48" s="145">
        <f t="shared" si="2"/>
        <v>-1401.0676641129264</v>
      </c>
      <c r="AD48" s="145">
        <f t="shared" si="3"/>
        <v>-13501.067664112927</v>
      </c>
    </row>
    <row r="49" spans="1:30" s="1" customFormat="1" x14ac:dyDescent="0.25">
      <c r="A49" s="99">
        <v>42783</v>
      </c>
      <c r="B49" s="138" t="s">
        <v>392</v>
      </c>
      <c r="C49" s="76" t="s">
        <v>69</v>
      </c>
      <c r="D49" s="76">
        <v>500</v>
      </c>
      <c r="E49" s="31">
        <v>8.39</v>
      </c>
      <c r="F49" s="77">
        <v>13600</v>
      </c>
      <c r="G49" s="32">
        <v>9.5444519117647193</v>
      </c>
      <c r="H49" s="31">
        <v>129804.546</v>
      </c>
      <c r="I49" s="31">
        <v>-15700.5460000002</v>
      </c>
      <c r="J49" s="108">
        <v>-0.120955286111475</v>
      </c>
      <c r="K49" s="31">
        <v>114104</v>
      </c>
      <c r="L49" s="31">
        <v>1118.8050000000101</v>
      </c>
      <c r="M49" s="31">
        <v>5</v>
      </c>
      <c r="N49" s="31">
        <v>4.1950000000000003</v>
      </c>
      <c r="O49" s="76"/>
      <c r="P49" s="32">
        <v>-1.1544519117647201</v>
      </c>
      <c r="Q49" s="31">
        <v>4185.8049999999903</v>
      </c>
      <c r="R49" s="76"/>
      <c r="S49" s="34">
        <v>70710.938999999693</v>
      </c>
      <c r="T49" s="34">
        <v>8428.0022646006801</v>
      </c>
      <c r="U49" s="34">
        <v>22028.002264600698</v>
      </c>
      <c r="V49" s="31">
        <v>200515.48499999999</v>
      </c>
      <c r="W49" s="32">
        <v>9.1027539670372697</v>
      </c>
      <c r="X49" s="32">
        <v>-0.441697944727448</v>
      </c>
      <c r="Y49" s="32">
        <v>-0.71275396703727301</v>
      </c>
      <c r="Z49" s="144">
        <v>0.61739597793011802</v>
      </c>
      <c r="AA49" s="31">
        <v>17874.863999999801</v>
      </c>
      <c r="AB49" s="76"/>
      <c r="AC49" s="145">
        <f t="shared" si="2"/>
        <v>-1870.4047350417402</v>
      </c>
      <c r="AD49" s="145">
        <f t="shared" si="3"/>
        <v>-15470.40473504174</v>
      </c>
    </row>
    <row r="50" spans="1:30" s="1" customFormat="1" x14ac:dyDescent="0.25">
      <c r="A50" s="99">
        <v>42786</v>
      </c>
      <c r="B50" s="100" t="s">
        <v>393</v>
      </c>
      <c r="C50" s="62" t="s">
        <v>69</v>
      </c>
      <c r="D50" s="16">
        <v>500</v>
      </c>
      <c r="E50" s="15">
        <v>8.51</v>
      </c>
      <c r="F50" s="16">
        <f t="shared" ref="F50:F67" si="4">IF(C50="买",F49+D50,F49-D50)</f>
        <v>13100</v>
      </c>
      <c r="G50" s="17">
        <f t="shared" ref="G50:G67" si="5">H50/F50</f>
        <v>9.5846412977099238</v>
      </c>
      <c r="H50" s="15">
        <f t="shared" ref="H50:H67" si="6">IF(C50="买",H49+D50*E50+M50+N50,H49+-1*D50*E50+M50+N50)+O49</f>
        <v>125558.80100000001</v>
      </c>
      <c r="I50" s="15">
        <f t="shared" ref="I50:I67" si="7">-H50+K50</f>
        <v>-14077.801000000007</v>
      </c>
      <c r="J50" s="33">
        <f t="shared" ref="J50:J67" si="8">(E50-G50)/G50</f>
        <v>-0.11212118057737748</v>
      </c>
      <c r="K50" s="15">
        <f t="shared" ref="K50:K67" si="9">F50*E50</f>
        <v>111481</v>
      </c>
      <c r="L50" s="15">
        <f t="shared" ref="L50:L67" si="10">I50-I49</f>
        <v>1622.7450000001936</v>
      </c>
      <c r="M50" s="15">
        <f t="shared" ref="M50:M67" si="11">IF(D50*E50*5/10000&gt;5,D50*E50*5/10000,5)</f>
        <v>5</v>
      </c>
      <c r="N50" s="15">
        <f t="shared" ref="N50:N67" si="12">IF(C50="卖",D50*E50/1000,0)</f>
        <v>4.2549999999999999</v>
      </c>
      <c r="O50" s="64"/>
      <c r="P50" s="17">
        <f t="shared" ref="P50:P67" si="13">E50-G50</f>
        <v>-1.074641297709924</v>
      </c>
      <c r="Q50" s="15">
        <f t="shared" ref="Q50:Q67" si="14">(H50-H49)*-1</f>
        <v>4245.7449999999953</v>
      </c>
      <c r="R50" s="35"/>
      <c r="S50" s="35">
        <f t="shared" ref="S50:S67" si="15">S49+Q50+O50+R50</f>
        <v>74956.683999999688</v>
      </c>
      <c r="T50" s="35">
        <f t="shared" ref="T50:T67" si="16">S50/E50</f>
        <v>8808.0709753231131</v>
      </c>
      <c r="U50" s="35">
        <f t="shared" ref="U50:U67" si="17">F50+T50</f>
        <v>21908.070975323113</v>
      </c>
      <c r="V50" s="15">
        <f t="shared" ref="V50:V67" si="18">H50+S50</f>
        <v>200515.48499999969</v>
      </c>
      <c r="W50" s="17">
        <f t="shared" ref="W50:W67" si="19">V50/U50</f>
        <v>9.1525851466273327</v>
      </c>
      <c r="X50" s="17">
        <f t="shared" ref="X50:X67" si="20">W50-G50</f>
        <v>-0.4320561510825911</v>
      </c>
      <c r="Y50" s="17">
        <f t="shared" ref="Y50:Y67" si="21">(X50-P50)*-1</f>
        <v>-0.6425851466273329</v>
      </c>
      <c r="Z50" s="134">
        <f t="shared" ref="Z50:Z67" si="22">F50/U50</f>
        <v>0.59795314771234864</v>
      </c>
      <c r="AA50" s="15">
        <f>SUM(L$2:L50)-SUM(AB$2:AB50)</f>
        <v>19497.605000000192</v>
      </c>
      <c r="AB50" s="64"/>
      <c r="AC50" s="145">
        <f t="shared" si="2"/>
        <v>-1653.4385545828447</v>
      </c>
      <c r="AD50" s="145">
        <f t="shared" si="3"/>
        <v>-14753.438554582845</v>
      </c>
    </row>
    <row r="51" spans="1:30" s="1" customFormat="1" x14ac:dyDescent="0.25">
      <c r="A51" s="99">
        <v>42786</v>
      </c>
      <c r="B51" s="100" t="s">
        <v>183</v>
      </c>
      <c r="C51" s="62" t="s">
        <v>69</v>
      </c>
      <c r="D51" s="16">
        <v>500</v>
      </c>
      <c r="E51" s="15">
        <v>8.6300000000000008</v>
      </c>
      <c r="F51" s="16">
        <f t="shared" si="4"/>
        <v>12600</v>
      </c>
      <c r="G51" s="17">
        <f t="shared" si="5"/>
        <v>9.623263174603176</v>
      </c>
      <c r="H51" s="15">
        <f t="shared" si="6"/>
        <v>121253.11600000001</v>
      </c>
      <c r="I51" s="15">
        <f t="shared" si="7"/>
        <v>-12515.115999999995</v>
      </c>
      <c r="J51" s="33">
        <f t="shared" si="8"/>
        <v>-0.10321479903246368</v>
      </c>
      <c r="K51" s="15">
        <f t="shared" si="9"/>
        <v>108738.00000000001</v>
      </c>
      <c r="L51" s="15">
        <f t="shared" si="10"/>
        <v>1562.6850000000122</v>
      </c>
      <c r="M51" s="15">
        <f t="shared" si="11"/>
        <v>5</v>
      </c>
      <c r="N51" s="15">
        <f t="shared" si="12"/>
        <v>4.3150000000000004</v>
      </c>
      <c r="O51" s="64"/>
      <c r="P51" s="17">
        <f t="shared" si="13"/>
        <v>-0.99326317460317526</v>
      </c>
      <c r="Q51" s="15">
        <f t="shared" si="14"/>
        <v>4305.6849999999977</v>
      </c>
      <c r="R51" s="35"/>
      <c r="S51" s="35">
        <f t="shared" si="15"/>
        <v>79262.368999999686</v>
      </c>
      <c r="T51" s="35">
        <f t="shared" si="16"/>
        <v>9184.5155272305528</v>
      </c>
      <c r="U51" s="35">
        <f t="shared" si="17"/>
        <v>21784.515527230553</v>
      </c>
      <c r="V51" s="15">
        <f t="shared" si="18"/>
        <v>200515.48499999969</v>
      </c>
      <c r="W51" s="17">
        <f t="shared" si="19"/>
        <v>9.2044959526116692</v>
      </c>
      <c r="X51" s="17">
        <f t="shared" si="20"/>
        <v>-0.41876722199150684</v>
      </c>
      <c r="Y51" s="17">
        <f t="shared" si="21"/>
        <v>-0.57449595261166841</v>
      </c>
      <c r="Z51" s="134">
        <f t="shared" si="22"/>
        <v>0.57839248177220437</v>
      </c>
      <c r="AA51" s="15">
        <f>SUM(L$2:L51)-SUM(AB$2:AB51)</f>
        <v>21060.290000000205</v>
      </c>
      <c r="AB51" s="64"/>
      <c r="AC51" s="145">
        <f t="shared" si="2"/>
        <v>-1449.462160139049</v>
      </c>
      <c r="AD51" s="145">
        <f t="shared" si="3"/>
        <v>-14049.46216013905</v>
      </c>
    </row>
    <row r="52" spans="1:30" s="1" customFormat="1" x14ac:dyDescent="0.25">
      <c r="A52" s="99">
        <v>42786</v>
      </c>
      <c r="B52" s="100"/>
      <c r="C52" s="62" t="s">
        <v>69</v>
      </c>
      <c r="D52" s="16">
        <v>500</v>
      </c>
      <c r="E52" s="15">
        <v>8.6999999999999993</v>
      </c>
      <c r="F52" s="16">
        <f t="shared" si="4"/>
        <v>12100</v>
      </c>
      <c r="G52" s="17">
        <f t="shared" si="5"/>
        <v>9.6621872727272748</v>
      </c>
      <c r="H52" s="15">
        <f t="shared" si="6"/>
        <v>116912.46600000001</v>
      </c>
      <c r="I52" s="15">
        <f t="shared" si="7"/>
        <v>-11642.466000000029</v>
      </c>
      <c r="J52" s="33">
        <f t="shared" si="8"/>
        <v>-9.9582759634888135E-2</v>
      </c>
      <c r="K52" s="15">
        <f t="shared" si="9"/>
        <v>105269.99999999999</v>
      </c>
      <c r="L52" s="15">
        <f t="shared" si="10"/>
        <v>872.64999999996508</v>
      </c>
      <c r="M52" s="15">
        <f t="shared" si="11"/>
        <v>5</v>
      </c>
      <c r="N52" s="15">
        <f t="shared" si="12"/>
        <v>4.3499999999999996</v>
      </c>
      <c r="O52" s="64"/>
      <c r="P52" s="17">
        <f t="shared" si="13"/>
        <v>-0.96218727272727556</v>
      </c>
      <c r="Q52" s="15">
        <f t="shared" si="14"/>
        <v>4340.6499999999942</v>
      </c>
      <c r="R52" s="35"/>
      <c r="S52" s="35">
        <f t="shared" si="15"/>
        <v>83603.01899999968</v>
      </c>
      <c r="T52" s="35">
        <f t="shared" si="16"/>
        <v>9609.5424137930677</v>
      </c>
      <c r="U52" s="35">
        <f t="shared" si="17"/>
        <v>21709.542413793068</v>
      </c>
      <c r="V52" s="15">
        <f t="shared" si="18"/>
        <v>200515.48499999969</v>
      </c>
      <c r="W52" s="17">
        <f t="shared" si="19"/>
        <v>9.2362833438904275</v>
      </c>
      <c r="X52" s="17">
        <f t="shared" si="20"/>
        <v>-0.42590392883684736</v>
      </c>
      <c r="Y52" s="17">
        <f t="shared" si="21"/>
        <v>-0.5362833438904282</v>
      </c>
      <c r="Z52" s="134">
        <f t="shared" si="22"/>
        <v>0.55735859233552132</v>
      </c>
      <c r="AA52" s="15">
        <f>SUM(L$2:L52)-SUM(AB$2:AB52)</f>
        <v>21932.94000000017</v>
      </c>
      <c r="AB52" s="64"/>
      <c r="AC52" s="145">
        <f t="shared" si="2"/>
        <v>-1337.545375517245</v>
      </c>
      <c r="AD52" s="145">
        <f t="shared" si="3"/>
        <v>-13437.545375517246</v>
      </c>
    </row>
    <row r="53" spans="1:30" s="1" customFormat="1" x14ac:dyDescent="0.25">
      <c r="A53" s="99">
        <v>42786</v>
      </c>
      <c r="B53" s="100"/>
      <c r="C53" s="62" t="s">
        <v>69</v>
      </c>
      <c r="D53" s="16">
        <v>500</v>
      </c>
      <c r="E53" s="15">
        <v>8.7799999999999994</v>
      </c>
      <c r="F53" s="16">
        <f t="shared" si="4"/>
        <v>11600</v>
      </c>
      <c r="G53" s="17">
        <f t="shared" si="5"/>
        <v>9.7010220689655178</v>
      </c>
      <c r="H53" s="15">
        <f t="shared" si="6"/>
        <v>112531.85600000001</v>
      </c>
      <c r="I53" s="15">
        <f t="shared" si="7"/>
        <v>-10683.856000000029</v>
      </c>
      <c r="J53" s="33">
        <f t="shared" si="8"/>
        <v>-9.4940725051224722E-2</v>
      </c>
      <c r="K53" s="15">
        <f t="shared" si="9"/>
        <v>101847.99999999999</v>
      </c>
      <c r="L53" s="15">
        <f t="shared" si="10"/>
        <v>958.61000000000058</v>
      </c>
      <c r="M53" s="15">
        <f t="shared" si="11"/>
        <v>5</v>
      </c>
      <c r="N53" s="15">
        <f t="shared" si="12"/>
        <v>4.3899999999999997</v>
      </c>
      <c r="O53" s="64"/>
      <c r="P53" s="17">
        <f t="shared" si="13"/>
        <v>-0.92102206896551841</v>
      </c>
      <c r="Q53" s="15">
        <f t="shared" si="14"/>
        <v>4380.6100000000006</v>
      </c>
      <c r="R53" s="35"/>
      <c r="S53" s="35">
        <f t="shared" si="15"/>
        <v>87983.628999999681</v>
      </c>
      <c r="T53" s="35">
        <f t="shared" si="16"/>
        <v>10020.914464692447</v>
      </c>
      <c r="U53" s="35">
        <f t="shared" si="17"/>
        <v>21620.914464692447</v>
      </c>
      <c r="V53" s="15">
        <f t="shared" si="18"/>
        <v>200515.48499999969</v>
      </c>
      <c r="W53" s="17">
        <f t="shared" si="19"/>
        <v>9.2741445014940069</v>
      </c>
      <c r="X53" s="17">
        <f t="shared" si="20"/>
        <v>-0.42687756747151084</v>
      </c>
      <c r="Y53" s="17">
        <f t="shared" si="21"/>
        <v>-0.49414450149400757</v>
      </c>
      <c r="Z53" s="134">
        <f t="shared" si="22"/>
        <v>0.53651754734718193</v>
      </c>
      <c r="AA53" s="15">
        <f>SUM(L$2:L53)-SUM(AB$2:AB53)</f>
        <v>22891.55000000017</v>
      </c>
      <c r="AB53" s="64"/>
      <c r="AC53" s="145">
        <f t="shared" si="2"/>
        <v>-1216.2316710706186</v>
      </c>
      <c r="AD53" s="145">
        <f t="shared" si="3"/>
        <v>-12816.231671070618</v>
      </c>
    </row>
    <row r="54" spans="1:30" s="1" customFormat="1" x14ac:dyDescent="0.25">
      <c r="A54" s="99">
        <v>42786</v>
      </c>
      <c r="B54" s="100" t="s">
        <v>391</v>
      </c>
      <c r="C54" s="62" t="s">
        <v>69</v>
      </c>
      <c r="D54" s="16">
        <v>500</v>
      </c>
      <c r="E54" s="15">
        <v>8.9</v>
      </c>
      <c r="F54" s="16">
        <f t="shared" si="4"/>
        <v>11100</v>
      </c>
      <c r="G54" s="17">
        <f t="shared" si="5"/>
        <v>9.7379554954954965</v>
      </c>
      <c r="H54" s="15">
        <f t="shared" si="6"/>
        <v>108091.30600000001</v>
      </c>
      <c r="I54" s="15">
        <f t="shared" si="7"/>
        <v>-9301.3060000000114</v>
      </c>
      <c r="J54" s="33">
        <f t="shared" si="8"/>
        <v>-8.6050454418600569E-2</v>
      </c>
      <c r="K54" s="15">
        <f t="shared" si="9"/>
        <v>98790</v>
      </c>
      <c r="L54" s="15">
        <f t="shared" si="10"/>
        <v>1382.5500000000175</v>
      </c>
      <c r="M54" s="15">
        <f t="shared" si="11"/>
        <v>5</v>
      </c>
      <c r="N54" s="15">
        <f t="shared" si="12"/>
        <v>4.45</v>
      </c>
      <c r="O54" s="64"/>
      <c r="P54" s="17">
        <f t="shared" si="13"/>
        <v>-0.83795549549549619</v>
      </c>
      <c r="Q54" s="15">
        <f t="shared" si="14"/>
        <v>4440.5500000000029</v>
      </c>
      <c r="R54" s="35"/>
      <c r="S54" s="35">
        <f t="shared" si="15"/>
        <v>92424.178999999684</v>
      </c>
      <c r="T54" s="35">
        <f t="shared" si="16"/>
        <v>10384.73921348311</v>
      </c>
      <c r="U54" s="35">
        <f t="shared" si="17"/>
        <v>21484.73921348311</v>
      </c>
      <c r="V54" s="15">
        <f t="shared" si="18"/>
        <v>200515.48499999969</v>
      </c>
      <c r="W54" s="17">
        <f t="shared" si="19"/>
        <v>9.3329261764630971</v>
      </c>
      <c r="X54" s="17">
        <f t="shared" si="20"/>
        <v>-0.40502931903239947</v>
      </c>
      <c r="Y54" s="17">
        <f t="shared" si="21"/>
        <v>-0.43292617646309672</v>
      </c>
      <c r="Z54" s="134">
        <f t="shared" si="22"/>
        <v>0.516645787026077</v>
      </c>
      <c r="AA54" s="15">
        <f>SUM(L$2:L54)-SUM(AB$2:AB54)</f>
        <v>24274.100000000188</v>
      </c>
      <c r="AB54" s="64"/>
      <c r="AC54" s="145">
        <f t="shared" si="2"/>
        <v>-1044.5680165168553</v>
      </c>
      <c r="AD54" s="145">
        <f t="shared" si="3"/>
        <v>-12144.568016516856</v>
      </c>
    </row>
    <row r="55" spans="1:30" s="1" customFormat="1" x14ac:dyDescent="0.25">
      <c r="A55" s="99">
        <v>42786</v>
      </c>
      <c r="B55" s="100" t="s">
        <v>391</v>
      </c>
      <c r="C55" s="62" t="s">
        <v>69</v>
      </c>
      <c r="D55" s="16">
        <v>500</v>
      </c>
      <c r="E55" s="15">
        <v>9.14</v>
      </c>
      <c r="F55" s="16">
        <f t="shared" si="4"/>
        <v>10600</v>
      </c>
      <c r="G55" s="17">
        <f t="shared" si="5"/>
        <v>9.7670637735849066</v>
      </c>
      <c r="H55" s="15">
        <f t="shared" si="6"/>
        <v>103530.87600000002</v>
      </c>
      <c r="I55" s="15">
        <f t="shared" si="7"/>
        <v>-6646.8760000000184</v>
      </c>
      <c r="J55" s="33">
        <f t="shared" si="8"/>
        <v>-6.4201871526712515E-2</v>
      </c>
      <c r="K55" s="15">
        <f t="shared" si="9"/>
        <v>96884</v>
      </c>
      <c r="L55" s="15">
        <f t="shared" si="10"/>
        <v>2654.429999999993</v>
      </c>
      <c r="M55" s="15">
        <f t="shared" si="11"/>
        <v>5</v>
      </c>
      <c r="N55" s="15">
        <f t="shared" si="12"/>
        <v>4.57</v>
      </c>
      <c r="O55" s="64"/>
      <c r="P55" s="17">
        <f t="shared" si="13"/>
        <v>-0.62706377358490606</v>
      </c>
      <c r="Q55" s="15">
        <f t="shared" si="14"/>
        <v>4560.429999999993</v>
      </c>
      <c r="R55" s="35"/>
      <c r="S55" s="35">
        <f t="shared" si="15"/>
        <v>96984.608999999677</v>
      </c>
      <c r="T55" s="35">
        <f t="shared" si="16"/>
        <v>10611.0075492341</v>
      </c>
      <c r="U55" s="35">
        <f t="shared" si="17"/>
        <v>21211.007549234098</v>
      </c>
      <c r="V55" s="15">
        <f t="shared" si="18"/>
        <v>200515.48499999969</v>
      </c>
      <c r="W55" s="17">
        <f t="shared" si="19"/>
        <v>9.4533691779879661</v>
      </c>
      <c r="X55" s="17">
        <f t="shared" si="20"/>
        <v>-0.31369459559694057</v>
      </c>
      <c r="Y55" s="17">
        <f t="shared" si="21"/>
        <v>-0.31336917798796549</v>
      </c>
      <c r="Z55" s="134">
        <f t="shared" si="22"/>
        <v>0.49974052271660013</v>
      </c>
      <c r="AA55" s="15">
        <f>SUM(L$2:L55)-SUM(AB$2:AB55)</f>
        <v>26928.530000000181</v>
      </c>
      <c r="AB55" s="64"/>
      <c r="AC55" s="145">
        <f t="shared" si="2"/>
        <v>-726.86570700219022</v>
      </c>
      <c r="AD55" s="145">
        <f t="shared" si="3"/>
        <v>-11326.865707002191</v>
      </c>
    </row>
    <row r="56" spans="1:30" s="1" customFormat="1" x14ac:dyDescent="0.25">
      <c r="A56" s="99">
        <v>42788</v>
      </c>
      <c r="B56" s="100" t="s">
        <v>391</v>
      </c>
      <c r="C56" s="62" t="s">
        <v>69</v>
      </c>
      <c r="D56" s="16">
        <v>500</v>
      </c>
      <c r="E56" s="15">
        <v>9.25</v>
      </c>
      <c r="F56" s="16">
        <f t="shared" si="4"/>
        <v>10100</v>
      </c>
      <c r="G56" s="17">
        <f t="shared" si="5"/>
        <v>9.7936139603960406</v>
      </c>
      <c r="H56" s="15">
        <f t="shared" si="6"/>
        <v>98915.501000000018</v>
      </c>
      <c r="I56" s="15">
        <f t="shared" si="7"/>
        <v>-5490.5010000000184</v>
      </c>
      <c r="J56" s="33">
        <f t="shared" si="8"/>
        <v>-5.5506982672008195E-2</v>
      </c>
      <c r="K56" s="15">
        <f t="shared" si="9"/>
        <v>93425</v>
      </c>
      <c r="L56" s="15">
        <f t="shared" si="10"/>
        <v>1156.375</v>
      </c>
      <c r="M56" s="15">
        <f t="shared" si="11"/>
        <v>5</v>
      </c>
      <c r="N56" s="15">
        <f t="shared" si="12"/>
        <v>4.625</v>
      </c>
      <c r="O56" s="64"/>
      <c r="P56" s="17">
        <f t="shared" si="13"/>
        <v>-0.5436139603960406</v>
      </c>
      <c r="Q56" s="15">
        <f t="shared" si="14"/>
        <v>4615.375</v>
      </c>
      <c r="R56" s="35"/>
      <c r="S56" s="35">
        <f t="shared" si="15"/>
        <v>101599.98399999968</v>
      </c>
      <c r="T56" s="35">
        <f t="shared" si="16"/>
        <v>10983.78205405402</v>
      </c>
      <c r="U56" s="35">
        <f t="shared" si="17"/>
        <v>21083.78205405402</v>
      </c>
      <c r="V56" s="15">
        <f t="shared" si="18"/>
        <v>200515.48499999969</v>
      </c>
      <c r="W56" s="17">
        <f t="shared" si="19"/>
        <v>9.5104134773317046</v>
      </c>
      <c r="X56" s="17">
        <f t="shared" si="20"/>
        <v>-0.28320048306433598</v>
      </c>
      <c r="Y56" s="17">
        <f t="shared" si="21"/>
        <v>-0.26041347733170461</v>
      </c>
      <c r="Z56" s="134">
        <f t="shared" si="22"/>
        <v>0.47904118787160188</v>
      </c>
      <c r="AA56" s="15">
        <f>SUM(L$2:L56)-SUM(AB$2:AB56)</f>
        <v>27284.905000000181</v>
      </c>
      <c r="AB56" s="64">
        <v>800</v>
      </c>
      <c r="AC56" s="145">
        <f t="shared" si="2"/>
        <v>-593.27089183783994</v>
      </c>
      <c r="AD56" s="145">
        <f t="shared" si="3"/>
        <v>-10693.270891837839</v>
      </c>
    </row>
    <row r="57" spans="1:30" s="1" customFormat="1" x14ac:dyDescent="0.25">
      <c r="A57" s="99">
        <v>42788</v>
      </c>
      <c r="B57" s="100"/>
      <c r="C57" s="62" t="s">
        <v>69</v>
      </c>
      <c r="D57" s="16">
        <v>500</v>
      </c>
      <c r="E57" s="15">
        <v>9.3800000000000008</v>
      </c>
      <c r="F57" s="16">
        <f t="shared" si="4"/>
        <v>9600</v>
      </c>
      <c r="G57" s="17">
        <f t="shared" si="5"/>
        <v>9.8161657291666682</v>
      </c>
      <c r="H57" s="15">
        <f t="shared" si="6"/>
        <v>94235.191000000021</v>
      </c>
      <c r="I57" s="15">
        <f t="shared" si="7"/>
        <v>-4187.1910000000062</v>
      </c>
      <c r="J57" s="33">
        <f t="shared" si="8"/>
        <v>-4.4433411293239765E-2</v>
      </c>
      <c r="K57" s="15">
        <f t="shared" si="9"/>
        <v>90048.000000000015</v>
      </c>
      <c r="L57" s="15">
        <f t="shared" si="10"/>
        <v>1303.3100000000122</v>
      </c>
      <c r="M57" s="15">
        <f t="shared" si="11"/>
        <v>5</v>
      </c>
      <c r="N57" s="15">
        <f t="shared" si="12"/>
        <v>4.6900000000000004</v>
      </c>
      <c r="O57" s="64"/>
      <c r="P57" s="17">
        <f t="shared" si="13"/>
        <v>-0.4361657291666674</v>
      </c>
      <c r="Q57" s="15">
        <f t="shared" si="14"/>
        <v>4680.3099999999977</v>
      </c>
      <c r="R57" s="35"/>
      <c r="S57" s="35">
        <f t="shared" si="15"/>
        <v>106280.29399999967</v>
      </c>
      <c r="T57" s="35">
        <f t="shared" si="16"/>
        <v>11330.521748400817</v>
      </c>
      <c r="U57" s="35">
        <f t="shared" si="17"/>
        <v>20930.521748400817</v>
      </c>
      <c r="V57" s="15">
        <f t="shared" si="18"/>
        <v>200515.48499999969</v>
      </c>
      <c r="W57" s="17">
        <f t="shared" si="19"/>
        <v>9.5800519170201746</v>
      </c>
      <c r="X57" s="17">
        <f t="shared" si="20"/>
        <v>-0.23611381214649363</v>
      </c>
      <c r="Y57" s="17">
        <f t="shared" si="21"/>
        <v>-0.20005191702017378</v>
      </c>
      <c r="Z57" s="134">
        <f t="shared" si="22"/>
        <v>0.45866032941742035</v>
      </c>
      <c r="AA57" s="15">
        <f>SUM(L$2:L57)-SUM(AB$2:AB57)</f>
        <v>28588.215000000193</v>
      </c>
      <c r="AB57" s="64"/>
      <c r="AC57" s="145">
        <f t="shared" si="2"/>
        <v>-446.1724311833695</v>
      </c>
      <c r="AD57" s="145">
        <f t="shared" si="3"/>
        <v>-10046.17243118337</v>
      </c>
    </row>
    <row r="58" spans="1:30" s="1" customFormat="1" x14ac:dyDescent="0.25">
      <c r="A58" s="99">
        <v>42789</v>
      </c>
      <c r="B58" s="100"/>
      <c r="C58" s="62" t="s">
        <v>69</v>
      </c>
      <c r="D58" s="16">
        <v>500</v>
      </c>
      <c r="E58" s="15">
        <v>9.4</v>
      </c>
      <c r="F58" s="16">
        <f t="shared" si="4"/>
        <v>9100</v>
      </c>
      <c r="G58" s="17">
        <f t="shared" si="5"/>
        <v>9.8400979120879146</v>
      </c>
      <c r="H58" s="15">
        <f t="shared" si="6"/>
        <v>89544.891000000018</v>
      </c>
      <c r="I58" s="15">
        <f t="shared" si="7"/>
        <v>-4004.8910000000178</v>
      </c>
      <c r="J58" s="33">
        <f t="shared" si="8"/>
        <v>-4.4724952538051768E-2</v>
      </c>
      <c r="K58" s="15">
        <f t="shared" si="9"/>
        <v>85540</v>
      </c>
      <c r="L58" s="15">
        <f t="shared" si="10"/>
        <v>182.29999999998836</v>
      </c>
      <c r="M58" s="15">
        <f t="shared" si="11"/>
        <v>5</v>
      </c>
      <c r="N58" s="15">
        <f t="shared" si="12"/>
        <v>4.7</v>
      </c>
      <c r="O58" s="64"/>
      <c r="P58" s="17">
        <f t="shared" si="13"/>
        <v>-0.44009791208791427</v>
      </c>
      <c r="Q58" s="15">
        <f t="shared" si="14"/>
        <v>4690.3000000000029</v>
      </c>
      <c r="R58" s="35"/>
      <c r="S58" s="35">
        <f t="shared" si="15"/>
        <v>110970.59399999968</v>
      </c>
      <c r="T58" s="35">
        <f t="shared" si="16"/>
        <v>11805.382340425496</v>
      </c>
      <c r="U58" s="35">
        <f t="shared" si="17"/>
        <v>20905.382340425494</v>
      </c>
      <c r="V58" s="15">
        <f t="shared" si="18"/>
        <v>200515.48499999969</v>
      </c>
      <c r="W58" s="17">
        <f t="shared" si="19"/>
        <v>9.5915722436827018</v>
      </c>
      <c r="X58" s="17">
        <f t="shared" si="20"/>
        <v>-0.24852566840521284</v>
      </c>
      <c r="Y58" s="17">
        <f t="shared" si="21"/>
        <v>-0.19157224368270143</v>
      </c>
      <c r="Z58" s="134">
        <f t="shared" si="22"/>
        <v>0.43529459790854919</v>
      </c>
      <c r="AA58" s="15">
        <f>SUM(L$2:L58)-SUM(AB$2:AB58)</f>
        <v>28770.515000000181</v>
      </c>
      <c r="AB58" s="64"/>
      <c r="AC58" s="145">
        <f t="shared" si="2"/>
        <v>-425.83920792553386</v>
      </c>
      <c r="AD58" s="145">
        <f t="shared" si="3"/>
        <v>-9525.8392079255336</v>
      </c>
    </row>
    <row r="59" spans="1:30" s="1" customFormat="1" x14ac:dyDescent="0.25">
      <c r="A59" s="99">
        <v>42789</v>
      </c>
      <c r="B59" s="100" t="s">
        <v>193</v>
      </c>
      <c r="C59" s="141" t="s">
        <v>63</v>
      </c>
      <c r="D59" s="142">
        <v>500</v>
      </c>
      <c r="E59" s="143">
        <v>9.23</v>
      </c>
      <c r="F59" s="16">
        <f t="shared" si="4"/>
        <v>9600</v>
      </c>
      <c r="G59" s="17">
        <f t="shared" si="5"/>
        <v>9.8088428125000018</v>
      </c>
      <c r="H59" s="15">
        <f t="shared" si="6"/>
        <v>94164.891000000018</v>
      </c>
      <c r="I59" s="15">
        <f t="shared" si="7"/>
        <v>-5556.8910000000178</v>
      </c>
      <c r="J59" s="33">
        <f t="shared" si="8"/>
        <v>-5.9012344632778387E-2</v>
      </c>
      <c r="K59" s="15">
        <f t="shared" si="9"/>
        <v>88608</v>
      </c>
      <c r="L59" s="15">
        <f t="shared" si="10"/>
        <v>-1552</v>
      </c>
      <c r="M59" s="15">
        <f t="shared" si="11"/>
        <v>5</v>
      </c>
      <c r="N59" s="15">
        <f t="shared" si="12"/>
        <v>0</v>
      </c>
      <c r="O59" s="64"/>
      <c r="P59" s="17">
        <f t="shared" si="13"/>
        <v>-0.57884281250000136</v>
      </c>
      <c r="Q59" s="15">
        <f t="shared" si="14"/>
        <v>-4620</v>
      </c>
      <c r="R59" s="35"/>
      <c r="S59" s="35">
        <f t="shared" si="15"/>
        <v>106350.59399999968</v>
      </c>
      <c r="T59" s="35">
        <f t="shared" si="16"/>
        <v>11522.274539544927</v>
      </c>
      <c r="U59" s="35">
        <f t="shared" si="17"/>
        <v>21122.274539544927</v>
      </c>
      <c r="V59" s="15">
        <f t="shared" si="18"/>
        <v>200515.48499999969</v>
      </c>
      <c r="W59" s="17">
        <f t="shared" si="19"/>
        <v>9.4930820364348758</v>
      </c>
      <c r="X59" s="17">
        <f t="shared" si="20"/>
        <v>-0.31576077606512598</v>
      </c>
      <c r="Y59" s="17">
        <f t="shared" si="21"/>
        <v>-0.26308203643487538</v>
      </c>
      <c r="Z59" s="134">
        <f t="shared" si="22"/>
        <v>0.45449650708909067</v>
      </c>
      <c r="AA59" s="15">
        <f>SUM(L$2:L59)-SUM(AB$2:AB59)</f>
        <v>27218.515000000181</v>
      </c>
      <c r="AB59" s="64"/>
      <c r="AC59" s="145">
        <f t="shared" si="2"/>
        <v>-601.74567221018617</v>
      </c>
      <c r="AD59" s="145">
        <f t="shared" si="3"/>
        <v>-10201.745672210187</v>
      </c>
    </row>
    <row r="60" spans="1:30" s="1" customFormat="1" x14ac:dyDescent="0.25">
      <c r="A60" s="99">
        <v>42789</v>
      </c>
      <c r="B60" s="100" t="s">
        <v>391</v>
      </c>
      <c r="C60" s="141" t="s">
        <v>69</v>
      </c>
      <c r="D60" s="142">
        <v>500</v>
      </c>
      <c r="E60" s="143">
        <v>9.31</v>
      </c>
      <c r="F60" s="16">
        <f t="shared" si="4"/>
        <v>9100</v>
      </c>
      <c r="G60" s="17">
        <f t="shared" si="5"/>
        <v>9.8373127472527493</v>
      </c>
      <c r="H60" s="15">
        <f t="shared" si="6"/>
        <v>89519.546000000017</v>
      </c>
      <c r="I60" s="15">
        <f t="shared" si="7"/>
        <v>-4798.5460000000166</v>
      </c>
      <c r="J60" s="33">
        <f t="shared" si="8"/>
        <v>-5.3603332617437681E-2</v>
      </c>
      <c r="K60" s="15">
        <f t="shared" si="9"/>
        <v>84721</v>
      </c>
      <c r="L60" s="15">
        <f t="shared" si="10"/>
        <v>758.34500000000116</v>
      </c>
      <c r="M60" s="15">
        <f t="shared" si="11"/>
        <v>5</v>
      </c>
      <c r="N60" s="15">
        <f t="shared" si="12"/>
        <v>4.6550000000000002</v>
      </c>
      <c r="O60" s="64"/>
      <c r="P60" s="17">
        <f t="shared" si="13"/>
        <v>-0.52731274725274879</v>
      </c>
      <c r="Q60" s="15">
        <f t="shared" si="14"/>
        <v>4645.3450000000012</v>
      </c>
      <c r="R60" s="35"/>
      <c r="S60" s="35">
        <f t="shared" si="15"/>
        <v>110995.93899999968</v>
      </c>
      <c r="T60" s="35">
        <f t="shared" si="16"/>
        <v>11922.227604726066</v>
      </c>
      <c r="U60" s="35">
        <f t="shared" si="17"/>
        <v>21022.227604726068</v>
      </c>
      <c r="V60" s="15">
        <f t="shared" si="18"/>
        <v>200515.48499999969</v>
      </c>
      <c r="W60" s="17">
        <f t="shared" si="19"/>
        <v>9.5382605863767367</v>
      </c>
      <c r="X60" s="17">
        <f t="shared" si="20"/>
        <v>-0.29905216087601261</v>
      </c>
      <c r="Y60" s="17">
        <f t="shared" si="21"/>
        <v>-0.22826058637673619</v>
      </c>
      <c r="Z60" s="134">
        <f t="shared" si="22"/>
        <v>0.43287515343779281</v>
      </c>
      <c r="AA60" s="15">
        <f>SUM(L$2:L60)-SUM(AB$2:AB60)</f>
        <v>27976.860000000182</v>
      </c>
      <c r="AB60" s="64"/>
      <c r="AC60" s="145">
        <f t="shared" si="2"/>
        <v>-515.16076552094705</v>
      </c>
      <c r="AD60" s="145">
        <f t="shared" si="3"/>
        <v>-9615.1607655209464</v>
      </c>
    </row>
    <row r="61" spans="1:30" s="1" customFormat="1" x14ac:dyDescent="0.25">
      <c r="A61" s="99">
        <v>42789</v>
      </c>
      <c r="B61" s="100"/>
      <c r="C61" s="141" t="s">
        <v>69</v>
      </c>
      <c r="D61" s="142">
        <v>500</v>
      </c>
      <c r="E61" s="143">
        <v>9.39</v>
      </c>
      <c r="F61" s="16">
        <f t="shared" si="4"/>
        <v>8600</v>
      </c>
      <c r="G61" s="17">
        <f t="shared" si="5"/>
        <v>9.8644466279069789</v>
      </c>
      <c r="H61" s="15">
        <f t="shared" si="6"/>
        <v>84834.241000000024</v>
      </c>
      <c r="I61" s="15">
        <f t="shared" si="7"/>
        <v>-4080.2410000000236</v>
      </c>
      <c r="J61" s="33">
        <f t="shared" si="8"/>
        <v>-4.8096628812887156E-2</v>
      </c>
      <c r="K61" s="15">
        <f t="shared" si="9"/>
        <v>80754</v>
      </c>
      <c r="L61" s="15">
        <f t="shared" si="10"/>
        <v>718.30499999999302</v>
      </c>
      <c r="M61" s="15">
        <f t="shared" si="11"/>
        <v>5</v>
      </c>
      <c r="N61" s="15">
        <f t="shared" si="12"/>
        <v>4.6950000000000003</v>
      </c>
      <c r="O61" s="64"/>
      <c r="P61" s="17">
        <f t="shared" si="13"/>
        <v>-0.47444662790697834</v>
      </c>
      <c r="Q61" s="15">
        <f t="shared" si="14"/>
        <v>4685.304999999993</v>
      </c>
      <c r="R61" s="35"/>
      <c r="S61" s="35">
        <f t="shared" si="15"/>
        <v>115681.24399999967</v>
      </c>
      <c r="T61" s="35">
        <f t="shared" si="16"/>
        <v>12319.62129925449</v>
      </c>
      <c r="U61" s="35">
        <f t="shared" si="17"/>
        <v>20919.62129925449</v>
      </c>
      <c r="V61" s="15">
        <f t="shared" si="18"/>
        <v>200515.48499999969</v>
      </c>
      <c r="W61" s="17">
        <f t="shared" si="19"/>
        <v>9.5850437315108294</v>
      </c>
      <c r="X61" s="17">
        <f t="shared" si="20"/>
        <v>-0.27940289639614946</v>
      </c>
      <c r="Y61" s="17">
        <f t="shared" si="21"/>
        <v>-0.19504373151082888</v>
      </c>
      <c r="Z61" s="134">
        <f t="shared" si="22"/>
        <v>0.41109730797595639</v>
      </c>
      <c r="AA61" s="15">
        <f>SUM(L$2:L61)-SUM(AB$2:AB61)</f>
        <v>28695.165000000175</v>
      </c>
      <c r="AB61" s="64"/>
      <c r="AC61" s="145">
        <f t="shared" si="2"/>
        <v>-434.31319270500785</v>
      </c>
      <c r="AD61" s="145">
        <f t="shared" si="3"/>
        <v>-9034.3131927050072</v>
      </c>
    </row>
    <row r="62" spans="1:30" s="1" customFormat="1" x14ac:dyDescent="0.25">
      <c r="A62" s="99">
        <v>42790</v>
      </c>
      <c r="B62" s="100" t="s">
        <v>204</v>
      </c>
      <c r="C62" s="141" t="s">
        <v>63</v>
      </c>
      <c r="D62" s="142">
        <v>500</v>
      </c>
      <c r="E62" s="143">
        <v>9.26</v>
      </c>
      <c r="F62" s="16">
        <f t="shared" si="4"/>
        <v>9100</v>
      </c>
      <c r="G62" s="17">
        <f t="shared" si="5"/>
        <v>9.8317847252747281</v>
      </c>
      <c r="H62" s="15">
        <f t="shared" si="6"/>
        <v>89469.241000000024</v>
      </c>
      <c r="I62" s="15">
        <f t="shared" si="7"/>
        <v>-5203.2410000000236</v>
      </c>
      <c r="J62" s="33">
        <f t="shared" si="8"/>
        <v>-5.8156758030394225E-2</v>
      </c>
      <c r="K62" s="15">
        <f t="shared" si="9"/>
        <v>84266</v>
      </c>
      <c r="L62" s="15">
        <f t="shared" si="10"/>
        <v>-1123</v>
      </c>
      <c r="M62" s="15">
        <f t="shared" si="11"/>
        <v>5</v>
      </c>
      <c r="N62" s="15">
        <f t="shared" si="12"/>
        <v>0</v>
      </c>
      <c r="O62" s="64"/>
      <c r="P62" s="17">
        <f t="shared" si="13"/>
        <v>-0.57178472527472834</v>
      </c>
      <c r="Q62" s="15">
        <f t="shared" si="14"/>
        <v>-4635</v>
      </c>
      <c r="R62" s="35"/>
      <c r="S62" s="35">
        <f t="shared" si="15"/>
        <v>111046.24399999967</v>
      </c>
      <c r="T62" s="35">
        <f t="shared" si="16"/>
        <v>11992.034989200829</v>
      </c>
      <c r="U62" s="35">
        <f t="shared" si="17"/>
        <v>21092.034989200831</v>
      </c>
      <c r="V62" s="15">
        <f t="shared" si="18"/>
        <v>200515.48499999969</v>
      </c>
      <c r="W62" s="17">
        <f t="shared" si="19"/>
        <v>9.5066922230436308</v>
      </c>
      <c r="X62" s="17">
        <f t="shared" si="20"/>
        <v>-0.32509250223109731</v>
      </c>
      <c r="Y62" s="17">
        <f t="shared" si="21"/>
        <v>-0.24669222304363103</v>
      </c>
      <c r="Z62" s="134">
        <f t="shared" si="22"/>
        <v>0.43144248550029529</v>
      </c>
      <c r="AA62" s="15">
        <f>SUM(L$2:L62)-SUM(AB$2:AB62)</f>
        <v>27572.165000000175</v>
      </c>
      <c r="AB62" s="64"/>
      <c r="AC62" s="145">
        <f t="shared" si="2"/>
        <v>-561.62412305615817</v>
      </c>
      <c r="AD62" s="145">
        <f t="shared" si="3"/>
        <v>-9661.6241230561573</v>
      </c>
    </row>
    <row r="63" spans="1:30" s="1" customFormat="1" x14ac:dyDescent="0.25">
      <c r="A63" s="99">
        <v>42793</v>
      </c>
      <c r="B63" s="100" t="s">
        <v>394</v>
      </c>
      <c r="C63" s="141" t="s">
        <v>63</v>
      </c>
      <c r="D63" s="142">
        <v>500</v>
      </c>
      <c r="E63" s="143">
        <v>9.1199999999999992</v>
      </c>
      <c r="F63" s="16">
        <f t="shared" si="4"/>
        <v>9600</v>
      </c>
      <c r="G63" s="17">
        <f t="shared" si="5"/>
        <v>9.7952334375000021</v>
      </c>
      <c r="H63" s="15">
        <f t="shared" si="6"/>
        <v>94034.241000000024</v>
      </c>
      <c r="I63" s="15">
        <f t="shared" si="7"/>
        <v>-6482.2410000000382</v>
      </c>
      <c r="J63" s="33">
        <f t="shared" si="8"/>
        <v>-6.8934900000947805E-2</v>
      </c>
      <c r="K63" s="15">
        <f t="shared" si="9"/>
        <v>87551.999999999985</v>
      </c>
      <c r="L63" s="15">
        <f t="shared" si="10"/>
        <v>-1279.0000000000146</v>
      </c>
      <c r="M63" s="15">
        <f t="shared" si="11"/>
        <v>5</v>
      </c>
      <c r="N63" s="15">
        <f t="shared" si="12"/>
        <v>0</v>
      </c>
      <c r="O63" s="64"/>
      <c r="P63" s="17">
        <f t="shared" si="13"/>
        <v>-0.67523343750000286</v>
      </c>
      <c r="Q63" s="15">
        <f t="shared" si="14"/>
        <v>-4565</v>
      </c>
      <c r="R63" s="35"/>
      <c r="S63" s="35">
        <f t="shared" si="15"/>
        <v>106481.24399999967</v>
      </c>
      <c r="T63" s="35">
        <f t="shared" si="16"/>
        <v>11675.574999999964</v>
      </c>
      <c r="U63" s="35">
        <f t="shared" si="17"/>
        <v>21275.574999999964</v>
      </c>
      <c r="V63" s="15">
        <f t="shared" si="18"/>
        <v>200515.48499999969</v>
      </c>
      <c r="W63" s="17">
        <f t="shared" si="19"/>
        <v>9.4246799440203155</v>
      </c>
      <c r="X63" s="17">
        <f t="shared" si="20"/>
        <v>-0.37055349347968658</v>
      </c>
      <c r="Y63" s="17">
        <f t="shared" si="21"/>
        <v>-0.30467994402031628</v>
      </c>
      <c r="Z63" s="134">
        <f t="shared" si="22"/>
        <v>0.45122164735853276</v>
      </c>
      <c r="AA63" s="15">
        <f>SUM(L$2:L63)-SUM(AB$2:AB63)</f>
        <v>26293.165000000161</v>
      </c>
      <c r="AB63" s="64"/>
      <c r="AC63" s="145">
        <f t="shared" si="2"/>
        <v>-710.41665345395165</v>
      </c>
      <c r="AD63" s="145">
        <f t="shared" si="3"/>
        <v>-10310.416653453951</v>
      </c>
    </row>
    <row r="64" spans="1:30" s="1" customFormat="1" x14ac:dyDescent="0.25">
      <c r="A64" s="99">
        <v>42793</v>
      </c>
      <c r="B64" s="100" t="s">
        <v>391</v>
      </c>
      <c r="C64" s="141" t="s">
        <v>69</v>
      </c>
      <c r="D64" s="142">
        <v>500</v>
      </c>
      <c r="E64" s="143">
        <v>9.1999999999999993</v>
      </c>
      <c r="F64" s="16">
        <f t="shared" si="4"/>
        <v>9100</v>
      </c>
      <c r="G64" s="17">
        <f t="shared" si="5"/>
        <v>9.8289935164835196</v>
      </c>
      <c r="H64" s="15">
        <f t="shared" si="6"/>
        <v>89443.841000000029</v>
      </c>
      <c r="I64" s="15">
        <f t="shared" si="7"/>
        <v>-5723.8410000000295</v>
      </c>
      <c r="J64" s="33">
        <f t="shared" si="8"/>
        <v>-6.3993685154912258E-2</v>
      </c>
      <c r="K64" s="15">
        <f t="shared" si="9"/>
        <v>83720</v>
      </c>
      <c r="L64" s="15">
        <f t="shared" si="10"/>
        <v>758.40000000000873</v>
      </c>
      <c r="M64" s="15">
        <f t="shared" si="11"/>
        <v>5</v>
      </c>
      <c r="N64" s="15">
        <f t="shared" si="12"/>
        <v>4.5999999999999996</v>
      </c>
      <c r="O64" s="64"/>
      <c r="P64" s="17">
        <f t="shared" si="13"/>
        <v>-0.62899351648352031</v>
      </c>
      <c r="Q64" s="15">
        <f t="shared" si="14"/>
        <v>4590.3999999999942</v>
      </c>
      <c r="R64" s="35"/>
      <c r="S64" s="35">
        <f t="shared" si="15"/>
        <v>111071.64399999967</v>
      </c>
      <c r="T64" s="35">
        <f t="shared" si="16"/>
        <v>12073.004782608661</v>
      </c>
      <c r="U64" s="35">
        <f t="shared" si="17"/>
        <v>21173.004782608659</v>
      </c>
      <c r="V64" s="15">
        <f t="shared" si="18"/>
        <v>200515.48499999969</v>
      </c>
      <c r="W64" s="17">
        <f t="shared" si="19"/>
        <v>9.4703367357996129</v>
      </c>
      <c r="X64" s="17">
        <f t="shared" si="20"/>
        <v>-0.35865678068390672</v>
      </c>
      <c r="Y64" s="17">
        <f t="shared" si="21"/>
        <v>-0.27033673579961359</v>
      </c>
      <c r="Z64" s="134">
        <f t="shared" si="22"/>
        <v>0.42979256338121025</v>
      </c>
      <c r="AA64" s="15">
        <f>SUM(L$2:L64)-SUM(AB$2:AB64)</f>
        <v>27051.56500000017</v>
      </c>
      <c r="AB64" s="64"/>
      <c r="AC64" s="145">
        <f t="shared" si="2"/>
        <v>-621.84555211956842</v>
      </c>
      <c r="AD64" s="145">
        <f t="shared" si="3"/>
        <v>-9721.8455521195683</v>
      </c>
    </row>
    <row r="65" spans="1:30" s="1" customFormat="1" x14ac:dyDescent="0.25">
      <c r="A65" s="99">
        <v>42793</v>
      </c>
      <c r="B65" s="100"/>
      <c r="C65" s="141" t="s">
        <v>69</v>
      </c>
      <c r="D65" s="142">
        <v>500</v>
      </c>
      <c r="E65" s="143">
        <v>9.27</v>
      </c>
      <c r="F65" s="16">
        <f t="shared" si="4"/>
        <v>8600</v>
      </c>
      <c r="G65" s="17">
        <f t="shared" si="5"/>
        <v>9.8626134883720962</v>
      </c>
      <c r="H65" s="15">
        <f t="shared" si="6"/>
        <v>84818.476000000024</v>
      </c>
      <c r="I65" s="15">
        <f t="shared" si="7"/>
        <v>-5096.4760000000242</v>
      </c>
      <c r="J65" s="33">
        <f t="shared" si="8"/>
        <v>-6.0086861263576923E-2</v>
      </c>
      <c r="K65" s="15">
        <f t="shared" si="9"/>
        <v>79722</v>
      </c>
      <c r="L65" s="15">
        <f t="shared" si="10"/>
        <v>627.36500000000524</v>
      </c>
      <c r="M65" s="15">
        <f t="shared" si="11"/>
        <v>5</v>
      </c>
      <c r="N65" s="15">
        <f t="shared" si="12"/>
        <v>4.6349999999999998</v>
      </c>
      <c r="O65" s="64"/>
      <c r="P65" s="17">
        <f t="shared" si="13"/>
        <v>-0.5926134883720966</v>
      </c>
      <c r="Q65" s="15">
        <f t="shared" si="14"/>
        <v>4625.3650000000052</v>
      </c>
      <c r="R65" s="35"/>
      <c r="S65" s="35">
        <f t="shared" si="15"/>
        <v>115697.00899999967</v>
      </c>
      <c r="T65" s="35">
        <f t="shared" si="16"/>
        <v>12480.799244875909</v>
      </c>
      <c r="U65" s="35">
        <f t="shared" si="17"/>
        <v>21080.799244875911</v>
      </c>
      <c r="V65" s="15">
        <f t="shared" si="18"/>
        <v>200515.48499999969</v>
      </c>
      <c r="W65" s="17">
        <f t="shared" si="19"/>
        <v>9.5117591449355885</v>
      </c>
      <c r="X65" s="17">
        <f t="shared" si="20"/>
        <v>-0.35085434343650768</v>
      </c>
      <c r="Y65" s="17">
        <f t="shared" si="21"/>
        <v>-0.24175914493558892</v>
      </c>
      <c r="Z65" s="134">
        <f t="shared" si="22"/>
        <v>0.40795417195059119</v>
      </c>
      <c r="AA65" s="15">
        <f>SUM(L$2:L65)-SUM(AB$2:AB65)</f>
        <v>27678.930000000175</v>
      </c>
      <c r="AB65" s="64"/>
      <c r="AC65" s="145">
        <f t="shared" si="2"/>
        <v>-549.50677044228962</v>
      </c>
      <c r="AD65" s="145">
        <f t="shared" si="3"/>
        <v>-9149.5067704422891</v>
      </c>
    </row>
    <row r="66" spans="1:30" s="1" customFormat="1" x14ac:dyDescent="0.25">
      <c r="A66" s="99">
        <v>42793</v>
      </c>
      <c r="B66" s="100"/>
      <c r="C66" s="141" t="s">
        <v>69</v>
      </c>
      <c r="D66" s="142">
        <v>500</v>
      </c>
      <c r="E66" s="143">
        <v>9.3800000000000008</v>
      </c>
      <c r="F66" s="16">
        <f t="shared" si="4"/>
        <v>8100</v>
      </c>
      <c r="G66" s="17">
        <f t="shared" si="5"/>
        <v>9.8936007407407445</v>
      </c>
      <c r="H66" s="15">
        <f t="shared" si="6"/>
        <v>80138.166000000027</v>
      </c>
      <c r="I66" s="15">
        <f t="shared" si="7"/>
        <v>-4160.1660000000265</v>
      </c>
      <c r="J66" s="33">
        <f t="shared" si="8"/>
        <v>-5.1912418360061073E-2</v>
      </c>
      <c r="K66" s="15">
        <f t="shared" si="9"/>
        <v>75978</v>
      </c>
      <c r="L66" s="15">
        <f t="shared" si="10"/>
        <v>936.30999999999767</v>
      </c>
      <c r="M66" s="15">
        <f t="shared" si="11"/>
        <v>5</v>
      </c>
      <c r="N66" s="15">
        <f t="shared" si="12"/>
        <v>4.6900000000000004</v>
      </c>
      <c r="O66" s="64"/>
      <c r="P66" s="17">
        <f t="shared" si="13"/>
        <v>-0.51360074074074369</v>
      </c>
      <c r="Q66" s="15">
        <f t="shared" si="14"/>
        <v>4680.3099999999977</v>
      </c>
      <c r="R66" s="35"/>
      <c r="S66" s="35">
        <f t="shared" si="15"/>
        <v>120377.31899999967</v>
      </c>
      <c r="T66" s="35">
        <f t="shared" si="16"/>
        <v>12833.402878464782</v>
      </c>
      <c r="U66" s="35">
        <f t="shared" si="17"/>
        <v>20933.402878464782</v>
      </c>
      <c r="V66" s="15">
        <f t="shared" si="18"/>
        <v>200515.48499999969</v>
      </c>
      <c r="W66" s="17">
        <f t="shared" si="19"/>
        <v>9.5787333843500342</v>
      </c>
      <c r="X66" s="17">
        <f t="shared" si="20"/>
        <v>-0.31486735639071028</v>
      </c>
      <c r="Y66" s="17">
        <f t="shared" si="21"/>
        <v>-0.1987333843500334</v>
      </c>
      <c r="Z66" s="134">
        <f t="shared" si="22"/>
        <v>0.38694138965494557</v>
      </c>
      <c r="AA66" s="15">
        <f>SUM(L$2:L66)-SUM(AB$2:AB66)</f>
        <v>28615.240000000173</v>
      </c>
      <c r="AB66" s="64"/>
      <c r="AC66" s="145">
        <f t="shared" si="2"/>
        <v>-443.29274168443777</v>
      </c>
      <c r="AD66" s="145">
        <f t="shared" si="3"/>
        <v>-8543.2927416844377</v>
      </c>
    </row>
    <row r="67" spans="1:30" s="1" customFormat="1" x14ac:dyDescent="0.25">
      <c r="A67" s="99">
        <v>42793</v>
      </c>
      <c r="B67" s="100" t="s">
        <v>395</v>
      </c>
      <c r="C67" s="141" t="s">
        <v>63</v>
      </c>
      <c r="D67" s="142">
        <v>500</v>
      </c>
      <c r="E67" s="143">
        <v>9.18</v>
      </c>
      <c r="F67" s="16">
        <f t="shared" si="4"/>
        <v>8600</v>
      </c>
      <c r="G67" s="17">
        <f t="shared" si="5"/>
        <v>9.852693720930235</v>
      </c>
      <c r="H67" s="15">
        <f t="shared" si="6"/>
        <v>84733.166000000027</v>
      </c>
      <c r="I67" s="15">
        <f t="shared" si="7"/>
        <v>-5785.1660000000265</v>
      </c>
      <c r="J67" s="33">
        <f t="shared" si="8"/>
        <v>-6.8275107293878548E-2</v>
      </c>
      <c r="K67" s="15">
        <f t="shared" si="9"/>
        <v>78948</v>
      </c>
      <c r="L67" s="15">
        <f t="shared" si="10"/>
        <v>-1625</v>
      </c>
      <c r="M67" s="15">
        <f t="shared" si="11"/>
        <v>5</v>
      </c>
      <c r="N67" s="15">
        <f t="shared" si="12"/>
        <v>0</v>
      </c>
      <c r="O67" s="64"/>
      <c r="P67" s="17">
        <f t="shared" si="13"/>
        <v>-0.67269372093023527</v>
      </c>
      <c r="Q67" s="15">
        <f t="shared" si="14"/>
        <v>-4595</v>
      </c>
      <c r="R67" s="35"/>
      <c r="S67" s="35">
        <f t="shared" si="15"/>
        <v>115782.31899999967</v>
      </c>
      <c r="T67" s="35">
        <f t="shared" si="16"/>
        <v>12612.453050108898</v>
      </c>
      <c r="U67" s="35">
        <f t="shared" si="17"/>
        <v>21212.453050108896</v>
      </c>
      <c r="V67" s="15">
        <f t="shared" si="18"/>
        <v>200515.48499999969</v>
      </c>
      <c r="W67" s="17">
        <f t="shared" si="19"/>
        <v>9.4527249878330473</v>
      </c>
      <c r="X67" s="17">
        <f t="shared" si="20"/>
        <v>-0.39996873309718772</v>
      </c>
      <c r="Y67" s="17">
        <f t="shared" si="21"/>
        <v>-0.27272498783304755</v>
      </c>
      <c r="Z67" s="134">
        <f t="shared" si="22"/>
        <v>0.40542222908801445</v>
      </c>
      <c r="AA67" s="15">
        <f>SUM(L$2:L67)-SUM(AB$2:AB67)</f>
        <v>26990.240000000173</v>
      </c>
      <c r="AB67" s="64"/>
      <c r="AC67" s="145">
        <f t="shared" si="2"/>
        <v>-629.877278540308</v>
      </c>
      <c r="AD67" s="145">
        <f t="shared" si="3"/>
        <v>-9229.8772785403089</v>
      </c>
    </row>
    <row r="68" spans="1:30" s="1" customFormat="1" x14ac:dyDescent="0.25">
      <c r="A68" s="99">
        <v>42794</v>
      </c>
      <c r="B68" s="100" t="s">
        <v>396</v>
      </c>
      <c r="C68" s="141" t="s">
        <v>63</v>
      </c>
      <c r="D68" s="142">
        <v>500</v>
      </c>
      <c r="E68" s="143">
        <v>9</v>
      </c>
      <c r="F68" s="16">
        <f t="shared" ref="F68:F73" si="23">IF(C68="买",F67+D68,F67-D68)</f>
        <v>9100</v>
      </c>
      <c r="G68" s="17">
        <f t="shared" ref="G68:G73" si="24">H68/F68</f>
        <v>9.8063918681318718</v>
      </c>
      <c r="H68" s="15">
        <f t="shared" ref="H68:H73" si="25">IF(C68="买",H67+D68*E68+M68+N68,H67+-1*D68*E68+M68+N68)+O67</f>
        <v>89238.166000000027</v>
      </c>
      <c r="I68" s="15">
        <f t="shared" ref="I68:I73" si="26">-H68+K68</f>
        <v>-7338.1660000000265</v>
      </c>
      <c r="J68" s="33">
        <f t="shared" ref="J68:J73" si="27">(E68-G68)/G68</f>
        <v>-8.2231250696031002E-2</v>
      </c>
      <c r="K68" s="15">
        <f t="shared" ref="K68:K73" si="28">F68*E68</f>
        <v>81900</v>
      </c>
      <c r="L68" s="15">
        <f t="shared" ref="L68:L73" si="29">I68-I67</f>
        <v>-1553</v>
      </c>
      <c r="M68" s="15">
        <f t="shared" ref="M68:M73" si="30">IF(D68*E68*5/10000&gt;5,D68*E68*5/10000,5)</f>
        <v>5</v>
      </c>
      <c r="N68" s="15">
        <f t="shared" ref="N68:N73" si="31">IF(C68="卖",D68*E68/1000,0)</f>
        <v>0</v>
      </c>
      <c r="O68" s="64"/>
      <c r="P68" s="17">
        <f t="shared" ref="P68:P73" si="32">E68-G68</f>
        <v>-0.8063918681318718</v>
      </c>
      <c r="Q68" s="15">
        <f t="shared" ref="Q68:Q73" si="33">(H68-H67)*-1</f>
        <v>-4505</v>
      </c>
      <c r="R68" s="35"/>
      <c r="S68" s="35">
        <f t="shared" ref="S68:S73" si="34">S67+Q68+O68+R68</f>
        <v>111277.31899999967</v>
      </c>
      <c r="T68" s="35">
        <f t="shared" ref="T68:T73" si="35">S68/E68</f>
        <v>12364.146555555519</v>
      </c>
      <c r="U68" s="35">
        <f t="shared" ref="U68:U73" si="36">F68+T68</f>
        <v>21464.146555555519</v>
      </c>
      <c r="V68" s="15">
        <f t="shared" ref="V68:V73" si="37">H68+S68</f>
        <v>200515.48499999969</v>
      </c>
      <c r="W68" s="17">
        <f t="shared" ref="W68:W73" si="38">V68/U68</f>
        <v>9.3418801665841542</v>
      </c>
      <c r="X68" s="17">
        <f t="shared" ref="X68:X73" si="39">W68-G68</f>
        <v>-0.46451170154771759</v>
      </c>
      <c r="Y68" s="17">
        <f t="shared" ref="Y68:Y73" si="40">(X68-P68)*-1</f>
        <v>-0.34188016658415421</v>
      </c>
      <c r="Z68" s="134">
        <f t="shared" ref="Z68:Z73" si="41">F68/U68</f>
        <v>0.42396281522055984</v>
      </c>
      <c r="AA68" s="15">
        <f>SUM(L$2:L68)-SUM(AB$2:AB68)</f>
        <v>25437.240000000173</v>
      </c>
      <c r="AB68" s="64"/>
      <c r="AC68" s="145">
        <f t="shared" si="2"/>
        <v>-814.94410188889185</v>
      </c>
      <c r="AD68" s="145">
        <f t="shared" si="3"/>
        <v>-9914.944101888892</v>
      </c>
    </row>
    <row r="69" spans="1:30" s="1" customFormat="1" x14ac:dyDescent="0.25">
      <c r="A69" s="99">
        <v>42794</v>
      </c>
      <c r="B69" s="100" t="s">
        <v>391</v>
      </c>
      <c r="C69" s="141" t="s">
        <v>69</v>
      </c>
      <c r="D69" s="142">
        <v>500</v>
      </c>
      <c r="E69" s="143">
        <v>9.2100000000000009</v>
      </c>
      <c r="F69" s="16">
        <f t="shared" si="23"/>
        <v>8600</v>
      </c>
      <c r="G69" s="17">
        <f t="shared" si="24"/>
        <v>9.8421826744186074</v>
      </c>
      <c r="H69" s="15">
        <f t="shared" si="25"/>
        <v>84642.771000000022</v>
      </c>
      <c r="I69" s="15">
        <f t="shared" si="26"/>
        <v>-5436.7710000000079</v>
      </c>
      <c r="J69" s="33">
        <f t="shared" si="27"/>
        <v>-6.4231959041133171E-2</v>
      </c>
      <c r="K69" s="15">
        <f t="shared" si="28"/>
        <v>79206.000000000015</v>
      </c>
      <c r="L69" s="15">
        <f t="shared" si="29"/>
        <v>1901.3950000000186</v>
      </c>
      <c r="M69" s="15">
        <f t="shared" si="30"/>
        <v>5</v>
      </c>
      <c r="N69" s="15">
        <f t="shared" si="31"/>
        <v>4.6050000000000004</v>
      </c>
      <c r="O69" s="64"/>
      <c r="P69" s="17">
        <f t="shared" si="32"/>
        <v>-0.63218267441860654</v>
      </c>
      <c r="Q69" s="15">
        <f t="shared" si="33"/>
        <v>4595.3950000000041</v>
      </c>
      <c r="R69" s="35"/>
      <c r="S69" s="35">
        <f t="shared" si="34"/>
        <v>115872.71399999967</v>
      </c>
      <c r="T69" s="35">
        <f t="shared" si="35"/>
        <v>12581.185016286609</v>
      </c>
      <c r="U69" s="35">
        <f t="shared" si="36"/>
        <v>21181.18501628661</v>
      </c>
      <c r="V69" s="15">
        <f t="shared" si="37"/>
        <v>200515.48499999969</v>
      </c>
      <c r="W69" s="17">
        <f t="shared" si="38"/>
        <v>9.466679264914573</v>
      </c>
      <c r="X69" s="17">
        <f t="shared" si="39"/>
        <v>-0.37550340950403438</v>
      </c>
      <c r="Y69" s="17">
        <f t="shared" si="40"/>
        <v>-0.25667926491457216</v>
      </c>
      <c r="Z69" s="134">
        <f t="shared" si="41"/>
        <v>0.4060207204359576</v>
      </c>
      <c r="AA69" s="15">
        <f>SUM(L$2:L69)-SUM(AB$2:AB69)</f>
        <v>27338.635000000191</v>
      </c>
      <c r="AB69" s="64"/>
      <c r="AC69" s="145">
        <f t="shared" si="2"/>
        <v>-590.01657052117355</v>
      </c>
      <c r="AD69" s="145">
        <f t="shared" si="3"/>
        <v>-9190.016570521173</v>
      </c>
    </row>
    <row r="70" spans="1:30" s="1" customFormat="1" x14ac:dyDescent="0.25">
      <c r="A70" s="99">
        <v>42794</v>
      </c>
      <c r="B70" s="100" t="s">
        <v>391</v>
      </c>
      <c r="C70" s="141" t="s">
        <v>69</v>
      </c>
      <c r="D70" s="142">
        <v>500</v>
      </c>
      <c r="E70" s="143">
        <v>9.23</v>
      </c>
      <c r="F70" s="16">
        <f t="shared" si="23"/>
        <v>8100</v>
      </c>
      <c r="G70" s="17">
        <f t="shared" si="24"/>
        <v>9.8811587654321027</v>
      </c>
      <c r="H70" s="15">
        <f t="shared" si="25"/>
        <v>80037.386000000028</v>
      </c>
      <c r="I70" s="15">
        <f t="shared" si="26"/>
        <v>-5274.3860000000277</v>
      </c>
      <c r="J70" s="33">
        <f t="shared" si="27"/>
        <v>-6.5899028736396095E-2</v>
      </c>
      <c r="K70" s="15">
        <f t="shared" si="28"/>
        <v>74763</v>
      </c>
      <c r="L70" s="15">
        <f t="shared" si="29"/>
        <v>162.38499999998021</v>
      </c>
      <c r="M70" s="15">
        <f t="shared" si="30"/>
        <v>5</v>
      </c>
      <c r="N70" s="15">
        <f t="shared" si="31"/>
        <v>4.6150000000000002</v>
      </c>
      <c r="O70" s="64"/>
      <c r="P70" s="17">
        <f t="shared" si="32"/>
        <v>-0.65115876543210227</v>
      </c>
      <c r="Q70" s="15">
        <f t="shared" si="33"/>
        <v>4605.3849999999948</v>
      </c>
      <c r="R70" s="35"/>
      <c r="S70" s="35">
        <f t="shared" si="34"/>
        <v>120478.09899999967</v>
      </c>
      <c r="T70" s="35">
        <f t="shared" si="35"/>
        <v>13052.881798483169</v>
      </c>
      <c r="U70" s="35">
        <f t="shared" si="36"/>
        <v>21152.881798483169</v>
      </c>
      <c r="V70" s="15">
        <f t="shared" si="37"/>
        <v>200515.48499999969</v>
      </c>
      <c r="W70" s="17">
        <f t="shared" si="38"/>
        <v>9.4793459780207474</v>
      </c>
      <c r="X70" s="17">
        <f t="shared" si="39"/>
        <v>-0.40181278741135529</v>
      </c>
      <c r="Y70" s="17">
        <f t="shared" si="40"/>
        <v>-0.24934597802074698</v>
      </c>
      <c r="Z70" s="134">
        <f t="shared" si="41"/>
        <v>0.38292654765275691</v>
      </c>
      <c r="AA70" s="15">
        <f>SUM(L$2:L70)-SUM(AB$2:AB70)</f>
        <v>27501.020000000171</v>
      </c>
      <c r="AB70" s="64"/>
      <c r="AC70" s="145">
        <f t="shared" si="2"/>
        <v>-571.15371690141149</v>
      </c>
      <c r="AD70" s="145">
        <f t="shared" si="3"/>
        <v>-8671.1537169014118</v>
      </c>
    </row>
    <row r="71" spans="1:30" s="1" customFormat="1" x14ac:dyDescent="0.25">
      <c r="A71" s="99">
        <v>42795</v>
      </c>
      <c r="B71" s="100" t="s">
        <v>397</v>
      </c>
      <c r="C71" s="141" t="s">
        <v>63</v>
      </c>
      <c r="D71" s="142">
        <v>500</v>
      </c>
      <c r="E71" s="143">
        <v>9.06</v>
      </c>
      <c r="F71" s="16">
        <f t="shared" si="23"/>
        <v>8600</v>
      </c>
      <c r="G71" s="17">
        <f t="shared" si="24"/>
        <v>9.833998372093026</v>
      </c>
      <c r="H71" s="15">
        <f t="shared" si="25"/>
        <v>84572.386000000028</v>
      </c>
      <c r="I71" s="15">
        <f t="shared" si="26"/>
        <v>-6656.3860000000277</v>
      </c>
      <c r="J71" s="33">
        <f t="shared" si="27"/>
        <v>-7.8706375861265374E-2</v>
      </c>
      <c r="K71" s="15">
        <f t="shared" si="28"/>
        <v>77916</v>
      </c>
      <c r="L71" s="15">
        <f t="shared" si="29"/>
        <v>-1382</v>
      </c>
      <c r="M71" s="15">
        <f t="shared" si="30"/>
        <v>5</v>
      </c>
      <c r="N71" s="15">
        <f t="shared" si="31"/>
        <v>0</v>
      </c>
      <c r="O71" s="64"/>
      <c r="P71" s="17">
        <f t="shared" si="32"/>
        <v>-0.77399837209302547</v>
      </c>
      <c r="Q71" s="15">
        <f t="shared" si="33"/>
        <v>-4535</v>
      </c>
      <c r="R71" s="35"/>
      <c r="S71" s="35">
        <f t="shared" si="34"/>
        <v>115943.09899999967</v>
      </c>
      <c r="T71" s="35">
        <f t="shared" si="35"/>
        <v>12797.251545253826</v>
      </c>
      <c r="U71" s="35">
        <f t="shared" si="36"/>
        <v>21397.251545253828</v>
      </c>
      <c r="V71" s="15">
        <f t="shared" si="37"/>
        <v>200515.48499999969</v>
      </c>
      <c r="W71" s="17">
        <f t="shared" si="38"/>
        <v>9.3710860283117281</v>
      </c>
      <c r="X71" s="17">
        <f t="shared" si="39"/>
        <v>-0.46291234378129786</v>
      </c>
      <c r="Y71" s="17">
        <f t="shared" si="40"/>
        <v>-0.3110860283117276</v>
      </c>
      <c r="Z71" s="134">
        <f t="shared" si="41"/>
        <v>0.40192077855473851</v>
      </c>
      <c r="AA71" s="15">
        <f>SUM(L$2:L71)-SUM(AB$2:AB71)</f>
        <v>26119.020000000171</v>
      </c>
      <c r="AB71" s="64"/>
      <c r="AC71" s="145">
        <f t="shared" si="2"/>
        <v>-734.33309128035626</v>
      </c>
      <c r="AD71" s="145">
        <f t="shared" si="3"/>
        <v>-9334.3330912803558</v>
      </c>
    </row>
    <row r="72" spans="1:30" s="1" customFormat="1" x14ac:dyDescent="0.25">
      <c r="A72" s="99">
        <v>42796</v>
      </c>
      <c r="B72" s="100" t="s">
        <v>398</v>
      </c>
      <c r="C72" s="141" t="s">
        <v>63</v>
      </c>
      <c r="D72" s="142">
        <v>500</v>
      </c>
      <c r="E72" s="143">
        <v>8.99</v>
      </c>
      <c r="F72" s="16">
        <f t="shared" si="23"/>
        <v>9100</v>
      </c>
      <c r="G72" s="17">
        <f t="shared" si="24"/>
        <v>9.7881742857142893</v>
      </c>
      <c r="H72" s="15">
        <f t="shared" si="25"/>
        <v>89072.386000000028</v>
      </c>
      <c r="I72" s="15">
        <f t="shared" si="26"/>
        <v>-7263.3860000000277</v>
      </c>
      <c r="J72" s="33">
        <f t="shared" si="27"/>
        <v>-8.1544756194136619E-2</v>
      </c>
      <c r="K72" s="15">
        <f t="shared" si="28"/>
        <v>81809</v>
      </c>
      <c r="L72" s="15">
        <f t="shared" si="29"/>
        <v>-607</v>
      </c>
      <c r="M72" s="15">
        <f t="shared" si="30"/>
        <v>5</v>
      </c>
      <c r="N72" s="15">
        <f t="shared" si="31"/>
        <v>0</v>
      </c>
      <c r="O72" s="64"/>
      <c r="P72" s="17">
        <f t="shared" si="32"/>
        <v>-0.79817428571428906</v>
      </c>
      <c r="Q72" s="15">
        <f t="shared" si="33"/>
        <v>-4500</v>
      </c>
      <c r="R72" s="35"/>
      <c r="S72" s="35">
        <f t="shared" si="34"/>
        <v>111443.09899999967</v>
      </c>
      <c r="T72" s="35">
        <f t="shared" si="35"/>
        <v>12396.340266963256</v>
      </c>
      <c r="U72" s="35">
        <f t="shared" si="36"/>
        <v>21496.340266963256</v>
      </c>
      <c r="V72" s="15">
        <f t="shared" si="37"/>
        <v>200515.48499999969</v>
      </c>
      <c r="W72" s="17">
        <f t="shared" si="38"/>
        <v>9.3278894225619791</v>
      </c>
      <c r="X72" s="17">
        <f t="shared" si="39"/>
        <v>-0.46028486315231021</v>
      </c>
      <c r="Y72" s="17">
        <f t="shared" si="40"/>
        <v>-0.33788942256197885</v>
      </c>
      <c r="Z72" s="134">
        <f t="shared" si="41"/>
        <v>0.42332787288380314</v>
      </c>
      <c r="AA72" s="15">
        <f>SUM(L$2:L72)-SUM(AB$2:AB72)</f>
        <v>25512.020000000171</v>
      </c>
      <c r="AB72" s="64"/>
      <c r="AC72" s="145">
        <f t="shared" si="2"/>
        <v>-807.53663036707769</v>
      </c>
      <c r="AD72" s="145">
        <f t="shared" si="3"/>
        <v>-9907.536630367078</v>
      </c>
    </row>
    <row r="73" spans="1:30" s="1" customFormat="1" x14ac:dyDescent="0.25">
      <c r="A73" s="99">
        <v>42796</v>
      </c>
      <c r="B73" s="100"/>
      <c r="C73" s="141" t="s">
        <v>69</v>
      </c>
      <c r="D73" s="142">
        <v>500</v>
      </c>
      <c r="E73" s="143">
        <v>9.34</v>
      </c>
      <c r="F73" s="16">
        <f t="shared" si="23"/>
        <v>8600</v>
      </c>
      <c r="G73" s="17">
        <f t="shared" si="24"/>
        <v>9.8153553488372118</v>
      </c>
      <c r="H73" s="15">
        <f t="shared" si="25"/>
        <v>84412.056000000026</v>
      </c>
      <c r="I73" s="15">
        <f t="shared" si="26"/>
        <v>-4088.056000000026</v>
      </c>
      <c r="J73" s="33">
        <f t="shared" si="27"/>
        <v>-4.8429764582443316E-2</v>
      </c>
      <c r="K73" s="15">
        <f t="shared" si="28"/>
        <v>80324</v>
      </c>
      <c r="L73" s="15">
        <f t="shared" si="29"/>
        <v>3175.3300000000017</v>
      </c>
      <c r="M73" s="15">
        <f t="shared" si="30"/>
        <v>5</v>
      </c>
      <c r="N73" s="15">
        <f t="shared" si="31"/>
        <v>4.67</v>
      </c>
      <c r="O73" s="64"/>
      <c r="P73" s="17">
        <f t="shared" si="32"/>
        <v>-0.47535534883721198</v>
      </c>
      <c r="Q73" s="15">
        <f t="shared" si="33"/>
        <v>4660.3300000000017</v>
      </c>
      <c r="R73" s="35"/>
      <c r="S73" s="35">
        <f t="shared" si="34"/>
        <v>116103.42899999967</v>
      </c>
      <c r="T73" s="35">
        <f t="shared" si="35"/>
        <v>12430.773982869343</v>
      </c>
      <c r="U73" s="35">
        <f t="shared" si="36"/>
        <v>21030.773982869345</v>
      </c>
      <c r="V73" s="15">
        <f t="shared" si="37"/>
        <v>200515.48499999969</v>
      </c>
      <c r="W73" s="17">
        <f t="shared" si="38"/>
        <v>9.5343844769255739</v>
      </c>
      <c r="X73" s="17">
        <f t="shared" si="39"/>
        <v>-0.28097087191163794</v>
      </c>
      <c r="Y73" s="17">
        <f t="shared" si="40"/>
        <v>-0.19438447692557403</v>
      </c>
      <c r="Z73" s="134">
        <f t="shared" si="41"/>
        <v>0.40892456012342415</v>
      </c>
      <c r="AA73" s="15">
        <f>SUM(L$2:L73)-SUM(AB$2:AB73)</f>
        <v>28687.350000000173</v>
      </c>
      <c r="AB73" s="64"/>
      <c r="AC73" s="145">
        <f t="shared" si="2"/>
        <v>-437.47451520342895</v>
      </c>
      <c r="AD73" s="145">
        <f t="shared" si="3"/>
        <v>-9037.4745152034284</v>
      </c>
    </row>
    <row r="74" spans="1:30" s="1" customFormat="1" x14ac:dyDescent="0.25">
      <c r="A74" s="99">
        <v>42796</v>
      </c>
      <c r="B74" s="100" t="s">
        <v>399</v>
      </c>
      <c r="C74" s="141" t="s">
        <v>63</v>
      </c>
      <c r="D74" s="142">
        <v>500</v>
      </c>
      <c r="E74" s="143">
        <v>9.19</v>
      </c>
      <c r="F74" s="16">
        <f t="shared" ref="F74:F81" si="42">IF(C74="买",F73+D74,F73-D74)</f>
        <v>9100</v>
      </c>
      <c r="G74" s="17">
        <f t="shared" ref="G74:G81" si="43">H74/F74</f>
        <v>9.7815446153846182</v>
      </c>
      <c r="H74" s="15">
        <f t="shared" ref="H74:H81" si="44">IF(C74="买",H73+D74*E74+M74+N74,H73+-1*D74*E74+M74+N74)+O73</f>
        <v>89012.056000000026</v>
      </c>
      <c r="I74" s="15">
        <f t="shared" ref="I74:I81" si="45">-H74+K74</f>
        <v>-5383.056000000026</v>
      </c>
      <c r="J74" s="33">
        <f t="shared" ref="J74:J81" si="46">(E74-G74)/G74</f>
        <v>-6.0475583217626479E-2</v>
      </c>
      <c r="K74" s="15">
        <f t="shared" ref="K74:K81" si="47">F74*E74</f>
        <v>83629</v>
      </c>
      <c r="L74" s="15">
        <f t="shared" ref="L74:L81" si="48">I74-I73</f>
        <v>-1295</v>
      </c>
      <c r="M74" s="15">
        <f t="shared" ref="M74:M81" si="49">IF(D74*E74*5/10000&gt;5,D74*E74*5/10000,5)</f>
        <v>5</v>
      </c>
      <c r="N74" s="15">
        <f t="shared" ref="N74:N81" si="50">IF(C74="卖",D74*E74/1000,0)</f>
        <v>0</v>
      </c>
      <c r="O74" s="64"/>
      <c r="P74" s="17">
        <f t="shared" ref="P74:P81" si="51">E74-G74</f>
        <v>-0.59154461538461867</v>
      </c>
      <c r="Q74" s="15">
        <f t="shared" ref="Q74:Q81" si="52">(H74-H73)*-1</f>
        <v>-4600</v>
      </c>
      <c r="R74" s="35"/>
      <c r="S74" s="35">
        <f t="shared" ref="S74:S81" si="53">S73+Q74+O74+R74</f>
        <v>111503.42899999967</v>
      </c>
      <c r="T74" s="35">
        <f t="shared" ref="T74:T81" si="54">S74/E74</f>
        <v>12133.126115342728</v>
      </c>
      <c r="U74" s="35">
        <f t="shared" ref="U74:U81" si="55">F74+T74</f>
        <v>21233.126115342726</v>
      </c>
      <c r="V74" s="15">
        <f t="shared" ref="V74:V81" si="56">H74+S74</f>
        <v>200515.48499999969</v>
      </c>
      <c r="W74" s="17">
        <f t="shared" ref="W74:W81" si="57">V74/U74</f>
        <v>9.4435215950189431</v>
      </c>
      <c r="X74" s="17">
        <f t="shared" ref="X74:X81" si="58">W74-G74</f>
        <v>-0.33802302036567511</v>
      </c>
      <c r="Y74" s="17">
        <f t="shared" ref="Y74:Y81" si="59">(X74-P74)*-1</f>
        <v>-0.25352159501894356</v>
      </c>
      <c r="Z74" s="134">
        <f t="shared" ref="Z74:Z81" si="60">F74/U74</f>
        <v>0.42857561107897729</v>
      </c>
      <c r="AA74" s="15">
        <f>SUM(L$2:L74)-SUM(AB$2:AB74)</f>
        <v>27392.350000000173</v>
      </c>
      <c r="AB74" s="64"/>
      <c r="AC74" s="145">
        <f t="shared" si="2"/>
        <v>-585.45859325353933</v>
      </c>
      <c r="AD74" s="145">
        <f t="shared" si="3"/>
        <v>-9685.4585932535392</v>
      </c>
    </row>
    <row r="75" spans="1:30" s="1" customFormat="1" x14ac:dyDescent="0.25">
      <c r="A75" s="99">
        <v>42797</v>
      </c>
      <c r="B75" s="100" t="s">
        <v>189</v>
      </c>
      <c r="C75" s="141" t="s">
        <v>63</v>
      </c>
      <c r="D75" s="142">
        <v>500</v>
      </c>
      <c r="E75" s="143">
        <v>8.91</v>
      </c>
      <c r="F75" s="16">
        <f t="shared" si="42"/>
        <v>9600</v>
      </c>
      <c r="G75" s="17">
        <f t="shared" si="43"/>
        <v>9.7366725000000027</v>
      </c>
      <c r="H75" s="15">
        <f t="shared" si="44"/>
        <v>93472.056000000026</v>
      </c>
      <c r="I75" s="15">
        <f t="shared" si="45"/>
        <v>-7936.056000000026</v>
      </c>
      <c r="J75" s="33">
        <f t="shared" si="46"/>
        <v>-8.4902978918105984E-2</v>
      </c>
      <c r="K75" s="15">
        <f t="shared" si="47"/>
        <v>85536</v>
      </c>
      <c r="L75" s="15">
        <f t="shared" si="48"/>
        <v>-2553</v>
      </c>
      <c r="M75" s="15">
        <f t="shared" si="49"/>
        <v>5</v>
      </c>
      <c r="N75" s="15">
        <f t="shared" si="50"/>
        <v>0</v>
      </c>
      <c r="O75" s="64"/>
      <c r="P75" s="17">
        <f t="shared" si="51"/>
        <v>-0.82667250000000259</v>
      </c>
      <c r="Q75" s="15">
        <f t="shared" si="52"/>
        <v>-4460</v>
      </c>
      <c r="R75" s="35"/>
      <c r="S75" s="35">
        <f t="shared" si="53"/>
        <v>107043.42899999967</v>
      </c>
      <c r="T75" s="35">
        <f t="shared" si="54"/>
        <v>12013.852861952824</v>
      </c>
      <c r="U75" s="35">
        <f t="shared" si="55"/>
        <v>21613.852861952822</v>
      </c>
      <c r="V75" s="15">
        <f t="shared" si="56"/>
        <v>200515.48499999969</v>
      </c>
      <c r="W75" s="17">
        <f t="shared" si="57"/>
        <v>9.2771745176895326</v>
      </c>
      <c r="X75" s="17">
        <f t="shared" si="58"/>
        <v>-0.45949798231047012</v>
      </c>
      <c r="Y75" s="17">
        <f t="shared" si="59"/>
        <v>-0.36717451768953246</v>
      </c>
      <c r="Z75" s="134">
        <f t="shared" si="60"/>
        <v>0.44415958882088158</v>
      </c>
      <c r="AA75" s="15">
        <f>SUM(L$2:L75)-SUM(AB$2:AB75)</f>
        <v>24839.350000000173</v>
      </c>
      <c r="AB75" s="64"/>
      <c r="AC75" s="145">
        <f t="shared" si="2"/>
        <v>-890.24556363636657</v>
      </c>
      <c r="AD75" s="145">
        <f t="shared" si="3"/>
        <v>-10490.245563636367</v>
      </c>
    </row>
    <row r="76" spans="1:30" s="1" customFormat="1" x14ac:dyDescent="0.25">
      <c r="A76" s="99">
        <v>42797</v>
      </c>
      <c r="B76" s="100"/>
      <c r="C76" s="141" t="s">
        <v>69</v>
      </c>
      <c r="D76" s="142">
        <v>500</v>
      </c>
      <c r="E76" s="143">
        <v>9.02</v>
      </c>
      <c r="F76" s="16">
        <f t="shared" si="42"/>
        <v>9100</v>
      </c>
      <c r="G76" s="17">
        <f t="shared" si="43"/>
        <v>9.7770951648351669</v>
      </c>
      <c r="H76" s="15">
        <f t="shared" si="44"/>
        <v>88971.566000000021</v>
      </c>
      <c r="I76" s="15">
        <f t="shared" si="45"/>
        <v>-6889.5660000000207</v>
      </c>
      <c r="J76" s="33">
        <f t="shared" si="46"/>
        <v>-7.7435593299549452E-2</v>
      </c>
      <c r="K76" s="15">
        <f t="shared" si="47"/>
        <v>82082</v>
      </c>
      <c r="L76" s="15">
        <f t="shared" si="48"/>
        <v>1046.4900000000052</v>
      </c>
      <c r="M76" s="15">
        <f t="shared" si="49"/>
        <v>5</v>
      </c>
      <c r="N76" s="15">
        <f t="shared" si="50"/>
        <v>4.51</v>
      </c>
      <c r="O76" s="64"/>
      <c r="P76" s="17">
        <f t="shared" si="51"/>
        <v>-0.75709516483516737</v>
      </c>
      <c r="Q76" s="15">
        <f t="shared" si="52"/>
        <v>4500.4900000000052</v>
      </c>
      <c r="R76" s="35"/>
      <c r="S76" s="35">
        <f t="shared" si="53"/>
        <v>111543.91899999967</v>
      </c>
      <c r="T76" s="35">
        <f t="shared" si="54"/>
        <v>12366.288137472247</v>
      </c>
      <c r="U76" s="35">
        <f t="shared" si="55"/>
        <v>21466.288137472249</v>
      </c>
      <c r="V76" s="15">
        <f t="shared" si="56"/>
        <v>200515.48499999969</v>
      </c>
      <c r="W76" s="17">
        <f t="shared" si="57"/>
        <v>9.3409481749186689</v>
      </c>
      <c r="X76" s="17">
        <f t="shared" si="58"/>
        <v>-0.43614698991649803</v>
      </c>
      <c r="Y76" s="17">
        <f t="shared" si="59"/>
        <v>-0.32094817491866934</v>
      </c>
      <c r="Z76" s="134">
        <f t="shared" si="60"/>
        <v>0.42392051861610602</v>
      </c>
      <c r="AA76" s="15">
        <f>SUM(L$2:L76)-SUM(AB$2:AB76)</f>
        <v>25885.840000000178</v>
      </c>
      <c r="AB76" s="64"/>
      <c r="AC76" s="145">
        <f t="shared" si="2"/>
        <v>-763.42807283813988</v>
      </c>
      <c r="AD76" s="145">
        <f t="shared" si="3"/>
        <v>-9863.42807283814</v>
      </c>
    </row>
    <row r="77" spans="1:30" s="1" customFormat="1" x14ac:dyDescent="0.25">
      <c r="A77" s="99">
        <v>42798</v>
      </c>
      <c r="B77" s="100" t="s">
        <v>230</v>
      </c>
      <c r="C77" s="141" t="s">
        <v>63</v>
      </c>
      <c r="D77" s="142">
        <v>500</v>
      </c>
      <c r="E77" s="143">
        <v>8.8699999999999992</v>
      </c>
      <c r="F77" s="16">
        <f t="shared" si="42"/>
        <v>9600</v>
      </c>
      <c r="G77" s="17">
        <f t="shared" si="43"/>
        <v>9.7303714583333356</v>
      </c>
      <c r="H77" s="15">
        <f t="shared" si="44"/>
        <v>93411.566000000021</v>
      </c>
      <c r="I77" s="15">
        <f t="shared" si="45"/>
        <v>-8259.5660000000353</v>
      </c>
      <c r="J77" s="33">
        <f t="shared" si="46"/>
        <v>-8.8421234689503303E-2</v>
      </c>
      <c r="K77" s="15">
        <f t="shared" si="47"/>
        <v>85151.999999999985</v>
      </c>
      <c r="L77" s="15">
        <f t="shared" si="48"/>
        <v>-1370.0000000000146</v>
      </c>
      <c r="M77" s="15">
        <f t="shared" si="49"/>
        <v>5</v>
      </c>
      <c r="N77" s="15">
        <f t="shared" si="50"/>
        <v>0</v>
      </c>
      <c r="O77" s="64"/>
      <c r="P77" s="17">
        <f t="shared" si="51"/>
        <v>-0.86037145833333639</v>
      </c>
      <c r="Q77" s="15">
        <f t="shared" si="52"/>
        <v>-4440</v>
      </c>
      <c r="R77" s="35"/>
      <c r="S77" s="35">
        <f t="shared" si="53"/>
        <v>107103.91899999967</v>
      </c>
      <c r="T77" s="35">
        <f t="shared" si="54"/>
        <v>12074.849943630179</v>
      </c>
      <c r="U77" s="35">
        <f t="shared" si="55"/>
        <v>21674.849943630179</v>
      </c>
      <c r="V77" s="15">
        <f t="shared" si="56"/>
        <v>200515.48499999969</v>
      </c>
      <c r="W77" s="17">
        <f t="shared" si="57"/>
        <v>9.2510668134487979</v>
      </c>
      <c r="X77" s="17">
        <f t="shared" si="58"/>
        <v>-0.47930464488453772</v>
      </c>
      <c r="Y77" s="17">
        <f t="shared" si="59"/>
        <v>-0.38106681344879867</v>
      </c>
      <c r="Z77" s="134">
        <f t="shared" si="60"/>
        <v>0.44290964066495209</v>
      </c>
      <c r="AA77" s="15">
        <f>SUM(L$2:L77)-SUM(AB$2:AB77)</f>
        <v>24515.840000000164</v>
      </c>
      <c r="AB77" s="64"/>
      <c r="AC77" s="145">
        <f t="shared" si="2"/>
        <v>-930.71434239008306</v>
      </c>
      <c r="AD77" s="145">
        <f t="shared" si="3"/>
        <v>-10530.714342390083</v>
      </c>
    </row>
    <row r="78" spans="1:30" s="1" customFormat="1" x14ac:dyDescent="0.25">
      <c r="A78" s="99">
        <v>42800</v>
      </c>
      <c r="B78" s="100"/>
      <c r="C78" s="141" t="s">
        <v>69</v>
      </c>
      <c r="D78" s="142">
        <v>500</v>
      </c>
      <c r="E78" s="143">
        <v>9.0399999999999991</v>
      </c>
      <c r="F78" s="16">
        <f t="shared" si="42"/>
        <v>9100</v>
      </c>
      <c r="G78" s="17">
        <f t="shared" si="43"/>
        <v>9.7693501098901123</v>
      </c>
      <c r="H78" s="15">
        <f t="shared" si="44"/>
        <v>88901.086000000025</v>
      </c>
      <c r="I78" s="15">
        <f t="shared" si="45"/>
        <v>-6637.0860000000393</v>
      </c>
      <c r="J78" s="33">
        <f t="shared" si="46"/>
        <v>-7.4656973256772452E-2</v>
      </c>
      <c r="K78" s="15">
        <f t="shared" si="47"/>
        <v>82263.999999999985</v>
      </c>
      <c r="L78" s="15">
        <f t="shared" si="48"/>
        <v>1622.4799999999959</v>
      </c>
      <c r="M78" s="15">
        <f t="shared" si="49"/>
        <v>5</v>
      </c>
      <c r="N78" s="15">
        <f t="shared" si="50"/>
        <v>4.5199999999999996</v>
      </c>
      <c r="O78" s="64"/>
      <c r="P78" s="17">
        <f t="shared" si="51"/>
        <v>-0.72935010989011317</v>
      </c>
      <c r="Q78" s="15">
        <f t="shared" si="52"/>
        <v>4510.4799999999959</v>
      </c>
      <c r="R78" s="35"/>
      <c r="S78" s="35">
        <f t="shared" si="53"/>
        <v>111614.39899999967</v>
      </c>
      <c r="T78" s="35">
        <f t="shared" si="54"/>
        <v>12346.725553097311</v>
      </c>
      <c r="U78" s="35">
        <f t="shared" si="55"/>
        <v>21446.725553097313</v>
      </c>
      <c r="V78" s="15">
        <f t="shared" si="56"/>
        <v>200515.48499999969</v>
      </c>
      <c r="W78" s="17">
        <f t="shared" si="57"/>
        <v>9.3494685006141403</v>
      </c>
      <c r="X78" s="17">
        <f t="shared" si="58"/>
        <v>-0.41988160927597207</v>
      </c>
      <c r="Y78" s="17">
        <f t="shared" si="59"/>
        <v>-0.30946850061414111</v>
      </c>
      <c r="Z78" s="134">
        <f t="shared" si="60"/>
        <v>0.42430719680122864</v>
      </c>
      <c r="AA78" s="15">
        <f>SUM(L$2:L78)-SUM(AB$2:AB78)</f>
        <v>26138.32000000016</v>
      </c>
      <c r="AB78" s="64"/>
      <c r="AC78" s="145">
        <f t="shared" si="2"/>
        <v>-733.82383373894254</v>
      </c>
      <c r="AD78" s="145">
        <f t="shared" si="3"/>
        <v>-9833.823833738943</v>
      </c>
    </row>
    <row r="79" spans="1:30" s="1" customFormat="1" x14ac:dyDescent="0.25">
      <c r="A79" s="99">
        <v>42800</v>
      </c>
      <c r="B79" s="100"/>
      <c r="C79" s="141" t="s">
        <v>69</v>
      </c>
      <c r="D79" s="142">
        <v>500</v>
      </c>
      <c r="E79" s="143">
        <v>9.15</v>
      </c>
      <c r="F79" s="16">
        <f t="shared" si="42"/>
        <v>8600</v>
      </c>
      <c r="G79" s="17">
        <f t="shared" si="43"/>
        <v>9.8064722093023278</v>
      </c>
      <c r="H79" s="15">
        <f t="shared" si="44"/>
        <v>84335.661000000022</v>
      </c>
      <c r="I79" s="15">
        <f t="shared" si="45"/>
        <v>-5645.6610000000219</v>
      </c>
      <c r="J79" s="33">
        <f t="shared" si="46"/>
        <v>-6.694274916514871E-2</v>
      </c>
      <c r="K79" s="15">
        <f t="shared" si="47"/>
        <v>78690</v>
      </c>
      <c r="L79" s="15">
        <f t="shared" si="48"/>
        <v>991.42500000001746</v>
      </c>
      <c r="M79" s="15">
        <f t="shared" si="49"/>
        <v>5</v>
      </c>
      <c r="N79" s="15">
        <f t="shared" si="50"/>
        <v>4.5750000000000002</v>
      </c>
      <c r="O79" s="64"/>
      <c r="P79" s="17">
        <f t="shared" si="51"/>
        <v>-0.65647220930232741</v>
      </c>
      <c r="Q79" s="15">
        <f t="shared" si="52"/>
        <v>4565.4250000000029</v>
      </c>
      <c r="R79" s="35"/>
      <c r="S79" s="35">
        <f t="shared" si="53"/>
        <v>116179.82399999967</v>
      </c>
      <c r="T79" s="35">
        <f t="shared" si="54"/>
        <v>12697.248524590128</v>
      </c>
      <c r="U79" s="35">
        <f t="shared" si="55"/>
        <v>21297.248524590126</v>
      </c>
      <c r="V79" s="15">
        <f t="shared" si="56"/>
        <v>200515.48499999969</v>
      </c>
      <c r="W79" s="17">
        <f t="shared" si="57"/>
        <v>9.4150887504778602</v>
      </c>
      <c r="X79" s="17">
        <f t="shared" si="58"/>
        <v>-0.39138345882446757</v>
      </c>
      <c r="Y79" s="17">
        <f t="shared" si="59"/>
        <v>-0.26508875047785985</v>
      </c>
      <c r="Z79" s="134">
        <f t="shared" si="60"/>
        <v>0.40380803135533255</v>
      </c>
      <c r="AA79" s="15">
        <f>SUM(L$2:L79)-SUM(AB$2:AB79)</f>
        <v>27129.745000000177</v>
      </c>
      <c r="AB79" s="64"/>
      <c r="AC79" s="145">
        <f t="shared" si="2"/>
        <v>-616.70362508196956</v>
      </c>
      <c r="AD79" s="145">
        <f t="shared" si="3"/>
        <v>-9216.7036250819692</v>
      </c>
    </row>
    <row r="80" spans="1:30" s="1" customFormat="1" x14ac:dyDescent="0.25">
      <c r="A80" s="99">
        <v>42800</v>
      </c>
      <c r="B80" s="100"/>
      <c r="C80" s="141" t="s">
        <v>69</v>
      </c>
      <c r="D80" s="142">
        <v>500</v>
      </c>
      <c r="E80" s="143">
        <v>9.2100000000000009</v>
      </c>
      <c r="F80" s="16">
        <f t="shared" si="42"/>
        <v>8100</v>
      </c>
      <c r="G80" s="17">
        <f t="shared" si="43"/>
        <v>9.8444772839506189</v>
      </c>
      <c r="H80" s="15">
        <f t="shared" si="44"/>
        <v>79740.266000000018</v>
      </c>
      <c r="I80" s="15">
        <f t="shared" si="45"/>
        <v>-5139.2660000000178</v>
      </c>
      <c r="J80" s="33">
        <f t="shared" si="46"/>
        <v>-6.4450073442193001E-2</v>
      </c>
      <c r="K80" s="15">
        <f t="shared" si="47"/>
        <v>74601</v>
      </c>
      <c r="L80" s="15">
        <f t="shared" si="48"/>
        <v>506.39500000000407</v>
      </c>
      <c r="M80" s="15">
        <f t="shared" si="49"/>
        <v>5</v>
      </c>
      <c r="N80" s="15">
        <f t="shared" si="50"/>
        <v>4.6050000000000004</v>
      </c>
      <c r="O80" s="64"/>
      <c r="P80" s="17">
        <f t="shared" si="51"/>
        <v>-0.63447728395061809</v>
      </c>
      <c r="Q80" s="15">
        <f t="shared" si="52"/>
        <v>4595.3950000000041</v>
      </c>
      <c r="R80" s="35"/>
      <c r="S80" s="35">
        <f t="shared" si="53"/>
        <v>120775.21899999968</v>
      </c>
      <c r="T80" s="35">
        <f t="shared" si="54"/>
        <v>13113.487404994536</v>
      </c>
      <c r="U80" s="35">
        <f t="shared" si="55"/>
        <v>21213.487404994536</v>
      </c>
      <c r="V80" s="15">
        <f t="shared" si="56"/>
        <v>200515.48499999969</v>
      </c>
      <c r="W80" s="17">
        <f t="shared" si="57"/>
        <v>9.4522640795397947</v>
      </c>
      <c r="X80" s="17">
        <f t="shared" si="58"/>
        <v>-0.39221320441082419</v>
      </c>
      <c r="Y80" s="17">
        <f t="shared" si="59"/>
        <v>-0.2422640795397939</v>
      </c>
      <c r="Z80" s="134">
        <f t="shared" si="60"/>
        <v>0.38183255045999293</v>
      </c>
      <c r="AA80" s="15">
        <f>SUM(L$2:L80)-SUM(AB$2:AB80)</f>
        <v>27636.140000000181</v>
      </c>
      <c r="AB80" s="64"/>
      <c r="AC80" s="145">
        <f t="shared" si="2"/>
        <v>-557.73033300760233</v>
      </c>
      <c r="AD80" s="145">
        <f t="shared" si="3"/>
        <v>-8657.7303330076029</v>
      </c>
    </row>
    <row r="81" spans="1:30" x14ac:dyDescent="0.25">
      <c r="A81" s="99">
        <v>42801</v>
      </c>
      <c r="B81" s="100" t="s">
        <v>216</v>
      </c>
      <c r="C81" s="141" t="s">
        <v>63</v>
      </c>
      <c r="D81" s="142">
        <v>500</v>
      </c>
      <c r="E81" s="143">
        <v>9.09</v>
      </c>
      <c r="F81" s="16">
        <f t="shared" si="42"/>
        <v>8600</v>
      </c>
      <c r="G81" s="17">
        <f t="shared" si="43"/>
        <v>9.8011937209302342</v>
      </c>
      <c r="H81" s="15">
        <f t="shared" si="44"/>
        <v>84290.266000000018</v>
      </c>
      <c r="I81" s="15">
        <f t="shared" si="45"/>
        <v>-6116.2660000000178</v>
      </c>
      <c r="J81" s="33">
        <f t="shared" si="46"/>
        <v>-7.2561949205380546E-2</v>
      </c>
      <c r="K81" s="15">
        <f t="shared" si="47"/>
        <v>78174</v>
      </c>
      <c r="L81" s="15">
        <f t="shared" si="48"/>
        <v>-977</v>
      </c>
      <c r="M81" s="15">
        <f t="shared" si="49"/>
        <v>5</v>
      </c>
      <c r="N81" s="15">
        <f t="shared" si="50"/>
        <v>0</v>
      </c>
      <c r="O81" s="64"/>
      <c r="P81" s="17">
        <f t="shared" si="51"/>
        <v>-0.71119372093023436</v>
      </c>
      <c r="Q81" s="15">
        <f t="shared" si="52"/>
        <v>-4550</v>
      </c>
      <c r="R81" s="35"/>
      <c r="S81" s="35">
        <f t="shared" si="53"/>
        <v>116225.21899999968</v>
      </c>
      <c r="T81" s="35">
        <f t="shared" si="54"/>
        <v>12786.052695269491</v>
      </c>
      <c r="U81" s="35">
        <f t="shared" si="55"/>
        <v>21386.052695269493</v>
      </c>
      <c r="V81" s="15">
        <f t="shared" si="56"/>
        <v>200515.48499999969</v>
      </c>
      <c r="W81" s="17">
        <f t="shared" si="57"/>
        <v>9.375993216567398</v>
      </c>
      <c r="X81" s="17">
        <f t="shared" si="58"/>
        <v>-0.42520050436283618</v>
      </c>
      <c r="Y81" s="17">
        <f t="shared" si="59"/>
        <v>-0.28599321656739818</v>
      </c>
      <c r="Z81" s="134">
        <f t="shared" si="60"/>
        <v>0.40213124518777066</v>
      </c>
      <c r="AA81" s="15">
        <f>SUM(L$2:L81)-SUM(AB$2:AB81)</f>
        <v>26659.140000000181</v>
      </c>
      <c r="AB81" s="64"/>
      <c r="AC81" s="145">
        <f t="shared" si="2"/>
        <v>-672.52011738174019</v>
      </c>
      <c r="AD81" s="145">
        <f t="shared" si="3"/>
        <v>-9272.5201173817404</v>
      </c>
    </row>
    <row r="82" spans="1:30" x14ac:dyDescent="0.25">
      <c r="A82" s="99">
        <v>42801</v>
      </c>
      <c r="B82" s="103" t="s">
        <v>219</v>
      </c>
      <c r="C82" s="104" t="s">
        <v>63</v>
      </c>
      <c r="D82" s="104">
        <v>500</v>
      </c>
      <c r="E82" s="143">
        <v>9.0299999999999994</v>
      </c>
      <c r="F82" s="16">
        <f t="shared" ref="F82:F88" si="61">IF(C82="买",F81+D82,F81-D82)</f>
        <v>9100</v>
      </c>
      <c r="G82" s="17">
        <f t="shared" ref="G82:G88" si="62">H82/F82</f>
        <v>9.7593698901098929</v>
      </c>
      <c r="H82" s="15">
        <f t="shared" ref="H82:H88" si="63">IF(C82="买",H81+D82*E82+M82+N82,H81+-1*D82*E82+M82+N82)+O81</f>
        <v>88810.266000000018</v>
      </c>
      <c r="I82" s="15">
        <f t="shared" ref="I82:I88" si="64">-H82+K82</f>
        <v>-6637.2660000000178</v>
      </c>
      <c r="J82" s="33">
        <f t="shared" ref="J82:J88" si="65">(E82-G82)/G82</f>
        <v>-7.4735346474472095E-2</v>
      </c>
      <c r="K82" s="15">
        <f t="shared" ref="K82:K88" si="66">F82*E82</f>
        <v>82173</v>
      </c>
      <c r="L82" s="15">
        <f t="shared" ref="L82:L88" si="67">I82-I81</f>
        <v>-521</v>
      </c>
      <c r="M82" s="15">
        <f t="shared" ref="M82:M88" si="68">IF(D82*E82*5/10000&gt;5,D82*E82*5/10000,5)</f>
        <v>5</v>
      </c>
      <c r="N82" s="15">
        <f t="shared" ref="N82:N88" si="69">IF(C82="卖",D82*E82/1000,0)</f>
        <v>0</v>
      </c>
      <c r="O82" s="64"/>
      <c r="P82" s="17">
        <f t="shared" ref="P82:P88" si="70">E82-G82</f>
        <v>-0.7293698901098935</v>
      </c>
      <c r="Q82" s="15">
        <f t="shared" ref="Q82:Q88" si="71">(H82-H81)*-1</f>
        <v>-4520</v>
      </c>
      <c r="R82" s="35"/>
      <c r="S82" s="35">
        <f t="shared" ref="S82:S88" si="72">S81+Q82+O82+R82</f>
        <v>111705.21899999968</v>
      </c>
      <c r="T82" s="35">
        <f t="shared" ref="T82:T88" si="73">S82/E82</f>
        <v>12370.456146179367</v>
      </c>
      <c r="U82" s="35">
        <f t="shared" ref="U82:U88" si="74">F82+T82</f>
        <v>21470.456146179367</v>
      </c>
      <c r="V82" s="15">
        <f t="shared" ref="V82:V88" si="75">H82+S82</f>
        <v>200515.48499999969</v>
      </c>
      <c r="W82" s="17">
        <f t="shared" ref="W82:W88" si="76">V82/U82</f>
        <v>9.3391348388134308</v>
      </c>
      <c r="X82" s="17">
        <f t="shared" ref="X82:X88" si="77">W82-G82</f>
        <v>-0.4202350512964621</v>
      </c>
      <c r="Y82" s="17">
        <f t="shared" ref="Y82:Y88" si="78">(X82-P82)*-1</f>
        <v>-0.3091348388134314</v>
      </c>
      <c r="Z82" s="134">
        <f t="shared" ref="Z82:Z88" si="79">F82/U82</f>
        <v>0.42383822393169462</v>
      </c>
      <c r="AA82" s="15">
        <f>SUM(L$2:L82)-SUM(AB$2:AB82)</f>
        <v>26138.140000000181</v>
      </c>
      <c r="AB82" s="104"/>
      <c r="AC82" s="145">
        <f t="shared" si="2"/>
        <v>-734.65640830564985</v>
      </c>
      <c r="AD82" s="145">
        <f t="shared" si="3"/>
        <v>-9834.6564083056492</v>
      </c>
    </row>
    <row r="83" spans="1:30" x14ac:dyDescent="0.25">
      <c r="A83" s="99">
        <v>42802</v>
      </c>
      <c r="B83" s="103" t="s">
        <v>209</v>
      </c>
      <c r="C83" s="104" t="s">
        <v>63</v>
      </c>
      <c r="D83" s="104">
        <v>500</v>
      </c>
      <c r="E83" s="143">
        <v>8.91</v>
      </c>
      <c r="F83" s="16">
        <f t="shared" si="61"/>
        <v>9600</v>
      </c>
      <c r="G83" s="17">
        <f t="shared" si="62"/>
        <v>9.7156527083333355</v>
      </c>
      <c r="H83" s="15">
        <f t="shared" si="63"/>
        <v>93270.266000000018</v>
      </c>
      <c r="I83" s="15">
        <f t="shared" si="64"/>
        <v>-7734.2660000000178</v>
      </c>
      <c r="J83" s="33">
        <f t="shared" si="65"/>
        <v>-8.2923168676285519E-2</v>
      </c>
      <c r="K83" s="15">
        <f t="shared" si="66"/>
        <v>85536</v>
      </c>
      <c r="L83" s="15">
        <f t="shared" si="67"/>
        <v>-1097</v>
      </c>
      <c r="M83" s="15">
        <f t="shared" si="68"/>
        <v>5</v>
      </c>
      <c r="N83" s="15">
        <f t="shared" si="69"/>
        <v>0</v>
      </c>
      <c r="O83" s="64"/>
      <c r="P83" s="17">
        <f t="shared" si="70"/>
        <v>-0.80565270833333535</v>
      </c>
      <c r="Q83" s="15">
        <f t="shared" si="71"/>
        <v>-4460</v>
      </c>
      <c r="R83" s="35"/>
      <c r="S83" s="35">
        <f t="shared" si="72"/>
        <v>107245.21899999968</v>
      </c>
      <c r="T83" s="35">
        <f t="shared" si="73"/>
        <v>12036.500448933746</v>
      </c>
      <c r="U83" s="35">
        <f t="shared" si="74"/>
        <v>21636.500448933744</v>
      </c>
      <c r="V83" s="15">
        <f t="shared" si="75"/>
        <v>200515.48499999969</v>
      </c>
      <c r="W83" s="17">
        <f t="shared" si="76"/>
        <v>9.2674638152900179</v>
      </c>
      <c r="X83" s="17">
        <f t="shared" si="77"/>
        <v>-0.44818889304331755</v>
      </c>
      <c r="Y83" s="17">
        <f t="shared" si="78"/>
        <v>-0.35746381529001781</v>
      </c>
      <c r="Z83" s="134">
        <f t="shared" si="79"/>
        <v>0.4436946733903584</v>
      </c>
      <c r="AA83" s="15">
        <f>SUM(L$2:L83)-SUM(AB$2:AB83)</f>
        <v>25041.140000000181</v>
      </c>
      <c r="AB83" s="104"/>
      <c r="AC83" s="145">
        <f t="shared" si="2"/>
        <v>-867.60930044893576</v>
      </c>
      <c r="AD83" s="145">
        <f t="shared" si="3"/>
        <v>-10467.609300448936</v>
      </c>
    </row>
    <row r="84" spans="1:30" x14ac:dyDescent="0.25">
      <c r="A84" s="99">
        <v>42802</v>
      </c>
      <c r="B84" s="103" t="s">
        <v>400</v>
      </c>
      <c r="C84" s="104" t="s">
        <v>63</v>
      </c>
      <c r="D84" s="104">
        <v>500</v>
      </c>
      <c r="E84" s="143">
        <v>8.7799999999999994</v>
      </c>
      <c r="F84" s="16">
        <f t="shared" si="61"/>
        <v>10100</v>
      </c>
      <c r="G84" s="17">
        <f t="shared" si="62"/>
        <v>9.6698283168316852</v>
      </c>
      <c r="H84" s="15">
        <f t="shared" si="63"/>
        <v>97665.266000000018</v>
      </c>
      <c r="I84" s="15">
        <f t="shared" si="64"/>
        <v>-8987.2660000000178</v>
      </c>
      <c r="J84" s="33">
        <f t="shared" si="65"/>
        <v>-9.2021108097939605E-2</v>
      </c>
      <c r="K84" s="15">
        <f t="shared" si="66"/>
        <v>88678</v>
      </c>
      <c r="L84" s="15">
        <f t="shared" si="67"/>
        <v>-1253</v>
      </c>
      <c r="M84" s="15">
        <f t="shared" si="68"/>
        <v>5</v>
      </c>
      <c r="N84" s="15">
        <f t="shared" si="69"/>
        <v>0</v>
      </c>
      <c r="O84" s="64"/>
      <c r="P84" s="17">
        <f t="shared" si="70"/>
        <v>-0.88982831683168584</v>
      </c>
      <c r="Q84" s="15">
        <f t="shared" si="71"/>
        <v>-4395</v>
      </c>
      <c r="R84" s="35"/>
      <c r="S84" s="35">
        <f t="shared" si="72"/>
        <v>102850.21899999968</v>
      </c>
      <c r="T84" s="35">
        <f t="shared" si="73"/>
        <v>11714.147949886068</v>
      </c>
      <c r="U84" s="35">
        <f t="shared" si="74"/>
        <v>21814.147949886068</v>
      </c>
      <c r="V84" s="15">
        <f t="shared" si="75"/>
        <v>200515.48499999969</v>
      </c>
      <c r="W84" s="17">
        <f t="shared" si="76"/>
        <v>9.1919925298318592</v>
      </c>
      <c r="X84" s="17">
        <f t="shared" si="77"/>
        <v>-0.47783578699982598</v>
      </c>
      <c r="Y84" s="17">
        <f t="shared" si="78"/>
        <v>-0.41199252983185985</v>
      </c>
      <c r="Z84" s="134">
        <f t="shared" si="79"/>
        <v>0.46300226913298947</v>
      </c>
      <c r="AA84" s="15">
        <f>SUM(L$2:L84)-SUM(AB$2:AB84)</f>
        <v>23788.140000000181</v>
      </c>
      <c r="AB84" s="104"/>
      <c r="AC84" s="145">
        <f t="shared" si="2"/>
        <v>-1023.0948026195922</v>
      </c>
      <c r="AD84" s="145">
        <f t="shared" si="3"/>
        <v>-11123.094802619593</v>
      </c>
    </row>
    <row r="85" spans="1:30" x14ac:dyDescent="0.25">
      <c r="A85" s="99">
        <v>42803</v>
      </c>
      <c r="B85" s="103" t="s">
        <v>196</v>
      </c>
      <c r="C85" s="104" t="s">
        <v>63</v>
      </c>
      <c r="D85" s="104">
        <v>500</v>
      </c>
      <c r="E85" s="143">
        <v>8.73</v>
      </c>
      <c r="F85" s="16">
        <f t="shared" si="61"/>
        <v>10600</v>
      </c>
      <c r="G85" s="17">
        <f t="shared" si="62"/>
        <v>9.6259684905660396</v>
      </c>
      <c r="H85" s="15">
        <f t="shared" si="63"/>
        <v>102035.26600000002</v>
      </c>
      <c r="I85" s="15">
        <f t="shared" si="64"/>
        <v>-9497.2660000000178</v>
      </c>
      <c r="J85" s="33">
        <f t="shared" si="65"/>
        <v>-9.3078269624935497E-2</v>
      </c>
      <c r="K85" s="15">
        <f t="shared" si="66"/>
        <v>92538</v>
      </c>
      <c r="L85" s="15">
        <f t="shared" si="67"/>
        <v>-510</v>
      </c>
      <c r="M85" s="15">
        <f t="shared" si="68"/>
        <v>5</v>
      </c>
      <c r="N85" s="15">
        <f t="shared" si="69"/>
        <v>0</v>
      </c>
      <c r="O85" s="64"/>
      <c r="P85" s="17">
        <f t="shared" si="70"/>
        <v>-0.89596849056603922</v>
      </c>
      <c r="Q85" s="15">
        <f t="shared" si="71"/>
        <v>-4370</v>
      </c>
      <c r="R85" s="35"/>
      <c r="S85" s="35">
        <f t="shared" si="72"/>
        <v>98480.218999999677</v>
      </c>
      <c r="T85" s="35">
        <f t="shared" si="73"/>
        <v>11280.666552119092</v>
      </c>
      <c r="U85" s="35">
        <f t="shared" si="74"/>
        <v>21880.666552119092</v>
      </c>
      <c r="V85" s="15">
        <f t="shared" si="75"/>
        <v>200515.48499999969</v>
      </c>
      <c r="W85" s="17">
        <f t="shared" si="76"/>
        <v>9.1640482945242017</v>
      </c>
      <c r="X85" s="17">
        <f t="shared" si="77"/>
        <v>-0.46192019604183798</v>
      </c>
      <c r="Y85" s="17">
        <f t="shared" si="78"/>
        <v>-0.43404829452420124</v>
      </c>
      <c r="Z85" s="134">
        <f t="shared" si="79"/>
        <v>0.48444593654179219</v>
      </c>
      <c r="AA85" s="15">
        <f>SUM(L$2:L85)-SUM(AB$2:AB85)</f>
        <v>23278.140000000181</v>
      </c>
      <c r="AB85" s="104"/>
      <c r="AC85" s="145">
        <f t="shared" ref="AC85:AC148" si="80">I85/E85*(1-0.0005)</f>
        <v>-1087.3444864833928</v>
      </c>
      <c r="AD85" s="145">
        <f t="shared" ref="AD85:AD148" si="81">AC85-F85</f>
        <v>-11687.344486483393</v>
      </c>
    </row>
    <row r="86" spans="1:30" x14ac:dyDescent="0.25">
      <c r="A86" s="99">
        <v>42803</v>
      </c>
      <c r="B86" s="103"/>
      <c r="C86" s="104" t="s">
        <v>69</v>
      </c>
      <c r="D86" s="104">
        <v>500</v>
      </c>
      <c r="E86" s="143">
        <v>8.82</v>
      </c>
      <c r="F86" s="16">
        <f t="shared" si="61"/>
        <v>10100</v>
      </c>
      <c r="G86" s="17">
        <f t="shared" si="62"/>
        <v>9.6667996039603974</v>
      </c>
      <c r="H86" s="15">
        <f t="shared" si="63"/>
        <v>97634.676000000021</v>
      </c>
      <c r="I86" s="15">
        <f t="shared" si="64"/>
        <v>-8552.6760000000213</v>
      </c>
      <c r="J86" s="33">
        <f t="shared" si="65"/>
        <v>-8.7598754360592224E-2</v>
      </c>
      <c r="K86" s="15">
        <f t="shared" si="66"/>
        <v>89082</v>
      </c>
      <c r="L86" s="15">
        <f t="shared" si="67"/>
        <v>944.58999999999651</v>
      </c>
      <c r="M86" s="15">
        <f t="shared" si="68"/>
        <v>5</v>
      </c>
      <c r="N86" s="15">
        <f t="shared" si="69"/>
        <v>4.41</v>
      </c>
      <c r="O86" s="64"/>
      <c r="P86" s="17">
        <f t="shared" si="70"/>
        <v>-0.84679960396039711</v>
      </c>
      <c r="Q86" s="15">
        <f t="shared" si="71"/>
        <v>4400.5899999999965</v>
      </c>
      <c r="R86" s="35"/>
      <c r="S86" s="35">
        <f t="shared" si="72"/>
        <v>102880.80899999967</v>
      </c>
      <c r="T86" s="35">
        <f t="shared" si="73"/>
        <v>11664.490816326494</v>
      </c>
      <c r="U86" s="35">
        <f t="shared" si="74"/>
        <v>21764.490816326492</v>
      </c>
      <c r="V86" s="15">
        <f t="shared" si="75"/>
        <v>200515.48499999969</v>
      </c>
      <c r="W86" s="17">
        <f t="shared" si="76"/>
        <v>9.2129646722350298</v>
      </c>
      <c r="X86" s="17">
        <f t="shared" si="77"/>
        <v>-0.4538349317253676</v>
      </c>
      <c r="Y86" s="17">
        <f t="shared" si="78"/>
        <v>-0.39296467223502951</v>
      </c>
      <c r="Z86" s="134">
        <f t="shared" si="79"/>
        <v>0.46405863960867627</v>
      </c>
      <c r="AA86" s="15">
        <f>SUM(L$2:L86)-SUM(AB$2:AB86)</f>
        <v>24222.730000000178</v>
      </c>
      <c r="AB86" s="104"/>
      <c r="AC86" s="145">
        <f t="shared" si="80"/>
        <v>-969.20631088435618</v>
      </c>
      <c r="AD86" s="145">
        <f t="shared" si="81"/>
        <v>-11069.206310884356</v>
      </c>
    </row>
    <row r="87" spans="1:30" x14ac:dyDescent="0.25">
      <c r="A87" s="99">
        <v>42804</v>
      </c>
      <c r="B87" s="103"/>
      <c r="C87" s="104" t="s">
        <v>69</v>
      </c>
      <c r="D87" s="104">
        <v>500</v>
      </c>
      <c r="E87" s="143">
        <v>8.99</v>
      </c>
      <c r="F87" s="16">
        <f t="shared" si="61"/>
        <v>9600</v>
      </c>
      <c r="G87" s="17">
        <f t="shared" si="62"/>
        <v>9.7030386458333346</v>
      </c>
      <c r="H87" s="15">
        <f t="shared" si="63"/>
        <v>93149.171000000017</v>
      </c>
      <c r="I87" s="15">
        <f t="shared" si="64"/>
        <v>-6845.1710000000166</v>
      </c>
      <c r="J87" s="33">
        <f t="shared" si="65"/>
        <v>-7.3486118303726075E-2</v>
      </c>
      <c r="K87" s="15">
        <f t="shared" si="66"/>
        <v>86304</v>
      </c>
      <c r="L87" s="15">
        <f t="shared" si="67"/>
        <v>1707.5050000000047</v>
      </c>
      <c r="M87" s="15">
        <f t="shared" si="68"/>
        <v>5</v>
      </c>
      <c r="N87" s="15">
        <f t="shared" si="69"/>
        <v>4.4950000000000001</v>
      </c>
      <c r="O87" s="64"/>
      <c r="P87" s="17">
        <f t="shared" si="70"/>
        <v>-0.71303864583333443</v>
      </c>
      <c r="Q87" s="15">
        <f t="shared" si="71"/>
        <v>4485.5050000000047</v>
      </c>
      <c r="R87" s="35"/>
      <c r="S87" s="35">
        <f t="shared" si="72"/>
        <v>107366.31399999968</v>
      </c>
      <c r="T87" s="35">
        <f t="shared" si="73"/>
        <v>11942.860289210197</v>
      </c>
      <c r="U87" s="35">
        <f t="shared" si="74"/>
        <v>21542.860289210199</v>
      </c>
      <c r="V87" s="15">
        <f t="shared" si="75"/>
        <v>200515.48499999969</v>
      </c>
      <c r="W87" s="17">
        <f t="shared" si="76"/>
        <v>9.3077466180490624</v>
      </c>
      <c r="X87" s="17">
        <f t="shared" si="77"/>
        <v>-0.39529202778427219</v>
      </c>
      <c r="Y87" s="17">
        <f t="shared" si="78"/>
        <v>-0.31774661804906223</v>
      </c>
      <c r="Z87" s="134">
        <f t="shared" si="79"/>
        <v>0.44562327709139843</v>
      </c>
      <c r="AA87" s="15">
        <f>SUM(L$2:L87)-SUM(AB$2:AB87)</f>
        <v>25930.235000000182</v>
      </c>
      <c r="AB87" s="104"/>
      <c r="AC87" s="145">
        <f t="shared" si="80"/>
        <v>-761.0398681312588</v>
      </c>
      <c r="AD87" s="145">
        <f t="shared" si="81"/>
        <v>-10361.039868131258</v>
      </c>
    </row>
    <row r="88" spans="1:30" x14ac:dyDescent="0.25">
      <c r="A88" s="99">
        <v>42804</v>
      </c>
      <c r="B88" s="103"/>
      <c r="C88" s="104" t="s">
        <v>69</v>
      </c>
      <c r="D88" s="104">
        <v>500</v>
      </c>
      <c r="E88" s="143">
        <v>9.09</v>
      </c>
      <c r="F88" s="16">
        <f t="shared" si="61"/>
        <v>9100</v>
      </c>
      <c r="G88" s="17">
        <f t="shared" si="62"/>
        <v>9.7377709890109898</v>
      </c>
      <c r="H88" s="15">
        <f t="shared" si="63"/>
        <v>88613.716000000015</v>
      </c>
      <c r="I88" s="15">
        <f t="shared" si="64"/>
        <v>-5894.7160000000149</v>
      </c>
      <c r="J88" s="33">
        <f t="shared" si="65"/>
        <v>-6.6521485229216748E-2</v>
      </c>
      <c r="K88" s="15">
        <f t="shared" si="66"/>
        <v>82719</v>
      </c>
      <c r="L88" s="15">
        <f t="shared" si="67"/>
        <v>950.45500000000175</v>
      </c>
      <c r="M88" s="15">
        <f t="shared" si="68"/>
        <v>5</v>
      </c>
      <c r="N88" s="15">
        <f t="shared" si="69"/>
        <v>4.5449999999999999</v>
      </c>
      <c r="O88" s="64"/>
      <c r="P88" s="17">
        <f t="shared" si="70"/>
        <v>-0.64777098901098995</v>
      </c>
      <c r="Q88" s="15">
        <f t="shared" si="71"/>
        <v>4535.4550000000017</v>
      </c>
      <c r="R88" s="35"/>
      <c r="S88" s="35">
        <f t="shared" si="72"/>
        <v>111901.76899999968</v>
      </c>
      <c r="T88" s="35">
        <f t="shared" si="73"/>
        <v>12310.425632563221</v>
      </c>
      <c r="U88" s="35">
        <f t="shared" si="74"/>
        <v>21410.425632563223</v>
      </c>
      <c r="V88" s="15">
        <f t="shared" si="75"/>
        <v>200515.48499999969</v>
      </c>
      <c r="W88" s="17">
        <f t="shared" si="76"/>
        <v>9.3653198885983233</v>
      </c>
      <c r="X88" s="17">
        <f t="shared" si="77"/>
        <v>-0.37245110041266649</v>
      </c>
      <c r="Y88" s="17">
        <f t="shared" si="78"/>
        <v>-0.27531988859832346</v>
      </c>
      <c r="Z88" s="134">
        <f t="shared" si="79"/>
        <v>0.42502658079621569</v>
      </c>
      <c r="AA88" s="15">
        <f>SUM(L$2:L88)-SUM(AB$2:AB88)</f>
        <v>26880.690000000184</v>
      </c>
      <c r="AB88" s="104"/>
      <c r="AC88" s="145">
        <f t="shared" si="80"/>
        <v>-648.15936655665735</v>
      </c>
      <c r="AD88" s="145">
        <f t="shared" si="81"/>
        <v>-9748.1593665566579</v>
      </c>
    </row>
    <row r="89" spans="1:30" x14ac:dyDescent="0.25">
      <c r="A89" s="99">
        <v>42807</v>
      </c>
      <c r="B89" s="103"/>
      <c r="C89" s="104" t="s">
        <v>69</v>
      </c>
      <c r="D89" s="104">
        <v>500</v>
      </c>
      <c r="E89" s="143">
        <v>9.2100000000000009</v>
      </c>
      <c r="F89" s="16">
        <f t="shared" ref="F89:F99" si="82">IF(C89="买",F88+D89,F88-D89)</f>
        <v>8600</v>
      </c>
      <c r="G89" s="17">
        <f t="shared" ref="G89:G99" si="83">H89/F89</f>
        <v>9.7695722093023267</v>
      </c>
      <c r="H89" s="15">
        <f t="shared" ref="H89:H99" si="84">IF(C89="买",H88+D89*E89+M89+N89,H88+-1*D89*E89+M89+N89)+O88</f>
        <v>84018.321000000011</v>
      </c>
      <c r="I89" s="15">
        <f t="shared" ref="I89:I99" si="85">-H89+K89</f>
        <v>-4812.3209999999963</v>
      </c>
      <c r="J89" s="33">
        <f t="shared" ref="J89:J99" si="86">(E89-G89)/G89</f>
        <v>-5.7277043182045996E-2</v>
      </c>
      <c r="K89" s="15">
        <f t="shared" ref="K89:K99" si="87">F89*E89</f>
        <v>79206.000000000015</v>
      </c>
      <c r="L89" s="15">
        <f t="shared" ref="L89:L99" si="88">I89-I88</f>
        <v>1082.3950000000186</v>
      </c>
      <c r="M89" s="15">
        <f t="shared" ref="M89:M99" si="89">IF(D89*E89*5/10000&gt;5,D89*E89*5/10000,5)</f>
        <v>5</v>
      </c>
      <c r="N89" s="15">
        <f t="shared" ref="N89:N99" si="90">IF(C89="卖",D89*E89/1000,0)</f>
        <v>4.6050000000000004</v>
      </c>
      <c r="O89" s="64"/>
      <c r="P89" s="17">
        <f t="shared" ref="P89:P99" si="91">E89-G89</f>
        <v>-0.55957220930232587</v>
      </c>
      <c r="Q89" s="15">
        <f t="shared" ref="Q89:Q99" si="92">(H89-H88)*-1</f>
        <v>4595.3950000000041</v>
      </c>
      <c r="R89" s="35"/>
      <c r="S89" s="35">
        <f t="shared" ref="S89:S99" si="93">S88+Q89+O89+R89</f>
        <v>116497.16399999968</v>
      </c>
      <c r="T89" s="35">
        <f t="shared" ref="T89:T99" si="94">S89/E89</f>
        <v>12648.986319218206</v>
      </c>
      <c r="U89" s="35">
        <f t="shared" ref="U89:U99" si="95">F89+T89</f>
        <v>21248.986319218206</v>
      </c>
      <c r="V89" s="15">
        <f t="shared" ref="V89:V99" si="96">H89+S89</f>
        <v>200515.48499999969</v>
      </c>
      <c r="W89" s="17">
        <f t="shared" ref="W89:W99" si="97">V89/U89</f>
        <v>9.4364729680609578</v>
      </c>
      <c r="X89" s="17">
        <f t="shared" ref="X89:X99" si="98">W89-G89</f>
        <v>-0.33309924124136892</v>
      </c>
      <c r="Y89" s="17">
        <f t="shared" ref="Y89:Y99" si="99">(X89-P89)*-1</f>
        <v>-0.22647296806095696</v>
      </c>
      <c r="Z89" s="134">
        <f t="shared" ref="Z89:Z99" si="100">F89/U89</f>
        <v>0.40472518880686126</v>
      </c>
      <c r="AA89" s="15">
        <f>SUM(L$2:L89)-SUM(AB$2:AB89)</f>
        <v>27963.085000000203</v>
      </c>
      <c r="AB89" s="104"/>
      <c r="AC89" s="145">
        <f t="shared" si="80"/>
        <v>-522.24916824104184</v>
      </c>
      <c r="AD89" s="145">
        <f t="shared" si="81"/>
        <v>-9122.2491682410418</v>
      </c>
    </row>
    <row r="90" spans="1:30" x14ac:dyDescent="0.25">
      <c r="A90" s="99">
        <v>42807</v>
      </c>
      <c r="B90" s="103" t="s">
        <v>215</v>
      </c>
      <c r="C90" s="104" t="s">
        <v>63</v>
      </c>
      <c r="D90" s="104">
        <v>500</v>
      </c>
      <c r="E90" s="143">
        <v>9.09</v>
      </c>
      <c r="F90" s="16">
        <f t="shared" si="82"/>
        <v>9100</v>
      </c>
      <c r="G90" s="17">
        <f t="shared" si="83"/>
        <v>9.7327825274725281</v>
      </c>
      <c r="H90" s="15">
        <f t="shared" si="84"/>
        <v>88568.321000000011</v>
      </c>
      <c r="I90" s="15">
        <f t="shared" si="85"/>
        <v>-5849.3210000000108</v>
      </c>
      <c r="J90" s="33">
        <f t="shared" si="86"/>
        <v>-6.6043038119690756E-2</v>
      </c>
      <c r="K90" s="15">
        <f t="shared" si="87"/>
        <v>82719</v>
      </c>
      <c r="L90" s="15">
        <f t="shared" si="88"/>
        <v>-1037.0000000000146</v>
      </c>
      <c r="M90" s="15">
        <f t="shared" si="89"/>
        <v>5</v>
      </c>
      <c r="N90" s="15">
        <f t="shared" si="90"/>
        <v>0</v>
      </c>
      <c r="O90" s="64"/>
      <c r="P90" s="17">
        <f t="shared" si="91"/>
        <v>-0.64278252747252829</v>
      </c>
      <c r="Q90" s="15">
        <f t="shared" si="92"/>
        <v>-4550</v>
      </c>
      <c r="R90" s="35"/>
      <c r="S90" s="35">
        <f t="shared" si="93"/>
        <v>111947.16399999968</v>
      </c>
      <c r="T90" s="35">
        <f t="shared" si="94"/>
        <v>12315.419581958162</v>
      </c>
      <c r="U90" s="35">
        <f t="shared" si="95"/>
        <v>21415.419581958162</v>
      </c>
      <c r="V90" s="15">
        <f t="shared" si="96"/>
        <v>200515.48499999969</v>
      </c>
      <c r="W90" s="17">
        <f t="shared" si="97"/>
        <v>9.3631359512996823</v>
      </c>
      <c r="X90" s="17">
        <f t="shared" si="98"/>
        <v>-0.3696465761728458</v>
      </c>
      <c r="Y90" s="17">
        <f t="shared" si="99"/>
        <v>-0.27313595129968249</v>
      </c>
      <c r="Z90" s="134">
        <f t="shared" si="100"/>
        <v>0.4249274671072274</v>
      </c>
      <c r="AA90" s="15">
        <f>SUM(L$2:L90)-SUM(AB$2:AB90)</f>
        <v>26926.085000000188</v>
      </c>
      <c r="AB90" s="104"/>
      <c r="AC90" s="145">
        <f t="shared" si="80"/>
        <v>-643.16791413641488</v>
      </c>
      <c r="AD90" s="145">
        <f t="shared" si="81"/>
        <v>-9743.1679141364148</v>
      </c>
    </row>
    <row r="91" spans="1:30" x14ac:dyDescent="0.25">
      <c r="A91" s="99">
        <v>42808</v>
      </c>
      <c r="B91" s="103" t="s">
        <v>401</v>
      </c>
      <c r="C91" s="104" t="s">
        <v>63</v>
      </c>
      <c r="D91" s="104">
        <v>500</v>
      </c>
      <c r="E91" s="143">
        <v>8.94</v>
      </c>
      <c r="F91" s="16">
        <f t="shared" si="82"/>
        <v>9600</v>
      </c>
      <c r="G91" s="17">
        <f t="shared" si="83"/>
        <v>9.692012604166667</v>
      </c>
      <c r="H91" s="15">
        <f t="shared" si="84"/>
        <v>93043.321000000011</v>
      </c>
      <c r="I91" s="15">
        <f t="shared" si="85"/>
        <v>-7219.3210000000108</v>
      </c>
      <c r="J91" s="33">
        <f t="shared" si="86"/>
        <v>-7.7590964320802855E-2</v>
      </c>
      <c r="K91" s="15">
        <f t="shared" si="87"/>
        <v>85824</v>
      </c>
      <c r="L91" s="15">
        <f t="shared" si="88"/>
        <v>-1370</v>
      </c>
      <c r="M91" s="15">
        <f t="shared" si="89"/>
        <v>5</v>
      </c>
      <c r="N91" s="15">
        <f t="shared" si="90"/>
        <v>0</v>
      </c>
      <c r="O91" s="64"/>
      <c r="P91" s="17">
        <f t="shared" si="91"/>
        <v>-0.75201260416666749</v>
      </c>
      <c r="Q91" s="15">
        <f t="shared" si="92"/>
        <v>-4475</v>
      </c>
      <c r="R91" s="35">
        <v>-40000</v>
      </c>
      <c r="S91" s="35">
        <f t="shared" si="93"/>
        <v>67472.163999999684</v>
      </c>
      <c r="T91" s="35">
        <f t="shared" si="94"/>
        <v>7547.2219239373253</v>
      </c>
      <c r="U91" s="35">
        <f t="shared" si="95"/>
        <v>17147.221923937326</v>
      </c>
      <c r="V91" s="15">
        <f t="shared" si="96"/>
        <v>160515.48499999969</v>
      </c>
      <c r="W91" s="17">
        <f t="shared" si="97"/>
        <v>9.3610198615276516</v>
      </c>
      <c r="X91" s="17">
        <f t="shared" si="98"/>
        <v>-0.33099274263901535</v>
      </c>
      <c r="Y91" s="17">
        <f t="shared" si="99"/>
        <v>-0.42101986152765214</v>
      </c>
      <c r="Z91" s="134">
        <f t="shared" si="100"/>
        <v>0.55985745344547677</v>
      </c>
      <c r="AA91" s="15">
        <f>SUM(L$2:L91)-SUM(AB$2:AB91)</f>
        <v>25556.085000000188</v>
      </c>
      <c r="AB91" s="104"/>
      <c r="AC91" s="145">
        <f t="shared" si="80"/>
        <v>-807.1265480425069</v>
      </c>
      <c r="AD91" s="145">
        <f t="shared" si="81"/>
        <v>-10407.126548042506</v>
      </c>
    </row>
    <row r="92" spans="1:30" x14ac:dyDescent="0.25">
      <c r="A92" s="99">
        <v>42808</v>
      </c>
      <c r="B92" s="103"/>
      <c r="C92" s="104" t="s">
        <v>69</v>
      </c>
      <c r="D92" s="104">
        <v>500</v>
      </c>
      <c r="E92" s="143">
        <v>9.07</v>
      </c>
      <c r="F92" s="16">
        <f t="shared" si="82"/>
        <v>9100</v>
      </c>
      <c r="G92" s="17">
        <f t="shared" si="83"/>
        <v>9.7272369230769247</v>
      </c>
      <c r="H92" s="15">
        <f t="shared" si="84"/>
        <v>88517.856000000014</v>
      </c>
      <c r="I92" s="15">
        <f t="shared" si="85"/>
        <v>-5980.8560000000143</v>
      </c>
      <c r="J92" s="33">
        <f t="shared" si="86"/>
        <v>-6.756666135248475E-2</v>
      </c>
      <c r="K92" s="15">
        <f t="shared" si="87"/>
        <v>82537</v>
      </c>
      <c r="L92" s="15">
        <f t="shared" si="88"/>
        <v>1238.4649999999965</v>
      </c>
      <c r="M92" s="15">
        <f t="shared" si="89"/>
        <v>5</v>
      </c>
      <c r="N92" s="15">
        <f t="shared" si="90"/>
        <v>4.5350000000000001</v>
      </c>
      <c r="O92" s="64"/>
      <c r="P92" s="17">
        <f t="shared" si="91"/>
        <v>-0.65723692307692438</v>
      </c>
      <c r="Q92" s="15">
        <f t="shared" si="92"/>
        <v>4525.4649999999965</v>
      </c>
      <c r="R92" s="35"/>
      <c r="S92" s="35">
        <f t="shared" si="93"/>
        <v>71997.628999999681</v>
      </c>
      <c r="T92" s="35">
        <f t="shared" si="94"/>
        <v>7937.9965821388842</v>
      </c>
      <c r="U92" s="35">
        <f t="shared" si="95"/>
        <v>17037.996582138883</v>
      </c>
      <c r="V92" s="15">
        <f t="shared" si="96"/>
        <v>160515.48499999969</v>
      </c>
      <c r="W92" s="17">
        <f t="shared" si="97"/>
        <v>9.4210304730469208</v>
      </c>
      <c r="X92" s="17">
        <f t="shared" si="98"/>
        <v>-0.30620645003000391</v>
      </c>
      <c r="Y92" s="17">
        <f t="shared" si="99"/>
        <v>-0.35103047304692048</v>
      </c>
      <c r="Z92" s="134">
        <f t="shared" si="100"/>
        <v>0.53410035364953812</v>
      </c>
      <c r="AA92" s="15">
        <f>SUM(L$2:L92)-SUM(AB$2:AB92)</f>
        <v>26794.550000000185</v>
      </c>
      <c r="AB92" s="104"/>
      <c r="AC92" s="145">
        <f t="shared" si="80"/>
        <v>-659.08109944873365</v>
      </c>
      <c r="AD92" s="145">
        <f t="shared" si="81"/>
        <v>-9759.0810994487329</v>
      </c>
    </row>
    <row r="93" spans="1:30" x14ac:dyDescent="0.25">
      <c r="A93" s="99">
        <v>42809</v>
      </c>
      <c r="B93" s="103" t="s">
        <v>402</v>
      </c>
      <c r="C93" s="104" t="s">
        <v>63</v>
      </c>
      <c r="D93" s="104">
        <v>500</v>
      </c>
      <c r="E93" s="143">
        <f>E92-0.15</f>
        <v>8.92</v>
      </c>
      <c r="F93" s="16">
        <f t="shared" si="82"/>
        <v>9600</v>
      </c>
      <c r="G93" s="17">
        <f t="shared" si="83"/>
        <v>9.6857141666666688</v>
      </c>
      <c r="H93" s="15">
        <f t="shared" si="84"/>
        <v>92982.856000000014</v>
      </c>
      <c r="I93" s="15">
        <f t="shared" si="85"/>
        <v>-7350.8560000000143</v>
      </c>
      <c r="J93" s="33">
        <f t="shared" si="86"/>
        <v>-7.9056035878270078E-2</v>
      </c>
      <c r="K93" s="15">
        <f t="shared" si="87"/>
        <v>85632</v>
      </c>
      <c r="L93" s="15">
        <f t="shared" si="88"/>
        <v>-1370</v>
      </c>
      <c r="M93" s="15">
        <f t="shared" si="89"/>
        <v>5</v>
      </c>
      <c r="N93" s="15">
        <f t="shared" si="90"/>
        <v>0</v>
      </c>
      <c r="O93" s="64"/>
      <c r="P93" s="17">
        <f t="shared" si="91"/>
        <v>-0.76571416666666892</v>
      </c>
      <c r="Q93" s="15">
        <f t="shared" si="92"/>
        <v>-4465</v>
      </c>
      <c r="R93" s="35"/>
      <c r="S93" s="35">
        <f t="shared" si="93"/>
        <v>67532.628999999681</v>
      </c>
      <c r="T93" s="35">
        <f t="shared" si="94"/>
        <v>7570.9225336322515</v>
      </c>
      <c r="U93" s="35">
        <f t="shared" si="95"/>
        <v>17170.922533632252</v>
      </c>
      <c r="V93" s="15">
        <f t="shared" si="96"/>
        <v>160515.48499999969</v>
      </c>
      <c r="W93" s="17">
        <f t="shared" si="97"/>
        <v>9.3480990718816681</v>
      </c>
      <c r="X93" s="17">
        <f t="shared" si="98"/>
        <v>-0.33761509478500074</v>
      </c>
      <c r="Y93" s="17">
        <f t="shared" si="99"/>
        <v>-0.42809907188166818</v>
      </c>
      <c r="Z93" s="134">
        <f t="shared" si="100"/>
        <v>0.55908469572305874</v>
      </c>
      <c r="AA93" s="15">
        <f>SUM(L$2:L93)-SUM(AB$2:AB93)</f>
        <v>25424.550000000185</v>
      </c>
      <c r="AB93" s="104"/>
      <c r="AC93" s="145">
        <f t="shared" si="80"/>
        <v>-823.67495201793884</v>
      </c>
      <c r="AD93" s="145">
        <f t="shared" si="81"/>
        <v>-10423.674952017938</v>
      </c>
    </row>
    <row r="94" spans="1:30" x14ac:dyDescent="0.25">
      <c r="A94" s="99">
        <v>42811</v>
      </c>
      <c r="B94" s="103"/>
      <c r="C94" s="104" t="s">
        <v>69</v>
      </c>
      <c r="D94" s="104">
        <v>500</v>
      </c>
      <c r="E94" s="143">
        <v>9.0500000000000007</v>
      </c>
      <c r="F94" s="16">
        <f t="shared" si="82"/>
        <v>9100</v>
      </c>
      <c r="G94" s="17">
        <f t="shared" si="83"/>
        <v>9.7216902197802213</v>
      </c>
      <c r="H94" s="15">
        <f t="shared" si="84"/>
        <v>88467.381000000008</v>
      </c>
      <c r="I94" s="15">
        <f t="shared" si="85"/>
        <v>-6112.3810000000085</v>
      </c>
      <c r="J94" s="33">
        <f t="shared" si="86"/>
        <v>-6.9091917618766249E-2</v>
      </c>
      <c r="K94" s="15">
        <f t="shared" si="87"/>
        <v>82355</v>
      </c>
      <c r="L94" s="15">
        <f t="shared" si="88"/>
        <v>1238.4750000000058</v>
      </c>
      <c r="M94" s="15">
        <f t="shared" si="89"/>
        <v>5</v>
      </c>
      <c r="N94" s="15">
        <f t="shared" si="90"/>
        <v>4.5250000000000004</v>
      </c>
      <c r="O94" s="64"/>
      <c r="P94" s="17">
        <f t="shared" si="91"/>
        <v>-0.67169021978022059</v>
      </c>
      <c r="Q94" s="15">
        <f t="shared" si="92"/>
        <v>4515.4750000000058</v>
      </c>
      <c r="R94" s="35"/>
      <c r="S94" s="35">
        <f t="shared" si="93"/>
        <v>72048.103999999686</v>
      </c>
      <c r="T94" s="35">
        <f t="shared" si="94"/>
        <v>7961.1164640883626</v>
      </c>
      <c r="U94" s="35">
        <f t="shared" si="95"/>
        <v>17061.116464088362</v>
      </c>
      <c r="V94" s="15">
        <f t="shared" si="96"/>
        <v>160515.48499999969</v>
      </c>
      <c r="W94" s="17">
        <f t="shared" si="97"/>
        <v>9.4082638341907963</v>
      </c>
      <c r="X94" s="17">
        <f t="shared" si="98"/>
        <v>-0.31342638558942504</v>
      </c>
      <c r="Y94" s="17">
        <f t="shared" si="99"/>
        <v>-0.35826383419079555</v>
      </c>
      <c r="Z94" s="134">
        <f t="shared" si="100"/>
        <v>0.53337658289564027</v>
      </c>
      <c r="AA94" s="15">
        <f>SUM(L$2:L94)-SUM(AB$2:AB94)</f>
        <v>26663.025000000191</v>
      </c>
      <c r="AB94" s="104"/>
      <c r="AC94" s="145">
        <f t="shared" si="80"/>
        <v>-675.06351486187941</v>
      </c>
      <c r="AD94" s="145">
        <f t="shared" si="81"/>
        <v>-9775.0635148618785</v>
      </c>
    </row>
    <row r="95" spans="1:30" x14ac:dyDescent="0.25">
      <c r="A95" s="99">
        <v>42814</v>
      </c>
      <c r="B95" s="103" t="s">
        <v>403</v>
      </c>
      <c r="C95" s="104" t="s">
        <v>63</v>
      </c>
      <c r="D95" s="104">
        <v>500</v>
      </c>
      <c r="E95" s="143">
        <v>8.85</v>
      </c>
      <c r="F95" s="16">
        <f t="shared" si="82"/>
        <v>9600</v>
      </c>
      <c r="G95" s="17">
        <f t="shared" si="83"/>
        <v>9.6768105208333335</v>
      </c>
      <c r="H95" s="15">
        <f t="shared" si="84"/>
        <v>92897.381000000008</v>
      </c>
      <c r="I95" s="15">
        <f t="shared" si="85"/>
        <v>-7937.3810000000085</v>
      </c>
      <c r="J95" s="33">
        <f t="shared" si="86"/>
        <v>-8.5442462581372502E-2</v>
      </c>
      <c r="K95" s="15">
        <f t="shared" si="87"/>
        <v>84960</v>
      </c>
      <c r="L95" s="15">
        <f t="shared" si="88"/>
        <v>-1825</v>
      </c>
      <c r="M95" s="15">
        <f t="shared" si="89"/>
        <v>5</v>
      </c>
      <c r="N95" s="15">
        <f t="shared" si="90"/>
        <v>0</v>
      </c>
      <c r="O95" s="64"/>
      <c r="P95" s="17">
        <f t="shared" si="91"/>
        <v>-0.82681052083333384</v>
      </c>
      <c r="Q95" s="15">
        <f t="shared" si="92"/>
        <v>-4430</v>
      </c>
      <c r="R95" s="35"/>
      <c r="S95" s="35">
        <f t="shared" si="93"/>
        <v>67618.103999999686</v>
      </c>
      <c r="T95" s="35">
        <f t="shared" si="94"/>
        <v>7640.4637288135245</v>
      </c>
      <c r="U95" s="35">
        <f t="shared" si="95"/>
        <v>17240.463728813524</v>
      </c>
      <c r="V95" s="15">
        <f t="shared" si="96"/>
        <v>160515.48499999969</v>
      </c>
      <c r="W95" s="17">
        <f t="shared" si="97"/>
        <v>9.3103925465609425</v>
      </c>
      <c r="X95" s="17">
        <f t="shared" si="98"/>
        <v>-0.36641797427239098</v>
      </c>
      <c r="Y95" s="17">
        <f t="shared" si="99"/>
        <v>-0.46039254656094286</v>
      </c>
      <c r="Z95" s="134">
        <f t="shared" si="100"/>
        <v>0.55682956972646724</v>
      </c>
      <c r="AA95" s="15">
        <f>SUM(L$2:L95)-SUM(AB$2:AB95)</f>
        <v>24838.025000000191</v>
      </c>
      <c r="AB95" s="104"/>
      <c r="AC95" s="145">
        <f t="shared" si="80"/>
        <v>-896.43076943502922</v>
      </c>
      <c r="AD95" s="145">
        <f t="shared" si="81"/>
        <v>-10496.43076943503</v>
      </c>
    </row>
    <row r="96" spans="1:30" x14ac:dyDescent="0.25">
      <c r="A96" s="99">
        <v>42814</v>
      </c>
      <c r="B96" s="103" t="s">
        <v>206</v>
      </c>
      <c r="C96" s="104" t="s">
        <v>63</v>
      </c>
      <c r="D96" s="104">
        <v>500</v>
      </c>
      <c r="E96" s="143">
        <v>8.7200000000000006</v>
      </c>
      <c r="F96" s="16">
        <f t="shared" si="82"/>
        <v>10100</v>
      </c>
      <c r="G96" s="17">
        <f t="shared" si="83"/>
        <v>9.6299387128712883</v>
      </c>
      <c r="H96" s="15">
        <f t="shared" si="84"/>
        <v>97262.381000000008</v>
      </c>
      <c r="I96" s="15">
        <f t="shared" si="85"/>
        <v>-9190.3810000000085</v>
      </c>
      <c r="J96" s="33">
        <f t="shared" si="86"/>
        <v>-9.4490602692525127E-2</v>
      </c>
      <c r="K96" s="15">
        <f t="shared" si="87"/>
        <v>88072</v>
      </c>
      <c r="L96" s="15">
        <f t="shared" si="88"/>
        <v>-1253</v>
      </c>
      <c r="M96" s="15">
        <f t="shared" si="89"/>
        <v>5</v>
      </c>
      <c r="N96" s="15">
        <f t="shared" si="90"/>
        <v>0</v>
      </c>
      <c r="O96" s="64"/>
      <c r="P96" s="17">
        <f t="shared" si="91"/>
        <v>-0.90993871287128769</v>
      </c>
      <c r="Q96" s="15">
        <f t="shared" si="92"/>
        <v>-4365</v>
      </c>
      <c r="R96" s="35"/>
      <c r="S96" s="35">
        <f t="shared" si="93"/>
        <v>63253.103999999686</v>
      </c>
      <c r="T96" s="35">
        <f t="shared" si="94"/>
        <v>7253.7963302751932</v>
      </c>
      <c r="U96" s="35">
        <f t="shared" si="95"/>
        <v>17353.796330275192</v>
      </c>
      <c r="V96" s="15">
        <f t="shared" si="96"/>
        <v>160515.48499999969</v>
      </c>
      <c r="W96" s="17">
        <f t="shared" si="97"/>
        <v>9.2495890780950685</v>
      </c>
      <c r="X96" s="17">
        <f t="shared" si="98"/>
        <v>-0.38034963477621986</v>
      </c>
      <c r="Y96" s="17">
        <f t="shared" si="99"/>
        <v>-0.52958907809506783</v>
      </c>
      <c r="Z96" s="134">
        <f t="shared" si="100"/>
        <v>0.5820052170590293</v>
      </c>
      <c r="AA96" s="15">
        <f>SUM(L$2:L96)-SUM(AB$2:AB96)</f>
        <v>23585.025000000191</v>
      </c>
      <c r="AB96" s="104"/>
      <c r="AC96" s="145">
        <f t="shared" si="80"/>
        <v>-1053.415803841744</v>
      </c>
      <c r="AD96" s="145">
        <f t="shared" si="81"/>
        <v>-11153.415803841744</v>
      </c>
    </row>
    <row r="97" spans="1:30" x14ac:dyDescent="0.25">
      <c r="A97" s="99">
        <v>42816</v>
      </c>
      <c r="B97" s="103"/>
      <c r="C97" s="104" t="s">
        <v>69</v>
      </c>
      <c r="D97" s="104">
        <v>500</v>
      </c>
      <c r="E97" s="143">
        <v>9.1300000000000008</v>
      </c>
      <c r="F97" s="16">
        <f t="shared" si="82"/>
        <v>9600</v>
      </c>
      <c r="G97" s="17">
        <f t="shared" si="83"/>
        <v>9.6569735416666678</v>
      </c>
      <c r="H97" s="15">
        <f t="shared" si="84"/>
        <v>92706.946000000011</v>
      </c>
      <c r="I97" s="15">
        <f t="shared" si="85"/>
        <v>-5058.9459999999963</v>
      </c>
      <c r="J97" s="33">
        <f t="shared" si="86"/>
        <v>-5.4569222892964273E-2</v>
      </c>
      <c r="K97" s="15">
        <f t="shared" si="87"/>
        <v>87648.000000000015</v>
      </c>
      <c r="L97" s="15">
        <f t="shared" si="88"/>
        <v>4131.4350000000122</v>
      </c>
      <c r="M97" s="15">
        <f t="shared" si="89"/>
        <v>5</v>
      </c>
      <c r="N97" s="15">
        <f t="shared" si="90"/>
        <v>4.5650000000000004</v>
      </c>
      <c r="O97" s="64"/>
      <c r="P97" s="17">
        <f t="shared" si="91"/>
        <v>-0.52697354166666699</v>
      </c>
      <c r="Q97" s="15">
        <f t="shared" si="92"/>
        <v>4555.4349999999977</v>
      </c>
      <c r="R97" s="35"/>
      <c r="S97" s="35">
        <f t="shared" si="93"/>
        <v>67808.538999999684</v>
      </c>
      <c r="T97" s="35">
        <f t="shared" si="94"/>
        <v>7427.0031763416955</v>
      </c>
      <c r="U97" s="35">
        <f t="shared" si="95"/>
        <v>17027.003176341696</v>
      </c>
      <c r="V97" s="15">
        <f t="shared" si="96"/>
        <v>160515.48499999969</v>
      </c>
      <c r="W97" s="17">
        <f t="shared" si="97"/>
        <v>9.4271131177698493</v>
      </c>
      <c r="X97" s="17">
        <f t="shared" si="98"/>
        <v>-0.22986042389681849</v>
      </c>
      <c r="Y97" s="17">
        <f t="shared" si="99"/>
        <v>-0.2971131177698485</v>
      </c>
      <c r="Z97" s="134">
        <f t="shared" si="100"/>
        <v>0.56381031356937761</v>
      </c>
      <c r="AA97" s="15">
        <f>SUM(L$2:L97)-SUM(AB$2:AB97)</f>
        <v>27716.460000000203</v>
      </c>
      <c r="AB97" s="104"/>
      <c r="AC97" s="145">
        <f t="shared" si="80"/>
        <v>-553.82437316538847</v>
      </c>
      <c r="AD97" s="145">
        <f t="shared" si="81"/>
        <v>-10153.824373165389</v>
      </c>
    </row>
    <row r="98" spans="1:30" x14ac:dyDescent="0.25">
      <c r="A98" s="99">
        <v>42817</v>
      </c>
      <c r="B98" s="103" t="s">
        <v>404</v>
      </c>
      <c r="C98" s="104" t="s">
        <v>63</v>
      </c>
      <c r="D98" s="104">
        <v>500</v>
      </c>
      <c r="E98" s="143">
        <v>8.9600000000000009</v>
      </c>
      <c r="F98" s="16">
        <f t="shared" si="82"/>
        <v>10100</v>
      </c>
      <c r="G98" s="17">
        <f t="shared" si="83"/>
        <v>9.6229649504950512</v>
      </c>
      <c r="H98" s="15">
        <f t="shared" si="84"/>
        <v>97191.946000000011</v>
      </c>
      <c r="I98" s="15">
        <f t="shared" si="85"/>
        <v>-6695.9459999999963</v>
      </c>
      <c r="J98" s="33">
        <f t="shared" si="86"/>
        <v>-6.8894041899315472E-2</v>
      </c>
      <c r="K98" s="15">
        <f t="shared" si="87"/>
        <v>90496.000000000015</v>
      </c>
      <c r="L98" s="15">
        <f t="shared" si="88"/>
        <v>-1637</v>
      </c>
      <c r="M98" s="15">
        <f t="shared" si="89"/>
        <v>5</v>
      </c>
      <c r="N98" s="15">
        <f t="shared" si="90"/>
        <v>0</v>
      </c>
      <c r="O98" s="64"/>
      <c r="P98" s="17">
        <f t="shared" si="91"/>
        <v>-0.66296495049505033</v>
      </c>
      <c r="Q98" s="15">
        <f t="shared" si="92"/>
        <v>-4485</v>
      </c>
      <c r="R98" s="35"/>
      <c r="S98" s="35">
        <f t="shared" si="93"/>
        <v>63323.538999999684</v>
      </c>
      <c r="T98" s="35">
        <f t="shared" si="94"/>
        <v>7067.359263392821</v>
      </c>
      <c r="U98" s="35">
        <f t="shared" si="95"/>
        <v>17167.35926339282</v>
      </c>
      <c r="V98" s="15">
        <f t="shared" si="96"/>
        <v>160515.48499999969</v>
      </c>
      <c r="W98" s="17">
        <f t="shared" si="97"/>
        <v>9.350039370485959</v>
      </c>
      <c r="X98" s="17">
        <f t="shared" si="98"/>
        <v>-0.27292558000909217</v>
      </c>
      <c r="Y98" s="17">
        <f t="shared" si="99"/>
        <v>-0.39003937048595816</v>
      </c>
      <c r="Z98" s="134">
        <f t="shared" si="100"/>
        <v>0.58832577830050703</v>
      </c>
      <c r="AA98" s="15">
        <f>SUM(L$2:L98)-SUM(AB$2:AB98)</f>
        <v>26079.460000000203</v>
      </c>
      <c r="AB98" s="104"/>
      <c r="AC98" s="145">
        <f t="shared" si="80"/>
        <v>-746.94174408482093</v>
      </c>
      <c r="AD98" s="145">
        <f t="shared" si="81"/>
        <v>-10846.941744084821</v>
      </c>
    </row>
    <row r="99" spans="1:30" x14ac:dyDescent="0.25">
      <c r="A99" s="99">
        <v>42817</v>
      </c>
      <c r="B99" s="103"/>
      <c r="C99" s="104" t="s">
        <v>69</v>
      </c>
      <c r="D99" s="104">
        <v>500</v>
      </c>
      <c r="E99" s="143">
        <v>9.06</v>
      </c>
      <c r="F99" s="16">
        <f t="shared" si="82"/>
        <v>9600</v>
      </c>
      <c r="G99" s="17">
        <f t="shared" si="83"/>
        <v>9.6532787500000001</v>
      </c>
      <c r="H99" s="15">
        <f t="shared" si="84"/>
        <v>92671.47600000001</v>
      </c>
      <c r="I99" s="15">
        <f t="shared" si="85"/>
        <v>-5695.4760000000097</v>
      </c>
      <c r="J99" s="33">
        <f t="shared" si="86"/>
        <v>-6.1458781556473711E-2</v>
      </c>
      <c r="K99" s="15">
        <f t="shared" si="87"/>
        <v>86976</v>
      </c>
      <c r="L99" s="15">
        <f t="shared" si="88"/>
        <v>1000.4699999999866</v>
      </c>
      <c r="M99" s="15">
        <f t="shared" si="89"/>
        <v>5</v>
      </c>
      <c r="N99" s="15">
        <f t="shared" si="90"/>
        <v>4.53</v>
      </c>
      <c r="O99" s="64"/>
      <c r="P99" s="17">
        <f t="shared" si="91"/>
        <v>-0.59327874999999963</v>
      </c>
      <c r="Q99" s="15">
        <f t="shared" si="92"/>
        <v>4520.4700000000012</v>
      </c>
      <c r="R99" s="35"/>
      <c r="S99" s="35">
        <f t="shared" si="93"/>
        <v>67844.008999999685</v>
      </c>
      <c r="T99" s="35">
        <f t="shared" si="94"/>
        <v>7488.3012141280005</v>
      </c>
      <c r="U99" s="35">
        <f t="shared" si="95"/>
        <v>17088.301214128001</v>
      </c>
      <c r="V99" s="15">
        <f t="shared" si="96"/>
        <v>160515.48499999969</v>
      </c>
      <c r="W99" s="17">
        <f t="shared" si="97"/>
        <v>9.3932967934396654</v>
      </c>
      <c r="X99" s="17">
        <f t="shared" si="98"/>
        <v>-0.25998195656033474</v>
      </c>
      <c r="Y99" s="17">
        <f t="shared" si="99"/>
        <v>-0.3332967934396649</v>
      </c>
      <c r="Z99" s="134">
        <f t="shared" si="100"/>
        <v>0.56178785004462939</v>
      </c>
      <c r="AA99" s="15">
        <f>SUM(L$2:L99)-SUM(AB$2:AB99)</f>
        <v>27079.930000000189</v>
      </c>
      <c r="AB99" s="104"/>
      <c r="AC99" s="145">
        <f t="shared" si="80"/>
        <v>-628.32541523178907</v>
      </c>
      <c r="AD99" s="145">
        <f t="shared" si="81"/>
        <v>-10228.32541523179</v>
      </c>
    </row>
    <row r="100" spans="1:30" x14ac:dyDescent="0.25">
      <c r="A100" s="99">
        <v>42817</v>
      </c>
      <c r="B100" s="103"/>
      <c r="C100" s="104" t="s">
        <v>69</v>
      </c>
      <c r="D100" s="104">
        <v>500</v>
      </c>
      <c r="E100" s="143">
        <v>9.1300000000000008</v>
      </c>
      <c r="F100" s="16">
        <f t="shared" ref="F100:F105" si="101">IF(C100="买",F99+D100,F99-D100)</f>
        <v>9100</v>
      </c>
      <c r="G100" s="17">
        <f t="shared" ref="G100:G109" si="102">H100/F100</f>
        <v>9.6830814285714304</v>
      </c>
      <c r="H100" s="15">
        <f t="shared" ref="H100:H105" si="103">IF(C100="买",H99+D100*E100+M100+N100,H99+-1*D100*E100+M100+N100)+O99</f>
        <v>88116.041000000012</v>
      </c>
      <c r="I100" s="15">
        <f t="shared" ref="I100:I105" si="104">-H100+K100</f>
        <v>-5033.041000000012</v>
      </c>
      <c r="J100" s="33">
        <f t="shared" ref="J100:J105" si="105">(E100-G100)/G100</f>
        <v>-5.711832877285089E-2</v>
      </c>
      <c r="K100" s="15">
        <f t="shared" ref="K100:K105" si="106">F100*E100</f>
        <v>83083</v>
      </c>
      <c r="L100" s="15">
        <f t="shared" ref="L100:L105" si="107">I100-I99</f>
        <v>662.43499999999767</v>
      </c>
      <c r="M100" s="15">
        <f t="shared" ref="M100:M105" si="108">IF(D100*E100*5/10000&gt;5,D100*E100*5/10000,5)</f>
        <v>5</v>
      </c>
      <c r="N100" s="15">
        <f t="shared" ref="N100:N105" si="109">IF(C100="卖",D100*E100/1000,0)</f>
        <v>4.5650000000000004</v>
      </c>
      <c r="O100" s="64"/>
      <c r="P100" s="17">
        <f t="shared" ref="P100:P105" si="110">E100-G100</f>
        <v>-0.55308142857142961</v>
      </c>
      <c r="Q100" s="15">
        <f t="shared" ref="Q100:Q105" si="111">(H100-H99)*-1</f>
        <v>4555.4349999999977</v>
      </c>
      <c r="R100" s="35"/>
      <c r="S100" s="35">
        <f t="shared" ref="S100:S105" si="112">S99+Q100+O100+R100</f>
        <v>72399.443999999683</v>
      </c>
      <c r="T100" s="35">
        <f t="shared" ref="T100:T105" si="113">S100/E100</f>
        <v>7929.8405257392851</v>
      </c>
      <c r="U100" s="35">
        <f t="shared" ref="U100:U105" si="114">F100+T100</f>
        <v>17029.840525739284</v>
      </c>
      <c r="V100" s="15">
        <f t="shared" ref="V100:V105" si="115">H100+S100</f>
        <v>160515.48499999969</v>
      </c>
      <c r="W100" s="17">
        <f t="shared" ref="W100:W105" si="116">V100/U100</f>
        <v>9.4255424622087904</v>
      </c>
      <c r="X100" s="17">
        <f t="shared" ref="X100:X105" si="117">W100-G100</f>
        <v>-0.25753896636263995</v>
      </c>
      <c r="Y100" s="17">
        <f t="shared" ref="Y100:Y105" si="118">(X100-P100)*-1</f>
        <v>-0.29554246220878966</v>
      </c>
      <c r="Z100" s="134">
        <f t="shared" ref="Z100:Z105" si="119">F100/U100</f>
        <v>0.53435614891672389</v>
      </c>
      <c r="AA100" s="15">
        <f>SUM(L$2:L100)-SUM(AB$2:AB100)</f>
        <v>27742.365000000187</v>
      </c>
      <c r="AB100" s="104"/>
      <c r="AC100" s="145">
        <f t="shared" si="80"/>
        <v>-550.98844244249858</v>
      </c>
      <c r="AD100" s="145">
        <f t="shared" si="81"/>
        <v>-9650.9884424424981</v>
      </c>
    </row>
    <row r="101" spans="1:30" x14ac:dyDescent="0.25">
      <c r="A101" s="99">
        <v>42818</v>
      </c>
      <c r="B101" s="103"/>
      <c r="C101" s="104" t="s">
        <v>69</v>
      </c>
      <c r="D101" s="104">
        <v>500</v>
      </c>
      <c r="E101" s="143">
        <v>9.25</v>
      </c>
      <c r="F101" s="16">
        <f t="shared" si="101"/>
        <v>8600</v>
      </c>
      <c r="G101" s="17">
        <f t="shared" si="102"/>
        <v>9.7093797674418614</v>
      </c>
      <c r="H101" s="15">
        <f t="shared" si="103"/>
        <v>83500.666000000012</v>
      </c>
      <c r="I101" s="15">
        <f t="shared" si="104"/>
        <v>-3950.666000000012</v>
      </c>
      <c r="J101" s="33">
        <f t="shared" si="105"/>
        <v>-4.7312987898803192E-2</v>
      </c>
      <c r="K101" s="15">
        <f t="shared" si="106"/>
        <v>79550</v>
      </c>
      <c r="L101" s="15">
        <f t="shared" si="107"/>
        <v>1082.375</v>
      </c>
      <c r="M101" s="15">
        <f t="shared" si="108"/>
        <v>5</v>
      </c>
      <c r="N101" s="15">
        <f t="shared" si="109"/>
        <v>4.625</v>
      </c>
      <c r="O101" s="64"/>
      <c r="P101" s="17">
        <f t="shared" si="110"/>
        <v>-0.45937976744186138</v>
      </c>
      <c r="Q101" s="15">
        <f t="shared" si="111"/>
        <v>4615.375</v>
      </c>
      <c r="R101" s="35"/>
      <c r="S101" s="35">
        <f t="shared" si="112"/>
        <v>77014.818999999683</v>
      </c>
      <c r="T101" s="35">
        <f t="shared" si="113"/>
        <v>8325.9263783783445</v>
      </c>
      <c r="U101" s="35">
        <f t="shared" si="114"/>
        <v>16925.926378378346</v>
      </c>
      <c r="V101" s="15">
        <f t="shared" si="115"/>
        <v>160515.48499999969</v>
      </c>
      <c r="W101" s="17">
        <f t="shared" si="116"/>
        <v>9.4834091447453464</v>
      </c>
      <c r="X101" s="17">
        <f t="shared" si="117"/>
        <v>-0.22597062269651502</v>
      </c>
      <c r="Y101" s="17">
        <f t="shared" si="118"/>
        <v>-0.23340914474534635</v>
      </c>
      <c r="Z101" s="134">
        <f t="shared" si="119"/>
        <v>0.50809626650544115</v>
      </c>
      <c r="AA101" s="15">
        <f>SUM(L$2:L101)-SUM(AB$2:AB101)</f>
        <v>28824.740000000187</v>
      </c>
      <c r="AB101" s="104"/>
      <c r="AC101" s="145">
        <f t="shared" si="80"/>
        <v>-426.88547751351484</v>
      </c>
      <c r="AD101" s="145">
        <f t="shared" si="81"/>
        <v>-9026.8854775135151</v>
      </c>
    </row>
    <row r="102" spans="1:30" x14ac:dyDescent="0.25">
      <c r="A102" s="99">
        <v>42818</v>
      </c>
      <c r="B102" s="103"/>
      <c r="C102" s="104" t="s">
        <v>69</v>
      </c>
      <c r="D102" s="104">
        <v>500</v>
      </c>
      <c r="E102" s="143">
        <v>9.3800000000000008</v>
      </c>
      <c r="F102" s="16">
        <f t="shared" si="101"/>
        <v>8100</v>
      </c>
      <c r="G102" s="17">
        <f t="shared" si="102"/>
        <v>9.7309081481481492</v>
      </c>
      <c r="H102" s="15">
        <f t="shared" si="103"/>
        <v>78820.356000000014</v>
      </c>
      <c r="I102" s="15">
        <f t="shared" si="104"/>
        <v>-2842.3560000000143</v>
      </c>
      <c r="J102" s="33">
        <f t="shared" si="105"/>
        <v>-3.6061192111337355E-2</v>
      </c>
      <c r="K102" s="15">
        <f t="shared" si="106"/>
        <v>75978</v>
      </c>
      <c r="L102" s="15">
        <f t="shared" si="107"/>
        <v>1108.3099999999977</v>
      </c>
      <c r="M102" s="15">
        <f t="shared" si="108"/>
        <v>5</v>
      </c>
      <c r="N102" s="15">
        <f t="shared" si="109"/>
        <v>4.6900000000000004</v>
      </c>
      <c r="O102" s="64"/>
      <c r="P102" s="17">
        <f t="shared" si="110"/>
        <v>-0.35090814814814841</v>
      </c>
      <c r="Q102" s="15">
        <f t="shared" si="111"/>
        <v>4680.3099999999977</v>
      </c>
      <c r="R102" s="35"/>
      <c r="S102" s="35">
        <f t="shared" si="112"/>
        <v>81695.128999999681</v>
      </c>
      <c r="T102" s="35">
        <f t="shared" si="113"/>
        <v>8709.5020255863183</v>
      </c>
      <c r="U102" s="35">
        <f t="shared" si="114"/>
        <v>16809.50202558632</v>
      </c>
      <c r="V102" s="15">
        <f t="shared" si="115"/>
        <v>160515.48499999969</v>
      </c>
      <c r="W102" s="17">
        <f t="shared" si="116"/>
        <v>9.5490922191313921</v>
      </c>
      <c r="X102" s="17">
        <f t="shared" si="117"/>
        <v>-0.18181592901675714</v>
      </c>
      <c r="Y102" s="17">
        <f t="shared" si="118"/>
        <v>-0.16909221913139127</v>
      </c>
      <c r="Z102" s="134">
        <f t="shared" si="119"/>
        <v>0.48187031285464088</v>
      </c>
      <c r="AA102" s="15">
        <f>SUM(L$2:L102)-SUM(AB$2:AB102)</f>
        <v>29933.050000000185</v>
      </c>
      <c r="AB102" s="104"/>
      <c r="AC102" s="145">
        <f t="shared" si="80"/>
        <v>-302.87151620469234</v>
      </c>
      <c r="AD102" s="145">
        <f t="shared" si="81"/>
        <v>-8402.8715162046919</v>
      </c>
    </row>
    <row r="103" spans="1:30" x14ac:dyDescent="0.25">
      <c r="A103" s="99">
        <v>42818</v>
      </c>
      <c r="B103" s="103"/>
      <c r="C103" s="104" t="s">
        <v>69</v>
      </c>
      <c r="D103" s="104">
        <v>500</v>
      </c>
      <c r="E103" s="143">
        <v>9.42</v>
      </c>
      <c r="F103" s="16">
        <f t="shared" si="101"/>
        <v>7600</v>
      </c>
      <c r="G103" s="17">
        <f t="shared" si="102"/>
        <v>9.7526402631578968</v>
      </c>
      <c r="H103" s="15">
        <f t="shared" si="103"/>
        <v>74120.066000000021</v>
      </c>
      <c r="I103" s="15">
        <f t="shared" si="104"/>
        <v>-2528.0660000000207</v>
      </c>
      <c r="J103" s="33">
        <f t="shared" si="105"/>
        <v>-3.4107713827454166E-2</v>
      </c>
      <c r="K103" s="15">
        <f t="shared" si="106"/>
        <v>71592</v>
      </c>
      <c r="L103" s="15">
        <f t="shared" si="107"/>
        <v>314.2899999999936</v>
      </c>
      <c r="M103" s="15">
        <f t="shared" si="108"/>
        <v>5</v>
      </c>
      <c r="N103" s="15">
        <f t="shared" si="109"/>
        <v>4.71</v>
      </c>
      <c r="O103" s="64"/>
      <c r="P103" s="17">
        <f t="shared" si="110"/>
        <v>-0.33264026315789685</v>
      </c>
      <c r="Q103" s="15">
        <f t="shared" si="111"/>
        <v>4700.2899999999936</v>
      </c>
      <c r="R103" s="35"/>
      <c r="S103" s="35">
        <f t="shared" si="112"/>
        <v>86395.418999999674</v>
      </c>
      <c r="T103" s="35">
        <f t="shared" si="113"/>
        <v>9171.4882165604758</v>
      </c>
      <c r="U103" s="35">
        <f t="shared" si="114"/>
        <v>16771.488216560476</v>
      </c>
      <c r="V103" s="15">
        <f t="shared" si="115"/>
        <v>160515.48499999969</v>
      </c>
      <c r="W103" s="17">
        <f t="shared" si="116"/>
        <v>9.5707359375242422</v>
      </c>
      <c r="X103" s="17">
        <f t="shared" si="117"/>
        <v>-0.18190432563365455</v>
      </c>
      <c r="Y103" s="17">
        <f t="shared" si="118"/>
        <v>-0.1507359375242423</v>
      </c>
      <c r="Z103" s="134">
        <f t="shared" si="119"/>
        <v>0.45315000683693774</v>
      </c>
      <c r="AA103" s="15">
        <f>SUM(L$2:L103)-SUM(AB$2:AB103)</f>
        <v>30247.340000000178</v>
      </c>
      <c r="AB103" s="104"/>
      <c r="AC103" s="145">
        <f t="shared" si="80"/>
        <v>-268.23800074310202</v>
      </c>
      <c r="AD103" s="145">
        <f t="shared" si="81"/>
        <v>-7868.238000743102</v>
      </c>
    </row>
    <row r="104" spans="1:30" x14ac:dyDescent="0.25">
      <c r="A104" s="99">
        <v>42821</v>
      </c>
      <c r="B104" s="103"/>
      <c r="C104" s="104" t="s">
        <v>69</v>
      </c>
      <c r="D104" s="104">
        <v>150</v>
      </c>
      <c r="E104" s="143">
        <v>9.58</v>
      </c>
      <c r="F104" s="16">
        <f t="shared" si="101"/>
        <v>7450</v>
      </c>
      <c r="G104" s="17">
        <f t="shared" si="102"/>
        <v>9.7569802684563793</v>
      </c>
      <c r="H104" s="15">
        <f t="shared" si="103"/>
        <v>72689.503000000026</v>
      </c>
      <c r="I104" s="15">
        <f t="shared" si="104"/>
        <v>-1318.5030000000261</v>
      </c>
      <c r="J104" s="33">
        <f t="shared" si="105"/>
        <v>-1.8138836359907772E-2</v>
      </c>
      <c r="K104" s="15">
        <f t="shared" si="106"/>
        <v>71371</v>
      </c>
      <c r="L104" s="15">
        <f t="shared" si="107"/>
        <v>1209.5629999999946</v>
      </c>
      <c r="M104" s="15">
        <f t="shared" si="108"/>
        <v>5</v>
      </c>
      <c r="N104" s="15">
        <f t="shared" si="109"/>
        <v>1.4370000000000001</v>
      </c>
      <c r="O104" s="64"/>
      <c r="P104" s="17">
        <f t="shared" si="110"/>
        <v>-0.17698026845637926</v>
      </c>
      <c r="Q104" s="15">
        <f t="shared" si="111"/>
        <v>1430.5629999999946</v>
      </c>
      <c r="R104" s="35"/>
      <c r="S104" s="35">
        <f t="shared" si="112"/>
        <v>87825.981999999669</v>
      </c>
      <c r="T104" s="35">
        <f t="shared" si="113"/>
        <v>9167.6390396659353</v>
      </c>
      <c r="U104" s="35">
        <f t="shared" si="114"/>
        <v>16617.639039665934</v>
      </c>
      <c r="V104" s="15">
        <f t="shared" si="115"/>
        <v>160515.48499999969</v>
      </c>
      <c r="W104" s="17">
        <f t="shared" si="116"/>
        <v>9.6593435816515694</v>
      </c>
      <c r="X104" s="17">
        <f t="shared" si="117"/>
        <v>-9.7636686804809969E-2</v>
      </c>
      <c r="Y104" s="17">
        <f t="shared" si="118"/>
        <v>-7.9343581651569295E-2</v>
      </c>
      <c r="Z104" s="134">
        <f t="shared" si="119"/>
        <v>0.44831880041545108</v>
      </c>
      <c r="AA104" s="15">
        <f>SUM(L$2:L104)-SUM(AB$2:AB104)</f>
        <v>31456.903000000173</v>
      </c>
      <c r="AB104" s="104"/>
      <c r="AC104" s="145">
        <f t="shared" si="80"/>
        <v>-137.56197792275844</v>
      </c>
      <c r="AD104" s="145">
        <f t="shared" si="81"/>
        <v>-7587.5619779227582</v>
      </c>
    </row>
    <row r="105" spans="1:30" x14ac:dyDescent="0.25">
      <c r="A105" s="99">
        <v>42821</v>
      </c>
      <c r="B105" s="103" t="s">
        <v>405</v>
      </c>
      <c r="C105" s="104" t="s">
        <v>63</v>
      </c>
      <c r="D105" s="104">
        <v>500</v>
      </c>
      <c r="E105" s="143">
        <v>9.31</v>
      </c>
      <c r="F105" s="16">
        <f t="shared" si="101"/>
        <v>7950</v>
      </c>
      <c r="G105" s="17">
        <f t="shared" si="102"/>
        <v>9.7294972327044054</v>
      </c>
      <c r="H105" s="15">
        <f t="shared" si="103"/>
        <v>77349.503000000026</v>
      </c>
      <c r="I105" s="15">
        <f t="shared" si="104"/>
        <v>-3335.0030000000261</v>
      </c>
      <c r="J105" s="33">
        <f t="shared" si="105"/>
        <v>-4.3116023641419102E-2</v>
      </c>
      <c r="K105" s="15">
        <f t="shared" si="106"/>
        <v>74014.5</v>
      </c>
      <c r="L105" s="15">
        <f t="shared" si="107"/>
        <v>-2016.5</v>
      </c>
      <c r="M105" s="15">
        <f t="shared" si="108"/>
        <v>5</v>
      </c>
      <c r="N105" s="15">
        <f t="shared" si="109"/>
        <v>0</v>
      </c>
      <c r="O105" s="64"/>
      <c r="P105" s="17">
        <f t="shared" si="110"/>
        <v>-0.41949723270440487</v>
      </c>
      <c r="Q105" s="15">
        <f t="shared" si="111"/>
        <v>-4660</v>
      </c>
      <c r="R105" s="35"/>
      <c r="S105" s="35">
        <f t="shared" si="112"/>
        <v>83165.981999999669</v>
      </c>
      <c r="T105" s="35">
        <f t="shared" si="113"/>
        <v>8932.9733619763338</v>
      </c>
      <c r="U105" s="35">
        <f t="shared" si="114"/>
        <v>16882.973361976336</v>
      </c>
      <c r="V105" s="15">
        <f t="shared" si="115"/>
        <v>160515.48499999969</v>
      </c>
      <c r="W105" s="17">
        <f t="shared" si="116"/>
        <v>9.5075364723083116</v>
      </c>
      <c r="X105" s="17">
        <f t="shared" si="117"/>
        <v>-0.2219607603960938</v>
      </c>
      <c r="Y105" s="17">
        <f t="shared" si="118"/>
        <v>-0.19753647230831106</v>
      </c>
      <c r="Z105" s="134">
        <f t="shared" si="119"/>
        <v>0.47088861834639334</v>
      </c>
      <c r="AA105" s="15">
        <f>SUM(L$2:L105)-SUM(AB$2:AB105)</f>
        <v>29440.403000000173</v>
      </c>
      <c r="AB105" s="104"/>
      <c r="AC105" s="145">
        <f t="shared" si="80"/>
        <v>-358.03818458646901</v>
      </c>
      <c r="AD105" s="145">
        <f t="shared" si="81"/>
        <v>-8308.0381845864686</v>
      </c>
    </row>
    <row r="106" spans="1:30" x14ac:dyDescent="0.25">
      <c r="A106" s="99">
        <v>42822</v>
      </c>
      <c r="B106" s="103" t="s">
        <v>201</v>
      </c>
      <c r="C106" s="104" t="s">
        <v>63</v>
      </c>
      <c r="D106" s="104">
        <v>500</v>
      </c>
      <c r="E106" s="143">
        <v>9.1999999999999993</v>
      </c>
      <c r="F106" s="16">
        <f t="shared" ref="F106:F117" si="120">IF(C106="买",F105+D106,F105-D106)</f>
        <v>8450</v>
      </c>
      <c r="G106" s="17">
        <f t="shared" si="102"/>
        <v>9.6987577514792935</v>
      </c>
      <c r="H106" s="15">
        <f t="shared" ref="H106:H117" si="121">IF(C106="买",H105+D106*E106+M106+N106,H105+-1*D106*E106+M106+N106)+O105</f>
        <v>81954.503000000026</v>
      </c>
      <c r="I106" s="15">
        <f t="shared" ref="I106:I117" si="122">-H106+K106</f>
        <v>-4214.5030000000261</v>
      </c>
      <c r="J106" s="33">
        <f t="shared" ref="J106:J117" si="123">(E106-G106)/G106</f>
        <v>-5.1424910721501599E-2</v>
      </c>
      <c r="K106" s="15">
        <f t="shared" ref="K106:K117" si="124">F106*E106</f>
        <v>77740</v>
      </c>
      <c r="L106" s="15">
        <f t="shared" ref="L106:L117" si="125">I106-I105</f>
        <v>-879.5</v>
      </c>
      <c r="M106" s="15">
        <f t="shared" ref="M106:M117" si="126">IF(D106*E106*5/10000&gt;5,D106*E106*5/10000,5)</f>
        <v>5</v>
      </c>
      <c r="N106" s="15">
        <f t="shared" ref="N106:N117" si="127">IF(C106="卖",D106*E106/1000,0)</f>
        <v>0</v>
      </c>
      <c r="O106" s="64"/>
      <c r="P106" s="17">
        <f t="shared" ref="P106:P117" si="128">E106-G106</f>
        <v>-0.49875775147929424</v>
      </c>
      <c r="Q106" s="15">
        <f t="shared" ref="Q106:Q117" si="129">(H106-H105)*-1</f>
        <v>-4605</v>
      </c>
      <c r="R106" s="35"/>
      <c r="S106" s="35">
        <f t="shared" ref="S106:S117" si="130">S105+Q106+O106+R106</f>
        <v>78560.981999999669</v>
      </c>
      <c r="T106" s="35">
        <f t="shared" ref="T106:T117" si="131">S106/E106</f>
        <v>8539.2371739130085</v>
      </c>
      <c r="U106" s="35">
        <f t="shared" ref="U106:U117" si="132">F106+T106</f>
        <v>16989.23717391301</v>
      </c>
      <c r="V106" s="15">
        <f t="shared" ref="V106:V117" si="133">H106+S106</f>
        <v>160515.48499999969</v>
      </c>
      <c r="W106" s="17">
        <f t="shared" ref="W106:W117" si="134">V106/U106</f>
        <v>9.4480689954974189</v>
      </c>
      <c r="X106" s="17">
        <f t="shared" ref="X106:X117" si="135">W106-G106</f>
        <v>-0.25068875598187468</v>
      </c>
      <c r="Y106" s="17">
        <f t="shared" ref="Y106:Y117" si="136">(X106-P106)*-1</f>
        <v>-0.24806899549741956</v>
      </c>
      <c r="Z106" s="134">
        <f t="shared" ref="Z106:Z117" si="137">F106/U106</f>
        <v>0.49737371451703455</v>
      </c>
      <c r="AA106" s="15">
        <f>SUM(L$2:L106)-SUM(AB$2:AB106)</f>
        <v>28560.903000000173</v>
      </c>
      <c r="AB106" s="104"/>
      <c r="AC106" s="145">
        <f t="shared" si="80"/>
        <v>-457.869103097829</v>
      </c>
      <c r="AD106" s="145">
        <f t="shared" si="81"/>
        <v>-8907.8691030978298</v>
      </c>
    </row>
    <row r="107" spans="1:30" x14ac:dyDescent="0.25">
      <c r="A107" s="99">
        <v>42822</v>
      </c>
      <c r="B107" s="103" t="s">
        <v>406</v>
      </c>
      <c r="C107" s="104" t="s">
        <v>63</v>
      </c>
      <c r="D107" s="104">
        <v>500</v>
      </c>
      <c r="E107" s="143">
        <v>9.11</v>
      </c>
      <c r="F107" s="16">
        <f t="shared" si="120"/>
        <v>8950</v>
      </c>
      <c r="G107" s="17">
        <f t="shared" si="102"/>
        <v>9.6664249162011195</v>
      </c>
      <c r="H107" s="15">
        <f t="shared" si="121"/>
        <v>86514.503000000026</v>
      </c>
      <c r="I107" s="15">
        <f t="shared" si="122"/>
        <v>-4980.0030000000261</v>
      </c>
      <c r="J107" s="33">
        <f t="shared" si="123"/>
        <v>-5.7562637792648752E-2</v>
      </c>
      <c r="K107" s="15">
        <f t="shared" si="124"/>
        <v>81534.5</v>
      </c>
      <c r="L107" s="15">
        <f t="shared" si="125"/>
        <v>-765.5</v>
      </c>
      <c r="M107" s="15">
        <f t="shared" si="126"/>
        <v>5</v>
      </c>
      <c r="N107" s="15">
        <f t="shared" si="127"/>
        <v>0</v>
      </c>
      <c r="O107" s="64"/>
      <c r="P107" s="17">
        <f t="shared" si="128"/>
        <v>-0.55642491620112011</v>
      </c>
      <c r="Q107" s="15">
        <f t="shared" si="129"/>
        <v>-4560</v>
      </c>
      <c r="R107" s="35"/>
      <c r="S107" s="35">
        <f t="shared" si="130"/>
        <v>74000.981999999669</v>
      </c>
      <c r="T107" s="35">
        <f t="shared" si="131"/>
        <v>8123.0496158067699</v>
      </c>
      <c r="U107" s="35">
        <f t="shared" si="132"/>
        <v>17073.049615806769</v>
      </c>
      <c r="V107" s="15">
        <f t="shared" si="133"/>
        <v>160515.48499999969</v>
      </c>
      <c r="W107" s="17">
        <f t="shared" si="134"/>
        <v>9.4016879592143514</v>
      </c>
      <c r="X107" s="17">
        <f t="shared" si="135"/>
        <v>-0.26473695698676813</v>
      </c>
      <c r="Y107" s="17">
        <f t="shared" si="136"/>
        <v>-0.29168795921435198</v>
      </c>
      <c r="Z107" s="134">
        <f t="shared" si="137"/>
        <v>0.52421800448080502</v>
      </c>
      <c r="AA107" s="15">
        <f>SUM(L$2:L107)-SUM(AB$2:AB107)</f>
        <v>27795.403000000173</v>
      </c>
      <c r="AB107" s="104"/>
      <c r="AC107" s="145">
        <f t="shared" si="80"/>
        <v>-546.37903386388871</v>
      </c>
      <c r="AD107" s="145">
        <f t="shared" si="81"/>
        <v>-9496.3790338638883</v>
      </c>
    </row>
    <row r="108" spans="1:30" x14ac:dyDescent="0.25">
      <c r="A108" s="99">
        <v>42822</v>
      </c>
      <c r="B108" s="103"/>
      <c r="C108" s="104" t="s">
        <v>69</v>
      </c>
      <c r="D108" s="104">
        <v>500</v>
      </c>
      <c r="E108" s="143">
        <v>9.25</v>
      </c>
      <c r="F108" s="16">
        <f t="shared" si="120"/>
        <v>8450</v>
      </c>
      <c r="G108" s="17">
        <f t="shared" si="102"/>
        <v>9.6922044970414234</v>
      </c>
      <c r="H108" s="15">
        <f t="shared" si="121"/>
        <v>81899.128000000026</v>
      </c>
      <c r="I108" s="15">
        <f t="shared" si="122"/>
        <v>-3736.6280000000261</v>
      </c>
      <c r="J108" s="33">
        <f t="shared" si="123"/>
        <v>-4.5624759277046595E-2</v>
      </c>
      <c r="K108" s="15">
        <f t="shared" si="124"/>
        <v>78162.5</v>
      </c>
      <c r="L108" s="15">
        <f t="shared" si="125"/>
        <v>1243.375</v>
      </c>
      <c r="M108" s="15">
        <f t="shared" si="126"/>
        <v>5</v>
      </c>
      <c r="N108" s="15">
        <f t="shared" si="127"/>
        <v>4.625</v>
      </c>
      <c r="O108" s="64"/>
      <c r="P108" s="17">
        <f t="shared" si="128"/>
        <v>-0.44220449704142339</v>
      </c>
      <c r="Q108" s="15">
        <f t="shared" si="129"/>
        <v>4615.375</v>
      </c>
      <c r="R108" s="35"/>
      <c r="S108" s="35">
        <f t="shared" si="130"/>
        <v>78616.356999999669</v>
      </c>
      <c r="T108" s="35">
        <f t="shared" si="131"/>
        <v>8499.0656216215866</v>
      </c>
      <c r="U108" s="35">
        <f t="shared" si="132"/>
        <v>16949.065621621587</v>
      </c>
      <c r="V108" s="15">
        <f t="shared" si="133"/>
        <v>160515.48499999969</v>
      </c>
      <c r="W108" s="17">
        <f t="shared" si="134"/>
        <v>9.470462182601576</v>
      </c>
      <c r="X108" s="17">
        <f t="shared" si="135"/>
        <v>-0.22174231443984738</v>
      </c>
      <c r="Y108" s="17">
        <f t="shared" si="136"/>
        <v>-0.22046218260157602</v>
      </c>
      <c r="Z108" s="134">
        <f t="shared" si="137"/>
        <v>0.49855255673920473</v>
      </c>
      <c r="AA108" s="15">
        <f>SUM(L$2:L108)-SUM(AB$2:AB108)</f>
        <v>29038.778000000173</v>
      </c>
      <c r="AB108" s="104"/>
      <c r="AC108" s="145">
        <f t="shared" si="80"/>
        <v>-403.7578038918947</v>
      </c>
      <c r="AD108" s="145">
        <f t="shared" si="81"/>
        <v>-8853.7578038918946</v>
      </c>
    </row>
    <row r="109" spans="1:30" x14ac:dyDescent="0.25">
      <c r="A109" s="99">
        <v>42822</v>
      </c>
      <c r="B109" s="103" t="s">
        <v>214</v>
      </c>
      <c r="C109" s="104" t="s">
        <v>63</v>
      </c>
      <c r="D109" s="104">
        <v>500</v>
      </c>
      <c r="E109" s="143">
        <v>9.1300000000000008</v>
      </c>
      <c r="F109" s="16">
        <f t="shared" si="120"/>
        <v>8950</v>
      </c>
      <c r="G109" s="17">
        <f t="shared" si="102"/>
        <v>9.6613550837988864</v>
      </c>
      <c r="H109" s="15">
        <f t="shared" si="121"/>
        <v>86469.128000000026</v>
      </c>
      <c r="I109" s="15">
        <f t="shared" si="122"/>
        <v>-4755.6280000000261</v>
      </c>
      <c r="J109" s="33">
        <f t="shared" si="123"/>
        <v>-5.4997987258527975E-2</v>
      </c>
      <c r="K109" s="15">
        <f t="shared" si="124"/>
        <v>81713.5</v>
      </c>
      <c r="L109" s="15">
        <f t="shared" si="125"/>
        <v>-1019</v>
      </c>
      <c r="M109" s="15">
        <f t="shared" si="126"/>
        <v>5</v>
      </c>
      <c r="N109" s="15">
        <f t="shared" si="127"/>
        <v>0</v>
      </c>
      <c r="O109" s="64"/>
      <c r="P109" s="17">
        <f t="shared" si="128"/>
        <v>-0.53135508379888563</v>
      </c>
      <c r="Q109" s="15">
        <f t="shared" si="129"/>
        <v>-4570</v>
      </c>
      <c r="R109" s="35"/>
      <c r="S109" s="35">
        <f t="shared" si="130"/>
        <v>74046.356999999669</v>
      </c>
      <c r="T109" s="35">
        <f t="shared" si="131"/>
        <v>8110.2253012047822</v>
      </c>
      <c r="U109" s="35">
        <f t="shared" si="132"/>
        <v>17060.22530120478</v>
      </c>
      <c r="V109" s="15">
        <f t="shared" si="133"/>
        <v>160515.48499999969</v>
      </c>
      <c r="W109" s="17">
        <f t="shared" si="134"/>
        <v>9.4087552869928519</v>
      </c>
      <c r="X109" s="17">
        <f t="shared" si="135"/>
        <v>-0.2525997968060345</v>
      </c>
      <c r="Y109" s="17">
        <f t="shared" si="136"/>
        <v>-0.27875528699285113</v>
      </c>
      <c r="Z109" s="134">
        <f t="shared" si="137"/>
        <v>0.52461206355627421</v>
      </c>
      <c r="AA109" s="15">
        <f>SUM(L$2:L109)-SUM(AB$2:AB109)</f>
        <v>28019.778000000173</v>
      </c>
      <c r="AB109" s="104"/>
      <c r="AC109" s="145">
        <f t="shared" si="80"/>
        <v>-520.61885936473448</v>
      </c>
      <c r="AD109" s="145">
        <f t="shared" si="81"/>
        <v>-9470.6188593647348</v>
      </c>
    </row>
    <row r="110" spans="1:30" x14ac:dyDescent="0.25">
      <c r="A110" s="99">
        <v>42823</v>
      </c>
      <c r="B110" s="103"/>
      <c r="C110" s="104" t="s">
        <v>69</v>
      </c>
      <c r="D110" s="104">
        <v>500</v>
      </c>
      <c r="E110" s="143">
        <v>9.36</v>
      </c>
      <c r="F110" s="16">
        <f t="shared" si="120"/>
        <v>8450</v>
      </c>
      <c r="G110" s="17">
        <f t="shared" ref="G110:G118" si="138">H110/F110</f>
        <v>9.6803323076923107</v>
      </c>
      <c r="H110" s="15">
        <f t="shared" si="121"/>
        <v>81798.808000000019</v>
      </c>
      <c r="I110" s="15">
        <f t="shared" si="122"/>
        <v>-2706.8080000000191</v>
      </c>
      <c r="J110" s="33">
        <f t="shared" si="123"/>
        <v>-3.3091044554097039E-2</v>
      </c>
      <c r="K110" s="15">
        <f t="shared" si="124"/>
        <v>79092</v>
      </c>
      <c r="L110" s="15">
        <f t="shared" si="125"/>
        <v>2048.820000000007</v>
      </c>
      <c r="M110" s="15">
        <f t="shared" si="126"/>
        <v>5</v>
      </c>
      <c r="N110" s="15">
        <f t="shared" si="127"/>
        <v>4.68</v>
      </c>
      <c r="O110" s="64"/>
      <c r="P110" s="17">
        <f t="shared" si="128"/>
        <v>-0.32033230769231125</v>
      </c>
      <c r="Q110" s="15">
        <f t="shared" si="129"/>
        <v>4670.320000000007</v>
      </c>
      <c r="R110" s="35"/>
      <c r="S110" s="35">
        <f t="shared" si="130"/>
        <v>78716.676999999676</v>
      </c>
      <c r="T110" s="35">
        <f t="shared" si="131"/>
        <v>8409.9013888888549</v>
      </c>
      <c r="U110" s="35">
        <f t="shared" si="132"/>
        <v>16859.901388888855</v>
      </c>
      <c r="V110" s="15">
        <f t="shared" si="133"/>
        <v>160515.48499999969</v>
      </c>
      <c r="W110" s="17">
        <f t="shared" si="134"/>
        <v>9.5205470837322856</v>
      </c>
      <c r="X110" s="17">
        <f t="shared" si="135"/>
        <v>-0.15978522396002504</v>
      </c>
      <c r="Y110" s="17">
        <f t="shared" si="136"/>
        <v>-0.16054708373228621</v>
      </c>
      <c r="Z110" s="134">
        <f t="shared" si="137"/>
        <v>0.50118917098582705</v>
      </c>
      <c r="AA110" s="15">
        <f>SUM(L$2:L110)-SUM(AB$2:AB110)</f>
        <v>30068.59800000018</v>
      </c>
      <c r="AB110" s="104"/>
      <c r="AC110" s="145">
        <f t="shared" si="80"/>
        <v>-289.04429444444656</v>
      </c>
      <c r="AD110" s="145">
        <f t="shared" si="81"/>
        <v>-8739.0442944444458</v>
      </c>
    </row>
    <row r="111" spans="1:30" x14ac:dyDescent="0.25">
      <c r="A111" s="99">
        <v>42823</v>
      </c>
      <c r="B111" s="103"/>
      <c r="C111" s="104" t="s">
        <v>69</v>
      </c>
      <c r="D111" s="104">
        <v>500</v>
      </c>
      <c r="E111" s="143">
        <v>9.4600000000000009</v>
      </c>
      <c r="F111" s="16">
        <f t="shared" si="120"/>
        <v>7950</v>
      </c>
      <c r="G111" s="17">
        <f t="shared" si="138"/>
        <v>9.695413584905662</v>
      </c>
      <c r="H111" s="15">
        <f t="shared" si="121"/>
        <v>77078.538000000015</v>
      </c>
      <c r="I111" s="15">
        <f t="shared" si="122"/>
        <v>-1871.538000000015</v>
      </c>
      <c r="J111" s="33">
        <f t="shared" si="123"/>
        <v>-2.428092240151215E-2</v>
      </c>
      <c r="K111" s="15">
        <f t="shared" si="124"/>
        <v>75207</v>
      </c>
      <c r="L111" s="15">
        <f t="shared" si="125"/>
        <v>835.27000000000407</v>
      </c>
      <c r="M111" s="15">
        <f t="shared" si="126"/>
        <v>5</v>
      </c>
      <c r="N111" s="15">
        <f t="shared" si="127"/>
        <v>4.7300000000000004</v>
      </c>
      <c r="O111" s="64"/>
      <c r="P111" s="17">
        <f t="shared" si="128"/>
        <v>-0.23541358490566111</v>
      </c>
      <c r="Q111" s="15">
        <f t="shared" si="129"/>
        <v>4720.2700000000041</v>
      </c>
      <c r="R111" s="35"/>
      <c r="S111" s="35">
        <f t="shared" si="130"/>
        <v>83436.94699999968</v>
      </c>
      <c r="T111" s="35">
        <f t="shared" si="131"/>
        <v>8819.9732558139185</v>
      </c>
      <c r="U111" s="35">
        <f t="shared" si="132"/>
        <v>16769.973255813919</v>
      </c>
      <c r="V111" s="15">
        <f t="shared" si="133"/>
        <v>160515.48499999969</v>
      </c>
      <c r="W111" s="17">
        <f t="shared" si="134"/>
        <v>9.5716005357582308</v>
      </c>
      <c r="X111" s="17">
        <f t="shared" si="135"/>
        <v>-0.12381304914743119</v>
      </c>
      <c r="Y111" s="17">
        <f t="shared" si="136"/>
        <v>-0.11160053575822992</v>
      </c>
      <c r="Z111" s="134">
        <f t="shared" si="137"/>
        <v>0.47406157891419681</v>
      </c>
      <c r="AA111" s="15">
        <f>SUM(L$2:L111)-SUM(AB$2:AB111)</f>
        <v>30903.868000000184</v>
      </c>
      <c r="AB111" s="104"/>
      <c r="AC111" s="145">
        <f t="shared" si="80"/>
        <v>-197.73807938689376</v>
      </c>
      <c r="AD111" s="145">
        <f t="shared" si="81"/>
        <v>-8147.7380793868933</v>
      </c>
    </row>
    <row r="112" spans="1:30" x14ac:dyDescent="0.25">
      <c r="A112" s="99">
        <v>42824</v>
      </c>
      <c r="B112" s="103" t="s">
        <v>407</v>
      </c>
      <c r="C112" s="104" t="s">
        <v>63</v>
      </c>
      <c r="D112" s="104">
        <v>500</v>
      </c>
      <c r="E112" s="143">
        <v>9.26</v>
      </c>
      <c r="F112" s="16">
        <f t="shared" si="120"/>
        <v>8450</v>
      </c>
      <c r="G112" s="17">
        <f t="shared" si="138"/>
        <v>9.6702411834319548</v>
      </c>
      <c r="H112" s="15">
        <f t="shared" si="121"/>
        <v>81713.538000000015</v>
      </c>
      <c r="I112" s="15">
        <f t="shared" si="122"/>
        <v>-3466.538000000015</v>
      </c>
      <c r="J112" s="33">
        <f t="shared" si="123"/>
        <v>-4.2423056017963867E-2</v>
      </c>
      <c r="K112" s="15">
        <f t="shared" si="124"/>
        <v>78247</v>
      </c>
      <c r="L112" s="15">
        <f t="shared" si="125"/>
        <v>-1595</v>
      </c>
      <c r="M112" s="15">
        <f t="shared" si="126"/>
        <v>5</v>
      </c>
      <c r="N112" s="15">
        <f t="shared" si="127"/>
        <v>0</v>
      </c>
      <c r="O112" s="64"/>
      <c r="P112" s="17">
        <f t="shared" si="128"/>
        <v>-0.41024118343195504</v>
      </c>
      <c r="Q112" s="15">
        <f t="shared" si="129"/>
        <v>-4635</v>
      </c>
      <c r="R112" s="35"/>
      <c r="S112" s="35">
        <f t="shared" si="130"/>
        <v>78801.94699999968</v>
      </c>
      <c r="T112" s="35">
        <f t="shared" si="131"/>
        <v>8509.9294816414349</v>
      </c>
      <c r="U112" s="35">
        <f t="shared" si="132"/>
        <v>16959.929481641433</v>
      </c>
      <c r="V112" s="15">
        <f t="shared" si="133"/>
        <v>160515.48499999969</v>
      </c>
      <c r="W112" s="17">
        <f t="shared" si="134"/>
        <v>9.4643957791070079</v>
      </c>
      <c r="X112" s="17">
        <f t="shared" si="135"/>
        <v>-0.20584540432494691</v>
      </c>
      <c r="Y112" s="17">
        <f t="shared" si="136"/>
        <v>-0.20439577910700812</v>
      </c>
      <c r="Z112" s="134">
        <f t="shared" si="137"/>
        <v>0.49823320369031293</v>
      </c>
      <c r="AA112" s="15">
        <f>SUM(L$2:L112)-SUM(AB$2:AB112)</f>
        <v>29308.868000000184</v>
      </c>
      <c r="AB112" s="104"/>
      <c r="AC112" s="145">
        <f t="shared" si="80"/>
        <v>-374.16897742980728</v>
      </c>
      <c r="AD112" s="145">
        <f t="shared" si="81"/>
        <v>-8824.1689774298065</v>
      </c>
    </row>
    <row r="113" spans="1:30" x14ac:dyDescent="0.25">
      <c r="A113" s="99">
        <v>42824</v>
      </c>
      <c r="B113" s="103"/>
      <c r="C113" s="104" t="s">
        <v>69</v>
      </c>
      <c r="D113" s="104">
        <v>500</v>
      </c>
      <c r="E113" s="143">
        <v>9.3800000000000008</v>
      </c>
      <c r="F113" s="16">
        <f t="shared" si="120"/>
        <v>7950</v>
      </c>
      <c r="G113" s="17">
        <f t="shared" si="138"/>
        <v>9.6897142138364796</v>
      </c>
      <c r="H113" s="15">
        <f t="shared" si="121"/>
        <v>77033.228000000017</v>
      </c>
      <c r="I113" s="15">
        <f t="shared" si="122"/>
        <v>-2462.2280000000173</v>
      </c>
      <c r="J113" s="33">
        <f t="shared" si="123"/>
        <v>-3.1963193857071727E-2</v>
      </c>
      <c r="K113" s="15">
        <f t="shared" si="124"/>
        <v>74571</v>
      </c>
      <c r="L113" s="15">
        <f t="shared" si="125"/>
        <v>1004.3099999999977</v>
      </c>
      <c r="M113" s="15">
        <f t="shared" si="126"/>
        <v>5</v>
      </c>
      <c r="N113" s="15">
        <f t="shared" si="127"/>
        <v>4.6900000000000004</v>
      </c>
      <c r="O113" s="64"/>
      <c r="P113" s="17">
        <f t="shared" si="128"/>
        <v>-0.30971421383647879</v>
      </c>
      <c r="Q113" s="15">
        <f t="shared" si="129"/>
        <v>4680.3099999999977</v>
      </c>
      <c r="R113" s="35"/>
      <c r="S113" s="35">
        <f t="shared" si="130"/>
        <v>83482.256999999678</v>
      </c>
      <c r="T113" s="35">
        <f t="shared" si="131"/>
        <v>8900.0273987206474</v>
      </c>
      <c r="U113" s="35">
        <f t="shared" si="132"/>
        <v>16850.027398720646</v>
      </c>
      <c r="V113" s="15">
        <f t="shared" si="133"/>
        <v>160515.48499999969</v>
      </c>
      <c r="W113" s="17">
        <f t="shared" si="134"/>
        <v>9.5261260531948437</v>
      </c>
      <c r="X113" s="17">
        <f t="shared" si="135"/>
        <v>-0.16358816064163584</v>
      </c>
      <c r="Y113" s="17">
        <f t="shared" si="136"/>
        <v>-0.14612605319484295</v>
      </c>
      <c r="Z113" s="134">
        <f t="shared" si="137"/>
        <v>0.47180932184143576</v>
      </c>
      <c r="AA113" s="15">
        <f>SUM(L$2:L113)-SUM(AB$2:AB113)</f>
        <v>30313.178000000182</v>
      </c>
      <c r="AB113" s="104"/>
      <c r="AC113" s="145">
        <f t="shared" si="80"/>
        <v>-262.3664057569315</v>
      </c>
      <c r="AD113" s="145">
        <f t="shared" si="81"/>
        <v>-8212.3664057569313</v>
      </c>
    </row>
    <row r="114" spans="1:30" x14ac:dyDescent="0.25">
      <c r="A114" s="99">
        <v>42824</v>
      </c>
      <c r="B114" s="103" t="s">
        <v>208</v>
      </c>
      <c r="C114" s="104" t="s">
        <v>63</v>
      </c>
      <c r="D114" s="104">
        <v>500</v>
      </c>
      <c r="E114" s="143">
        <v>9.2200000000000006</v>
      </c>
      <c r="F114" s="16">
        <f t="shared" si="120"/>
        <v>8450</v>
      </c>
      <c r="G114" s="17">
        <f t="shared" si="138"/>
        <v>9.6625121893491137</v>
      </c>
      <c r="H114" s="15">
        <f t="shared" si="121"/>
        <v>81648.228000000017</v>
      </c>
      <c r="I114" s="15">
        <f t="shared" si="122"/>
        <v>-3739.2280000000173</v>
      </c>
      <c r="J114" s="33">
        <f t="shared" si="123"/>
        <v>-4.5796805290128341E-2</v>
      </c>
      <c r="K114" s="15">
        <f t="shared" si="124"/>
        <v>77909</v>
      </c>
      <c r="L114" s="15">
        <f t="shared" si="125"/>
        <v>-1277</v>
      </c>
      <c r="M114" s="15">
        <f t="shared" si="126"/>
        <v>5</v>
      </c>
      <c r="N114" s="15">
        <f t="shared" si="127"/>
        <v>0</v>
      </c>
      <c r="O114" s="64"/>
      <c r="P114" s="17">
        <f t="shared" si="128"/>
        <v>-0.44251218934911307</v>
      </c>
      <c r="Q114" s="15">
        <f t="shared" si="129"/>
        <v>-4615</v>
      </c>
      <c r="R114" s="35"/>
      <c r="S114" s="35">
        <f t="shared" si="130"/>
        <v>78867.256999999678</v>
      </c>
      <c r="T114" s="35">
        <f t="shared" si="131"/>
        <v>8553.9324295010483</v>
      </c>
      <c r="U114" s="35">
        <f t="shared" si="132"/>
        <v>17003.932429501048</v>
      </c>
      <c r="V114" s="15">
        <f t="shared" si="133"/>
        <v>160515.48499999969</v>
      </c>
      <c r="W114" s="17">
        <f t="shared" si="134"/>
        <v>9.4399037202425387</v>
      </c>
      <c r="X114" s="17">
        <f t="shared" si="135"/>
        <v>-0.22260846910657506</v>
      </c>
      <c r="Y114" s="17">
        <f t="shared" si="136"/>
        <v>-0.21990372024253801</v>
      </c>
      <c r="Z114" s="134">
        <f t="shared" si="137"/>
        <v>0.49694387078012819</v>
      </c>
      <c r="AA114" s="15">
        <f>SUM(L$2:L114)-SUM(AB$2:AB114)</f>
        <v>29036.178000000182</v>
      </c>
      <c r="AB114" s="104"/>
      <c r="AC114" s="145">
        <f t="shared" si="80"/>
        <v>-405.35340412147696</v>
      </c>
      <c r="AD114" s="145">
        <f t="shared" si="81"/>
        <v>-8855.3534041214771</v>
      </c>
    </row>
    <row r="115" spans="1:30" x14ac:dyDescent="0.25">
      <c r="A115" s="99">
        <v>42824</v>
      </c>
      <c r="B115" s="103" t="s">
        <v>226</v>
      </c>
      <c r="C115" s="104" t="s">
        <v>63</v>
      </c>
      <c r="D115" s="104">
        <v>500</v>
      </c>
      <c r="E115" s="143">
        <v>9.16</v>
      </c>
      <c r="F115" s="16">
        <f t="shared" si="120"/>
        <v>8950</v>
      </c>
      <c r="G115" s="17">
        <f t="shared" si="138"/>
        <v>9.6349975418994429</v>
      </c>
      <c r="H115" s="15">
        <f t="shared" si="121"/>
        <v>86233.228000000017</v>
      </c>
      <c r="I115" s="15">
        <f t="shared" si="122"/>
        <v>-4251.2280000000173</v>
      </c>
      <c r="J115" s="33">
        <f t="shared" si="123"/>
        <v>-4.9299186619802891E-2</v>
      </c>
      <c r="K115" s="15">
        <f t="shared" si="124"/>
        <v>81982</v>
      </c>
      <c r="L115" s="15">
        <f t="shared" si="125"/>
        <v>-512</v>
      </c>
      <c r="M115" s="15">
        <f t="shared" si="126"/>
        <v>5</v>
      </c>
      <c r="N115" s="15">
        <f t="shared" si="127"/>
        <v>0</v>
      </c>
      <c r="O115" s="64"/>
      <c r="P115" s="17">
        <f t="shared" si="128"/>
        <v>-0.47499754189944277</v>
      </c>
      <c r="Q115" s="15">
        <f t="shared" si="129"/>
        <v>-4585</v>
      </c>
      <c r="R115" s="35"/>
      <c r="S115" s="35">
        <f t="shared" si="130"/>
        <v>74282.256999999678</v>
      </c>
      <c r="T115" s="35">
        <f t="shared" si="131"/>
        <v>8109.4167030567332</v>
      </c>
      <c r="U115" s="35">
        <f t="shared" si="132"/>
        <v>17059.416703056733</v>
      </c>
      <c r="V115" s="15">
        <f t="shared" si="133"/>
        <v>160515.48499999969</v>
      </c>
      <c r="W115" s="17">
        <f t="shared" si="134"/>
        <v>9.4092012519536077</v>
      </c>
      <c r="X115" s="17">
        <f t="shared" si="135"/>
        <v>-0.22579628994583523</v>
      </c>
      <c r="Y115" s="17">
        <f t="shared" si="136"/>
        <v>-0.24920125195360754</v>
      </c>
      <c r="Z115" s="134">
        <f t="shared" si="137"/>
        <v>0.52463692960828634</v>
      </c>
      <c r="AA115" s="15">
        <f>SUM(L$2:L115)-SUM(AB$2:AB115)</f>
        <v>28524.178000000182</v>
      </c>
      <c r="AB115" s="104"/>
      <c r="AC115" s="145">
        <f t="shared" si="80"/>
        <v>-463.87580633187963</v>
      </c>
      <c r="AD115" s="145">
        <f t="shared" si="81"/>
        <v>-9413.8758063318801</v>
      </c>
    </row>
    <row r="116" spans="1:30" x14ac:dyDescent="0.25">
      <c r="A116" s="99">
        <v>42825</v>
      </c>
      <c r="B116" s="103" t="s">
        <v>211</v>
      </c>
      <c r="C116" s="104" t="s">
        <v>63</v>
      </c>
      <c r="D116" s="104">
        <v>500</v>
      </c>
      <c r="E116" s="143">
        <v>9.06</v>
      </c>
      <c r="F116" s="16">
        <f t="shared" si="120"/>
        <v>9450</v>
      </c>
      <c r="G116" s="17">
        <f t="shared" si="138"/>
        <v>9.6051034920634937</v>
      </c>
      <c r="H116" s="15">
        <f t="shared" si="121"/>
        <v>90768.228000000017</v>
      </c>
      <c r="I116" s="15">
        <f t="shared" si="122"/>
        <v>-5151.2280000000173</v>
      </c>
      <c r="J116" s="33">
        <f t="shared" si="123"/>
        <v>-5.6751443908324505E-2</v>
      </c>
      <c r="K116" s="15">
        <f t="shared" si="124"/>
        <v>85617</v>
      </c>
      <c r="L116" s="15">
        <f t="shared" si="125"/>
        <v>-900</v>
      </c>
      <c r="M116" s="15">
        <f t="shared" si="126"/>
        <v>5</v>
      </c>
      <c r="N116" s="15">
        <f t="shared" si="127"/>
        <v>0</v>
      </c>
      <c r="O116" s="64"/>
      <c r="P116" s="17">
        <f t="shared" si="128"/>
        <v>-0.54510349206349318</v>
      </c>
      <c r="Q116" s="15">
        <f t="shared" si="129"/>
        <v>-4535</v>
      </c>
      <c r="R116" s="35"/>
      <c r="S116" s="35">
        <f t="shared" si="130"/>
        <v>69747.256999999678</v>
      </c>
      <c r="T116" s="35">
        <f t="shared" si="131"/>
        <v>7698.3727373068068</v>
      </c>
      <c r="U116" s="35">
        <f t="shared" si="132"/>
        <v>17148.372737306807</v>
      </c>
      <c r="V116" s="15">
        <f t="shared" si="133"/>
        <v>160515.48499999969</v>
      </c>
      <c r="W116" s="17">
        <f t="shared" si="134"/>
        <v>9.3603916510861325</v>
      </c>
      <c r="X116" s="17">
        <f t="shared" si="135"/>
        <v>-0.24471184097736121</v>
      </c>
      <c r="Y116" s="17">
        <f t="shared" si="136"/>
        <v>-0.30039165108613197</v>
      </c>
      <c r="Z116" s="134">
        <f t="shared" si="137"/>
        <v>0.55107269621223232</v>
      </c>
      <c r="AA116" s="15">
        <f>SUM(L$2:L116)-SUM(AB$2:AB116)</f>
        <v>27624.178000000182</v>
      </c>
      <c r="AB116" s="104"/>
      <c r="AC116" s="145">
        <f t="shared" si="80"/>
        <v>-568.28392781457148</v>
      </c>
      <c r="AD116" s="145">
        <f t="shared" si="81"/>
        <v>-10018.283927814571</v>
      </c>
    </row>
    <row r="117" spans="1:30" x14ac:dyDescent="0.25">
      <c r="A117" s="99">
        <v>42825</v>
      </c>
      <c r="B117" s="103" t="s">
        <v>198</v>
      </c>
      <c r="C117" s="104" t="s">
        <v>63</v>
      </c>
      <c r="D117" s="104">
        <v>500</v>
      </c>
      <c r="E117" s="143">
        <v>8.92</v>
      </c>
      <c r="F117" s="16">
        <f t="shared" si="120"/>
        <v>9950</v>
      </c>
      <c r="G117" s="17">
        <f t="shared" si="138"/>
        <v>9.5711786934673384</v>
      </c>
      <c r="H117" s="15">
        <f t="shared" si="121"/>
        <v>95233.228000000017</v>
      </c>
      <c r="I117" s="15">
        <f t="shared" si="122"/>
        <v>-6479.2280000000173</v>
      </c>
      <c r="J117" s="33">
        <f t="shared" si="123"/>
        <v>-6.8035371015671309E-2</v>
      </c>
      <c r="K117" s="15">
        <f t="shared" si="124"/>
        <v>88754</v>
      </c>
      <c r="L117" s="15">
        <f t="shared" si="125"/>
        <v>-1328</v>
      </c>
      <c r="M117" s="15">
        <f t="shared" si="126"/>
        <v>5</v>
      </c>
      <c r="N117" s="15">
        <f t="shared" si="127"/>
        <v>0</v>
      </c>
      <c r="O117" s="64"/>
      <c r="P117" s="17">
        <f t="shared" si="128"/>
        <v>-0.65117869346733848</v>
      </c>
      <c r="Q117" s="15">
        <f t="shared" si="129"/>
        <v>-4465</v>
      </c>
      <c r="R117" s="35"/>
      <c r="S117" s="35">
        <f t="shared" si="130"/>
        <v>65282.256999999678</v>
      </c>
      <c r="T117" s="35">
        <f t="shared" si="131"/>
        <v>7318.6386771300085</v>
      </c>
      <c r="U117" s="35">
        <f t="shared" si="132"/>
        <v>17268.638677130009</v>
      </c>
      <c r="V117" s="15">
        <f t="shared" si="133"/>
        <v>160515.48499999969</v>
      </c>
      <c r="W117" s="17">
        <f t="shared" si="134"/>
        <v>9.2952020133805267</v>
      </c>
      <c r="X117" s="17">
        <f t="shared" si="135"/>
        <v>-0.27597668008681175</v>
      </c>
      <c r="Y117" s="17">
        <f t="shared" si="136"/>
        <v>-0.37520201338052672</v>
      </c>
      <c r="Z117" s="134">
        <f t="shared" si="137"/>
        <v>0.57618902022528484</v>
      </c>
      <c r="AA117" s="15">
        <f>SUM(L$2:L117)-SUM(AB$2:AB117)</f>
        <v>26296.178000000182</v>
      </c>
      <c r="AB117" s="104"/>
      <c r="AC117" s="145">
        <f t="shared" si="80"/>
        <v>-726.00766659193016</v>
      </c>
      <c r="AD117" s="145">
        <f t="shared" si="81"/>
        <v>-10676.00766659193</v>
      </c>
    </row>
    <row r="118" spans="1:30" x14ac:dyDescent="0.25">
      <c r="A118" s="99">
        <v>42825</v>
      </c>
      <c r="B118" s="103" t="s">
        <v>408</v>
      </c>
      <c r="C118" s="104" t="s">
        <v>63</v>
      </c>
      <c r="D118" s="104">
        <v>500</v>
      </c>
      <c r="E118" s="143">
        <v>8.86</v>
      </c>
      <c r="F118" s="16">
        <f t="shared" ref="F118:F128" si="139">IF(C118="买",F117+D118,F117-D118)</f>
        <v>10450</v>
      </c>
      <c r="G118" s="17">
        <f t="shared" si="138"/>
        <v>9.5376294736842127</v>
      </c>
      <c r="H118" s="15">
        <f t="shared" ref="H118:H128" si="140">IF(C118="买",H117+D118*E118+M118+N118,H117+-1*D118*E118+M118+N118)+O117</f>
        <v>99668.228000000017</v>
      </c>
      <c r="I118" s="15">
        <f t="shared" ref="I118:I128" si="141">-H118+K118</f>
        <v>-7081.2280000000173</v>
      </c>
      <c r="J118" s="33">
        <f t="shared" ref="J118:J128" si="142">(E118-G118)/G118</f>
        <v>-7.1047997361807488E-2</v>
      </c>
      <c r="K118" s="15">
        <f t="shared" ref="K118:K128" si="143">F118*E118</f>
        <v>92587</v>
      </c>
      <c r="L118" s="15">
        <f t="shared" ref="L118:L128" si="144">I118-I117</f>
        <v>-602</v>
      </c>
      <c r="M118" s="15">
        <f t="shared" ref="M118:M128" si="145">IF(D118*E118*5/10000&gt;5,D118*E118*5/10000,5)</f>
        <v>5</v>
      </c>
      <c r="N118" s="15">
        <f t="shared" ref="N118:N128" si="146">IF(C118="卖",D118*E118/1000,0)</f>
        <v>0</v>
      </c>
      <c r="O118" s="64"/>
      <c r="P118" s="17">
        <f t="shared" ref="P118:P128" si="147">E118-G118</f>
        <v>-0.67762947368421322</v>
      </c>
      <c r="Q118" s="15">
        <f t="shared" ref="Q118:Q128" si="148">(H118-H117)*-1</f>
        <v>-4435</v>
      </c>
      <c r="R118" s="35"/>
      <c r="S118" s="35">
        <f t="shared" ref="S118:S128" si="149">S117+Q118+O118+R118</f>
        <v>60847.256999999678</v>
      </c>
      <c r="T118" s="35">
        <f t="shared" ref="T118:T128" si="150">S118/E118</f>
        <v>6867.6362302482712</v>
      </c>
      <c r="U118" s="35">
        <f t="shared" ref="U118:U128" si="151">F118+T118</f>
        <v>17317.63623024827</v>
      </c>
      <c r="V118" s="15">
        <f t="shared" ref="V118:V128" si="152">H118+S118</f>
        <v>160515.48499999969</v>
      </c>
      <c r="W118" s="17">
        <f t="shared" ref="W118:W128" si="153">V118/U118</f>
        <v>9.2689026877485396</v>
      </c>
      <c r="X118" s="17">
        <f t="shared" ref="X118:X128" si="154">W118-G118</f>
        <v>-0.26872678593567301</v>
      </c>
      <c r="Y118" s="17">
        <f t="shared" ref="Y118:Y128" si="155">(X118-P118)*-1</f>
        <v>-0.40890268774854022</v>
      </c>
      <c r="Z118" s="134">
        <f t="shared" ref="Z118:Z128" si="156">F118/U118</f>
        <v>0.6034310838419884</v>
      </c>
      <c r="AA118" s="15">
        <f>SUM(L$2:L118)-SUM(AB$2:AB118)</f>
        <v>25694.178000000182</v>
      </c>
      <c r="AB118" s="104"/>
      <c r="AC118" s="145">
        <f t="shared" si="80"/>
        <v>-798.83604808126609</v>
      </c>
      <c r="AD118" s="145">
        <f t="shared" si="81"/>
        <v>-11248.836048081266</v>
      </c>
    </row>
    <row r="119" spans="1:30" x14ac:dyDescent="0.25">
      <c r="A119" s="99">
        <v>42830</v>
      </c>
      <c r="B119" s="103"/>
      <c r="C119" s="104" t="s">
        <v>69</v>
      </c>
      <c r="D119" s="104">
        <v>500</v>
      </c>
      <c r="E119" s="143">
        <v>9.48</v>
      </c>
      <c r="F119" s="16">
        <f t="shared" si="139"/>
        <v>9950</v>
      </c>
      <c r="G119" s="17">
        <f t="shared" ref="G119:G128" si="157">H119/F119</f>
        <v>9.5415043216080431</v>
      </c>
      <c r="H119" s="15">
        <f t="shared" si="140"/>
        <v>94937.968000000023</v>
      </c>
      <c r="I119" s="15">
        <f t="shared" si="141"/>
        <v>-611.96800000002258</v>
      </c>
      <c r="J119" s="33">
        <f t="shared" si="142"/>
        <v>-6.4459774407645224E-3</v>
      </c>
      <c r="K119" s="15">
        <f t="shared" si="143"/>
        <v>94326</v>
      </c>
      <c r="L119" s="15">
        <f t="shared" si="144"/>
        <v>6469.2599999999948</v>
      </c>
      <c r="M119" s="15">
        <f t="shared" si="145"/>
        <v>5</v>
      </c>
      <c r="N119" s="15">
        <f t="shared" si="146"/>
        <v>4.74</v>
      </c>
      <c r="O119" s="64"/>
      <c r="P119" s="17">
        <f t="shared" si="147"/>
        <v>-6.1504321608042645E-2</v>
      </c>
      <c r="Q119" s="15">
        <f t="shared" si="148"/>
        <v>4730.2599999999948</v>
      </c>
      <c r="R119" s="35"/>
      <c r="S119" s="35">
        <f t="shared" si="149"/>
        <v>65577.516999999672</v>
      </c>
      <c r="T119" s="35">
        <f t="shared" si="150"/>
        <v>6917.4595991560836</v>
      </c>
      <c r="U119" s="35">
        <f t="shared" si="151"/>
        <v>16867.459599156085</v>
      </c>
      <c r="V119" s="15">
        <f t="shared" si="152"/>
        <v>160515.48499999969</v>
      </c>
      <c r="W119" s="17">
        <f t="shared" si="153"/>
        <v>9.5162809821124821</v>
      </c>
      <c r="X119" s="17">
        <f t="shared" si="154"/>
        <v>-2.5223339495560992E-2</v>
      </c>
      <c r="Y119" s="17">
        <f t="shared" si="155"/>
        <v>-3.6280982112481652E-2</v>
      </c>
      <c r="Z119" s="134">
        <f t="shared" si="156"/>
        <v>0.58989321667015104</v>
      </c>
      <c r="AA119" s="15">
        <f>SUM(L$2:L119)-SUM(AB$2:AB119)</f>
        <v>32163.438000000177</v>
      </c>
      <c r="AB119" s="104"/>
      <c r="AC119" s="145">
        <f t="shared" si="80"/>
        <v>-64.521309704643741</v>
      </c>
      <c r="AD119" s="145">
        <f t="shared" si="81"/>
        <v>-10014.521309704643</v>
      </c>
    </row>
    <row r="120" spans="1:30" x14ac:dyDescent="0.25">
      <c r="A120" s="99">
        <v>42831</v>
      </c>
      <c r="B120" s="103"/>
      <c r="C120" s="104" t="s">
        <v>69</v>
      </c>
      <c r="D120" s="104">
        <v>500</v>
      </c>
      <c r="E120" s="143">
        <v>9.25</v>
      </c>
      <c r="F120" s="16">
        <f t="shared" si="139"/>
        <v>9450</v>
      </c>
      <c r="G120" s="17">
        <f t="shared" si="157"/>
        <v>9.5579463492063521</v>
      </c>
      <c r="H120" s="15">
        <f t="shared" si="140"/>
        <v>90322.593000000023</v>
      </c>
      <c r="I120" s="15">
        <f t="shared" si="141"/>
        <v>-2910.0930000000226</v>
      </c>
      <c r="J120" s="33">
        <f t="shared" si="142"/>
        <v>-3.2218882378631741E-2</v>
      </c>
      <c r="K120" s="15">
        <f t="shared" si="143"/>
        <v>87412.5</v>
      </c>
      <c r="L120" s="15">
        <f t="shared" si="144"/>
        <v>-2298.125</v>
      </c>
      <c r="M120" s="15">
        <f t="shared" si="145"/>
        <v>5</v>
      </c>
      <c r="N120" s="15">
        <f t="shared" si="146"/>
        <v>4.625</v>
      </c>
      <c r="O120" s="64"/>
      <c r="P120" s="17">
        <f t="shared" si="147"/>
        <v>-0.30794634920635211</v>
      </c>
      <c r="Q120" s="15">
        <f t="shared" si="148"/>
        <v>4615.375</v>
      </c>
      <c r="R120" s="35"/>
      <c r="S120" s="35">
        <f t="shared" si="149"/>
        <v>70192.891999999672</v>
      </c>
      <c r="T120" s="35">
        <f t="shared" si="150"/>
        <v>7588.4207567567209</v>
      </c>
      <c r="U120" s="35">
        <f t="shared" si="151"/>
        <v>17038.420756756721</v>
      </c>
      <c r="V120" s="15">
        <f t="shared" si="152"/>
        <v>160515.48499999969</v>
      </c>
      <c r="W120" s="17">
        <f t="shared" si="153"/>
        <v>9.420795934760914</v>
      </c>
      <c r="X120" s="17">
        <f t="shared" si="154"/>
        <v>-0.13715041444543807</v>
      </c>
      <c r="Y120" s="17">
        <f t="shared" si="155"/>
        <v>-0.17079593476091404</v>
      </c>
      <c r="Z120" s="134">
        <f t="shared" si="156"/>
        <v>0.55462886701236835</v>
      </c>
      <c r="AA120" s="15">
        <f>SUM(L$2:L120)-SUM(AB$2:AB120)</f>
        <v>29865.313000000177</v>
      </c>
      <c r="AB120" s="104"/>
      <c r="AC120" s="145">
        <f t="shared" si="80"/>
        <v>-314.44734632432682</v>
      </c>
      <c r="AD120" s="145">
        <f t="shared" si="81"/>
        <v>-9764.4473463243266</v>
      </c>
    </row>
    <row r="121" spans="1:30" x14ac:dyDescent="0.25">
      <c r="A121" s="99">
        <v>42831</v>
      </c>
      <c r="B121" s="103"/>
      <c r="C121" s="104" t="s">
        <v>69</v>
      </c>
      <c r="D121" s="104">
        <v>500</v>
      </c>
      <c r="E121" s="143">
        <v>9.35</v>
      </c>
      <c r="F121" s="16">
        <f t="shared" si="139"/>
        <v>8950</v>
      </c>
      <c r="G121" s="17">
        <f t="shared" si="157"/>
        <v>9.5706444692737467</v>
      </c>
      <c r="H121" s="15">
        <f t="shared" si="140"/>
        <v>85657.268000000025</v>
      </c>
      <c r="I121" s="15">
        <f t="shared" si="141"/>
        <v>-1974.7680000000255</v>
      </c>
      <c r="J121" s="33">
        <f t="shared" si="142"/>
        <v>-2.3054295871309312E-2</v>
      </c>
      <c r="K121" s="15">
        <f t="shared" si="143"/>
        <v>83682.5</v>
      </c>
      <c r="L121" s="15">
        <f t="shared" si="144"/>
        <v>935.32499999999709</v>
      </c>
      <c r="M121" s="15">
        <f t="shared" si="145"/>
        <v>5</v>
      </c>
      <c r="N121" s="15">
        <f t="shared" si="146"/>
        <v>4.6749999999999998</v>
      </c>
      <c r="O121" s="64"/>
      <c r="P121" s="17">
        <f t="shared" si="147"/>
        <v>-0.22064446927374703</v>
      </c>
      <c r="Q121" s="15">
        <f t="shared" si="148"/>
        <v>4665.3249999999971</v>
      </c>
      <c r="R121" s="35"/>
      <c r="S121" s="35">
        <f t="shared" si="149"/>
        <v>74858.216999999669</v>
      </c>
      <c r="T121" s="35">
        <f t="shared" si="150"/>
        <v>8006.2264171122642</v>
      </c>
      <c r="U121" s="35">
        <f t="shared" si="151"/>
        <v>16956.226417112266</v>
      </c>
      <c r="V121" s="15">
        <f t="shared" si="152"/>
        <v>160515.48499999969</v>
      </c>
      <c r="W121" s="17">
        <f t="shared" si="153"/>
        <v>9.466462705287249</v>
      </c>
      <c r="X121" s="17">
        <f t="shared" si="154"/>
        <v>-0.1041817639864977</v>
      </c>
      <c r="Y121" s="17">
        <f t="shared" si="155"/>
        <v>-0.11646270528724934</v>
      </c>
      <c r="Z121" s="134">
        <f t="shared" si="156"/>
        <v>0.52782970572789933</v>
      </c>
      <c r="AA121" s="15">
        <f>SUM(L$2:L121)-SUM(AB$2:AB121)</f>
        <v>30800.638000000174</v>
      </c>
      <c r="AB121" s="104"/>
      <c r="AC121" s="145">
        <f t="shared" si="80"/>
        <v>-211.0995311229974</v>
      </c>
      <c r="AD121" s="145">
        <f t="shared" si="81"/>
        <v>-9161.0995311229981</v>
      </c>
    </row>
    <row r="122" spans="1:30" x14ac:dyDescent="0.25">
      <c r="A122" s="99">
        <v>42832</v>
      </c>
      <c r="B122" s="103" t="s">
        <v>203</v>
      </c>
      <c r="C122" s="104" t="s">
        <v>63</v>
      </c>
      <c r="D122" s="104">
        <v>500</v>
      </c>
      <c r="E122" s="143">
        <v>9.26</v>
      </c>
      <c r="F122" s="16">
        <f t="shared" si="139"/>
        <v>9450</v>
      </c>
      <c r="G122" s="17">
        <f t="shared" si="157"/>
        <v>9.5547373544973571</v>
      </c>
      <c r="H122" s="15">
        <f t="shared" si="140"/>
        <v>90292.268000000025</v>
      </c>
      <c r="I122" s="15">
        <f t="shared" si="141"/>
        <v>-2785.2680000000255</v>
      </c>
      <c r="J122" s="33">
        <f t="shared" si="142"/>
        <v>-3.0847248182978695E-2</v>
      </c>
      <c r="K122" s="15">
        <f t="shared" si="143"/>
        <v>87507</v>
      </c>
      <c r="L122" s="15">
        <f t="shared" si="144"/>
        <v>-810.5</v>
      </c>
      <c r="M122" s="15">
        <f t="shared" si="145"/>
        <v>5</v>
      </c>
      <c r="N122" s="15">
        <f t="shared" si="146"/>
        <v>0</v>
      </c>
      <c r="O122" s="64"/>
      <c r="P122" s="17">
        <f t="shared" si="147"/>
        <v>-0.29473735449735727</v>
      </c>
      <c r="Q122" s="15">
        <f t="shared" si="148"/>
        <v>-4635</v>
      </c>
      <c r="R122" s="35"/>
      <c r="S122" s="35">
        <f t="shared" si="149"/>
        <v>70223.216999999669</v>
      </c>
      <c r="T122" s="35">
        <f t="shared" si="150"/>
        <v>7583.500755939489</v>
      </c>
      <c r="U122" s="35">
        <f t="shared" si="151"/>
        <v>17033.500755939487</v>
      </c>
      <c r="V122" s="15">
        <f t="shared" si="152"/>
        <v>160515.48499999969</v>
      </c>
      <c r="W122" s="17">
        <f t="shared" si="153"/>
        <v>9.4235170620477913</v>
      </c>
      <c r="X122" s="17">
        <f t="shared" si="154"/>
        <v>-0.13122029244956579</v>
      </c>
      <c r="Y122" s="17">
        <f t="shared" si="155"/>
        <v>-0.16351706204779148</v>
      </c>
      <c r="Z122" s="134">
        <f t="shared" si="156"/>
        <v>0.55478906746194478</v>
      </c>
      <c r="AA122" s="15">
        <f>SUM(L$2:L122)-SUM(AB$2:AB122)</f>
        <v>29990.138000000174</v>
      </c>
      <c r="AB122" s="104"/>
      <c r="AC122" s="145">
        <f t="shared" si="80"/>
        <v>-300.63448876890129</v>
      </c>
      <c r="AD122" s="145">
        <f t="shared" si="81"/>
        <v>-9750.6344887689011</v>
      </c>
    </row>
    <row r="123" spans="1:30" x14ac:dyDescent="0.25">
      <c r="A123" s="99">
        <v>42832</v>
      </c>
      <c r="B123" s="103" t="s">
        <v>409</v>
      </c>
      <c r="C123" s="104" t="s">
        <v>63</v>
      </c>
      <c r="D123" s="104">
        <v>500</v>
      </c>
      <c r="E123" s="143">
        <v>9.18</v>
      </c>
      <c r="F123" s="16">
        <f t="shared" si="139"/>
        <v>9950</v>
      </c>
      <c r="G123" s="17">
        <f t="shared" si="157"/>
        <v>9.5364088442211088</v>
      </c>
      <c r="H123" s="15">
        <f t="shared" si="140"/>
        <v>94887.268000000025</v>
      </c>
      <c r="I123" s="15">
        <f t="shared" si="141"/>
        <v>-3546.2680000000255</v>
      </c>
      <c r="J123" s="33">
        <f t="shared" si="142"/>
        <v>-3.7373486187841705E-2</v>
      </c>
      <c r="K123" s="15">
        <f t="shared" si="143"/>
        <v>91341</v>
      </c>
      <c r="L123" s="15">
        <f t="shared" si="144"/>
        <v>-761</v>
      </c>
      <c r="M123" s="15">
        <f t="shared" si="145"/>
        <v>5</v>
      </c>
      <c r="N123" s="15">
        <f t="shared" si="146"/>
        <v>0</v>
      </c>
      <c r="O123" s="64"/>
      <c r="P123" s="17">
        <f t="shared" si="147"/>
        <v>-0.35640884422110908</v>
      </c>
      <c r="Q123" s="15">
        <f t="shared" si="148"/>
        <v>-4595</v>
      </c>
      <c r="R123" s="35"/>
      <c r="S123" s="35">
        <f t="shared" si="149"/>
        <v>65628.216999999669</v>
      </c>
      <c r="T123" s="35">
        <f t="shared" si="150"/>
        <v>7149.0432461873279</v>
      </c>
      <c r="U123" s="35">
        <f t="shared" si="151"/>
        <v>17099.043246187328</v>
      </c>
      <c r="V123" s="15">
        <f t="shared" si="152"/>
        <v>160515.48499999969</v>
      </c>
      <c r="W123" s="17">
        <f t="shared" si="153"/>
        <v>9.3873956974634094</v>
      </c>
      <c r="X123" s="17">
        <f t="shared" si="154"/>
        <v>-0.14901314675769939</v>
      </c>
      <c r="Y123" s="17">
        <f t="shared" si="155"/>
        <v>-0.20739569746340969</v>
      </c>
      <c r="Z123" s="134">
        <f t="shared" si="156"/>
        <v>0.58190390285249494</v>
      </c>
      <c r="AA123" s="15">
        <f>SUM(L$2:L123)-SUM(AB$2:AB123)</f>
        <v>29229.138000000174</v>
      </c>
      <c r="AB123" s="104"/>
      <c r="AC123" s="145">
        <f t="shared" si="80"/>
        <v>-386.11055185185467</v>
      </c>
      <c r="AD123" s="145">
        <f t="shared" si="81"/>
        <v>-10336.110551851854</v>
      </c>
    </row>
    <row r="124" spans="1:30" x14ac:dyDescent="0.25">
      <c r="A124" s="99">
        <v>42832</v>
      </c>
      <c r="B124" s="103" t="s">
        <v>410</v>
      </c>
      <c r="C124" s="104" t="s">
        <v>63</v>
      </c>
      <c r="D124" s="104">
        <v>500</v>
      </c>
      <c r="E124" s="143">
        <v>9.14</v>
      </c>
      <c r="F124" s="16">
        <f t="shared" si="139"/>
        <v>10450</v>
      </c>
      <c r="G124" s="17">
        <f t="shared" si="157"/>
        <v>9.517920382775122</v>
      </c>
      <c r="H124" s="15">
        <f t="shared" si="140"/>
        <v>99462.268000000025</v>
      </c>
      <c r="I124" s="15">
        <f t="shared" si="141"/>
        <v>-3949.2680000000255</v>
      </c>
      <c r="J124" s="33">
        <f t="shared" si="142"/>
        <v>-3.9706192905233348E-2</v>
      </c>
      <c r="K124" s="15">
        <f t="shared" si="143"/>
        <v>95513</v>
      </c>
      <c r="L124" s="15">
        <f t="shared" si="144"/>
        <v>-403</v>
      </c>
      <c r="M124" s="15">
        <f t="shared" si="145"/>
        <v>5</v>
      </c>
      <c r="N124" s="15">
        <f t="shared" si="146"/>
        <v>0</v>
      </c>
      <c r="O124" s="64"/>
      <c r="P124" s="17">
        <f t="shared" si="147"/>
        <v>-0.37792038277512141</v>
      </c>
      <c r="Q124" s="15">
        <f t="shared" si="148"/>
        <v>-4575</v>
      </c>
      <c r="R124" s="35"/>
      <c r="S124" s="35">
        <f t="shared" si="149"/>
        <v>61053.216999999669</v>
      </c>
      <c r="T124" s="35">
        <f t="shared" si="150"/>
        <v>6679.7830415754561</v>
      </c>
      <c r="U124" s="35">
        <f t="shared" si="151"/>
        <v>17129.783041575458</v>
      </c>
      <c r="V124" s="15">
        <f t="shared" si="152"/>
        <v>160515.48499999969</v>
      </c>
      <c r="W124" s="17">
        <f t="shared" si="153"/>
        <v>9.370549796831332</v>
      </c>
      <c r="X124" s="17">
        <f t="shared" si="154"/>
        <v>-0.14737058594378993</v>
      </c>
      <c r="Y124" s="17">
        <f t="shared" si="155"/>
        <v>-0.23054979683133148</v>
      </c>
      <c r="Z124" s="134">
        <f t="shared" si="156"/>
        <v>0.61004859049510141</v>
      </c>
      <c r="AA124" s="15">
        <f>SUM(L$2:L124)-SUM(AB$2:AB124)</f>
        <v>28826.138000000174</v>
      </c>
      <c r="AB124" s="104"/>
      <c r="AC124" s="145">
        <f t="shared" si="80"/>
        <v>-431.87017133479492</v>
      </c>
      <c r="AD124" s="145">
        <f t="shared" si="81"/>
        <v>-10881.870171334795</v>
      </c>
    </row>
    <row r="125" spans="1:30" x14ac:dyDescent="0.25">
      <c r="A125" s="99">
        <v>42835</v>
      </c>
      <c r="B125" s="103" t="s">
        <v>411</v>
      </c>
      <c r="C125" s="104" t="s">
        <v>63</v>
      </c>
      <c r="D125" s="104">
        <v>500</v>
      </c>
      <c r="E125" s="143">
        <v>9.0399999999999991</v>
      </c>
      <c r="F125" s="16">
        <f t="shared" si="139"/>
        <v>10950</v>
      </c>
      <c r="G125" s="17">
        <f t="shared" si="157"/>
        <v>9.4965541552511432</v>
      </c>
      <c r="H125" s="15">
        <f t="shared" si="140"/>
        <v>103987.26800000003</v>
      </c>
      <c r="I125" s="15">
        <f t="shared" si="141"/>
        <v>-4999.26800000004</v>
      </c>
      <c r="J125" s="33">
        <f t="shared" si="142"/>
        <v>-4.8075770199098089E-2</v>
      </c>
      <c r="K125" s="15">
        <f t="shared" si="143"/>
        <v>98987.999999999985</v>
      </c>
      <c r="L125" s="15">
        <f t="shared" si="144"/>
        <v>-1050.0000000000146</v>
      </c>
      <c r="M125" s="15">
        <f t="shared" si="145"/>
        <v>5</v>
      </c>
      <c r="N125" s="15">
        <f t="shared" si="146"/>
        <v>0</v>
      </c>
      <c r="O125" s="64"/>
      <c r="P125" s="17">
        <f t="shared" si="147"/>
        <v>-0.45655415525114407</v>
      </c>
      <c r="Q125" s="15">
        <f t="shared" si="148"/>
        <v>-4525</v>
      </c>
      <c r="R125" s="35"/>
      <c r="S125" s="35">
        <f t="shared" si="149"/>
        <v>56528.216999999669</v>
      </c>
      <c r="T125" s="35">
        <f t="shared" si="150"/>
        <v>6253.1213495574857</v>
      </c>
      <c r="U125" s="35">
        <f t="shared" si="151"/>
        <v>17203.121349557485</v>
      </c>
      <c r="V125" s="15">
        <f t="shared" si="152"/>
        <v>160515.48499999969</v>
      </c>
      <c r="W125" s="17">
        <f t="shared" si="153"/>
        <v>9.3306023795576269</v>
      </c>
      <c r="X125" s="17">
        <f t="shared" si="154"/>
        <v>-0.16595177569351627</v>
      </c>
      <c r="Y125" s="17">
        <f t="shared" si="155"/>
        <v>-0.2906023795576278</v>
      </c>
      <c r="Z125" s="134">
        <f t="shared" si="156"/>
        <v>0.63651239664606951</v>
      </c>
      <c r="AA125" s="15">
        <f>SUM(L$2:L125)-SUM(AB$2:AB125)</f>
        <v>27776.138000000159</v>
      </c>
      <c r="AB125" s="104"/>
      <c r="AC125" s="145">
        <f t="shared" si="80"/>
        <v>-552.7398634955797</v>
      </c>
      <c r="AD125" s="145">
        <f t="shared" si="81"/>
        <v>-11502.739863495579</v>
      </c>
    </row>
    <row r="126" spans="1:30" x14ac:dyDescent="0.25">
      <c r="A126" s="99">
        <v>42836</v>
      </c>
      <c r="B126" s="103"/>
      <c r="C126" s="104" t="s">
        <v>69</v>
      </c>
      <c r="D126" s="104">
        <v>500</v>
      </c>
      <c r="E126" s="143">
        <v>9.18</v>
      </c>
      <c r="F126" s="16">
        <f t="shared" si="139"/>
        <v>10450</v>
      </c>
      <c r="G126" s="17">
        <f t="shared" si="157"/>
        <v>9.5126179904306234</v>
      </c>
      <c r="H126" s="15">
        <f t="shared" si="140"/>
        <v>99406.858000000022</v>
      </c>
      <c r="I126" s="15">
        <f t="shared" si="141"/>
        <v>-3475.858000000022</v>
      </c>
      <c r="J126" s="33">
        <f t="shared" si="142"/>
        <v>-3.4965977900639579E-2</v>
      </c>
      <c r="K126" s="15">
        <f t="shared" si="143"/>
        <v>95931</v>
      </c>
      <c r="L126" s="15">
        <f t="shared" si="144"/>
        <v>1523.410000000018</v>
      </c>
      <c r="M126" s="15">
        <f t="shared" si="145"/>
        <v>5</v>
      </c>
      <c r="N126" s="15">
        <f t="shared" si="146"/>
        <v>4.59</v>
      </c>
      <c r="O126" s="64"/>
      <c r="P126" s="17">
        <f t="shared" si="147"/>
        <v>-0.33261799043062368</v>
      </c>
      <c r="Q126" s="15">
        <f t="shared" si="148"/>
        <v>4580.4100000000035</v>
      </c>
      <c r="R126" s="35"/>
      <c r="S126" s="35">
        <f t="shared" si="149"/>
        <v>61108.626999999673</v>
      </c>
      <c r="T126" s="35">
        <f t="shared" si="150"/>
        <v>6656.7131808278509</v>
      </c>
      <c r="U126" s="35">
        <f t="shared" si="151"/>
        <v>17106.71318082785</v>
      </c>
      <c r="V126" s="15">
        <f t="shared" si="152"/>
        <v>160515.48499999969</v>
      </c>
      <c r="W126" s="17">
        <f t="shared" si="153"/>
        <v>9.3831867818942314</v>
      </c>
      <c r="X126" s="17">
        <f t="shared" si="154"/>
        <v>-0.12943120853639201</v>
      </c>
      <c r="Y126" s="17">
        <f t="shared" si="155"/>
        <v>-0.20318678189423167</v>
      </c>
      <c r="Z126" s="134">
        <f t="shared" si="156"/>
        <v>0.61087129301447085</v>
      </c>
      <c r="AA126" s="15">
        <f>SUM(L$2:L126)-SUM(AB$2:AB126)</f>
        <v>29299.548000000177</v>
      </c>
      <c r="AB126" s="104"/>
      <c r="AC126" s="145">
        <f t="shared" si="80"/>
        <v>-378.44445217865166</v>
      </c>
      <c r="AD126" s="145">
        <f t="shared" si="81"/>
        <v>-10828.444452178652</v>
      </c>
    </row>
    <row r="127" spans="1:30" x14ac:dyDescent="0.25">
      <c r="A127" s="99">
        <v>42836</v>
      </c>
      <c r="B127" s="103"/>
      <c r="C127" s="104" t="s">
        <v>69</v>
      </c>
      <c r="D127" s="104">
        <v>500</v>
      </c>
      <c r="E127" s="143">
        <v>9.34</v>
      </c>
      <c r="F127" s="16">
        <f t="shared" si="139"/>
        <v>9950</v>
      </c>
      <c r="G127" s="17">
        <f t="shared" si="157"/>
        <v>9.5222641206030172</v>
      </c>
      <c r="H127" s="15">
        <f t="shared" si="140"/>
        <v>94746.52800000002</v>
      </c>
      <c r="I127" s="15">
        <f t="shared" si="141"/>
        <v>-1813.5280000000203</v>
      </c>
      <c r="J127" s="33">
        <f t="shared" si="142"/>
        <v>-1.9140838596217711E-2</v>
      </c>
      <c r="K127" s="15">
        <f t="shared" si="143"/>
        <v>92933</v>
      </c>
      <c r="L127" s="15">
        <f t="shared" si="144"/>
        <v>1662.3300000000017</v>
      </c>
      <c r="M127" s="15">
        <f t="shared" si="145"/>
        <v>5</v>
      </c>
      <c r="N127" s="15">
        <f t="shared" si="146"/>
        <v>4.67</v>
      </c>
      <c r="O127" s="64"/>
      <c r="P127" s="17">
        <f t="shared" si="147"/>
        <v>-0.18226412060301733</v>
      </c>
      <c r="Q127" s="15">
        <f t="shared" si="148"/>
        <v>4660.3300000000017</v>
      </c>
      <c r="R127" s="35"/>
      <c r="S127" s="35">
        <f t="shared" si="149"/>
        <v>65768.956999999675</v>
      </c>
      <c r="T127" s="35">
        <f t="shared" si="150"/>
        <v>7041.644218415383</v>
      </c>
      <c r="U127" s="35">
        <f t="shared" si="151"/>
        <v>16991.644218415382</v>
      </c>
      <c r="V127" s="15">
        <f t="shared" si="152"/>
        <v>160515.48499999969</v>
      </c>
      <c r="W127" s="17">
        <f t="shared" si="153"/>
        <v>9.4467305774937618</v>
      </c>
      <c r="X127" s="17">
        <f t="shared" si="154"/>
        <v>-7.5533543109255419E-2</v>
      </c>
      <c r="Y127" s="17">
        <f t="shared" si="155"/>
        <v>-0.10673057749376191</v>
      </c>
      <c r="Z127" s="134">
        <f t="shared" si="156"/>
        <v>0.58558194087045945</v>
      </c>
      <c r="AA127" s="15">
        <f>SUM(L$2:L127)-SUM(AB$2:AB127)</f>
        <v>30961.878000000179</v>
      </c>
      <c r="AB127" s="104"/>
      <c r="AC127" s="145">
        <f t="shared" si="80"/>
        <v>-194.07079614561246</v>
      </c>
      <c r="AD127" s="145">
        <f t="shared" si="81"/>
        <v>-10144.070796145612</v>
      </c>
    </row>
    <row r="128" spans="1:30" x14ac:dyDescent="0.25">
      <c r="A128" s="99">
        <v>42836</v>
      </c>
      <c r="B128" s="103" t="s">
        <v>412</v>
      </c>
      <c r="C128" s="104" t="s">
        <v>63</v>
      </c>
      <c r="D128" s="104">
        <v>500</v>
      </c>
      <c r="E128" s="143">
        <v>9.19</v>
      </c>
      <c r="F128" s="16">
        <f t="shared" si="139"/>
        <v>10450</v>
      </c>
      <c r="G128" s="17">
        <f t="shared" si="157"/>
        <v>9.5068447846889974</v>
      </c>
      <c r="H128" s="15">
        <f t="shared" si="140"/>
        <v>99346.52800000002</v>
      </c>
      <c r="I128" s="15">
        <f t="shared" si="141"/>
        <v>-3311.0280000000203</v>
      </c>
      <c r="J128" s="33">
        <f t="shared" si="142"/>
        <v>-3.3328069602996363E-2</v>
      </c>
      <c r="K128" s="15">
        <f t="shared" si="143"/>
        <v>96035.5</v>
      </c>
      <c r="L128" s="15">
        <f t="shared" si="144"/>
        <v>-1497.5</v>
      </c>
      <c r="M128" s="15">
        <f t="shared" si="145"/>
        <v>5</v>
      </c>
      <c r="N128" s="15">
        <f t="shared" si="146"/>
        <v>0</v>
      </c>
      <c r="O128" s="64"/>
      <c r="P128" s="17">
        <f t="shared" si="147"/>
        <v>-0.3168447846889979</v>
      </c>
      <c r="Q128" s="15">
        <f t="shared" si="148"/>
        <v>-4600</v>
      </c>
      <c r="R128" s="35"/>
      <c r="S128" s="35">
        <f t="shared" si="149"/>
        <v>61168.956999999675</v>
      </c>
      <c r="T128" s="35">
        <f t="shared" si="150"/>
        <v>6656.034494015199</v>
      </c>
      <c r="U128" s="35">
        <f t="shared" si="151"/>
        <v>17106.034494015199</v>
      </c>
      <c r="V128" s="15">
        <f t="shared" si="152"/>
        <v>160515.48499999969</v>
      </c>
      <c r="W128" s="17">
        <f t="shared" si="153"/>
        <v>9.383559062514367</v>
      </c>
      <c r="X128" s="17">
        <f t="shared" si="154"/>
        <v>-0.12328572217463041</v>
      </c>
      <c r="Y128" s="17">
        <f t="shared" si="155"/>
        <v>-0.1935590625143675</v>
      </c>
      <c r="Z128" s="134">
        <f t="shared" si="156"/>
        <v>0.6108955295077938</v>
      </c>
      <c r="AA128" s="15">
        <f>SUM(L$2:L128)-SUM(AB$2:AB128)</f>
        <v>29464.378000000179</v>
      </c>
      <c r="AB128" s="104"/>
      <c r="AC128" s="145">
        <f t="shared" si="80"/>
        <v>-360.10582002176506</v>
      </c>
      <c r="AD128" s="145">
        <f t="shared" si="81"/>
        <v>-10810.105820021765</v>
      </c>
    </row>
    <row r="129" spans="1:30" x14ac:dyDescent="0.25">
      <c r="A129" s="99">
        <v>42837</v>
      </c>
      <c r="B129" s="103" t="s">
        <v>413</v>
      </c>
      <c r="C129" s="104" t="s">
        <v>63</v>
      </c>
      <c r="D129" s="104">
        <v>500</v>
      </c>
      <c r="E129" s="143">
        <v>9.06</v>
      </c>
      <c r="F129" s="16">
        <f t="shared" ref="F129:F134" si="158">IF(C129="买",F128+D129,F128-D129)</f>
        <v>10950</v>
      </c>
      <c r="G129" s="17">
        <f t="shared" ref="G129:G134" si="159">H129/F129</f>
        <v>9.4868975342465767</v>
      </c>
      <c r="H129" s="15">
        <f t="shared" ref="H129:H134" si="160">IF(C129="买",H128+D129*E129+M129+N129,H128+-1*D129*E129+M129+N129)+O128</f>
        <v>103881.52800000002</v>
      </c>
      <c r="I129" s="15">
        <f t="shared" ref="I129:I134" si="161">-H129+K129</f>
        <v>-4674.5280000000203</v>
      </c>
      <c r="J129" s="33">
        <f t="shared" ref="J129:J134" si="162">(E129-G129)/G129</f>
        <v>-4.4998644994902352E-2</v>
      </c>
      <c r="K129" s="15">
        <f t="shared" ref="K129:K134" si="163">F129*E129</f>
        <v>99207</v>
      </c>
      <c r="L129" s="15">
        <f t="shared" ref="L129:L134" si="164">I129-I128</f>
        <v>-1363.5</v>
      </c>
      <c r="M129" s="15">
        <f t="shared" ref="M129:M134" si="165">IF(D129*E129*5/10000&gt;5,D129*E129*5/10000,5)</f>
        <v>5</v>
      </c>
      <c r="N129" s="15">
        <f t="shared" ref="N129:N134" si="166">IF(C129="卖",D129*E129/1000,0)</f>
        <v>0</v>
      </c>
      <c r="O129" s="64"/>
      <c r="P129" s="17">
        <f t="shared" ref="P129:P134" si="167">E129-G129</f>
        <v>-0.42689753424657617</v>
      </c>
      <c r="Q129" s="15">
        <f t="shared" ref="Q129:Q134" si="168">(H129-H128)*-1</f>
        <v>-4535</v>
      </c>
      <c r="R129" s="35"/>
      <c r="S129" s="35">
        <f t="shared" ref="S129:S134" si="169">S128+Q129+O129+R129</f>
        <v>56633.956999999675</v>
      </c>
      <c r="T129" s="35">
        <f t="shared" ref="T129:T134" si="170">S129/E129</f>
        <v>6250.9886313465422</v>
      </c>
      <c r="U129" s="35">
        <f t="shared" ref="U129:U134" si="171">F129+T129</f>
        <v>17200.988631346543</v>
      </c>
      <c r="V129" s="15">
        <f t="shared" ref="V129:V134" si="172">H129+S129</f>
        <v>160515.48499999969</v>
      </c>
      <c r="W129" s="17">
        <f t="shared" ref="W129:W134" si="173">V129/U129</f>
        <v>9.3317592633879958</v>
      </c>
      <c r="X129" s="17">
        <f t="shared" ref="X129:X134" si="174">W129-G129</f>
        <v>-0.1551382708585809</v>
      </c>
      <c r="Y129" s="17">
        <f t="shared" ref="Y129:Y134" si="175">(X129-P129)*-1</f>
        <v>-0.27175926338799528</v>
      </c>
      <c r="Z129" s="134">
        <f t="shared" ref="Z129:Z134" si="176">F129/U129</f>
        <v>0.63659131662031698</v>
      </c>
      <c r="AA129" s="15">
        <f>SUM(L$2:L129)-SUM(AB$2:AB129)</f>
        <v>28100.878000000179</v>
      </c>
      <c r="AB129" s="104"/>
      <c r="AC129" s="145">
        <f t="shared" si="80"/>
        <v>-515.69434172185663</v>
      </c>
      <c r="AD129" s="145">
        <f t="shared" si="81"/>
        <v>-11465.694341721857</v>
      </c>
    </row>
    <row r="130" spans="1:30" x14ac:dyDescent="0.25">
      <c r="A130" s="99">
        <v>42837</v>
      </c>
      <c r="B130" s="103" t="s">
        <v>222</v>
      </c>
      <c r="C130" s="104" t="s">
        <v>63</v>
      </c>
      <c r="D130" s="104">
        <v>500</v>
      </c>
      <c r="E130" s="143">
        <v>9.0299999999999994</v>
      </c>
      <c r="F130" s="16">
        <f t="shared" si="158"/>
        <v>11450</v>
      </c>
      <c r="G130" s="17">
        <f t="shared" si="159"/>
        <v>9.4673823580786038</v>
      </c>
      <c r="H130" s="15">
        <f t="shared" si="160"/>
        <v>108401.52800000002</v>
      </c>
      <c r="I130" s="15">
        <f t="shared" si="161"/>
        <v>-5008.0280000000348</v>
      </c>
      <c r="J130" s="33">
        <f t="shared" si="162"/>
        <v>-4.6198869078672218E-2</v>
      </c>
      <c r="K130" s="15">
        <f t="shared" si="163"/>
        <v>103393.49999999999</v>
      </c>
      <c r="L130" s="15">
        <f t="shared" si="164"/>
        <v>-333.50000000001455</v>
      </c>
      <c r="M130" s="15">
        <f t="shared" si="165"/>
        <v>5</v>
      </c>
      <c r="N130" s="15">
        <f t="shared" si="166"/>
        <v>0</v>
      </c>
      <c r="O130" s="64"/>
      <c r="P130" s="17">
        <f t="shared" si="167"/>
        <v>-0.43738235807860448</v>
      </c>
      <c r="Q130" s="15">
        <f t="shared" si="168"/>
        <v>-4520</v>
      </c>
      <c r="R130" s="35"/>
      <c r="S130" s="35">
        <f t="shared" si="169"/>
        <v>52113.956999999675</v>
      </c>
      <c r="T130" s="35">
        <f t="shared" si="170"/>
        <v>5771.2023255813601</v>
      </c>
      <c r="U130" s="35">
        <f t="shared" si="171"/>
        <v>17221.202325581362</v>
      </c>
      <c r="V130" s="15">
        <f t="shared" si="172"/>
        <v>160515.48499999969</v>
      </c>
      <c r="W130" s="17">
        <f t="shared" si="173"/>
        <v>9.3208059440519317</v>
      </c>
      <c r="X130" s="17">
        <f t="shared" si="174"/>
        <v>-0.1465764140266721</v>
      </c>
      <c r="Y130" s="17">
        <f t="shared" si="175"/>
        <v>-0.29080594405193239</v>
      </c>
      <c r="Z130" s="134">
        <f t="shared" si="176"/>
        <v>0.66487808362784939</v>
      </c>
      <c r="AA130" s="15">
        <f>SUM(L$2:L130)-SUM(AB$2:AB130)</f>
        <v>27767.378000000164</v>
      </c>
      <c r="AB130" s="104"/>
      <c r="AC130" s="145">
        <f t="shared" si="80"/>
        <v>-554.32159313400166</v>
      </c>
      <c r="AD130" s="145">
        <f t="shared" si="81"/>
        <v>-12004.321593134002</v>
      </c>
    </row>
    <row r="131" spans="1:30" x14ac:dyDescent="0.25">
      <c r="A131" s="99">
        <v>42837</v>
      </c>
      <c r="B131" s="103" t="s">
        <v>414</v>
      </c>
      <c r="C131" s="104" t="s">
        <v>63</v>
      </c>
      <c r="D131" s="104">
        <v>700</v>
      </c>
      <c r="E131" s="143">
        <v>8.98</v>
      </c>
      <c r="F131" s="16">
        <f t="shared" si="158"/>
        <v>12150</v>
      </c>
      <c r="G131" s="17">
        <f t="shared" si="159"/>
        <v>9.4397142386831288</v>
      </c>
      <c r="H131" s="15">
        <f t="shared" si="160"/>
        <v>114692.52800000002</v>
      </c>
      <c r="I131" s="15">
        <f t="shared" si="161"/>
        <v>-5585.5280000000203</v>
      </c>
      <c r="J131" s="33">
        <f t="shared" si="162"/>
        <v>-4.8700016447453393E-2</v>
      </c>
      <c r="K131" s="15">
        <f t="shared" si="163"/>
        <v>109107</v>
      </c>
      <c r="L131" s="15">
        <f t="shared" si="164"/>
        <v>-577.49999999998545</v>
      </c>
      <c r="M131" s="15">
        <f t="shared" si="165"/>
        <v>5</v>
      </c>
      <c r="N131" s="15">
        <f t="shared" si="166"/>
        <v>0</v>
      </c>
      <c r="O131" s="64"/>
      <c r="P131" s="17">
        <f t="shared" si="167"/>
        <v>-0.45971423868312833</v>
      </c>
      <c r="Q131" s="15">
        <f t="shared" si="168"/>
        <v>-6291</v>
      </c>
      <c r="R131" s="35"/>
      <c r="S131" s="35">
        <f t="shared" si="169"/>
        <v>45822.956999999675</v>
      </c>
      <c r="T131" s="35">
        <f t="shared" si="170"/>
        <v>5102.7791759465117</v>
      </c>
      <c r="U131" s="35">
        <f t="shared" si="171"/>
        <v>17252.779175946511</v>
      </c>
      <c r="V131" s="15">
        <f t="shared" si="172"/>
        <v>160515.48499999969</v>
      </c>
      <c r="W131" s="17">
        <f t="shared" si="173"/>
        <v>9.3037465652946665</v>
      </c>
      <c r="X131" s="17">
        <f t="shared" si="174"/>
        <v>-0.13596767338846227</v>
      </c>
      <c r="Y131" s="17">
        <f t="shared" si="175"/>
        <v>-0.32374656529466606</v>
      </c>
      <c r="Z131" s="134">
        <f t="shared" si="176"/>
        <v>0.7042343657269603</v>
      </c>
      <c r="AA131" s="15">
        <f>SUM(L$2:L131)-SUM(AB$2:AB131)</f>
        <v>27189.878000000179</v>
      </c>
      <c r="AB131" s="104"/>
      <c r="AC131" s="145">
        <f t="shared" si="80"/>
        <v>-621.685438307352</v>
      </c>
      <c r="AD131" s="145">
        <f t="shared" si="81"/>
        <v>-12771.685438307351</v>
      </c>
    </row>
    <row r="132" spans="1:30" x14ac:dyDescent="0.25">
      <c r="A132" s="99">
        <v>42838</v>
      </c>
      <c r="B132" s="103"/>
      <c r="C132" s="104" t="s">
        <v>63</v>
      </c>
      <c r="D132" s="104">
        <v>500</v>
      </c>
      <c r="E132" s="143">
        <v>8.86</v>
      </c>
      <c r="F132" s="16">
        <f t="shared" si="158"/>
        <v>12650</v>
      </c>
      <c r="G132" s="17">
        <f t="shared" si="159"/>
        <v>9.417195889328065</v>
      </c>
      <c r="H132" s="15">
        <f t="shared" si="160"/>
        <v>119127.52800000002</v>
      </c>
      <c r="I132" s="15">
        <f t="shared" si="161"/>
        <v>-7048.5280000000203</v>
      </c>
      <c r="J132" s="33">
        <f t="shared" si="162"/>
        <v>-5.9167919609647464E-2</v>
      </c>
      <c r="K132" s="15">
        <f t="shared" si="163"/>
        <v>112079</v>
      </c>
      <c r="L132" s="15">
        <f t="shared" si="164"/>
        <v>-1463</v>
      </c>
      <c r="M132" s="15">
        <f t="shared" si="165"/>
        <v>5</v>
      </c>
      <c r="N132" s="15">
        <f t="shared" si="166"/>
        <v>0</v>
      </c>
      <c r="O132" s="64"/>
      <c r="P132" s="17">
        <f t="shared" si="167"/>
        <v>-0.55719588932806552</v>
      </c>
      <c r="Q132" s="15">
        <f t="shared" si="168"/>
        <v>-4435</v>
      </c>
      <c r="R132" s="35"/>
      <c r="S132" s="35">
        <f t="shared" si="169"/>
        <v>41387.956999999675</v>
      </c>
      <c r="T132" s="35">
        <f t="shared" si="170"/>
        <v>4671.3269751692642</v>
      </c>
      <c r="U132" s="35">
        <f t="shared" si="171"/>
        <v>17321.326975169264</v>
      </c>
      <c r="V132" s="15">
        <f t="shared" si="172"/>
        <v>160515.48499999969</v>
      </c>
      <c r="W132" s="17">
        <f t="shared" si="173"/>
        <v>9.2669277146089524</v>
      </c>
      <c r="X132" s="17">
        <f t="shared" si="174"/>
        <v>-0.15026817471911258</v>
      </c>
      <c r="Y132" s="17">
        <f t="shared" si="175"/>
        <v>-0.40692771460895294</v>
      </c>
      <c r="Z132" s="134">
        <f t="shared" si="176"/>
        <v>0.73031356189593455</v>
      </c>
      <c r="AA132" s="15">
        <f>SUM(L$2:L132)-SUM(AB$2:AB132)</f>
        <v>25726.878000000179</v>
      </c>
      <c r="AB132" s="104"/>
      <c r="AC132" s="145">
        <f t="shared" si="80"/>
        <v>-795.14714853273381</v>
      </c>
      <c r="AD132" s="145">
        <f t="shared" si="81"/>
        <v>-13445.147148532735</v>
      </c>
    </row>
    <row r="133" spans="1:30" x14ac:dyDescent="0.25">
      <c r="A133" s="99">
        <v>42838</v>
      </c>
      <c r="B133" s="103" t="s">
        <v>415</v>
      </c>
      <c r="C133" s="104" t="s">
        <v>69</v>
      </c>
      <c r="D133" s="104">
        <v>500</v>
      </c>
      <c r="E133" s="143">
        <v>8.98</v>
      </c>
      <c r="F133" s="16">
        <f t="shared" si="158"/>
        <v>12150</v>
      </c>
      <c r="G133" s="17">
        <f t="shared" si="159"/>
        <v>9.4359685596707834</v>
      </c>
      <c r="H133" s="15">
        <f t="shared" si="160"/>
        <v>114647.01800000003</v>
      </c>
      <c r="I133" s="15">
        <f t="shared" si="161"/>
        <v>-5540.0180000000255</v>
      </c>
      <c r="J133" s="33">
        <f t="shared" si="162"/>
        <v>-4.8322390731523536E-2</v>
      </c>
      <c r="K133" s="15">
        <f t="shared" si="163"/>
        <v>109107</v>
      </c>
      <c r="L133" s="15">
        <f t="shared" si="164"/>
        <v>1508.5099999999948</v>
      </c>
      <c r="M133" s="15">
        <f t="shared" si="165"/>
        <v>5</v>
      </c>
      <c r="N133" s="15">
        <f t="shared" si="166"/>
        <v>4.49</v>
      </c>
      <c r="O133" s="64"/>
      <c r="P133" s="17">
        <f t="shared" si="167"/>
        <v>-0.45596855967078298</v>
      </c>
      <c r="Q133" s="15">
        <f t="shared" si="168"/>
        <v>4480.5099999999948</v>
      </c>
      <c r="R133" s="35"/>
      <c r="S133" s="35">
        <f t="shared" si="169"/>
        <v>45868.466999999669</v>
      </c>
      <c r="T133" s="35">
        <f t="shared" si="170"/>
        <v>5107.8471046770228</v>
      </c>
      <c r="U133" s="35">
        <f t="shared" si="171"/>
        <v>17257.847104677021</v>
      </c>
      <c r="V133" s="15">
        <f t="shared" si="172"/>
        <v>160515.48499999969</v>
      </c>
      <c r="W133" s="17">
        <f t="shared" si="173"/>
        <v>9.3010144328198763</v>
      </c>
      <c r="X133" s="17">
        <f t="shared" si="174"/>
        <v>-0.13495412685090713</v>
      </c>
      <c r="Y133" s="17">
        <f t="shared" si="175"/>
        <v>-0.32101443281987585</v>
      </c>
      <c r="Z133" s="134">
        <f t="shared" si="176"/>
        <v>0.70402756069772154</v>
      </c>
      <c r="AA133" s="15">
        <f>SUM(L$2:L133)-SUM(AB$2:AB133)</f>
        <v>27235.388000000174</v>
      </c>
      <c r="AB133" s="104"/>
      <c r="AC133" s="145">
        <f t="shared" si="80"/>
        <v>-616.62004354120552</v>
      </c>
      <c r="AD133" s="145">
        <f t="shared" si="81"/>
        <v>-12766.620043541205</v>
      </c>
    </row>
    <row r="134" spans="1:30" x14ac:dyDescent="0.25">
      <c r="A134" s="99">
        <v>42842</v>
      </c>
      <c r="B134" s="103" t="s">
        <v>416</v>
      </c>
      <c r="C134" s="104" t="s">
        <v>63</v>
      </c>
      <c r="D134" s="104">
        <v>500</v>
      </c>
      <c r="E134" s="143">
        <v>8.81</v>
      </c>
      <c r="F134" s="16">
        <f t="shared" si="158"/>
        <v>12650</v>
      </c>
      <c r="G134" s="17">
        <f t="shared" si="159"/>
        <v>9.4116219762845876</v>
      </c>
      <c r="H134" s="15">
        <f t="shared" si="160"/>
        <v>119057.01800000003</v>
      </c>
      <c r="I134" s="15">
        <f t="shared" si="161"/>
        <v>-7610.5180000000255</v>
      </c>
      <c r="J134" s="33">
        <f t="shared" si="162"/>
        <v>-6.3923304378411566E-2</v>
      </c>
      <c r="K134" s="15">
        <f t="shared" si="163"/>
        <v>111446.5</v>
      </c>
      <c r="L134" s="15">
        <f t="shared" si="164"/>
        <v>-2070.5</v>
      </c>
      <c r="M134" s="15">
        <f t="shared" si="165"/>
        <v>5</v>
      </c>
      <c r="N134" s="15">
        <f t="shared" si="166"/>
        <v>0</v>
      </c>
      <c r="O134" s="64"/>
      <c r="P134" s="17">
        <f t="shared" si="167"/>
        <v>-0.60162197628458713</v>
      </c>
      <c r="Q134" s="15">
        <f t="shared" si="168"/>
        <v>-4410</v>
      </c>
      <c r="R134" s="35"/>
      <c r="S134" s="35">
        <f t="shared" si="169"/>
        <v>41458.466999999669</v>
      </c>
      <c r="T134" s="35">
        <f t="shared" si="170"/>
        <v>4705.8418842224364</v>
      </c>
      <c r="U134" s="35">
        <f t="shared" si="171"/>
        <v>17355.841884222435</v>
      </c>
      <c r="V134" s="15">
        <f t="shared" si="172"/>
        <v>160515.48499999969</v>
      </c>
      <c r="W134" s="17">
        <f t="shared" si="173"/>
        <v>9.2484989244986426</v>
      </c>
      <c r="X134" s="17">
        <f t="shared" si="174"/>
        <v>-0.16312305178594499</v>
      </c>
      <c r="Y134" s="17">
        <f t="shared" si="175"/>
        <v>-0.43849892449864214</v>
      </c>
      <c r="Z134" s="134">
        <f t="shared" si="176"/>
        <v>0.72886121482240829</v>
      </c>
      <c r="AA134" s="15">
        <f>SUM(L$2:L134)-SUM(AB$2:AB134)</f>
        <v>25164.888000000174</v>
      </c>
      <c r="AB134" s="104"/>
      <c r="AC134" s="145">
        <f t="shared" si="80"/>
        <v>-863.41801827469078</v>
      </c>
      <c r="AD134" s="145">
        <f t="shared" si="81"/>
        <v>-13513.418018274691</v>
      </c>
    </row>
    <row r="135" spans="1:30" x14ac:dyDescent="0.25">
      <c r="A135" s="99">
        <v>42843</v>
      </c>
      <c r="B135" s="103"/>
      <c r="C135" s="104" t="s">
        <v>69</v>
      </c>
      <c r="D135" s="104">
        <v>500</v>
      </c>
      <c r="E135" s="143">
        <v>8.99</v>
      </c>
      <c r="F135" s="16">
        <f t="shared" ref="F135:F142" si="177">IF(C135="买",F134+D135,F134-D135)</f>
        <v>12150</v>
      </c>
      <c r="G135" s="17">
        <f t="shared" ref="G135:G142" si="178">H135/F135</f>
        <v>9.4297541563786034</v>
      </c>
      <c r="H135" s="15">
        <f t="shared" ref="H135:H142" si="179">IF(C135="买",H134+D135*E135+M135+N135,H134+-1*D135*E135+M135+N135)+O134</f>
        <v>114571.51300000002</v>
      </c>
      <c r="I135" s="15">
        <f t="shared" ref="I135:I142" si="180">-H135+K135</f>
        <v>-5343.0130000000208</v>
      </c>
      <c r="J135" s="33">
        <f t="shared" ref="J135:J142" si="181">(E135-G135)/G135</f>
        <v>-4.6634742442478061E-2</v>
      </c>
      <c r="K135" s="15">
        <f t="shared" ref="K135:K142" si="182">F135*E135</f>
        <v>109228.5</v>
      </c>
      <c r="L135" s="15">
        <f t="shared" ref="L135:L142" si="183">I135-I134</f>
        <v>2267.5050000000047</v>
      </c>
      <c r="M135" s="15">
        <f t="shared" ref="M135:M142" si="184">IF(D135*E135*5/10000&gt;5,D135*E135*5/10000,5)</f>
        <v>5</v>
      </c>
      <c r="N135" s="15">
        <f t="shared" ref="N135:N142" si="185">IF(C135="卖",D135*E135/1000,0)</f>
        <v>4.4950000000000001</v>
      </c>
      <c r="O135" s="64"/>
      <c r="P135" s="17">
        <f t="shared" ref="P135:P142" si="186">E135-G135</f>
        <v>-0.43975415637860316</v>
      </c>
      <c r="Q135" s="15">
        <f t="shared" ref="Q135:Q142" si="187">(H135-H134)*-1</f>
        <v>4485.5050000000047</v>
      </c>
      <c r="R135" s="35"/>
      <c r="S135" s="35">
        <f t="shared" ref="S135:S142" si="188">S134+Q135+O135+R135</f>
        <v>45943.971999999674</v>
      </c>
      <c r="T135" s="35">
        <f t="shared" ref="T135:T142" si="189">S135/E135</f>
        <v>5110.5641824248805</v>
      </c>
      <c r="U135" s="35">
        <f t="shared" ref="U135:U142" si="190">F135+T135</f>
        <v>17260.564182424881</v>
      </c>
      <c r="V135" s="15">
        <f t="shared" ref="V135:V142" si="191">H135+S135</f>
        <v>160515.48499999969</v>
      </c>
      <c r="W135" s="17">
        <f t="shared" ref="W135:W142" si="192">V135/U135</f>
        <v>9.2995503103797965</v>
      </c>
      <c r="X135" s="17">
        <f t="shared" ref="X135:X142" si="193">W135-G135</f>
        <v>-0.13020384599880686</v>
      </c>
      <c r="Y135" s="17">
        <f t="shared" ref="Y135:Y142" si="194">(X135-P135)*-1</f>
        <v>-0.3095503103797963</v>
      </c>
      <c r="Z135" s="134">
        <f t="shared" ref="Z135:Z142" si="195">F135/U135</f>
        <v>0.70391673595301252</v>
      </c>
      <c r="AA135" s="15">
        <f>SUM(L$2:L135)-SUM(AB$2:AB135)</f>
        <v>27432.393000000178</v>
      </c>
      <c r="AB135" s="104"/>
      <c r="AC135" s="145">
        <f t="shared" si="80"/>
        <v>-594.0313118464984</v>
      </c>
      <c r="AD135" s="145">
        <f t="shared" si="81"/>
        <v>-12744.031311846498</v>
      </c>
    </row>
    <row r="136" spans="1:30" x14ac:dyDescent="0.25">
      <c r="A136" s="99">
        <v>42844</v>
      </c>
      <c r="B136" s="103" t="s">
        <v>417</v>
      </c>
      <c r="C136" s="104" t="s">
        <v>63</v>
      </c>
      <c r="D136" s="104">
        <v>500</v>
      </c>
      <c r="E136" s="143">
        <v>8.82</v>
      </c>
      <c r="F136" s="16">
        <f t="shared" si="177"/>
        <v>12650</v>
      </c>
      <c r="G136" s="17">
        <f t="shared" si="178"/>
        <v>9.4060484584980255</v>
      </c>
      <c r="H136" s="15">
        <f t="shared" si="179"/>
        <v>118986.51300000002</v>
      </c>
      <c r="I136" s="15">
        <f t="shared" si="180"/>
        <v>-7413.5130000000208</v>
      </c>
      <c r="J136" s="33">
        <f t="shared" si="181"/>
        <v>-6.2305490034824516E-2</v>
      </c>
      <c r="K136" s="15">
        <f t="shared" si="182"/>
        <v>111573</v>
      </c>
      <c r="L136" s="15">
        <f t="shared" si="183"/>
        <v>-2070.5</v>
      </c>
      <c r="M136" s="15">
        <f t="shared" si="184"/>
        <v>5</v>
      </c>
      <c r="N136" s="15">
        <f t="shared" si="185"/>
        <v>0</v>
      </c>
      <c r="O136" s="64"/>
      <c r="P136" s="17">
        <f t="shared" si="186"/>
        <v>-0.58604845849802523</v>
      </c>
      <c r="Q136" s="15">
        <f t="shared" si="187"/>
        <v>-4415</v>
      </c>
      <c r="R136" s="35"/>
      <c r="S136" s="35">
        <f t="shared" si="188"/>
        <v>41528.971999999674</v>
      </c>
      <c r="T136" s="35">
        <f t="shared" si="189"/>
        <v>4708.5002267573327</v>
      </c>
      <c r="U136" s="35">
        <f t="shared" si="190"/>
        <v>17358.500226757333</v>
      </c>
      <c r="V136" s="15">
        <f t="shared" si="191"/>
        <v>160515.48499999969</v>
      </c>
      <c r="W136" s="17">
        <f t="shared" si="192"/>
        <v>9.2470825764412776</v>
      </c>
      <c r="X136" s="17">
        <f t="shared" si="193"/>
        <v>-0.15896588205674789</v>
      </c>
      <c r="Y136" s="17">
        <f t="shared" si="194"/>
        <v>-0.42708257644127734</v>
      </c>
      <c r="Z136" s="134">
        <f t="shared" si="195"/>
        <v>0.72874959442064036</v>
      </c>
      <c r="AA136" s="15">
        <f>SUM(L$2:L136)-SUM(AB$2:AB136)</f>
        <v>25361.893000000178</v>
      </c>
      <c r="AB136" s="104"/>
      <c r="AC136" s="145">
        <f t="shared" si="80"/>
        <v>-840.11408656462834</v>
      </c>
      <c r="AD136" s="145">
        <f t="shared" si="81"/>
        <v>-13490.114086564628</v>
      </c>
    </row>
    <row r="137" spans="1:30" x14ac:dyDescent="0.25">
      <c r="A137" s="99">
        <v>42844</v>
      </c>
      <c r="B137" s="103" t="s">
        <v>418</v>
      </c>
      <c r="C137" s="104" t="s">
        <v>63</v>
      </c>
      <c r="D137" s="104">
        <v>500</v>
      </c>
      <c r="E137" s="143">
        <v>8.66</v>
      </c>
      <c r="F137" s="16">
        <f t="shared" si="177"/>
        <v>13150</v>
      </c>
      <c r="G137" s="17">
        <f t="shared" si="178"/>
        <v>9.3780618250950578</v>
      </c>
      <c r="H137" s="15">
        <f t="shared" si="179"/>
        <v>123321.51300000002</v>
      </c>
      <c r="I137" s="15">
        <f t="shared" si="180"/>
        <v>-9442.5130000000208</v>
      </c>
      <c r="J137" s="33">
        <f t="shared" si="181"/>
        <v>-7.6568254559121474E-2</v>
      </c>
      <c r="K137" s="15">
        <f t="shared" si="182"/>
        <v>113879</v>
      </c>
      <c r="L137" s="15">
        <f t="shared" si="183"/>
        <v>-2029</v>
      </c>
      <c r="M137" s="15">
        <f t="shared" si="184"/>
        <v>5</v>
      </c>
      <c r="N137" s="15">
        <f t="shared" si="185"/>
        <v>0</v>
      </c>
      <c r="O137" s="64"/>
      <c r="P137" s="17">
        <f t="shared" si="186"/>
        <v>-0.71806182509505767</v>
      </c>
      <c r="Q137" s="15">
        <f t="shared" si="187"/>
        <v>-4335</v>
      </c>
      <c r="R137" s="35"/>
      <c r="S137" s="35">
        <f t="shared" si="188"/>
        <v>37193.971999999674</v>
      </c>
      <c r="T137" s="35">
        <f t="shared" si="189"/>
        <v>4294.915935334835</v>
      </c>
      <c r="U137" s="35">
        <f t="shared" si="190"/>
        <v>17444.915935334837</v>
      </c>
      <c r="V137" s="15">
        <f t="shared" si="191"/>
        <v>160515.48499999969</v>
      </c>
      <c r="W137" s="17">
        <f t="shared" si="192"/>
        <v>9.2012759244585478</v>
      </c>
      <c r="X137" s="17">
        <f t="shared" si="193"/>
        <v>-0.17678590063651001</v>
      </c>
      <c r="Y137" s="17">
        <f t="shared" si="194"/>
        <v>-0.54127592445854766</v>
      </c>
      <c r="Z137" s="134">
        <f t="shared" si="195"/>
        <v>0.75380128220420684</v>
      </c>
      <c r="AA137" s="15">
        <f>SUM(L$2:L137)-SUM(AB$2:AB137)</f>
        <v>23332.893000000178</v>
      </c>
      <c r="AB137" s="104"/>
      <c r="AC137" s="145">
        <f t="shared" si="80"/>
        <v>-1089.8142890877623</v>
      </c>
      <c r="AD137" s="145">
        <f t="shared" si="81"/>
        <v>-14239.814289087763</v>
      </c>
    </row>
    <row r="138" spans="1:30" x14ac:dyDescent="0.25">
      <c r="A138" s="99">
        <v>42844</v>
      </c>
      <c r="B138" s="103"/>
      <c r="C138" s="104" t="s">
        <v>69</v>
      </c>
      <c r="D138" s="104">
        <v>500</v>
      </c>
      <c r="E138" s="143">
        <v>8.7799999999999994</v>
      </c>
      <c r="F138" s="16">
        <f t="shared" si="177"/>
        <v>12650</v>
      </c>
      <c r="G138" s="17">
        <f t="shared" si="178"/>
        <v>9.4024429249011874</v>
      </c>
      <c r="H138" s="15">
        <f t="shared" si="179"/>
        <v>118940.90300000002</v>
      </c>
      <c r="I138" s="15">
        <f t="shared" si="180"/>
        <v>-7873.9030000000348</v>
      </c>
      <c r="J138" s="33">
        <f t="shared" si="181"/>
        <v>-6.620012797447844E-2</v>
      </c>
      <c r="K138" s="15">
        <f t="shared" si="182"/>
        <v>111066.99999999999</v>
      </c>
      <c r="L138" s="15">
        <f t="shared" si="183"/>
        <v>1568.609999999986</v>
      </c>
      <c r="M138" s="15">
        <f t="shared" si="184"/>
        <v>5</v>
      </c>
      <c r="N138" s="15">
        <f t="shared" si="185"/>
        <v>4.3899999999999997</v>
      </c>
      <c r="O138" s="64"/>
      <c r="P138" s="17">
        <f t="shared" si="186"/>
        <v>-0.62244292490118802</v>
      </c>
      <c r="Q138" s="15">
        <f t="shared" si="187"/>
        <v>4380.6100000000006</v>
      </c>
      <c r="R138" s="35"/>
      <c r="S138" s="35">
        <f t="shared" si="188"/>
        <v>41574.581999999675</v>
      </c>
      <c r="T138" s="35">
        <f t="shared" si="189"/>
        <v>4735.1460136673895</v>
      </c>
      <c r="U138" s="35">
        <f t="shared" si="190"/>
        <v>17385.146013667389</v>
      </c>
      <c r="V138" s="15">
        <f t="shared" si="191"/>
        <v>160515.48499999969</v>
      </c>
      <c r="W138" s="17">
        <f t="shared" si="192"/>
        <v>9.2329097997687182</v>
      </c>
      <c r="X138" s="17">
        <f t="shared" si="193"/>
        <v>-0.16953312513246921</v>
      </c>
      <c r="Y138" s="17">
        <f t="shared" si="194"/>
        <v>-0.45290979976871881</v>
      </c>
      <c r="Z138" s="134">
        <f t="shared" si="195"/>
        <v>0.72763265779045871</v>
      </c>
      <c r="AA138" s="15">
        <f>SUM(L$2:L138)-SUM(AB$2:AB138)</f>
        <v>24901.503000000164</v>
      </c>
      <c r="AB138" s="104"/>
      <c r="AC138" s="145">
        <f t="shared" si="80"/>
        <v>-896.35148616173535</v>
      </c>
      <c r="AD138" s="145">
        <f t="shared" si="81"/>
        <v>-13546.351486161735</v>
      </c>
    </row>
    <row r="139" spans="1:30" x14ac:dyDescent="0.25">
      <c r="A139" s="99">
        <v>42845</v>
      </c>
      <c r="B139" s="103" t="s">
        <v>419</v>
      </c>
      <c r="C139" s="104" t="s">
        <v>63</v>
      </c>
      <c r="D139" s="104">
        <v>500</v>
      </c>
      <c r="E139" s="143">
        <v>8.5299999999999994</v>
      </c>
      <c r="F139" s="16">
        <f t="shared" si="177"/>
        <v>13150</v>
      </c>
      <c r="G139" s="17">
        <f t="shared" si="178"/>
        <v>9.3696504182509521</v>
      </c>
      <c r="H139" s="15">
        <f t="shared" si="179"/>
        <v>123210.90300000002</v>
      </c>
      <c r="I139" s="15">
        <f t="shared" si="180"/>
        <v>-11041.403000000035</v>
      </c>
      <c r="J139" s="33">
        <f t="shared" si="181"/>
        <v>-8.9613846917427645E-2</v>
      </c>
      <c r="K139" s="15">
        <f t="shared" si="182"/>
        <v>112169.49999999999</v>
      </c>
      <c r="L139" s="15">
        <f t="shared" si="183"/>
        <v>-3167.5</v>
      </c>
      <c r="M139" s="15">
        <f t="shared" si="184"/>
        <v>5</v>
      </c>
      <c r="N139" s="15">
        <f t="shared" si="185"/>
        <v>0</v>
      </c>
      <c r="O139" s="64"/>
      <c r="P139" s="17">
        <f t="shared" si="186"/>
        <v>-0.83965041825095277</v>
      </c>
      <c r="Q139" s="15">
        <f t="shared" si="187"/>
        <v>-4270</v>
      </c>
      <c r="R139" s="35"/>
      <c r="S139" s="35">
        <f t="shared" si="188"/>
        <v>37304.581999999675</v>
      </c>
      <c r="T139" s="35">
        <f t="shared" si="189"/>
        <v>4373.3390386869496</v>
      </c>
      <c r="U139" s="35">
        <f t="shared" si="190"/>
        <v>17523.339038686951</v>
      </c>
      <c r="V139" s="15">
        <f t="shared" si="191"/>
        <v>160515.48499999969</v>
      </c>
      <c r="W139" s="17">
        <f t="shared" si="192"/>
        <v>9.1600969795552931</v>
      </c>
      <c r="X139" s="17">
        <f t="shared" si="193"/>
        <v>-0.20955343869565901</v>
      </c>
      <c r="Y139" s="17">
        <f t="shared" si="194"/>
        <v>-0.63009697955529376</v>
      </c>
      <c r="Z139" s="134">
        <f t="shared" si="195"/>
        <v>0.75042775643204973</v>
      </c>
      <c r="AA139" s="15">
        <f>SUM(L$2:L139)-SUM(AB$2:AB139)</f>
        <v>21734.003000000164</v>
      </c>
      <c r="AB139" s="104"/>
      <c r="AC139" s="145">
        <f t="shared" si="80"/>
        <v>-1293.7728368698752</v>
      </c>
      <c r="AD139" s="145">
        <f t="shared" si="81"/>
        <v>-14443.772836869875</v>
      </c>
    </row>
    <row r="140" spans="1:30" x14ac:dyDescent="0.25">
      <c r="A140" s="99">
        <v>42846</v>
      </c>
      <c r="B140" s="103" t="s">
        <v>420</v>
      </c>
      <c r="C140" s="104" t="s">
        <v>63</v>
      </c>
      <c r="D140" s="104">
        <v>500</v>
      </c>
      <c r="E140" s="143">
        <v>8.48</v>
      </c>
      <c r="F140" s="16">
        <f t="shared" si="177"/>
        <v>13650</v>
      </c>
      <c r="G140" s="17">
        <f t="shared" si="178"/>
        <v>9.3374287912087919</v>
      </c>
      <c r="H140" s="15">
        <f t="shared" si="179"/>
        <v>127455.90300000002</v>
      </c>
      <c r="I140" s="15">
        <f t="shared" si="180"/>
        <v>-11703.90300000002</v>
      </c>
      <c r="J140" s="33">
        <f t="shared" si="181"/>
        <v>-9.1827076851826964E-2</v>
      </c>
      <c r="K140" s="15">
        <f t="shared" si="182"/>
        <v>115752</v>
      </c>
      <c r="L140" s="15">
        <f t="shared" si="183"/>
        <v>-662.49999999998545</v>
      </c>
      <c r="M140" s="15">
        <f t="shared" si="184"/>
        <v>5</v>
      </c>
      <c r="N140" s="15">
        <f t="shared" si="185"/>
        <v>0</v>
      </c>
      <c r="O140" s="64"/>
      <c r="P140" s="17">
        <f t="shared" si="186"/>
        <v>-0.85742879120879145</v>
      </c>
      <c r="Q140" s="15">
        <f t="shared" si="187"/>
        <v>-4245</v>
      </c>
      <c r="R140" s="35"/>
      <c r="S140" s="35">
        <f t="shared" si="188"/>
        <v>33059.581999999675</v>
      </c>
      <c r="T140" s="35">
        <f t="shared" si="189"/>
        <v>3898.5356132075085</v>
      </c>
      <c r="U140" s="35">
        <f t="shared" si="190"/>
        <v>17548.53561320751</v>
      </c>
      <c r="V140" s="15">
        <f t="shared" si="191"/>
        <v>160515.48499999969</v>
      </c>
      <c r="W140" s="17">
        <f t="shared" si="192"/>
        <v>9.1469447102578361</v>
      </c>
      <c r="X140" s="17">
        <f t="shared" si="193"/>
        <v>-0.19048408095095581</v>
      </c>
      <c r="Y140" s="17">
        <f t="shared" si="194"/>
        <v>-0.66694471025783564</v>
      </c>
      <c r="Z140" s="134">
        <f t="shared" si="195"/>
        <v>0.77784268162675829</v>
      </c>
      <c r="AA140" s="15">
        <f>SUM(L$2:L140)-SUM(AB$2:AB140)</f>
        <v>21071.503000000179</v>
      </c>
      <c r="AB140" s="104"/>
      <c r="AC140" s="145">
        <f t="shared" si="80"/>
        <v>-1379.4871519457572</v>
      </c>
      <c r="AD140" s="145">
        <f t="shared" si="81"/>
        <v>-15029.487151945757</v>
      </c>
    </row>
    <row r="141" spans="1:30" x14ac:dyDescent="0.25">
      <c r="A141" s="99">
        <v>42849</v>
      </c>
      <c r="B141" s="103" t="s">
        <v>421</v>
      </c>
      <c r="C141" s="104" t="s">
        <v>63</v>
      </c>
      <c r="D141" s="104">
        <v>500</v>
      </c>
      <c r="E141" s="143">
        <v>8.26</v>
      </c>
      <c r="F141" s="16">
        <f t="shared" si="177"/>
        <v>14150</v>
      </c>
      <c r="G141" s="17">
        <f t="shared" si="178"/>
        <v>9.2997104593639595</v>
      </c>
      <c r="H141" s="15">
        <f t="shared" si="179"/>
        <v>131590.90300000002</v>
      </c>
      <c r="I141" s="15">
        <f t="shared" si="180"/>
        <v>-14711.90300000002</v>
      </c>
      <c r="J141" s="33">
        <f t="shared" si="181"/>
        <v>-0.11180030431130962</v>
      </c>
      <c r="K141" s="15">
        <f t="shared" si="182"/>
        <v>116879</v>
      </c>
      <c r="L141" s="15">
        <f t="shared" si="183"/>
        <v>-3008</v>
      </c>
      <c r="M141" s="15">
        <f t="shared" si="184"/>
        <v>5</v>
      </c>
      <c r="N141" s="15">
        <f t="shared" si="185"/>
        <v>0</v>
      </c>
      <c r="O141" s="64"/>
      <c r="P141" s="17">
        <f t="shared" si="186"/>
        <v>-1.0397104593639597</v>
      </c>
      <c r="Q141" s="15">
        <f t="shared" si="187"/>
        <v>-4135</v>
      </c>
      <c r="R141" s="35"/>
      <c r="S141" s="35">
        <f t="shared" si="188"/>
        <v>28924.581999999675</v>
      </c>
      <c r="T141" s="35">
        <f t="shared" si="189"/>
        <v>3501.7653753026243</v>
      </c>
      <c r="U141" s="35">
        <f t="shared" si="190"/>
        <v>17651.765375302624</v>
      </c>
      <c r="V141" s="15">
        <f t="shared" si="191"/>
        <v>160515.48499999969</v>
      </c>
      <c r="W141" s="17">
        <f t="shared" si="192"/>
        <v>9.0934522177925672</v>
      </c>
      <c r="X141" s="17">
        <f t="shared" si="193"/>
        <v>-0.20625824157139228</v>
      </c>
      <c r="Y141" s="17">
        <f t="shared" si="194"/>
        <v>-0.8334522177925674</v>
      </c>
      <c r="Z141" s="134">
        <f t="shared" si="195"/>
        <v>0.80161953771478855</v>
      </c>
      <c r="AA141" s="15">
        <f>SUM(L$2:L141)-SUM(AB$2:AB141)</f>
        <v>18063.503000000179</v>
      </c>
      <c r="AB141" s="104"/>
      <c r="AC141" s="145">
        <f t="shared" si="80"/>
        <v>-1780.211507082327</v>
      </c>
      <c r="AD141" s="145">
        <f t="shared" si="81"/>
        <v>-15930.211507082327</v>
      </c>
    </row>
    <row r="142" spans="1:30" x14ac:dyDescent="0.25">
      <c r="A142" s="99">
        <v>42849</v>
      </c>
      <c r="B142" s="103" t="s">
        <v>238</v>
      </c>
      <c r="C142" s="104" t="s">
        <v>63</v>
      </c>
      <c r="D142" s="104">
        <v>500</v>
      </c>
      <c r="E142" s="143">
        <v>8.15</v>
      </c>
      <c r="F142" s="16">
        <f t="shared" si="177"/>
        <v>14650</v>
      </c>
      <c r="G142" s="17">
        <f t="shared" si="178"/>
        <v>9.2608124914675773</v>
      </c>
      <c r="H142" s="15">
        <f t="shared" si="179"/>
        <v>135670.90300000002</v>
      </c>
      <c r="I142" s="15">
        <f t="shared" si="180"/>
        <v>-16273.40300000002</v>
      </c>
      <c r="J142" s="33">
        <f t="shared" si="181"/>
        <v>-0.11994762797443755</v>
      </c>
      <c r="K142" s="15">
        <f t="shared" si="182"/>
        <v>119397.5</v>
      </c>
      <c r="L142" s="15">
        <f t="shared" si="183"/>
        <v>-1561.5</v>
      </c>
      <c r="M142" s="15">
        <f t="shared" si="184"/>
        <v>5</v>
      </c>
      <c r="N142" s="15">
        <f t="shared" si="185"/>
        <v>0</v>
      </c>
      <c r="O142" s="64"/>
      <c r="P142" s="17">
        <f t="shared" si="186"/>
        <v>-1.110812491467577</v>
      </c>
      <c r="Q142" s="15">
        <f t="shared" si="187"/>
        <v>-4080</v>
      </c>
      <c r="R142" s="35"/>
      <c r="S142" s="35">
        <f t="shared" si="188"/>
        <v>24844.581999999675</v>
      </c>
      <c r="T142" s="35">
        <f t="shared" si="189"/>
        <v>3048.4149693251134</v>
      </c>
      <c r="U142" s="35">
        <f t="shared" si="190"/>
        <v>17698.414969325113</v>
      </c>
      <c r="V142" s="15">
        <f t="shared" si="191"/>
        <v>160515.48499999969</v>
      </c>
      <c r="W142" s="17">
        <f t="shared" si="192"/>
        <v>9.0694836389702171</v>
      </c>
      <c r="X142" s="17">
        <f t="shared" si="193"/>
        <v>-0.1913288524973602</v>
      </c>
      <c r="Y142" s="17">
        <f t="shared" si="194"/>
        <v>-0.91948363897021679</v>
      </c>
      <c r="Z142" s="134">
        <f t="shared" si="195"/>
        <v>0.82775774132267632</v>
      </c>
      <c r="AA142" s="15">
        <f>SUM(L$2:L142)-SUM(AB$2:AB142)</f>
        <v>16502.003000000179</v>
      </c>
      <c r="AB142" s="104"/>
      <c r="AC142" s="145">
        <f t="shared" si="80"/>
        <v>-1995.7381961349718</v>
      </c>
      <c r="AD142" s="145">
        <f t="shared" si="81"/>
        <v>-16645.738196134971</v>
      </c>
    </row>
    <row r="143" spans="1:30" x14ac:dyDescent="0.25">
      <c r="A143" s="99">
        <v>42852</v>
      </c>
      <c r="B143" s="103"/>
      <c r="C143" s="104" t="s">
        <v>69</v>
      </c>
      <c r="D143" s="104">
        <v>500</v>
      </c>
      <c r="E143" s="143">
        <v>8.32</v>
      </c>
      <c r="F143" s="16">
        <f t="shared" ref="F143:F153" si="196">IF(C143="买",F142+D143,F142-D143)</f>
        <v>14150</v>
      </c>
      <c r="G143" s="17">
        <f t="shared" ref="G143:G153" si="197">H143/F143</f>
        <v>9.2947040989399312</v>
      </c>
      <c r="H143" s="15">
        <f t="shared" ref="H143:H153" si="198">IF(C143="买",H142+D143*E143+M143+N143,H142+-1*D143*E143+M143+N143)+O142</f>
        <v>131520.06300000002</v>
      </c>
      <c r="I143" s="15">
        <f t="shared" ref="I143:I153" si="199">-H143+K143</f>
        <v>-13792.063000000024</v>
      </c>
      <c r="J143" s="33">
        <f t="shared" ref="J143:J153" si="200">(E143-G143)/G143</f>
        <v>-0.10486660883062396</v>
      </c>
      <c r="K143" s="15">
        <f t="shared" ref="K143:K153" si="201">F143*E143</f>
        <v>117728</v>
      </c>
      <c r="L143" s="15">
        <f t="shared" ref="L143:L153" si="202">I143-I142</f>
        <v>2481.3399999999965</v>
      </c>
      <c r="M143" s="15">
        <f t="shared" ref="M143:M153" si="203">IF(D143*E143*5/10000&gt;5,D143*E143*5/10000,5)</f>
        <v>5</v>
      </c>
      <c r="N143" s="15">
        <f t="shared" ref="N143:N153" si="204">IF(C143="卖",D143*E143/1000,0)</f>
        <v>4.16</v>
      </c>
      <c r="O143" s="64"/>
      <c r="P143" s="17">
        <f t="shared" ref="P143:P153" si="205">E143-G143</f>
        <v>-0.97470409893993093</v>
      </c>
      <c r="Q143" s="15">
        <f t="shared" ref="Q143:Q153" si="206">(H143-H142)*-1</f>
        <v>4150.8399999999965</v>
      </c>
      <c r="R143" s="35"/>
      <c r="S143" s="35">
        <f t="shared" ref="S143:S153" si="207">S142+Q143+O143+R143</f>
        <v>28995.421999999671</v>
      </c>
      <c r="T143" s="35">
        <f t="shared" ref="T143:T153" si="208">S143/E143</f>
        <v>3485.026682692268</v>
      </c>
      <c r="U143" s="35">
        <f t="shared" ref="U143:U153" si="209">F143+T143</f>
        <v>17635.026682692267</v>
      </c>
      <c r="V143" s="15">
        <f t="shared" ref="V143:V153" si="210">H143+S143</f>
        <v>160515.48499999969</v>
      </c>
      <c r="W143" s="17">
        <f t="shared" ref="W143:W153" si="211">V143/U143</f>
        <v>9.1020834778512771</v>
      </c>
      <c r="X143" s="17">
        <f t="shared" ref="X143:X153" si="212">W143-G143</f>
        <v>-0.19262062108865408</v>
      </c>
      <c r="Y143" s="17">
        <f t="shared" ref="Y143:Y153" si="213">(X143-P143)*-1</f>
        <v>-0.78208347785127685</v>
      </c>
      <c r="Z143" s="134">
        <f t="shared" ref="Z143:Z153" si="214">F143/U143</f>
        <v>0.80238041340121058</v>
      </c>
      <c r="AA143" s="15">
        <f>SUM(L$2:L143)-SUM(AB$2:AB143)</f>
        <v>18983.343000000175</v>
      </c>
      <c r="AB143" s="104"/>
      <c r="AC143" s="145">
        <f t="shared" si="80"/>
        <v>-1656.8710298677915</v>
      </c>
      <c r="AD143" s="145">
        <f t="shared" si="81"/>
        <v>-15806.871029867791</v>
      </c>
    </row>
    <row r="144" spans="1:30" x14ac:dyDescent="0.25">
      <c r="A144" s="99">
        <v>42857</v>
      </c>
      <c r="B144" s="103"/>
      <c r="C144" s="104" t="s">
        <v>69</v>
      </c>
      <c r="D144" s="104">
        <v>500</v>
      </c>
      <c r="E144" s="143">
        <f>E143+0.18</f>
        <v>8.5</v>
      </c>
      <c r="F144" s="16">
        <f t="shared" si="196"/>
        <v>13650</v>
      </c>
      <c r="G144" s="17">
        <f t="shared" si="197"/>
        <v>9.3244917948717969</v>
      </c>
      <c r="H144" s="15">
        <f t="shared" si="198"/>
        <v>127279.31300000002</v>
      </c>
      <c r="I144" s="15">
        <f t="shared" si="199"/>
        <v>-11254.313000000024</v>
      </c>
      <c r="J144" s="33">
        <f t="shared" si="200"/>
        <v>-8.842216959483451E-2</v>
      </c>
      <c r="K144" s="15">
        <f t="shared" si="201"/>
        <v>116025</v>
      </c>
      <c r="L144" s="15">
        <f t="shared" si="202"/>
        <v>2537.75</v>
      </c>
      <c r="M144" s="15">
        <f t="shared" si="203"/>
        <v>5</v>
      </c>
      <c r="N144" s="15">
        <f t="shared" si="204"/>
        <v>4.25</v>
      </c>
      <c r="O144" s="64"/>
      <c r="P144" s="17">
        <f t="shared" si="205"/>
        <v>-0.82449179487179691</v>
      </c>
      <c r="Q144" s="15">
        <f t="shared" si="206"/>
        <v>4240.75</v>
      </c>
      <c r="R144" s="35"/>
      <c r="S144" s="35">
        <f t="shared" si="207"/>
        <v>33236.171999999671</v>
      </c>
      <c r="T144" s="35">
        <f t="shared" si="208"/>
        <v>3910.1378823529026</v>
      </c>
      <c r="U144" s="35">
        <f t="shared" si="209"/>
        <v>17560.137882352901</v>
      </c>
      <c r="V144" s="15">
        <f t="shared" si="210"/>
        <v>160515.48499999969</v>
      </c>
      <c r="W144" s="17">
        <f t="shared" si="211"/>
        <v>9.1409011748882723</v>
      </c>
      <c r="X144" s="17">
        <f t="shared" si="212"/>
        <v>-0.18359061998352466</v>
      </c>
      <c r="Y144" s="17">
        <f t="shared" si="213"/>
        <v>-0.64090117488827225</v>
      </c>
      <c r="Z144" s="134">
        <f t="shared" si="214"/>
        <v>0.77732874829631016</v>
      </c>
      <c r="AA144" s="15">
        <f>SUM(L$2:L144)-SUM(AB$2:AB144)</f>
        <v>21521.093000000175</v>
      </c>
      <c r="AB144" s="104"/>
      <c r="AC144" s="145">
        <f t="shared" si="80"/>
        <v>-1323.3748051176499</v>
      </c>
      <c r="AD144" s="145">
        <f t="shared" si="81"/>
        <v>-14973.37480511765</v>
      </c>
    </row>
    <row r="145" spans="1:30" x14ac:dyDescent="0.25">
      <c r="A145" s="99">
        <v>42860</v>
      </c>
      <c r="B145" s="103" t="s">
        <v>234</v>
      </c>
      <c r="C145" s="104" t="s">
        <v>63</v>
      </c>
      <c r="D145" s="104">
        <v>500</v>
      </c>
      <c r="E145" s="143">
        <v>8.2799999999999994</v>
      </c>
      <c r="F145" s="16">
        <f t="shared" si="196"/>
        <v>14150</v>
      </c>
      <c r="G145" s="17">
        <f t="shared" si="197"/>
        <v>9.2879373144876336</v>
      </c>
      <c r="H145" s="15">
        <f t="shared" si="198"/>
        <v>131424.31300000002</v>
      </c>
      <c r="I145" s="15">
        <f t="shared" si="199"/>
        <v>-14262.313000000038</v>
      </c>
      <c r="J145" s="33">
        <f t="shared" si="200"/>
        <v>-0.10852111511513111</v>
      </c>
      <c r="K145" s="15">
        <f t="shared" si="201"/>
        <v>117161.99999999999</v>
      </c>
      <c r="L145" s="15">
        <f t="shared" si="202"/>
        <v>-3008.0000000000146</v>
      </c>
      <c r="M145" s="15">
        <f t="shared" si="203"/>
        <v>5</v>
      </c>
      <c r="N145" s="15">
        <f t="shared" si="204"/>
        <v>0</v>
      </c>
      <c r="O145" s="64"/>
      <c r="P145" s="17">
        <f t="shared" si="205"/>
        <v>-1.0079373144876342</v>
      </c>
      <c r="Q145" s="15">
        <f t="shared" si="206"/>
        <v>-4145</v>
      </c>
      <c r="R145" s="35"/>
      <c r="S145" s="35">
        <f t="shared" si="207"/>
        <v>29091.171999999671</v>
      </c>
      <c r="T145" s="35">
        <f t="shared" si="208"/>
        <v>3513.4265700482697</v>
      </c>
      <c r="U145" s="35">
        <f t="shared" si="209"/>
        <v>17663.426570048268</v>
      </c>
      <c r="V145" s="15">
        <f t="shared" si="210"/>
        <v>160515.48499999969</v>
      </c>
      <c r="W145" s="17">
        <f t="shared" si="211"/>
        <v>9.0874488233321902</v>
      </c>
      <c r="X145" s="17">
        <f t="shared" si="212"/>
        <v>-0.20048849115544343</v>
      </c>
      <c r="Y145" s="17">
        <f t="shared" si="213"/>
        <v>-0.80744882333219081</v>
      </c>
      <c r="Z145" s="134">
        <f t="shared" si="214"/>
        <v>0.80109031754880689</v>
      </c>
      <c r="AA145" s="15">
        <f>SUM(L$2:L145)-SUM(AB$2:AB145)</f>
        <v>18513.093000000161</v>
      </c>
      <c r="AB145" s="104"/>
      <c r="AC145" s="145">
        <f t="shared" si="80"/>
        <v>-1721.6403192632897</v>
      </c>
      <c r="AD145" s="145">
        <f t="shared" si="81"/>
        <v>-15871.64031926329</v>
      </c>
    </row>
    <row r="146" spans="1:30" x14ac:dyDescent="0.25">
      <c r="A146" s="99">
        <v>42865</v>
      </c>
      <c r="B146" s="103" t="s">
        <v>246</v>
      </c>
      <c r="C146" s="104" t="s">
        <v>63</v>
      </c>
      <c r="D146" s="104">
        <v>500</v>
      </c>
      <c r="E146" s="143">
        <v>8.06</v>
      </c>
      <c r="F146" s="16">
        <f t="shared" si="196"/>
        <v>14650</v>
      </c>
      <c r="G146" s="17">
        <f t="shared" si="197"/>
        <v>9.2463694880546097</v>
      </c>
      <c r="H146" s="15">
        <f t="shared" si="198"/>
        <v>135459.31300000002</v>
      </c>
      <c r="I146" s="15">
        <f t="shared" si="199"/>
        <v>-17380.313000000009</v>
      </c>
      <c r="J146" s="33">
        <f t="shared" si="200"/>
        <v>-0.12830651961153841</v>
      </c>
      <c r="K146" s="15">
        <f t="shared" si="201"/>
        <v>118079.00000000001</v>
      </c>
      <c r="L146" s="15">
        <f t="shared" si="202"/>
        <v>-3117.9999999999709</v>
      </c>
      <c r="M146" s="15">
        <f t="shared" si="203"/>
        <v>5</v>
      </c>
      <c r="N146" s="15">
        <f t="shared" si="204"/>
        <v>0</v>
      </c>
      <c r="O146" s="64"/>
      <c r="P146" s="17">
        <f t="shared" si="205"/>
        <v>-1.1863694880546092</v>
      </c>
      <c r="Q146" s="15">
        <f t="shared" si="206"/>
        <v>-4035</v>
      </c>
      <c r="R146" s="35"/>
      <c r="S146" s="35">
        <f t="shared" si="207"/>
        <v>25056.171999999671</v>
      </c>
      <c r="T146" s="35">
        <f t="shared" si="208"/>
        <v>3108.7062034739042</v>
      </c>
      <c r="U146" s="35">
        <f t="shared" si="209"/>
        <v>17758.706203473903</v>
      </c>
      <c r="V146" s="15">
        <f t="shared" si="210"/>
        <v>160515.48499999969</v>
      </c>
      <c r="W146" s="17">
        <f t="shared" si="211"/>
        <v>9.0386925241547242</v>
      </c>
      <c r="X146" s="17">
        <f t="shared" si="212"/>
        <v>-0.20767696389988544</v>
      </c>
      <c r="Y146" s="17">
        <f t="shared" si="213"/>
        <v>-0.97869252415472374</v>
      </c>
      <c r="Z146" s="134">
        <f t="shared" si="214"/>
        <v>0.82494748390703221</v>
      </c>
      <c r="AA146" s="15">
        <f>SUM(L$2:L146)-SUM(AB$2:AB146)</f>
        <v>15395.09300000019</v>
      </c>
      <c r="AB146" s="104"/>
      <c r="AC146" s="145">
        <f t="shared" si="80"/>
        <v>-2155.2881939826311</v>
      </c>
      <c r="AD146" s="145">
        <f t="shared" si="81"/>
        <v>-16805.288193982633</v>
      </c>
    </row>
    <row r="147" spans="1:30" x14ac:dyDescent="0.25">
      <c r="A147" s="99">
        <v>42866</v>
      </c>
      <c r="B147" s="103"/>
      <c r="C147" s="104" t="s">
        <v>63</v>
      </c>
      <c r="D147" s="104">
        <v>500</v>
      </c>
      <c r="E147" s="143">
        <v>7.8</v>
      </c>
      <c r="F147" s="16">
        <f t="shared" si="196"/>
        <v>15150</v>
      </c>
      <c r="G147" s="17">
        <f t="shared" si="197"/>
        <v>9.198964554455447</v>
      </c>
      <c r="H147" s="15">
        <f t="shared" si="198"/>
        <v>139364.31300000002</v>
      </c>
      <c r="I147" s="15">
        <f t="shared" si="199"/>
        <v>-21194.313000000024</v>
      </c>
      <c r="J147" s="33">
        <f t="shared" si="200"/>
        <v>-0.15207848080878511</v>
      </c>
      <c r="K147" s="15">
        <f t="shared" si="201"/>
        <v>118170</v>
      </c>
      <c r="L147" s="15">
        <f t="shared" si="202"/>
        <v>-3814.0000000000146</v>
      </c>
      <c r="M147" s="15">
        <f t="shared" si="203"/>
        <v>5</v>
      </c>
      <c r="N147" s="15">
        <f t="shared" si="204"/>
        <v>0</v>
      </c>
      <c r="O147" s="64"/>
      <c r="P147" s="17">
        <f t="shared" si="205"/>
        <v>-1.3989645544554472</v>
      </c>
      <c r="Q147" s="15">
        <f t="shared" si="206"/>
        <v>-3905</v>
      </c>
      <c r="R147" s="35"/>
      <c r="S147" s="35">
        <f t="shared" si="207"/>
        <v>21151.171999999671</v>
      </c>
      <c r="T147" s="35">
        <f t="shared" si="208"/>
        <v>2711.6887179486757</v>
      </c>
      <c r="U147" s="35">
        <f t="shared" si="209"/>
        <v>17861.688717948677</v>
      </c>
      <c r="V147" s="15">
        <f t="shared" si="210"/>
        <v>160515.48499999969</v>
      </c>
      <c r="W147" s="17">
        <f t="shared" si="211"/>
        <v>8.9865794625959694</v>
      </c>
      <c r="X147" s="17">
        <f t="shared" si="212"/>
        <v>-0.21238509185947763</v>
      </c>
      <c r="Y147" s="17">
        <f t="shared" si="213"/>
        <v>-1.1865794625959696</v>
      </c>
      <c r="Z147" s="134">
        <f t="shared" si="214"/>
        <v>0.8481840793013159</v>
      </c>
      <c r="AA147" s="15">
        <f>SUM(L$2:L147)-SUM(AB$2:AB147)</f>
        <v>11581.093000000175</v>
      </c>
      <c r="AB147" s="104"/>
      <c r="AC147" s="145">
        <f t="shared" si="80"/>
        <v>-2715.8610055769263</v>
      </c>
      <c r="AD147" s="145">
        <f t="shared" si="81"/>
        <v>-17865.861005576928</v>
      </c>
    </row>
    <row r="148" spans="1:30" x14ac:dyDescent="0.25">
      <c r="A148" s="99">
        <v>42866</v>
      </c>
      <c r="B148" s="103" t="s">
        <v>422</v>
      </c>
      <c r="C148" s="104" t="s">
        <v>69</v>
      </c>
      <c r="D148" s="104">
        <v>500</v>
      </c>
      <c r="E148" s="143">
        <f>E147+0.18</f>
        <v>7.9799999999999995</v>
      </c>
      <c r="F148" s="16">
        <f t="shared" si="196"/>
        <v>14650</v>
      </c>
      <c r="G148" s="17">
        <f t="shared" si="197"/>
        <v>9.2411810921501711</v>
      </c>
      <c r="H148" s="15">
        <f t="shared" si="198"/>
        <v>135383.30300000001</v>
      </c>
      <c r="I148" s="15">
        <f t="shared" si="199"/>
        <v>-18476.303000000014</v>
      </c>
      <c r="J148" s="33">
        <f t="shared" si="200"/>
        <v>-0.13647401555862479</v>
      </c>
      <c r="K148" s="15">
        <f t="shared" si="201"/>
        <v>116907</v>
      </c>
      <c r="L148" s="15">
        <f t="shared" si="202"/>
        <v>2718.0100000000093</v>
      </c>
      <c r="M148" s="15">
        <f t="shared" si="203"/>
        <v>5</v>
      </c>
      <c r="N148" s="15">
        <f t="shared" si="204"/>
        <v>3.9899999999999993</v>
      </c>
      <c r="O148" s="64"/>
      <c r="P148" s="17">
        <f t="shared" si="205"/>
        <v>-1.2611810921501716</v>
      </c>
      <c r="Q148" s="15">
        <f t="shared" si="206"/>
        <v>3981.0100000000093</v>
      </c>
      <c r="R148" s="35"/>
      <c r="S148" s="35">
        <f t="shared" si="207"/>
        <v>25132.181999999681</v>
      </c>
      <c r="T148" s="35">
        <f t="shared" si="208"/>
        <v>3149.3962406014639</v>
      </c>
      <c r="U148" s="35">
        <f t="shared" si="209"/>
        <v>17799.396240601465</v>
      </c>
      <c r="V148" s="15">
        <f t="shared" si="210"/>
        <v>160515.48499999969</v>
      </c>
      <c r="W148" s="17">
        <f t="shared" si="211"/>
        <v>9.018029759563106</v>
      </c>
      <c r="X148" s="17">
        <f t="shared" si="212"/>
        <v>-0.2231513325870651</v>
      </c>
      <c r="Y148" s="17">
        <f t="shared" si="213"/>
        <v>-1.0380297595631065</v>
      </c>
      <c r="Z148" s="134">
        <f t="shared" si="214"/>
        <v>0.82306162534785832</v>
      </c>
      <c r="AA148" s="15">
        <f>SUM(L$2:L148)-SUM(AB$2:AB148)</f>
        <v>14299.103000000185</v>
      </c>
      <c r="AB148" s="104"/>
      <c r="AC148" s="145">
        <f t="shared" si="80"/>
        <v>-2314.1685273809544</v>
      </c>
      <c r="AD148" s="145">
        <f t="shared" si="81"/>
        <v>-16964.168527380956</v>
      </c>
    </row>
    <row r="149" spans="1:30" x14ac:dyDescent="0.25">
      <c r="A149" s="99">
        <v>42867</v>
      </c>
      <c r="B149" s="103"/>
      <c r="C149" s="104" t="s">
        <v>69</v>
      </c>
      <c r="D149" s="104">
        <v>500</v>
      </c>
      <c r="E149" s="143">
        <v>8.1300000000000008</v>
      </c>
      <c r="F149" s="16">
        <f t="shared" si="196"/>
        <v>14150</v>
      </c>
      <c r="G149" s="17">
        <f t="shared" si="197"/>
        <v>9.2810860777385162</v>
      </c>
      <c r="H149" s="15">
        <f t="shared" si="198"/>
        <v>131327.36800000002</v>
      </c>
      <c r="I149" s="15">
        <f t="shared" si="199"/>
        <v>-16287.868000000002</v>
      </c>
      <c r="J149" s="33">
        <f t="shared" si="200"/>
        <v>-0.12402493286852435</v>
      </c>
      <c r="K149" s="15">
        <f t="shared" si="201"/>
        <v>115039.50000000001</v>
      </c>
      <c r="L149" s="15">
        <f t="shared" si="202"/>
        <v>2188.4350000000122</v>
      </c>
      <c r="M149" s="15">
        <f t="shared" si="203"/>
        <v>5</v>
      </c>
      <c r="N149" s="15">
        <f t="shared" si="204"/>
        <v>4.0650000000000004</v>
      </c>
      <c r="O149" s="64"/>
      <c r="P149" s="17">
        <f t="shared" si="205"/>
        <v>-1.1510860777385155</v>
      </c>
      <c r="Q149" s="15">
        <f t="shared" si="206"/>
        <v>4055.9349999999977</v>
      </c>
      <c r="R149" s="35"/>
      <c r="S149" s="35">
        <f t="shared" si="207"/>
        <v>29188.116999999678</v>
      </c>
      <c r="T149" s="35">
        <f t="shared" si="208"/>
        <v>3590.1742927428877</v>
      </c>
      <c r="U149" s="35">
        <f t="shared" si="209"/>
        <v>17740.174292742886</v>
      </c>
      <c r="V149" s="15">
        <f t="shared" si="210"/>
        <v>160515.48499999969</v>
      </c>
      <c r="W149" s="17">
        <f t="shared" si="211"/>
        <v>9.0481346096843609</v>
      </c>
      <c r="X149" s="17">
        <f t="shared" si="212"/>
        <v>-0.23295146805415534</v>
      </c>
      <c r="Y149" s="17">
        <f t="shared" si="213"/>
        <v>-0.91813460968436011</v>
      </c>
      <c r="Z149" s="134">
        <f t="shared" si="214"/>
        <v>0.79762463245856907</v>
      </c>
      <c r="AA149" s="15">
        <f>SUM(L$2:L149)-SUM(AB$2:AB149)</f>
        <v>16487.538000000197</v>
      </c>
      <c r="AB149" s="104"/>
      <c r="AC149" s="145">
        <f t="shared" ref="AC149:AC206" si="215">I149/E149*(1-0.0005)</f>
        <v>-2002.4260843788441</v>
      </c>
      <c r="AD149" s="145">
        <f t="shared" ref="AD149:AD206" si="216">AC149-F149</f>
        <v>-16152.426084378843</v>
      </c>
    </row>
    <row r="150" spans="1:30" x14ac:dyDescent="0.25">
      <c r="A150" s="99">
        <v>42870</v>
      </c>
      <c r="B150" s="103" t="s">
        <v>233</v>
      </c>
      <c r="C150" s="104" t="s">
        <v>63</v>
      </c>
      <c r="D150" s="104">
        <v>500</v>
      </c>
      <c r="E150" s="143">
        <v>7.99</v>
      </c>
      <c r="F150" s="16">
        <f t="shared" si="196"/>
        <v>14650</v>
      </c>
      <c r="G150" s="17">
        <f t="shared" si="197"/>
        <v>9.2373630034129697</v>
      </c>
      <c r="H150" s="15">
        <f t="shared" si="198"/>
        <v>135327.36800000002</v>
      </c>
      <c r="I150" s="15">
        <f t="shared" si="199"/>
        <v>-18273.868000000017</v>
      </c>
      <c r="J150" s="33">
        <f t="shared" si="200"/>
        <v>-0.13503453344337563</v>
      </c>
      <c r="K150" s="15">
        <f t="shared" si="201"/>
        <v>117053.5</v>
      </c>
      <c r="L150" s="15">
        <f t="shared" si="202"/>
        <v>-1986.0000000000146</v>
      </c>
      <c r="M150" s="15">
        <f t="shared" si="203"/>
        <v>5</v>
      </c>
      <c r="N150" s="15">
        <f t="shared" si="204"/>
        <v>0</v>
      </c>
      <c r="O150" s="64"/>
      <c r="P150" s="17">
        <f t="shared" si="205"/>
        <v>-1.2473630034129695</v>
      </c>
      <c r="Q150" s="15">
        <f t="shared" si="206"/>
        <v>-4000</v>
      </c>
      <c r="R150" s="35"/>
      <c r="S150" s="35">
        <f t="shared" si="207"/>
        <v>25188.116999999678</v>
      </c>
      <c r="T150" s="35">
        <f t="shared" si="208"/>
        <v>3152.4551939924504</v>
      </c>
      <c r="U150" s="35">
        <f t="shared" si="209"/>
        <v>17802.455193992449</v>
      </c>
      <c r="V150" s="15">
        <f t="shared" si="210"/>
        <v>160515.48499999969</v>
      </c>
      <c r="W150" s="17">
        <f t="shared" si="211"/>
        <v>9.016480213030766</v>
      </c>
      <c r="X150" s="17">
        <f t="shared" si="212"/>
        <v>-0.22088279038220371</v>
      </c>
      <c r="Y150" s="17">
        <f t="shared" si="213"/>
        <v>-1.0264802130307658</v>
      </c>
      <c r="Z150" s="134">
        <f t="shared" si="214"/>
        <v>0.82292020063298543</v>
      </c>
      <c r="AA150" s="15">
        <f>SUM(L$2:L150)-SUM(AB$2:AB150)</f>
        <v>14501.538000000182</v>
      </c>
      <c r="AB150" s="104"/>
      <c r="AC150" s="145">
        <f t="shared" si="215"/>
        <v>-2285.9488192740951</v>
      </c>
      <c r="AD150" s="145">
        <f t="shared" si="216"/>
        <v>-16935.948819274094</v>
      </c>
    </row>
    <row r="151" spans="1:30" x14ac:dyDescent="0.25">
      <c r="A151" s="99">
        <v>42871</v>
      </c>
      <c r="B151" s="103"/>
      <c r="C151" s="104" t="s">
        <v>63</v>
      </c>
      <c r="D151" s="104">
        <v>500</v>
      </c>
      <c r="E151" s="143">
        <v>7.77</v>
      </c>
      <c r="F151" s="16">
        <f t="shared" si="196"/>
        <v>15150</v>
      </c>
      <c r="G151" s="17">
        <f t="shared" si="197"/>
        <v>9.1892652145214537</v>
      </c>
      <c r="H151" s="15">
        <f t="shared" si="198"/>
        <v>139217.36800000002</v>
      </c>
      <c r="I151" s="15">
        <f t="shared" si="199"/>
        <v>-21501.868000000017</v>
      </c>
      <c r="J151" s="33">
        <f t="shared" si="200"/>
        <v>-0.15444817201256114</v>
      </c>
      <c r="K151" s="15">
        <f t="shared" si="201"/>
        <v>117715.5</v>
      </c>
      <c r="L151" s="15">
        <f t="shared" si="202"/>
        <v>-3228</v>
      </c>
      <c r="M151" s="15">
        <f t="shared" si="203"/>
        <v>5</v>
      </c>
      <c r="N151" s="15">
        <f t="shared" si="204"/>
        <v>0</v>
      </c>
      <c r="O151" s="64"/>
      <c r="P151" s="17">
        <f t="shared" si="205"/>
        <v>-1.4192652145214542</v>
      </c>
      <c r="Q151" s="15">
        <f t="shared" si="206"/>
        <v>-3890</v>
      </c>
      <c r="R151" s="35"/>
      <c r="S151" s="35">
        <f t="shared" si="207"/>
        <v>21298.116999999678</v>
      </c>
      <c r="T151" s="35">
        <f t="shared" si="208"/>
        <v>2741.0703989703579</v>
      </c>
      <c r="U151" s="35">
        <f t="shared" si="209"/>
        <v>17891.070398970358</v>
      </c>
      <c r="V151" s="15">
        <f t="shared" si="210"/>
        <v>160515.48499999969</v>
      </c>
      <c r="W151" s="17">
        <f t="shared" si="211"/>
        <v>8.9718212169819349</v>
      </c>
      <c r="X151" s="17">
        <f t="shared" si="212"/>
        <v>-0.21744399753951882</v>
      </c>
      <c r="Y151" s="17">
        <f t="shared" si="213"/>
        <v>-1.2018212169819353</v>
      </c>
      <c r="Z151" s="134">
        <f t="shared" si="214"/>
        <v>0.8467911456472661</v>
      </c>
      <c r="AA151" s="15">
        <f>SUM(L$2:L151)-SUM(AB$2:AB151)</f>
        <v>11273.538000000182</v>
      </c>
      <c r="AB151" s="104"/>
      <c r="AC151" s="145">
        <f t="shared" si="215"/>
        <v>-2765.9095323037345</v>
      </c>
      <c r="AD151" s="145">
        <f t="shared" si="216"/>
        <v>-17915.909532303733</v>
      </c>
    </row>
    <row r="152" spans="1:30" x14ac:dyDescent="0.25">
      <c r="A152" s="99">
        <v>42871</v>
      </c>
      <c r="B152" s="103"/>
      <c r="C152" s="104" t="s">
        <v>63</v>
      </c>
      <c r="D152" s="104">
        <v>500</v>
      </c>
      <c r="E152" s="143">
        <v>7.61</v>
      </c>
      <c r="F152" s="16">
        <f t="shared" si="196"/>
        <v>15650</v>
      </c>
      <c r="G152" s="17">
        <f t="shared" si="197"/>
        <v>9.1391289456869025</v>
      </c>
      <c r="H152" s="15">
        <f t="shared" si="198"/>
        <v>143027.36800000002</v>
      </c>
      <c r="I152" s="15">
        <f t="shared" si="199"/>
        <v>-23930.868000000017</v>
      </c>
      <c r="J152" s="33">
        <f t="shared" si="200"/>
        <v>-0.16731670542941135</v>
      </c>
      <c r="K152" s="15">
        <f t="shared" si="201"/>
        <v>119096.5</v>
      </c>
      <c r="L152" s="15">
        <f t="shared" si="202"/>
        <v>-2429</v>
      </c>
      <c r="M152" s="15">
        <f t="shared" si="203"/>
        <v>5</v>
      </c>
      <c r="N152" s="15">
        <f t="shared" si="204"/>
        <v>0</v>
      </c>
      <c r="O152" s="64"/>
      <c r="P152" s="17">
        <f t="shared" si="205"/>
        <v>-1.5291289456869022</v>
      </c>
      <c r="Q152" s="15">
        <f t="shared" si="206"/>
        <v>-3810</v>
      </c>
      <c r="R152" s="35"/>
      <c r="S152" s="35">
        <f t="shared" si="207"/>
        <v>17488.116999999678</v>
      </c>
      <c r="T152" s="35">
        <f t="shared" si="208"/>
        <v>2298.0442838370141</v>
      </c>
      <c r="U152" s="35">
        <f t="shared" si="209"/>
        <v>17948.044283837015</v>
      </c>
      <c r="V152" s="15">
        <f t="shared" si="210"/>
        <v>160515.48499999969</v>
      </c>
      <c r="W152" s="17">
        <f t="shared" si="211"/>
        <v>8.9433412611172791</v>
      </c>
      <c r="X152" s="17">
        <f t="shared" si="212"/>
        <v>-0.19578768456962337</v>
      </c>
      <c r="Y152" s="17">
        <f t="shared" si="213"/>
        <v>-1.3333412611172788</v>
      </c>
      <c r="Z152" s="134">
        <f t="shared" si="214"/>
        <v>0.8719612985406715</v>
      </c>
      <c r="AA152" s="15">
        <f>SUM(L$2:L152)-SUM(AB$2:AB152)</f>
        <v>8844.5380000001824</v>
      </c>
      <c r="AB152" s="104"/>
      <c r="AC152" s="145">
        <f t="shared" si="215"/>
        <v>-3143.0883792378472</v>
      </c>
      <c r="AD152" s="145">
        <f t="shared" si="216"/>
        <v>-18793.088379237848</v>
      </c>
    </row>
    <row r="153" spans="1:30" x14ac:dyDescent="0.25">
      <c r="A153" s="99">
        <v>42871</v>
      </c>
      <c r="B153" s="103" t="s">
        <v>423</v>
      </c>
      <c r="C153" s="104" t="s">
        <v>69</v>
      </c>
      <c r="D153" s="104">
        <v>500</v>
      </c>
      <c r="E153" s="143">
        <v>7.77</v>
      </c>
      <c r="F153" s="16">
        <f t="shared" si="196"/>
        <v>15150</v>
      </c>
      <c r="G153" s="17">
        <f t="shared" si="197"/>
        <v>9.184901188118813</v>
      </c>
      <c r="H153" s="15">
        <f t="shared" si="198"/>
        <v>139151.25300000003</v>
      </c>
      <c r="I153" s="15">
        <f t="shared" si="199"/>
        <v>-21435.753000000026</v>
      </c>
      <c r="J153" s="33">
        <f t="shared" si="200"/>
        <v>-0.15404642457657222</v>
      </c>
      <c r="K153" s="15">
        <f t="shared" si="201"/>
        <v>117715.5</v>
      </c>
      <c r="L153" s="15">
        <f t="shared" si="202"/>
        <v>2495.1149999999907</v>
      </c>
      <c r="M153" s="15">
        <f t="shared" si="203"/>
        <v>5</v>
      </c>
      <c r="N153" s="15">
        <f t="shared" si="204"/>
        <v>3.8849999999999998</v>
      </c>
      <c r="O153" s="64"/>
      <c r="P153" s="17">
        <f t="shared" si="205"/>
        <v>-1.4149011881188134</v>
      </c>
      <c r="Q153" s="15">
        <f t="shared" si="206"/>
        <v>3876.1149999999907</v>
      </c>
      <c r="R153" s="35"/>
      <c r="S153" s="35">
        <f t="shared" si="207"/>
        <v>21364.231999999669</v>
      </c>
      <c r="T153" s="35">
        <f t="shared" si="208"/>
        <v>2749.5794079793654</v>
      </c>
      <c r="U153" s="35">
        <f t="shared" si="209"/>
        <v>17899.579407979367</v>
      </c>
      <c r="V153" s="15">
        <f t="shared" si="210"/>
        <v>160515.48499999969</v>
      </c>
      <c r="W153" s="17">
        <f t="shared" si="211"/>
        <v>8.9675562392513122</v>
      </c>
      <c r="X153" s="17">
        <f t="shared" si="212"/>
        <v>-0.21734494886750078</v>
      </c>
      <c r="Y153" s="17">
        <f t="shared" si="213"/>
        <v>-1.1975562392513126</v>
      </c>
      <c r="Z153" s="134">
        <f t="shared" si="214"/>
        <v>0.84638860247444447</v>
      </c>
      <c r="AA153" s="15">
        <f>SUM(L$2:L153)-SUM(AB$2:AB153)</f>
        <v>11339.653000000173</v>
      </c>
      <c r="AB153" s="104"/>
      <c r="AC153" s="145">
        <f t="shared" si="215"/>
        <v>-2757.4047777992314</v>
      </c>
      <c r="AD153" s="145">
        <f t="shared" si="216"/>
        <v>-17907.404777799231</v>
      </c>
    </row>
    <row r="154" spans="1:30" x14ac:dyDescent="0.25">
      <c r="A154" s="99">
        <v>42871</v>
      </c>
      <c r="B154" s="103" t="s">
        <v>424</v>
      </c>
      <c r="C154" s="104" t="s">
        <v>69</v>
      </c>
      <c r="D154" s="104">
        <v>500</v>
      </c>
      <c r="E154" s="143">
        <v>7.96</v>
      </c>
      <c r="F154" s="16">
        <f t="shared" ref="F154:F160" si="217">IF(C154="买",F153+D154,F153-D154)</f>
        <v>14650</v>
      </c>
      <c r="G154" s="17">
        <f t="shared" ref="G154:G160" si="218">H154/F154</f>
        <v>9.2273196587030739</v>
      </c>
      <c r="H154" s="15">
        <f t="shared" ref="H154:H160" si="219">IF(C154="买",H153+D154*E154+M154+N154,H153+-1*D154*E154+M154+N154)+O153</f>
        <v>135180.23300000004</v>
      </c>
      <c r="I154" s="15">
        <f t="shared" ref="I154:I160" si="220">-H154+K154</f>
        <v>-18566.233000000037</v>
      </c>
      <c r="J154" s="33">
        <f t="shared" ref="J154:J160" si="221">(E154-G154)/G154</f>
        <v>-0.13734428908700008</v>
      </c>
      <c r="K154" s="15">
        <f t="shared" ref="K154:K160" si="222">F154*E154</f>
        <v>116614</v>
      </c>
      <c r="L154" s="15">
        <f t="shared" ref="L154:L160" si="223">I154-I153</f>
        <v>2869.5199999999895</v>
      </c>
      <c r="M154" s="15">
        <f t="shared" ref="M154:M160" si="224">IF(D154*E154*5/10000&gt;5,D154*E154*5/10000,5)</f>
        <v>5</v>
      </c>
      <c r="N154" s="15">
        <f t="shared" ref="N154:N160" si="225">IF(C154="卖",D154*E154/1000,0)</f>
        <v>3.98</v>
      </c>
      <c r="O154" s="64"/>
      <c r="P154" s="17">
        <f t="shared" ref="P154:P160" si="226">E154-G154</f>
        <v>-1.2673196587030739</v>
      </c>
      <c r="Q154" s="15">
        <f t="shared" ref="Q154:Q160" si="227">(H154-H153)*-1</f>
        <v>3971.0199999999895</v>
      </c>
      <c r="R154" s="35"/>
      <c r="S154" s="35">
        <f t="shared" ref="S154:S160" si="228">S153+Q154+O154+R154</f>
        <v>25335.251999999658</v>
      </c>
      <c r="T154" s="35">
        <f t="shared" ref="T154:T160" si="229">S154/E154</f>
        <v>3182.8206030150327</v>
      </c>
      <c r="U154" s="35">
        <f t="shared" ref="U154:U160" si="230">F154+T154</f>
        <v>17832.820603015032</v>
      </c>
      <c r="V154" s="15">
        <f t="shared" ref="V154:V160" si="231">H154+S154</f>
        <v>160515.48499999969</v>
      </c>
      <c r="W154" s="17">
        <f t="shared" ref="W154:W160" si="232">V154/U154</f>
        <v>9.0011271112580484</v>
      </c>
      <c r="X154" s="17">
        <f t="shared" ref="X154:X160" si="233">W154-G154</f>
        <v>-0.22619254744502548</v>
      </c>
      <c r="Y154" s="17">
        <f t="shared" ref="Y154:Y160" si="234">(X154-P154)*-1</f>
        <v>-1.0411271112580485</v>
      </c>
      <c r="Z154" s="134">
        <f t="shared" ref="Z154:Z160" si="235">F154/U154</f>
        <v>0.82151894678529391</v>
      </c>
      <c r="AA154" s="15">
        <f>SUM(L$2:L154)-SUM(AB$2:AB154)</f>
        <v>14209.173000000163</v>
      </c>
      <c r="AB154" s="104"/>
      <c r="AC154" s="145">
        <f t="shared" si="215"/>
        <v>-2331.275110992467</v>
      </c>
      <c r="AD154" s="145">
        <f t="shared" si="216"/>
        <v>-16981.275110992468</v>
      </c>
    </row>
    <row r="155" spans="1:30" x14ac:dyDescent="0.25">
      <c r="A155" s="99">
        <v>42872</v>
      </c>
      <c r="B155" s="103"/>
      <c r="C155" s="104" t="s">
        <v>69</v>
      </c>
      <c r="D155" s="104">
        <v>500</v>
      </c>
      <c r="E155" s="143">
        <v>8.07</v>
      </c>
      <c r="F155" s="16">
        <f t="shared" si="217"/>
        <v>14150</v>
      </c>
      <c r="G155" s="17">
        <f t="shared" si="218"/>
        <v>9.2688528621908155</v>
      </c>
      <c r="H155" s="15">
        <f t="shared" si="219"/>
        <v>131154.26800000004</v>
      </c>
      <c r="I155" s="15">
        <f t="shared" si="220"/>
        <v>-16963.76800000004</v>
      </c>
      <c r="J155" s="33">
        <f t="shared" si="221"/>
        <v>-0.12934209659116874</v>
      </c>
      <c r="K155" s="15">
        <f t="shared" si="222"/>
        <v>114190.5</v>
      </c>
      <c r="L155" s="15">
        <f t="shared" si="223"/>
        <v>1602.4649999999965</v>
      </c>
      <c r="M155" s="15">
        <f t="shared" si="224"/>
        <v>5</v>
      </c>
      <c r="N155" s="15">
        <f t="shared" si="225"/>
        <v>4.0350000000000001</v>
      </c>
      <c r="O155" s="64"/>
      <c r="P155" s="17">
        <f t="shared" si="226"/>
        <v>-1.1988528621908152</v>
      </c>
      <c r="Q155" s="15">
        <f t="shared" si="227"/>
        <v>4025.9649999999965</v>
      </c>
      <c r="R155" s="35"/>
      <c r="S155" s="35">
        <f t="shared" si="228"/>
        <v>29361.216999999655</v>
      </c>
      <c r="T155" s="35">
        <f t="shared" si="229"/>
        <v>3638.3168525402298</v>
      </c>
      <c r="U155" s="35">
        <f t="shared" si="230"/>
        <v>17788.316852540229</v>
      </c>
      <c r="V155" s="15">
        <f t="shared" si="231"/>
        <v>160515.48499999969</v>
      </c>
      <c r="W155" s="17">
        <f t="shared" si="232"/>
        <v>9.0236466064004013</v>
      </c>
      <c r="X155" s="17">
        <f t="shared" si="233"/>
        <v>-0.24520625579041422</v>
      </c>
      <c r="Y155" s="17">
        <f t="shared" si="234"/>
        <v>-0.953646606400401</v>
      </c>
      <c r="Z155" s="134">
        <f t="shared" si="235"/>
        <v>0.79546592953674167</v>
      </c>
      <c r="AA155" s="15">
        <f>SUM(L$2:L155)-SUM(AB$2:AB155)</f>
        <v>15811.638000000159</v>
      </c>
      <c r="AB155" s="104"/>
      <c r="AC155" s="145">
        <f t="shared" si="215"/>
        <v>-2101.0267801734867</v>
      </c>
      <c r="AD155" s="145">
        <f t="shared" si="216"/>
        <v>-16251.026780173486</v>
      </c>
    </row>
    <row r="156" spans="1:30" x14ac:dyDescent="0.25">
      <c r="A156" s="99">
        <v>42877</v>
      </c>
      <c r="B156" s="103" t="s">
        <v>425</v>
      </c>
      <c r="C156" s="104" t="s">
        <v>63</v>
      </c>
      <c r="D156" s="104">
        <v>500</v>
      </c>
      <c r="E156" s="143">
        <v>7.87</v>
      </c>
      <c r="F156" s="16">
        <f t="shared" si="217"/>
        <v>14650</v>
      </c>
      <c r="G156" s="17">
        <f t="shared" si="218"/>
        <v>9.2214517406143379</v>
      </c>
      <c r="H156" s="15">
        <f t="shared" si="219"/>
        <v>135094.26800000004</v>
      </c>
      <c r="I156" s="15">
        <f t="shared" si="220"/>
        <v>-19798.76800000004</v>
      </c>
      <c r="J156" s="33">
        <f t="shared" si="221"/>
        <v>-0.14655520395580396</v>
      </c>
      <c r="K156" s="15">
        <f t="shared" si="222"/>
        <v>115295.5</v>
      </c>
      <c r="L156" s="15">
        <f t="shared" si="223"/>
        <v>-2835</v>
      </c>
      <c r="M156" s="15">
        <f t="shared" si="224"/>
        <v>5</v>
      </c>
      <c r="N156" s="15">
        <f t="shared" si="225"/>
        <v>0</v>
      </c>
      <c r="O156" s="64"/>
      <c r="P156" s="17">
        <f t="shared" si="226"/>
        <v>-1.3514517406143378</v>
      </c>
      <c r="Q156" s="15">
        <f t="shared" si="227"/>
        <v>-3940</v>
      </c>
      <c r="R156" s="35"/>
      <c r="S156" s="35">
        <f t="shared" si="228"/>
        <v>25421.216999999655</v>
      </c>
      <c r="T156" s="35">
        <f t="shared" si="229"/>
        <v>3230.1419313849624</v>
      </c>
      <c r="U156" s="35">
        <f t="shared" si="230"/>
        <v>17880.141931384962</v>
      </c>
      <c r="V156" s="15">
        <f t="shared" si="231"/>
        <v>160515.48499999969</v>
      </c>
      <c r="W156" s="17">
        <f t="shared" si="232"/>
        <v>8.9773048567498961</v>
      </c>
      <c r="X156" s="17">
        <f t="shared" si="233"/>
        <v>-0.24414688386444183</v>
      </c>
      <c r="Y156" s="17">
        <f t="shared" si="234"/>
        <v>-1.107304856749896</v>
      </c>
      <c r="Z156" s="134">
        <f t="shared" si="235"/>
        <v>0.81934472646913936</v>
      </c>
      <c r="AA156" s="15">
        <f>SUM(L$2:L156)-SUM(AB$2:AB156)</f>
        <v>12976.638000000159</v>
      </c>
      <c r="AB156" s="104"/>
      <c r="AC156" s="145">
        <f t="shared" si="215"/>
        <v>-2514.4686932655704</v>
      </c>
      <c r="AD156" s="145">
        <f t="shared" si="216"/>
        <v>-17164.468693265571</v>
      </c>
    </row>
    <row r="157" spans="1:30" x14ac:dyDescent="0.25">
      <c r="A157" s="99">
        <v>42878</v>
      </c>
      <c r="B157" s="103"/>
      <c r="C157" s="104" t="s">
        <v>63</v>
      </c>
      <c r="D157" s="104">
        <v>500</v>
      </c>
      <c r="E157" s="143">
        <v>7.69</v>
      </c>
      <c r="F157" s="16">
        <f t="shared" si="217"/>
        <v>15150</v>
      </c>
      <c r="G157" s="17">
        <f t="shared" si="218"/>
        <v>9.1712388118811905</v>
      </c>
      <c r="H157" s="15">
        <f t="shared" si="219"/>
        <v>138944.26800000004</v>
      </c>
      <c r="I157" s="15">
        <f t="shared" si="220"/>
        <v>-22440.76800000004</v>
      </c>
      <c r="J157" s="33">
        <f t="shared" si="221"/>
        <v>-0.16150913112874887</v>
      </c>
      <c r="K157" s="15">
        <f t="shared" si="222"/>
        <v>116503.5</v>
      </c>
      <c r="L157" s="15">
        <f t="shared" si="223"/>
        <v>-2642</v>
      </c>
      <c r="M157" s="15">
        <f t="shared" si="224"/>
        <v>5</v>
      </c>
      <c r="N157" s="15">
        <f t="shared" si="225"/>
        <v>0</v>
      </c>
      <c r="O157" s="64"/>
      <c r="P157" s="17">
        <f t="shared" si="226"/>
        <v>-1.4812388118811901</v>
      </c>
      <c r="Q157" s="15">
        <f t="shared" si="227"/>
        <v>-3850</v>
      </c>
      <c r="R157" s="35"/>
      <c r="S157" s="35">
        <f t="shared" si="228"/>
        <v>21571.216999999655</v>
      </c>
      <c r="T157" s="35">
        <f t="shared" si="229"/>
        <v>2805.0997399219314</v>
      </c>
      <c r="U157" s="35">
        <f t="shared" si="230"/>
        <v>17955.09973992193</v>
      </c>
      <c r="V157" s="15">
        <f t="shared" si="231"/>
        <v>160515.48499999969</v>
      </c>
      <c r="W157" s="17">
        <f t="shared" si="232"/>
        <v>8.9398269753469837</v>
      </c>
      <c r="X157" s="17">
        <f t="shared" si="233"/>
        <v>-0.23141183653420683</v>
      </c>
      <c r="Y157" s="17">
        <f t="shared" si="234"/>
        <v>-1.2498269753469833</v>
      </c>
      <c r="Z157" s="134">
        <f t="shared" si="235"/>
        <v>0.84377141978860837</v>
      </c>
      <c r="AA157" s="15">
        <f>SUM(L$2:L157)-SUM(AB$2:AB157)</f>
        <v>10334.638000000159</v>
      </c>
      <c r="AB157" s="104"/>
      <c r="AC157" s="145">
        <f t="shared" si="215"/>
        <v>-2916.7162049414874</v>
      </c>
      <c r="AD157" s="145">
        <f t="shared" si="216"/>
        <v>-18066.716204941487</v>
      </c>
    </row>
    <row r="158" spans="1:30" x14ac:dyDescent="0.25">
      <c r="A158" s="99">
        <v>42879</v>
      </c>
      <c r="B158" s="103"/>
      <c r="C158" s="104" t="s">
        <v>63</v>
      </c>
      <c r="D158" s="104">
        <v>500</v>
      </c>
      <c r="E158" s="143">
        <v>7.53</v>
      </c>
      <c r="F158" s="16">
        <f t="shared" si="217"/>
        <v>15650</v>
      </c>
      <c r="G158" s="17">
        <f t="shared" si="218"/>
        <v>9.1191225559105451</v>
      </c>
      <c r="H158" s="15">
        <f t="shared" si="219"/>
        <v>142714.26800000004</v>
      </c>
      <c r="I158" s="15">
        <f t="shared" si="220"/>
        <v>-24869.76800000004</v>
      </c>
      <c r="J158" s="33">
        <f t="shared" si="221"/>
        <v>-0.17426266026883885</v>
      </c>
      <c r="K158" s="15">
        <f t="shared" si="222"/>
        <v>117844.5</v>
      </c>
      <c r="L158" s="15">
        <f t="shared" si="223"/>
        <v>-2429</v>
      </c>
      <c r="M158" s="15">
        <f t="shared" si="224"/>
        <v>5</v>
      </c>
      <c r="N158" s="15">
        <f t="shared" si="225"/>
        <v>0</v>
      </c>
      <c r="O158" s="64"/>
      <c r="P158" s="17">
        <f t="shared" si="226"/>
        <v>-1.5891225559105449</v>
      </c>
      <c r="Q158" s="15">
        <f t="shared" si="227"/>
        <v>-3770</v>
      </c>
      <c r="R158" s="35"/>
      <c r="S158" s="35">
        <f t="shared" si="228"/>
        <v>17801.216999999655</v>
      </c>
      <c r="T158" s="35">
        <f t="shared" si="229"/>
        <v>2364.0394422310296</v>
      </c>
      <c r="U158" s="35">
        <f t="shared" si="230"/>
        <v>18014.039442231031</v>
      </c>
      <c r="V158" s="15">
        <f t="shared" si="231"/>
        <v>160515.48499999969</v>
      </c>
      <c r="W158" s="17">
        <f t="shared" si="232"/>
        <v>8.910576970520939</v>
      </c>
      <c r="X158" s="17">
        <f t="shared" si="233"/>
        <v>-0.2085455853896061</v>
      </c>
      <c r="Y158" s="17">
        <f t="shared" si="234"/>
        <v>-1.3805769705209388</v>
      </c>
      <c r="Z158" s="134">
        <f t="shared" si="235"/>
        <v>0.86876683323514214</v>
      </c>
      <c r="AA158" s="15">
        <f>SUM(L$2:L158)-SUM(AB$2:AB158)</f>
        <v>7905.6380000001591</v>
      </c>
      <c r="AB158" s="104"/>
      <c r="AC158" s="145">
        <f t="shared" si="215"/>
        <v>-3301.1066555112939</v>
      </c>
      <c r="AD158" s="145">
        <f t="shared" si="216"/>
        <v>-18951.106655511292</v>
      </c>
    </row>
    <row r="159" spans="1:30" x14ac:dyDescent="0.25">
      <c r="A159" s="99">
        <v>42880</v>
      </c>
      <c r="B159" s="103" t="s">
        <v>426</v>
      </c>
      <c r="C159" s="104" t="s">
        <v>69</v>
      </c>
      <c r="D159" s="104">
        <v>500</v>
      </c>
      <c r="E159" s="143">
        <v>7.74</v>
      </c>
      <c r="F159" s="16">
        <f t="shared" si="217"/>
        <v>15150</v>
      </c>
      <c r="G159" s="17">
        <f t="shared" si="218"/>
        <v>9.1652236303630392</v>
      </c>
      <c r="H159" s="15">
        <f t="shared" si="219"/>
        <v>138853.13800000004</v>
      </c>
      <c r="I159" s="15">
        <f t="shared" si="220"/>
        <v>-21592.138000000035</v>
      </c>
      <c r="J159" s="33">
        <f t="shared" si="221"/>
        <v>-0.1555034211758328</v>
      </c>
      <c r="K159" s="15">
        <f t="shared" si="222"/>
        <v>117261</v>
      </c>
      <c r="L159" s="15">
        <f t="shared" si="223"/>
        <v>3277.6300000000047</v>
      </c>
      <c r="M159" s="15">
        <f t="shared" si="224"/>
        <v>5</v>
      </c>
      <c r="N159" s="15">
        <f t="shared" si="225"/>
        <v>3.87</v>
      </c>
      <c r="O159" s="64"/>
      <c r="P159" s="17">
        <f t="shared" si="226"/>
        <v>-1.425223630363039</v>
      </c>
      <c r="Q159" s="15">
        <f t="shared" si="227"/>
        <v>3861.1300000000047</v>
      </c>
      <c r="R159" s="35"/>
      <c r="S159" s="35">
        <f t="shared" si="228"/>
        <v>21662.34699999966</v>
      </c>
      <c r="T159" s="35">
        <f t="shared" si="229"/>
        <v>2798.7528423772169</v>
      </c>
      <c r="U159" s="35">
        <f t="shared" si="230"/>
        <v>17948.752842377216</v>
      </c>
      <c r="V159" s="15">
        <f t="shared" si="231"/>
        <v>160515.48499999969</v>
      </c>
      <c r="W159" s="17">
        <f t="shared" si="232"/>
        <v>8.9429882070146256</v>
      </c>
      <c r="X159" s="17">
        <f t="shared" si="233"/>
        <v>-0.22223542334841362</v>
      </c>
      <c r="Y159" s="17">
        <f t="shared" si="234"/>
        <v>-1.2029882070146254</v>
      </c>
      <c r="Z159" s="134">
        <f t="shared" si="235"/>
        <v>0.84406978763620122</v>
      </c>
      <c r="AA159" s="15">
        <f>SUM(L$2:L159)-SUM(AB$2:AB159)</f>
        <v>11183.268000000164</v>
      </c>
      <c r="AB159" s="104"/>
      <c r="AC159" s="145">
        <f t="shared" si="215"/>
        <v>-2788.2870711886353</v>
      </c>
      <c r="AD159" s="145">
        <f t="shared" si="216"/>
        <v>-17938.287071188635</v>
      </c>
    </row>
    <row r="160" spans="1:30" x14ac:dyDescent="0.25">
      <c r="A160" s="99">
        <v>42880</v>
      </c>
      <c r="B160" s="103" t="s">
        <v>239</v>
      </c>
      <c r="C160" s="104" t="s">
        <v>69</v>
      </c>
      <c r="D160" s="104">
        <v>500</v>
      </c>
      <c r="E160" s="143">
        <v>7.85</v>
      </c>
      <c r="F160" s="16">
        <f t="shared" si="217"/>
        <v>14650</v>
      </c>
      <c r="G160" s="17">
        <f t="shared" si="218"/>
        <v>9.2107210238907857</v>
      </c>
      <c r="H160" s="15">
        <f t="shared" si="219"/>
        <v>134937.06300000002</v>
      </c>
      <c r="I160" s="15">
        <f t="shared" si="220"/>
        <v>-19934.563000000024</v>
      </c>
      <c r="J160" s="33">
        <f t="shared" si="221"/>
        <v>-0.14773230242902216</v>
      </c>
      <c r="K160" s="15">
        <f t="shared" si="222"/>
        <v>115002.5</v>
      </c>
      <c r="L160" s="15">
        <f t="shared" si="223"/>
        <v>1657.5750000000116</v>
      </c>
      <c r="M160" s="15">
        <f t="shared" si="224"/>
        <v>5</v>
      </c>
      <c r="N160" s="15">
        <f t="shared" si="225"/>
        <v>3.9249999999999998</v>
      </c>
      <c r="O160" s="64"/>
      <c r="P160" s="17">
        <f t="shared" si="226"/>
        <v>-1.3607210238907861</v>
      </c>
      <c r="Q160" s="15">
        <f t="shared" si="227"/>
        <v>3916.0750000000116</v>
      </c>
      <c r="R160" s="35"/>
      <c r="S160" s="35">
        <f t="shared" si="228"/>
        <v>25578.421999999671</v>
      </c>
      <c r="T160" s="35">
        <f t="shared" si="229"/>
        <v>3258.3977070063279</v>
      </c>
      <c r="U160" s="35">
        <f t="shared" si="230"/>
        <v>17908.397707006327</v>
      </c>
      <c r="V160" s="15">
        <f t="shared" si="231"/>
        <v>160515.48499999969</v>
      </c>
      <c r="W160" s="17">
        <f t="shared" si="232"/>
        <v>8.9631405124089358</v>
      </c>
      <c r="X160" s="17">
        <f t="shared" si="233"/>
        <v>-0.2475805114818499</v>
      </c>
      <c r="Y160" s="17">
        <f t="shared" si="234"/>
        <v>-1.1131405124089362</v>
      </c>
      <c r="Z160" s="134">
        <f t="shared" si="235"/>
        <v>0.8180519686732477</v>
      </c>
      <c r="AA160" s="15">
        <f>SUM(L$2:L160)-SUM(AB$2:AB160)</f>
        <v>12840.843000000175</v>
      </c>
      <c r="AB160" s="104"/>
      <c r="AC160" s="145">
        <f t="shared" si="215"/>
        <v>-2538.1650596815321</v>
      </c>
      <c r="AD160" s="145">
        <f t="shared" si="216"/>
        <v>-17188.165059681531</v>
      </c>
    </row>
    <row r="161" spans="1:30" x14ac:dyDescent="0.25">
      <c r="A161" s="99">
        <v>42893</v>
      </c>
      <c r="B161" s="100"/>
      <c r="C161" s="104" t="s">
        <v>69</v>
      </c>
      <c r="D161" s="104">
        <v>500</v>
      </c>
      <c r="E161" s="143">
        <v>8.01</v>
      </c>
      <c r="F161" s="16">
        <f t="shared" ref="F161:F171" si="236">IF(C161="买",F160+D161,F160-D161)</f>
        <v>14150</v>
      </c>
      <c r="G161" s="17">
        <f t="shared" ref="G161:G171" si="237">H161/F161</f>
        <v>9.2537857243816273</v>
      </c>
      <c r="H161" s="15">
        <f t="shared" ref="H161:H171" si="238">IF(C161="买",H160+D161*E161+M161+N161,H160+-1*D161*E161+M161+N161)+O160</f>
        <v>130941.06800000003</v>
      </c>
      <c r="I161" s="15">
        <f t="shared" ref="I161:I171" si="239">-H161+K161</f>
        <v>-17599.568000000028</v>
      </c>
      <c r="J161" s="33">
        <f t="shared" ref="J161:J171" si="240">(E161-G161)/G161</f>
        <v>-0.13440831260059696</v>
      </c>
      <c r="K161" s="15">
        <f t="shared" ref="K161:K171" si="241">F161*E161</f>
        <v>113341.5</v>
      </c>
      <c r="L161" s="15">
        <f t="shared" ref="L161:L171" si="242">I161-I160</f>
        <v>2334.9949999999953</v>
      </c>
      <c r="M161" s="15">
        <f t="shared" ref="M161:M171" si="243">IF(D161*E161*5/10000&gt;5,D161*E161*5/10000,5)</f>
        <v>5</v>
      </c>
      <c r="N161" s="15">
        <f t="shared" ref="N161:N171" si="244">IF(C161="卖",D161*E161/1000,0)</f>
        <v>4.0049999999999999</v>
      </c>
      <c r="O161" s="64"/>
      <c r="P161" s="17">
        <f t="shared" ref="P161:P171" si="245">E161-G161</f>
        <v>-1.2437857243816275</v>
      </c>
      <c r="Q161" s="15">
        <f t="shared" ref="Q161:Q171" si="246">(H161-H160)*-1</f>
        <v>3995.9949999999953</v>
      </c>
      <c r="R161" s="35"/>
      <c r="S161" s="35">
        <f t="shared" ref="S161:S171" si="247">S160+Q161+O161+R161</f>
        <v>29574.416999999667</v>
      </c>
      <c r="T161" s="35">
        <f t="shared" ref="T161:T171" si="248">S161/E161</f>
        <v>3692.1868913857261</v>
      </c>
      <c r="U161" s="35">
        <f t="shared" ref="U161:U171" si="249">F161+T161</f>
        <v>17842.186891385725</v>
      </c>
      <c r="V161" s="15">
        <f t="shared" ref="V161:V171" si="250">H161+S161</f>
        <v>160515.48499999969</v>
      </c>
      <c r="W161" s="17">
        <f t="shared" ref="W161:W171" si="251">V161/U161</f>
        <v>8.9964019532547983</v>
      </c>
      <c r="X161" s="17">
        <f t="shared" ref="X161:X171" si="252">W161-G161</f>
        <v>-0.25738377112682898</v>
      </c>
      <c r="Y161" s="17">
        <f t="shared" ref="Y161:Y171" si="253">(X161-P161)*-1</f>
        <v>-0.98640195325479851</v>
      </c>
      <c r="Z161" s="134">
        <f t="shared" ref="Z161:Z171" si="254">F161/U161</f>
        <v>0.79306421831236806</v>
      </c>
      <c r="AA161" s="15">
        <f>SUM(L$2:L161)-SUM(AB$2:AB161)</f>
        <v>15175.838000000171</v>
      </c>
      <c r="AB161" s="64"/>
      <c r="AC161" s="145">
        <f t="shared" si="215"/>
        <v>-2196.1009008739111</v>
      </c>
      <c r="AD161" s="145">
        <f t="shared" si="216"/>
        <v>-16346.100900873911</v>
      </c>
    </row>
    <row r="162" spans="1:30" x14ac:dyDescent="0.25">
      <c r="A162" s="99">
        <v>42898</v>
      </c>
      <c r="B162" s="100"/>
      <c r="C162" s="104" t="s">
        <v>69</v>
      </c>
      <c r="D162" s="104">
        <v>500</v>
      </c>
      <c r="E162" s="143">
        <v>8.15</v>
      </c>
      <c r="F162" s="16">
        <f t="shared" si="236"/>
        <v>13650</v>
      </c>
      <c r="G162" s="17">
        <f t="shared" si="237"/>
        <v>9.2948822710622725</v>
      </c>
      <c r="H162" s="15">
        <f t="shared" si="238"/>
        <v>126875.14300000003</v>
      </c>
      <c r="I162" s="15">
        <f t="shared" si="239"/>
        <v>-15627.643000000025</v>
      </c>
      <c r="J162" s="33">
        <f t="shared" si="240"/>
        <v>-0.12317340205874694</v>
      </c>
      <c r="K162" s="15">
        <f t="shared" si="241"/>
        <v>111247.5</v>
      </c>
      <c r="L162" s="15">
        <f t="shared" si="242"/>
        <v>1971.9250000000029</v>
      </c>
      <c r="M162" s="15">
        <f t="shared" si="243"/>
        <v>5</v>
      </c>
      <c r="N162" s="15">
        <f t="shared" si="244"/>
        <v>4.0750000000000002</v>
      </c>
      <c r="O162" s="64"/>
      <c r="P162" s="17">
        <f t="shared" si="245"/>
        <v>-1.1448822710622721</v>
      </c>
      <c r="Q162" s="15">
        <f t="shared" si="246"/>
        <v>4065.9250000000029</v>
      </c>
      <c r="R162" s="35"/>
      <c r="S162" s="35">
        <f t="shared" si="247"/>
        <v>33640.341999999669</v>
      </c>
      <c r="T162" s="35">
        <f t="shared" si="248"/>
        <v>4127.6493251533338</v>
      </c>
      <c r="U162" s="35">
        <f t="shared" si="249"/>
        <v>17777.649325153332</v>
      </c>
      <c r="V162" s="15">
        <f t="shared" si="250"/>
        <v>160515.48499999969</v>
      </c>
      <c r="W162" s="17">
        <f t="shared" si="251"/>
        <v>9.0290612703721589</v>
      </c>
      <c r="X162" s="17">
        <f t="shared" si="252"/>
        <v>-0.26582100069011361</v>
      </c>
      <c r="Y162" s="17">
        <f t="shared" si="253"/>
        <v>-0.87906127037215853</v>
      </c>
      <c r="Z162" s="134">
        <f t="shared" si="254"/>
        <v>0.76781804783868801</v>
      </c>
      <c r="AA162" s="15">
        <f>SUM(L$2:L162)-SUM(AB$2:AB162)</f>
        <v>17147.763000000174</v>
      </c>
      <c r="AB162" s="64"/>
      <c r="AC162" s="145">
        <f t="shared" si="215"/>
        <v>-1916.5434574846656</v>
      </c>
      <c r="AD162" s="145">
        <f t="shared" si="216"/>
        <v>-15566.543457484666</v>
      </c>
    </row>
    <row r="163" spans="1:30" x14ac:dyDescent="0.25">
      <c r="A163" s="99">
        <v>42899</v>
      </c>
      <c r="B163" s="100"/>
      <c r="C163" s="104" t="s">
        <v>69</v>
      </c>
      <c r="D163" s="104">
        <v>500</v>
      </c>
      <c r="E163" s="143">
        <v>8.2799999999999994</v>
      </c>
      <c r="F163" s="16">
        <f t="shared" si="236"/>
        <v>13150</v>
      </c>
      <c r="G163" s="17">
        <f t="shared" si="237"/>
        <v>9.3341660076045638</v>
      </c>
      <c r="H163" s="15">
        <f t="shared" si="238"/>
        <v>122744.28300000002</v>
      </c>
      <c r="I163" s="15">
        <f t="shared" si="239"/>
        <v>-13862.283000000039</v>
      </c>
      <c r="J163" s="33">
        <f t="shared" si="240"/>
        <v>-0.11293628233585447</v>
      </c>
      <c r="K163" s="15">
        <f t="shared" si="241"/>
        <v>108881.99999999999</v>
      </c>
      <c r="L163" s="15">
        <f t="shared" si="242"/>
        <v>1765.359999999986</v>
      </c>
      <c r="M163" s="15">
        <f t="shared" si="243"/>
        <v>5</v>
      </c>
      <c r="N163" s="15">
        <f t="shared" si="244"/>
        <v>4.1399999999999997</v>
      </c>
      <c r="O163" s="64"/>
      <c r="P163" s="17">
        <f t="shared" si="245"/>
        <v>-1.0541660076045645</v>
      </c>
      <c r="Q163" s="15">
        <f t="shared" si="246"/>
        <v>4130.8600000000006</v>
      </c>
      <c r="R163" s="35"/>
      <c r="S163" s="35">
        <f t="shared" si="247"/>
        <v>37771.20199999967</v>
      </c>
      <c r="T163" s="35">
        <f t="shared" si="248"/>
        <v>4561.7393719806369</v>
      </c>
      <c r="U163" s="35">
        <f t="shared" si="249"/>
        <v>17711.739371980635</v>
      </c>
      <c r="V163" s="15">
        <f t="shared" si="250"/>
        <v>160515.48499999969</v>
      </c>
      <c r="W163" s="17">
        <f t="shared" si="251"/>
        <v>9.062660737540531</v>
      </c>
      <c r="X163" s="17">
        <f t="shared" si="252"/>
        <v>-0.2715052700640328</v>
      </c>
      <c r="Y163" s="17">
        <f t="shared" si="253"/>
        <v>-0.78266073754053167</v>
      </c>
      <c r="Z163" s="134">
        <f t="shared" si="254"/>
        <v>0.74244543259273843</v>
      </c>
      <c r="AA163" s="15">
        <f>SUM(L$2:L163)-SUM(AB$2:AB163)</f>
        <v>18913.12300000016</v>
      </c>
      <c r="AB163" s="64"/>
      <c r="AC163" s="145">
        <f t="shared" si="215"/>
        <v>-1673.3516737318889</v>
      </c>
      <c r="AD163" s="145">
        <f t="shared" si="216"/>
        <v>-14823.35167373189</v>
      </c>
    </row>
    <row r="164" spans="1:30" x14ac:dyDescent="0.25">
      <c r="A164" s="99">
        <v>42900</v>
      </c>
      <c r="B164" s="100"/>
      <c r="C164" s="104" t="s">
        <v>69</v>
      </c>
      <c r="D164" s="104">
        <v>500</v>
      </c>
      <c r="E164" s="143">
        <v>8.31</v>
      </c>
      <c r="F164" s="16">
        <f t="shared" si="236"/>
        <v>12650</v>
      </c>
      <c r="G164" s="17">
        <f t="shared" si="237"/>
        <v>9.3753705928853766</v>
      </c>
      <c r="H164" s="15">
        <f t="shared" si="238"/>
        <v>118598.43800000002</v>
      </c>
      <c r="I164" s="15">
        <f t="shared" si="239"/>
        <v>-13476.938000000024</v>
      </c>
      <c r="J164" s="33">
        <f t="shared" si="240"/>
        <v>-0.11363503792520442</v>
      </c>
      <c r="K164" s="15">
        <f t="shared" si="241"/>
        <v>105121.5</v>
      </c>
      <c r="L164" s="15">
        <f t="shared" si="242"/>
        <v>385.34500000001572</v>
      </c>
      <c r="M164" s="15">
        <f t="shared" si="243"/>
        <v>5</v>
      </c>
      <c r="N164" s="15">
        <f t="shared" si="244"/>
        <v>4.1550000000000002</v>
      </c>
      <c r="O164" s="64"/>
      <c r="P164" s="17">
        <f t="shared" si="245"/>
        <v>-1.0653705928853761</v>
      </c>
      <c r="Q164" s="15">
        <f t="shared" si="246"/>
        <v>4145.8450000000012</v>
      </c>
      <c r="R164" s="35"/>
      <c r="S164" s="35">
        <f t="shared" si="247"/>
        <v>41917.046999999671</v>
      </c>
      <c r="T164" s="35">
        <f t="shared" si="248"/>
        <v>5044.1693140793823</v>
      </c>
      <c r="U164" s="35">
        <f t="shared" si="249"/>
        <v>17694.169314079383</v>
      </c>
      <c r="V164" s="15">
        <f t="shared" si="250"/>
        <v>160515.48499999969</v>
      </c>
      <c r="W164" s="17">
        <f t="shared" si="251"/>
        <v>9.0716598304660909</v>
      </c>
      <c r="X164" s="17">
        <f t="shared" si="252"/>
        <v>-0.30371076241928563</v>
      </c>
      <c r="Y164" s="17">
        <f t="shared" si="253"/>
        <v>-0.76165983046609043</v>
      </c>
      <c r="Z164" s="134">
        <f t="shared" si="254"/>
        <v>0.71492477411382627</v>
      </c>
      <c r="AA164" s="15">
        <f>SUM(L$2:L164)-SUM(AB$2:AB164)</f>
        <v>19298.468000000175</v>
      </c>
      <c r="AB164" s="64"/>
      <c r="AC164" s="145">
        <f t="shared" si="215"/>
        <v>-1620.9626391095094</v>
      </c>
      <c r="AD164" s="145">
        <f t="shared" si="216"/>
        <v>-14270.96263910951</v>
      </c>
    </row>
    <row r="165" spans="1:30" x14ac:dyDescent="0.25">
      <c r="A165" s="99">
        <v>42900</v>
      </c>
      <c r="B165" s="100"/>
      <c r="C165" s="104" t="s">
        <v>69</v>
      </c>
      <c r="D165" s="104">
        <v>500</v>
      </c>
      <c r="E165" s="143">
        <v>8.3699999999999992</v>
      </c>
      <c r="F165" s="16">
        <f t="shared" si="236"/>
        <v>12150</v>
      </c>
      <c r="G165" s="17">
        <f t="shared" si="237"/>
        <v>9.4174998353909487</v>
      </c>
      <c r="H165" s="15">
        <f t="shared" si="238"/>
        <v>114422.62300000002</v>
      </c>
      <c r="I165" s="15">
        <f t="shared" si="239"/>
        <v>-12727.123000000036</v>
      </c>
      <c r="J165" s="33">
        <f t="shared" si="240"/>
        <v>-0.11122907923549379</v>
      </c>
      <c r="K165" s="15">
        <f t="shared" si="241"/>
        <v>101695.49999999999</v>
      </c>
      <c r="L165" s="15">
        <f t="shared" si="242"/>
        <v>749.81499999998778</v>
      </c>
      <c r="M165" s="15">
        <f t="shared" si="243"/>
        <v>5</v>
      </c>
      <c r="N165" s="15">
        <f t="shared" si="244"/>
        <v>4.1849999999999996</v>
      </c>
      <c r="O165" s="64">
        <v>-1220</v>
      </c>
      <c r="P165" s="17">
        <f t="shared" si="245"/>
        <v>-1.0474998353909495</v>
      </c>
      <c r="Q165" s="15">
        <f t="shared" si="246"/>
        <v>4175.8150000000023</v>
      </c>
      <c r="R165" s="35">
        <v>1220</v>
      </c>
      <c r="S165" s="35">
        <f t="shared" si="247"/>
        <v>46092.861999999674</v>
      </c>
      <c r="T165" s="35">
        <f t="shared" si="248"/>
        <v>5506.9130227000805</v>
      </c>
      <c r="U165" s="35">
        <f t="shared" si="249"/>
        <v>17656.913022700079</v>
      </c>
      <c r="V165" s="15">
        <f t="shared" si="250"/>
        <v>160515.48499999969</v>
      </c>
      <c r="W165" s="17">
        <f t="shared" si="251"/>
        <v>9.0908011379813551</v>
      </c>
      <c r="X165" s="17">
        <f t="shared" si="252"/>
        <v>-0.32669869740959356</v>
      </c>
      <c r="Y165" s="17">
        <f t="shared" si="253"/>
        <v>-0.72080113798135592</v>
      </c>
      <c r="Z165" s="134">
        <f t="shared" si="254"/>
        <v>0.68811575298466487</v>
      </c>
      <c r="AA165" s="15">
        <f>SUM(L$2:L165)-SUM(AB$2:AB165)</f>
        <v>20048.283000000163</v>
      </c>
      <c r="AB165" s="64"/>
      <c r="AC165" s="145">
        <f t="shared" si="215"/>
        <v>-1519.8039950418206</v>
      </c>
      <c r="AD165" s="145">
        <f t="shared" si="216"/>
        <v>-13669.803995041821</v>
      </c>
    </row>
    <row r="166" spans="1:30" x14ac:dyDescent="0.25">
      <c r="A166" s="99">
        <v>42907</v>
      </c>
      <c r="B166" s="105" t="s">
        <v>427</v>
      </c>
      <c r="C166" s="104"/>
      <c r="D166" s="104"/>
      <c r="E166" s="143">
        <v>8.25</v>
      </c>
      <c r="F166" s="16">
        <f t="shared" si="236"/>
        <v>12150</v>
      </c>
      <c r="G166" s="17">
        <f t="shared" si="237"/>
        <v>9.3174998353909491</v>
      </c>
      <c r="H166" s="15">
        <f t="shared" si="238"/>
        <v>113207.62300000002</v>
      </c>
      <c r="I166" s="15">
        <f t="shared" si="239"/>
        <v>-12970.123000000021</v>
      </c>
      <c r="J166" s="33">
        <f t="shared" si="240"/>
        <v>-0.1145693430909686</v>
      </c>
      <c r="K166" s="15">
        <f t="shared" si="241"/>
        <v>100237.5</v>
      </c>
      <c r="L166" s="15">
        <f t="shared" si="242"/>
        <v>-242.99999999998545</v>
      </c>
      <c r="M166" s="15">
        <f t="shared" si="243"/>
        <v>5</v>
      </c>
      <c r="N166" s="15">
        <f t="shared" si="244"/>
        <v>0</v>
      </c>
      <c r="O166" s="64"/>
      <c r="P166" s="17">
        <f t="shared" si="245"/>
        <v>-1.0674998353909491</v>
      </c>
      <c r="Q166" s="15">
        <f t="shared" si="246"/>
        <v>1215</v>
      </c>
      <c r="R166" s="35"/>
      <c r="S166" s="35">
        <f t="shared" si="247"/>
        <v>47307.861999999674</v>
      </c>
      <c r="T166" s="35">
        <f t="shared" si="248"/>
        <v>5734.2863030302633</v>
      </c>
      <c r="U166" s="35">
        <f t="shared" si="249"/>
        <v>17884.286303030261</v>
      </c>
      <c r="V166" s="15">
        <f t="shared" si="250"/>
        <v>160515.48499999969</v>
      </c>
      <c r="W166" s="17">
        <f t="shared" si="251"/>
        <v>8.9752245228148926</v>
      </c>
      <c r="X166" s="17">
        <f t="shared" si="252"/>
        <v>-0.34227531257605648</v>
      </c>
      <c r="Y166" s="17">
        <f t="shared" si="253"/>
        <v>-0.72522452281489258</v>
      </c>
      <c r="Z166" s="134">
        <f t="shared" si="254"/>
        <v>0.67936733924581261</v>
      </c>
      <c r="AA166" s="15">
        <f>SUM(L$2:L166)-SUM(AB$2:AB166)</f>
        <v>19805.283000000178</v>
      </c>
      <c r="AB166" s="64"/>
      <c r="AC166" s="145">
        <f t="shared" si="215"/>
        <v>-1571.3500531515178</v>
      </c>
      <c r="AD166" s="145">
        <f t="shared" si="216"/>
        <v>-13721.350053151518</v>
      </c>
    </row>
    <row r="167" spans="1:30" x14ac:dyDescent="0.25">
      <c r="A167" s="99">
        <v>42907</v>
      </c>
      <c r="B167" s="100" t="s">
        <v>428</v>
      </c>
      <c r="C167" s="104" t="s">
        <v>63</v>
      </c>
      <c r="D167" s="104">
        <v>500</v>
      </c>
      <c r="E167" s="143">
        <v>8.1199999999999992</v>
      </c>
      <c r="F167" s="16">
        <f t="shared" si="236"/>
        <v>12650</v>
      </c>
      <c r="G167" s="17">
        <f t="shared" si="237"/>
        <v>9.2705630830039549</v>
      </c>
      <c r="H167" s="15">
        <f t="shared" si="238"/>
        <v>117272.62300000002</v>
      </c>
      <c r="I167" s="15">
        <f t="shared" si="239"/>
        <v>-14554.623000000036</v>
      </c>
      <c r="J167" s="33">
        <f t="shared" si="240"/>
        <v>-0.12410929872353955</v>
      </c>
      <c r="K167" s="15">
        <f t="shared" si="241"/>
        <v>102717.99999999999</v>
      </c>
      <c r="L167" s="15">
        <f t="shared" si="242"/>
        <v>-1584.5000000000146</v>
      </c>
      <c r="M167" s="15">
        <f t="shared" si="243"/>
        <v>5</v>
      </c>
      <c r="N167" s="15">
        <f t="shared" si="244"/>
        <v>0</v>
      </c>
      <c r="O167" s="64"/>
      <c r="P167" s="17">
        <f t="shared" si="245"/>
        <v>-1.1505630830039557</v>
      </c>
      <c r="Q167" s="15">
        <f t="shared" si="246"/>
        <v>-4065</v>
      </c>
      <c r="R167" s="35"/>
      <c r="S167" s="35">
        <f t="shared" si="247"/>
        <v>43242.861999999674</v>
      </c>
      <c r="T167" s="35">
        <f t="shared" si="248"/>
        <v>5325.4756157635074</v>
      </c>
      <c r="U167" s="35">
        <f t="shared" si="249"/>
        <v>17975.475615763506</v>
      </c>
      <c r="V167" s="15">
        <f t="shared" si="250"/>
        <v>160515.48499999969</v>
      </c>
      <c r="W167" s="17">
        <f t="shared" si="251"/>
        <v>8.9296933461519323</v>
      </c>
      <c r="X167" s="17">
        <f t="shared" si="252"/>
        <v>-0.3408697368520226</v>
      </c>
      <c r="Y167" s="17">
        <f t="shared" si="253"/>
        <v>-0.80969334615193311</v>
      </c>
      <c r="Z167" s="134">
        <f t="shared" si="254"/>
        <v>0.70373659481402784</v>
      </c>
      <c r="AA167" s="15">
        <f>SUM(L$2:L167)-SUM(AB$2:AB167)</f>
        <v>18220.783000000163</v>
      </c>
      <c r="AB167" s="64"/>
      <c r="AC167" s="145">
        <f t="shared" si="215"/>
        <v>-1791.5450355295613</v>
      </c>
      <c r="AD167" s="145">
        <f t="shared" si="216"/>
        <v>-14441.545035529562</v>
      </c>
    </row>
    <row r="168" spans="1:30" x14ac:dyDescent="0.25">
      <c r="A168" s="99">
        <v>42909</v>
      </c>
      <c r="B168" s="100" t="s">
        <v>429</v>
      </c>
      <c r="C168" s="104" t="s">
        <v>63</v>
      </c>
      <c r="D168" s="104">
        <v>500</v>
      </c>
      <c r="E168" s="143">
        <v>8.02</v>
      </c>
      <c r="F168" s="16">
        <f t="shared" si="236"/>
        <v>13150</v>
      </c>
      <c r="G168" s="17">
        <f t="shared" si="237"/>
        <v>9.2233933840304196</v>
      </c>
      <c r="H168" s="15">
        <f t="shared" si="238"/>
        <v>121287.62300000002</v>
      </c>
      <c r="I168" s="15">
        <f t="shared" si="239"/>
        <v>-15824.623000000021</v>
      </c>
      <c r="J168" s="33">
        <f t="shared" si="240"/>
        <v>-0.13047187015941455</v>
      </c>
      <c r="K168" s="15">
        <f t="shared" si="241"/>
        <v>105463</v>
      </c>
      <c r="L168" s="15">
        <f t="shared" si="242"/>
        <v>-1269.9999999999854</v>
      </c>
      <c r="M168" s="15">
        <f t="shared" si="243"/>
        <v>5</v>
      </c>
      <c r="N168" s="15">
        <f t="shared" si="244"/>
        <v>0</v>
      </c>
      <c r="O168" s="64"/>
      <c r="P168" s="17">
        <f t="shared" si="245"/>
        <v>-1.2033933840304201</v>
      </c>
      <c r="Q168" s="15">
        <f t="shared" si="246"/>
        <v>-4015</v>
      </c>
      <c r="R168" s="35"/>
      <c r="S168" s="35">
        <f t="shared" si="247"/>
        <v>39227.861999999674</v>
      </c>
      <c r="T168" s="35">
        <f t="shared" si="248"/>
        <v>4891.2546134662934</v>
      </c>
      <c r="U168" s="35">
        <f t="shared" si="249"/>
        <v>18041.254613466292</v>
      </c>
      <c r="V168" s="15">
        <f t="shared" si="250"/>
        <v>160515.48499999969</v>
      </c>
      <c r="W168" s="17">
        <f t="shared" si="251"/>
        <v>8.8971353954612606</v>
      </c>
      <c r="X168" s="17">
        <f t="shared" si="252"/>
        <v>-0.326257988569159</v>
      </c>
      <c r="Y168" s="17">
        <f t="shared" si="253"/>
        <v>-0.87713539546126107</v>
      </c>
      <c r="Z168" s="134">
        <f t="shared" si="254"/>
        <v>0.72888500726466232</v>
      </c>
      <c r="AA168" s="15">
        <f>SUM(L$2:L168)-SUM(AB$2:AB168)</f>
        <v>16950.783000000178</v>
      </c>
      <c r="AB168" s="64"/>
      <c r="AC168" s="145">
        <f t="shared" si="215"/>
        <v>-1972.1584399625963</v>
      </c>
      <c r="AD168" s="145">
        <f t="shared" si="216"/>
        <v>-15122.158439962597</v>
      </c>
    </row>
    <row r="169" spans="1:30" x14ac:dyDescent="0.25">
      <c r="A169" s="99">
        <v>42911</v>
      </c>
      <c r="B169" s="100"/>
      <c r="C169" s="104" t="s">
        <v>69</v>
      </c>
      <c r="D169" s="104">
        <v>500</v>
      </c>
      <c r="E169" s="143">
        <v>8.51</v>
      </c>
      <c r="F169" s="16">
        <f t="shared" si="236"/>
        <v>12650</v>
      </c>
      <c r="G169" s="17">
        <f t="shared" si="237"/>
        <v>9.2523223715415046</v>
      </c>
      <c r="H169" s="15">
        <f t="shared" si="238"/>
        <v>117041.87800000003</v>
      </c>
      <c r="I169" s="15">
        <f t="shared" si="239"/>
        <v>-9390.3780000000261</v>
      </c>
      <c r="J169" s="33">
        <f t="shared" si="240"/>
        <v>-8.023092384078144E-2</v>
      </c>
      <c r="K169" s="15">
        <f t="shared" si="241"/>
        <v>107651.5</v>
      </c>
      <c r="L169" s="15">
        <f t="shared" si="242"/>
        <v>6434.2449999999953</v>
      </c>
      <c r="M169" s="15">
        <f t="shared" si="243"/>
        <v>5</v>
      </c>
      <c r="N169" s="15">
        <f t="shared" si="244"/>
        <v>4.2549999999999999</v>
      </c>
      <c r="O169" s="64"/>
      <c r="P169" s="17">
        <f t="shared" si="245"/>
        <v>-0.74232237154150482</v>
      </c>
      <c r="Q169" s="15">
        <f t="shared" si="246"/>
        <v>4245.7449999999953</v>
      </c>
      <c r="R169" s="35"/>
      <c r="S169" s="35">
        <f t="shared" si="247"/>
        <v>43473.606999999669</v>
      </c>
      <c r="T169" s="35">
        <f t="shared" si="248"/>
        <v>5108.5319623971409</v>
      </c>
      <c r="U169" s="35">
        <f t="shared" si="249"/>
        <v>17758.531962397141</v>
      </c>
      <c r="V169" s="15">
        <f t="shared" si="250"/>
        <v>160515.48499999969</v>
      </c>
      <c r="W169" s="17">
        <f t="shared" si="251"/>
        <v>9.0387812089357222</v>
      </c>
      <c r="X169" s="17">
        <f t="shared" si="252"/>
        <v>-0.21354116260578238</v>
      </c>
      <c r="Y169" s="17">
        <f t="shared" si="253"/>
        <v>-0.52878120893572245</v>
      </c>
      <c r="Z169" s="134">
        <f t="shared" si="254"/>
        <v>0.71233365611446842</v>
      </c>
      <c r="AA169" s="15">
        <f>SUM(L$2:L169)-SUM(AB$2:AB169)</f>
        <v>23385.028000000173</v>
      </c>
      <c r="AB169" s="64"/>
      <c r="AC169" s="145">
        <f t="shared" si="215"/>
        <v>-1102.9004478260902</v>
      </c>
      <c r="AD169" s="145">
        <f t="shared" si="216"/>
        <v>-13752.90044782609</v>
      </c>
    </row>
    <row r="170" spans="1:30" x14ac:dyDescent="0.25">
      <c r="A170" s="99">
        <v>42912</v>
      </c>
      <c r="B170" s="100"/>
      <c r="C170" s="104" t="s">
        <v>69</v>
      </c>
      <c r="D170" s="104">
        <v>500</v>
      </c>
      <c r="E170" s="143">
        <v>8.64</v>
      </c>
      <c r="F170" s="16">
        <f t="shared" si="236"/>
        <v>12150</v>
      </c>
      <c r="G170" s="17">
        <f t="shared" si="237"/>
        <v>9.2782879012345703</v>
      </c>
      <c r="H170" s="15">
        <f t="shared" si="238"/>
        <v>112731.19800000003</v>
      </c>
      <c r="I170" s="15">
        <f t="shared" si="239"/>
        <v>-7755.1980000000331</v>
      </c>
      <c r="J170" s="33">
        <f t="shared" si="240"/>
        <v>-6.8793715826563115E-2</v>
      </c>
      <c r="K170" s="15">
        <f t="shared" si="241"/>
        <v>104976</v>
      </c>
      <c r="L170" s="15">
        <f t="shared" si="242"/>
        <v>1635.179999999993</v>
      </c>
      <c r="M170" s="15">
        <f t="shared" si="243"/>
        <v>5</v>
      </c>
      <c r="N170" s="15">
        <f t="shared" si="244"/>
        <v>4.32</v>
      </c>
      <c r="O170" s="64"/>
      <c r="P170" s="17">
        <f t="shared" si="245"/>
        <v>-0.63828790123456969</v>
      </c>
      <c r="Q170" s="15">
        <f t="shared" si="246"/>
        <v>4310.679999999993</v>
      </c>
      <c r="R170" s="35"/>
      <c r="S170" s="35">
        <f t="shared" si="247"/>
        <v>47784.286999999662</v>
      </c>
      <c r="T170" s="35">
        <f t="shared" si="248"/>
        <v>5530.5887731481089</v>
      </c>
      <c r="U170" s="35">
        <f t="shared" si="249"/>
        <v>17680.588773148109</v>
      </c>
      <c r="V170" s="15">
        <f t="shared" si="250"/>
        <v>160515.48499999969</v>
      </c>
      <c r="W170" s="17">
        <f t="shared" si="251"/>
        <v>9.0786278137851397</v>
      </c>
      <c r="X170" s="17">
        <f t="shared" si="252"/>
        <v>-0.19966008744943053</v>
      </c>
      <c r="Y170" s="17">
        <f t="shared" si="253"/>
        <v>-0.43862781378513915</v>
      </c>
      <c r="Z170" s="134">
        <f t="shared" si="254"/>
        <v>0.68719430986667518</v>
      </c>
      <c r="AA170" s="15">
        <f>SUM(L$2:L170)-SUM(AB$2:AB170)</f>
        <v>25020.208000000166</v>
      </c>
      <c r="AB170" s="64"/>
      <c r="AC170" s="145">
        <f t="shared" si="215"/>
        <v>-897.14356493055936</v>
      </c>
      <c r="AD170" s="145">
        <f t="shared" si="216"/>
        <v>-13047.143564930559</v>
      </c>
    </row>
    <row r="171" spans="1:30" x14ac:dyDescent="0.25">
      <c r="A171" s="99">
        <v>42919</v>
      </c>
      <c r="B171" s="100"/>
      <c r="C171" s="104" t="s">
        <v>69</v>
      </c>
      <c r="D171" s="104">
        <v>500</v>
      </c>
      <c r="E171" s="143">
        <v>8.73</v>
      </c>
      <c r="F171" s="147">
        <f t="shared" si="236"/>
        <v>11650</v>
      </c>
      <c r="G171" s="17">
        <f t="shared" si="237"/>
        <v>9.3026234334763984</v>
      </c>
      <c r="H171" s="15">
        <f t="shared" si="238"/>
        <v>108375.56300000004</v>
      </c>
      <c r="I171" s="15">
        <f t="shared" si="239"/>
        <v>-6671.0630000000383</v>
      </c>
      <c r="J171" s="33">
        <f t="shared" si="240"/>
        <v>-6.1555048161549428E-2</v>
      </c>
      <c r="K171" s="15">
        <f t="shared" si="241"/>
        <v>101704.5</v>
      </c>
      <c r="L171" s="15">
        <f t="shared" si="242"/>
        <v>1084.1349999999948</v>
      </c>
      <c r="M171" s="15">
        <f t="shared" si="243"/>
        <v>5</v>
      </c>
      <c r="N171" s="15">
        <f t="shared" si="244"/>
        <v>4.3650000000000002</v>
      </c>
      <c r="O171" s="64"/>
      <c r="P171" s="17">
        <f t="shared" si="245"/>
        <v>-0.57262343347639799</v>
      </c>
      <c r="Q171" s="15">
        <f t="shared" si="246"/>
        <v>4355.6349999999948</v>
      </c>
      <c r="R171" s="35"/>
      <c r="S171" s="35">
        <f t="shared" si="247"/>
        <v>52139.921999999657</v>
      </c>
      <c r="T171" s="35">
        <f t="shared" si="248"/>
        <v>5972.4996563573486</v>
      </c>
      <c r="U171" s="35">
        <f t="shared" si="249"/>
        <v>17622.499656357348</v>
      </c>
      <c r="V171" s="15">
        <f t="shared" si="250"/>
        <v>160515.48499999969</v>
      </c>
      <c r="W171" s="17">
        <f t="shared" si="251"/>
        <v>9.1085537313143572</v>
      </c>
      <c r="X171" s="17">
        <f t="shared" si="252"/>
        <v>-0.19406970216204122</v>
      </c>
      <c r="Y171" s="17">
        <f t="shared" si="253"/>
        <v>-0.37855373131435677</v>
      </c>
      <c r="Z171" s="134">
        <f t="shared" si="254"/>
        <v>0.66108669185289171</v>
      </c>
      <c r="AA171" s="15">
        <f>SUM(L$2:L171)-SUM(AB$2:AB171)</f>
        <v>26104.343000000161</v>
      </c>
      <c r="AB171" s="64"/>
      <c r="AC171" s="145">
        <f t="shared" si="215"/>
        <v>-763.77176042383019</v>
      </c>
      <c r="AD171" s="145">
        <f t="shared" si="216"/>
        <v>-12413.77176042383</v>
      </c>
    </row>
    <row r="172" spans="1:30" x14ac:dyDescent="0.25">
      <c r="A172" s="99">
        <v>42920</v>
      </c>
      <c r="B172" s="100" t="s">
        <v>247</v>
      </c>
      <c r="C172" s="104" t="s">
        <v>63</v>
      </c>
      <c r="D172" s="104">
        <v>500</v>
      </c>
      <c r="E172" s="143">
        <v>8.57</v>
      </c>
      <c r="F172" s="16">
        <f t="shared" ref="F172:F183" si="255">IF(C172="买",F171+D172,F171-D172)</f>
        <v>12150</v>
      </c>
      <c r="G172" s="17">
        <f t="shared" ref="G172:G183" si="256">H172/F172</f>
        <v>9.2728858436214026</v>
      </c>
      <c r="H172" s="15">
        <f t="shared" ref="H172:H183" si="257">IF(C172="买",H171+D172*E172+M172+N172,H171+-1*D172*E172+M172+N172)+O171</f>
        <v>112665.56300000004</v>
      </c>
      <c r="I172" s="15">
        <f t="shared" ref="I172:I183" si="258">-H172+K172</f>
        <v>-8540.0630000000383</v>
      </c>
      <c r="J172" s="33">
        <f t="shared" ref="J172:J183" si="259">(E172-G172)/G172</f>
        <v>-7.58001182668393E-2</v>
      </c>
      <c r="K172" s="15">
        <f t="shared" ref="K172:K183" si="260">F172*E172</f>
        <v>104125.5</v>
      </c>
      <c r="L172" s="15">
        <f t="shared" ref="L172:L183" si="261">I172-I171</f>
        <v>-1869</v>
      </c>
      <c r="M172" s="15">
        <f t="shared" ref="M172:M183" si="262">IF(D172*E172*5/10000&gt;5,D172*E172*5/10000,5)</f>
        <v>5</v>
      </c>
      <c r="N172" s="15">
        <f t="shared" ref="N172:N183" si="263">IF(C172="卖",D172*E172/1000,0)</f>
        <v>0</v>
      </c>
      <c r="O172" s="64"/>
      <c r="P172" s="17">
        <f t="shared" ref="P172:P183" si="264">E172-G172</f>
        <v>-0.70288584362140227</v>
      </c>
      <c r="Q172" s="15">
        <f t="shared" ref="Q172:Q183" si="265">(H172-H171)*-1</f>
        <v>-4290</v>
      </c>
      <c r="R172" s="35"/>
      <c r="S172" s="35">
        <f t="shared" ref="S172:S183" si="266">S171+Q172+O172+R172</f>
        <v>47849.921999999657</v>
      </c>
      <c r="T172" s="35">
        <f t="shared" ref="T172:T183" si="267">S172/E172</f>
        <v>5583.4214702450008</v>
      </c>
      <c r="U172" s="35">
        <f t="shared" ref="U172:U183" si="268">F172+T172</f>
        <v>17733.421470245001</v>
      </c>
      <c r="V172" s="15">
        <f t="shared" ref="V172:V183" si="269">H172+S172</f>
        <v>160515.48499999969</v>
      </c>
      <c r="W172" s="17">
        <f t="shared" ref="W172:W183" si="270">V172/U172</f>
        <v>9.0515801064859058</v>
      </c>
      <c r="X172" s="17">
        <f t="shared" ref="X172:X183" si="271">W172-G172</f>
        <v>-0.22130573713549673</v>
      </c>
      <c r="Y172" s="17">
        <f t="shared" ref="Y172:Y183" si="272">(X172-P172)*-1</f>
        <v>-0.48158010648590555</v>
      </c>
      <c r="Z172" s="134">
        <f t="shared" ref="Z172:Z183" si="273">F172/U172</f>
        <v>0.68514697067266728</v>
      </c>
      <c r="AA172" s="15">
        <f>SUM(L$2:L172)-SUM(AB$2:AB172)</f>
        <v>24235.343000000161</v>
      </c>
      <c r="AB172" s="64"/>
      <c r="AC172" s="145">
        <f t="shared" si="215"/>
        <v>-996.00851441073962</v>
      </c>
      <c r="AD172" s="145">
        <f t="shared" si="216"/>
        <v>-13146.00851441074</v>
      </c>
    </row>
    <row r="173" spans="1:30" x14ac:dyDescent="0.25">
      <c r="A173" s="99">
        <v>42921</v>
      </c>
      <c r="B173" s="100"/>
      <c r="C173" s="104" t="s">
        <v>69</v>
      </c>
      <c r="D173" s="104">
        <v>500</v>
      </c>
      <c r="E173" s="143">
        <v>8.7100000000000009</v>
      </c>
      <c r="F173" s="16">
        <f t="shared" si="255"/>
        <v>11650</v>
      </c>
      <c r="G173" s="17">
        <f t="shared" si="256"/>
        <v>9.2978470386266121</v>
      </c>
      <c r="H173" s="15">
        <f t="shared" si="257"/>
        <v>108319.91800000003</v>
      </c>
      <c r="I173" s="15">
        <f t="shared" si="258"/>
        <v>-6848.4180000000197</v>
      </c>
      <c r="J173" s="33">
        <f t="shared" si="259"/>
        <v>-6.3223995424368948E-2</v>
      </c>
      <c r="K173" s="15">
        <f t="shared" si="260"/>
        <v>101471.50000000001</v>
      </c>
      <c r="L173" s="15">
        <f t="shared" si="261"/>
        <v>1691.6450000000186</v>
      </c>
      <c r="M173" s="15">
        <f t="shared" si="262"/>
        <v>5</v>
      </c>
      <c r="N173" s="15">
        <f t="shared" si="263"/>
        <v>4.3550000000000004</v>
      </c>
      <c r="O173" s="64"/>
      <c r="P173" s="17">
        <f t="shared" si="264"/>
        <v>-0.58784703862661125</v>
      </c>
      <c r="Q173" s="15">
        <f t="shared" si="265"/>
        <v>4345.6450000000041</v>
      </c>
      <c r="R173" s="35"/>
      <c r="S173" s="35">
        <f t="shared" si="266"/>
        <v>52195.566999999661</v>
      </c>
      <c r="T173" s="35">
        <f t="shared" si="267"/>
        <v>5992.6024110217741</v>
      </c>
      <c r="U173" s="35">
        <f t="shared" si="268"/>
        <v>17642.602411021773</v>
      </c>
      <c r="V173" s="15">
        <f t="shared" si="269"/>
        <v>160515.48499999969</v>
      </c>
      <c r="W173" s="17">
        <f t="shared" si="270"/>
        <v>9.0981750458606765</v>
      </c>
      <c r="X173" s="17">
        <f t="shared" si="271"/>
        <v>-0.19967199276593561</v>
      </c>
      <c r="Y173" s="17">
        <f t="shared" si="272"/>
        <v>-0.38817504586067564</v>
      </c>
      <c r="Z173" s="134">
        <f t="shared" si="273"/>
        <v>0.66033342069319401</v>
      </c>
      <c r="AA173" s="15">
        <f>SUM(L$2:L173)-SUM(AB$2:AB173)</f>
        <v>25926.988000000179</v>
      </c>
      <c r="AB173" s="64"/>
      <c r="AC173" s="145">
        <f t="shared" si="215"/>
        <v>-785.87758794489321</v>
      </c>
      <c r="AD173" s="145">
        <f t="shared" si="216"/>
        <v>-12435.877587944893</v>
      </c>
    </row>
    <row r="174" spans="1:30" x14ac:dyDescent="0.25">
      <c r="A174" s="99">
        <v>42923</v>
      </c>
      <c r="B174" s="100"/>
      <c r="C174" s="104" t="s">
        <v>69</v>
      </c>
      <c r="D174" s="104">
        <v>500</v>
      </c>
      <c r="E174" s="143">
        <v>8.74</v>
      </c>
      <c r="F174" s="16">
        <f t="shared" si="255"/>
        <v>11150</v>
      </c>
      <c r="G174" s="17">
        <f t="shared" si="256"/>
        <v>9.3237029596412579</v>
      </c>
      <c r="H174" s="15">
        <f t="shared" si="257"/>
        <v>103959.28800000003</v>
      </c>
      <c r="I174" s="15">
        <f t="shared" si="258"/>
        <v>-6508.2880000000296</v>
      </c>
      <c r="J174" s="33">
        <f t="shared" si="259"/>
        <v>-6.2604199443920996E-2</v>
      </c>
      <c r="K174" s="15">
        <f t="shared" si="260"/>
        <v>97451</v>
      </c>
      <c r="L174" s="15">
        <f t="shared" si="261"/>
        <v>340.1299999999901</v>
      </c>
      <c r="M174" s="15">
        <f t="shared" si="262"/>
        <v>5</v>
      </c>
      <c r="N174" s="15">
        <f t="shared" si="263"/>
        <v>4.37</v>
      </c>
      <c r="O174" s="64"/>
      <c r="P174" s="17">
        <f t="shared" si="264"/>
        <v>-0.58370295964125773</v>
      </c>
      <c r="Q174" s="15">
        <f t="shared" si="265"/>
        <v>4360.6300000000047</v>
      </c>
      <c r="R174" s="35"/>
      <c r="S174" s="35">
        <f t="shared" si="266"/>
        <v>56556.196999999665</v>
      </c>
      <c r="T174" s="35">
        <f t="shared" si="267"/>
        <v>6470.9607551487034</v>
      </c>
      <c r="U174" s="35">
        <f t="shared" si="268"/>
        <v>17620.960755148702</v>
      </c>
      <c r="V174" s="15">
        <f t="shared" si="269"/>
        <v>160515.48499999969</v>
      </c>
      <c r="W174" s="17">
        <f t="shared" si="270"/>
        <v>9.109349213725384</v>
      </c>
      <c r="X174" s="17">
        <f t="shared" si="271"/>
        <v>-0.21435374591587397</v>
      </c>
      <c r="Y174" s="17">
        <f t="shared" si="272"/>
        <v>-0.36934921372538376</v>
      </c>
      <c r="Z174" s="134">
        <f t="shared" si="273"/>
        <v>0.63276912961411935</v>
      </c>
      <c r="AA174" s="15">
        <f>SUM(L$2:L174)-SUM(AB$2:AB174)</f>
        <v>26267.11800000017</v>
      </c>
      <c r="AB174" s="64"/>
      <c r="AC174" s="145">
        <f t="shared" si="215"/>
        <v>-744.28304988558693</v>
      </c>
      <c r="AD174" s="145">
        <f t="shared" si="216"/>
        <v>-11894.283049885587</v>
      </c>
    </row>
    <row r="175" spans="1:30" x14ac:dyDescent="0.25">
      <c r="A175" s="99">
        <v>42923</v>
      </c>
      <c r="B175" s="100"/>
      <c r="C175" s="104" t="s">
        <v>69</v>
      </c>
      <c r="D175" s="104">
        <v>500</v>
      </c>
      <c r="E175" s="143">
        <v>8.7799999999999994</v>
      </c>
      <c r="F175" s="16">
        <f t="shared" si="255"/>
        <v>10650</v>
      </c>
      <c r="G175" s="17">
        <f t="shared" si="256"/>
        <v>9.3501106103286418</v>
      </c>
      <c r="H175" s="15">
        <f t="shared" si="257"/>
        <v>99578.678000000029</v>
      </c>
      <c r="I175" s="15">
        <f t="shared" si="258"/>
        <v>-6071.678000000029</v>
      </c>
      <c r="J175" s="33">
        <f t="shared" si="259"/>
        <v>-6.0973675509128966E-2</v>
      </c>
      <c r="K175" s="15">
        <f t="shared" si="260"/>
        <v>93507</v>
      </c>
      <c r="L175" s="15">
        <f t="shared" si="261"/>
        <v>436.61000000000058</v>
      </c>
      <c r="M175" s="15">
        <f t="shared" si="262"/>
        <v>5</v>
      </c>
      <c r="N175" s="15">
        <f t="shared" si="263"/>
        <v>4.3899999999999997</v>
      </c>
      <c r="O175" s="64"/>
      <c r="P175" s="17">
        <f t="shared" si="264"/>
        <v>-0.57011061032864241</v>
      </c>
      <c r="Q175" s="15">
        <f t="shared" si="265"/>
        <v>4380.6100000000006</v>
      </c>
      <c r="R175" s="35"/>
      <c r="S175" s="35">
        <f t="shared" si="266"/>
        <v>60936.806999999666</v>
      </c>
      <c r="T175" s="35">
        <f t="shared" si="267"/>
        <v>6940.4108200455203</v>
      </c>
      <c r="U175" s="35">
        <f t="shared" si="268"/>
        <v>17590.410820045519</v>
      </c>
      <c r="V175" s="15">
        <f t="shared" si="269"/>
        <v>160515.48499999969</v>
      </c>
      <c r="W175" s="17">
        <f t="shared" si="270"/>
        <v>9.1251697667618394</v>
      </c>
      <c r="X175" s="17">
        <f t="shared" si="271"/>
        <v>-0.22494084356680233</v>
      </c>
      <c r="Y175" s="17">
        <f t="shared" si="272"/>
        <v>-0.34516976676184008</v>
      </c>
      <c r="Z175" s="134">
        <f t="shared" si="273"/>
        <v>0.60544350606431374</v>
      </c>
      <c r="AA175" s="15">
        <f>SUM(L$2:L175)-SUM(AB$2:AB175)</f>
        <v>26703.72800000017</v>
      </c>
      <c r="AB175" s="64"/>
      <c r="AC175" s="145">
        <f t="shared" si="215"/>
        <v>-691.18931218679154</v>
      </c>
      <c r="AD175" s="145">
        <f t="shared" si="216"/>
        <v>-11341.189312186791</v>
      </c>
    </row>
    <row r="176" spans="1:30" x14ac:dyDescent="0.25">
      <c r="A176" s="99">
        <v>42926</v>
      </c>
      <c r="B176" s="100"/>
      <c r="C176" s="104" t="s">
        <v>69</v>
      </c>
      <c r="D176" s="104">
        <v>500</v>
      </c>
      <c r="E176" s="143">
        <v>8.91</v>
      </c>
      <c r="F176" s="16">
        <f t="shared" si="255"/>
        <v>10150</v>
      </c>
      <c r="G176" s="17">
        <f t="shared" si="256"/>
        <v>9.3727224630541901</v>
      </c>
      <c r="H176" s="15">
        <f t="shared" si="257"/>
        <v>95133.133000000031</v>
      </c>
      <c r="I176" s="15">
        <f t="shared" si="258"/>
        <v>-4696.6330000000307</v>
      </c>
      <c r="J176" s="33">
        <f t="shared" si="259"/>
        <v>-4.9369056309750955E-2</v>
      </c>
      <c r="K176" s="15">
        <f t="shared" si="260"/>
        <v>90436.5</v>
      </c>
      <c r="L176" s="15">
        <f t="shared" si="261"/>
        <v>1375.0449999999983</v>
      </c>
      <c r="M176" s="15">
        <f t="shared" si="262"/>
        <v>5</v>
      </c>
      <c r="N176" s="15">
        <f t="shared" si="263"/>
        <v>4.4550000000000001</v>
      </c>
      <c r="O176" s="64"/>
      <c r="P176" s="17">
        <f t="shared" si="264"/>
        <v>-0.46272246305418996</v>
      </c>
      <c r="Q176" s="15">
        <f t="shared" si="265"/>
        <v>4445.5449999999983</v>
      </c>
      <c r="R176" s="35"/>
      <c r="S176" s="35">
        <f t="shared" si="266"/>
        <v>65382.351999999664</v>
      </c>
      <c r="T176" s="35">
        <f t="shared" si="267"/>
        <v>7338.0866442199394</v>
      </c>
      <c r="U176" s="35">
        <f t="shared" si="268"/>
        <v>17488.08664421994</v>
      </c>
      <c r="V176" s="15">
        <f t="shared" si="269"/>
        <v>160515.48499999969</v>
      </c>
      <c r="W176" s="17">
        <f t="shared" si="270"/>
        <v>9.1785618555962678</v>
      </c>
      <c r="X176" s="17">
        <f t="shared" si="271"/>
        <v>-0.1941606074579223</v>
      </c>
      <c r="Y176" s="17">
        <f t="shared" si="272"/>
        <v>-0.26856185559626766</v>
      </c>
      <c r="Z176" s="134">
        <f t="shared" si="273"/>
        <v>0.58039511162616053</v>
      </c>
      <c r="AA176" s="15">
        <f>SUM(L$2:L176)-SUM(AB$2:AB176)</f>
        <v>28078.773000000168</v>
      </c>
      <c r="AB176" s="64"/>
      <c r="AC176" s="145">
        <f t="shared" si="215"/>
        <v>-526.85574450056458</v>
      </c>
      <c r="AD176" s="145">
        <f t="shared" si="216"/>
        <v>-10676.855744500564</v>
      </c>
    </row>
    <row r="177" spans="1:30" x14ac:dyDescent="0.25">
      <c r="A177" s="99">
        <v>42927</v>
      </c>
      <c r="B177" s="100" t="s">
        <v>430</v>
      </c>
      <c r="C177" s="104" t="s">
        <v>63</v>
      </c>
      <c r="D177" s="104">
        <v>500</v>
      </c>
      <c r="E177" s="143">
        <v>8.7200000000000006</v>
      </c>
      <c r="F177" s="16">
        <f t="shared" si="255"/>
        <v>10650</v>
      </c>
      <c r="G177" s="17">
        <f t="shared" si="256"/>
        <v>9.3425476995305186</v>
      </c>
      <c r="H177" s="15">
        <f t="shared" si="257"/>
        <v>99498.133000000031</v>
      </c>
      <c r="I177" s="15">
        <f t="shared" si="258"/>
        <v>-6630.1330000000307</v>
      </c>
      <c r="J177" s="33">
        <f t="shared" si="259"/>
        <v>-6.6635752853774793E-2</v>
      </c>
      <c r="K177" s="15">
        <f t="shared" si="260"/>
        <v>92868</v>
      </c>
      <c r="L177" s="15">
        <f t="shared" si="261"/>
        <v>-1933.5</v>
      </c>
      <c r="M177" s="15">
        <f t="shared" si="262"/>
        <v>5</v>
      </c>
      <c r="N177" s="15">
        <f t="shared" si="263"/>
        <v>0</v>
      </c>
      <c r="O177" s="64"/>
      <c r="P177" s="17">
        <f t="shared" si="264"/>
        <v>-0.62254769953051792</v>
      </c>
      <c r="Q177" s="15">
        <f t="shared" si="265"/>
        <v>-4365</v>
      </c>
      <c r="R177" s="35"/>
      <c r="S177" s="35">
        <f t="shared" si="266"/>
        <v>61017.351999999664</v>
      </c>
      <c r="T177" s="35">
        <f t="shared" si="267"/>
        <v>6997.4027522935394</v>
      </c>
      <c r="U177" s="35">
        <f t="shared" si="268"/>
        <v>17647.402752293539</v>
      </c>
      <c r="V177" s="15">
        <f t="shared" si="269"/>
        <v>160515.48499999969</v>
      </c>
      <c r="W177" s="17">
        <f t="shared" si="270"/>
        <v>9.0957002145337427</v>
      </c>
      <c r="X177" s="17">
        <f t="shared" si="271"/>
        <v>-0.24684748499677589</v>
      </c>
      <c r="Y177" s="17">
        <f t="shared" si="272"/>
        <v>-0.37570021453374203</v>
      </c>
      <c r="Z177" s="134">
        <f t="shared" si="273"/>
        <v>0.60348823843870603</v>
      </c>
      <c r="AA177" s="15">
        <f>SUM(L$2:L177)-SUM(AB$2:AB177)</f>
        <v>26145.273000000168</v>
      </c>
      <c r="AB177" s="64"/>
      <c r="AC177" s="145">
        <f t="shared" si="215"/>
        <v>-759.95618503440721</v>
      </c>
      <c r="AD177" s="145">
        <f t="shared" si="216"/>
        <v>-11409.956185034407</v>
      </c>
    </row>
    <row r="178" spans="1:30" x14ac:dyDescent="0.25">
      <c r="A178" s="99">
        <v>42927</v>
      </c>
      <c r="B178" s="100" t="s">
        <v>431</v>
      </c>
      <c r="C178" s="104" t="s">
        <v>63</v>
      </c>
      <c r="D178" s="104">
        <v>500</v>
      </c>
      <c r="E178" s="143">
        <v>8.6300000000000008</v>
      </c>
      <c r="F178" s="16">
        <f t="shared" si="255"/>
        <v>11150</v>
      </c>
      <c r="G178" s="17">
        <f t="shared" si="256"/>
        <v>9.3110433183856536</v>
      </c>
      <c r="H178" s="15">
        <f t="shared" si="257"/>
        <v>103818.13300000003</v>
      </c>
      <c r="I178" s="15">
        <f t="shared" si="258"/>
        <v>-7593.6330000000162</v>
      </c>
      <c r="J178" s="33">
        <f t="shared" si="259"/>
        <v>-7.3143609700629331E-2</v>
      </c>
      <c r="K178" s="15">
        <f t="shared" si="260"/>
        <v>96224.500000000015</v>
      </c>
      <c r="L178" s="15">
        <f t="shared" si="261"/>
        <v>-963.49999999998545</v>
      </c>
      <c r="M178" s="15">
        <f t="shared" si="262"/>
        <v>5</v>
      </c>
      <c r="N178" s="15">
        <f t="shared" si="263"/>
        <v>0</v>
      </c>
      <c r="O178" s="64"/>
      <c r="P178" s="17">
        <f t="shared" si="264"/>
        <v>-0.6810433183856528</v>
      </c>
      <c r="Q178" s="15">
        <f t="shared" si="265"/>
        <v>-4320</v>
      </c>
      <c r="R178" s="35"/>
      <c r="S178" s="35">
        <f t="shared" si="266"/>
        <v>56697.351999999664</v>
      </c>
      <c r="T178" s="35">
        <f t="shared" si="267"/>
        <v>6569.7974507531471</v>
      </c>
      <c r="U178" s="35">
        <f t="shared" si="268"/>
        <v>17719.797450753147</v>
      </c>
      <c r="V178" s="15">
        <f t="shared" si="269"/>
        <v>160515.48499999969</v>
      </c>
      <c r="W178" s="17">
        <f t="shared" si="270"/>
        <v>9.058539492119154</v>
      </c>
      <c r="X178" s="17">
        <f t="shared" si="271"/>
        <v>-0.25250382626649959</v>
      </c>
      <c r="Y178" s="17">
        <f t="shared" si="272"/>
        <v>-0.42853949211915321</v>
      </c>
      <c r="Z178" s="134">
        <f t="shared" si="273"/>
        <v>0.62923969819565229</v>
      </c>
      <c r="AA178" s="15">
        <f>SUM(L$2:L178)-SUM(AB$2:AB178)</f>
        <v>25181.773000000183</v>
      </c>
      <c r="AB178" s="64"/>
      <c r="AC178" s="145">
        <f t="shared" si="215"/>
        <v>-879.47116842410389</v>
      </c>
      <c r="AD178" s="145">
        <f t="shared" si="216"/>
        <v>-12029.471168424105</v>
      </c>
    </row>
    <row r="179" spans="1:30" x14ac:dyDescent="0.25">
      <c r="A179" s="99">
        <v>42928</v>
      </c>
      <c r="B179" s="100"/>
      <c r="C179" s="104" t="s">
        <v>69</v>
      </c>
      <c r="D179" s="104">
        <v>500</v>
      </c>
      <c r="E179" s="143">
        <v>8.74</v>
      </c>
      <c r="F179" s="16">
        <f t="shared" si="255"/>
        <v>10650</v>
      </c>
      <c r="G179" s="17">
        <f t="shared" si="256"/>
        <v>9.3387326760563401</v>
      </c>
      <c r="H179" s="15">
        <f t="shared" si="257"/>
        <v>99457.503000000026</v>
      </c>
      <c r="I179" s="15">
        <f t="shared" si="258"/>
        <v>-6376.5030000000261</v>
      </c>
      <c r="J179" s="33">
        <f t="shared" si="259"/>
        <v>-6.4112840234889251E-2</v>
      </c>
      <c r="K179" s="15">
        <f t="shared" si="260"/>
        <v>93081</v>
      </c>
      <c r="L179" s="15">
        <f t="shared" si="261"/>
        <v>1217.1299999999901</v>
      </c>
      <c r="M179" s="15">
        <f t="shared" si="262"/>
        <v>5</v>
      </c>
      <c r="N179" s="15">
        <f t="shared" si="263"/>
        <v>4.37</v>
      </c>
      <c r="O179" s="64"/>
      <c r="P179" s="17">
        <f t="shared" si="264"/>
        <v>-0.59873267605633984</v>
      </c>
      <c r="Q179" s="15">
        <f t="shared" si="265"/>
        <v>4360.6300000000047</v>
      </c>
      <c r="R179" s="35"/>
      <c r="S179" s="35">
        <f t="shared" si="266"/>
        <v>61057.981999999669</v>
      </c>
      <c r="T179" s="35">
        <f t="shared" si="267"/>
        <v>6986.0391304347449</v>
      </c>
      <c r="U179" s="35">
        <f t="shared" si="268"/>
        <v>17636.039130434743</v>
      </c>
      <c r="V179" s="15">
        <f t="shared" si="269"/>
        <v>160515.48499999969</v>
      </c>
      <c r="W179" s="17">
        <f t="shared" si="270"/>
        <v>9.101560946471027</v>
      </c>
      <c r="X179" s="17">
        <f t="shared" si="271"/>
        <v>-0.23717172958531307</v>
      </c>
      <c r="Y179" s="17">
        <f t="shared" si="272"/>
        <v>-0.36156094647102677</v>
      </c>
      <c r="Z179" s="134">
        <f t="shared" si="273"/>
        <v>0.60387709061164174</v>
      </c>
      <c r="AA179" s="15">
        <f>SUM(L$2:L179)-SUM(AB$2:AB179)</f>
        <v>26398.903000000173</v>
      </c>
      <c r="AB179" s="64"/>
      <c r="AC179" s="145">
        <f t="shared" si="215"/>
        <v>-729.21221378718826</v>
      </c>
      <c r="AD179" s="145">
        <f t="shared" si="216"/>
        <v>-11379.212213787188</v>
      </c>
    </row>
    <row r="180" spans="1:30" s="1" customFormat="1" x14ac:dyDescent="0.25">
      <c r="A180" s="99">
        <v>42929</v>
      </c>
      <c r="B180" s="100"/>
      <c r="C180" s="104" t="s">
        <v>69</v>
      </c>
      <c r="D180" s="104">
        <v>500</v>
      </c>
      <c r="E180" s="143">
        <v>8.9700000000000006</v>
      </c>
      <c r="F180" s="16">
        <f t="shared" si="255"/>
        <v>10150</v>
      </c>
      <c r="G180" s="17">
        <f t="shared" si="256"/>
        <v>9.3578313300492635</v>
      </c>
      <c r="H180" s="15">
        <f t="shared" si="257"/>
        <v>94981.988000000027</v>
      </c>
      <c r="I180" s="15">
        <f t="shared" si="258"/>
        <v>-3936.4880000000267</v>
      </c>
      <c r="J180" s="33">
        <f t="shared" si="259"/>
        <v>-4.1444573680643713E-2</v>
      </c>
      <c r="K180" s="15">
        <f t="shared" si="260"/>
        <v>91045.5</v>
      </c>
      <c r="L180" s="15">
        <f t="shared" si="261"/>
        <v>2440.0149999999994</v>
      </c>
      <c r="M180" s="15">
        <f t="shared" si="262"/>
        <v>5</v>
      </c>
      <c r="N180" s="15">
        <f t="shared" si="263"/>
        <v>4.4850000000000003</v>
      </c>
      <c r="O180" s="64"/>
      <c r="P180" s="17">
        <f t="shared" si="264"/>
        <v>-0.38783133004926285</v>
      </c>
      <c r="Q180" s="15">
        <f t="shared" si="265"/>
        <v>4475.5149999999994</v>
      </c>
      <c r="R180" s="35"/>
      <c r="S180" s="35">
        <f t="shared" si="266"/>
        <v>65533.496999999668</v>
      </c>
      <c r="T180" s="35">
        <f t="shared" si="267"/>
        <v>7305.8525083611667</v>
      </c>
      <c r="U180" s="35">
        <f t="shared" si="268"/>
        <v>17455.852508361168</v>
      </c>
      <c r="V180" s="15">
        <f t="shared" si="269"/>
        <v>160515.48499999969</v>
      </c>
      <c r="W180" s="17">
        <f t="shared" si="270"/>
        <v>9.1955110713220378</v>
      </c>
      <c r="X180" s="17">
        <f t="shared" si="271"/>
        <v>-0.16232025872722566</v>
      </c>
      <c r="Y180" s="17">
        <f t="shared" si="272"/>
        <v>-0.22551107132203718</v>
      </c>
      <c r="Z180" s="134">
        <f t="shared" si="273"/>
        <v>0.58146687451319023</v>
      </c>
      <c r="AA180" s="15">
        <f>SUM(L$2:L180)-SUM(AB$2:AB180)</f>
        <v>28838.918000000172</v>
      </c>
      <c r="AB180" s="64"/>
      <c r="AC180" s="145">
        <f t="shared" si="215"/>
        <v>-438.63096499442884</v>
      </c>
      <c r="AD180" s="145">
        <f t="shared" si="216"/>
        <v>-10588.630964994429</v>
      </c>
    </row>
    <row r="181" spans="1:30" x14ac:dyDescent="0.25">
      <c r="A181" s="99">
        <v>42930</v>
      </c>
      <c r="B181" s="100"/>
      <c r="C181" s="104" t="s">
        <v>69</v>
      </c>
      <c r="D181" s="104">
        <v>500</v>
      </c>
      <c r="E181" s="143">
        <v>9.0500000000000007</v>
      </c>
      <c r="F181" s="16">
        <f t="shared" si="255"/>
        <v>9650</v>
      </c>
      <c r="G181" s="17">
        <f t="shared" si="256"/>
        <v>9.3747681865284989</v>
      </c>
      <c r="H181" s="15">
        <f t="shared" si="257"/>
        <v>90466.513000000021</v>
      </c>
      <c r="I181" s="15">
        <f t="shared" si="258"/>
        <v>-3134.0130000000208</v>
      </c>
      <c r="J181" s="33">
        <f t="shared" si="259"/>
        <v>-3.4642796500844536E-2</v>
      </c>
      <c r="K181" s="15">
        <f t="shared" si="260"/>
        <v>87332.5</v>
      </c>
      <c r="L181" s="15">
        <f t="shared" si="261"/>
        <v>802.47500000000582</v>
      </c>
      <c r="M181" s="15">
        <f t="shared" si="262"/>
        <v>5</v>
      </c>
      <c r="N181" s="15">
        <f t="shared" si="263"/>
        <v>4.5250000000000004</v>
      </c>
      <c r="O181" s="64"/>
      <c r="P181" s="17">
        <f t="shared" si="264"/>
        <v>-0.32476818652849815</v>
      </c>
      <c r="Q181" s="15">
        <f t="shared" si="265"/>
        <v>4515.4750000000058</v>
      </c>
      <c r="R181" s="35"/>
      <c r="S181" s="35">
        <f t="shared" si="266"/>
        <v>70048.971999999674</v>
      </c>
      <c r="T181" s="35">
        <f t="shared" si="267"/>
        <v>7740.2179005524495</v>
      </c>
      <c r="U181" s="35">
        <f t="shared" si="268"/>
        <v>17390.217900552449</v>
      </c>
      <c r="V181" s="15">
        <f t="shared" si="269"/>
        <v>160515.48499999969</v>
      </c>
      <c r="W181" s="17">
        <f t="shared" si="270"/>
        <v>9.2302170057857911</v>
      </c>
      <c r="X181" s="17">
        <f t="shared" si="271"/>
        <v>-0.14455118074270779</v>
      </c>
      <c r="Y181" s="17">
        <f t="shared" si="272"/>
        <v>-0.18021700578579036</v>
      </c>
      <c r="Z181" s="134">
        <f t="shared" si="273"/>
        <v>0.55490966560536548</v>
      </c>
      <c r="AA181" s="15">
        <f>SUM(L$2:L181)-SUM(AB$2:AB181)</f>
        <v>29641.393000000178</v>
      </c>
      <c r="AB181" s="64"/>
      <c r="AC181" s="145">
        <f t="shared" si="215"/>
        <v>-346.12662911602439</v>
      </c>
      <c r="AD181" s="145">
        <f t="shared" si="216"/>
        <v>-9996.1266291160246</v>
      </c>
    </row>
    <row r="182" spans="1:30" x14ac:dyDescent="0.25">
      <c r="A182" s="99">
        <v>42930</v>
      </c>
      <c r="B182" s="100" t="s">
        <v>259</v>
      </c>
      <c r="C182" s="104" t="s">
        <v>63</v>
      </c>
      <c r="D182" s="104">
        <v>500</v>
      </c>
      <c r="E182" s="143">
        <v>8.8800000000000008</v>
      </c>
      <c r="F182" s="16">
        <f t="shared" si="255"/>
        <v>10150</v>
      </c>
      <c r="G182" s="17">
        <f t="shared" si="256"/>
        <v>9.3508879802955693</v>
      </c>
      <c r="H182" s="15">
        <f t="shared" si="257"/>
        <v>94911.513000000021</v>
      </c>
      <c r="I182" s="15">
        <f t="shared" si="258"/>
        <v>-4779.5130000000063</v>
      </c>
      <c r="J182" s="33">
        <f t="shared" si="259"/>
        <v>-5.0357568317344378E-2</v>
      </c>
      <c r="K182" s="15">
        <f t="shared" si="260"/>
        <v>90132.000000000015</v>
      </c>
      <c r="L182" s="15">
        <f t="shared" si="261"/>
        <v>-1645.4999999999854</v>
      </c>
      <c r="M182" s="15">
        <f t="shared" si="262"/>
        <v>5</v>
      </c>
      <c r="N182" s="15">
        <f t="shared" si="263"/>
        <v>0</v>
      </c>
      <c r="O182" s="64"/>
      <c r="P182" s="17">
        <f t="shared" si="264"/>
        <v>-0.47088798029556855</v>
      </c>
      <c r="Q182" s="15">
        <f t="shared" si="265"/>
        <v>-4445</v>
      </c>
      <c r="R182" s="35"/>
      <c r="S182" s="35">
        <f t="shared" si="266"/>
        <v>65603.971999999674</v>
      </c>
      <c r="T182" s="35">
        <f t="shared" si="267"/>
        <v>7387.8346846846471</v>
      </c>
      <c r="U182" s="35">
        <f t="shared" si="268"/>
        <v>17537.834684684647</v>
      </c>
      <c r="V182" s="15">
        <f t="shared" si="269"/>
        <v>160515.48499999969</v>
      </c>
      <c r="W182" s="17">
        <f t="shared" si="270"/>
        <v>9.1525258326316568</v>
      </c>
      <c r="X182" s="17">
        <f t="shared" si="271"/>
        <v>-0.19836214766391258</v>
      </c>
      <c r="Y182" s="17">
        <f t="shared" si="272"/>
        <v>-0.27252583263165597</v>
      </c>
      <c r="Z182" s="134">
        <f t="shared" si="273"/>
        <v>0.57874875561826011</v>
      </c>
      <c r="AA182" s="15">
        <f>SUM(L$2:L182)-SUM(AB$2:AB182)</f>
        <v>27995.893000000193</v>
      </c>
      <c r="AB182" s="64"/>
      <c r="AC182" s="145">
        <f t="shared" si="215"/>
        <v>-537.96432922297367</v>
      </c>
      <c r="AD182" s="145">
        <f t="shared" si="216"/>
        <v>-10687.964329222974</v>
      </c>
    </row>
    <row r="183" spans="1:30" x14ac:dyDescent="0.25">
      <c r="A183" s="99">
        <v>42933</v>
      </c>
      <c r="B183" s="100" t="s">
        <v>432</v>
      </c>
      <c r="C183" s="104" t="s">
        <v>63</v>
      </c>
      <c r="D183" s="104">
        <v>500</v>
      </c>
      <c r="E183" s="143">
        <v>8.6999999999999993</v>
      </c>
      <c r="F183" s="16">
        <f t="shared" si="255"/>
        <v>10650</v>
      </c>
      <c r="G183" s="17">
        <f t="shared" si="256"/>
        <v>9.3207993427230065</v>
      </c>
      <c r="H183" s="15">
        <f t="shared" si="257"/>
        <v>99266.513000000021</v>
      </c>
      <c r="I183" s="15">
        <f t="shared" si="258"/>
        <v>-6611.5130000000354</v>
      </c>
      <c r="J183" s="33">
        <f t="shared" si="259"/>
        <v>-6.6603659181621755E-2</v>
      </c>
      <c r="K183" s="15">
        <f t="shared" si="260"/>
        <v>92654.999999999985</v>
      </c>
      <c r="L183" s="15">
        <f t="shared" si="261"/>
        <v>-1832.0000000000291</v>
      </c>
      <c r="M183" s="15">
        <f t="shared" si="262"/>
        <v>5</v>
      </c>
      <c r="N183" s="15">
        <f t="shared" si="263"/>
        <v>0</v>
      </c>
      <c r="O183" s="64"/>
      <c r="P183" s="17">
        <f t="shared" si="264"/>
        <v>-0.62079934272300719</v>
      </c>
      <c r="Q183" s="15">
        <f t="shared" si="265"/>
        <v>-4355</v>
      </c>
      <c r="R183" s="35"/>
      <c r="S183" s="35">
        <f t="shared" si="266"/>
        <v>61248.971999999674</v>
      </c>
      <c r="T183" s="35">
        <f t="shared" si="267"/>
        <v>7040.1117241378943</v>
      </c>
      <c r="U183" s="35">
        <f t="shared" si="268"/>
        <v>17690.111724137896</v>
      </c>
      <c r="V183" s="15">
        <f t="shared" si="269"/>
        <v>160515.48499999969</v>
      </c>
      <c r="W183" s="17">
        <f t="shared" si="270"/>
        <v>9.0737406017045501</v>
      </c>
      <c r="X183" s="17">
        <f t="shared" si="271"/>
        <v>-0.24705874101845637</v>
      </c>
      <c r="Y183" s="17">
        <f t="shared" si="272"/>
        <v>-0.37374060170455081</v>
      </c>
      <c r="Z183" s="134">
        <f t="shared" si="273"/>
        <v>0.60203124582125911</v>
      </c>
      <c r="AA183" s="15">
        <f>SUM(L$2:L183)-SUM(AB$2:AB183)</f>
        <v>26163.893000000164</v>
      </c>
      <c r="AB183" s="64"/>
      <c r="AC183" s="145">
        <f t="shared" si="215"/>
        <v>-759.56405097701565</v>
      </c>
      <c r="AD183" s="145">
        <f t="shared" si="216"/>
        <v>-11409.564050977016</v>
      </c>
    </row>
    <row r="184" spans="1:30" x14ac:dyDescent="0.25">
      <c r="A184" s="99">
        <v>42933</v>
      </c>
      <c r="B184" s="100"/>
      <c r="C184" s="104" t="s">
        <v>69</v>
      </c>
      <c r="D184" s="104">
        <v>500</v>
      </c>
      <c r="E184" s="143">
        <v>8.92</v>
      </c>
      <c r="F184" s="16">
        <f t="shared" ref="F184:F189" si="274">IF(C184="买",F183+D184,F183-D184)</f>
        <v>10150</v>
      </c>
      <c r="G184" s="17">
        <f t="shared" ref="G184:G189" si="275">H184/F184</f>
        <v>9.3414751724137961</v>
      </c>
      <c r="H184" s="15">
        <f t="shared" ref="H184:H189" si="276">IF(C184="买",H183+D184*E184+M184+N184,H183+-1*D184*E184+M184+N184)+O183</f>
        <v>94815.973000000027</v>
      </c>
      <c r="I184" s="15">
        <f t="shared" ref="I184:I189" si="277">-H184+K184</f>
        <v>-4277.9730000000272</v>
      </c>
      <c r="J184" s="33">
        <f t="shared" ref="J184:J189" si="278">(E184-G184)/G184</f>
        <v>-4.5118695348936935E-2</v>
      </c>
      <c r="K184" s="15">
        <f t="shared" ref="K184:K189" si="279">F184*E184</f>
        <v>90538</v>
      </c>
      <c r="L184" s="15">
        <f t="shared" ref="L184:L189" si="280">I184-I183</f>
        <v>2333.5400000000081</v>
      </c>
      <c r="M184" s="15">
        <f t="shared" ref="M184:M189" si="281">IF(D184*E184*5/10000&gt;5,D184*E184*5/10000,5)</f>
        <v>5</v>
      </c>
      <c r="N184" s="15">
        <f t="shared" ref="N184:N189" si="282">IF(C184="卖",D184*E184/1000,0)</f>
        <v>4.46</v>
      </c>
      <c r="O184" s="64"/>
      <c r="P184" s="17">
        <f t="shared" ref="P184:P189" si="283">E184-G184</f>
        <v>-0.42147517241379617</v>
      </c>
      <c r="Q184" s="15">
        <f t="shared" ref="Q184:Q189" si="284">(H184-H183)*-1</f>
        <v>4450.5399999999936</v>
      </c>
      <c r="R184" s="35"/>
      <c r="S184" s="35">
        <f t="shared" ref="S184:S189" si="285">S183+Q184+O184+R184</f>
        <v>65699.511999999668</v>
      </c>
      <c r="T184" s="35">
        <f t="shared" ref="T184:T189" si="286">S184/E184</f>
        <v>7365.4161434977204</v>
      </c>
      <c r="U184" s="35">
        <f t="shared" ref="U184:U189" si="287">F184+T184</f>
        <v>17515.416143497721</v>
      </c>
      <c r="V184" s="15">
        <f t="shared" ref="V184:V189" si="288">H184+S184</f>
        <v>160515.48499999969</v>
      </c>
      <c r="W184" s="17">
        <f t="shared" ref="W184:W189" si="289">V184/U184</f>
        <v>9.1642404431017841</v>
      </c>
      <c r="X184" s="17">
        <f t="shared" ref="X184:X189" si="290">W184-G184</f>
        <v>-0.17723472931201201</v>
      </c>
      <c r="Y184" s="17">
        <f t="shared" ref="Y184:Y189" si="291">(X184-P184)*-1</f>
        <v>-0.24424044310178417</v>
      </c>
      <c r="Z184" s="134">
        <f t="shared" ref="Z184:Z189" si="292">F184/U184</f>
        <v>0.57948951465637899</v>
      </c>
      <c r="AA184" s="15">
        <f>SUM(L$2:L184)-SUM(AB$2:AB184)</f>
        <v>28497.433000000172</v>
      </c>
      <c r="AB184" s="64"/>
      <c r="AC184" s="145">
        <f t="shared" si="215"/>
        <v>-479.35358895740217</v>
      </c>
      <c r="AD184" s="145">
        <f t="shared" si="216"/>
        <v>-10629.353588957401</v>
      </c>
    </row>
    <row r="185" spans="1:30" x14ac:dyDescent="0.25">
      <c r="A185" s="99">
        <v>42933</v>
      </c>
      <c r="B185" s="100"/>
      <c r="C185" s="104" t="s">
        <v>69</v>
      </c>
      <c r="D185" s="104">
        <v>500</v>
      </c>
      <c r="E185" s="143">
        <v>9.01</v>
      </c>
      <c r="F185" s="16">
        <f t="shared" si="274"/>
        <v>9650</v>
      </c>
      <c r="G185" s="17">
        <f t="shared" si="275"/>
        <v>9.3596350259067389</v>
      </c>
      <c r="H185" s="15">
        <f t="shared" si="276"/>
        <v>90320.478000000032</v>
      </c>
      <c r="I185" s="15">
        <f t="shared" si="277"/>
        <v>-3373.9780000000319</v>
      </c>
      <c r="J185" s="33">
        <f t="shared" si="278"/>
        <v>-3.735562604086342E-2</v>
      </c>
      <c r="K185" s="15">
        <f t="shared" si="279"/>
        <v>86946.5</v>
      </c>
      <c r="L185" s="15">
        <f t="shared" si="280"/>
        <v>903.99499999999534</v>
      </c>
      <c r="M185" s="15">
        <f t="shared" si="281"/>
        <v>5</v>
      </c>
      <c r="N185" s="15">
        <f t="shared" si="282"/>
        <v>4.5049999999999999</v>
      </c>
      <c r="O185" s="64"/>
      <c r="P185" s="17">
        <f t="shared" si="283"/>
        <v>-0.34963502590673912</v>
      </c>
      <c r="Q185" s="15">
        <f t="shared" si="284"/>
        <v>4495.4949999999953</v>
      </c>
      <c r="R185" s="35"/>
      <c r="S185" s="35">
        <f t="shared" si="285"/>
        <v>70195.006999999663</v>
      </c>
      <c r="T185" s="35">
        <f t="shared" si="286"/>
        <v>7790.7887902330367</v>
      </c>
      <c r="U185" s="35">
        <f t="shared" si="287"/>
        <v>17440.788790233037</v>
      </c>
      <c r="V185" s="15">
        <f t="shared" si="288"/>
        <v>160515.48499999969</v>
      </c>
      <c r="W185" s="17">
        <f t="shared" si="289"/>
        <v>9.2034532916246015</v>
      </c>
      <c r="X185" s="17">
        <f t="shared" si="290"/>
        <v>-0.15618173428213744</v>
      </c>
      <c r="Y185" s="17">
        <f t="shared" si="291"/>
        <v>-0.19345329162460168</v>
      </c>
      <c r="Z185" s="134">
        <f t="shared" si="292"/>
        <v>0.55330066294960623</v>
      </c>
      <c r="AA185" s="15">
        <f>SUM(L$2:L185)-SUM(AB$2:AB185)</f>
        <v>29401.428000000167</v>
      </c>
      <c r="AB185" s="64"/>
      <c r="AC185" s="145">
        <f t="shared" si="215"/>
        <v>-374.28313107658516</v>
      </c>
      <c r="AD185" s="145">
        <f t="shared" si="216"/>
        <v>-10024.283131076585</v>
      </c>
    </row>
    <row r="186" spans="1:30" x14ac:dyDescent="0.25">
      <c r="A186" s="99">
        <v>42933</v>
      </c>
      <c r="B186" s="100" t="s">
        <v>433</v>
      </c>
      <c r="C186" s="104" t="s">
        <v>63</v>
      </c>
      <c r="D186" s="104">
        <v>500</v>
      </c>
      <c r="E186" s="143">
        <v>8.7799999999999994</v>
      </c>
      <c r="F186" s="16">
        <f t="shared" si="274"/>
        <v>10150</v>
      </c>
      <c r="G186" s="17">
        <f t="shared" si="275"/>
        <v>9.3315741871921212</v>
      </c>
      <c r="H186" s="15">
        <f t="shared" si="276"/>
        <v>94715.478000000032</v>
      </c>
      <c r="I186" s="15">
        <f t="shared" si="277"/>
        <v>-5598.4780000000319</v>
      </c>
      <c r="J186" s="33">
        <f t="shared" si="278"/>
        <v>-5.910837508522139E-2</v>
      </c>
      <c r="K186" s="15">
        <f t="shared" si="279"/>
        <v>89117</v>
      </c>
      <c r="L186" s="15">
        <f t="shared" si="280"/>
        <v>-2224.5</v>
      </c>
      <c r="M186" s="15">
        <f t="shared" si="281"/>
        <v>5</v>
      </c>
      <c r="N186" s="15">
        <f t="shared" si="282"/>
        <v>0</v>
      </c>
      <c r="O186" s="64"/>
      <c r="P186" s="17">
        <f t="shared" si="283"/>
        <v>-0.55157418719212181</v>
      </c>
      <c r="Q186" s="15">
        <f t="shared" si="284"/>
        <v>-4395</v>
      </c>
      <c r="R186" s="35"/>
      <c r="S186" s="35">
        <f t="shared" si="285"/>
        <v>65800.006999999663</v>
      </c>
      <c r="T186" s="35">
        <f t="shared" si="286"/>
        <v>7494.3060364464318</v>
      </c>
      <c r="U186" s="35">
        <f t="shared" si="287"/>
        <v>17644.306036446433</v>
      </c>
      <c r="V186" s="15">
        <f t="shared" si="288"/>
        <v>160515.48499999969</v>
      </c>
      <c r="W186" s="17">
        <f t="shared" si="289"/>
        <v>9.097296582162862</v>
      </c>
      <c r="X186" s="17">
        <f t="shared" si="290"/>
        <v>-0.23427760502925921</v>
      </c>
      <c r="Y186" s="17">
        <f t="shared" si="291"/>
        <v>-0.31729658216286261</v>
      </c>
      <c r="Z186" s="134">
        <f t="shared" si="292"/>
        <v>0.57525640164220437</v>
      </c>
      <c r="AA186" s="15">
        <f>SUM(L$2:L186)-SUM(AB$2:AB186)</f>
        <v>27176.928000000167</v>
      </c>
      <c r="AB186" s="64"/>
      <c r="AC186" s="145">
        <f t="shared" si="215"/>
        <v>-637.32104339408124</v>
      </c>
      <c r="AD186" s="145">
        <f t="shared" si="216"/>
        <v>-10787.32104339408</v>
      </c>
    </row>
    <row r="187" spans="1:30" x14ac:dyDescent="0.25">
      <c r="A187" s="99">
        <v>42934</v>
      </c>
      <c r="B187" s="100"/>
      <c r="C187" s="104" t="s">
        <v>69</v>
      </c>
      <c r="D187" s="104">
        <v>500</v>
      </c>
      <c r="E187" s="143">
        <v>8.8800000000000008</v>
      </c>
      <c r="F187" s="16">
        <f t="shared" si="274"/>
        <v>9650</v>
      </c>
      <c r="G187" s="17">
        <f t="shared" si="275"/>
        <v>9.3559500518134744</v>
      </c>
      <c r="H187" s="15">
        <f t="shared" si="276"/>
        <v>90284.918000000034</v>
      </c>
      <c r="I187" s="15">
        <f t="shared" si="277"/>
        <v>-4592.9180000000197</v>
      </c>
      <c r="J187" s="33">
        <f t="shared" si="278"/>
        <v>-5.087137588140711E-2</v>
      </c>
      <c r="K187" s="15">
        <f t="shared" si="279"/>
        <v>85692.000000000015</v>
      </c>
      <c r="L187" s="15">
        <f t="shared" si="280"/>
        <v>1005.5600000000122</v>
      </c>
      <c r="M187" s="15">
        <f t="shared" si="281"/>
        <v>5</v>
      </c>
      <c r="N187" s="15">
        <f t="shared" si="282"/>
        <v>4.4400000000000004</v>
      </c>
      <c r="O187" s="64"/>
      <c r="P187" s="17">
        <f t="shared" si="283"/>
        <v>-0.47595005181347361</v>
      </c>
      <c r="Q187" s="15">
        <f t="shared" si="284"/>
        <v>4430.5599999999977</v>
      </c>
      <c r="R187" s="35"/>
      <c r="S187" s="35">
        <f t="shared" si="285"/>
        <v>70230.566999999661</v>
      </c>
      <c r="T187" s="35">
        <f t="shared" si="286"/>
        <v>7908.8476351350964</v>
      </c>
      <c r="U187" s="35">
        <f t="shared" si="287"/>
        <v>17558.847635135098</v>
      </c>
      <c r="V187" s="15">
        <f t="shared" si="288"/>
        <v>160515.48499999969</v>
      </c>
      <c r="W187" s="17">
        <f t="shared" si="289"/>
        <v>9.1415728603288091</v>
      </c>
      <c r="X187" s="17">
        <f t="shared" si="290"/>
        <v>-0.21437719148466527</v>
      </c>
      <c r="Y187" s="17">
        <f t="shared" si="291"/>
        <v>-0.26157286032880833</v>
      </c>
      <c r="Z187" s="134">
        <f t="shared" si="292"/>
        <v>0.54958048503652568</v>
      </c>
      <c r="AA187" s="15">
        <f>SUM(L$2:L187)-SUM(AB$2:AB187)</f>
        <v>28182.488000000179</v>
      </c>
      <c r="AB187" s="64"/>
      <c r="AC187" s="145">
        <f t="shared" si="215"/>
        <v>-516.96188524774993</v>
      </c>
      <c r="AD187" s="145">
        <f t="shared" si="216"/>
        <v>-10166.961885247751</v>
      </c>
    </row>
    <row r="188" spans="1:30" x14ac:dyDescent="0.25">
      <c r="A188" s="99">
        <v>42934</v>
      </c>
      <c r="B188" s="100"/>
      <c r="C188" s="104" t="s">
        <v>69</v>
      </c>
      <c r="D188" s="104">
        <v>500</v>
      </c>
      <c r="E188" s="143">
        <v>8.9600000000000009</v>
      </c>
      <c r="F188" s="16">
        <f t="shared" si="274"/>
        <v>9150</v>
      </c>
      <c r="G188" s="17">
        <f t="shared" si="275"/>
        <v>9.3786227322404407</v>
      </c>
      <c r="H188" s="15">
        <f t="shared" si="276"/>
        <v>85814.39800000003</v>
      </c>
      <c r="I188" s="15">
        <f t="shared" si="277"/>
        <v>-3830.3980000000156</v>
      </c>
      <c r="J188" s="33">
        <f t="shared" si="278"/>
        <v>-4.4635843043495146E-2</v>
      </c>
      <c r="K188" s="15">
        <f t="shared" si="279"/>
        <v>81984.000000000015</v>
      </c>
      <c r="L188" s="15">
        <f t="shared" si="280"/>
        <v>762.52000000000407</v>
      </c>
      <c r="M188" s="15">
        <f t="shared" si="281"/>
        <v>5</v>
      </c>
      <c r="N188" s="15">
        <f t="shared" si="282"/>
        <v>4.4800000000000004</v>
      </c>
      <c r="O188" s="64"/>
      <c r="P188" s="17">
        <f t="shared" si="283"/>
        <v>-0.41862273224043989</v>
      </c>
      <c r="Q188" s="15">
        <f t="shared" si="284"/>
        <v>4470.5200000000041</v>
      </c>
      <c r="R188" s="35"/>
      <c r="S188" s="35">
        <f t="shared" si="285"/>
        <v>74701.086999999665</v>
      </c>
      <c r="T188" s="35">
        <f t="shared" si="286"/>
        <v>8337.1748883928194</v>
      </c>
      <c r="U188" s="35">
        <f t="shared" si="287"/>
        <v>17487.174888392819</v>
      </c>
      <c r="V188" s="15">
        <f t="shared" si="288"/>
        <v>160515.48499999969</v>
      </c>
      <c r="W188" s="17">
        <f t="shared" si="289"/>
        <v>9.1790404124420615</v>
      </c>
      <c r="X188" s="17">
        <f t="shared" si="290"/>
        <v>-0.19958231979837926</v>
      </c>
      <c r="Y188" s="17">
        <f t="shared" si="291"/>
        <v>-0.21904041244206063</v>
      </c>
      <c r="Z188" s="134">
        <f t="shared" si="292"/>
        <v>0.52324060681027151</v>
      </c>
      <c r="AA188" s="15">
        <f>SUM(L$2:L188)-SUM(AB$2:AB188)</f>
        <v>28945.008000000184</v>
      </c>
      <c r="AB188" s="64"/>
      <c r="AC188" s="145">
        <f t="shared" si="215"/>
        <v>-427.28602689732315</v>
      </c>
      <c r="AD188" s="145">
        <f t="shared" si="216"/>
        <v>-9577.2860268973236</v>
      </c>
    </row>
    <row r="189" spans="1:30" x14ac:dyDescent="0.25">
      <c r="A189" s="99">
        <v>42934</v>
      </c>
      <c r="B189" s="100"/>
      <c r="C189" s="104" t="s">
        <v>69</v>
      </c>
      <c r="D189" s="104">
        <v>500</v>
      </c>
      <c r="E189" s="143">
        <v>9</v>
      </c>
      <c r="F189" s="16">
        <f t="shared" si="274"/>
        <v>8650</v>
      </c>
      <c r="G189" s="17">
        <f t="shared" si="275"/>
        <v>9.4016067052023153</v>
      </c>
      <c r="H189" s="15">
        <f t="shared" si="276"/>
        <v>81323.89800000003</v>
      </c>
      <c r="I189" s="15">
        <f t="shared" si="277"/>
        <v>-3473.8980000000302</v>
      </c>
      <c r="J189" s="33">
        <f t="shared" si="278"/>
        <v>-4.2716816156550028E-2</v>
      </c>
      <c r="K189" s="15">
        <f t="shared" si="279"/>
        <v>77850</v>
      </c>
      <c r="L189" s="15">
        <f t="shared" si="280"/>
        <v>356.49999999998545</v>
      </c>
      <c r="M189" s="15">
        <f t="shared" si="281"/>
        <v>5</v>
      </c>
      <c r="N189" s="15">
        <f t="shared" si="282"/>
        <v>4.5</v>
      </c>
      <c r="O189" s="64"/>
      <c r="P189" s="17">
        <f t="shared" si="283"/>
        <v>-0.40160670520231534</v>
      </c>
      <c r="Q189" s="15">
        <f t="shared" si="284"/>
        <v>4490.5</v>
      </c>
      <c r="R189" s="35"/>
      <c r="S189" s="35">
        <f t="shared" si="285"/>
        <v>79191.586999999665</v>
      </c>
      <c r="T189" s="35">
        <f t="shared" si="286"/>
        <v>8799.0652222221852</v>
      </c>
      <c r="U189" s="35">
        <f t="shared" si="287"/>
        <v>17449.065222222183</v>
      </c>
      <c r="V189" s="15">
        <f t="shared" si="288"/>
        <v>160515.48499999969</v>
      </c>
      <c r="W189" s="17">
        <f t="shared" si="289"/>
        <v>9.1990879142096329</v>
      </c>
      <c r="X189" s="17">
        <f t="shared" si="290"/>
        <v>-0.20251879099268244</v>
      </c>
      <c r="Y189" s="17">
        <f t="shared" si="291"/>
        <v>-0.1990879142096329</v>
      </c>
      <c r="Z189" s="134">
        <f t="shared" si="292"/>
        <v>0.49572856137782262</v>
      </c>
      <c r="AA189" s="15">
        <f>SUM(L$2:L189)-SUM(AB$2:AB189)</f>
        <v>29301.508000000169</v>
      </c>
      <c r="AB189" s="64"/>
      <c r="AC189" s="145">
        <f t="shared" si="215"/>
        <v>-385.79567233333671</v>
      </c>
      <c r="AD189" s="145">
        <f t="shared" si="216"/>
        <v>-9035.7956723333373</v>
      </c>
    </row>
    <row r="190" spans="1:30" x14ac:dyDescent="0.25">
      <c r="A190" s="99">
        <v>42934</v>
      </c>
      <c r="B190" s="100"/>
      <c r="C190" s="104" t="s">
        <v>69</v>
      </c>
      <c r="D190" s="104">
        <v>500</v>
      </c>
      <c r="E190" s="143">
        <v>9.09</v>
      </c>
      <c r="F190" s="16">
        <f t="shared" ref="F190:F197" si="293">IF(C190="买",F189+D190,F189-D190)</f>
        <v>8150</v>
      </c>
      <c r="G190" s="17">
        <f t="shared" ref="G190:G197" si="294">H190/F190</f>
        <v>9.4218948466257704</v>
      </c>
      <c r="H190" s="15">
        <f t="shared" ref="H190:H197" si="295">IF(C190="买",H189+D190*E190+M190+N190,H189+-1*D190*E190+M190+N190)+O189</f>
        <v>76788.443000000028</v>
      </c>
      <c r="I190" s="15">
        <f t="shared" ref="I190:I206" si="296">-H190+K190</f>
        <v>-2704.9430000000284</v>
      </c>
      <c r="J190" s="33">
        <f t="shared" ref="J190:J197" si="297">(E190-G190)/G190</f>
        <v>-3.5225912836909956E-2</v>
      </c>
      <c r="K190" s="15">
        <f t="shared" ref="K190:K197" si="298">F190*E190</f>
        <v>74083.5</v>
      </c>
      <c r="L190" s="15">
        <f t="shared" ref="L190:L197" si="299">I190-I189</f>
        <v>768.95500000000175</v>
      </c>
      <c r="M190" s="15">
        <f t="shared" ref="M190:M197" si="300">IF(D190*E190*5/10000&gt;5,D190*E190*5/10000,5)</f>
        <v>5</v>
      </c>
      <c r="N190" s="15">
        <f t="shared" ref="N190:N197" si="301">IF(C190="卖",D190*E190/1000,0)</f>
        <v>4.5449999999999999</v>
      </c>
      <c r="O190" s="64"/>
      <c r="P190" s="17">
        <f t="shared" ref="P190:P197" si="302">E190-G190</f>
        <v>-0.33189484662577051</v>
      </c>
      <c r="Q190" s="15">
        <f t="shared" ref="Q190:Q197" si="303">(H190-H189)*-1</f>
        <v>4535.4550000000017</v>
      </c>
      <c r="R190" s="35"/>
      <c r="S190" s="35">
        <f t="shared" ref="S190:S197" si="304">S189+Q190+O190+R190</f>
        <v>83727.041999999667</v>
      </c>
      <c r="T190" s="35">
        <f t="shared" ref="T190:T197" si="305">S190/E190</f>
        <v>9210.8957095709211</v>
      </c>
      <c r="U190" s="35">
        <f t="shared" ref="U190:U197" si="306">F190+T190</f>
        <v>17360.895709570919</v>
      </c>
      <c r="V190" s="15">
        <f t="shared" ref="V190:V197" si="307">H190+S190</f>
        <v>160515.48499999969</v>
      </c>
      <c r="W190" s="17">
        <f t="shared" ref="W190:W197" si="308">V190/U190</f>
        <v>9.2458066499131615</v>
      </c>
      <c r="X190" s="17">
        <f t="shared" ref="X190:X197" si="309">W190-G190</f>
        <v>-0.17608819671260889</v>
      </c>
      <c r="Y190" s="17">
        <f t="shared" ref="Y190:Y197" si="310">(X190-P190)*-1</f>
        <v>-0.15580664991316162</v>
      </c>
      <c r="Z190" s="134">
        <f t="shared" ref="Z190:Z197" si="311">F190/U190</f>
        <v>0.46944582447476901</v>
      </c>
      <c r="AA190" s="15">
        <f>SUM(L$2:L190)-SUM(AB$2:AB190)</f>
        <v>30070.463000000171</v>
      </c>
      <c r="AB190" s="64"/>
      <c r="AC190" s="145">
        <f t="shared" si="215"/>
        <v>-297.42470060506366</v>
      </c>
      <c r="AD190" s="145">
        <f t="shared" si="216"/>
        <v>-8447.4247006050646</v>
      </c>
    </row>
    <row r="191" spans="1:30" x14ac:dyDescent="0.25">
      <c r="A191" s="99">
        <v>42934</v>
      </c>
      <c r="B191" s="100"/>
      <c r="C191" s="104" t="s">
        <v>69</v>
      </c>
      <c r="D191" s="104">
        <v>500</v>
      </c>
      <c r="E191" s="143">
        <v>9.16</v>
      </c>
      <c r="F191" s="16">
        <f t="shared" si="293"/>
        <v>7650</v>
      </c>
      <c r="G191" s="17">
        <f t="shared" si="294"/>
        <v>9.4402644444444483</v>
      </c>
      <c r="H191" s="15">
        <f t="shared" si="295"/>
        <v>72218.02300000003</v>
      </c>
      <c r="I191" s="15">
        <f t="shared" si="296"/>
        <v>-2144.0230000000302</v>
      </c>
      <c r="J191" s="33">
        <f t="shared" si="297"/>
        <v>-2.9688198470900096E-2</v>
      </c>
      <c r="K191" s="15">
        <f t="shared" si="298"/>
        <v>70074</v>
      </c>
      <c r="L191" s="15">
        <f t="shared" si="299"/>
        <v>560.91999999999825</v>
      </c>
      <c r="M191" s="15">
        <f t="shared" si="300"/>
        <v>5</v>
      </c>
      <c r="N191" s="15">
        <f t="shared" si="301"/>
        <v>4.58</v>
      </c>
      <c r="O191" s="64"/>
      <c r="P191" s="17">
        <f t="shared" si="302"/>
        <v>-0.2802644444444482</v>
      </c>
      <c r="Q191" s="15">
        <f t="shared" si="303"/>
        <v>4570.4199999999983</v>
      </c>
      <c r="R191" s="35"/>
      <c r="S191" s="35">
        <f t="shared" si="304"/>
        <v>88297.461999999665</v>
      </c>
      <c r="T191" s="35">
        <f t="shared" si="305"/>
        <v>9639.4609170305303</v>
      </c>
      <c r="U191" s="35">
        <f t="shared" si="306"/>
        <v>17289.46091703053</v>
      </c>
      <c r="V191" s="15">
        <f t="shared" si="307"/>
        <v>160515.48499999969</v>
      </c>
      <c r="W191" s="17">
        <f t="shared" si="308"/>
        <v>9.2840075101409401</v>
      </c>
      <c r="X191" s="17">
        <f t="shared" si="309"/>
        <v>-0.15625693430350829</v>
      </c>
      <c r="Y191" s="17">
        <f t="shared" si="310"/>
        <v>-0.12400751014093991</v>
      </c>
      <c r="Z191" s="134">
        <f t="shared" si="311"/>
        <v>0.44246608015780109</v>
      </c>
      <c r="AA191" s="15">
        <f>SUM(L$2:L191)-SUM(AB$2:AB191)</f>
        <v>30631.383000000169</v>
      </c>
      <c r="AB191" s="64"/>
      <c r="AC191" s="145">
        <f t="shared" si="215"/>
        <v>-233.94661446506882</v>
      </c>
      <c r="AD191" s="145">
        <f t="shared" si="216"/>
        <v>-7883.9466144650687</v>
      </c>
    </row>
    <row r="192" spans="1:30" x14ac:dyDescent="0.25">
      <c r="A192" s="99">
        <v>42935</v>
      </c>
      <c r="B192" s="100"/>
      <c r="C192" s="104" t="s">
        <v>69</v>
      </c>
      <c r="D192" s="104">
        <v>500</v>
      </c>
      <c r="E192" s="143">
        <v>9.24</v>
      </c>
      <c r="F192" s="16">
        <f t="shared" si="293"/>
        <v>7150</v>
      </c>
      <c r="G192" s="17">
        <f t="shared" si="294"/>
        <v>9.4556144055944085</v>
      </c>
      <c r="H192" s="15">
        <f t="shared" si="295"/>
        <v>67607.643000000025</v>
      </c>
      <c r="I192" s="15">
        <f t="shared" si="296"/>
        <v>-1541.6430000000255</v>
      </c>
      <c r="J192" s="33">
        <f t="shared" si="297"/>
        <v>-2.2802791690282983E-2</v>
      </c>
      <c r="K192" s="15">
        <f t="shared" si="298"/>
        <v>66066</v>
      </c>
      <c r="L192" s="15">
        <f t="shared" si="299"/>
        <v>602.38000000000466</v>
      </c>
      <c r="M192" s="15">
        <f t="shared" si="300"/>
        <v>5</v>
      </c>
      <c r="N192" s="15">
        <f t="shared" si="301"/>
        <v>4.62</v>
      </c>
      <c r="O192" s="64"/>
      <c r="P192" s="17">
        <f t="shared" si="302"/>
        <v>-0.21561440559440825</v>
      </c>
      <c r="Q192" s="15">
        <f t="shared" si="303"/>
        <v>4610.3800000000047</v>
      </c>
      <c r="R192" s="35"/>
      <c r="S192" s="35">
        <f t="shared" si="304"/>
        <v>92907.841999999669</v>
      </c>
      <c r="T192" s="35">
        <f t="shared" si="305"/>
        <v>10054.961255411219</v>
      </c>
      <c r="U192" s="35">
        <f t="shared" si="306"/>
        <v>17204.961255411217</v>
      </c>
      <c r="V192" s="15">
        <f t="shared" si="307"/>
        <v>160515.48499999969</v>
      </c>
      <c r="W192" s="17">
        <f t="shared" si="308"/>
        <v>9.329604560981803</v>
      </c>
      <c r="X192" s="17">
        <f t="shared" si="309"/>
        <v>-0.12600984461260545</v>
      </c>
      <c r="Y192" s="17">
        <f t="shared" si="310"/>
        <v>-8.9604560981802805E-2</v>
      </c>
      <c r="Z192" s="134">
        <f t="shared" si="311"/>
        <v>0.41557780304510816</v>
      </c>
      <c r="AA192" s="15">
        <f>SUM(L$2:L192)-SUM(AB$2:AB192)</f>
        <v>31233.763000000174</v>
      </c>
      <c r="AB192" s="64"/>
      <c r="AC192" s="145">
        <f t="shared" si="215"/>
        <v>-166.76105827922356</v>
      </c>
      <c r="AD192" s="145">
        <f t="shared" si="216"/>
        <v>-7316.761058279224</v>
      </c>
    </row>
    <row r="193" spans="1:30" x14ac:dyDescent="0.25">
      <c r="A193" s="99">
        <v>42935</v>
      </c>
      <c r="B193" s="100" t="s">
        <v>322</v>
      </c>
      <c r="C193" s="104" t="s">
        <v>63</v>
      </c>
      <c r="D193" s="104">
        <v>500</v>
      </c>
      <c r="E193" s="143">
        <v>9.1199999999999992</v>
      </c>
      <c r="F193" s="16">
        <f t="shared" si="293"/>
        <v>7650</v>
      </c>
      <c r="G193" s="17">
        <f t="shared" si="294"/>
        <v>9.4343324183006576</v>
      </c>
      <c r="H193" s="15">
        <f t="shared" si="295"/>
        <v>72172.643000000025</v>
      </c>
      <c r="I193" s="15">
        <f t="shared" si="296"/>
        <v>-2404.6430000000255</v>
      </c>
      <c r="J193" s="33">
        <f t="shared" si="297"/>
        <v>-3.3317929066281192E-2</v>
      </c>
      <c r="K193" s="15">
        <f t="shared" si="298"/>
        <v>69768</v>
      </c>
      <c r="L193" s="15">
        <f t="shared" si="299"/>
        <v>-863</v>
      </c>
      <c r="M193" s="15">
        <f t="shared" si="300"/>
        <v>5</v>
      </c>
      <c r="N193" s="15">
        <f t="shared" si="301"/>
        <v>0</v>
      </c>
      <c r="O193" s="64"/>
      <c r="P193" s="17">
        <f t="shared" si="302"/>
        <v>-0.31433241830065839</v>
      </c>
      <c r="Q193" s="15">
        <f t="shared" si="303"/>
        <v>-4565</v>
      </c>
      <c r="R193" s="35"/>
      <c r="S193" s="35">
        <f t="shared" si="304"/>
        <v>88342.841999999669</v>
      </c>
      <c r="T193" s="35">
        <f t="shared" si="305"/>
        <v>9686.7151315789124</v>
      </c>
      <c r="U193" s="35">
        <f t="shared" si="306"/>
        <v>17336.715131578912</v>
      </c>
      <c r="V193" s="15">
        <f t="shared" si="307"/>
        <v>160515.48499999969</v>
      </c>
      <c r="W193" s="17">
        <f t="shared" si="308"/>
        <v>9.258702342499701</v>
      </c>
      <c r="X193" s="17">
        <f t="shared" si="309"/>
        <v>-0.17563007580095658</v>
      </c>
      <c r="Y193" s="17">
        <f t="shared" si="310"/>
        <v>-0.13870234249970181</v>
      </c>
      <c r="Z193" s="134">
        <f t="shared" si="311"/>
        <v>0.44126006235549703</v>
      </c>
      <c r="AA193" s="15">
        <f>SUM(L$2:L193)-SUM(AB$2:AB193)</f>
        <v>30370.763000000174</v>
      </c>
      <c r="AB193" s="64"/>
      <c r="AC193" s="145">
        <f t="shared" si="215"/>
        <v>-263.53516211623088</v>
      </c>
      <c r="AD193" s="145">
        <f t="shared" si="216"/>
        <v>-7913.5351621162308</v>
      </c>
    </row>
    <row r="194" spans="1:30" x14ac:dyDescent="0.25">
      <c r="A194" s="99">
        <v>42935</v>
      </c>
      <c r="B194" s="100"/>
      <c r="C194" s="104" t="s">
        <v>69</v>
      </c>
      <c r="D194" s="104">
        <v>500</v>
      </c>
      <c r="E194" s="143">
        <v>9.26</v>
      </c>
      <c r="F194" s="16">
        <f t="shared" si="293"/>
        <v>7150</v>
      </c>
      <c r="G194" s="17">
        <f t="shared" si="294"/>
        <v>9.4478703496503531</v>
      </c>
      <c r="H194" s="15">
        <f t="shared" si="295"/>
        <v>67552.27300000003</v>
      </c>
      <c r="I194" s="15">
        <f t="shared" si="296"/>
        <v>-1343.2730000000302</v>
      </c>
      <c r="J194" s="33">
        <f t="shared" si="297"/>
        <v>-1.9884941547415078E-2</v>
      </c>
      <c r="K194" s="15">
        <f t="shared" si="298"/>
        <v>66209</v>
      </c>
      <c r="L194" s="15">
        <f t="shared" si="299"/>
        <v>1061.3699999999953</v>
      </c>
      <c r="M194" s="15">
        <f t="shared" si="300"/>
        <v>5</v>
      </c>
      <c r="N194" s="15">
        <f t="shared" si="301"/>
        <v>4.63</v>
      </c>
      <c r="O194" s="64"/>
      <c r="P194" s="17">
        <f t="shared" si="302"/>
        <v>-0.18787034965035332</v>
      </c>
      <c r="Q194" s="15">
        <f t="shared" si="303"/>
        <v>4620.3699999999953</v>
      </c>
      <c r="R194" s="35"/>
      <c r="S194" s="35">
        <f t="shared" si="304"/>
        <v>92963.211999999665</v>
      </c>
      <c r="T194" s="35">
        <f t="shared" si="305"/>
        <v>10039.223758099317</v>
      </c>
      <c r="U194" s="35">
        <f t="shared" si="306"/>
        <v>17189.223758099317</v>
      </c>
      <c r="V194" s="15">
        <f t="shared" si="307"/>
        <v>160515.48499999969</v>
      </c>
      <c r="W194" s="17">
        <f t="shared" si="308"/>
        <v>9.3381462280614667</v>
      </c>
      <c r="X194" s="17">
        <f t="shared" si="309"/>
        <v>-0.10972412158888645</v>
      </c>
      <c r="Y194" s="17">
        <f t="shared" si="310"/>
        <v>-7.8146228061466871E-2</v>
      </c>
      <c r="Z194" s="134">
        <f t="shared" si="311"/>
        <v>0.41595828296964382</v>
      </c>
      <c r="AA194" s="15">
        <f>SUM(L$2:L194)-SUM(AB$2:AB194)</f>
        <v>31432.133000000169</v>
      </c>
      <c r="AB194" s="64"/>
      <c r="AC194" s="145">
        <f t="shared" si="215"/>
        <v>-144.98934811015445</v>
      </c>
      <c r="AD194" s="145">
        <f t="shared" si="216"/>
        <v>-7294.9893481101544</v>
      </c>
    </row>
    <row r="195" spans="1:30" x14ac:dyDescent="0.25">
      <c r="A195" s="99">
        <v>42935</v>
      </c>
      <c r="B195" s="100"/>
      <c r="C195" s="104" t="s">
        <v>69</v>
      </c>
      <c r="D195" s="104">
        <v>500</v>
      </c>
      <c r="E195" s="143">
        <v>9.34</v>
      </c>
      <c r="F195" s="16">
        <f t="shared" si="293"/>
        <v>6650</v>
      </c>
      <c r="G195" s="17">
        <f t="shared" si="294"/>
        <v>9.4574350375939886</v>
      </c>
      <c r="H195" s="15">
        <f t="shared" si="295"/>
        <v>62891.943000000028</v>
      </c>
      <c r="I195" s="15">
        <f t="shared" si="296"/>
        <v>-780.94300000002841</v>
      </c>
      <c r="J195" s="33">
        <f t="shared" si="297"/>
        <v>-1.2417218529884266E-2</v>
      </c>
      <c r="K195" s="15">
        <f t="shared" si="298"/>
        <v>62111</v>
      </c>
      <c r="L195" s="15">
        <f t="shared" si="299"/>
        <v>562.33000000000175</v>
      </c>
      <c r="M195" s="15">
        <f t="shared" si="300"/>
        <v>5</v>
      </c>
      <c r="N195" s="15">
        <f t="shared" si="301"/>
        <v>4.67</v>
      </c>
      <c r="O195" s="64"/>
      <c r="P195" s="17">
        <f t="shared" si="302"/>
        <v>-0.11743503759398877</v>
      </c>
      <c r="Q195" s="15">
        <f t="shared" si="303"/>
        <v>4660.3300000000017</v>
      </c>
      <c r="R195" s="35"/>
      <c r="S195" s="35">
        <f t="shared" si="304"/>
        <v>97623.541999999667</v>
      </c>
      <c r="T195" s="35">
        <f t="shared" si="305"/>
        <v>10452.199357601678</v>
      </c>
      <c r="U195" s="35">
        <f t="shared" si="306"/>
        <v>17102.199357601676</v>
      </c>
      <c r="V195" s="15">
        <f t="shared" si="307"/>
        <v>160515.48499999969</v>
      </c>
      <c r="W195" s="17">
        <f t="shared" si="308"/>
        <v>9.3856633081904128</v>
      </c>
      <c r="X195" s="17">
        <f t="shared" si="309"/>
        <v>-7.177172940357579E-2</v>
      </c>
      <c r="Y195" s="17">
        <f t="shared" si="310"/>
        <v>-4.5663308190412977E-2</v>
      </c>
      <c r="Z195" s="134">
        <f t="shared" si="311"/>
        <v>0.38883887744205092</v>
      </c>
      <c r="AA195" s="15">
        <f>SUM(L$2:L195)-SUM(AB$2:AB195)</f>
        <v>31994.463000000171</v>
      </c>
      <c r="AB195" s="64"/>
      <c r="AC195" s="145">
        <f t="shared" si="215"/>
        <v>-83.570934528910968</v>
      </c>
      <c r="AD195" s="145">
        <f t="shared" si="216"/>
        <v>-6733.5709345289106</v>
      </c>
    </row>
    <row r="196" spans="1:30" x14ac:dyDescent="0.25">
      <c r="A196" s="99">
        <v>42936</v>
      </c>
      <c r="B196" s="100" t="s">
        <v>253</v>
      </c>
      <c r="C196" s="104" t="s">
        <v>63</v>
      </c>
      <c r="D196" s="104">
        <v>500</v>
      </c>
      <c r="E196" s="143">
        <v>9.23</v>
      </c>
      <c r="F196" s="16">
        <f t="shared" si="293"/>
        <v>7150</v>
      </c>
      <c r="G196" s="17">
        <f t="shared" si="294"/>
        <v>9.4422297902097938</v>
      </c>
      <c r="H196" s="15">
        <f t="shared" si="295"/>
        <v>67511.943000000028</v>
      </c>
      <c r="I196" s="15">
        <f t="shared" si="296"/>
        <v>-1517.4430000000284</v>
      </c>
      <c r="J196" s="33">
        <f t="shared" si="297"/>
        <v>-2.2476660166631881E-2</v>
      </c>
      <c r="K196" s="15">
        <f t="shared" si="298"/>
        <v>65994.5</v>
      </c>
      <c r="L196" s="15">
        <f t="shared" si="299"/>
        <v>-736.5</v>
      </c>
      <c r="M196" s="15">
        <f t="shared" si="300"/>
        <v>5</v>
      </c>
      <c r="N196" s="15">
        <f t="shared" si="301"/>
        <v>0</v>
      </c>
      <c r="O196" s="64"/>
      <c r="P196" s="17">
        <f t="shared" si="302"/>
        <v>-0.21222979020979338</v>
      </c>
      <c r="Q196" s="15">
        <f t="shared" si="303"/>
        <v>-4620</v>
      </c>
      <c r="R196" s="35"/>
      <c r="S196" s="35">
        <f t="shared" si="304"/>
        <v>93003.541999999667</v>
      </c>
      <c r="T196" s="35">
        <f t="shared" si="305"/>
        <v>10076.223401950127</v>
      </c>
      <c r="U196" s="35">
        <f t="shared" si="306"/>
        <v>17226.223401950127</v>
      </c>
      <c r="V196" s="15">
        <f t="shared" si="307"/>
        <v>160515.48499999969</v>
      </c>
      <c r="W196" s="17">
        <f t="shared" si="308"/>
        <v>9.3180891281038551</v>
      </c>
      <c r="X196" s="17">
        <f t="shared" si="309"/>
        <v>-0.12414066210593866</v>
      </c>
      <c r="Y196" s="17">
        <f t="shared" si="310"/>
        <v>-8.8089128103854719E-2</v>
      </c>
      <c r="Z196" s="134">
        <f t="shared" si="311"/>
        <v>0.41506485972953139</v>
      </c>
      <c r="AA196" s="15">
        <f>SUM(L$2:L196)-SUM(AB$2:AB196)</f>
        <v>31257.963000000171</v>
      </c>
      <c r="AB196" s="64"/>
      <c r="AC196" s="145">
        <f t="shared" si="215"/>
        <v>-164.32115693391424</v>
      </c>
      <c r="AD196" s="145">
        <f t="shared" si="216"/>
        <v>-7314.3211569339146</v>
      </c>
    </row>
    <row r="197" spans="1:30" x14ac:dyDescent="0.25">
      <c r="A197" s="99">
        <v>42937</v>
      </c>
      <c r="B197" s="100"/>
      <c r="C197" s="104" t="s">
        <v>69</v>
      </c>
      <c r="D197" s="104">
        <v>500</v>
      </c>
      <c r="E197" s="143">
        <v>9.34</v>
      </c>
      <c r="F197" s="16">
        <f t="shared" si="293"/>
        <v>6650</v>
      </c>
      <c r="G197" s="17">
        <f t="shared" si="294"/>
        <v>9.4513703759398542</v>
      </c>
      <c r="H197" s="15">
        <f t="shared" si="295"/>
        <v>62851.613000000027</v>
      </c>
      <c r="I197" s="15">
        <f t="shared" si="296"/>
        <v>-740.61300000002666</v>
      </c>
      <c r="J197" s="33">
        <f t="shared" si="297"/>
        <v>-1.1783516200292759E-2</v>
      </c>
      <c r="K197" s="15">
        <f t="shared" si="298"/>
        <v>62111</v>
      </c>
      <c r="L197" s="15">
        <f t="shared" si="299"/>
        <v>776.83000000000175</v>
      </c>
      <c r="M197" s="15">
        <f t="shared" si="300"/>
        <v>5</v>
      </c>
      <c r="N197" s="15">
        <f t="shared" si="301"/>
        <v>4.67</v>
      </c>
      <c r="O197" s="64"/>
      <c r="P197" s="17">
        <f t="shared" si="302"/>
        <v>-0.11137037593985433</v>
      </c>
      <c r="Q197" s="15">
        <f t="shared" si="303"/>
        <v>4660.3300000000017</v>
      </c>
      <c r="R197" s="35"/>
      <c r="S197" s="35">
        <f t="shared" si="304"/>
        <v>97663.871999999668</v>
      </c>
      <c r="T197" s="35">
        <f t="shared" si="305"/>
        <v>10456.517344753713</v>
      </c>
      <c r="U197" s="35">
        <f t="shared" si="306"/>
        <v>17106.517344753713</v>
      </c>
      <c r="V197" s="15">
        <f t="shared" si="307"/>
        <v>160515.48499999969</v>
      </c>
      <c r="W197" s="17">
        <f t="shared" si="308"/>
        <v>9.3832942009804903</v>
      </c>
      <c r="X197" s="17">
        <f t="shared" si="309"/>
        <v>-6.8076174959363911E-2</v>
      </c>
      <c r="Y197" s="17">
        <f t="shared" si="310"/>
        <v>-4.3294200980490416E-2</v>
      </c>
      <c r="Z197" s="134">
        <f t="shared" si="311"/>
        <v>0.38874072764082779</v>
      </c>
      <c r="AA197" s="15">
        <f>SUM(L$2:L197)-SUM(AB$2:AB197)</f>
        <v>32034.793000000172</v>
      </c>
      <c r="AB197" s="64"/>
      <c r="AC197" s="145">
        <f t="shared" si="215"/>
        <v>-79.255106370452538</v>
      </c>
      <c r="AD197" s="145">
        <f t="shared" si="216"/>
        <v>-6729.2551063704523</v>
      </c>
    </row>
    <row r="198" spans="1:30" x14ac:dyDescent="0.25">
      <c r="A198" s="99">
        <v>42937</v>
      </c>
      <c r="B198" s="100"/>
      <c r="C198" s="104" t="s">
        <v>69</v>
      </c>
      <c r="D198" s="104">
        <v>500</v>
      </c>
      <c r="E198" s="143">
        <v>9.4600000000000009</v>
      </c>
      <c r="F198" s="16">
        <f t="shared" ref="F198:F206" si="312">IF(C198="买",F197+D198,F197-D198)</f>
        <v>6150</v>
      </c>
      <c r="G198" s="17">
        <f t="shared" ref="G198:G206" si="313">H198/F198</f>
        <v>9.452250894308948</v>
      </c>
      <c r="H198" s="15">
        <f t="shared" ref="H198:H206" si="314">IF(C198="买",H197+D198*E198+M198+N198,H197+-1*D198*E198+M198+N198)+O197</f>
        <v>58131.34300000003</v>
      </c>
      <c r="I198" s="15">
        <f t="shared" si="296"/>
        <v>47.656999999977415</v>
      </c>
      <c r="J198" s="33">
        <f t="shared" ref="J198:J206" si="315">(E198-G198)/G198</f>
        <v>8.1981591238954727E-4</v>
      </c>
      <c r="K198" s="15">
        <f t="shared" ref="K198:K206" si="316">F198*E198</f>
        <v>58179.000000000007</v>
      </c>
      <c r="L198" s="15">
        <f t="shared" ref="L198:L206" si="317">I198-I197</f>
        <v>788.27000000000407</v>
      </c>
      <c r="M198" s="15">
        <f t="shared" ref="M198:M206" si="318">IF(D198*E198*5/10000&gt;5,D198*E198*5/10000,5)</f>
        <v>5</v>
      </c>
      <c r="N198" s="15">
        <f t="shared" ref="N198:N206" si="319">IF(C198="卖",D198*E198/1000,0)</f>
        <v>4.7300000000000004</v>
      </c>
      <c r="O198" s="64"/>
      <c r="P198" s="17">
        <f t="shared" ref="P198:P206" si="320">E198-G198</f>
        <v>7.7491056910528044E-3</v>
      </c>
      <c r="Q198" s="15">
        <f t="shared" ref="Q198:Q206" si="321">(H198-H197)*-1</f>
        <v>4720.2699999999968</v>
      </c>
      <c r="R198" s="35"/>
      <c r="S198" s="35">
        <f t="shared" ref="S198:S206" si="322">S197+Q198+O198+R198</f>
        <v>102384.14199999967</v>
      </c>
      <c r="T198" s="35">
        <f t="shared" ref="T198:T206" si="323">S198/E198</f>
        <v>10822.847991543305</v>
      </c>
      <c r="U198" s="35">
        <f t="shared" ref="U198:U206" si="324">F198+T198</f>
        <v>16972.847991543305</v>
      </c>
      <c r="V198" s="15">
        <f t="shared" ref="V198:V206" si="325">H198+S198</f>
        <v>160515.48499999969</v>
      </c>
      <c r="W198" s="17">
        <f t="shared" ref="W198:W206" si="326">V198/U198</f>
        <v>9.4571921624453523</v>
      </c>
      <c r="X198" s="17">
        <f t="shared" ref="X198:X206" si="327">W198-G198</f>
        <v>4.9412681364042754E-3</v>
      </c>
      <c r="Y198" s="17">
        <f t="shared" ref="Y198:Y206" si="328">(X198-P198)*-1</f>
        <v>2.807837554648529E-3</v>
      </c>
      <c r="Z198" s="134">
        <f t="shared" ref="Z198:Z206" si="329">F198/U198</f>
        <v>0.36234343246721046</v>
      </c>
      <c r="AA198" s="15">
        <f>SUM(L$2:L198)-SUM(AB$2:AB198)</f>
        <v>32823.063000000177</v>
      </c>
      <c r="AB198" s="64"/>
      <c r="AC198" s="145">
        <f t="shared" si="215"/>
        <v>5.0352189746276341</v>
      </c>
      <c r="AD198" s="145">
        <f t="shared" si="216"/>
        <v>-6144.9647810253728</v>
      </c>
    </row>
    <row r="199" spans="1:30" x14ac:dyDescent="0.25">
      <c r="A199" s="99">
        <v>42937</v>
      </c>
      <c r="B199" s="100" t="s">
        <v>434</v>
      </c>
      <c r="C199" s="104" t="s">
        <v>69</v>
      </c>
      <c r="D199" s="104">
        <v>500</v>
      </c>
      <c r="E199" s="143">
        <v>9.48</v>
      </c>
      <c r="F199" s="16">
        <f t="shared" si="312"/>
        <v>5650</v>
      </c>
      <c r="G199" s="17">
        <f t="shared" si="313"/>
        <v>9.4515191150442526</v>
      </c>
      <c r="H199" s="15">
        <f t="shared" si="314"/>
        <v>53401.083000000028</v>
      </c>
      <c r="I199" s="15">
        <f t="shared" si="296"/>
        <v>160.91699999997218</v>
      </c>
      <c r="J199" s="33">
        <f t="shared" si="315"/>
        <v>3.0133658525235397E-3</v>
      </c>
      <c r="K199" s="15">
        <f t="shared" si="316"/>
        <v>53562</v>
      </c>
      <c r="L199" s="15">
        <f t="shared" si="317"/>
        <v>113.25999999999476</v>
      </c>
      <c r="M199" s="15">
        <f t="shared" si="318"/>
        <v>5</v>
      </c>
      <c r="N199" s="15">
        <f t="shared" si="319"/>
        <v>4.74</v>
      </c>
      <c r="O199" s="64"/>
      <c r="P199" s="17">
        <f t="shared" si="320"/>
        <v>2.8480884955747854E-2</v>
      </c>
      <c r="Q199" s="15">
        <f t="shared" si="321"/>
        <v>4730.260000000002</v>
      </c>
      <c r="R199" s="35"/>
      <c r="S199" s="35">
        <f t="shared" si="322"/>
        <v>107114.40199999968</v>
      </c>
      <c r="T199" s="35">
        <f t="shared" si="323"/>
        <v>11298.987552742581</v>
      </c>
      <c r="U199" s="35">
        <f t="shared" si="324"/>
        <v>16948.987552742583</v>
      </c>
      <c r="V199" s="15">
        <f t="shared" si="325"/>
        <v>160515.48499999969</v>
      </c>
      <c r="W199" s="17">
        <f t="shared" si="326"/>
        <v>9.4705058045798172</v>
      </c>
      <c r="X199" s="17">
        <f t="shared" si="327"/>
        <v>1.8986689535564594E-2</v>
      </c>
      <c r="Y199" s="17">
        <f t="shared" si="328"/>
        <v>9.4941954201832601E-3</v>
      </c>
      <c r="Z199" s="134">
        <f t="shared" si="329"/>
        <v>0.33335324498989033</v>
      </c>
      <c r="AA199" s="15">
        <f>SUM(L$2:L199)-SUM(AB$2:AB199)</f>
        <v>32936.323000000171</v>
      </c>
      <c r="AB199" s="64"/>
      <c r="AC199" s="145">
        <f t="shared" si="215"/>
        <v>16.965879905060358</v>
      </c>
      <c r="AD199" s="145">
        <f t="shared" si="216"/>
        <v>-5633.0341200949397</v>
      </c>
    </row>
    <row r="200" spans="1:30" x14ac:dyDescent="0.25">
      <c r="A200" s="99">
        <v>42937</v>
      </c>
      <c r="B200" s="100" t="s">
        <v>434</v>
      </c>
      <c r="C200" s="104" t="s">
        <v>69</v>
      </c>
      <c r="D200" s="104">
        <v>400</v>
      </c>
      <c r="E200" s="143">
        <v>9.52</v>
      </c>
      <c r="F200" s="16">
        <f t="shared" si="312"/>
        <v>5250</v>
      </c>
      <c r="G200" s="17">
        <f t="shared" si="313"/>
        <v>9.4479792380952432</v>
      </c>
      <c r="H200" s="15">
        <f t="shared" si="314"/>
        <v>49601.891000000025</v>
      </c>
      <c r="I200" s="15">
        <f t="shared" si="296"/>
        <v>378.10899999997491</v>
      </c>
      <c r="J200" s="33">
        <f t="shared" si="315"/>
        <v>7.6228747004820994E-3</v>
      </c>
      <c r="K200" s="15">
        <f t="shared" si="316"/>
        <v>49980</v>
      </c>
      <c r="L200" s="15">
        <f t="shared" si="317"/>
        <v>217.19200000000274</v>
      </c>
      <c r="M200" s="15">
        <f t="shared" si="318"/>
        <v>5</v>
      </c>
      <c r="N200" s="15">
        <f t="shared" si="319"/>
        <v>3.8079999999999998</v>
      </c>
      <c r="O200" s="64"/>
      <c r="P200" s="17">
        <f t="shared" si="320"/>
        <v>7.202076190475637E-2</v>
      </c>
      <c r="Q200" s="15">
        <f t="shared" si="321"/>
        <v>3799.1920000000027</v>
      </c>
      <c r="R200" s="35">
        <v>-49600</v>
      </c>
      <c r="S200" s="35">
        <f t="shared" si="322"/>
        <v>61313.593999999692</v>
      </c>
      <c r="T200" s="35">
        <f t="shared" si="323"/>
        <v>6440.5035714285395</v>
      </c>
      <c r="U200" s="35">
        <f t="shared" si="324"/>
        <v>11690.50357142854</v>
      </c>
      <c r="V200" s="15">
        <f t="shared" si="325"/>
        <v>110915.48499999972</v>
      </c>
      <c r="W200" s="17">
        <f t="shared" si="326"/>
        <v>9.4876567397041747</v>
      </c>
      <c r="X200" s="17">
        <f t="shared" si="327"/>
        <v>3.9677501608931465E-2</v>
      </c>
      <c r="Y200" s="17">
        <f t="shared" si="328"/>
        <v>3.2343260295824905E-2</v>
      </c>
      <c r="Z200" s="134">
        <f t="shared" si="329"/>
        <v>0.4490824512325492</v>
      </c>
      <c r="AA200" s="15">
        <f>SUM(L$2:L200)-SUM(AB$2:AB200)</f>
        <v>33153.515000000174</v>
      </c>
      <c r="AB200" s="64"/>
      <c r="AC200" s="145">
        <f t="shared" si="215"/>
        <v>39.697473266804096</v>
      </c>
      <c r="AD200" s="145">
        <f t="shared" si="216"/>
        <v>-5210.3025267331959</v>
      </c>
    </row>
    <row r="201" spans="1:30" x14ac:dyDescent="0.25">
      <c r="A201" s="99">
        <v>42940</v>
      </c>
      <c r="B201" s="100" t="s">
        <v>434</v>
      </c>
      <c r="C201" s="104" t="s">
        <v>69</v>
      </c>
      <c r="D201" s="104">
        <v>400</v>
      </c>
      <c r="E201" s="143">
        <v>9.61</v>
      </c>
      <c r="F201" s="16">
        <f t="shared" si="312"/>
        <v>4850</v>
      </c>
      <c r="G201" s="17">
        <f t="shared" si="313"/>
        <v>9.436440206185571</v>
      </c>
      <c r="H201" s="15">
        <f t="shared" si="314"/>
        <v>45766.735000000022</v>
      </c>
      <c r="I201" s="15">
        <f t="shared" si="296"/>
        <v>841.76499999997759</v>
      </c>
      <c r="J201" s="33">
        <f t="shared" si="315"/>
        <v>1.839250713427509E-2</v>
      </c>
      <c r="K201" s="15">
        <f t="shared" si="316"/>
        <v>46608.5</v>
      </c>
      <c r="L201" s="15">
        <f t="shared" si="317"/>
        <v>463.65600000000268</v>
      </c>
      <c r="M201" s="15">
        <f t="shared" si="318"/>
        <v>5</v>
      </c>
      <c r="N201" s="15">
        <f t="shared" si="319"/>
        <v>3.8439999999999999</v>
      </c>
      <c r="O201" s="64"/>
      <c r="P201" s="17">
        <f t="shared" si="320"/>
        <v>0.17355979381442843</v>
      </c>
      <c r="Q201" s="15">
        <f t="shared" si="321"/>
        <v>3835.1560000000027</v>
      </c>
      <c r="R201" s="35"/>
      <c r="S201" s="35">
        <f t="shared" si="322"/>
        <v>65148.749999999694</v>
      </c>
      <c r="T201" s="35">
        <f t="shared" si="323"/>
        <v>6779.2663891779084</v>
      </c>
      <c r="U201" s="35">
        <f t="shared" si="324"/>
        <v>11629.266389177908</v>
      </c>
      <c r="V201" s="15">
        <f t="shared" si="325"/>
        <v>110915.48499999972</v>
      </c>
      <c r="W201" s="17">
        <f t="shared" si="326"/>
        <v>9.53761667229643</v>
      </c>
      <c r="X201" s="17">
        <f t="shared" si="327"/>
        <v>0.10117646611085895</v>
      </c>
      <c r="Y201" s="17">
        <f t="shared" si="328"/>
        <v>7.2383327703569478E-2</v>
      </c>
      <c r="Z201" s="134">
        <f t="shared" si="329"/>
        <v>0.4170512427605379</v>
      </c>
      <c r="AA201" s="15">
        <f>SUM(L$2:L201)-SUM(AB$2:AB201)</f>
        <v>33617.171000000177</v>
      </c>
      <c r="AB201" s="64"/>
      <c r="AC201" s="145">
        <f t="shared" si="215"/>
        <v>87.548815556709442</v>
      </c>
      <c r="AD201" s="145">
        <f t="shared" si="216"/>
        <v>-4762.4511844432909</v>
      </c>
    </row>
    <row r="202" spans="1:30" x14ac:dyDescent="0.25">
      <c r="A202" s="99">
        <v>42940</v>
      </c>
      <c r="B202" s="100" t="s">
        <v>435</v>
      </c>
      <c r="C202" s="104" t="s">
        <v>63</v>
      </c>
      <c r="D202" s="104">
        <v>500</v>
      </c>
      <c r="E202" s="143">
        <v>9.3800000000000008</v>
      </c>
      <c r="F202" s="16">
        <f t="shared" si="312"/>
        <v>5350</v>
      </c>
      <c r="G202" s="17">
        <f t="shared" si="313"/>
        <v>9.4321000000000037</v>
      </c>
      <c r="H202" s="15">
        <f t="shared" si="314"/>
        <v>50461.735000000022</v>
      </c>
      <c r="I202" s="15">
        <f t="shared" si="296"/>
        <v>-278.73500000001513</v>
      </c>
      <c r="J202" s="33">
        <f t="shared" si="315"/>
        <v>-5.5236903764806248E-3</v>
      </c>
      <c r="K202" s="15">
        <f t="shared" si="316"/>
        <v>50183.000000000007</v>
      </c>
      <c r="L202" s="15">
        <f t="shared" si="317"/>
        <v>-1120.4999999999927</v>
      </c>
      <c r="M202" s="15">
        <f t="shared" si="318"/>
        <v>5</v>
      </c>
      <c r="N202" s="15">
        <f t="shared" si="319"/>
        <v>0</v>
      </c>
      <c r="O202" s="64"/>
      <c r="P202" s="17">
        <f t="shared" si="320"/>
        <v>-5.2100000000002922E-2</v>
      </c>
      <c r="Q202" s="15">
        <f t="shared" si="321"/>
        <v>-4695</v>
      </c>
      <c r="R202" s="35"/>
      <c r="S202" s="35">
        <f t="shared" si="322"/>
        <v>60453.749999999694</v>
      </c>
      <c r="T202" s="35">
        <f t="shared" si="323"/>
        <v>6444.9626865671307</v>
      </c>
      <c r="U202" s="35">
        <f t="shared" si="324"/>
        <v>11794.962686567131</v>
      </c>
      <c r="V202" s="15">
        <f t="shared" si="325"/>
        <v>110915.48499999972</v>
      </c>
      <c r="W202" s="17">
        <f t="shared" si="326"/>
        <v>9.4036316983280912</v>
      </c>
      <c r="X202" s="17">
        <f t="shared" si="327"/>
        <v>-2.8468301671912499E-2</v>
      </c>
      <c r="Y202" s="17">
        <f t="shared" si="328"/>
        <v>-2.3631698328090422E-2</v>
      </c>
      <c r="Z202" s="134">
        <f t="shared" si="329"/>
        <v>0.4535834611916939</v>
      </c>
      <c r="AA202" s="15">
        <f>SUM(L$2:L202)-SUM(AB$2:AB202)</f>
        <v>32496.671000000184</v>
      </c>
      <c r="AB202" s="64"/>
      <c r="AC202" s="145">
        <f t="shared" si="215"/>
        <v>-29.701026918978158</v>
      </c>
      <c r="AD202" s="145">
        <f t="shared" si="216"/>
        <v>-5379.7010269189777</v>
      </c>
    </row>
    <row r="203" spans="1:30" x14ac:dyDescent="0.25">
      <c r="A203" s="99">
        <v>42941</v>
      </c>
      <c r="B203" s="100" t="s">
        <v>249</v>
      </c>
      <c r="C203" s="104" t="s">
        <v>63</v>
      </c>
      <c r="D203" s="104">
        <v>500</v>
      </c>
      <c r="E203" s="143">
        <v>9.23</v>
      </c>
      <c r="F203" s="16">
        <f t="shared" si="312"/>
        <v>5850</v>
      </c>
      <c r="G203" s="17">
        <f t="shared" si="313"/>
        <v>9.4156811965812004</v>
      </c>
      <c r="H203" s="15">
        <f t="shared" si="314"/>
        <v>55081.735000000022</v>
      </c>
      <c r="I203" s="15">
        <f t="shared" si="296"/>
        <v>-1086.2350000000224</v>
      </c>
      <c r="J203" s="33">
        <f t="shared" si="315"/>
        <v>-1.9720420934453489E-2</v>
      </c>
      <c r="K203" s="15">
        <f t="shared" si="316"/>
        <v>53995.5</v>
      </c>
      <c r="L203" s="15">
        <f t="shared" si="317"/>
        <v>-807.50000000000728</v>
      </c>
      <c r="M203" s="15">
        <f t="shared" si="318"/>
        <v>5</v>
      </c>
      <c r="N203" s="15">
        <f t="shared" si="319"/>
        <v>0</v>
      </c>
      <c r="O203" s="64"/>
      <c r="P203" s="17">
        <f t="shared" si="320"/>
        <v>-0.18568119658119997</v>
      </c>
      <c r="Q203" s="15">
        <f t="shared" si="321"/>
        <v>-4620</v>
      </c>
      <c r="R203" s="35"/>
      <c r="S203" s="35">
        <f t="shared" si="322"/>
        <v>55833.749999999694</v>
      </c>
      <c r="T203" s="35">
        <f t="shared" si="323"/>
        <v>6049.1603466955248</v>
      </c>
      <c r="U203" s="35">
        <f t="shared" si="324"/>
        <v>11899.160346695524</v>
      </c>
      <c r="V203" s="15">
        <f t="shared" si="325"/>
        <v>110915.48499999972</v>
      </c>
      <c r="W203" s="17">
        <f t="shared" si="326"/>
        <v>9.3212866932078686</v>
      </c>
      <c r="X203" s="17">
        <f t="shared" si="327"/>
        <v>-9.4394503373331773E-2</v>
      </c>
      <c r="Y203" s="17">
        <f t="shared" si="328"/>
        <v>-9.1286693207868197E-2</v>
      </c>
      <c r="Z203" s="134">
        <f t="shared" si="329"/>
        <v>0.49163132772007595</v>
      </c>
      <c r="AA203" s="15">
        <f>SUM(L$2:L203)-SUM(AB$2:AB203)</f>
        <v>31689.171000000177</v>
      </c>
      <c r="AB203" s="64"/>
      <c r="AC203" s="145">
        <f t="shared" si="215"/>
        <v>-117.6264228060696</v>
      </c>
      <c r="AD203" s="145">
        <f t="shared" si="216"/>
        <v>-5967.62642280607</v>
      </c>
    </row>
    <row r="204" spans="1:30" x14ac:dyDescent="0.25">
      <c r="A204" s="99">
        <v>42941</v>
      </c>
      <c r="B204" s="100"/>
      <c r="C204" s="104" t="s">
        <v>69</v>
      </c>
      <c r="D204" s="104">
        <v>500</v>
      </c>
      <c r="E204" s="143">
        <v>9.3800000000000008</v>
      </c>
      <c r="F204" s="16">
        <f t="shared" si="312"/>
        <v>5350</v>
      </c>
      <c r="G204" s="17">
        <f t="shared" si="313"/>
        <v>9.4208271028037434</v>
      </c>
      <c r="H204" s="15">
        <f t="shared" si="314"/>
        <v>50401.425000000025</v>
      </c>
      <c r="I204" s="15">
        <f t="shared" si="296"/>
        <v>-218.42500000001746</v>
      </c>
      <c r="J204" s="33">
        <f t="shared" si="315"/>
        <v>-4.3337068346782394E-3</v>
      </c>
      <c r="K204" s="15">
        <f t="shared" si="316"/>
        <v>50183.000000000007</v>
      </c>
      <c r="L204" s="15">
        <f t="shared" si="317"/>
        <v>867.81000000000495</v>
      </c>
      <c r="M204" s="15">
        <f t="shared" si="318"/>
        <v>5</v>
      </c>
      <c r="N204" s="15">
        <f t="shared" si="319"/>
        <v>4.6900000000000004</v>
      </c>
      <c r="O204" s="64"/>
      <c r="P204" s="17">
        <f t="shared" si="320"/>
        <v>-4.0827102803742576E-2</v>
      </c>
      <c r="Q204" s="15">
        <f t="shared" si="321"/>
        <v>4680.3099999999977</v>
      </c>
      <c r="R204" s="35"/>
      <c r="S204" s="35">
        <f t="shared" si="322"/>
        <v>60514.059999999692</v>
      </c>
      <c r="T204" s="35">
        <f t="shared" si="323"/>
        <v>6451.3923240937829</v>
      </c>
      <c r="U204" s="35">
        <f t="shared" si="324"/>
        <v>11801.392324093784</v>
      </c>
      <c r="V204" s="15">
        <f t="shared" si="325"/>
        <v>110915.48499999972</v>
      </c>
      <c r="W204" s="17">
        <f t="shared" si="326"/>
        <v>9.3985084093470981</v>
      </c>
      <c r="X204" s="17">
        <f t="shared" si="327"/>
        <v>-2.2318693456645278E-2</v>
      </c>
      <c r="Y204" s="17">
        <f t="shared" si="328"/>
        <v>-1.8508409347097299E-2</v>
      </c>
      <c r="Z204" s="134">
        <f t="shared" si="329"/>
        <v>0.453336339736576</v>
      </c>
      <c r="AA204" s="15">
        <f>SUM(L$2:L204)-SUM(AB$2:AB204)</f>
        <v>32556.981000000182</v>
      </c>
      <c r="AB204" s="64"/>
      <c r="AC204" s="145">
        <f t="shared" si="215"/>
        <v>-23.274604211089279</v>
      </c>
      <c r="AD204" s="145">
        <f t="shared" si="216"/>
        <v>-5373.2746042110894</v>
      </c>
    </row>
    <row r="205" spans="1:30" x14ac:dyDescent="0.25">
      <c r="A205" s="99">
        <v>42941</v>
      </c>
      <c r="B205" s="100" t="s">
        <v>434</v>
      </c>
      <c r="C205" s="104" t="s">
        <v>69</v>
      </c>
      <c r="D205" s="104">
        <v>400</v>
      </c>
      <c r="E205" s="143">
        <v>9.4600000000000009</v>
      </c>
      <c r="F205" s="16">
        <f t="shared" si="312"/>
        <v>4950</v>
      </c>
      <c r="G205" s="17">
        <f t="shared" si="313"/>
        <v>9.4194361616161668</v>
      </c>
      <c r="H205" s="15">
        <f t="shared" si="314"/>
        <v>46626.209000000024</v>
      </c>
      <c r="I205" s="15">
        <f t="shared" si="296"/>
        <v>200.79099999998289</v>
      </c>
      <c r="J205" s="33">
        <f t="shared" si="315"/>
        <v>4.3063977172147615E-3</v>
      </c>
      <c r="K205" s="15">
        <f t="shared" si="316"/>
        <v>46827.000000000007</v>
      </c>
      <c r="L205" s="15">
        <f t="shared" si="317"/>
        <v>419.21600000000035</v>
      </c>
      <c r="M205" s="15">
        <f t="shared" si="318"/>
        <v>5</v>
      </c>
      <c r="N205" s="15">
        <f t="shared" si="319"/>
        <v>3.7840000000000003</v>
      </c>
      <c r="O205" s="64"/>
      <c r="P205" s="17">
        <f t="shared" si="320"/>
        <v>4.0563838383834039E-2</v>
      </c>
      <c r="Q205" s="15">
        <f t="shared" si="321"/>
        <v>3775.2160000000003</v>
      </c>
      <c r="R205" s="35"/>
      <c r="S205" s="35">
        <f t="shared" si="322"/>
        <v>64289.275999999692</v>
      </c>
      <c r="T205" s="35">
        <f t="shared" si="323"/>
        <v>6795.9065539111716</v>
      </c>
      <c r="U205" s="35">
        <f t="shared" si="324"/>
        <v>11745.906553911173</v>
      </c>
      <c r="V205" s="15">
        <f t="shared" si="325"/>
        <v>110915.48499999972</v>
      </c>
      <c r="W205" s="17">
        <f t="shared" si="326"/>
        <v>9.442905448883117</v>
      </c>
      <c r="X205" s="17">
        <f t="shared" si="327"/>
        <v>2.346928726695019E-2</v>
      </c>
      <c r="Y205" s="17">
        <f t="shared" si="328"/>
        <v>1.7094551116883849E-2</v>
      </c>
      <c r="Z205" s="134">
        <f t="shared" si="329"/>
        <v>0.42142341055418497</v>
      </c>
      <c r="AA205" s="15">
        <f>SUM(L$2:L205)-SUM(AB$2:AB205)</f>
        <v>32976.197000000182</v>
      </c>
      <c r="AB205" s="64"/>
      <c r="AC205" s="145">
        <f t="shared" si="215"/>
        <v>21.214651638475992</v>
      </c>
      <c r="AD205" s="145">
        <f t="shared" si="216"/>
        <v>-4928.7853483615236</v>
      </c>
    </row>
    <row r="206" spans="1:30" x14ac:dyDescent="0.25">
      <c r="A206" s="99">
        <v>42942</v>
      </c>
      <c r="B206" s="100" t="s">
        <v>434</v>
      </c>
      <c r="C206" s="104" t="s">
        <v>69</v>
      </c>
      <c r="D206" s="104">
        <v>400</v>
      </c>
      <c r="E206" s="143">
        <v>9.57</v>
      </c>
      <c r="F206" s="16">
        <f t="shared" si="312"/>
        <v>4550</v>
      </c>
      <c r="G206" s="17">
        <f t="shared" si="313"/>
        <v>9.4081400000000048</v>
      </c>
      <c r="H206" s="15">
        <f t="shared" si="314"/>
        <v>42807.037000000026</v>
      </c>
      <c r="I206" s="15">
        <f t="shared" si="296"/>
        <v>736.46299999997427</v>
      </c>
      <c r="J206" s="33">
        <f t="shared" si="315"/>
        <v>1.7204250787083885E-2</v>
      </c>
      <c r="K206" s="15">
        <f t="shared" si="316"/>
        <v>43543.5</v>
      </c>
      <c r="L206" s="15">
        <f t="shared" si="317"/>
        <v>535.67199999999139</v>
      </c>
      <c r="M206" s="15">
        <f t="shared" si="318"/>
        <v>5</v>
      </c>
      <c r="N206" s="15">
        <f t="shared" si="319"/>
        <v>3.8279999999999998</v>
      </c>
      <c r="O206" s="64"/>
      <c r="P206" s="17">
        <f t="shared" si="320"/>
        <v>0.16185999999999545</v>
      </c>
      <c r="Q206" s="15">
        <f t="shared" si="321"/>
        <v>3819.1719999999987</v>
      </c>
      <c r="R206" s="35"/>
      <c r="S206" s="35">
        <f t="shared" si="322"/>
        <v>68108.447999999684</v>
      </c>
      <c r="T206" s="35">
        <f t="shared" si="323"/>
        <v>7116.8702194357038</v>
      </c>
      <c r="U206" s="35">
        <f t="shared" si="324"/>
        <v>11666.870219435703</v>
      </c>
      <c r="V206" s="15">
        <f t="shared" si="325"/>
        <v>110915.48499999971</v>
      </c>
      <c r="W206" s="17">
        <f t="shared" si="326"/>
        <v>9.5068757013536409</v>
      </c>
      <c r="X206" s="17">
        <f t="shared" si="327"/>
        <v>9.8735701353636074E-2</v>
      </c>
      <c r="Y206" s="17">
        <f t="shared" si="328"/>
        <v>6.3124298646359378E-2</v>
      </c>
      <c r="Z206" s="134">
        <f t="shared" si="329"/>
        <v>0.38999319564043905</v>
      </c>
      <c r="AA206" s="15">
        <f>SUM(L$2:L206)-SUM(AB$2:AB206)</f>
        <v>33511.869000000173</v>
      </c>
      <c r="AB206" s="64"/>
      <c r="AC206" s="145">
        <f t="shared" si="215"/>
        <v>76.916903709506187</v>
      </c>
      <c r="AD206" s="145">
        <f t="shared" si="216"/>
        <v>-4473.0830962904938</v>
      </c>
    </row>
    <row r="207" spans="1:30" x14ac:dyDescent="0.25">
      <c r="A207" s="99">
        <v>42942</v>
      </c>
      <c r="B207" s="100" t="s">
        <v>248</v>
      </c>
      <c r="C207" s="104" t="s">
        <v>63</v>
      </c>
      <c r="D207" s="104">
        <v>500</v>
      </c>
      <c r="E207" s="143">
        <v>9.31</v>
      </c>
      <c r="F207" s="16">
        <f t="shared" ref="F207:F213" si="330">IF(C207="买",F206+D207,F206-D207)</f>
        <v>5050</v>
      </c>
      <c r="G207" s="17">
        <f t="shared" ref="G207:G213" si="331">H207/F207</f>
        <v>9.3994132673267377</v>
      </c>
      <c r="H207" s="15">
        <f t="shared" ref="H207:H213" si="332">IF(C207="买",H206+D207*E207+M207+N207,H206+-1*D207*E207+M207+N207)+O206</f>
        <v>47467.037000000026</v>
      </c>
      <c r="I207" s="15">
        <f t="shared" ref="I207:I213" si="333">-H207+K207</f>
        <v>-451.53700000002573</v>
      </c>
      <c r="J207" s="33">
        <f t="shared" ref="J207:J213" si="334">(E207-G207)/G207</f>
        <v>-9.5126434793059104E-3</v>
      </c>
      <c r="K207" s="15">
        <f t="shared" ref="K207:K213" si="335">F207*E207</f>
        <v>47015.5</v>
      </c>
      <c r="L207" s="15">
        <f t="shared" ref="L207:L213" si="336">I207-I206</f>
        <v>-1188</v>
      </c>
      <c r="M207" s="15">
        <f t="shared" ref="M207:M213" si="337">IF(D207*E207*5/10000&gt;5,D207*E207*5/10000,5)</f>
        <v>5</v>
      </c>
      <c r="N207" s="15">
        <f t="shared" ref="N207:N213" si="338">IF(C207="卖",D207*E207/1000,0)</f>
        <v>0</v>
      </c>
      <c r="O207" s="64"/>
      <c r="P207" s="17">
        <f t="shared" ref="P207:P213" si="339">E207-G207</f>
        <v>-8.9413267326737156E-2</v>
      </c>
      <c r="Q207" s="15">
        <f t="shared" ref="Q207:Q213" si="340">(H207-H206)*-1</f>
        <v>-4660</v>
      </c>
      <c r="R207" s="35"/>
      <c r="S207" s="35">
        <f t="shared" ref="S207:S213" si="341">S206+Q207+O207+R207</f>
        <v>63448.447999999684</v>
      </c>
      <c r="T207" s="35">
        <f t="shared" ref="T207:T213" si="342">S207/E207</f>
        <v>6815.0857142856803</v>
      </c>
      <c r="U207" s="35">
        <f t="shared" ref="U207:U213" si="343">F207+T207</f>
        <v>11865.08571428568</v>
      </c>
      <c r="V207" s="15">
        <f t="shared" ref="V207:V213" si="344">H207+S207</f>
        <v>110915.48499999971</v>
      </c>
      <c r="W207" s="17">
        <f t="shared" ref="W207:W213" si="345">V207/U207</f>
        <v>9.3480559408396324</v>
      </c>
      <c r="X207" s="17">
        <f t="shared" ref="X207:X213" si="346">W207-G207</f>
        <v>-5.1357326487105226E-2</v>
      </c>
      <c r="Y207" s="17">
        <f t="shared" ref="Y207:Y213" si="347">(X207-P207)*-1</f>
        <v>-3.805594083963193E-2</v>
      </c>
      <c r="Z207" s="134">
        <f t="shared" ref="Z207:Z213" si="348">F207/U207</f>
        <v>0.42561850134127138</v>
      </c>
      <c r="AA207" s="15">
        <f>SUM(L$2:L207)-SUM(AB$2:AB207)</f>
        <v>32323.869000000173</v>
      </c>
      <c r="AB207" s="64"/>
      <c r="AC207" s="145">
        <f t="shared" ref="AC207:AC213" si="349">I207/E207*(1-0.0005)</f>
        <v>-48.475964715362593</v>
      </c>
      <c r="AD207" s="145">
        <f t="shared" ref="AD207:AD213" si="350">AC207-F207</f>
        <v>-5098.4759647153624</v>
      </c>
    </row>
    <row r="208" spans="1:30" x14ac:dyDescent="0.25">
      <c r="A208" s="99">
        <v>42942</v>
      </c>
      <c r="B208" s="100" t="s">
        <v>434</v>
      </c>
      <c r="C208" s="104" t="s">
        <v>69</v>
      </c>
      <c r="D208" s="104">
        <v>400</v>
      </c>
      <c r="E208" s="143">
        <v>9.43</v>
      </c>
      <c r="F208" s="16">
        <f t="shared" si="330"/>
        <v>4650</v>
      </c>
      <c r="G208" s="17">
        <f t="shared" si="331"/>
        <v>9.3986686021505434</v>
      </c>
      <c r="H208" s="15">
        <f t="shared" si="332"/>
        <v>43703.809000000023</v>
      </c>
      <c r="I208" s="15">
        <f t="shared" si="333"/>
        <v>145.69099999997707</v>
      </c>
      <c r="J208" s="33">
        <f t="shared" si="334"/>
        <v>3.3335995954030355E-3</v>
      </c>
      <c r="K208" s="15">
        <f t="shared" si="335"/>
        <v>43849.5</v>
      </c>
      <c r="L208" s="15">
        <f t="shared" si="336"/>
        <v>597.22800000000279</v>
      </c>
      <c r="M208" s="15">
        <f t="shared" si="337"/>
        <v>5</v>
      </c>
      <c r="N208" s="15">
        <f t="shared" si="338"/>
        <v>3.7719999999999998</v>
      </c>
      <c r="O208" s="64"/>
      <c r="P208" s="17">
        <f t="shared" si="339"/>
        <v>3.1331397849456266E-2</v>
      </c>
      <c r="Q208" s="15">
        <f t="shared" si="340"/>
        <v>3763.2280000000028</v>
      </c>
      <c r="R208" s="35"/>
      <c r="S208" s="35">
        <f t="shared" si="341"/>
        <v>67211.675999999687</v>
      </c>
      <c r="T208" s="35">
        <f t="shared" si="342"/>
        <v>7127.4311770943468</v>
      </c>
      <c r="U208" s="35">
        <f t="shared" si="343"/>
        <v>11777.431177094346</v>
      </c>
      <c r="V208" s="15">
        <f t="shared" si="344"/>
        <v>110915.48499999971</v>
      </c>
      <c r="W208" s="17">
        <f t="shared" si="345"/>
        <v>9.417629645394717</v>
      </c>
      <c r="X208" s="17">
        <f t="shared" si="346"/>
        <v>1.8961043244173581E-2</v>
      </c>
      <c r="Y208" s="17">
        <f t="shared" si="347"/>
        <v>1.2370354605282685E-2</v>
      </c>
      <c r="Z208" s="134">
        <f t="shared" si="348"/>
        <v>0.39482293974629012</v>
      </c>
      <c r="AA208" s="15">
        <f>SUM(L$2:L208)-SUM(AB$2:AB208)</f>
        <v>32921.097000000176</v>
      </c>
      <c r="AB208" s="64"/>
      <c r="AC208" s="145">
        <f t="shared" si="349"/>
        <v>15.442010021206478</v>
      </c>
      <c r="AD208" s="145">
        <f t="shared" si="350"/>
        <v>-4634.5579899787936</v>
      </c>
    </row>
    <row r="209" spans="1:30" x14ac:dyDescent="0.25">
      <c r="A209" s="99">
        <v>42943</v>
      </c>
      <c r="B209" s="100" t="s">
        <v>436</v>
      </c>
      <c r="C209" s="104" t="s">
        <v>63</v>
      </c>
      <c r="D209" s="104">
        <v>500</v>
      </c>
      <c r="E209" s="143">
        <v>9.2799999999999994</v>
      </c>
      <c r="F209" s="16">
        <f t="shared" si="330"/>
        <v>5150</v>
      </c>
      <c r="G209" s="17">
        <f t="shared" si="331"/>
        <v>9.3881182524271889</v>
      </c>
      <c r="H209" s="15">
        <f t="shared" si="332"/>
        <v>48348.809000000023</v>
      </c>
      <c r="I209" s="15">
        <f t="shared" si="333"/>
        <v>-556.80900000002293</v>
      </c>
      <c r="J209" s="33">
        <f t="shared" si="334"/>
        <v>-1.1516498782835081E-2</v>
      </c>
      <c r="K209" s="15">
        <f t="shared" si="335"/>
        <v>47792</v>
      </c>
      <c r="L209" s="15">
        <f t="shared" si="336"/>
        <v>-702.5</v>
      </c>
      <c r="M209" s="15">
        <f t="shared" si="337"/>
        <v>5</v>
      </c>
      <c r="N209" s="15">
        <f t="shared" si="338"/>
        <v>0</v>
      </c>
      <c r="O209" s="64"/>
      <c r="P209" s="17">
        <f t="shared" si="339"/>
        <v>-0.10811825242718953</v>
      </c>
      <c r="Q209" s="15">
        <f t="shared" si="340"/>
        <v>-4645</v>
      </c>
      <c r="R209" s="35"/>
      <c r="S209" s="35">
        <f t="shared" si="341"/>
        <v>62566.675999999687</v>
      </c>
      <c r="T209" s="35">
        <f t="shared" si="342"/>
        <v>6742.0987068965187</v>
      </c>
      <c r="U209" s="35">
        <f t="shared" si="343"/>
        <v>11892.098706896519</v>
      </c>
      <c r="V209" s="15">
        <f t="shared" si="344"/>
        <v>110915.48499999971</v>
      </c>
      <c r="W209" s="17">
        <f t="shared" si="345"/>
        <v>9.3268217607105051</v>
      </c>
      <c r="X209" s="17">
        <f t="shared" si="346"/>
        <v>-6.1296491716683832E-2</v>
      </c>
      <c r="Y209" s="17">
        <f t="shared" si="347"/>
        <v>-4.68217607105057E-2</v>
      </c>
      <c r="Z209" s="134">
        <f t="shared" si="348"/>
        <v>0.43306065034705682</v>
      </c>
      <c r="AA209" s="15">
        <f>SUM(L$2:L209)-SUM(AB$2:AB209)</f>
        <v>32218.597000000176</v>
      </c>
      <c r="AB209" s="64"/>
      <c r="AC209" s="145">
        <f t="shared" si="349"/>
        <v>-59.970969342674891</v>
      </c>
      <c r="AD209" s="145">
        <f t="shared" si="350"/>
        <v>-5209.9709693426748</v>
      </c>
    </row>
    <row r="210" spans="1:30" x14ac:dyDescent="0.25">
      <c r="A210" s="99">
        <v>42947</v>
      </c>
      <c r="B210" s="100"/>
      <c r="C210" s="104" t="s">
        <v>69</v>
      </c>
      <c r="D210" s="104">
        <v>500</v>
      </c>
      <c r="E210" s="143">
        <v>9.33</v>
      </c>
      <c r="F210" s="16">
        <f t="shared" si="330"/>
        <v>4650</v>
      </c>
      <c r="G210" s="17">
        <f t="shared" si="331"/>
        <v>9.3964460215053816</v>
      </c>
      <c r="H210" s="15">
        <f t="shared" si="332"/>
        <v>43693.474000000024</v>
      </c>
      <c r="I210" s="15">
        <f t="shared" si="333"/>
        <v>-308.97400000002381</v>
      </c>
      <c r="J210" s="33">
        <f t="shared" si="334"/>
        <v>-7.0713992666278655E-3</v>
      </c>
      <c r="K210" s="15">
        <f t="shared" si="335"/>
        <v>43384.5</v>
      </c>
      <c r="L210" s="15">
        <f t="shared" si="336"/>
        <v>247.83499999999913</v>
      </c>
      <c r="M210" s="15">
        <f t="shared" si="337"/>
        <v>5</v>
      </c>
      <c r="N210" s="15">
        <f t="shared" si="338"/>
        <v>4.665</v>
      </c>
      <c r="O210" s="64"/>
      <c r="P210" s="17">
        <f t="shared" si="339"/>
        <v>-6.6446021505381481E-2</v>
      </c>
      <c r="Q210" s="15">
        <f t="shared" si="340"/>
        <v>4655.3349999999991</v>
      </c>
      <c r="R210" s="35"/>
      <c r="S210" s="35">
        <f t="shared" si="341"/>
        <v>67222.010999999678</v>
      </c>
      <c r="T210" s="35">
        <f t="shared" si="342"/>
        <v>7204.9315112539844</v>
      </c>
      <c r="U210" s="35">
        <f t="shared" si="343"/>
        <v>11854.931511253984</v>
      </c>
      <c r="V210" s="15">
        <f t="shared" si="344"/>
        <v>110915.48499999969</v>
      </c>
      <c r="W210" s="17">
        <f t="shared" si="345"/>
        <v>9.3560629089005456</v>
      </c>
      <c r="X210" s="17">
        <f t="shared" si="346"/>
        <v>-4.0383112604835958E-2</v>
      </c>
      <c r="Y210" s="17">
        <f t="shared" si="347"/>
        <v>-2.6062908900545523E-2</v>
      </c>
      <c r="Z210" s="134">
        <f t="shared" si="348"/>
        <v>0.39224182742732144</v>
      </c>
      <c r="AA210" s="15">
        <f>SUM(L$2:L210)-SUM(AB$2:AB210)</f>
        <v>32466.432000000175</v>
      </c>
      <c r="AB210" s="64"/>
      <c r="AC210" s="145">
        <f t="shared" si="349"/>
        <v>-33.099626259380898</v>
      </c>
      <c r="AD210" s="145">
        <f t="shared" si="350"/>
        <v>-4683.0996262593808</v>
      </c>
    </row>
    <row r="211" spans="1:30" x14ac:dyDescent="0.25">
      <c r="A211" s="99">
        <v>42948</v>
      </c>
      <c r="B211" s="100" t="s">
        <v>335</v>
      </c>
      <c r="C211" s="104" t="s">
        <v>69</v>
      </c>
      <c r="D211" s="104">
        <v>400</v>
      </c>
      <c r="E211" s="143">
        <v>9.42</v>
      </c>
      <c r="F211" s="16">
        <f t="shared" si="330"/>
        <v>4250</v>
      </c>
      <c r="G211" s="17">
        <f t="shared" si="331"/>
        <v>9.3962922352941227</v>
      </c>
      <c r="H211" s="15">
        <f t="shared" si="332"/>
        <v>39934.24200000002</v>
      </c>
      <c r="I211" s="15">
        <f t="shared" si="333"/>
        <v>100.7579999999798</v>
      </c>
      <c r="J211" s="33">
        <f t="shared" si="334"/>
        <v>2.5230978467045422E-3</v>
      </c>
      <c r="K211" s="15">
        <f t="shared" si="335"/>
        <v>40035</v>
      </c>
      <c r="L211" s="15">
        <f t="shared" si="336"/>
        <v>409.73200000000361</v>
      </c>
      <c r="M211" s="15">
        <f t="shared" si="337"/>
        <v>5</v>
      </c>
      <c r="N211" s="15">
        <f t="shared" si="338"/>
        <v>3.7679999999999998</v>
      </c>
      <c r="O211" s="64"/>
      <c r="P211" s="17">
        <f t="shared" si="339"/>
        <v>2.370776470587721E-2</v>
      </c>
      <c r="Q211" s="15">
        <f t="shared" si="340"/>
        <v>3759.2320000000036</v>
      </c>
      <c r="R211" s="35"/>
      <c r="S211" s="35">
        <f t="shared" si="341"/>
        <v>70981.242999999682</v>
      </c>
      <c r="T211" s="35">
        <f t="shared" si="342"/>
        <v>7535.1638004245951</v>
      </c>
      <c r="U211" s="35">
        <f t="shared" si="343"/>
        <v>11785.163800424594</v>
      </c>
      <c r="V211" s="15">
        <f t="shared" si="344"/>
        <v>110915.48499999969</v>
      </c>
      <c r="W211" s="17">
        <f t="shared" si="345"/>
        <v>9.4114504370319949</v>
      </c>
      <c r="X211" s="17">
        <f t="shared" si="346"/>
        <v>1.515820173787219E-2</v>
      </c>
      <c r="Y211" s="17">
        <f t="shared" si="347"/>
        <v>8.54956296800502E-3</v>
      </c>
      <c r="Z211" s="134">
        <f t="shared" si="348"/>
        <v>0.36062290452398138</v>
      </c>
      <c r="AA211" s="15">
        <f>SUM(L$2:L211)-SUM(AB$2:AB211)</f>
        <v>32876.164000000179</v>
      </c>
      <c r="AB211" s="64"/>
      <c r="AC211" s="145">
        <f t="shared" si="349"/>
        <v>10.690830254774928</v>
      </c>
      <c r="AD211" s="145">
        <f t="shared" si="350"/>
        <v>-4239.3091697452255</v>
      </c>
    </row>
    <row r="212" spans="1:30" x14ac:dyDescent="0.25">
      <c r="A212" s="99">
        <v>42948</v>
      </c>
      <c r="B212" s="100" t="s">
        <v>265</v>
      </c>
      <c r="C212" s="104" t="s">
        <v>63</v>
      </c>
      <c r="D212" s="104">
        <v>500</v>
      </c>
      <c r="E212" s="143">
        <v>9.32</v>
      </c>
      <c r="F212" s="16">
        <f t="shared" si="330"/>
        <v>4750</v>
      </c>
      <c r="G212" s="17">
        <f t="shared" si="331"/>
        <v>9.3893141052631623</v>
      </c>
      <c r="H212" s="15">
        <f t="shared" si="332"/>
        <v>44599.24200000002</v>
      </c>
      <c r="I212" s="15">
        <f t="shared" si="333"/>
        <v>-329.2420000000202</v>
      </c>
      <c r="J212" s="33">
        <f t="shared" si="334"/>
        <v>-7.3822330881771411E-3</v>
      </c>
      <c r="K212" s="15">
        <f t="shared" si="335"/>
        <v>44270</v>
      </c>
      <c r="L212" s="15">
        <f t="shared" si="336"/>
        <v>-430</v>
      </c>
      <c r="M212" s="15">
        <f t="shared" si="337"/>
        <v>5</v>
      </c>
      <c r="N212" s="15">
        <f t="shared" si="338"/>
        <v>0</v>
      </c>
      <c r="O212" s="64"/>
      <c r="P212" s="17">
        <f t="shared" si="339"/>
        <v>-6.9314105263162062E-2</v>
      </c>
      <c r="Q212" s="15">
        <f t="shared" si="340"/>
        <v>-4665</v>
      </c>
      <c r="R212" s="35"/>
      <c r="S212" s="35">
        <f t="shared" si="341"/>
        <v>66316.242999999682</v>
      </c>
      <c r="T212" s="35">
        <f t="shared" si="342"/>
        <v>7115.4767167381633</v>
      </c>
      <c r="U212" s="35">
        <f t="shared" si="343"/>
        <v>11865.476716738163</v>
      </c>
      <c r="V212" s="15">
        <f t="shared" si="344"/>
        <v>110915.48499999969</v>
      </c>
      <c r="W212" s="17">
        <f t="shared" si="345"/>
        <v>9.3477478948263037</v>
      </c>
      <c r="X212" s="17">
        <f t="shared" si="346"/>
        <v>-4.1566210436858597E-2</v>
      </c>
      <c r="Y212" s="17">
        <f t="shared" si="347"/>
        <v>-2.7747894826303465E-2</v>
      </c>
      <c r="Z212" s="134">
        <f t="shared" si="348"/>
        <v>0.40032104174115152</v>
      </c>
      <c r="AA212" s="15">
        <f>SUM(L$2:L212)-SUM(AB$2:AB212)</f>
        <v>32446.164000000179</v>
      </c>
      <c r="AB212" s="64"/>
      <c r="AC212" s="145">
        <f t="shared" si="349"/>
        <v>-35.308731652362681</v>
      </c>
      <c r="AD212" s="145">
        <f t="shared" si="350"/>
        <v>-4785.3087316523624</v>
      </c>
    </row>
    <row r="213" spans="1:30" x14ac:dyDescent="0.25">
      <c r="A213" s="99">
        <v>42948</v>
      </c>
      <c r="B213" s="100" t="s">
        <v>335</v>
      </c>
      <c r="C213" s="104" t="s">
        <v>63</v>
      </c>
      <c r="D213" s="104">
        <v>500</v>
      </c>
      <c r="E213" s="143">
        <v>9.25</v>
      </c>
      <c r="F213" s="16">
        <f t="shared" si="330"/>
        <v>5250</v>
      </c>
      <c r="G213" s="17">
        <f t="shared" si="331"/>
        <v>9.3769984761904794</v>
      </c>
      <c r="H213" s="15">
        <f t="shared" si="332"/>
        <v>49229.24200000002</v>
      </c>
      <c r="I213" s="15">
        <f t="shared" si="333"/>
        <v>-666.7420000000202</v>
      </c>
      <c r="J213" s="33">
        <f t="shared" si="334"/>
        <v>-1.354361702339469E-2</v>
      </c>
      <c r="K213" s="15">
        <f t="shared" si="335"/>
        <v>48562.5</v>
      </c>
      <c r="L213" s="15">
        <f t="shared" si="336"/>
        <v>-337.5</v>
      </c>
      <c r="M213" s="15">
        <f t="shared" si="337"/>
        <v>5</v>
      </c>
      <c r="N213" s="15">
        <f t="shared" si="338"/>
        <v>0</v>
      </c>
      <c r="O213" s="64"/>
      <c r="P213" s="17">
        <f t="shared" si="339"/>
        <v>-0.12699847619047944</v>
      </c>
      <c r="Q213" s="15">
        <f t="shared" si="340"/>
        <v>-4630</v>
      </c>
      <c r="R213" s="35"/>
      <c r="S213" s="35">
        <f t="shared" si="341"/>
        <v>61686.242999999682</v>
      </c>
      <c r="T213" s="35">
        <f t="shared" si="342"/>
        <v>6668.7830270269924</v>
      </c>
      <c r="U213" s="35">
        <f t="shared" si="343"/>
        <v>11918.783027026991</v>
      </c>
      <c r="V213" s="15">
        <f t="shared" si="344"/>
        <v>110915.48499999969</v>
      </c>
      <c r="W213" s="17">
        <f t="shared" si="345"/>
        <v>9.3059404427858219</v>
      </c>
      <c r="X213" s="17">
        <f t="shared" si="346"/>
        <v>-7.105803340465755E-2</v>
      </c>
      <c r="Y213" s="17">
        <f t="shared" si="347"/>
        <v>-5.5940442785821887E-2</v>
      </c>
      <c r="Z213" s="134">
        <f t="shared" si="348"/>
        <v>0.44048121256130918</v>
      </c>
      <c r="AA213" s="15">
        <f>SUM(L$2:L213)-SUM(AB$2:AB213)</f>
        <v>32108.664000000179</v>
      </c>
      <c r="AB213" s="64"/>
      <c r="AC213" s="145">
        <f t="shared" si="349"/>
        <v>-72.044176108110292</v>
      </c>
      <c r="AD213" s="145">
        <f t="shared" si="350"/>
        <v>-5322.0441761081102</v>
      </c>
    </row>
    <row r="214" spans="1:30" x14ac:dyDescent="0.25">
      <c r="A214" s="99">
        <v>42949</v>
      </c>
      <c r="B214" s="100" t="s">
        <v>437</v>
      </c>
      <c r="C214" s="104" t="s">
        <v>63</v>
      </c>
      <c r="D214" s="104">
        <v>500</v>
      </c>
      <c r="E214" s="143">
        <v>9.1199999999999992</v>
      </c>
      <c r="F214" s="16">
        <f t="shared" ref="F214:F221" si="351">IF(C214="买",F213+D214,F213-D214)</f>
        <v>5750</v>
      </c>
      <c r="G214" s="17">
        <f t="shared" ref="G214:G221" si="352">H214/F214</f>
        <v>9.35552034782609</v>
      </c>
      <c r="H214" s="15">
        <f t="shared" ref="H214:H221" si="353">IF(C214="买",H213+D214*E214+M214+N214,H213+-1*D214*E214+M214+N214)+O213</f>
        <v>53794.24200000002</v>
      </c>
      <c r="I214" s="15">
        <f t="shared" ref="I214:I221" si="354">-H214+K214</f>
        <v>-1354.2420000000275</v>
      </c>
      <c r="J214" s="33">
        <f t="shared" ref="J214:J221" si="355">(E214-G214)/G214</f>
        <v>-2.5174478710937528E-2</v>
      </c>
      <c r="K214" s="15">
        <f t="shared" ref="K214:K221" si="356">F214*E214</f>
        <v>52439.999999999993</v>
      </c>
      <c r="L214" s="15">
        <f t="shared" ref="L214:L221" si="357">I214-I213</f>
        <v>-687.50000000000728</v>
      </c>
      <c r="M214" s="15">
        <f t="shared" ref="M214:M221" si="358">IF(D214*E214*5/10000&gt;5,D214*E214*5/10000,5)</f>
        <v>5</v>
      </c>
      <c r="N214" s="15">
        <f t="shared" ref="N214:N221" si="359">IF(C214="卖",D214*E214/1000,0)</f>
        <v>0</v>
      </c>
      <c r="O214" s="64"/>
      <c r="P214" s="17">
        <f t="shared" ref="P214:P221" si="360">E214-G214</f>
        <v>-0.23552034782609077</v>
      </c>
      <c r="Q214" s="15">
        <f t="shared" ref="Q214:Q221" si="361">(H214-H213)*-1</f>
        <v>-4565</v>
      </c>
      <c r="R214" s="35"/>
      <c r="S214" s="35">
        <f t="shared" ref="S214:S221" si="362">S213+Q214+O214+R214</f>
        <v>57121.242999999682</v>
      </c>
      <c r="T214" s="35">
        <f t="shared" ref="T214:T221" si="363">S214/E214</f>
        <v>6263.2941885964565</v>
      </c>
      <c r="U214" s="35">
        <f t="shared" ref="U214:U221" si="364">F214+T214</f>
        <v>12013.294188596457</v>
      </c>
      <c r="V214" s="15">
        <f t="shared" ref="V214:V221" si="365">H214+S214</f>
        <v>110915.48499999969</v>
      </c>
      <c r="W214" s="17">
        <f t="shared" ref="W214:W221" si="366">V214/U214</f>
        <v>9.2327286137124247</v>
      </c>
      <c r="X214" s="17">
        <f t="shared" ref="X214:X221" si="367">W214-G214</f>
        <v>-0.12279173411366529</v>
      </c>
      <c r="Y214" s="17">
        <f t="shared" ref="Y214:Y221" si="368">(X214-P214)*-1</f>
        <v>-0.11272861371242549</v>
      </c>
      <c r="Z214" s="134">
        <f t="shared" ref="Z214:Z221" si="369">F214/U214</f>
        <v>0.47863640977494337</v>
      </c>
      <c r="AA214" s="15">
        <f>SUM(L$2:L214)-SUM(AB$2:AB214)</f>
        <v>31421.164000000172</v>
      </c>
      <c r="AB214" s="64"/>
      <c r="AC214" s="145">
        <f t="shared" ref="AC214:AC221" si="370">I214/E214*(1-0.0005)</f>
        <v>-148.41720164473986</v>
      </c>
      <c r="AD214" s="145">
        <f t="shared" ref="AD214:AD221" si="371">AC214-F214</f>
        <v>-5898.4172016447401</v>
      </c>
    </row>
    <row r="215" spans="1:30" x14ac:dyDescent="0.25">
      <c r="A215" s="99">
        <v>42951</v>
      </c>
      <c r="B215" s="100"/>
      <c r="C215" s="104" t="s">
        <v>69</v>
      </c>
      <c r="D215" s="104">
        <v>500</v>
      </c>
      <c r="E215" s="143">
        <v>9.26</v>
      </c>
      <c r="F215" s="16">
        <f t="shared" si="351"/>
        <v>5250</v>
      </c>
      <c r="G215" s="17">
        <f t="shared" si="352"/>
        <v>9.366451809523813</v>
      </c>
      <c r="H215" s="15">
        <f t="shared" si="353"/>
        <v>49173.872000000018</v>
      </c>
      <c r="I215" s="15">
        <f t="shared" si="354"/>
        <v>-558.87200000001758</v>
      </c>
      <c r="J215" s="33">
        <f t="shared" si="355"/>
        <v>-1.1365222571857243E-2</v>
      </c>
      <c r="K215" s="15">
        <f t="shared" si="356"/>
        <v>48615</v>
      </c>
      <c r="L215" s="15">
        <f t="shared" si="357"/>
        <v>795.3700000000099</v>
      </c>
      <c r="M215" s="15">
        <f t="shared" si="358"/>
        <v>5</v>
      </c>
      <c r="N215" s="15">
        <f t="shared" si="359"/>
        <v>4.63</v>
      </c>
      <c r="O215" s="64"/>
      <c r="P215" s="17">
        <f t="shared" si="360"/>
        <v>-0.10645180952381317</v>
      </c>
      <c r="Q215" s="15">
        <f t="shared" si="361"/>
        <v>4620.3700000000026</v>
      </c>
      <c r="R215" s="35"/>
      <c r="S215" s="35">
        <f t="shared" si="362"/>
        <v>61741.612999999685</v>
      </c>
      <c r="T215" s="35">
        <f t="shared" si="363"/>
        <v>6667.5607991360348</v>
      </c>
      <c r="U215" s="35">
        <f t="shared" si="364"/>
        <v>11917.560799136034</v>
      </c>
      <c r="V215" s="15">
        <f t="shared" si="365"/>
        <v>110915.48499999969</v>
      </c>
      <c r="W215" s="17">
        <f t="shared" si="366"/>
        <v>9.3068948310329187</v>
      </c>
      <c r="X215" s="17">
        <f t="shared" si="367"/>
        <v>-5.9556978490894252E-2</v>
      </c>
      <c r="Y215" s="17">
        <f t="shared" si="368"/>
        <v>-4.6894831032918916E-2</v>
      </c>
      <c r="Z215" s="134">
        <f t="shared" si="369"/>
        <v>0.44052638694157953</v>
      </c>
      <c r="AA215" s="15">
        <f>SUM(L$2:L215)-SUM(AB$2:AB215)</f>
        <v>32216.534000000182</v>
      </c>
      <c r="AB215" s="64"/>
      <c r="AC215" s="145">
        <f t="shared" si="370"/>
        <v>-60.323171058317236</v>
      </c>
      <c r="AD215" s="145">
        <f t="shared" si="371"/>
        <v>-5310.3231710583168</v>
      </c>
    </row>
    <row r="216" spans="1:30" x14ac:dyDescent="0.25">
      <c r="A216" s="99">
        <v>42951</v>
      </c>
      <c r="B216" s="100"/>
      <c r="C216" s="104" t="s">
        <v>69</v>
      </c>
      <c r="D216" s="104">
        <v>500</v>
      </c>
      <c r="E216" s="143">
        <v>9.32</v>
      </c>
      <c r="F216" s="16">
        <f t="shared" si="351"/>
        <v>4750</v>
      </c>
      <c r="G216" s="17">
        <f t="shared" si="352"/>
        <v>9.373375157894742</v>
      </c>
      <c r="H216" s="15">
        <f t="shared" si="353"/>
        <v>44523.532000000021</v>
      </c>
      <c r="I216" s="15">
        <f t="shared" si="354"/>
        <v>-253.53200000002107</v>
      </c>
      <c r="J216" s="33">
        <f t="shared" si="355"/>
        <v>-5.6943370979647984E-3</v>
      </c>
      <c r="K216" s="15">
        <f t="shared" si="356"/>
        <v>44270</v>
      </c>
      <c r="L216" s="15">
        <f t="shared" si="357"/>
        <v>305.33999999999651</v>
      </c>
      <c r="M216" s="15">
        <f t="shared" si="358"/>
        <v>5</v>
      </c>
      <c r="N216" s="15">
        <f t="shared" si="359"/>
        <v>4.66</v>
      </c>
      <c r="O216" s="64"/>
      <c r="P216" s="17">
        <f t="shared" si="360"/>
        <v>-5.3375157894741676E-2</v>
      </c>
      <c r="Q216" s="15">
        <f t="shared" si="361"/>
        <v>4650.3399999999965</v>
      </c>
      <c r="R216" s="35"/>
      <c r="S216" s="35">
        <f t="shared" si="362"/>
        <v>66391.952999999688</v>
      </c>
      <c r="T216" s="35">
        <f t="shared" si="363"/>
        <v>7123.6001072961035</v>
      </c>
      <c r="U216" s="35">
        <f t="shared" si="364"/>
        <v>11873.600107296104</v>
      </c>
      <c r="V216" s="15">
        <f t="shared" si="365"/>
        <v>110915.48499999971</v>
      </c>
      <c r="W216" s="17">
        <f t="shared" si="366"/>
        <v>9.3413525803218036</v>
      </c>
      <c r="X216" s="17">
        <f t="shared" si="367"/>
        <v>-3.202257757293836E-2</v>
      </c>
      <c r="Y216" s="17">
        <f t="shared" si="368"/>
        <v>-2.1352580321803316E-2</v>
      </c>
      <c r="Z216" s="134">
        <f t="shared" si="369"/>
        <v>0.40004715984002309</v>
      </c>
      <c r="AA216" s="15">
        <f>SUM(L$2:L216)-SUM(AB$2:AB216)</f>
        <v>32521.874000000178</v>
      </c>
      <c r="AB216" s="64"/>
      <c r="AC216" s="145">
        <f t="shared" si="370"/>
        <v>-27.189402789701834</v>
      </c>
      <c r="AD216" s="145">
        <f t="shared" si="371"/>
        <v>-4777.1894027897015</v>
      </c>
    </row>
    <row r="217" spans="1:30" x14ac:dyDescent="0.25">
      <c r="A217" s="99">
        <v>42951</v>
      </c>
      <c r="B217" s="100" t="s">
        <v>438</v>
      </c>
      <c r="C217" s="104" t="s">
        <v>63</v>
      </c>
      <c r="D217" s="104">
        <v>500</v>
      </c>
      <c r="E217" s="143">
        <v>9.19</v>
      </c>
      <c r="F217" s="16">
        <f t="shared" si="351"/>
        <v>5250</v>
      </c>
      <c r="G217" s="17">
        <f t="shared" si="352"/>
        <v>9.3568632380952419</v>
      </c>
      <c r="H217" s="15">
        <f t="shared" si="353"/>
        <v>49123.532000000021</v>
      </c>
      <c r="I217" s="15">
        <f t="shared" si="354"/>
        <v>-876.03200000002107</v>
      </c>
      <c r="J217" s="33">
        <f t="shared" si="355"/>
        <v>-1.7833245378203307E-2</v>
      </c>
      <c r="K217" s="15">
        <f t="shared" si="356"/>
        <v>48247.5</v>
      </c>
      <c r="L217" s="15">
        <f t="shared" si="357"/>
        <v>-622.5</v>
      </c>
      <c r="M217" s="15">
        <f t="shared" si="358"/>
        <v>5</v>
      </c>
      <c r="N217" s="15">
        <f t="shared" si="359"/>
        <v>0</v>
      </c>
      <c r="O217" s="64"/>
      <c r="P217" s="17">
        <f t="shared" si="360"/>
        <v>-0.16686323809524239</v>
      </c>
      <c r="Q217" s="15">
        <f t="shared" si="361"/>
        <v>-4600</v>
      </c>
      <c r="R217" s="35"/>
      <c r="S217" s="35">
        <f t="shared" si="362"/>
        <v>61791.952999999688</v>
      </c>
      <c r="T217" s="35">
        <f t="shared" si="363"/>
        <v>6723.8251360173763</v>
      </c>
      <c r="U217" s="35">
        <f t="shared" si="364"/>
        <v>11973.825136017376</v>
      </c>
      <c r="V217" s="15">
        <f t="shared" si="365"/>
        <v>110915.48499999971</v>
      </c>
      <c r="W217" s="17">
        <f t="shared" si="366"/>
        <v>9.2631622509973788</v>
      </c>
      <c r="X217" s="17">
        <f t="shared" si="367"/>
        <v>-9.370098709786312E-2</v>
      </c>
      <c r="Y217" s="17">
        <f t="shared" si="368"/>
        <v>-7.3162250997379275E-2</v>
      </c>
      <c r="Z217" s="134">
        <f t="shared" si="369"/>
        <v>0.4384563780047156</v>
      </c>
      <c r="AA217" s="15">
        <f>SUM(L$2:L217)-SUM(AB$2:AB217)</f>
        <v>31899.374000000178</v>
      </c>
      <c r="AB217" s="64"/>
      <c r="AC217" s="145">
        <f t="shared" si="370"/>
        <v>-95.276820892276518</v>
      </c>
      <c r="AD217" s="145">
        <f t="shared" si="371"/>
        <v>-5345.2768208922762</v>
      </c>
    </row>
    <row r="218" spans="1:30" x14ac:dyDescent="0.25">
      <c r="A218" s="99">
        <v>42954</v>
      </c>
      <c r="B218" s="100" t="s">
        <v>439</v>
      </c>
      <c r="C218" s="104" t="s">
        <v>63</v>
      </c>
      <c r="D218" s="104">
        <v>500</v>
      </c>
      <c r="E218" s="143">
        <v>9.06</v>
      </c>
      <c r="F218" s="16">
        <f t="shared" si="351"/>
        <v>5750</v>
      </c>
      <c r="G218" s="17">
        <f t="shared" si="352"/>
        <v>9.3319186086956556</v>
      </c>
      <c r="H218" s="15">
        <f t="shared" si="353"/>
        <v>53658.532000000021</v>
      </c>
      <c r="I218" s="15">
        <f t="shared" si="354"/>
        <v>-1563.5320000000211</v>
      </c>
      <c r="J218" s="33">
        <f t="shared" si="355"/>
        <v>-2.9138553399113046E-2</v>
      </c>
      <c r="K218" s="15">
        <f t="shared" si="356"/>
        <v>52095</v>
      </c>
      <c r="L218" s="15">
        <f t="shared" si="357"/>
        <v>-687.5</v>
      </c>
      <c r="M218" s="15">
        <f t="shared" si="358"/>
        <v>5</v>
      </c>
      <c r="N218" s="15">
        <f t="shared" si="359"/>
        <v>0</v>
      </c>
      <c r="O218" s="64"/>
      <c r="P218" s="17">
        <f t="shared" si="360"/>
        <v>-0.2719186086956551</v>
      </c>
      <c r="Q218" s="15">
        <f t="shared" si="361"/>
        <v>-4535</v>
      </c>
      <c r="R218" s="35"/>
      <c r="S218" s="35">
        <f t="shared" si="362"/>
        <v>57256.952999999688</v>
      </c>
      <c r="T218" s="35">
        <f t="shared" si="363"/>
        <v>6319.7519867549317</v>
      </c>
      <c r="U218" s="35">
        <f t="shared" si="364"/>
        <v>12069.751986754931</v>
      </c>
      <c r="V218" s="15">
        <f t="shared" si="365"/>
        <v>110915.48499999971</v>
      </c>
      <c r="W218" s="17">
        <f t="shared" si="366"/>
        <v>9.1895413527730998</v>
      </c>
      <c r="X218" s="17">
        <f t="shared" si="367"/>
        <v>-0.14237725592255579</v>
      </c>
      <c r="Y218" s="17">
        <f t="shared" si="368"/>
        <v>-0.12954135277309931</v>
      </c>
      <c r="Z218" s="134">
        <f t="shared" si="369"/>
        <v>0.4763975271662515</v>
      </c>
      <c r="AA218" s="15">
        <f>SUM(L$2:L218)-SUM(AB$2:AB218)</f>
        <v>31211.874000000178</v>
      </c>
      <c r="AB218" s="64"/>
      <c r="AC218" s="145">
        <f t="shared" si="370"/>
        <v>-172.48898830022307</v>
      </c>
      <c r="AD218" s="145">
        <f t="shared" si="371"/>
        <v>-5922.4889883002234</v>
      </c>
    </row>
    <row r="219" spans="1:30" x14ac:dyDescent="0.25">
      <c r="A219" s="99">
        <v>42955</v>
      </c>
      <c r="B219" s="100"/>
      <c r="C219" s="104" t="s">
        <v>69</v>
      </c>
      <c r="D219" s="104">
        <v>500</v>
      </c>
      <c r="E219" s="143">
        <v>9.23</v>
      </c>
      <c r="F219" s="16">
        <f t="shared" si="351"/>
        <v>5250</v>
      </c>
      <c r="G219" s="17">
        <f t="shared" si="352"/>
        <v>9.3434565714285753</v>
      </c>
      <c r="H219" s="15">
        <f t="shared" si="353"/>
        <v>49053.147000000019</v>
      </c>
      <c r="I219" s="15">
        <f t="shared" si="354"/>
        <v>-595.64700000001903</v>
      </c>
      <c r="J219" s="33">
        <f t="shared" si="355"/>
        <v>-1.2142890648789933E-2</v>
      </c>
      <c r="K219" s="15">
        <f t="shared" si="356"/>
        <v>48457.5</v>
      </c>
      <c r="L219" s="15">
        <f t="shared" si="357"/>
        <v>967.88500000000204</v>
      </c>
      <c r="M219" s="15">
        <f t="shared" si="358"/>
        <v>5</v>
      </c>
      <c r="N219" s="15">
        <f t="shared" si="359"/>
        <v>4.6150000000000002</v>
      </c>
      <c r="O219" s="64"/>
      <c r="P219" s="17">
        <f t="shared" si="360"/>
        <v>-0.1134565714285749</v>
      </c>
      <c r="Q219" s="15">
        <f t="shared" si="361"/>
        <v>4605.385000000002</v>
      </c>
      <c r="R219" s="35"/>
      <c r="S219" s="35">
        <f t="shared" si="362"/>
        <v>61862.337999999691</v>
      </c>
      <c r="T219" s="35">
        <f t="shared" si="363"/>
        <v>6702.3118093174089</v>
      </c>
      <c r="U219" s="35">
        <f t="shared" si="364"/>
        <v>11952.311809317409</v>
      </c>
      <c r="V219" s="15">
        <f t="shared" si="365"/>
        <v>110915.48499999971</v>
      </c>
      <c r="W219" s="17">
        <f t="shared" si="366"/>
        <v>9.2798352962592308</v>
      </c>
      <c r="X219" s="17">
        <f t="shared" si="367"/>
        <v>-6.3621275169344571E-2</v>
      </c>
      <c r="Y219" s="17">
        <f t="shared" si="368"/>
        <v>-4.9835296259230333E-2</v>
      </c>
      <c r="Z219" s="134">
        <f t="shared" si="369"/>
        <v>0.4392455688703979</v>
      </c>
      <c r="AA219" s="15">
        <f>SUM(L$2:L219)-SUM(AB$2:AB219)</f>
        <v>32179.75900000018</v>
      </c>
      <c r="AB219" s="64"/>
      <c r="AC219" s="145">
        <f t="shared" si="370"/>
        <v>-64.501535915495026</v>
      </c>
      <c r="AD219" s="145">
        <f t="shared" si="371"/>
        <v>-5314.501535915495</v>
      </c>
    </row>
    <row r="220" spans="1:30" x14ac:dyDescent="0.25">
      <c r="A220" s="99">
        <v>42955</v>
      </c>
      <c r="B220" s="100"/>
      <c r="C220" s="104" t="s">
        <v>69</v>
      </c>
      <c r="D220" s="104">
        <v>400</v>
      </c>
      <c r="E220" s="143">
        <v>9.32</v>
      </c>
      <c r="F220" s="16">
        <f t="shared" si="351"/>
        <v>4850</v>
      </c>
      <c r="G220" s="17">
        <f t="shared" si="352"/>
        <v>9.3471907216494898</v>
      </c>
      <c r="H220" s="15">
        <f t="shared" si="353"/>
        <v>45333.875000000022</v>
      </c>
      <c r="I220" s="15">
        <f t="shared" si="354"/>
        <v>-131.87500000002183</v>
      </c>
      <c r="J220" s="33">
        <f t="shared" si="355"/>
        <v>-2.9089725949971016E-3</v>
      </c>
      <c r="K220" s="15">
        <f t="shared" si="356"/>
        <v>45202</v>
      </c>
      <c r="L220" s="15">
        <f t="shared" si="357"/>
        <v>463.77199999999721</v>
      </c>
      <c r="M220" s="15">
        <f t="shared" si="358"/>
        <v>5</v>
      </c>
      <c r="N220" s="15">
        <f t="shared" si="359"/>
        <v>3.7280000000000002</v>
      </c>
      <c r="O220" s="64"/>
      <c r="P220" s="17">
        <f t="shared" si="360"/>
        <v>-2.7190721649489547E-2</v>
      </c>
      <c r="Q220" s="15">
        <f t="shared" si="361"/>
        <v>3719.2719999999972</v>
      </c>
      <c r="R220" s="35"/>
      <c r="S220" s="35">
        <f t="shared" si="362"/>
        <v>65581.609999999695</v>
      </c>
      <c r="T220" s="35">
        <f t="shared" si="363"/>
        <v>7036.6534334763619</v>
      </c>
      <c r="U220" s="35">
        <f t="shared" si="364"/>
        <v>11886.653433476362</v>
      </c>
      <c r="V220" s="15">
        <f t="shared" si="365"/>
        <v>110915.48499999972</v>
      </c>
      <c r="W220" s="17">
        <f t="shared" si="366"/>
        <v>9.331094375783568</v>
      </c>
      <c r="X220" s="17">
        <f t="shared" si="367"/>
        <v>-1.6096345865921791E-2</v>
      </c>
      <c r="Y220" s="17">
        <f t="shared" si="368"/>
        <v>-1.1094375783567756E-2</v>
      </c>
      <c r="Z220" s="134">
        <f t="shared" si="369"/>
        <v>0.4080206449311421</v>
      </c>
      <c r="AA220" s="15">
        <f>SUM(L$2:L220)-SUM(AB$2:AB220)</f>
        <v>32643.531000000177</v>
      </c>
      <c r="AB220" s="64"/>
      <c r="AC220" s="145">
        <f t="shared" si="370"/>
        <v>-14.142603272534529</v>
      </c>
      <c r="AD220" s="145">
        <f t="shared" si="371"/>
        <v>-4864.1426032725349</v>
      </c>
    </row>
    <row r="221" spans="1:30" x14ac:dyDescent="0.25">
      <c r="A221" s="99">
        <v>42956</v>
      </c>
      <c r="B221" s="100" t="s">
        <v>440</v>
      </c>
      <c r="C221" s="104" t="s">
        <v>63</v>
      </c>
      <c r="D221" s="104">
        <v>500</v>
      </c>
      <c r="E221" s="143">
        <v>9.18</v>
      </c>
      <c r="F221" s="16">
        <f t="shared" si="351"/>
        <v>5350</v>
      </c>
      <c r="G221" s="17">
        <f t="shared" si="352"/>
        <v>9.3325000000000049</v>
      </c>
      <c r="H221" s="15">
        <f t="shared" si="353"/>
        <v>49928.875000000022</v>
      </c>
      <c r="I221" s="15">
        <f t="shared" si="354"/>
        <v>-815.87500000002183</v>
      </c>
      <c r="J221" s="33">
        <f t="shared" si="355"/>
        <v>-1.6340744709349597E-2</v>
      </c>
      <c r="K221" s="15">
        <f t="shared" si="356"/>
        <v>49113</v>
      </c>
      <c r="L221" s="15">
        <f t="shared" si="357"/>
        <v>-684</v>
      </c>
      <c r="M221" s="15">
        <f t="shared" si="358"/>
        <v>5</v>
      </c>
      <c r="N221" s="15">
        <f t="shared" si="359"/>
        <v>0</v>
      </c>
      <c r="O221" s="64"/>
      <c r="P221" s="17">
        <f t="shared" si="360"/>
        <v>-0.15250000000000519</v>
      </c>
      <c r="Q221" s="15">
        <f t="shared" si="361"/>
        <v>-4595</v>
      </c>
      <c r="R221" s="35"/>
      <c r="S221" s="35">
        <f t="shared" si="362"/>
        <v>60986.609999999695</v>
      </c>
      <c r="T221" s="35">
        <f t="shared" si="363"/>
        <v>6643.4215686274183</v>
      </c>
      <c r="U221" s="35">
        <f t="shared" si="364"/>
        <v>11993.421568627418</v>
      </c>
      <c r="V221" s="15">
        <f t="shared" si="365"/>
        <v>110915.48499999972</v>
      </c>
      <c r="W221" s="17">
        <f t="shared" si="366"/>
        <v>9.2480268758445217</v>
      </c>
      <c r="X221" s="17">
        <f t="shared" si="367"/>
        <v>-8.4473124155483248E-2</v>
      </c>
      <c r="Y221" s="17">
        <f t="shared" si="368"/>
        <v>-6.8026875844521939E-2</v>
      </c>
      <c r="Z221" s="134">
        <f t="shared" si="369"/>
        <v>0.44607787439029195</v>
      </c>
      <c r="AA221" s="15">
        <f>SUM(L$2:L221)-SUM(AB$2:AB221)</f>
        <v>31959.531000000177</v>
      </c>
      <c r="AB221" s="64"/>
      <c r="AC221" s="145">
        <f t="shared" si="370"/>
        <v>-88.830834694991495</v>
      </c>
      <c r="AD221" s="145">
        <f t="shared" si="371"/>
        <v>-5438.8308346949916</v>
      </c>
    </row>
    <row r="222" spans="1:30" x14ac:dyDescent="0.25">
      <c r="A222" s="99">
        <v>42956</v>
      </c>
      <c r="B222" s="100" t="s">
        <v>187</v>
      </c>
      <c r="C222" s="104" t="s">
        <v>69</v>
      </c>
      <c r="D222" s="104">
        <v>400</v>
      </c>
      <c r="E222" s="143">
        <v>9.34</v>
      </c>
      <c r="F222" s="16">
        <f t="shared" ref="F222:F229" si="372">IF(C222="买",F221+D222,F221-D222)</f>
        <v>4950</v>
      </c>
      <c r="G222" s="17">
        <f t="shared" ref="G222:G229" si="373">H222/F222</f>
        <v>9.3336587878787913</v>
      </c>
      <c r="H222" s="15">
        <f t="shared" ref="H222:H229" si="374">IF(C222="买",H221+D222*E222+M222+N222,H221+-1*D222*E222+M222+N222)+O221</f>
        <v>46201.611000000019</v>
      </c>
      <c r="I222" s="15">
        <f t="shared" ref="I222:I233" si="375">-H222+K222</f>
        <v>31.388999999981024</v>
      </c>
      <c r="J222" s="33">
        <f t="shared" ref="J222:J233" si="376">(E222-G222)/G222</f>
        <v>6.7939189393162512E-4</v>
      </c>
      <c r="K222" s="15">
        <f t="shared" ref="K222:K233" si="377">F222*E222</f>
        <v>46233</v>
      </c>
      <c r="L222" s="15">
        <f t="shared" ref="L222:L233" si="378">I222-I221</f>
        <v>847.26400000000285</v>
      </c>
      <c r="M222" s="15">
        <f t="shared" ref="M222:M233" si="379">IF(D222*E222*5/10000&gt;5,D222*E222*5/10000,5)</f>
        <v>5</v>
      </c>
      <c r="N222" s="15">
        <f t="shared" ref="N222:N233" si="380">IF(C222="卖",D222*E222/1000,0)</f>
        <v>3.7360000000000002</v>
      </c>
      <c r="O222" s="64"/>
      <c r="P222" s="17">
        <f t="shared" ref="P222:P233" si="381">E222-G222</f>
        <v>6.3412121212085282E-3</v>
      </c>
      <c r="Q222" s="15">
        <f t="shared" ref="Q222:Q233" si="382">(H222-H221)*-1</f>
        <v>3727.2640000000029</v>
      </c>
      <c r="R222" s="35"/>
      <c r="S222" s="35">
        <f t="shared" ref="S222:S233" si="383">S221+Q222+O222+R222</f>
        <v>64713.873999999698</v>
      </c>
      <c r="T222" s="35">
        <f t="shared" ref="T222:T233" si="384">S222/E222</f>
        <v>6928.6802997858349</v>
      </c>
      <c r="U222" s="35">
        <f t="shared" ref="U222:U233" si="385">F222+T222</f>
        <v>11878.680299785836</v>
      </c>
      <c r="V222" s="15">
        <f t="shared" ref="V222:V233" si="386">H222+S222</f>
        <v>110915.48499999972</v>
      </c>
      <c r="W222" s="17">
        <f t="shared" ref="W222:W233" si="387">V222/U222</f>
        <v>9.3373575347422602</v>
      </c>
      <c r="X222" s="17">
        <f t="shared" ref="X222:X233" si="388">W222-G222</f>
        <v>3.698746863468827E-3</v>
      </c>
      <c r="Y222" s="17">
        <f t="shared" ref="Y222:Y233" si="389">(X222-P222)*-1</f>
        <v>2.6424652577397012E-3</v>
      </c>
      <c r="Z222" s="134">
        <f t="shared" ref="Z222:Z233" si="390">F222/U222</f>
        <v>0.41671295759085669</v>
      </c>
      <c r="AA222" s="15">
        <f>SUM(L$2:L222)-SUM(AB$2:AB222)</f>
        <v>32806.79500000018</v>
      </c>
      <c r="AB222" s="64"/>
      <c r="AC222" s="145">
        <f t="shared" ref="AC222:AC233" si="391">I222/E222*(1-0.0005)</f>
        <v>3.3590262847945436</v>
      </c>
      <c r="AD222" s="145">
        <f t="shared" ref="AD222:AD233" si="392">AC222-F222</f>
        <v>-4946.6409737152053</v>
      </c>
    </row>
    <row r="223" spans="1:30" x14ac:dyDescent="0.25">
      <c r="A223" s="99">
        <v>42956</v>
      </c>
      <c r="B223" s="100" t="s">
        <v>188</v>
      </c>
      <c r="C223" s="104" t="s">
        <v>69</v>
      </c>
      <c r="D223" s="104">
        <v>400</v>
      </c>
      <c r="E223" s="143">
        <v>9.48</v>
      </c>
      <c r="F223" s="16">
        <f t="shared" si="372"/>
        <v>4550</v>
      </c>
      <c r="G223" s="17">
        <f t="shared" si="373"/>
        <v>9.3227259340659376</v>
      </c>
      <c r="H223" s="15">
        <f t="shared" si="374"/>
        <v>42418.40300000002</v>
      </c>
      <c r="I223" s="15">
        <f t="shared" si="375"/>
        <v>715.59699999997974</v>
      </c>
      <c r="J223" s="33">
        <f t="shared" si="376"/>
        <v>1.686996561374518E-2</v>
      </c>
      <c r="K223" s="15">
        <f t="shared" si="377"/>
        <v>43134</v>
      </c>
      <c r="L223" s="15">
        <f t="shared" si="378"/>
        <v>684.20799999999872</v>
      </c>
      <c r="M223" s="15">
        <f t="shared" si="379"/>
        <v>5</v>
      </c>
      <c r="N223" s="15">
        <f t="shared" si="380"/>
        <v>3.7919999999999998</v>
      </c>
      <c r="O223" s="64"/>
      <c r="P223" s="17">
        <f t="shared" si="381"/>
        <v>0.15727406593406279</v>
      </c>
      <c r="Q223" s="15">
        <f t="shared" si="382"/>
        <v>3783.2079999999987</v>
      </c>
      <c r="R223" s="35"/>
      <c r="S223" s="35">
        <f t="shared" si="383"/>
        <v>68497.081999999704</v>
      </c>
      <c r="T223" s="35">
        <f t="shared" si="384"/>
        <v>7225.4305907172684</v>
      </c>
      <c r="U223" s="35">
        <f t="shared" si="385"/>
        <v>11775.430590717267</v>
      </c>
      <c r="V223" s="15">
        <f t="shared" si="386"/>
        <v>110915.48499999972</v>
      </c>
      <c r="W223" s="17">
        <f t="shared" si="387"/>
        <v>9.4192296532609099</v>
      </c>
      <c r="X223" s="17">
        <f t="shared" si="388"/>
        <v>9.6503719194972248E-2</v>
      </c>
      <c r="Y223" s="17">
        <f t="shared" si="389"/>
        <v>6.0770346739090542E-2</v>
      </c>
      <c r="Z223" s="134">
        <f t="shared" si="390"/>
        <v>0.38639775972072116</v>
      </c>
      <c r="AA223" s="15">
        <f>SUM(L$2:L223)-SUM(AB$2:AB223)</f>
        <v>33491.003000000179</v>
      </c>
      <c r="AB223" s="64"/>
      <c r="AC223" s="145">
        <f t="shared" si="391"/>
        <v>75.447173154006308</v>
      </c>
      <c r="AD223" s="145">
        <f t="shared" si="392"/>
        <v>-4474.5528268459939</v>
      </c>
    </row>
    <row r="224" spans="1:30" x14ac:dyDescent="0.25">
      <c r="A224" s="99">
        <v>42957</v>
      </c>
      <c r="B224" s="100" t="s">
        <v>441</v>
      </c>
      <c r="C224" s="104" t="s">
        <v>63</v>
      </c>
      <c r="D224" s="104">
        <v>500</v>
      </c>
      <c r="E224" s="143">
        <v>9.2799999999999994</v>
      </c>
      <c r="F224" s="16">
        <f t="shared" si="372"/>
        <v>5050</v>
      </c>
      <c r="G224" s="17">
        <f t="shared" si="373"/>
        <v>9.3194857425742619</v>
      </c>
      <c r="H224" s="15">
        <f t="shared" si="374"/>
        <v>47063.40300000002</v>
      </c>
      <c r="I224" s="15">
        <f t="shared" si="375"/>
        <v>-199.40300000002026</v>
      </c>
      <c r="J224" s="33">
        <f t="shared" si="376"/>
        <v>-4.2369014412329178E-3</v>
      </c>
      <c r="K224" s="15">
        <f t="shared" si="377"/>
        <v>46864</v>
      </c>
      <c r="L224" s="15">
        <f t="shared" si="378"/>
        <v>-915</v>
      </c>
      <c r="M224" s="15">
        <f t="shared" si="379"/>
        <v>5</v>
      </c>
      <c r="N224" s="15">
        <f t="shared" si="380"/>
        <v>0</v>
      </c>
      <c r="O224" s="64"/>
      <c r="P224" s="17">
        <f t="shared" si="381"/>
        <v>-3.9485742574262517E-2</v>
      </c>
      <c r="Q224" s="15">
        <f t="shared" si="382"/>
        <v>-4645</v>
      </c>
      <c r="R224" s="35"/>
      <c r="S224" s="35">
        <f t="shared" si="383"/>
        <v>63852.081999999704</v>
      </c>
      <c r="T224" s="35">
        <f t="shared" si="384"/>
        <v>6880.6122844827269</v>
      </c>
      <c r="U224" s="35">
        <f t="shared" si="385"/>
        <v>11930.612284482726</v>
      </c>
      <c r="V224" s="15">
        <f t="shared" si="386"/>
        <v>110915.48499999972</v>
      </c>
      <c r="W224" s="17">
        <f t="shared" si="387"/>
        <v>9.2967135596434876</v>
      </c>
      <c r="X224" s="17">
        <f t="shared" si="388"/>
        <v>-2.2772182930774321E-2</v>
      </c>
      <c r="Y224" s="17">
        <f t="shared" si="389"/>
        <v>-1.6713559643488196E-2</v>
      </c>
      <c r="Z224" s="134">
        <f t="shared" si="390"/>
        <v>0.42328087440811107</v>
      </c>
      <c r="AA224" s="15">
        <f>SUM(L$2:L224)-SUM(AB$2:AB224)</f>
        <v>32576.003000000179</v>
      </c>
      <c r="AB224" s="64"/>
      <c r="AC224" s="145">
        <f t="shared" si="391"/>
        <v>-21.476648545260808</v>
      </c>
      <c r="AD224" s="145">
        <f t="shared" si="392"/>
        <v>-5071.476648545261</v>
      </c>
    </row>
    <row r="225" spans="1:30" x14ac:dyDescent="0.25">
      <c r="A225" s="99">
        <v>42957</v>
      </c>
      <c r="B225" s="100" t="s">
        <v>442</v>
      </c>
      <c r="C225" s="104" t="s">
        <v>63</v>
      </c>
      <c r="D225" s="104">
        <v>500</v>
      </c>
      <c r="E225" s="143">
        <v>9.16</v>
      </c>
      <c r="F225" s="16">
        <f t="shared" si="372"/>
        <v>5550</v>
      </c>
      <c r="G225" s="17">
        <f t="shared" si="373"/>
        <v>9.3060185585585629</v>
      </c>
      <c r="H225" s="15">
        <f t="shared" si="374"/>
        <v>51648.40300000002</v>
      </c>
      <c r="I225" s="15">
        <f t="shared" si="375"/>
        <v>-810.40300000002026</v>
      </c>
      <c r="J225" s="33">
        <f t="shared" si="376"/>
        <v>-1.5690765888734696E-2</v>
      </c>
      <c r="K225" s="15">
        <f t="shared" si="377"/>
        <v>50838</v>
      </c>
      <c r="L225" s="15">
        <f t="shared" si="378"/>
        <v>-611</v>
      </c>
      <c r="M225" s="15">
        <f t="shared" si="379"/>
        <v>5</v>
      </c>
      <c r="N225" s="15">
        <f t="shared" si="380"/>
        <v>0</v>
      </c>
      <c r="O225" s="64"/>
      <c r="P225" s="17">
        <f t="shared" si="381"/>
        <v>-0.14601855855856272</v>
      </c>
      <c r="Q225" s="15">
        <f t="shared" si="382"/>
        <v>-4585</v>
      </c>
      <c r="R225" s="35"/>
      <c r="S225" s="35">
        <f t="shared" si="383"/>
        <v>59267.081999999704</v>
      </c>
      <c r="T225" s="35">
        <f t="shared" si="384"/>
        <v>6470.2054585152518</v>
      </c>
      <c r="U225" s="35">
        <f t="shared" si="385"/>
        <v>12020.205458515251</v>
      </c>
      <c r="V225" s="15">
        <f t="shared" si="386"/>
        <v>110915.48499999972</v>
      </c>
      <c r="W225" s="17">
        <f t="shared" si="387"/>
        <v>9.2274200622274662</v>
      </c>
      <c r="X225" s="17">
        <f t="shared" si="388"/>
        <v>-7.8598496331096612E-2</v>
      </c>
      <c r="Y225" s="17">
        <f t="shared" si="389"/>
        <v>-6.7420062227466104E-2</v>
      </c>
      <c r="Z225" s="134">
        <f t="shared" si="390"/>
        <v>0.46172255700241099</v>
      </c>
      <c r="AA225" s="15">
        <f>SUM(L$2:L225)-SUM(AB$2:AB225)</f>
        <v>31965.003000000179</v>
      </c>
      <c r="AB225" s="64"/>
      <c r="AC225" s="145">
        <f t="shared" si="391"/>
        <v>-88.427707259827542</v>
      </c>
      <c r="AD225" s="145">
        <f t="shared" si="392"/>
        <v>-5638.4277072598279</v>
      </c>
    </row>
    <row r="226" spans="1:30" x14ac:dyDescent="0.25">
      <c r="A226" s="99">
        <v>42958</v>
      </c>
      <c r="B226" s="100" t="s">
        <v>289</v>
      </c>
      <c r="C226" s="104" t="s">
        <v>63</v>
      </c>
      <c r="D226" s="104">
        <v>500</v>
      </c>
      <c r="E226" s="143">
        <v>8.93</v>
      </c>
      <c r="F226" s="16">
        <f t="shared" si="372"/>
        <v>6050</v>
      </c>
      <c r="G226" s="17">
        <f t="shared" si="373"/>
        <v>9.275769090909094</v>
      </c>
      <c r="H226" s="15">
        <f t="shared" si="374"/>
        <v>56118.40300000002</v>
      </c>
      <c r="I226" s="15">
        <f t="shared" si="375"/>
        <v>-2091.9030000000203</v>
      </c>
      <c r="J226" s="33">
        <f t="shared" si="376"/>
        <v>-3.7276595344311908E-2</v>
      </c>
      <c r="K226" s="15">
        <f t="shared" si="377"/>
        <v>54026.5</v>
      </c>
      <c r="L226" s="15">
        <f t="shared" si="378"/>
        <v>-1281.5</v>
      </c>
      <c r="M226" s="15">
        <f t="shared" si="379"/>
        <v>5</v>
      </c>
      <c r="N226" s="15">
        <f t="shared" si="380"/>
        <v>0</v>
      </c>
      <c r="O226" s="64"/>
      <c r="P226" s="17">
        <f t="shared" si="381"/>
        <v>-0.34576909090909425</v>
      </c>
      <c r="Q226" s="15">
        <f t="shared" si="382"/>
        <v>-4470</v>
      </c>
      <c r="R226" s="35"/>
      <c r="S226" s="35">
        <f t="shared" si="383"/>
        <v>54797.081999999704</v>
      </c>
      <c r="T226" s="35">
        <f t="shared" si="384"/>
        <v>6136.2913773795863</v>
      </c>
      <c r="U226" s="35">
        <f t="shared" si="385"/>
        <v>12186.291377379586</v>
      </c>
      <c r="V226" s="15">
        <f t="shared" si="386"/>
        <v>110915.48499999972</v>
      </c>
      <c r="W226" s="17">
        <f t="shared" si="387"/>
        <v>9.1016603464679218</v>
      </c>
      <c r="X226" s="17">
        <f t="shared" si="388"/>
        <v>-0.17410874444117219</v>
      </c>
      <c r="Y226" s="17">
        <f t="shared" si="389"/>
        <v>-0.17166034646792205</v>
      </c>
      <c r="Z226" s="134">
        <f t="shared" si="390"/>
        <v>0.49645948981903709</v>
      </c>
      <c r="AA226" s="15">
        <f>SUM(L$2:L226)-SUM(AB$2:AB226)</f>
        <v>30683.503000000179</v>
      </c>
      <c r="AB226" s="64"/>
      <c r="AC226" s="145">
        <f t="shared" si="391"/>
        <v>-234.13852726763946</v>
      </c>
      <c r="AD226" s="145">
        <f t="shared" si="392"/>
        <v>-6284.1385272676398</v>
      </c>
    </row>
    <row r="227" spans="1:30" x14ac:dyDescent="0.25">
      <c r="A227" s="99">
        <v>42958</v>
      </c>
      <c r="B227" s="100" t="s">
        <v>254</v>
      </c>
      <c r="C227" s="104" t="s">
        <v>63</v>
      </c>
      <c r="D227" s="104">
        <v>500</v>
      </c>
      <c r="E227" s="143">
        <v>8.83</v>
      </c>
      <c r="F227" s="16">
        <f t="shared" si="372"/>
        <v>6550</v>
      </c>
      <c r="G227" s="17">
        <f t="shared" si="373"/>
        <v>9.2425042748091641</v>
      </c>
      <c r="H227" s="15">
        <f t="shared" si="374"/>
        <v>60538.40300000002</v>
      </c>
      <c r="I227" s="15">
        <f t="shared" si="375"/>
        <v>-2701.9030000000203</v>
      </c>
      <c r="J227" s="33">
        <f t="shared" si="376"/>
        <v>-4.4631223588769323E-2</v>
      </c>
      <c r="K227" s="15">
        <f t="shared" si="377"/>
        <v>57836.5</v>
      </c>
      <c r="L227" s="15">
        <f t="shared" si="378"/>
        <v>-610</v>
      </c>
      <c r="M227" s="15">
        <f t="shared" si="379"/>
        <v>5</v>
      </c>
      <c r="N227" s="15">
        <f t="shared" si="380"/>
        <v>0</v>
      </c>
      <c r="O227" s="64"/>
      <c r="P227" s="17">
        <f t="shared" si="381"/>
        <v>-0.41250427480916407</v>
      </c>
      <c r="Q227" s="15">
        <f t="shared" si="382"/>
        <v>-4420</v>
      </c>
      <c r="R227" s="35"/>
      <c r="S227" s="35">
        <f t="shared" si="383"/>
        <v>50377.081999999704</v>
      </c>
      <c r="T227" s="35">
        <f t="shared" si="384"/>
        <v>5705.2187995469649</v>
      </c>
      <c r="U227" s="35">
        <f t="shared" si="385"/>
        <v>12255.218799546965</v>
      </c>
      <c r="V227" s="15">
        <f t="shared" si="386"/>
        <v>110915.48499999972</v>
      </c>
      <c r="W227" s="17">
        <f t="shared" si="387"/>
        <v>9.0504695847698695</v>
      </c>
      <c r="X227" s="17">
        <f t="shared" si="388"/>
        <v>-0.19203469003929463</v>
      </c>
      <c r="Y227" s="17">
        <f t="shared" si="389"/>
        <v>-0.22046958476986944</v>
      </c>
      <c r="Z227" s="134">
        <f t="shared" si="390"/>
        <v>0.53446618188833417</v>
      </c>
      <c r="AA227" s="15">
        <f>SUM(L$2:L227)-SUM(AB$2:AB227)</f>
        <v>30073.503000000179</v>
      </c>
      <c r="AB227" s="64"/>
      <c r="AC227" s="145">
        <f t="shared" si="391"/>
        <v>-305.83828408833756</v>
      </c>
      <c r="AD227" s="145">
        <f t="shared" si="392"/>
        <v>-6855.8382840883378</v>
      </c>
    </row>
    <row r="228" spans="1:30" x14ac:dyDescent="0.25">
      <c r="A228" s="99">
        <v>42958</v>
      </c>
      <c r="B228" s="100" t="s">
        <v>443</v>
      </c>
      <c r="C228" s="104" t="s">
        <v>63</v>
      </c>
      <c r="D228" s="104">
        <v>500</v>
      </c>
      <c r="E228" s="143">
        <f>E227-0.12</f>
        <v>8.7100000000000009</v>
      </c>
      <c r="F228" s="16">
        <f t="shared" si="372"/>
        <v>7050</v>
      </c>
      <c r="G228" s="17">
        <f t="shared" si="373"/>
        <v>9.2054472340425555</v>
      </c>
      <c r="H228" s="15">
        <f t="shared" si="374"/>
        <v>64898.40300000002</v>
      </c>
      <c r="I228" s="15">
        <f t="shared" si="375"/>
        <v>-3492.903000000013</v>
      </c>
      <c r="J228" s="33">
        <f t="shared" si="376"/>
        <v>-5.3821093255561454E-2</v>
      </c>
      <c r="K228" s="15">
        <f t="shared" si="377"/>
        <v>61405.500000000007</v>
      </c>
      <c r="L228" s="15">
        <f t="shared" si="378"/>
        <v>-790.99999999999272</v>
      </c>
      <c r="M228" s="15">
        <f t="shared" si="379"/>
        <v>5</v>
      </c>
      <c r="N228" s="15">
        <f t="shared" si="380"/>
        <v>0</v>
      </c>
      <c r="O228" s="64"/>
      <c r="P228" s="17">
        <f t="shared" si="381"/>
        <v>-0.49544723404255464</v>
      </c>
      <c r="Q228" s="15">
        <f t="shared" si="382"/>
        <v>-4360</v>
      </c>
      <c r="R228" s="35"/>
      <c r="S228" s="35">
        <f t="shared" si="383"/>
        <v>46017.081999999704</v>
      </c>
      <c r="T228" s="35">
        <f t="shared" si="384"/>
        <v>5283.2470723306196</v>
      </c>
      <c r="U228" s="35">
        <f t="shared" si="385"/>
        <v>12333.24707233062</v>
      </c>
      <c r="V228" s="15">
        <f t="shared" si="386"/>
        <v>110915.48499999972</v>
      </c>
      <c r="W228" s="17">
        <f t="shared" si="387"/>
        <v>8.9932103321627501</v>
      </c>
      <c r="X228" s="17">
        <f t="shared" si="388"/>
        <v>-0.21223690187980537</v>
      </c>
      <c r="Y228" s="17">
        <f t="shared" si="389"/>
        <v>-0.28321033216274927</v>
      </c>
      <c r="Z228" s="134">
        <f t="shared" si="390"/>
        <v>0.57162561964857794</v>
      </c>
      <c r="AA228" s="15">
        <f>SUM(L$2:L228)-SUM(AB$2:AB228)</f>
        <v>29282.503000000186</v>
      </c>
      <c r="AB228" s="64"/>
      <c r="AC228" s="145">
        <f t="shared" si="391"/>
        <v>-400.82164735935851</v>
      </c>
      <c r="AD228" s="145">
        <f t="shared" si="392"/>
        <v>-7450.8216473593584</v>
      </c>
    </row>
    <row r="229" spans="1:30" x14ac:dyDescent="0.25">
      <c r="A229" s="148">
        <v>42962</v>
      </c>
      <c r="B229" s="100"/>
      <c r="C229" s="104" t="s">
        <v>63</v>
      </c>
      <c r="D229" s="104">
        <v>500</v>
      </c>
      <c r="E229" s="143">
        <v>8.73</v>
      </c>
      <c r="F229" s="16">
        <f t="shared" si="372"/>
        <v>7550</v>
      </c>
      <c r="G229" s="17">
        <f t="shared" si="373"/>
        <v>9.174622913907287</v>
      </c>
      <c r="H229" s="15">
        <f t="shared" si="374"/>
        <v>69268.40300000002</v>
      </c>
      <c r="I229" s="15">
        <f t="shared" si="375"/>
        <v>-3356.9030000000203</v>
      </c>
      <c r="J229" s="33">
        <f t="shared" si="376"/>
        <v>-4.8462254860993592E-2</v>
      </c>
      <c r="K229" s="15">
        <f t="shared" si="377"/>
        <v>65911.5</v>
      </c>
      <c r="L229" s="15">
        <f t="shared" si="378"/>
        <v>135.99999999999272</v>
      </c>
      <c r="M229" s="15">
        <f t="shared" si="379"/>
        <v>5</v>
      </c>
      <c r="N229" s="15">
        <f t="shared" si="380"/>
        <v>0</v>
      </c>
      <c r="O229" s="64"/>
      <c r="P229" s="17">
        <f t="shared" si="381"/>
        <v>-0.44462291390728659</v>
      </c>
      <c r="Q229" s="15">
        <f t="shared" si="382"/>
        <v>-4370</v>
      </c>
      <c r="R229" s="35"/>
      <c r="S229" s="35">
        <f t="shared" si="383"/>
        <v>41647.081999999704</v>
      </c>
      <c r="T229" s="35">
        <f t="shared" si="384"/>
        <v>4770.5706758304359</v>
      </c>
      <c r="U229" s="35">
        <f t="shared" si="385"/>
        <v>12320.570675830437</v>
      </c>
      <c r="V229" s="15">
        <f t="shared" si="386"/>
        <v>110915.48499999972</v>
      </c>
      <c r="W229" s="17">
        <f t="shared" si="387"/>
        <v>9.0024632720613607</v>
      </c>
      <c r="X229" s="17">
        <f t="shared" si="388"/>
        <v>-0.17215964184592636</v>
      </c>
      <c r="Y229" s="17">
        <f t="shared" si="389"/>
        <v>-0.27246327206136023</v>
      </c>
      <c r="Z229" s="134">
        <f t="shared" si="390"/>
        <v>0.61279628993249624</v>
      </c>
      <c r="AA229" s="15">
        <f>SUM(L$2:L229)-SUM(AB$2:AB229)</f>
        <v>29418.503000000179</v>
      </c>
      <c r="AB229" s="64"/>
      <c r="AC229" s="145">
        <f t="shared" si="391"/>
        <v>-384.33270887743646</v>
      </c>
      <c r="AD229" s="145">
        <f t="shared" si="392"/>
        <v>-7934.3327088774367</v>
      </c>
    </row>
    <row r="230" spans="1:30" x14ac:dyDescent="0.25">
      <c r="A230" s="148">
        <v>42963</v>
      </c>
      <c r="B230" s="100" t="s">
        <v>444</v>
      </c>
      <c r="C230" s="104" t="s">
        <v>69</v>
      </c>
      <c r="D230" s="104">
        <v>500</v>
      </c>
      <c r="E230" s="143">
        <v>8.85</v>
      </c>
      <c r="F230" s="16">
        <f t="shared" ref="F230:F239" si="393">IF(C230="买",F229+D230,F229-D230)</f>
        <v>7050</v>
      </c>
      <c r="G230" s="17">
        <f t="shared" ref="G230:G242" si="394">H230/F230</f>
        <v>9.1989826950354647</v>
      </c>
      <c r="H230" s="15">
        <f t="shared" ref="H230:H242" si="395">IF(C230="买",H229+D230*E230+M230+N230,H229+-1*D230*E230+M230+N230)+O229</f>
        <v>64852.828000000023</v>
      </c>
      <c r="I230" s="15">
        <f t="shared" si="375"/>
        <v>-2460.3280000000232</v>
      </c>
      <c r="J230" s="33">
        <f t="shared" si="376"/>
        <v>-3.7937096590452891E-2</v>
      </c>
      <c r="K230" s="15">
        <f t="shared" si="377"/>
        <v>62392.5</v>
      </c>
      <c r="L230" s="15">
        <f t="shared" si="378"/>
        <v>896.57499999999709</v>
      </c>
      <c r="M230" s="15">
        <f t="shared" si="379"/>
        <v>5</v>
      </c>
      <c r="N230" s="15">
        <f t="shared" si="380"/>
        <v>4.4249999999999998</v>
      </c>
      <c r="O230" s="64"/>
      <c r="P230" s="17">
        <f t="shared" si="381"/>
        <v>-0.34898269503546508</v>
      </c>
      <c r="Q230" s="15">
        <f t="shared" si="382"/>
        <v>4415.5749999999971</v>
      </c>
      <c r="R230" s="35"/>
      <c r="S230" s="35">
        <f t="shared" si="383"/>
        <v>46062.656999999701</v>
      </c>
      <c r="T230" s="35">
        <f t="shared" si="384"/>
        <v>5204.8199999999661</v>
      </c>
      <c r="U230" s="35">
        <f t="shared" si="385"/>
        <v>12254.819999999967</v>
      </c>
      <c r="V230" s="15">
        <f t="shared" si="386"/>
        <v>110915.48499999972</v>
      </c>
      <c r="W230" s="17">
        <f t="shared" si="387"/>
        <v>9.0507641075103535</v>
      </c>
      <c r="X230" s="17">
        <f t="shared" si="388"/>
        <v>-0.14821858752511119</v>
      </c>
      <c r="Y230" s="17">
        <f t="shared" si="389"/>
        <v>-0.2007641075103539</v>
      </c>
      <c r="Z230" s="134">
        <f t="shared" si="390"/>
        <v>0.57528384749837358</v>
      </c>
      <c r="AA230" s="15">
        <f>SUM(L$2:L230)-SUM(AB$2:AB230)</f>
        <v>30315.078000000176</v>
      </c>
      <c r="AB230" s="64"/>
      <c r="AC230" s="145">
        <f t="shared" si="391"/>
        <v>-277.86416225988967</v>
      </c>
      <c r="AD230" s="145">
        <f t="shared" si="392"/>
        <v>-7327.8641622598898</v>
      </c>
    </row>
    <row r="231" spans="1:30" x14ac:dyDescent="0.25">
      <c r="A231" s="99">
        <v>42970</v>
      </c>
      <c r="B231" s="100" t="s">
        <v>445</v>
      </c>
      <c r="C231" s="104" t="s">
        <v>63</v>
      </c>
      <c r="D231" s="104">
        <v>500</v>
      </c>
      <c r="E231" s="143">
        <v>8.74</v>
      </c>
      <c r="F231" s="16">
        <f t="shared" si="393"/>
        <v>7550</v>
      </c>
      <c r="G231" s="17">
        <f t="shared" si="394"/>
        <v>9.1692487417218569</v>
      </c>
      <c r="H231" s="15">
        <f t="shared" si="395"/>
        <v>69227.828000000023</v>
      </c>
      <c r="I231" s="15">
        <f t="shared" si="375"/>
        <v>-3240.8280000000232</v>
      </c>
      <c r="J231" s="33">
        <f t="shared" si="376"/>
        <v>-4.681394886461001E-2</v>
      </c>
      <c r="K231" s="15">
        <f t="shared" si="377"/>
        <v>65987</v>
      </c>
      <c r="L231" s="15">
        <f t="shared" si="378"/>
        <v>-780.5</v>
      </c>
      <c r="M231" s="15">
        <f t="shared" si="379"/>
        <v>5</v>
      </c>
      <c r="N231" s="15">
        <f t="shared" si="380"/>
        <v>0</v>
      </c>
      <c r="O231" s="64"/>
      <c r="P231" s="17">
        <f t="shared" si="381"/>
        <v>-0.42924874172185667</v>
      </c>
      <c r="Q231" s="15">
        <f t="shared" si="382"/>
        <v>-4375</v>
      </c>
      <c r="R231" s="35"/>
      <c r="S231" s="35">
        <f t="shared" si="383"/>
        <v>41687.656999999701</v>
      </c>
      <c r="T231" s="35">
        <f t="shared" si="384"/>
        <v>4769.7548054919562</v>
      </c>
      <c r="U231" s="35">
        <f t="shared" si="385"/>
        <v>12319.754805491957</v>
      </c>
      <c r="V231" s="15">
        <f t="shared" si="386"/>
        <v>110915.48499999972</v>
      </c>
      <c r="W231" s="17">
        <f t="shared" si="387"/>
        <v>9.0030594562284065</v>
      </c>
      <c r="X231" s="17">
        <f t="shared" si="388"/>
        <v>-0.16618928549345036</v>
      </c>
      <c r="Y231" s="17">
        <f t="shared" si="389"/>
        <v>-0.26305945622840632</v>
      </c>
      <c r="Z231" s="134">
        <f t="shared" si="390"/>
        <v>0.61283687209702631</v>
      </c>
      <c r="AA231" s="15">
        <f>SUM(L$2:L231)-SUM(AB$2:AB231)</f>
        <v>29534.578000000176</v>
      </c>
      <c r="AB231" s="64"/>
      <c r="AC231" s="145">
        <f t="shared" si="391"/>
        <v>-370.61871693364111</v>
      </c>
      <c r="AD231" s="145">
        <f t="shared" si="392"/>
        <v>-7920.6187169336408</v>
      </c>
    </row>
    <row r="232" spans="1:30" x14ac:dyDescent="0.25">
      <c r="A232" s="99">
        <v>42971</v>
      </c>
      <c r="B232" s="100" t="s">
        <v>261</v>
      </c>
      <c r="C232" s="104" t="s">
        <v>63</v>
      </c>
      <c r="D232" s="104">
        <v>500</v>
      </c>
      <c r="E232" s="143">
        <v>8.67</v>
      </c>
      <c r="F232" s="16">
        <f t="shared" si="393"/>
        <v>8050</v>
      </c>
      <c r="G232" s="17">
        <f t="shared" si="394"/>
        <v>9.138860621118015</v>
      </c>
      <c r="H232" s="15">
        <f t="shared" si="395"/>
        <v>73567.828000000023</v>
      </c>
      <c r="I232" s="15">
        <f t="shared" si="375"/>
        <v>-3774.3280000000232</v>
      </c>
      <c r="J232" s="33">
        <f t="shared" si="376"/>
        <v>-5.130405644162854E-2</v>
      </c>
      <c r="K232" s="15">
        <f t="shared" si="377"/>
        <v>69793.5</v>
      </c>
      <c r="L232" s="15">
        <f t="shared" si="378"/>
        <v>-533.5</v>
      </c>
      <c r="M232" s="15">
        <f t="shared" si="379"/>
        <v>5</v>
      </c>
      <c r="N232" s="15">
        <f t="shared" si="380"/>
        <v>0</v>
      </c>
      <c r="O232" s="64"/>
      <c r="P232" s="17">
        <f t="shared" si="381"/>
        <v>-0.46886062111801508</v>
      </c>
      <c r="Q232" s="15">
        <f t="shared" si="382"/>
        <v>-4340</v>
      </c>
      <c r="R232" s="35"/>
      <c r="S232" s="35">
        <f t="shared" si="383"/>
        <v>37347.656999999701</v>
      </c>
      <c r="T232" s="35">
        <f t="shared" si="384"/>
        <v>4307.6882352940829</v>
      </c>
      <c r="U232" s="35">
        <f t="shared" si="385"/>
        <v>12357.688235294083</v>
      </c>
      <c r="V232" s="15">
        <f t="shared" si="386"/>
        <v>110915.48499999972</v>
      </c>
      <c r="W232" s="17">
        <f t="shared" si="387"/>
        <v>8.9754234682195975</v>
      </c>
      <c r="X232" s="17">
        <f t="shared" si="388"/>
        <v>-0.16343715289841754</v>
      </c>
      <c r="Y232" s="17">
        <f t="shared" si="389"/>
        <v>-0.30542346821959754</v>
      </c>
      <c r="Z232" s="134">
        <f t="shared" si="390"/>
        <v>0.65141633667443222</v>
      </c>
      <c r="AA232" s="15">
        <f>SUM(L$2:L232)-SUM(AB$2:AB232)</f>
        <v>29001.078000000176</v>
      </c>
      <c r="AB232" s="64"/>
      <c r="AC232" s="145">
        <f t="shared" si="391"/>
        <v>-435.11428327566591</v>
      </c>
      <c r="AD232" s="145">
        <f t="shared" si="392"/>
        <v>-8485.1142832756668</v>
      </c>
    </row>
    <row r="233" spans="1:30" x14ac:dyDescent="0.25">
      <c r="A233" s="99">
        <v>42972</v>
      </c>
      <c r="B233" s="100"/>
      <c r="C233" s="104" t="s">
        <v>69</v>
      </c>
      <c r="D233" s="104">
        <v>500</v>
      </c>
      <c r="E233" s="143">
        <v>8.8000000000000007</v>
      </c>
      <c r="F233" s="16">
        <f t="shared" si="393"/>
        <v>7550</v>
      </c>
      <c r="G233" s="17">
        <f t="shared" si="394"/>
        <v>9.1625467549668898</v>
      </c>
      <c r="H233" s="15">
        <f t="shared" si="395"/>
        <v>69177.228000000017</v>
      </c>
      <c r="I233" s="15">
        <f t="shared" si="375"/>
        <v>-2737.2280000000173</v>
      </c>
      <c r="J233" s="33">
        <f t="shared" si="376"/>
        <v>-3.9568338875908868E-2</v>
      </c>
      <c r="K233" s="15">
        <f t="shared" si="377"/>
        <v>66440</v>
      </c>
      <c r="L233" s="15">
        <f t="shared" si="378"/>
        <v>1037.1000000000058</v>
      </c>
      <c r="M233" s="15">
        <f t="shared" si="379"/>
        <v>5</v>
      </c>
      <c r="N233" s="15">
        <f t="shared" si="380"/>
        <v>4.4000000000000004</v>
      </c>
      <c r="O233" s="64"/>
      <c r="P233" s="17">
        <f t="shared" si="381"/>
        <v>-0.36254675496688904</v>
      </c>
      <c r="Q233" s="15">
        <f t="shared" si="382"/>
        <v>4390.6000000000058</v>
      </c>
      <c r="R233" s="35"/>
      <c r="S233" s="35">
        <f t="shared" si="383"/>
        <v>41738.256999999707</v>
      </c>
      <c r="T233" s="35">
        <f t="shared" si="384"/>
        <v>4742.9837499999667</v>
      </c>
      <c r="U233" s="35">
        <f t="shared" si="385"/>
        <v>12292.983749999967</v>
      </c>
      <c r="V233" s="15">
        <f t="shared" si="386"/>
        <v>110915.48499999972</v>
      </c>
      <c r="W233" s="17">
        <f t="shared" si="387"/>
        <v>9.0226658763784684</v>
      </c>
      <c r="X233" s="17">
        <f t="shared" si="388"/>
        <v>-0.13988087858842135</v>
      </c>
      <c r="Y233" s="17">
        <f t="shared" si="389"/>
        <v>-0.22266587637846769</v>
      </c>
      <c r="Z233" s="134">
        <f t="shared" si="390"/>
        <v>0.61417147810026351</v>
      </c>
      <c r="AA233" s="15">
        <f>SUM(L$2:L233)-SUM(AB$2:AB233)</f>
        <v>30038.178000000182</v>
      </c>
      <c r="AB233" s="64"/>
      <c r="AC233" s="145">
        <f t="shared" si="391"/>
        <v>-310.89311204545652</v>
      </c>
      <c r="AD233" s="145">
        <f t="shared" si="392"/>
        <v>-7860.8931120454563</v>
      </c>
    </row>
    <row r="234" spans="1:30" x14ac:dyDescent="0.25">
      <c r="A234" s="99">
        <v>42972</v>
      </c>
      <c r="B234" s="100"/>
      <c r="C234" s="104" t="s">
        <v>69</v>
      </c>
      <c r="D234" s="104">
        <v>500</v>
      </c>
      <c r="E234" s="143">
        <v>8.86</v>
      </c>
      <c r="F234" s="16">
        <f t="shared" si="393"/>
        <v>7050</v>
      </c>
      <c r="G234" s="17">
        <f t="shared" si="394"/>
        <v>9.1853415602836908</v>
      </c>
      <c r="H234" s="15">
        <f t="shared" si="395"/>
        <v>64756.658000000018</v>
      </c>
      <c r="I234" s="15">
        <f t="shared" ref="I234:I242" si="396">-H234+K234</f>
        <v>-2293.6580000000249</v>
      </c>
      <c r="J234" s="33">
        <f t="shared" ref="J234:J242" si="397">(E234-G234)/G234</f>
        <v>-3.5419647505589666E-2</v>
      </c>
      <c r="K234" s="15">
        <f t="shared" ref="K234:K242" si="398">F234*E234</f>
        <v>62462.999999999993</v>
      </c>
      <c r="L234" s="15">
        <f t="shared" ref="L234:L242" si="399">I234-I233</f>
        <v>443.56999999999243</v>
      </c>
      <c r="M234" s="15">
        <f t="shared" ref="M234:M242" si="400">IF(D234*E234*5/10000&gt;5,D234*E234*5/10000,5)</f>
        <v>5</v>
      </c>
      <c r="N234" s="15">
        <f t="shared" ref="N234:N242" si="401">IF(C234="卖",D234*E234/1000,0)</f>
        <v>4.43</v>
      </c>
      <c r="O234" s="64"/>
      <c r="P234" s="17">
        <f t="shared" ref="P234:P242" si="402">E234-G234</f>
        <v>-0.32534156028369132</v>
      </c>
      <c r="Q234" s="15">
        <f t="shared" ref="Q234:Q242" si="403">(H234-H233)*-1</f>
        <v>4420.57</v>
      </c>
      <c r="R234" s="35"/>
      <c r="S234" s="35">
        <f t="shared" ref="S234:S242" si="404">S233+Q234+O234+R234</f>
        <v>46158.826999999706</v>
      </c>
      <c r="T234" s="35">
        <f t="shared" ref="T234:T242" si="405">S234/E234</f>
        <v>5209.7998871331502</v>
      </c>
      <c r="U234" s="35">
        <f t="shared" ref="U234:U242" si="406">F234+T234</f>
        <v>12259.799887133151</v>
      </c>
      <c r="V234" s="15">
        <f t="shared" ref="V234:V242" si="407">H234+S234</f>
        <v>110915.48499999972</v>
      </c>
      <c r="W234" s="17">
        <f t="shared" ref="W234:W242" si="408">V234/U234</f>
        <v>9.0470877193034145</v>
      </c>
      <c r="X234" s="17">
        <f t="shared" ref="X234:X242" si="409">W234-G234</f>
        <v>-0.13825384098027627</v>
      </c>
      <c r="Y234" s="17">
        <f t="shared" ref="Y234:Y242" si="410">(X234-P234)*-1</f>
        <v>-0.18708771930341506</v>
      </c>
      <c r="Z234" s="134">
        <f t="shared" ref="Z234:Z242" si="411">F234/U234</f>
        <v>0.57505016924453101</v>
      </c>
      <c r="AA234" s="15">
        <f>SUM(L$2:L234)-SUM(AB$2:AB234)</f>
        <v>30481.748000000174</v>
      </c>
      <c r="AB234" s="64"/>
      <c r="AC234" s="145">
        <f t="shared" ref="AC234:AC242" si="412">I234/E234*(1-0.0005)</f>
        <v>-258.74843916478841</v>
      </c>
      <c r="AD234" s="145">
        <f t="shared" ref="AD234:AD242" si="413">AC234-F234</f>
        <v>-7308.7484391647886</v>
      </c>
    </row>
    <row r="235" spans="1:30" x14ac:dyDescent="0.25">
      <c r="A235" s="99">
        <v>42975</v>
      </c>
      <c r="B235" s="100"/>
      <c r="C235" s="104" t="s">
        <v>69</v>
      </c>
      <c r="D235" s="104">
        <v>500</v>
      </c>
      <c r="E235" s="143">
        <v>8.9700000000000006</v>
      </c>
      <c r="F235" s="16">
        <f t="shared" si="393"/>
        <v>6550</v>
      </c>
      <c r="G235" s="17">
        <f t="shared" si="394"/>
        <v>9.2032279389313008</v>
      </c>
      <c r="H235" s="15">
        <f t="shared" si="395"/>
        <v>60281.143000000018</v>
      </c>
      <c r="I235" s="15">
        <f t="shared" si="396"/>
        <v>-1527.6430000000109</v>
      </c>
      <c r="J235" s="33">
        <f t="shared" si="397"/>
        <v>-2.5341971369056741E-2</v>
      </c>
      <c r="K235" s="15">
        <f t="shared" si="398"/>
        <v>58753.500000000007</v>
      </c>
      <c r="L235" s="15">
        <f t="shared" si="399"/>
        <v>766.01500000001397</v>
      </c>
      <c r="M235" s="15">
        <f t="shared" si="400"/>
        <v>5</v>
      </c>
      <c r="N235" s="15">
        <f t="shared" si="401"/>
        <v>4.4850000000000003</v>
      </c>
      <c r="O235" s="64"/>
      <c r="P235" s="17">
        <f t="shared" si="402"/>
        <v>-0.23322793893130012</v>
      </c>
      <c r="Q235" s="15">
        <f t="shared" si="403"/>
        <v>4475.5149999999994</v>
      </c>
      <c r="R235" s="35"/>
      <c r="S235" s="35">
        <f t="shared" si="404"/>
        <v>50634.341999999706</v>
      </c>
      <c r="T235" s="35">
        <f t="shared" si="405"/>
        <v>5644.8541806019739</v>
      </c>
      <c r="U235" s="35">
        <f t="shared" si="406"/>
        <v>12194.854180601975</v>
      </c>
      <c r="V235" s="15">
        <f t="shared" si="407"/>
        <v>110915.48499999972</v>
      </c>
      <c r="W235" s="17">
        <f t="shared" si="408"/>
        <v>9.0952694765657789</v>
      </c>
      <c r="X235" s="17">
        <f t="shared" si="409"/>
        <v>-0.10795846236552187</v>
      </c>
      <c r="Y235" s="17">
        <f t="shared" si="410"/>
        <v>-0.12526947656577825</v>
      </c>
      <c r="Z235" s="134">
        <f t="shared" si="411"/>
        <v>0.5371117934660431</v>
      </c>
      <c r="AA235" s="15">
        <f>SUM(L$2:L235)-SUM(AB$2:AB235)</f>
        <v>31247.763000000188</v>
      </c>
      <c r="AB235" s="64"/>
      <c r="AC235" s="145">
        <f t="shared" si="412"/>
        <v>-170.22064420289976</v>
      </c>
      <c r="AD235" s="145">
        <f t="shared" si="413"/>
        <v>-6720.2206442029001</v>
      </c>
    </row>
    <row r="236" spans="1:30" x14ac:dyDescent="0.25">
      <c r="A236" s="99">
        <v>42975</v>
      </c>
      <c r="B236" s="100"/>
      <c r="C236" s="104" t="s">
        <v>69</v>
      </c>
      <c r="D236" s="104">
        <v>500</v>
      </c>
      <c r="E236" s="143">
        <v>9.07</v>
      </c>
      <c r="F236" s="16">
        <f t="shared" si="393"/>
        <v>6050</v>
      </c>
      <c r="G236" s="17">
        <f t="shared" si="394"/>
        <v>9.215814545454549</v>
      </c>
      <c r="H236" s="15">
        <f t="shared" si="395"/>
        <v>55755.678000000022</v>
      </c>
      <c r="I236" s="15">
        <f t="shared" si="396"/>
        <v>-882.17800000002171</v>
      </c>
      <c r="J236" s="33">
        <f t="shared" si="397"/>
        <v>-1.5822209174821973E-2</v>
      </c>
      <c r="K236" s="15">
        <f t="shared" si="398"/>
        <v>54873.5</v>
      </c>
      <c r="L236" s="15">
        <f t="shared" si="399"/>
        <v>645.46499999998923</v>
      </c>
      <c r="M236" s="15">
        <f t="shared" si="400"/>
        <v>5</v>
      </c>
      <c r="N236" s="15">
        <f t="shared" si="401"/>
        <v>4.5350000000000001</v>
      </c>
      <c r="O236" s="64"/>
      <c r="P236" s="17">
        <f t="shared" si="402"/>
        <v>-0.14581454545454875</v>
      </c>
      <c r="Q236" s="15">
        <f t="shared" si="403"/>
        <v>4525.4649999999965</v>
      </c>
      <c r="R236" s="35"/>
      <c r="S236" s="35">
        <f t="shared" si="404"/>
        <v>55159.806999999702</v>
      </c>
      <c r="T236" s="35">
        <f t="shared" si="405"/>
        <v>6081.5663726570783</v>
      </c>
      <c r="U236" s="35">
        <f t="shared" si="406"/>
        <v>12131.566372657078</v>
      </c>
      <c r="V236" s="15">
        <f t="shared" si="407"/>
        <v>110915.48499999972</v>
      </c>
      <c r="W236" s="17">
        <f t="shared" si="408"/>
        <v>9.1427175677815473</v>
      </c>
      <c r="X236" s="17">
        <f t="shared" si="409"/>
        <v>-7.3096977673001717E-2</v>
      </c>
      <c r="Y236" s="17">
        <f t="shared" si="410"/>
        <v>-7.2717567781547032E-2</v>
      </c>
      <c r="Z236" s="134">
        <f t="shared" si="411"/>
        <v>0.49869899847688981</v>
      </c>
      <c r="AA236" s="15">
        <f>SUM(L$2:L236)-SUM(AB$2:AB236)</f>
        <v>31893.228000000177</v>
      </c>
      <c r="AB236" s="64"/>
      <c r="AC236" s="145">
        <f t="shared" si="412"/>
        <v>-97.2146539140046</v>
      </c>
      <c r="AD236" s="145">
        <f t="shared" si="413"/>
        <v>-6147.2146539140049</v>
      </c>
    </row>
    <row r="237" spans="1:30" x14ac:dyDescent="0.25">
      <c r="A237" s="99">
        <v>42976</v>
      </c>
      <c r="B237" s="100" t="s">
        <v>255</v>
      </c>
      <c r="C237" s="104" t="s">
        <v>63</v>
      </c>
      <c r="D237" s="104">
        <v>500</v>
      </c>
      <c r="E237" s="143">
        <v>8.99</v>
      </c>
      <c r="F237" s="16">
        <f t="shared" si="393"/>
        <v>6550</v>
      </c>
      <c r="G237" s="17">
        <f t="shared" si="394"/>
        <v>9.1993401526717591</v>
      </c>
      <c r="H237" s="15">
        <f t="shared" si="395"/>
        <v>60255.678000000022</v>
      </c>
      <c r="I237" s="15">
        <f t="shared" si="396"/>
        <v>-1371.1780000000217</v>
      </c>
      <c r="J237" s="33">
        <f t="shared" si="397"/>
        <v>-2.2755996538616992E-2</v>
      </c>
      <c r="K237" s="15">
        <f t="shared" si="398"/>
        <v>58884.5</v>
      </c>
      <c r="L237" s="15">
        <f t="shared" si="399"/>
        <v>-489</v>
      </c>
      <c r="M237" s="15">
        <f t="shared" si="400"/>
        <v>5</v>
      </c>
      <c r="N237" s="15">
        <f t="shared" si="401"/>
        <v>0</v>
      </c>
      <c r="O237" s="64"/>
      <c r="P237" s="17">
        <f t="shared" si="402"/>
        <v>-0.20934015267175887</v>
      </c>
      <c r="Q237" s="15">
        <f t="shared" si="403"/>
        <v>-4500</v>
      </c>
      <c r="R237" s="35"/>
      <c r="S237" s="35">
        <f t="shared" si="404"/>
        <v>50659.806999999702</v>
      </c>
      <c r="T237" s="35">
        <f t="shared" si="405"/>
        <v>5635.1286985539155</v>
      </c>
      <c r="U237" s="35">
        <f t="shared" si="406"/>
        <v>12185.128698553915</v>
      </c>
      <c r="V237" s="15">
        <f t="shared" si="407"/>
        <v>110915.48499999972</v>
      </c>
      <c r="W237" s="17">
        <f t="shared" si="408"/>
        <v>9.1025288073619404</v>
      </c>
      <c r="X237" s="17">
        <f t="shared" si="409"/>
        <v>-9.6811345309818719E-2</v>
      </c>
      <c r="Y237" s="17">
        <f t="shared" si="410"/>
        <v>-0.11252880736194015</v>
      </c>
      <c r="Z237" s="134">
        <f t="shared" si="411"/>
        <v>0.53754048578718161</v>
      </c>
      <c r="AA237" s="15">
        <f>SUM(L$2:L237)-SUM(AB$2:AB237)</f>
        <v>31404.228000000177</v>
      </c>
      <c r="AB237" s="64"/>
      <c r="AC237" s="145">
        <f t="shared" si="412"/>
        <v>-152.44631935484114</v>
      </c>
      <c r="AD237" s="145">
        <f t="shared" si="413"/>
        <v>-6702.4463193548409</v>
      </c>
    </row>
    <row r="238" spans="1:30" x14ac:dyDescent="0.25">
      <c r="A238" s="99">
        <v>42977</v>
      </c>
      <c r="B238" s="100"/>
      <c r="C238" s="104" t="s">
        <v>69</v>
      </c>
      <c r="D238" s="104">
        <v>500</v>
      </c>
      <c r="E238" s="143">
        <v>9.1</v>
      </c>
      <c r="F238" s="16">
        <f t="shared" si="393"/>
        <v>6050</v>
      </c>
      <c r="G238" s="17">
        <f t="shared" si="394"/>
        <v>9.2091285950413262</v>
      </c>
      <c r="H238" s="15">
        <f t="shared" si="395"/>
        <v>55715.228000000025</v>
      </c>
      <c r="I238" s="15">
        <f t="shared" si="396"/>
        <v>-660.22800000002462</v>
      </c>
      <c r="J238" s="33">
        <f t="shared" si="397"/>
        <v>-1.1850045736150004E-2</v>
      </c>
      <c r="K238" s="15">
        <f t="shared" si="398"/>
        <v>55055</v>
      </c>
      <c r="L238" s="15">
        <f t="shared" si="399"/>
        <v>710.94999999999709</v>
      </c>
      <c r="M238" s="15">
        <f t="shared" si="400"/>
        <v>5</v>
      </c>
      <c r="N238" s="15">
        <f t="shared" si="401"/>
        <v>4.55</v>
      </c>
      <c r="O238" s="64"/>
      <c r="P238" s="17">
        <f t="shared" si="402"/>
        <v>-0.10912859504132655</v>
      </c>
      <c r="Q238" s="15">
        <f t="shared" si="403"/>
        <v>4540.4499999999971</v>
      </c>
      <c r="R238" s="35"/>
      <c r="S238" s="35">
        <f t="shared" si="404"/>
        <v>55200.256999999699</v>
      </c>
      <c r="T238" s="35">
        <f t="shared" si="405"/>
        <v>6065.9623076922753</v>
      </c>
      <c r="U238" s="35">
        <f t="shared" si="406"/>
        <v>12115.962307692276</v>
      </c>
      <c r="V238" s="15">
        <f t="shared" si="407"/>
        <v>110915.48499999972</v>
      </c>
      <c r="W238" s="17">
        <f t="shared" si="408"/>
        <v>9.1544924111872525</v>
      </c>
      <c r="X238" s="17">
        <f t="shared" si="409"/>
        <v>-5.463618385407365E-2</v>
      </c>
      <c r="Y238" s="17">
        <f t="shared" si="410"/>
        <v>-5.4492411187252898E-2</v>
      </c>
      <c r="Z238" s="134">
        <f t="shared" si="411"/>
        <v>0.49934126950518237</v>
      </c>
      <c r="AA238" s="15">
        <f>SUM(L$2:L238)-SUM(AB$2:AB238)</f>
        <v>32115.178000000175</v>
      </c>
      <c r="AB238" s="64"/>
      <c r="AC238" s="145">
        <f t="shared" si="412"/>
        <v>-72.516251208793932</v>
      </c>
      <c r="AD238" s="145">
        <f t="shared" si="413"/>
        <v>-6122.5162512087936</v>
      </c>
    </row>
    <row r="239" spans="1:30" x14ac:dyDescent="0.25">
      <c r="A239" s="99">
        <v>42977</v>
      </c>
      <c r="B239" s="100"/>
      <c r="C239" s="104" t="s">
        <v>69</v>
      </c>
      <c r="D239" s="104">
        <v>500</v>
      </c>
      <c r="E239" s="143">
        <v>9.15</v>
      </c>
      <c r="F239" s="16">
        <f t="shared" si="393"/>
        <v>5550</v>
      </c>
      <c r="G239" s="17">
        <f t="shared" si="394"/>
        <v>9.2161807207207254</v>
      </c>
      <c r="H239" s="15">
        <f t="shared" si="395"/>
        <v>51149.803000000022</v>
      </c>
      <c r="I239" s="15">
        <f t="shared" si="396"/>
        <v>-367.30300000002171</v>
      </c>
      <c r="J239" s="33">
        <f t="shared" si="397"/>
        <v>-7.1809269724855754E-3</v>
      </c>
      <c r="K239" s="15">
        <f t="shared" si="398"/>
        <v>50782.5</v>
      </c>
      <c r="L239" s="15">
        <f t="shared" si="399"/>
        <v>292.92500000000291</v>
      </c>
      <c r="M239" s="15">
        <f t="shared" si="400"/>
        <v>5</v>
      </c>
      <c r="N239" s="15">
        <f t="shared" si="401"/>
        <v>4.5750000000000002</v>
      </c>
      <c r="O239" s="64"/>
      <c r="P239" s="17">
        <f t="shared" si="402"/>
        <v>-6.6180720720725006E-2</v>
      </c>
      <c r="Q239" s="15">
        <f t="shared" si="403"/>
        <v>4565.4250000000029</v>
      </c>
      <c r="R239" s="35"/>
      <c r="S239" s="35">
        <f t="shared" si="404"/>
        <v>59765.681999999702</v>
      </c>
      <c r="T239" s="35">
        <f t="shared" si="405"/>
        <v>6531.7685245901312</v>
      </c>
      <c r="U239" s="35">
        <f t="shared" si="406"/>
        <v>12081.76852459013</v>
      </c>
      <c r="V239" s="15">
        <f t="shared" si="407"/>
        <v>110915.48499999972</v>
      </c>
      <c r="W239" s="17">
        <f t="shared" si="408"/>
        <v>9.180401426682895</v>
      </c>
      <c r="X239" s="17">
        <f t="shared" si="409"/>
        <v>-3.5779294037830311E-2</v>
      </c>
      <c r="Y239" s="17">
        <f t="shared" si="410"/>
        <v>-3.0401426682894694E-2</v>
      </c>
      <c r="Z239" s="134">
        <f t="shared" si="411"/>
        <v>0.45936983387026792</v>
      </c>
      <c r="AA239" s="15">
        <f>SUM(L$2:L239)-SUM(AB$2:AB239)</f>
        <v>32408.103000000177</v>
      </c>
      <c r="AB239" s="64"/>
      <c r="AC239" s="145">
        <f t="shared" si="412"/>
        <v>-40.12233316940128</v>
      </c>
      <c r="AD239" s="145">
        <f t="shared" si="413"/>
        <v>-5590.1223331694009</v>
      </c>
    </row>
    <row r="240" spans="1:30" x14ac:dyDescent="0.25">
      <c r="A240" s="99">
        <v>42984</v>
      </c>
      <c r="B240" s="100"/>
      <c r="C240" s="104" t="s">
        <v>69</v>
      </c>
      <c r="D240" s="104">
        <v>400</v>
      </c>
      <c r="E240" s="143">
        <v>9.2200000000000006</v>
      </c>
      <c r="F240" s="16">
        <f t="shared" ref="F240:F261" si="414">IF(C240="买",F239+D240,F239-D240)</f>
        <v>5150</v>
      </c>
      <c r="G240" s="17">
        <f t="shared" si="394"/>
        <v>9.2175710679611704</v>
      </c>
      <c r="H240" s="15">
        <f t="shared" si="395"/>
        <v>47470.491000000024</v>
      </c>
      <c r="I240" s="15">
        <f t="shared" si="396"/>
        <v>12.508999999976368</v>
      </c>
      <c r="J240" s="33">
        <f t="shared" si="397"/>
        <v>2.6351107259403703E-4</v>
      </c>
      <c r="K240" s="15">
        <f t="shared" si="398"/>
        <v>47483</v>
      </c>
      <c r="L240" s="15">
        <f t="shared" si="399"/>
        <v>379.81199999999808</v>
      </c>
      <c r="M240" s="15">
        <f t="shared" si="400"/>
        <v>5</v>
      </c>
      <c r="N240" s="15">
        <f t="shared" si="401"/>
        <v>3.6880000000000006</v>
      </c>
      <c r="O240" s="64"/>
      <c r="P240" s="17">
        <f t="shared" si="402"/>
        <v>2.4289320388302116E-3</v>
      </c>
      <c r="Q240" s="15">
        <f t="shared" si="403"/>
        <v>3679.3119999999981</v>
      </c>
      <c r="R240" s="35"/>
      <c r="S240" s="35">
        <f t="shared" si="404"/>
        <v>63444.9939999997</v>
      </c>
      <c r="T240" s="35">
        <f t="shared" si="405"/>
        <v>6881.2357917570171</v>
      </c>
      <c r="U240" s="35">
        <f t="shared" si="406"/>
        <v>12031.235791757017</v>
      </c>
      <c r="V240" s="15">
        <f t="shared" si="407"/>
        <v>110915.48499999972</v>
      </c>
      <c r="W240" s="17">
        <f t="shared" si="408"/>
        <v>9.2189602896812524</v>
      </c>
      <c r="X240" s="17">
        <f t="shared" si="409"/>
        <v>1.3892217200819346E-3</v>
      </c>
      <c r="Y240" s="17">
        <f t="shared" si="410"/>
        <v>1.039710318748277E-3</v>
      </c>
      <c r="Z240" s="134">
        <f t="shared" si="411"/>
        <v>0.42805245355829774</v>
      </c>
      <c r="AA240" s="15">
        <f>SUM(L$2:L240)-SUM(AB$2:AB240)</f>
        <v>32787.915000000175</v>
      </c>
      <c r="AB240" s="64"/>
      <c r="AC240" s="145">
        <f t="shared" si="412"/>
        <v>1.3560461496720586</v>
      </c>
      <c r="AD240" s="145">
        <f t="shared" si="413"/>
        <v>-5148.6439538503282</v>
      </c>
    </row>
    <row r="241" spans="1:30" x14ac:dyDescent="0.25">
      <c r="A241" s="99">
        <v>42984</v>
      </c>
      <c r="B241" s="100"/>
      <c r="C241" s="104" t="s">
        <v>69</v>
      </c>
      <c r="D241" s="104">
        <v>400</v>
      </c>
      <c r="E241" s="143">
        <v>9.24</v>
      </c>
      <c r="F241" s="16">
        <f t="shared" si="414"/>
        <v>4750</v>
      </c>
      <c r="G241" s="17">
        <f t="shared" si="394"/>
        <v>9.2175130526315847</v>
      </c>
      <c r="H241" s="15">
        <f t="shared" si="395"/>
        <v>43783.187000000027</v>
      </c>
      <c r="I241" s="15">
        <f t="shared" si="396"/>
        <v>106.81299999997282</v>
      </c>
      <c r="J241" s="33">
        <f t="shared" si="397"/>
        <v>2.4395894250451335E-3</v>
      </c>
      <c r="K241" s="15">
        <f t="shared" si="398"/>
        <v>43890</v>
      </c>
      <c r="L241" s="15">
        <f t="shared" si="399"/>
        <v>94.303999999996449</v>
      </c>
      <c r="M241" s="15">
        <f t="shared" si="400"/>
        <v>5</v>
      </c>
      <c r="N241" s="15">
        <f t="shared" si="401"/>
        <v>3.6960000000000002</v>
      </c>
      <c r="O241" s="64"/>
      <c r="P241" s="17">
        <f t="shared" si="402"/>
        <v>2.24869473684155E-2</v>
      </c>
      <c r="Q241" s="15">
        <f t="shared" si="403"/>
        <v>3687.3039999999964</v>
      </c>
      <c r="R241" s="35"/>
      <c r="S241" s="35">
        <f t="shared" si="404"/>
        <v>67132.29799999969</v>
      </c>
      <c r="T241" s="35">
        <f t="shared" si="405"/>
        <v>7265.4002164501826</v>
      </c>
      <c r="U241" s="35">
        <f t="shared" si="406"/>
        <v>12015.400216450184</v>
      </c>
      <c r="V241" s="15">
        <f t="shared" si="407"/>
        <v>110915.48499999972</v>
      </c>
      <c r="W241" s="17">
        <f t="shared" si="408"/>
        <v>9.2311103252429554</v>
      </c>
      <c r="X241" s="17">
        <f t="shared" si="409"/>
        <v>1.359727261137067E-2</v>
      </c>
      <c r="Y241" s="17">
        <f t="shared" si="410"/>
        <v>8.8896747570448298E-3</v>
      </c>
      <c r="Z241" s="134">
        <f t="shared" si="411"/>
        <v>0.39532599118061962</v>
      </c>
      <c r="AA241" s="15">
        <f>SUM(L$2:L241)-SUM(AB$2:AB241)</f>
        <v>32882.219000000172</v>
      </c>
      <c r="AB241" s="64"/>
      <c r="AC241" s="145">
        <f t="shared" si="412"/>
        <v>11.55406856060312</v>
      </c>
      <c r="AD241" s="145">
        <f t="shared" si="413"/>
        <v>-4738.4459314393971</v>
      </c>
    </row>
    <row r="242" spans="1:30" x14ac:dyDescent="0.25">
      <c r="A242" s="99">
        <v>42985</v>
      </c>
      <c r="B242" s="100" t="s">
        <v>446</v>
      </c>
      <c r="C242" s="104" t="s">
        <v>63</v>
      </c>
      <c r="D242" s="104">
        <v>500</v>
      </c>
      <c r="E242" s="143">
        <v>9.16</v>
      </c>
      <c r="F242" s="16">
        <f t="shared" si="414"/>
        <v>5250</v>
      </c>
      <c r="G242" s="17">
        <f t="shared" si="394"/>
        <v>9.2129880000000046</v>
      </c>
      <c r="H242" s="15">
        <f t="shared" si="395"/>
        <v>48368.187000000027</v>
      </c>
      <c r="I242" s="15">
        <f t="shared" si="396"/>
        <v>-278.18700000002718</v>
      </c>
      <c r="J242" s="33">
        <f t="shared" si="397"/>
        <v>-5.7514456764737399E-3</v>
      </c>
      <c r="K242" s="15">
        <f t="shared" si="398"/>
        <v>48090</v>
      </c>
      <c r="L242" s="15">
        <f t="shared" si="399"/>
        <v>-385</v>
      </c>
      <c r="M242" s="15">
        <f t="shared" si="400"/>
        <v>5</v>
      </c>
      <c r="N242" s="15">
        <f t="shared" si="401"/>
        <v>0</v>
      </c>
      <c r="O242" s="64"/>
      <c r="P242" s="17">
        <f t="shared" si="402"/>
        <v>-5.2988000000004476E-2</v>
      </c>
      <c r="Q242" s="15">
        <f t="shared" si="403"/>
        <v>-4585</v>
      </c>
      <c r="R242" s="35"/>
      <c r="S242" s="35">
        <f t="shared" si="404"/>
        <v>62547.29799999969</v>
      </c>
      <c r="T242" s="35">
        <f t="shared" si="405"/>
        <v>6828.307641921363</v>
      </c>
      <c r="U242" s="35">
        <f t="shared" si="406"/>
        <v>12078.307641921363</v>
      </c>
      <c r="V242" s="15">
        <f t="shared" si="407"/>
        <v>110915.48499999972</v>
      </c>
      <c r="W242" s="17">
        <f t="shared" si="408"/>
        <v>9.1830319518468393</v>
      </c>
      <c r="X242" s="17">
        <f t="shared" si="409"/>
        <v>-2.9956048153165327E-2</v>
      </c>
      <c r="Y242" s="17">
        <f t="shared" si="410"/>
        <v>-2.3031951846839149E-2</v>
      </c>
      <c r="Z242" s="134">
        <f t="shared" si="411"/>
        <v>0.43466354357280251</v>
      </c>
      <c r="AA242" s="15">
        <f>SUM(L$2:L242)-SUM(AB$2:AB242)</f>
        <v>32497.219000000172</v>
      </c>
      <c r="AB242" s="64"/>
      <c r="AC242" s="145">
        <f t="shared" si="412"/>
        <v>-30.354574945417816</v>
      </c>
      <c r="AD242" s="145">
        <f t="shared" si="413"/>
        <v>-5280.3545749454179</v>
      </c>
    </row>
    <row r="243" spans="1:30" x14ac:dyDescent="0.25">
      <c r="A243" s="99">
        <v>42989</v>
      </c>
      <c r="B243" s="100"/>
      <c r="C243" s="104" t="s">
        <v>69</v>
      </c>
      <c r="D243" s="104">
        <v>400</v>
      </c>
      <c r="E243" s="143">
        <v>9.2100000000000009</v>
      </c>
      <c r="F243" s="16">
        <f t="shared" si="414"/>
        <v>4850</v>
      </c>
      <c r="G243" s="17">
        <f t="shared" ref="G243:G270" si="415">H243/F243</f>
        <v>9.215024948453614</v>
      </c>
      <c r="H243" s="15">
        <f t="shared" ref="H243:H270" si="416">IF(C243="买",H242+D243*E243+M243+N243,H242+-1*D243*E243+M243+N243)+O242</f>
        <v>44692.871000000028</v>
      </c>
      <c r="I243" s="15">
        <f t="shared" ref="I243:I270" si="417">-H243+K243</f>
        <v>-24.371000000021013</v>
      </c>
      <c r="J243" s="33">
        <f t="shared" ref="J243:J270" si="418">(E243-G243)/G243</f>
        <v>-5.4529949530482435E-4</v>
      </c>
      <c r="K243" s="15">
        <f t="shared" ref="K243:K270" si="419">F243*E243</f>
        <v>44668.500000000007</v>
      </c>
      <c r="L243" s="15">
        <f t="shared" ref="L243:L270" si="420">I243-I242</f>
        <v>253.81600000000617</v>
      </c>
      <c r="M243" s="15">
        <f t="shared" ref="M243:M265" si="421">IF(D243*E243*5/10000&gt;5,D243*E243*5/10000,5)</f>
        <v>5</v>
      </c>
      <c r="N243" s="15">
        <f t="shared" ref="N243:N296" si="422">IF(C243="卖",D243*E243/1000,0)</f>
        <v>3.6840000000000006</v>
      </c>
      <c r="O243" s="64"/>
      <c r="P243" s="17">
        <f t="shared" ref="P243:P296" si="423">E243-G243</f>
        <v>-5.0249484536131206E-3</v>
      </c>
      <c r="Q243" s="15">
        <f t="shared" ref="Q243:Q296" si="424">(H243-H242)*-1</f>
        <v>3675.3159999999989</v>
      </c>
      <c r="R243" s="35"/>
      <c r="S243" s="35">
        <f t="shared" ref="S243:S296" si="425">S242+Q243+O243+R243</f>
        <v>66222.613999999681</v>
      </c>
      <c r="T243" s="35">
        <f t="shared" ref="T243:T296" si="426">S243/E243</f>
        <v>7190.2946796959477</v>
      </c>
      <c r="U243" s="35">
        <f t="shared" ref="U243:U296" si="427">F243+T243</f>
        <v>12040.294679695948</v>
      </c>
      <c r="V243" s="15">
        <f t="shared" ref="V243:V296" si="428">H243+S243</f>
        <v>110915.48499999971</v>
      </c>
      <c r="W243" s="17">
        <f t="shared" ref="W243:W296" si="429">V243/U243</f>
        <v>9.2120241198947674</v>
      </c>
      <c r="X243" s="17">
        <f t="shared" ref="X243:X296" si="430">W243-G243</f>
        <v>-3.0008285588465355E-3</v>
      </c>
      <c r="Y243" s="17">
        <f t="shared" ref="Y243:Y296" si="431">(X243-P243)*-1</f>
        <v>-2.024119894766585E-3</v>
      </c>
      <c r="Z243" s="134">
        <f t="shared" ref="Z243:Z296" si="432">F243/U243</f>
        <v>0.40281406136834491</v>
      </c>
      <c r="AA243" s="15">
        <f>SUM(L$2:L243)-SUM(AB$2:AB243)</f>
        <v>32751.035000000178</v>
      </c>
      <c r="AB243" s="64"/>
      <c r="AC243" s="145">
        <f t="shared" ref="AC243:AC296" si="433">I243/E243*(1-0.0005)</f>
        <v>-2.6448224212834961</v>
      </c>
      <c r="AD243" s="145">
        <f t="shared" ref="AD243:AD296" si="434">AC243-F243</f>
        <v>-4852.6448224212836</v>
      </c>
    </row>
    <row r="244" spans="1:30" x14ac:dyDescent="0.25">
      <c r="A244" s="99">
        <v>42989</v>
      </c>
      <c r="B244" s="100"/>
      <c r="C244" s="104" t="s">
        <v>69</v>
      </c>
      <c r="D244" s="104">
        <v>400</v>
      </c>
      <c r="E244" s="143">
        <v>9.24</v>
      </c>
      <c r="F244" s="16">
        <f t="shared" si="414"/>
        <v>4450</v>
      </c>
      <c r="G244" s="17">
        <f t="shared" si="415"/>
        <v>9.2147341573033774</v>
      </c>
      <c r="H244" s="15">
        <f t="shared" si="416"/>
        <v>41005.567000000032</v>
      </c>
      <c r="I244" s="15">
        <f t="shared" si="417"/>
        <v>112.43299999996816</v>
      </c>
      <c r="J244" s="33">
        <f t="shared" si="418"/>
        <v>2.7418959967062855E-3</v>
      </c>
      <c r="K244" s="15">
        <f t="shared" si="419"/>
        <v>41118</v>
      </c>
      <c r="L244" s="15">
        <f t="shared" si="420"/>
        <v>136.80399999998917</v>
      </c>
      <c r="M244" s="15">
        <f t="shared" si="421"/>
        <v>5</v>
      </c>
      <c r="N244" s="15">
        <f t="shared" si="422"/>
        <v>3.6960000000000002</v>
      </c>
      <c r="O244" s="64"/>
      <c r="P244" s="17">
        <f t="shared" si="423"/>
        <v>2.5265842696622798E-2</v>
      </c>
      <c r="Q244" s="15">
        <f t="shared" si="424"/>
        <v>3687.3039999999964</v>
      </c>
      <c r="R244" s="35"/>
      <c r="S244" s="35">
        <f t="shared" si="425"/>
        <v>69909.917999999685</v>
      </c>
      <c r="T244" s="35">
        <f t="shared" si="426"/>
        <v>7566.008441558407</v>
      </c>
      <c r="U244" s="35">
        <f t="shared" si="427"/>
        <v>12016.008441558406</v>
      </c>
      <c r="V244" s="15">
        <f t="shared" si="428"/>
        <v>110915.48499999972</v>
      </c>
      <c r="W244" s="17">
        <f t="shared" si="429"/>
        <v>9.2306430658278256</v>
      </c>
      <c r="X244" s="17">
        <f t="shared" si="430"/>
        <v>1.5908908524448151E-2</v>
      </c>
      <c r="Y244" s="17">
        <f t="shared" si="431"/>
        <v>9.3569341721746468E-3</v>
      </c>
      <c r="Z244" s="134">
        <f t="shared" si="432"/>
        <v>0.37033928709714364</v>
      </c>
      <c r="AA244" s="15">
        <f>SUM(L$2:L244)-SUM(AB$2:AB244)</f>
        <v>32887.839000000167</v>
      </c>
      <c r="AB244" s="64"/>
      <c r="AC244" s="145">
        <f t="shared" si="433"/>
        <v>12.161989556273612</v>
      </c>
      <c r="AD244" s="145">
        <f t="shared" si="434"/>
        <v>-4437.8380104437265</v>
      </c>
    </row>
    <row r="245" spans="1:30" x14ac:dyDescent="0.25">
      <c r="A245" s="99">
        <v>42990</v>
      </c>
      <c r="B245" s="100" t="s">
        <v>176</v>
      </c>
      <c r="C245" s="104" t="s">
        <v>69</v>
      </c>
      <c r="D245" s="104">
        <v>400</v>
      </c>
      <c r="E245" s="143">
        <v>9.2799999999999994</v>
      </c>
      <c r="F245" s="16">
        <f t="shared" si="414"/>
        <v>4050</v>
      </c>
      <c r="G245" s="17">
        <f t="shared" si="415"/>
        <v>9.2104392592592674</v>
      </c>
      <c r="H245" s="15">
        <f t="shared" si="416"/>
        <v>37302.279000000031</v>
      </c>
      <c r="I245" s="15">
        <f t="shared" si="417"/>
        <v>281.72099999996863</v>
      </c>
      <c r="J245" s="33">
        <f t="shared" si="418"/>
        <v>7.5523803786884999E-3</v>
      </c>
      <c r="K245" s="15">
        <f t="shared" si="419"/>
        <v>37584</v>
      </c>
      <c r="L245" s="15">
        <f t="shared" si="420"/>
        <v>169.28800000000047</v>
      </c>
      <c r="M245" s="15">
        <f t="shared" si="421"/>
        <v>5</v>
      </c>
      <c r="N245" s="15">
        <f t="shared" si="422"/>
        <v>3.7119999999999997</v>
      </c>
      <c r="O245" s="64"/>
      <c r="P245" s="17">
        <f t="shared" si="423"/>
        <v>6.956074074073193E-2</v>
      </c>
      <c r="Q245" s="15">
        <f t="shared" si="424"/>
        <v>3703.2880000000005</v>
      </c>
      <c r="R245" s="35"/>
      <c r="S245" s="35">
        <f t="shared" si="425"/>
        <v>73613.205999999685</v>
      </c>
      <c r="T245" s="35">
        <f t="shared" si="426"/>
        <v>7932.4575431034145</v>
      </c>
      <c r="U245" s="35">
        <f t="shared" si="427"/>
        <v>11982.457543103414</v>
      </c>
      <c r="V245" s="15">
        <f t="shared" si="428"/>
        <v>110915.48499999972</v>
      </c>
      <c r="W245" s="17">
        <f t="shared" si="429"/>
        <v>9.2564888797655627</v>
      </c>
      <c r="X245" s="17">
        <f t="shared" si="430"/>
        <v>4.6049620506295241E-2</v>
      </c>
      <c r="Y245" s="17">
        <f t="shared" si="431"/>
        <v>2.3511120234436689E-2</v>
      </c>
      <c r="Z245" s="134">
        <f t="shared" si="432"/>
        <v>0.33799410391660478</v>
      </c>
      <c r="AA245" s="15">
        <f>SUM(L$2:L245)-SUM(AB$2:AB245)</f>
        <v>33057.127000000168</v>
      </c>
      <c r="AB245" s="64"/>
      <c r="AC245" s="145">
        <f t="shared" si="433"/>
        <v>30.342687446117313</v>
      </c>
      <c r="AD245" s="145">
        <f t="shared" si="434"/>
        <v>-4019.6573125538825</v>
      </c>
    </row>
    <row r="246" spans="1:30" x14ac:dyDescent="0.25">
      <c r="A246" s="99">
        <v>42990</v>
      </c>
      <c r="B246" s="100" t="s">
        <v>447</v>
      </c>
      <c r="C246" s="104" t="s">
        <v>63</v>
      </c>
      <c r="D246" s="104">
        <v>500</v>
      </c>
      <c r="E246" s="143">
        <v>9.19</v>
      </c>
      <c r="F246" s="16">
        <f t="shared" si="414"/>
        <v>4550</v>
      </c>
      <c r="G246" s="17">
        <f t="shared" si="415"/>
        <v>9.209292087912095</v>
      </c>
      <c r="H246" s="15">
        <f t="shared" si="416"/>
        <v>41902.279000000031</v>
      </c>
      <c r="I246" s="15">
        <f t="shared" si="417"/>
        <v>-87.779000000031374</v>
      </c>
      <c r="J246" s="33">
        <f t="shared" si="418"/>
        <v>-2.0948502586227904E-3</v>
      </c>
      <c r="K246" s="15">
        <f t="shared" si="419"/>
        <v>41814.5</v>
      </c>
      <c r="L246" s="15">
        <f t="shared" si="420"/>
        <v>-369.5</v>
      </c>
      <c r="M246" s="15">
        <f t="shared" si="421"/>
        <v>5</v>
      </c>
      <c r="N246" s="15">
        <f t="shared" si="422"/>
        <v>0</v>
      </c>
      <c r="O246" s="64"/>
      <c r="P246" s="17">
        <f t="shared" si="423"/>
        <v>-1.9292087912095468E-2</v>
      </c>
      <c r="Q246" s="15">
        <f t="shared" si="424"/>
        <v>-4600</v>
      </c>
      <c r="R246" s="35"/>
      <c r="S246" s="35">
        <f t="shared" si="425"/>
        <v>69013.205999999685</v>
      </c>
      <c r="T246" s="35">
        <f t="shared" si="426"/>
        <v>7509.5980413492589</v>
      </c>
      <c r="U246" s="35">
        <f t="shared" si="427"/>
        <v>12059.598041349258</v>
      </c>
      <c r="V246" s="15">
        <f t="shared" si="428"/>
        <v>110915.48499999972</v>
      </c>
      <c r="W246" s="17">
        <f t="shared" si="429"/>
        <v>9.1972787666470364</v>
      </c>
      <c r="X246" s="17">
        <f t="shared" si="430"/>
        <v>-1.2013321265058607E-2</v>
      </c>
      <c r="Y246" s="17">
        <f t="shared" si="431"/>
        <v>-7.2787666470368606E-3</v>
      </c>
      <c r="Z246" s="134">
        <f t="shared" si="432"/>
        <v>0.37729284047438572</v>
      </c>
      <c r="AA246" s="15">
        <f>SUM(L$2:L246)-SUM(AB$2:AB246)</f>
        <v>32687.627000000168</v>
      </c>
      <c r="AB246" s="64"/>
      <c r="AC246" s="145">
        <f t="shared" si="433"/>
        <v>-9.5468020130610842</v>
      </c>
      <c r="AD246" s="145">
        <f t="shared" si="434"/>
        <v>-4559.5468020130611</v>
      </c>
    </row>
    <row r="247" spans="1:30" x14ac:dyDescent="0.25">
      <c r="A247" s="99">
        <v>42990</v>
      </c>
      <c r="B247" s="100" t="s">
        <v>177</v>
      </c>
      <c r="C247" s="104" t="s">
        <v>69</v>
      </c>
      <c r="D247" s="104">
        <v>400</v>
      </c>
      <c r="E247" s="143">
        <v>9.2200000000000006</v>
      </c>
      <c r="F247" s="16">
        <f t="shared" si="414"/>
        <v>4150</v>
      </c>
      <c r="G247" s="17">
        <f t="shared" si="415"/>
        <v>9.2103534939759122</v>
      </c>
      <c r="H247" s="15">
        <f t="shared" si="416"/>
        <v>38222.967000000033</v>
      </c>
      <c r="I247" s="15">
        <f t="shared" si="417"/>
        <v>40.032999999966705</v>
      </c>
      <c r="J247" s="33">
        <f t="shared" si="418"/>
        <v>1.0473545918077746E-3</v>
      </c>
      <c r="K247" s="15">
        <f t="shared" si="419"/>
        <v>38263</v>
      </c>
      <c r="L247" s="15">
        <f t="shared" si="420"/>
        <v>127.81199999999808</v>
      </c>
      <c r="M247" s="15">
        <f t="shared" si="421"/>
        <v>5</v>
      </c>
      <c r="N247" s="15">
        <f t="shared" si="422"/>
        <v>3.6880000000000006</v>
      </c>
      <c r="O247" s="64"/>
      <c r="P247" s="17">
        <f t="shared" si="423"/>
        <v>9.6465060240884526E-3</v>
      </c>
      <c r="Q247" s="15">
        <f t="shared" si="424"/>
        <v>3679.3119999999981</v>
      </c>
      <c r="R247" s="35"/>
      <c r="S247" s="35">
        <f t="shared" si="425"/>
        <v>72692.517999999691</v>
      </c>
      <c r="T247" s="35">
        <f t="shared" si="426"/>
        <v>7884.221041214716</v>
      </c>
      <c r="U247" s="35">
        <f t="shared" si="427"/>
        <v>12034.221041214716</v>
      </c>
      <c r="V247" s="15">
        <f t="shared" si="428"/>
        <v>110915.48499999972</v>
      </c>
      <c r="W247" s="17">
        <f t="shared" si="429"/>
        <v>9.2166734033002342</v>
      </c>
      <c r="X247" s="17">
        <f t="shared" si="430"/>
        <v>6.3199093243220261E-3</v>
      </c>
      <c r="Y247" s="17">
        <f t="shared" si="431"/>
        <v>3.3265966997664265E-3</v>
      </c>
      <c r="Z247" s="134">
        <f t="shared" si="432"/>
        <v>0.34484990642826896</v>
      </c>
      <c r="AA247" s="15">
        <f>SUM(L$2:L247)-SUM(AB$2:AB247)</f>
        <v>32815.439000000166</v>
      </c>
      <c r="AB247" s="64"/>
      <c r="AC247" s="145">
        <f t="shared" si="433"/>
        <v>4.3398029826428113</v>
      </c>
      <c r="AD247" s="145">
        <f t="shared" si="434"/>
        <v>-4145.6601970173569</v>
      </c>
    </row>
    <row r="248" spans="1:30" x14ac:dyDescent="0.25">
      <c r="A248" s="99">
        <v>42990</v>
      </c>
      <c r="B248" s="100" t="s">
        <v>221</v>
      </c>
      <c r="C248" s="104" t="s">
        <v>69</v>
      </c>
      <c r="D248" s="104">
        <v>400</v>
      </c>
      <c r="E248" s="143">
        <v>9.25</v>
      </c>
      <c r="F248" s="16">
        <f t="shared" si="414"/>
        <v>3750</v>
      </c>
      <c r="G248" s="17">
        <f t="shared" si="415"/>
        <v>9.208444533333342</v>
      </c>
      <c r="H248" s="15">
        <f t="shared" si="416"/>
        <v>34531.66700000003</v>
      </c>
      <c r="I248" s="15">
        <f t="shared" si="417"/>
        <v>155.83299999996962</v>
      </c>
      <c r="J248" s="33">
        <f t="shared" si="418"/>
        <v>4.5127563636000352E-3</v>
      </c>
      <c r="K248" s="15">
        <f t="shared" si="419"/>
        <v>34687.5</v>
      </c>
      <c r="L248" s="15">
        <f t="shared" si="420"/>
        <v>115.80000000000291</v>
      </c>
      <c r="M248" s="15">
        <f t="shared" si="421"/>
        <v>5</v>
      </c>
      <c r="N248" s="15">
        <f t="shared" si="422"/>
        <v>3.7</v>
      </c>
      <c r="O248" s="64"/>
      <c r="P248" s="17">
        <f t="shared" si="423"/>
        <v>4.1555466666657992E-2</v>
      </c>
      <c r="Q248" s="15">
        <f t="shared" si="424"/>
        <v>3691.3000000000029</v>
      </c>
      <c r="R248" s="35"/>
      <c r="S248" s="35">
        <f t="shared" si="425"/>
        <v>76383.817999999694</v>
      </c>
      <c r="T248" s="35">
        <f t="shared" si="426"/>
        <v>8257.7100540540214</v>
      </c>
      <c r="U248" s="35">
        <f t="shared" si="427"/>
        <v>12007.710054054021</v>
      </c>
      <c r="V248" s="15">
        <f t="shared" si="428"/>
        <v>110915.48499999972</v>
      </c>
      <c r="W248" s="17">
        <f t="shared" si="429"/>
        <v>9.2370222549263374</v>
      </c>
      <c r="X248" s="17">
        <f t="shared" si="430"/>
        <v>2.8577721592995431E-2</v>
      </c>
      <c r="Y248" s="17">
        <f t="shared" si="431"/>
        <v>1.2977745073662561E-2</v>
      </c>
      <c r="Z248" s="134">
        <f t="shared" si="432"/>
        <v>0.31229934626327288</v>
      </c>
      <c r="AA248" s="15">
        <f>SUM(L$2:L248)-SUM(AB$2:AB248)</f>
        <v>32931.239000000169</v>
      </c>
      <c r="AB248" s="64"/>
      <c r="AC248" s="145">
        <f t="shared" si="433"/>
        <v>16.838387405402123</v>
      </c>
      <c r="AD248" s="145">
        <f t="shared" si="434"/>
        <v>-3733.161612594598</v>
      </c>
    </row>
    <row r="249" spans="1:30" x14ac:dyDescent="0.25">
      <c r="A249" s="99">
        <v>42990</v>
      </c>
      <c r="B249" s="100" t="s">
        <v>448</v>
      </c>
      <c r="C249" s="104" t="s">
        <v>63</v>
      </c>
      <c r="D249" s="104">
        <v>500</v>
      </c>
      <c r="E249" s="143">
        <v>9.15</v>
      </c>
      <c r="F249" s="16">
        <f t="shared" si="414"/>
        <v>4250</v>
      </c>
      <c r="G249" s="17">
        <f t="shared" si="415"/>
        <v>9.2027451764705948</v>
      </c>
      <c r="H249" s="15">
        <f t="shared" si="416"/>
        <v>39111.66700000003</v>
      </c>
      <c r="I249" s="15">
        <f t="shared" si="417"/>
        <v>-224.16700000003038</v>
      </c>
      <c r="J249" s="33">
        <f t="shared" si="418"/>
        <v>-5.7314611519888948E-3</v>
      </c>
      <c r="K249" s="15">
        <f t="shared" si="419"/>
        <v>38887.5</v>
      </c>
      <c r="L249" s="15">
        <f t="shared" si="420"/>
        <v>-380</v>
      </c>
      <c r="M249" s="15">
        <f t="shared" si="421"/>
        <v>5</v>
      </c>
      <c r="N249" s="15">
        <f t="shared" si="422"/>
        <v>0</v>
      </c>
      <c r="O249" s="64"/>
      <c r="P249" s="17">
        <f t="shared" si="423"/>
        <v>-5.2745176470594402E-2</v>
      </c>
      <c r="Q249" s="15">
        <f t="shared" si="424"/>
        <v>-4580</v>
      </c>
      <c r="R249" s="35"/>
      <c r="S249" s="35">
        <f t="shared" si="425"/>
        <v>71803.817999999694</v>
      </c>
      <c r="T249" s="35">
        <f t="shared" si="426"/>
        <v>7847.4118032786546</v>
      </c>
      <c r="U249" s="35">
        <f t="shared" si="427"/>
        <v>12097.411803278654</v>
      </c>
      <c r="V249" s="15">
        <f t="shared" si="428"/>
        <v>110915.48499999972</v>
      </c>
      <c r="W249" s="17">
        <f t="shared" si="429"/>
        <v>9.1685301619590476</v>
      </c>
      <c r="X249" s="17">
        <f t="shared" si="430"/>
        <v>-3.4215014511547182E-2</v>
      </c>
      <c r="Y249" s="17">
        <f t="shared" si="431"/>
        <v>-1.853016195904722E-2</v>
      </c>
      <c r="Z249" s="134">
        <f t="shared" si="432"/>
        <v>0.35131481585574864</v>
      </c>
      <c r="AA249" s="15">
        <f>SUM(L$2:L249)-SUM(AB$2:AB249)</f>
        <v>32551.239000000169</v>
      </c>
      <c r="AB249" s="64"/>
      <c r="AC249" s="145">
        <f t="shared" si="433"/>
        <v>-24.486876120221901</v>
      </c>
      <c r="AD249" s="145">
        <f t="shared" si="434"/>
        <v>-4274.4868761202215</v>
      </c>
    </row>
    <row r="250" spans="1:30" x14ac:dyDescent="0.25">
      <c r="A250" s="99">
        <v>42990</v>
      </c>
      <c r="B250" s="100" t="s">
        <v>220</v>
      </c>
      <c r="C250" s="104" t="s">
        <v>69</v>
      </c>
      <c r="D250" s="104">
        <v>400</v>
      </c>
      <c r="E250" s="143">
        <v>9.2100000000000009</v>
      </c>
      <c r="F250" s="16">
        <f t="shared" si="414"/>
        <v>3850</v>
      </c>
      <c r="G250" s="17">
        <f t="shared" si="415"/>
        <v>9.2042470129870217</v>
      </c>
      <c r="H250" s="15">
        <f t="shared" si="416"/>
        <v>35436.351000000031</v>
      </c>
      <c r="I250" s="15">
        <f t="shared" si="417"/>
        <v>22.14899999996851</v>
      </c>
      <c r="J250" s="33">
        <f t="shared" si="418"/>
        <v>6.2503613873701421E-4</v>
      </c>
      <c r="K250" s="15">
        <f t="shared" si="419"/>
        <v>35458.5</v>
      </c>
      <c r="L250" s="15">
        <f t="shared" si="420"/>
        <v>246.31599999999889</v>
      </c>
      <c r="M250" s="15">
        <f t="shared" si="421"/>
        <v>5</v>
      </c>
      <c r="N250" s="15">
        <f t="shared" si="422"/>
        <v>3.6840000000000006</v>
      </c>
      <c r="O250" s="64"/>
      <c r="P250" s="17">
        <f t="shared" si="423"/>
        <v>5.752987012979105E-3</v>
      </c>
      <c r="Q250" s="15">
        <f t="shared" si="424"/>
        <v>3675.3159999999989</v>
      </c>
      <c r="R250" s="35"/>
      <c r="S250" s="35">
        <f t="shared" si="425"/>
        <v>75479.1339999997</v>
      </c>
      <c r="T250" s="35">
        <f t="shared" si="426"/>
        <v>8195.3457111834632</v>
      </c>
      <c r="U250" s="35">
        <f t="shared" si="427"/>
        <v>12045.345711183463</v>
      </c>
      <c r="V250" s="15">
        <f t="shared" si="428"/>
        <v>110915.48499999972</v>
      </c>
      <c r="W250" s="17">
        <f t="shared" si="429"/>
        <v>9.208161198480223</v>
      </c>
      <c r="X250" s="17">
        <f t="shared" si="430"/>
        <v>3.9141854932012166E-3</v>
      </c>
      <c r="Y250" s="17">
        <f t="shared" si="431"/>
        <v>1.8388015197778884E-3</v>
      </c>
      <c r="Z250" s="134">
        <f t="shared" si="432"/>
        <v>0.31962552942133321</v>
      </c>
      <c r="AA250" s="15">
        <f>SUM(L$2:L250)-SUM(AB$2:AB250)</f>
        <v>32797.555000000168</v>
      </c>
      <c r="AB250" s="64"/>
      <c r="AC250" s="145">
        <f t="shared" si="433"/>
        <v>2.4036835504851819</v>
      </c>
      <c r="AD250" s="145">
        <f t="shared" si="434"/>
        <v>-3847.5963164495147</v>
      </c>
    </row>
    <row r="251" spans="1:30" x14ac:dyDescent="0.25">
      <c r="A251" s="148">
        <v>42991</v>
      </c>
      <c r="B251" s="100" t="s">
        <v>449</v>
      </c>
      <c r="C251" s="104" t="s">
        <v>63</v>
      </c>
      <c r="D251" s="104">
        <v>500</v>
      </c>
      <c r="E251" s="143">
        <v>9.1300000000000008</v>
      </c>
      <c r="F251" s="16">
        <f t="shared" si="414"/>
        <v>4350</v>
      </c>
      <c r="G251" s="17">
        <f t="shared" si="415"/>
        <v>9.1968622988505828</v>
      </c>
      <c r="H251" s="15">
        <f t="shared" si="416"/>
        <v>40006.351000000031</v>
      </c>
      <c r="I251" s="15">
        <f t="shared" si="417"/>
        <v>-290.85100000003149</v>
      </c>
      <c r="J251" s="33">
        <f t="shared" si="418"/>
        <v>-7.2701206865887769E-3</v>
      </c>
      <c r="K251" s="15">
        <f t="shared" si="419"/>
        <v>39715.5</v>
      </c>
      <c r="L251" s="15">
        <f t="shared" si="420"/>
        <v>-313</v>
      </c>
      <c r="M251" s="15">
        <f t="shared" si="421"/>
        <v>5</v>
      </c>
      <c r="N251" s="15">
        <f t="shared" si="422"/>
        <v>0</v>
      </c>
      <c r="O251" s="64"/>
      <c r="P251" s="17">
        <f t="shared" si="423"/>
        <v>-6.6862298850582036E-2</v>
      </c>
      <c r="Q251" s="15">
        <f t="shared" si="424"/>
        <v>-4570</v>
      </c>
      <c r="R251" s="35"/>
      <c r="S251" s="35">
        <f t="shared" si="425"/>
        <v>70909.1339999997</v>
      </c>
      <c r="T251" s="35">
        <f t="shared" si="426"/>
        <v>7766.6083242058812</v>
      </c>
      <c r="U251" s="35">
        <f t="shared" si="427"/>
        <v>12116.608324205881</v>
      </c>
      <c r="V251" s="15">
        <f t="shared" si="428"/>
        <v>110915.48499999972</v>
      </c>
      <c r="W251" s="17">
        <f t="shared" si="429"/>
        <v>9.1540043246606384</v>
      </c>
      <c r="X251" s="17">
        <f t="shared" si="430"/>
        <v>-4.2857974189944414E-2</v>
      </c>
      <c r="Y251" s="17">
        <f t="shared" si="431"/>
        <v>-2.4004324660637621E-2</v>
      </c>
      <c r="Z251" s="134">
        <f t="shared" si="432"/>
        <v>0.35901135727147454</v>
      </c>
      <c r="AA251" s="15">
        <f>SUM(L$2:L251)-SUM(AB$2:AB251)</f>
        <v>32484.555000000168</v>
      </c>
      <c r="AB251" s="64"/>
      <c r="AC251" s="145">
        <f t="shared" si="433"/>
        <v>-31.840698192774529</v>
      </c>
      <c r="AD251" s="145">
        <f t="shared" si="434"/>
        <v>-4381.8406981927747</v>
      </c>
    </row>
    <row r="252" spans="1:30" x14ac:dyDescent="0.25">
      <c r="A252" s="148">
        <v>42992</v>
      </c>
      <c r="B252" s="100" t="s">
        <v>450</v>
      </c>
      <c r="C252" s="104" t="s">
        <v>63</v>
      </c>
      <c r="D252" s="104">
        <v>500</v>
      </c>
      <c r="E252" s="143">
        <v>9.11</v>
      </c>
      <c r="F252" s="16">
        <f t="shared" si="414"/>
        <v>4850</v>
      </c>
      <c r="G252" s="17">
        <f t="shared" si="415"/>
        <v>9.1889383505154711</v>
      </c>
      <c r="H252" s="15">
        <f t="shared" si="416"/>
        <v>44566.351000000031</v>
      </c>
      <c r="I252" s="15">
        <f t="shared" si="417"/>
        <v>-382.85100000003149</v>
      </c>
      <c r="J252" s="33">
        <f t="shared" si="418"/>
        <v>-8.5905844075059561E-3</v>
      </c>
      <c r="K252" s="15">
        <f t="shared" si="419"/>
        <v>44183.5</v>
      </c>
      <c r="L252" s="15">
        <f t="shared" si="420"/>
        <v>-92</v>
      </c>
      <c r="M252" s="15">
        <f t="shared" si="421"/>
        <v>5</v>
      </c>
      <c r="N252" s="15">
        <f t="shared" si="422"/>
        <v>0</v>
      </c>
      <c r="O252" s="64"/>
      <c r="P252" s="17">
        <f t="shared" si="423"/>
        <v>-7.8938350515471711E-2</v>
      </c>
      <c r="Q252" s="15">
        <f t="shared" si="424"/>
        <v>-4560</v>
      </c>
      <c r="R252" s="35"/>
      <c r="S252" s="35">
        <f t="shared" si="425"/>
        <v>66349.1339999997</v>
      </c>
      <c r="T252" s="35">
        <f t="shared" si="426"/>
        <v>7283.1102085619868</v>
      </c>
      <c r="U252" s="35">
        <f t="shared" si="427"/>
        <v>12133.110208561986</v>
      </c>
      <c r="V252" s="15">
        <f t="shared" si="428"/>
        <v>110915.48499999972</v>
      </c>
      <c r="W252" s="17">
        <f t="shared" si="429"/>
        <v>9.1415542341097229</v>
      </c>
      <c r="X252" s="17">
        <f t="shared" si="430"/>
        <v>-4.7384116405748244E-2</v>
      </c>
      <c r="Y252" s="17">
        <f t="shared" si="431"/>
        <v>-3.1554234109723467E-2</v>
      </c>
      <c r="Z252" s="134">
        <f t="shared" si="432"/>
        <v>0.39973262557011102</v>
      </c>
      <c r="AA252" s="15">
        <f>SUM(L$2:L252)-SUM(AB$2:AB252)</f>
        <v>32392.555000000168</v>
      </c>
      <c r="AB252" s="64"/>
      <c r="AC252" s="145">
        <f t="shared" si="433"/>
        <v>-42.004344072451318</v>
      </c>
      <c r="AD252" s="145">
        <f t="shared" si="434"/>
        <v>-4892.0043440724512</v>
      </c>
    </row>
    <row r="253" spans="1:30" x14ac:dyDescent="0.25">
      <c r="A253" s="148">
        <v>42993</v>
      </c>
      <c r="B253" s="100" t="s">
        <v>451</v>
      </c>
      <c r="C253" s="104" t="s">
        <v>63</v>
      </c>
      <c r="D253" s="104">
        <v>500</v>
      </c>
      <c r="E253" s="143">
        <v>9.0500000000000007</v>
      </c>
      <c r="F253" s="16">
        <f t="shared" si="414"/>
        <v>5350</v>
      </c>
      <c r="G253" s="17">
        <f t="shared" si="415"/>
        <v>9.1768880373831827</v>
      </c>
      <c r="H253" s="15">
        <f t="shared" si="416"/>
        <v>49096.351000000031</v>
      </c>
      <c r="I253" s="15">
        <f t="shared" si="417"/>
        <v>-678.85100000002421</v>
      </c>
      <c r="J253" s="33">
        <f t="shared" si="418"/>
        <v>-1.3826913531720988E-2</v>
      </c>
      <c r="K253" s="15">
        <f t="shared" si="419"/>
        <v>48417.500000000007</v>
      </c>
      <c r="L253" s="15">
        <f t="shared" si="420"/>
        <v>-295.99999999999272</v>
      </c>
      <c r="M253" s="15">
        <f t="shared" si="421"/>
        <v>5</v>
      </c>
      <c r="N253" s="15">
        <f t="shared" si="422"/>
        <v>0</v>
      </c>
      <c r="O253" s="64"/>
      <c r="P253" s="17">
        <f t="shared" si="423"/>
        <v>-0.126888037383182</v>
      </c>
      <c r="Q253" s="15">
        <f t="shared" si="424"/>
        <v>-4530</v>
      </c>
      <c r="R253" s="35"/>
      <c r="S253" s="35">
        <f t="shared" si="425"/>
        <v>61819.1339999997</v>
      </c>
      <c r="T253" s="35">
        <f t="shared" si="426"/>
        <v>6830.8435359115683</v>
      </c>
      <c r="U253" s="35">
        <f t="shared" si="427"/>
        <v>12180.843535911568</v>
      </c>
      <c r="V253" s="15">
        <f t="shared" si="428"/>
        <v>110915.48499999972</v>
      </c>
      <c r="W253" s="17">
        <f t="shared" si="429"/>
        <v>9.105731033569116</v>
      </c>
      <c r="X253" s="17">
        <f t="shared" si="430"/>
        <v>-7.1157003814066755E-2</v>
      </c>
      <c r="Y253" s="17">
        <f t="shared" si="431"/>
        <v>-5.573103356911524E-2</v>
      </c>
      <c r="Z253" s="134">
        <f t="shared" si="432"/>
        <v>0.43921424523902042</v>
      </c>
      <c r="AA253" s="15">
        <f>SUM(L$2:L253)-SUM(AB$2:AB253)</f>
        <v>32096.555000000175</v>
      </c>
      <c r="AB253" s="64"/>
      <c r="AC253" s="145">
        <f t="shared" si="433"/>
        <v>-74.97365464088665</v>
      </c>
      <c r="AD253" s="145">
        <f t="shared" si="434"/>
        <v>-5424.9736546408867</v>
      </c>
    </row>
    <row r="254" spans="1:30" x14ac:dyDescent="0.25">
      <c r="A254" s="148">
        <v>42993</v>
      </c>
      <c r="B254" s="100">
        <v>184</v>
      </c>
      <c r="C254" s="104" t="s">
        <v>63</v>
      </c>
      <c r="D254" s="104">
        <v>500</v>
      </c>
      <c r="E254" s="143">
        <v>8.92</v>
      </c>
      <c r="F254" s="16">
        <f t="shared" si="414"/>
        <v>5850</v>
      </c>
      <c r="G254" s="17">
        <f t="shared" si="415"/>
        <v>9.1557864957265007</v>
      </c>
      <c r="H254" s="15">
        <f t="shared" si="416"/>
        <v>53561.351000000031</v>
      </c>
      <c r="I254" s="15">
        <f t="shared" si="417"/>
        <v>-1379.3510000000315</v>
      </c>
      <c r="J254" s="33">
        <f t="shared" si="418"/>
        <v>-2.5752729799515865E-2</v>
      </c>
      <c r="K254" s="15">
        <f t="shared" si="419"/>
        <v>52182</v>
      </c>
      <c r="L254" s="15">
        <f t="shared" si="420"/>
        <v>-700.50000000000728</v>
      </c>
      <c r="M254" s="15">
        <f t="shared" si="421"/>
        <v>5</v>
      </c>
      <c r="N254" s="15">
        <f t="shared" si="422"/>
        <v>0</v>
      </c>
      <c r="O254" s="64"/>
      <c r="P254" s="17">
        <f t="shared" si="423"/>
        <v>-0.23578649572650079</v>
      </c>
      <c r="Q254" s="15">
        <f t="shared" si="424"/>
        <v>-4465</v>
      </c>
      <c r="R254" s="35"/>
      <c r="S254" s="35">
        <f t="shared" si="425"/>
        <v>57354.1339999997</v>
      </c>
      <c r="T254" s="35">
        <f t="shared" si="426"/>
        <v>6429.8356502241813</v>
      </c>
      <c r="U254" s="35">
        <f t="shared" si="427"/>
        <v>12279.83565022418</v>
      </c>
      <c r="V254" s="15">
        <f t="shared" si="428"/>
        <v>110915.48499999972</v>
      </c>
      <c r="W254" s="17">
        <f t="shared" si="429"/>
        <v>9.0323265033253808</v>
      </c>
      <c r="X254" s="17">
        <f t="shared" si="430"/>
        <v>-0.12345999240111993</v>
      </c>
      <c r="Y254" s="17">
        <f t="shared" si="431"/>
        <v>-0.11232650332538086</v>
      </c>
      <c r="Z254" s="134">
        <f t="shared" si="432"/>
        <v>0.4763907406116793</v>
      </c>
      <c r="AA254" s="15">
        <f>SUM(L$2:L254)-SUM(AB$2:AB254)</f>
        <v>31396.055000000168</v>
      </c>
      <c r="AB254" s="64"/>
      <c r="AC254" s="145">
        <f t="shared" si="433"/>
        <v>-154.55844445067618</v>
      </c>
      <c r="AD254" s="145">
        <f t="shared" si="434"/>
        <v>-6004.5584444506758</v>
      </c>
    </row>
    <row r="255" spans="1:30" x14ac:dyDescent="0.25">
      <c r="A255" s="148">
        <v>42994</v>
      </c>
      <c r="B255" s="100"/>
      <c r="C255" s="104" t="s">
        <v>69</v>
      </c>
      <c r="D255" s="104">
        <v>400</v>
      </c>
      <c r="E255" s="143">
        <v>9.0299999999999994</v>
      </c>
      <c r="F255" s="16">
        <f t="shared" si="414"/>
        <v>5450</v>
      </c>
      <c r="G255" s="17">
        <f t="shared" si="415"/>
        <v>9.1665987155963364</v>
      </c>
      <c r="H255" s="15">
        <f t="shared" si="416"/>
        <v>49957.963000000032</v>
      </c>
      <c r="I255" s="15">
        <f t="shared" si="417"/>
        <v>-744.46300000003248</v>
      </c>
      <c r="J255" s="33">
        <f t="shared" si="418"/>
        <v>-1.4901788529689182E-2</v>
      </c>
      <c r="K255" s="15">
        <f t="shared" si="419"/>
        <v>49213.5</v>
      </c>
      <c r="L255" s="15">
        <f t="shared" si="420"/>
        <v>634.88799999999901</v>
      </c>
      <c r="M255" s="15">
        <f t="shared" si="421"/>
        <v>5</v>
      </c>
      <c r="N255" s="15">
        <f t="shared" si="422"/>
        <v>3.6119999999999997</v>
      </c>
      <c r="O255" s="64"/>
      <c r="P255" s="17">
        <f t="shared" si="423"/>
        <v>-0.13659871559633707</v>
      </c>
      <c r="Q255" s="15">
        <f t="shared" si="424"/>
        <v>3603.387999999999</v>
      </c>
      <c r="R255" s="35"/>
      <c r="S255" s="35">
        <f t="shared" si="425"/>
        <v>60957.521999999699</v>
      </c>
      <c r="T255" s="35">
        <f t="shared" si="426"/>
        <v>6750.5561461793695</v>
      </c>
      <c r="U255" s="35">
        <f t="shared" si="427"/>
        <v>12200.55614617937</v>
      </c>
      <c r="V255" s="15">
        <f t="shared" si="428"/>
        <v>110915.48499999972</v>
      </c>
      <c r="W255" s="17">
        <f t="shared" si="429"/>
        <v>9.0910187757902445</v>
      </c>
      <c r="X255" s="17">
        <f t="shared" si="430"/>
        <v>-7.55799398060919E-2</v>
      </c>
      <c r="Y255" s="17">
        <f t="shared" si="431"/>
        <v>-6.1018775790245172E-2</v>
      </c>
      <c r="Z255" s="134">
        <f t="shared" si="432"/>
        <v>0.44670094827658158</v>
      </c>
      <c r="AA255" s="15">
        <f>SUM(L$2:L455)-SUM(AB$2:AB455)</f>
        <v>5212.8747999999832</v>
      </c>
      <c r="AB255" s="64"/>
      <c r="AC255" s="145">
        <f t="shared" si="433"/>
        <v>-82.402078460690205</v>
      </c>
      <c r="AD255" s="145">
        <f t="shared" si="434"/>
        <v>-5532.4020784606901</v>
      </c>
    </row>
    <row r="256" spans="1:30" x14ac:dyDescent="0.25">
      <c r="A256" s="148">
        <v>42997</v>
      </c>
      <c r="B256" s="100" t="s">
        <v>452</v>
      </c>
      <c r="C256" s="104" t="s">
        <v>63</v>
      </c>
      <c r="D256" s="104">
        <v>500</v>
      </c>
      <c r="E256" s="143">
        <v>8.9600000000000009</v>
      </c>
      <c r="F256" s="16">
        <f t="shared" si="414"/>
        <v>5950</v>
      </c>
      <c r="G256" s="17">
        <f t="shared" si="415"/>
        <v>9.1500778151260551</v>
      </c>
      <c r="H256" s="15">
        <f t="shared" si="416"/>
        <v>54442.963000000032</v>
      </c>
      <c r="I256" s="15">
        <f t="shared" si="417"/>
        <v>-1130.9630000000252</v>
      </c>
      <c r="J256" s="33">
        <f t="shared" si="418"/>
        <v>-2.077335504314896E-2</v>
      </c>
      <c r="K256" s="15">
        <f t="shared" si="419"/>
        <v>53312.000000000007</v>
      </c>
      <c r="L256" s="15">
        <f t="shared" si="420"/>
        <v>-386.49999999999272</v>
      </c>
      <c r="M256" s="15">
        <f t="shared" si="421"/>
        <v>5</v>
      </c>
      <c r="N256" s="15">
        <f t="shared" si="422"/>
        <v>0</v>
      </c>
      <c r="O256" s="64"/>
      <c r="P256" s="17">
        <f t="shared" si="423"/>
        <v>-0.19007781512605426</v>
      </c>
      <c r="Q256" s="15">
        <f t="shared" si="424"/>
        <v>-4485</v>
      </c>
      <c r="R256" s="35"/>
      <c r="S256" s="35">
        <f t="shared" si="425"/>
        <v>56472.521999999699</v>
      </c>
      <c r="T256" s="35">
        <f t="shared" si="426"/>
        <v>6302.7368303571084</v>
      </c>
      <c r="U256" s="35">
        <f t="shared" si="427"/>
        <v>12252.736830357109</v>
      </c>
      <c r="V256" s="15">
        <f t="shared" si="428"/>
        <v>110915.48499999972</v>
      </c>
      <c r="W256" s="17">
        <f t="shared" si="429"/>
        <v>9.0523028883798418</v>
      </c>
      <c r="X256" s="17">
        <f t="shared" si="430"/>
        <v>-9.7774926746213353E-2</v>
      </c>
      <c r="Y256" s="17">
        <f t="shared" si="431"/>
        <v>-9.2302888379840908E-2</v>
      </c>
      <c r="Z256" s="134">
        <f t="shared" si="432"/>
        <v>0.48560579423026634</v>
      </c>
      <c r="AA256" s="15">
        <f>SUM(L$2:L256)-SUM(AB$2:AB256)</f>
        <v>31644.443000000174</v>
      </c>
      <c r="AB256" s="64"/>
      <c r="AC256" s="145">
        <f t="shared" si="433"/>
        <v>-126.1604373325921</v>
      </c>
      <c r="AD256" s="145">
        <f t="shared" si="434"/>
        <v>-6076.1604373325918</v>
      </c>
    </row>
    <row r="257" spans="1:30" x14ac:dyDescent="0.25">
      <c r="A257" s="148">
        <v>42999</v>
      </c>
      <c r="B257" s="100" t="s">
        <v>200</v>
      </c>
      <c r="C257" s="104" t="s">
        <v>69</v>
      </c>
      <c r="D257" s="104">
        <v>400</v>
      </c>
      <c r="E257" s="143">
        <v>9.15</v>
      </c>
      <c r="F257" s="16">
        <f t="shared" si="414"/>
        <v>5550</v>
      </c>
      <c r="G257" s="17">
        <f t="shared" si="415"/>
        <v>9.1516437837837898</v>
      </c>
      <c r="H257" s="15">
        <f t="shared" si="416"/>
        <v>50791.623000000036</v>
      </c>
      <c r="I257" s="15">
        <f t="shared" si="417"/>
        <v>-9.1230000000359723</v>
      </c>
      <c r="J257" s="33">
        <f t="shared" si="418"/>
        <v>-1.796162331735619E-4</v>
      </c>
      <c r="K257" s="15">
        <f t="shared" si="419"/>
        <v>50782.5</v>
      </c>
      <c r="L257" s="15">
        <f t="shared" si="420"/>
        <v>1121.8399999999892</v>
      </c>
      <c r="M257" s="15">
        <f t="shared" si="421"/>
        <v>5</v>
      </c>
      <c r="N257" s="15">
        <f t="shared" si="422"/>
        <v>3.66</v>
      </c>
      <c r="O257" s="64"/>
      <c r="P257" s="17">
        <f t="shared" si="423"/>
        <v>-1.6437837837894875E-3</v>
      </c>
      <c r="Q257" s="15">
        <f t="shared" si="424"/>
        <v>3651.3399999999965</v>
      </c>
      <c r="R257" s="35"/>
      <c r="S257" s="35">
        <f t="shared" si="425"/>
        <v>60123.861999999695</v>
      </c>
      <c r="T257" s="35">
        <f t="shared" si="426"/>
        <v>6570.9138797813875</v>
      </c>
      <c r="U257" s="35">
        <f t="shared" si="427"/>
        <v>12120.913879781387</v>
      </c>
      <c r="V257" s="15">
        <f t="shared" si="428"/>
        <v>110915.48499999972</v>
      </c>
      <c r="W257" s="17">
        <f t="shared" si="429"/>
        <v>9.1507526660192884</v>
      </c>
      <c r="X257" s="17">
        <f t="shared" si="430"/>
        <v>-8.9111776450145896E-4</v>
      </c>
      <c r="Y257" s="17">
        <f t="shared" si="431"/>
        <v>-7.5266601928802856E-4</v>
      </c>
      <c r="Z257" s="134">
        <f t="shared" si="432"/>
        <v>0.45788626625405082</v>
      </c>
      <c r="AA257" s="15">
        <f>SUM(L$2:L257)-SUM(AB$2:AB257)</f>
        <v>32766.283000000163</v>
      </c>
      <c r="AB257" s="64"/>
      <c r="AC257" s="145">
        <f t="shared" si="433"/>
        <v>-0.99655065574163437</v>
      </c>
      <c r="AD257" s="145">
        <f t="shared" si="434"/>
        <v>-5550.9965506557419</v>
      </c>
    </row>
    <row r="258" spans="1:30" x14ac:dyDescent="0.25">
      <c r="A258" s="148">
        <v>43000</v>
      </c>
      <c r="B258" s="100" t="s">
        <v>453</v>
      </c>
      <c r="C258" s="104" t="s">
        <v>63</v>
      </c>
      <c r="D258" s="104">
        <v>500</v>
      </c>
      <c r="E258" s="143">
        <v>8.9499999999999993</v>
      </c>
      <c r="F258" s="16">
        <f t="shared" si="414"/>
        <v>6050</v>
      </c>
      <c r="G258" s="17">
        <f t="shared" si="415"/>
        <v>9.1358054545454603</v>
      </c>
      <c r="H258" s="15">
        <f t="shared" si="416"/>
        <v>55271.623000000036</v>
      </c>
      <c r="I258" s="15">
        <f t="shared" si="417"/>
        <v>-1124.1230000000432</v>
      </c>
      <c r="J258" s="33">
        <f t="shared" si="418"/>
        <v>-2.0338157973035072E-2</v>
      </c>
      <c r="K258" s="15">
        <f t="shared" si="419"/>
        <v>54147.499999999993</v>
      </c>
      <c r="L258" s="15">
        <f t="shared" si="420"/>
        <v>-1115.0000000000073</v>
      </c>
      <c r="M258" s="15">
        <f t="shared" si="421"/>
        <v>5</v>
      </c>
      <c r="N258" s="15">
        <f t="shared" si="422"/>
        <v>0</v>
      </c>
      <c r="O258" s="64"/>
      <c r="P258" s="17">
        <f t="shared" si="423"/>
        <v>-0.18580545454546105</v>
      </c>
      <c r="Q258" s="15">
        <f t="shared" si="424"/>
        <v>-4480</v>
      </c>
      <c r="R258" s="35"/>
      <c r="S258" s="35">
        <f t="shared" si="425"/>
        <v>55643.861999999695</v>
      </c>
      <c r="T258" s="35">
        <f t="shared" si="426"/>
        <v>6217.1912849161672</v>
      </c>
      <c r="U258" s="35">
        <f t="shared" si="427"/>
        <v>12267.191284916167</v>
      </c>
      <c r="V258" s="15">
        <f t="shared" si="428"/>
        <v>110915.48499999972</v>
      </c>
      <c r="W258" s="17">
        <f t="shared" si="429"/>
        <v>9.0416365428639125</v>
      </c>
      <c r="X258" s="17">
        <f t="shared" si="430"/>
        <v>-9.416891168154784E-2</v>
      </c>
      <c r="Y258" s="17">
        <f t="shared" si="431"/>
        <v>-9.1636542863913206E-2</v>
      </c>
      <c r="Z258" s="134">
        <f t="shared" si="432"/>
        <v>0.49318542928723436</v>
      </c>
      <c r="AA258" s="15">
        <f>SUM(L$2:L258)-SUM(AB$2:AB258)</f>
        <v>31651.283000000156</v>
      </c>
      <c r="AB258" s="64"/>
      <c r="AC258" s="145">
        <f t="shared" si="433"/>
        <v>-125.53753502793781</v>
      </c>
      <c r="AD258" s="145">
        <f t="shared" si="434"/>
        <v>-6175.5375350279382</v>
      </c>
    </row>
    <row r="259" spans="1:30" x14ac:dyDescent="0.25">
      <c r="A259" s="148">
        <v>43000</v>
      </c>
      <c r="B259" s="100" t="s">
        <v>454</v>
      </c>
      <c r="C259" s="104" t="s">
        <v>63</v>
      </c>
      <c r="D259" s="104">
        <v>500</v>
      </c>
      <c r="E259" s="143">
        <v>8.85</v>
      </c>
      <c r="F259" s="16">
        <f t="shared" si="414"/>
        <v>6550</v>
      </c>
      <c r="G259" s="17">
        <f t="shared" si="415"/>
        <v>9.1147516030534401</v>
      </c>
      <c r="H259" s="15">
        <f t="shared" si="416"/>
        <v>59701.623000000036</v>
      </c>
      <c r="I259" s="15">
        <f t="shared" si="417"/>
        <v>-1734.123000000036</v>
      </c>
      <c r="J259" s="33">
        <f t="shared" si="418"/>
        <v>-2.9046496776143491E-2</v>
      </c>
      <c r="K259" s="15">
        <f t="shared" si="419"/>
        <v>57967.5</v>
      </c>
      <c r="L259" s="15">
        <f t="shared" si="420"/>
        <v>-609.99999999999272</v>
      </c>
      <c r="M259" s="15">
        <f t="shared" si="421"/>
        <v>5</v>
      </c>
      <c r="N259" s="15">
        <f t="shared" si="422"/>
        <v>0</v>
      </c>
      <c r="O259" s="64"/>
      <c r="P259" s="17">
        <f t="shared" si="423"/>
        <v>-0.26475160305344048</v>
      </c>
      <c r="Q259" s="15">
        <f t="shared" si="424"/>
        <v>-4430</v>
      </c>
      <c r="R259" s="35"/>
      <c r="S259" s="35">
        <f t="shared" si="425"/>
        <v>51213.861999999695</v>
      </c>
      <c r="T259" s="35">
        <f t="shared" si="426"/>
        <v>5786.8770621468584</v>
      </c>
      <c r="U259" s="35">
        <f t="shared" si="427"/>
        <v>12336.877062146857</v>
      </c>
      <c r="V259" s="15">
        <f t="shared" si="428"/>
        <v>110915.48499999972</v>
      </c>
      <c r="W259" s="17">
        <f t="shared" si="429"/>
        <v>8.9905641793514199</v>
      </c>
      <c r="X259" s="17">
        <f t="shared" si="430"/>
        <v>-0.12418742370202018</v>
      </c>
      <c r="Y259" s="17">
        <f t="shared" si="431"/>
        <v>-0.14056417935142029</v>
      </c>
      <c r="Z259" s="134">
        <f t="shared" si="432"/>
        <v>0.53092852972469939</v>
      </c>
      <c r="AA259" s="15">
        <f>SUM(L$2:L259)-SUM(AB$2:AB259)</f>
        <v>31041.283000000163</v>
      </c>
      <c r="AB259" s="64"/>
      <c r="AC259" s="145">
        <f t="shared" si="433"/>
        <v>-195.84812864407186</v>
      </c>
      <c r="AD259" s="145">
        <f t="shared" si="434"/>
        <v>-6745.8481286440719</v>
      </c>
    </row>
    <row r="260" spans="1:30" x14ac:dyDescent="0.25">
      <c r="A260" s="148">
        <v>43003</v>
      </c>
      <c r="B260" s="100" t="s">
        <v>455</v>
      </c>
      <c r="C260" s="104" t="s">
        <v>63</v>
      </c>
      <c r="D260" s="104">
        <v>500</v>
      </c>
      <c r="E260" s="143">
        <v>8.82</v>
      </c>
      <c r="F260" s="16">
        <f t="shared" si="414"/>
        <v>7050</v>
      </c>
      <c r="G260" s="17">
        <f t="shared" si="415"/>
        <v>9.0945564539007151</v>
      </c>
      <c r="H260" s="15">
        <f t="shared" si="416"/>
        <v>64116.623000000036</v>
      </c>
      <c r="I260" s="15">
        <f t="shared" si="417"/>
        <v>-1935.623000000036</v>
      </c>
      <c r="J260" s="33">
        <f t="shared" si="418"/>
        <v>-3.0189097763306066E-2</v>
      </c>
      <c r="K260" s="15">
        <f t="shared" si="419"/>
        <v>62181</v>
      </c>
      <c r="L260" s="15">
        <f t="shared" si="420"/>
        <v>-201.5</v>
      </c>
      <c r="M260" s="15">
        <f t="shared" si="421"/>
        <v>5</v>
      </c>
      <c r="N260" s="15">
        <f t="shared" si="422"/>
        <v>0</v>
      </c>
      <c r="O260" s="64"/>
      <c r="P260" s="17">
        <f t="shared" si="423"/>
        <v>-0.27455645390071481</v>
      </c>
      <c r="Q260" s="15">
        <f t="shared" si="424"/>
        <v>-4415</v>
      </c>
      <c r="R260" s="35"/>
      <c r="S260" s="35">
        <f t="shared" si="425"/>
        <v>46798.861999999695</v>
      </c>
      <c r="T260" s="35">
        <f t="shared" si="426"/>
        <v>5305.9934240362463</v>
      </c>
      <c r="U260" s="35">
        <f t="shared" si="427"/>
        <v>12355.993424036245</v>
      </c>
      <c r="V260" s="15">
        <f t="shared" si="428"/>
        <v>110915.48499999972</v>
      </c>
      <c r="W260" s="17">
        <f t="shared" si="429"/>
        <v>8.9766545832109834</v>
      </c>
      <c r="X260" s="17">
        <f t="shared" si="430"/>
        <v>-0.11790187068973168</v>
      </c>
      <c r="Y260" s="17">
        <f t="shared" si="431"/>
        <v>-0.15665458321098313</v>
      </c>
      <c r="Z260" s="134">
        <f t="shared" si="432"/>
        <v>0.57057330463494416</v>
      </c>
      <c r="AA260" s="15">
        <f>SUM(L$2:L260)-SUM(AB$2:AB260)</f>
        <v>30839.783000000163</v>
      </c>
      <c r="AB260" s="64"/>
      <c r="AC260" s="145">
        <f t="shared" si="433"/>
        <v>-219.34866082766848</v>
      </c>
      <c r="AD260" s="145">
        <f t="shared" si="434"/>
        <v>-7269.3486608276689</v>
      </c>
    </row>
    <row r="261" spans="1:30" x14ac:dyDescent="0.25">
      <c r="A261" s="148">
        <v>43003</v>
      </c>
      <c r="B261" s="100" t="s">
        <v>274</v>
      </c>
      <c r="C261" s="104" t="s">
        <v>63</v>
      </c>
      <c r="D261" s="104">
        <v>500</v>
      </c>
      <c r="E261" s="143">
        <v>8.76</v>
      </c>
      <c r="F261" s="16">
        <f t="shared" si="414"/>
        <v>7550</v>
      </c>
      <c r="G261" s="17">
        <f t="shared" si="415"/>
        <v>9.0730626490066264</v>
      </c>
      <c r="H261" s="15">
        <f t="shared" si="416"/>
        <v>68501.623000000036</v>
      </c>
      <c r="I261" s="15">
        <f t="shared" si="417"/>
        <v>-2363.623000000036</v>
      </c>
      <c r="J261" s="33">
        <f t="shared" si="418"/>
        <v>-3.4504627722470607E-2</v>
      </c>
      <c r="K261" s="15">
        <f t="shared" si="419"/>
        <v>66138</v>
      </c>
      <c r="L261" s="15">
        <f t="shared" si="420"/>
        <v>-428</v>
      </c>
      <c r="M261" s="15">
        <f t="shared" si="421"/>
        <v>5</v>
      </c>
      <c r="N261" s="15">
        <f t="shared" si="422"/>
        <v>0</v>
      </c>
      <c r="O261" s="64"/>
      <c r="P261" s="17">
        <f t="shared" si="423"/>
        <v>-0.31306264900662661</v>
      </c>
      <c r="Q261" s="15">
        <f t="shared" si="424"/>
        <v>-4385</v>
      </c>
      <c r="R261" s="35"/>
      <c r="S261" s="35">
        <f t="shared" si="425"/>
        <v>42413.861999999695</v>
      </c>
      <c r="T261" s="35">
        <f t="shared" si="426"/>
        <v>4841.7650684931159</v>
      </c>
      <c r="U261" s="35">
        <f t="shared" si="427"/>
        <v>12391.765068493116</v>
      </c>
      <c r="V261" s="15">
        <f t="shared" si="428"/>
        <v>110915.48499999972</v>
      </c>
      <c r="W261" s="17">
        <f t="shared" si="429"/>
        <v>8.9507414308563433</v>
      </c>
      <c r="X261" s="17">
        <f t="shared" si="430"/>
        <v>-0.12232121815028307</v>
      </c>
      <c r="Y261" s="17">
        <f t="shared" si="431"/>
        <v>-0.19074143085634354</v>
      </c>
      <c r="Z261" s="134">
        <f t="shared" si="432"/>
        <v>0.60927559215889071</v>
      </c>
      <c r="AA261" s="15">
        <f>SUM(L$2:L261)-SUM(AB$2:AB261)</f>
        <v>30411.783000000163</v>
      </c>
      <c r="AB261" s="64"/>
      <c r="AC261" s="145">
        <f t="shared" si="433"/>
        <v>-269.6850671803694</v>
      </c>
      <c r="AD261" s="145">
        <f t="shared" si="434"/>
        <v>-7819.6850671803695</v>
      </c>
    </row>
    <row r="262" spans="1:30" x14ac:dyDescent="0.25">
      <c r="A262" s="148">
        <v>43005</v>
      </c>
      <c r="B262" s="100"/>
      <c r="C262" s="104" t="s">
        <v>69</v>
      </c>
      <c r="D262" s="104">
        <v>400</v>
      </c>
      <c r="E262" s="143">
        <v>8.84</v>
      </c>
      <c r="F262" s="16">
        <f t="shared" ref="F262:F270" si="435">IF(C262="买",F261+D262,F261-D262)</f>
        <v>7150</v>
      </c>
      <c r="G262" s="17">
        <f t="shared" si="415"/>
        <v>9.0872949650349693</v>
      </c>
      <c r="H262" s="15">
        <f t="shared" si="416"/>
        <v>64974.159000000036</v>
      </c>
      <c r="I262" s="15">
        <f t="shared" si="417"/>
        <v>-1768.159000000036</v>
      </c>
      <c r="J262" s="33">
        <f t="shared" si="418"/>
        <v>-2.7213264891970828E-2</v>
      </c>
      <c r="K262" s="15">
        <f t="shared" si="419"/>
        <v>63206</v>
      </c>
      <c r="L262" s="15">
        <f t="shared" si="420"/>
        <v>595.46399999999994</v>
      </c>
      <c r="M262" s="15">
        <f t="shared" si="421"/>
        <v>5</v>
      </c>
      <c r="N262" s="15">
        <f t="shared" si="422"/>
        <v>3.536</v>
      </c>
      <c r="O262" s="64"/>
      <c r="P262" s="17">
        <f t="shared" si="423"/>
        <v>-0.24729496503496939</v>
      </c>
      <c r="Q262" s="15">
        <f t="shared" si="424"/>
        <v>3527.4639999999999</v>
      </c>
      <c r="R262" s="35"/>
      <c r="S262" s="35">
        <f t="shared" si="425"/>
        <v>45941.325999999695</v>
      </c>
      <c r="T262" s="35">
        <f t="shared" si="426"/>
        <v>5196.9825791854864</v>
      </c>
      <c r="U262" s="35">
        <f t="shared" si="427"/>
        <v>12346.982579185486</v>
      </c>
      <c r="V262" s="15">
        <f t="shared" si="428"/>
        <v>110915.48499999972</v>
      </c>
      <c r="W262" s="17">
        <f t="shared" si="429"/>
        <v>8.9832057580595279</v>
      </c>
      <c r="X262" s="17">
        <f t="shared" si="430"/>
        <v>-0.10408920697544133</v>
      </c>
      <c r="Y262" s="17">
        <f t="shared" si="431"/>
        <v>-0.14320575805952807</v>
      </c>
      <c r="Z262" s="134">
        <f t="shared" si="432"/>
        <v>0.57908885463671533</v>
      </c>
      <c r="AA262" s="15">
        <f>SUM(L$2:L262)-SUM(AB$2:AB262)</f>
        <v>31007.247000000163</v>
      </c>
      <c r="AB262" s="64"/>
      <c r="AC262" s="145">
        <f t="shared" si="433"/>
        <v>-199.91797743213078</v>
      </c>
      <c r="AD262" s="145">
        <f t="shared" si="434"/>
        <v>-7349.917977432131</v>
      </c>
    </row>
    <row r="263" spans="1:30" x14ac:dyDescent="0.25">
      <c r="A263" s="148">
        <v>43007</v>
      </c>
      <c r="B263" s="100"/>
      <c r="C263" s="104" t="s">
        <v>69</v>
      </c>
      <c r="D263" s="104">
        <v>400</v>
      </c>
      <c r="E263" s="143">
        <v>8.94</v>
      </c>
      <c r="F263" s="16">
        <f t="shared" si="435"/>
        <v>6750</v>
      </c>
      <c r="G263" s="17">
        <f t="shared" si="415"/>
        <v>9.09729407407408</v>
      </c>
      <c r="H263" s="15">
        <f t="shared" si="416"/>
        <v>61406.735000000037</v>
      </c>
      <c r="I263" s="15">
        <f t="shared" si="417"/>
        <v>-1061.735000000037</v>
      </c>
      <c r="J263" s="33">
        <f t="shared" si="418"/>
        <v>-1.7290204405103812E-2</v>
      </c>
      <c r="K263" s="15">
        <f t="shared" si="419"/>
        <v>60345</v>
      </c>
      <c r="L263" s="15">
        <f t="shared" si="420"/>
        <v>706.42399999999907</v>
      </c>
      <c r="M263" s="15">
        <f t="shared" si="421"/>
        <v>5</v>
      </c>
      <c r="N263" s="15">
        <f t="shared" si="422"/>
        <v>3.5760000000000001</v>
      </c>
      <c r="O263" s="64"/>
      <c r="P263" s="17">
        <f t="shared" si="423"/>
        <v>-0.15729407407408047</v>
      </c>
      <c r="Q263" s="15">
        <f t="shared" si="424"/>
        <v>3567.4239999999991</v>
      </c>
      <c r="R263" s="35"/>
      <c r="S263" s="35">
        <f t="shared" si="425"/>
        <v>49508.749999999694</v>
      </c>
      <c r="T263" s="35">
        <f t="shared" si="426"/>
        <v>5537.8914988813976</v>
      </c>
      <c r="U263" s="35">
        <f t="shared" si="427"/>
        <v>12287.891498881398</v>
      </c>
      <c r="V263" s="15">
        <f t="shared" si="428"/>
        <v>110915.48499999972</v>
      </c>
      <c r="W263" s="17">
        <f t="shared" si="429"/>
        <v>9.0264049784372435</v>
      </c>
      <c r="X263" s="17">
        <f t="shared" si="430"/>
        <v>-7.088909563683643E-2</v>
      </c>
      <c r="Y263" s="17">
        <f t="shared" si="431"/>
        <v>-8.640497843724404E-2</v>
      </c>
      <c r="Z263" s="134">
        <f t="shared" si="432"/>
        <v>0.54932125667080245</v>
      </c>
      <c r="AA263" s="15">
        <f>SUM(L$2:L263)-SUM(AB$2:AB263)</f>
        <v>31713.671000000162</v>
      </c>
      <c r="AB263" s="64"/>
      <c r="AC263" s="145">
        <f t="shared" si="433"/>
        <v>-118.70292309843816</v>
      </c>
      <c r="AD263" s="145">
        <f t="shared" si="434"/>
        <v>-6868.7029230984381</v>
      </c>
    </row>
    <row r="264" spans="1:30" x14ac:dyDescent="0.25">
      <c r="A264" s="148">
        <v>43003</v>
      </c>
      <c r="B264" s="100" t="s">
        <v>456</v>
      </c>
      <c r="C264" s="104" t="s">
        <v>63</v>
      </c>
      <c r="D264" s="104">
        <v>500</v>
      </c>
      <c r="E264" s="143">
        <v>8.7200000000000006</v>
      </c>
      <c r="F264" s="16">
        <f t="shared" si="435"/>
        <v>7250</v>
      </c>
      <c r="G264" s="17">
        <f t="shared" si="415"/>
        <v>9.0719634482758682</v>
      </c>
      <c r="H264" s="15">
        <f t="shared" si="416"/>
        <v>65771.735000000044</v>
      </c>
      <c r="I264" s="15">
        <f t="shared" si="417"/>
        <v>-2551.735000000037</v>
      </c>
      <c r="J264" s="33">
        <f t="shared" si="418"/>
        <v>-3.8796832712411161E-2</v>
      </c>
      <c r="K264" s="15">
        <f t="shared" si="419"/>
        <v>63220.000000000007</v>
      </c>
      <c r="L264" s="15">
        <f t="shared" si="420"/>
        <v>-1490</v>
      </c>
      <c r="M264" s="15">
        <f t="shared" si="421"/>
        <v>5</v>
      </c>
      <c r="N264" s="15">
        <f t="shared" si="422"/>
        <v>0</v>
      </c>
      <c r="O264" s="64"/>
      <c r="P264" s="17">
        <f t="shared" si="423"/>
        <v>-0.35196344827586756</v>
      </c>
      <c r="Q264" s="15">
        <f t="shared" si="424"/>
        <v>-4365.0000000000073</v>
      </c>
      <c r="R264" s="35"/>
      <c r="S264" s="35">
        <f t="shared" si="425"/>
        <v>45143.749999999687</v>
      </c>
      <c r="T264" s="35">
        <f t="shared" si="426"/>
        <v>5177.0355504586796</v>
      </c>
      <c r="U264" s="35">
        <f t="shared" si="427"/>
        <v>12427.035550458681</v>
      </c>
      <c r="V264" s="15">
        <f t="shared" si="428"/>
        <v>110915.48499999972</v>
      </c>
      <c r="W264" s="17">
        <f t="shared" si="429"/>
        <v>8.92533738634922</v>
      </c>
      <c r="X264" s="17">
        <f t="shared" si="430"/>
        <v>-0.14662606192664818</v>
      </c>
      <c r="Y264" s="17">
        <f t="shared" si="431"/>
        <v>-0.20533738634921939</v>
      </c>
      <c r="Z264" s="134">
        <f t="shared" si="432"/>
        <v>0.58340542847585264</v>
      </c>
      <c r="AA264" s="15">
        <f>SUM(L$2:L264)-SUM(AB$2:AB264)</f>
        <v>30223.671000000162</v>
      </c>
      <c r="AB264" s="64"/>
      <c r="AC264" s="145">
        <f t="shared" si="433"/>
        <v>-292.48384547018776</v>
      </c>
      <c r="AD264" s="145">
        <f t="shared" si="434"/>
        <v>-7542.4838454701876</v>
      </c>
    </row>
    <row r="265" spans="1:30" x14ac:dyDescent="0.25">
      <c r="A265" s="148">
        <v>43017</v>
      </c>
      <c r="B265" s="100"/>
      <c r="C265" s="104" t="s">
        <v>69</v>
      </c>
      <c r="D265" s="104">
        <v>400</v>
      </c>
      <c r="E265" s="143">
        <v>9.07</v>
      </c>
      <c r="F265" s="16">
        <f t="shared" si="435"/>
        <v>6850</v>
      </c>
      <c r="G265" s="17">
        <f t="shared" si="415"/>
        <v>9.0733376642335823</v>
      </c>
      <c r="H265" s="15">
        <f t="shared" si="416"/>
        <v>62152.363000000041</v>
      </c>
      <c r="I265" s="15">
        <f t="shared" si="417"/>
        <v>-22.863000000041211</v>
      </c>
      <c r="J265" s="33">
        <f t="shared" si="418"/>
        <v>-3.6785407499369092E-4</v>
      </c>
      <c r="K265" s="15">
        <f t="shared" si="419"/>
        <v>62129.5</v>
      </c>
      <c r="L265" s="15">
        <f t="shared" si="420"/>
        <v>2528.8719999999958</v>
      </c>
      <c r="M265" s="15">
        <f t="shared" si="421"/>
        <v>5</v>
      </c>
      <c r="N265" s="15">
        <f t="shared" si="422"/>
        <v>3.6280000000000001</v>
      </c>
      <c r="O265" s="64"/>
      <c r="P265" s="17">
        <f t="shared" si="423"/>
        <v>-3.3376642335820605E-3</v>
      </c>
      <c r="Q265" s="15">
        <f t="shared" si="424"/>
        <v>3619.372000000003</v>
      </c>
      <c r="R265" s="35"/>
      <c r="S265" s="35">
        <f t="shared" si="425"/>
        <v>48763.12199999969</v>
      </c>
      <c r="T265" s="35">
        <f t="shared" si="426"/>
        <v>5376.3089305402082</v>
      </c>
      <c r="U265" s="35">
        <f t="shared" si="427"/>
        <v>12226.308930540208</v>
      </c>
      <c r="V265" s="15">
        <f t="shared" si="428"/>
        <v>110915.48499999972</v>
      </c>
      <c r="W265" s="17">
        <f t="shared" si="429"/>
        <v>9.0718699838299468</v>
      </c>
      <c r="X265" s="17">
        <f t="shared" si="430"/>
        <v>-1.4676804036355406E-3</v>
      </c>
      <c r="Y265" s="17">
        <f t="shared" si="431"/>
        <v>-1.8699838299465199E-3</v>
      </c>
      <c r="Z265" s="134">
        <f t="shared" si="432"/>
        <v>0.5602672105633878</v>
      </c>
      <c r="AA265" s="15">
        <f>SUM(L$2:L265)-SUM(AB$2:AB265)</f>
        <v>32752.543000000158</v>
      </c>
      <c r="AB265" s="64"/>
      <c r="AC265" s="145">
        <f t="shared" si="433"/>
        <v>-2.5194673098171103</v>
      </c>
      <c r="AD265" s="145">
        <f t="shared" si="434"/>
        <v>-6852.5194673098167</v>
      </c>
    </row>
    <row r="266" spans="1:30" x14ac:dyDescent="0.25">
      <c r="A266" s="148">
        <v>43017</v>
      </c>
      <c r="B266" s="100"/>
      <c r="C266" s="104" t="s">
        <v>69</v>
      </c>
      <c r="D266" s="104">
        <v>400</v>
      </c>
      <c r="E266" s="143">
        <v>9.09</v>
      </c>
      <c r="F266" s="16">
        <f t="shared" si="435"/>
        <v>6450</v>
      </c>
      <c r="G266" s="17">
        <f t="shared" si="415"/>
        <v>9.073643255813959</v>
      </c>
      <c r="H266" s="15">
        <f t="shared" si="416"/>
        <v>58524.99900000004</v>
      </c>
      <c r="I266" s="15">
        <f t="shared" si="417"/>
        <v>105.50099999996019</v>
      </c>
      <c r="J266" s="33">
        <f t="shared" si="418"/>
        <v>1.8026655583533334E-3</v>
      </c>
      <c r="K266" s="15">
        <f t="shared" si="419"/>
        <v>58630.5</v>
      </c>
      <c r="L266" s="15">
        <f t="shared" si="420"/>
        <v>128.3640000000014</v>
      </c>
      <c r="M266" s="15">
        <f t="shared" ref="M266:M278" si="436">IF(D266*E266*2.5/10000&gt;5,D266*E266*2.5/10000,5)</f>
        <v>5</v>
      </c>
      <c r="N266" s="15">
        <f t="shared" si="422"/>
        <v>3.6360000000000001</v>
      </c>
      <c r="O266" s="64"/>
      <c r="P266" s="17">
        <f t="shared" si="423"/>
        <v>1.6356744186040828E-2</v>
      </c>
      <c r="Q266" s="15">
        <f t="shared" si="424"/>
        <v>3627.3640000000014</v>
      </c>
      <c r="R266" s="35"/>
      <c r="S266" s="35">
        <f t="shared" si="425"/>
        <v>52390.485999999692</v>
      </c>
      <c r="T266" s="35">
        <f t="shared" si="426"/>
        <v>5763.5298129812645</v>
      </c>
      <c r="U266" s="35">
        <f t="shared" si="427"/>
        <v>12213.529812981265</v>
      </c>
      <c r="V266" s="15">
        <f t="shared" si="428"/>
        <v>110915.48499999972</v>
      </c>
      <c r="W266" s="17">
        <f t="shared" si="429"/>
        <v>9.0813619566484505</v>
      </c>
      <c r="X266" s="17">
        <f t="shared" si="430"/>
        <v>7.7187008344914432E-3</v>
      </c>
      <c r="Y266" s="17">
        <f t="shared" si="431"/>
        <v>8.6380433515493849E-3</v>
      </c>
      <c r="Z266" s="134">
        <f t="shared" si="432"/>
        <v>0.5281028579587661</v>
      </c>
      <c r="AA266" s="15">
        <f>SUM(L$2:L266)-SUM(AB$2:AB266)</f>
        <v>32880.907000000159</v>
      </c>
      <c r="AB266" s="64"/>
      <c r="AC266" s="145">
        <f t="shared" si="433"/>
        <v>11.6004674917448</v>
      </c>
      <c r="AD266" s="145">
        <f t="shared" si="434"/>
        <v>-6438.3995325082551</v>
      </c>
    </row>
    <row r="267" spans="1:30" x14ac:dyDescent="0.25">
      <c r="A267" s="148">
        <v>43018</v>
      </c>
      <c r="B267" s="100" t="s">
        <v>174</v>
      </c>
      <c r="C267" s="104" t="s">
        <v>69</v>
      </c>
      <c r="D267" s="104">
        <v>400</v>
      </c>
      <c r="E267" s="143">
        <v>9.1</v>
      </c>
      <c r="F267" s="16">
        <f t="shared" si="435"/>
        <v>6050</v>
      </c>
      <c r="G267" s="17">
        <f t="shared" si="415"/>
        <v>9.0733287603305843</v>
      </c>
      <c r="H267" s="15">
        <f t="shared" si="416"/>
        <v>54893.639000000039</v>
      </c>
      <c r="I267" s="15">
        <f t="shared" si="417"/>
        <v>161.36099999996077</v>
      </c>
      <c r="J267" s="33">
        <f t="shared" si="418"/>
        <v>2.9395209160748581E-3</v>
      </c>
      <c r="K267" s="15">
        <f t="shared" si="419"/>
        <v>55055</v>
      </c>
      <c r="L267" s="15">
        <f t="shared" si="420"/>
        <v>55.860000000000582</v>
      </c>
      <c r="M267" s="15">
        <f t="shared" si="436"/>
        <v>5</v>
      </c>
      <c r="N267" s="15">
        <f t="shared" si="422"/>
        <v>3.64</v>
      </c>
      <c r="O267" s="64"/>
      <c r="P267" s="17">
        <f t="shared" si="423"/>
        <v>2.6671239669415314E-2</v>
      </c>
      <c r="Q267" s="15">
        <f t="shared" si="424"/>
        <v>3631.3600000000006</v>
      </c>
      <c r="R267" s="35"/>
      <c r="S267" s="35">
        <f t="shared" si="425"/>
        <v>56021.845999999692</v>
      </c>
      <c r="T267" s="35">
        <f t="shared" si="426"/>
        <v>6156.2468131867799</v>
      </c>
      <c r="U267" s="35">
        <f t="shared" si="427"/>
        <v>12206.246813186779</v>
      </c>
      <c r="V267" s="15">
        <f t="shared" si="428"/>
        <v>110915.48499999972</v>
      </c>
      <c r="W267" s="17">
        <f t="shared" si="429"/>
        <v>9.086780457378131</v>
      </c>
      <c r="X267" s="17">
        <f t="shared" si="430"/>
        <v>1.3451697047546674E-2</v>
      </c>
      <c r="Y267" s="17">
        <f t="shared" si="431"/>
        <v>1.3219542621868641E-2</v>
      </c>
      <c r="Z267" s="134">
        <f t="shared" si="432"/>
        <v>0.49564785085813612</v>
      </c>
      <c r="AA267" s="15">
        <f>SUM(L$2:L267)-SUM(AB$2:AB267)</f>
        <v>32936.76700000016</v>
      </c>
      <c r="AB267" s="64"/>
      <c r="AC267" s="145">
        <f t="shared" si="433"/>
        <v>17.723112032962725</v>
      </c>
      <c r="AD267" s="145">
        <f t="shared" si="434"/>
        <v>-6032.2768879670375</v>
      </c>
    </row>
    <row r="268" spans="1:30" x14ac:dyDescent="0.25">
      <c r="A268" s="148">
        <v>43019</v>
      </c>
      <c r="B268" s="100" t="s">
        <v>178</v>
      </c>
      <c r="C268" s="104" t="s">
        <v>69</v>
      </c>
      <c r="D268" s="104">
        <v>400</v>
      </c>
      <c r="E268" s="143">
        <v>9.14</v>
      </c>
      <c r="F268" s="16">
        <f t="shared" si="435"/>
        <v>5650</v>
      </c>
      <c r="G268" s="17">
        <f t="shared" si="415"/>
        <v>9.0701407079646099</v>
      </c>
      <c r="H268" s="15">
        <f t="shared" si="416"/>
        <v>51246.295000000042</v>
      </c>
      <c r="I268" s="15">
        <f t="shared" si="417"/>
        <v>394.70499999995809</v>
      </c>
      <c r="J268" s="33">
        <f t="shared" si="418"/>
        <v>7.70211778236762E-3</v>
      </c>
      <c r="K268" s="15">
        <f t="shared" si="419"/>
        <v>51641</v>
      </c>
      <c r="L268" s="15">
        <f t="shared" si="420"/>
        <v>233.34399999999732</v>
      </c>
      <c r="M268" s="15">
        <f t="shared" si="436"/>
        <v>5</v>
      </c>
      <c r="N268" s="15">
        <f t="shared" si="422"/>
        <v>3.6560000000000001</v>
      </c>
      <c r="O268" s="64"/>
      <c r="P268" s="17">
        <f t="shared" si="423"/>
        <v>6.9859292035390652E-2</v>
      </c>
      <c r="Q268" s="15">
        <f t="shared" si="424"/>
        <v>3647.3439999999973</v>
      </c>
      <c r="R268" s="35"/>
      <c r="S268" s="35">
        <f t="shared" si="425"/>
        <v>59669.189999999689</v>
      </c>
      <c r="T268" s="35">
        <f t="shared" si="426"/>
        <v>6528.3577680524822</v>
      </c>
      <c r="U268" s="35">
        <f t="shared" si="427"/>
        <v>12178.357768052483</v>
      </c>
      <c r="V268" s="15">
        <f t="shared" si="428"/>
        <v>110915.48499999972</v>
      </c>
      <c r="W268" s="17">
        <f t="shared" si="429"/>
        <v>9.1075896366720812</v>
      </c>
      <c r="X268" s="17">
        <f t="shared" si="430"/>
        <v>3.7448928707471296E-2</v>
      </c>
      <c r="Y268" s="17">
        <f t="shared" si="431"/>
        <v>3.2410363327919356E-2</v>
      </c>
      <c r="Z268" s="134">
        <f t="shared" si="432"/>
        <v>0.46393775807947268</v>
      </c>
      <c r="AA268" s="15">
        <f>SUM(L$2:L268)-SUM(AB$2:AB268)</f>
        <v>33170.111000000157</v>
      </c>
      <c r="AB268" s="64"/>
      <c r="AC268" s="145">
        <f t="shared" si="433"/>
        <v>43.162762308529331</v>
      </c>
      <c r="AD268" s="145">
        <f t="shared" si="434"/>
        <v>-5606.8372376914704</v>
      </c>
    </row>
    <row r="269" spans="1:30" x14ac:dyDescent="0.25">
      <c r="A269" s="148">
        <v>43024</v>
      </c>
      <c r="B269" s="100" t="s">
        <v>223</v>
      </c>
      <c r="C269" s="104" t="s">
        <v>69</v>
      </c>
      <c r="D269" s="104">
        <v>400</v>
      </c>
      <c r="E269" s="143">
        <v>9.19</v>
      </c>
      <c r="F269" s="16">
        <f t="shared" si="435"/>
        <v>5250</v>
      </c>
      <c r="G269" s="17">
        <f t="shared" si="415"/>
        <v>9.0626611428571504</v>
      </c>
      <c r="H269" s="15">
        <f t="shared" si="416"/>
        <v>47578.971000000041</v>
      </c>
      <c r="I269" s="15">
        <f t="shared" si="417"/>
        <v>668.52899999995861</v>
      </c>
      <c r="J269" s="33">
        <f t="shared" si="418"/>
        <v>1.4050934392842527E-2</v>
      </c>
      <c r="K269" s="15">
        <f t="shared" si="419"/>
        <v>48247.5</v>
      </c>
      <c r="L269" s="15">
        <f t="shared" si="420"/>
        <v>273.82400000000052</v>
      </c>
      <c r="M269" s="15">
        <f t="shared" si="436"/>
        <v>5</v>
      </c>
      <c r="N269" s="15">
        <f t="shared" si="422"/>
        <v>3.6760000000000002</v>
      </c>
      <c r="O269" s="64"/>
      <c r="P269" s="17">
        <f t="shared" si="423"/>
        <v>0.12733885714284909</v>
      </c>
      <c r="Q269" s="15">
        <f t="shared" si="424"/>
        <v>3667.3240000000005</v>
      </c>
      <c r="R269" s="35"/>
      <c r="S269" s="35">
        <f t="shared" si="425"/>
        <v>63336.51399999969</v>
      </c>
      <c r="T269" s="35">
        <f t="shared" si="426"/>
        <v>6891.8948857453424</v>
      </c>
      <c r="U269" s="35">
        <f t="shared" si="427"/>
        <v>12141.894885745343</v>
      </c>
      <c r="V269" s="15">
        <f t="shared" si="428"/>
        <v>110915.48499999972</v>
      </c>
      <c r="W269" s="17">
        <f t="shared" si="429"/>
        <v>9.1349403073992317</v>
      </c>
      <c r="X269" s="17">
        <f t="shared" si="430"/>
        <v>7.2279164542081276E-2</v>
      </c>
      <c r="Y269" s="17">
        <f t="shared" si="431"/>
        <v>5.5059692600767818E-2</v>
      </c>
      <c r="Z269" s="134">
        <f t="shared" si="432"/>
        <v>0.43238720557229754</v>
      </c>
      <c r="AA269" s="15">
        <f>SUM(L$2:L269)-SUM(AB$2:AB269)</f>
        <v>33443.935000000158</v>
      </c>
      <c r="AB269" s="64"/>
      <c r="AC269" s="145">
        <f t="shared" si="433"/>
        <v>72.708893960822479</v>
      </c>
      <c r="AD269" s="145">
        <f t="shared" si="434"/>
        <v>-5177.291106039178</v>
      </c>
    </row>
    <row r="270" spans="1:30" x14ac:dyDescent="0.25">
      <c r="A270" s="148">
        <v>43024</v>
      </c>
      <c r="B270" s="100" t="s">
        <v>284</v>
      </c>
      <c r="C270" s="104" t="s">
        <v>63</v>
      </c>
      <c r="D270" s="104">
        <v>500</v>
      </c>
      <c r="E270" s="143">
        <v>9.06</v>
      </c>
      <c r="F270" s="16">
        <f t="shared" si="435"/>
        <v>5750</v>
      </c>
      <c r="G270" s="17">
        <f t="shared" si="415"/>
        <v>9.0632993043478329</v>
      </c>
      <c r="H270" s="15">
        <f t="shared" si="416"/>
        <v>52113.971000000041</v>
      </c>
      <c r="I270" s="15">
        <f t="shared" si="417"/>
        <v>-18.971000000041386</v>
      </c>
      <c r="J270" s="33">
        <f t="shared" si="418"/>
        <v>-3.6402906238015278E-4</v>
      </c>
      <c r="K270" s="15">
        <f t="shared" si="419"/>
        <v>52095</v>
      </c>
      <c r="L270" s="15">
        <f t="shared" si="420"/>
        <v>-687.5</v>
      </c>
      <c r="M270" s="15">
        <f t="shared" si="436"/>
        <v>5</v>
      </c>
      <c r="N270" s="15">
        <f t="shared" si="422"/>
        <v>0</v>
      </c>
      <c r="O270" s="64"/>
      <c r="P270" s="17">
        <f t="shared" si="423"/>
        <v>-3.2993043478324324E-3</v>
      </c>
      <c r="Q270" s="15">
        <f t="shared" si="424"/>
        <v>-4535</v>
      </c>
      <c r="R270" s="35"/>
      <c r="S270" s="35">
        <f t="shared" si="425"/>
        <v>58801.51399999969</v>
      </c>
      <c r="T270" s="35">
        <f t="shared" si="426"/>
        <v>6490.233333333299</v>
      </c>
      <c r="U270" s="35">
        <f t="shared" si="427"/>
        <v>12240.233333333299</v>
      </c>
      <c r="V270" s="15">
        <f t="shared" si="428"/>
        <v>110915.48499999972</v>
      </c>
      <c r="W270" s="17">
        <f t="shared" si="429"/>
        <v>9.0615498887548469</v>
      </c>
      <c r="X270" s="17">
        <f t="shared" si="430"/>
        <v>-1.7494155929860256E-3</v>
      </c>
      <c r="Y270" s="17">
        <f t="shared" si="431"/>
        <v>-1.5498887548464069E-3</v>
      </c>
      <c r="Z270" s="134">
        <f t="shared" si="432"/>
        <v>0.46976228666664982</v>
      </c>
      <c r="AA270" s="15">
        <f>SUM(L$2:L270)-SUM(AB$2:AB270)</f>
        <v>32756.435000000158</v>
      </c>
      <c r="AB270" s="64"/>
      <c r="AC270" s="145">
        <f t="shared" si="433"/>
        <v>-2.0928823951480537</v>
      </c>
      <c r="AD270" s="145">
        <f t="shared" si="434"/>
        <v>-5752.0928823951481</v>
      </c>
    </row>
    <row r="271" spans="1:30" x14ac:dyDescent="0.25">
      <c r="A271" s="148">
        <v>43025</v>
      </c>
      <c r="B271" s="100" t="s">
        <v>457</v>
      </c>
      <c r="C271" s="104" t="s">
        <v>69</v>
      </c>
      <c r="D271" s="104">
        <v>400</v>
      </c>
      <c r="E271" s="143">
        <v>9.2200000000000006</v>
      </c>
      <c r="F271" s="16">
        <f t="shared" ref="F271:F278" si="437">IF(C271="买",F270+D271,F270-D271)</f>
        <v>5350</v>
      </c>
      <c r="G271" s="17">
        <f t="shared" ref="G271:G278" si="438">H271/F271</f>
        <v>9.0532072897196336</v>
      </c>
      <c r="H271" s="15">
        <f t="shared" ref="H271:H278" si="439">IF(C271="买",H270+D271*E271+M271+N271,H270+-1*D271*E271+M271+N271)+O270</f>
        <v>48434.659000000043</v>
      </c>
      <c r="I271" s="15">
        <f t="shared" ref="I271:I278" si="440">-H271+K271</f>
        <v>892.34099999995669</v>
      </c>
      <c r="J271" s="33">
        <f t="shared" ref="J271:J278" si="441">(E271-G271)/G271</f>
        <v>1.8423604468856956E-2</v>
      </c>
      <c r="K271" s="15">
        <f t="shared" ref="K271:K278" si="442">F271*E271</f>
        <v>49327</v>
      </c>
      <c r="L271" s="15">
        <f t="shared" ref="L271:L278" si="443">I271-I270</f>
        <v>911.31199999999808</v>
      </c>
      <c r="M271" s="15">
        <f t="shared" si="436"/>
        <v>5</v>
      </c>
      <c r="N271" s="15">
        <f t="shared" si="422"/>
        <v>3.6880000000000006</v>
      </c>
      <c r="O271" s="64"/>
      <c r="P271" s="17">
        <f t="shared" si="423"/>
        <v>0.16679271028036702</v>
      </c>
      <c r="Q271" s="15">
        <f t="shared" si="424"/>
        <v>3679.3119999999981</v>
      </c>
      <c r="R271" s="35"/>
      <c r="S271" s="35">
        <f t="shared" si="425"/>
        <v>62480.825999999688</v>
      </c>
      <c r="T271" s="35">
        <f t="shared" si="426"/>
        <v>6776.6622559652587</v>
      </c>
      <c r="U271" s="35">
        <f t="shared" si="427"/>
        <v>12126.662255965259</v>
      </c>
      <c r="V271" s="15">
        <f t="shared" si="428"/>
        <v>110915.48499999972</v>
      </c>
      <c r="W271" s="17">
        <f t="shared" si="429"/>
        <v>9.146414953994368</v>
      </c>
      <c r="X271" s="17">
        <f t="shared" si="430"/>
        <v>9.320766427473437E-2</v>
      </c>
      <c r="Y271" s="17">
        <f t="shared" si="431"/>
        <v>7.3585046005632648E-2</v>
      </c>
      <c r="Z271" s="134">
        <f t="shared" si="432"/>
        <v>0.44117663105264332</v>
      </c>
      <c r="AA271" s="15">
        <f>SUM(L$2:L271)-SUM(AB$2:AB271)</f>
        <v>33667.747000000156</v>
      </c>
      <c r="AB271" s="64"/>
      <c r="AC271" s="145">
        <f t="shared" si="433"/>
        <v>96.734797125808754</v>
      </c>
      <c r="AD271" s="145">
        <f t="shared" si="434"/>
        <v>-5253.2652028741913</v>
      </c>
    </row>
    <row r="272" spans="1:30" x14ac:dyDescent="0.25">
      <c r="A272" s="148">
        <v>43025</v>
      </c>
      <c r="B272" s="100"/>
      <c r="C272" s="104" t="s">
        <v>69</v>
      </c>
      <c r="D272" s="104">
        <v>400</v>
      </c>
      <c r="E272" s="143">
        <v>9.24</v>
      </c>
      <c r="F272" s="16">
        <f t="shared" si="437"/>
        <v>4950</v>
      </c>
      <c r="G272" s="17">
        <f t="shared" si="438"/>
        <v>9.0398696969697063</v>
      </c>
      <c r="H272" s="15">
        <f t="shared" si="439"/>
        <v>44747.355000000047</v>
      </c>
      <c r="I272" s="15">
        <f t="shared" si="440"/>
        <v>990.64499999995314</v>
      </c>
      <c r="J272" s="33">
        <f t="shared" si="441"/>
        <v>2.2138626964654195E-2</v>
      </c>
      <c r="K272" s="15">
        <f t="shared" si="442"/>
        <v>45738</v>
      </c>
      <c r="L272" s="15">
        <f t="shared" si="443"/>
        <v>98.303999999996449</v>
      </c>
      <c r="M272" s="15">
        <f t="shared" si="436"/>
        <v>5</v>
      </c>
      <c r="N272" s="15">
        <f t="shared" si="422"/>
        <v>3.6960000000000002</v>
      </c>
      <c r="O272" s="64"/>
      <c r="P272" s="17">
        <f t="shared" si="423"/>
        <v>0.20013030303029389</v>
      </c>
      <c r="Q272" s="15">
        <f t="shared" si="424"/>
        <v>3687.3039999999964</v>
      </c>
      <c r="R272" s="35"/>
      <c r="S272" s="35">
        <f t="shared" si="425"/>
        <v>66168.129999999685</v>
      </c>
      <c r="T272" s="35">
        <f t="shared" si="426"/>
        <v>7161.0530303029964</v>
      </c>
      <c r="U272" s="35">
        <f t="shared" si="427"/>
        <v>12111.053030302995</v>
      </c>
      <c r="V272" s="15">
        <f t="shared" si="428"/>
        <v>110915.48499999972</v>
      </c>
      <c r="W272" s="17">
        <f t="shared" si="429"/>
        <v>9.1582032315834745</v>
      </c>
      <c r="X272" s="17">
        <f t="shared" si="430"/>
        <v>0.11833353461376817</v>
      </c>
      <c r="Y272" s="17">
        <f t="shared" si="431"/>
        <v>8.1796768416525723E-2</v>
      </c>
      <c r="Z272" s="134">
        <f t="shared" si="432"/>
        <v>0.40871755640196056</v>
      </c>
      <c r="AA272" s="15">
        <f>SUM(L$2:L272)-SUM(AB$2:AB272)</f>
        <v>33766.051000000152</v>
      </c>
      <c r="AB272" s="64"/>
      <c r="AC272" s="145">
        <f t="shared" si="433"/>
        <v>107.15905600648844</v>
      </c>
      <c r="AD272" s="145">
        <f t="shared" si="434"/>
        <v>-4842.8409439935112</v>
      </c>
    </row>
    <row r="273" spans="1:30" x14ac:dyDescent="0.25">
      <c r="A273" s="148">
        <v>43026</v>
      </c>
      <c r="B273" s="100"/>
      <c r="C273" s="104" t="s">
        <v>63</v>
      </c>
      <c r="D273" s="104">
        <v>500</v>
      </c>
      <c r="E273" s="143">
        <v>9</v>
      </c>
      <c r="F273" s="16">
        <f t="shared" si="437"/>
        <v>5450</v>
      </c>
      <c r="G273" s="17">
        <f t="shared" si="438"/>
        <v>9.0371293577981735</v>
      </c>
      <c r="H273" s="15">
        <f t="shared" si="439"/>
        <v>49252.355000000047</v>
      </c>
      <c r="I273" s="15">
        <f t="shared" si="440"/>
        <v>-202.35500000004686</v>
      </c>
      <c r="J273" s="33">
        <f t="shared" si="441"/>
        <v>-4.1085345056098409E-3</v>
      </c>
      <c r="K273" s="15">
        <f t="shared" si="442"/>
        <v>49050</v>
      </c>
      <c r="L273" s="15">
        <f t="shared" si="443"/>
        <v>-1193</v>
      </c>
      <c r="M273" s="15">
        <f t="shared" si="436"/>
        <v>5</v>
      </c>
      <c r="N273" s="15">
        <f t="shared" si="422"/>
        <v>0</v>
      </c>
      <c r="O273" s="64"/>
      <c r="P273" s="17">
        <f t="shared" si="423"/>
        <v>-3.7129357798173501E-2</v>
      </c>
      <c r="Q273" s="15">
        <f t="shared" si="424"/>
        <v>-4505</v>
      </c>
      <c r="R273" s="35"/>
      <c r="S273" s="35">
        <f t="shared" si="425"/>
        <v>61663.129999999685</v>
      </c>
      <c r="T273" s="35">
        <f t="shared" si="426"/>
        <v>6851.4588888888538</v>
      </c>
      <c r="U273" s="35">
        <f t="shared" si="427"/>
        <v>12301.458888888854</v>
      </c>
      <c r="V273" s="15">
        <f t="shared" si="428"/>
        <v>110915.48499999972</v>
      </c>
      <c r="W273" s="17">
        <f t="shared" si="429"/>
        <v>9.0164496749391905</v>
      </c>
      <c r="X273" s="17">
        <f t="shared" si="430"/>
        <v>-2.0679682858983028E-2</v>
      </c>
      <c r="Y273" s="17">
        <f t="shared" si="431"/>
        <v>-1.6449674939190473E-2</v>
      </c>
      <c r="Z273" s="134">
        <f t="shared" si="432"/>
        <v>0.44303688279791331</v>
      </c>
      <c r="AA273" s="15">
        <f>SUM(L$2:L273)-SUM(AB$2:AB273)</f>
        <v>32573.051000000152</v>
      </c>
      <c r="AB273" s="64"/>
      <c r="AC273" s="145">
        <f t="shared" si="433"/>
        <v>-22.47264694444965</v>
      </c>
      <c r="AD273" s="145">
        <f t="shared" si="434"/>
        <v>-5472.4726469444495</v>
      </c>
    </row>
    <row r="274" spans="1:30" x14ac:dyDescent="0.25">
      <c r="A274" s="148">
        <v>43027</v>
      </c>
      <c r="B274" s="100" t="s">
        <v>458</v>
      </c>
      <c r="C274" s="104" t="s">
        <v>63</v>
      </c>
      <c r="D274" s="104">
        <v>500</v>
      </c>
      <c r="E274" s="143">
        <v>8.8800000000000008</v>
      </c>
      <c r="F274" s="16">
        <f t="shared" si="437"/>
        <v>5950</v>
      </c>
      <c r="G274" s="17">
        <f t="shared" si="438"/>
        <v>9.0247655462184948</v>
      </c>
      <c r="H274" s="15">
        <f t="shared" si="439"/>
        <v>53697.355000000047</v>
      </c>
      <c r="I274" s="15">
        <f t="shared" si="440"/>
        <v>-861.35500000003958</v>
      </c>
      <c r="J274" s="33">
        <f t="shared" si="441"/>
        <v>-1.6040920451296695E-2</v>
      </c>
      <c r="K274" s="15">
        <f t="shared" si="442"/>
        <v>52836.000000000007</v>
      </c>
      <c r="L274" s="15">
        <f t="shared" si="443"/>
        <v>-658.99999999999272</v>
      </c>
      <c r="M274" s="15">
        <f t="shared" si="436"/>
        <v>5</v>
      </c>
      <c r="N274" s="15">
        <f t="shared" si="422"/>
        <v>0</v>
      </c>
      <c r="O274" s="64"/>
      <c r="P274" s="17">
        <f t="shared" si="423"/>
        <v>-0.14476554621849402</v>
      </c>
      <c r="Q274" s="15">
        <f t="shared" si="424"/>
        <v>-4445</v>
      </c>
      <c r="R274" s="35"/>
      <c r="S274" s="35">
        <f t="shared" si="425"/>
        <v>57218.129999999685</v>
      </c>
      <c r="T274" s="35">
        <f t="shared" si="426"/>
        <v>6443.483108108072</v>
      </c>
      <c r="U274" s="35">
        <f t="shared" si="427"/>
        <v>12393.483108108072</v>
      </c>
      <c r="V274" s="15">
        <f t="shared" si="428"/>
        <v>110915.48499999972</v>
      </c>
      <c r="W274" s="17">
        <f t="shared" si="429"/>
        <v>8.9495006393671961</v>
      </c>
      <c r="X274" s="17">
        <f t="shared" si="430"/>
        <v>-7.5264906851298718E-2</v>
      </c>
      <c r="Y274" s="17">
        <f t="shared" si="431"/>
        <v>-6.9500639367195305E-2</v>
      </c>
      <c r="Z274" s="134">
        <f t="shared" si="432"/>
        <v>0.48009102429868061</v>
      </c>
      <c r="AA274" s="15">
        <f>SUM(L$2:L274)-SUM(AB$2:AB274)</f>
        <v>31914.05100000016</v>
      </c>
      <c r="AB274" s="64"/>
      <c r="AC274" s="145">
        <f t="shared" si="433"/>
        <v>-96.950937218472916</v>
      </c>
      <c r="AD274" s="145">
        <f t="shared" si="434"/>
        <v>-6046.950937218473</v>
      </c>
    </row>
    <row r="275" spans="1:30" x14ac:dyDescent="0.25">
      <c r="A275" s="148">
        <v>43027</v>
      </c>
      <c r="B275" s="100" t="s">
        <v>260</v>
      </c>
      <c r="C275" s="104" t="s">
        <v>63</v>
      </c>
      <c r="D275" s="104">
        <v>500</v>
      </c>
      <c r="E275" s="143">
        <v>8.76</v>
      </c>
      <c r="F275" s="16">
        <f t="shared" si="437"/>
        <v>6450</v>
      </c>
      <c r="G275" s="17">
        <f t="shared" si="438"/>
        <v>9.0050162790697748</v>
      </c>
      <c r="H275" s="15">
        <f t="shared" si="439"/>
        <v>58082.355000000047</v>
      </c>
      <c r="I275" s="15">
        <f t="shared" si="440"/>
        <v>-1580.3550000000469</v>
      </c>
      <c r="J275" s="33">
        <f t="shared" si="441"/>
        <v>-2.7208865756218861E-2</v>
      </c>
      <c r="K275" s="15">
        <f t="shared" si="442"/>
        <v>56502</v>
      </c>
      <c r="L275" s="15">
        <f t="shared" si="443"/>
        <v>-719.00000000000728</v>
      </c>
      <c r="M275" s="15">
        <f t="shared" si="436"/>
        <v>5</v>
      </c>
      <c r="N275" s="15">
        <f t="shared" si="422"/>
        <v>0</v>
      </c>
      <c r="O275" s="64"/>
      <c r="P275" s="17">
        <f t="shared" si="423"/>
        <v>-0.24501627906977497</v>
      </c>
      <c r="Q275" s="15">
        <f t="shared" si="424"/>
        <v>-4385</v>
      </c>
      <c r="R275" s="35"/>
      <c r="S275" s="35">
        <f t="shared" si="425"/>
        <v>52833.129999999685</v>
      </c>
      <c r="T275" s="35">
        <f t="shared" si="426"/>
        <v>6031.179223744256</v>
      </c>
      <c r="U275" s="35">
        <f t="shared" si="427"/>
        <v>12481.179223744257</v>
      </c>
      <c r="V275" s="15">
        <f t="shared" si="428"/>
        <v>110915.48499999972</v>
      </c>
      <c r="W275" s="17">
        <f t="shared" si="429"/>
        <v>8.886619045498005</v>
      </c>
      <c r="X275" s="17">
        <f t="shared" si="430"/>
        <v>-0.11839723357176979</v>
      </c>
      <c r="Y275" s="17">
        <f t="shared" si="431"/>
        <v>-0.12661904549800518</v>
      </c>
      <c r="Z275" s="134">
        <f t="shared" si="432"/>
        <v>0.51677809318926282</v>
      </c>
      <c r="AA275" s="15">
        <f>SUM(L$2:L275)-SUM(AB$2:AB275)</f>
        <v>31195.051000000152</v>
      </c>
      <c r="AB275" s="64"/>
      <c r="AC275" s="145">
        <f t="shared" si="433"/>
        <v>-180.31561900685466</v>
      </c>
      <c r="AD275" s="145">
        <f t="shared" si="434"/>
        <v>-6630.3156190068548</v>
      </c>
    </row>
    <row r="276" spans="1:30" x14ac:dyDescent="0.25">
      <c r="A276" s="148">
        <v>43031</v>
      </c>
      <c r="B276" s="100"/>
      <c r="C276" s="104" t="s">
        <v>69</v>
      </c>
      <c r="D276" s="104">
        <v>400</v>
      </c>
      <c r="E276" s="143">
        <v>8.85</v>
      </c>
      <c r="F276" s="16">
        <f t="shared" si="437"/>
        <v>6050</v>
      </c>
      <c r="G276" s="17">
        <f t="shared" si="438"/>
        <v>9.0166768595041393</v>
      </c>
      <c r="H276" s="15">
        <f t="shared" si="439"/>
        <v>54550.895000000048</v>
      </c>
      <c r="I276" s="15">
        <f t="shared" si="440"/>
        <v>-1008.3950000000477</v>
      </c>
      <c r="J276" s="33">
        <f t="shared" si="441"/>
        <v>-1.8485397902271709E-2</v>
      </c>
      <c r="K276" s="15">
        <f t="shared" si="442"/>
        <v>53542.5</v>
      </c>
      <c r="L276" s="15">
        <f t="shared" si="443"/>
        <v>571.95999999999913</v>
      </c>
      <c r="M276" s="15">
        <f t="shared" si="436"/>
        <v>5</v>
      </c>
      <c r="N276" s="15">
        <f t="shared" si="422"/>
        <v>3.54</v>
      </c>
      <c r="O276" s="64"/>
      <c r="P276" s="17">
        <f t="shared" si="423"/>
        <v>-0.16667685950413968</v>
      </c>
      <c r="Q276" s="15">
        <f t="shared" si="424"/>
        <v>3531.4599999999991</v>
      </c>
      <c r="R276" s="35"/>
      <c r="S276" s="35">
        <f t="shared" si="425"/>
        <v>56364.589999999684</v>
      </c>
      <c r="T276" s="35">
        <f t="shared" si="426"/>
        <v>6368.8802259886652</v>
      </c>
      <c r="U276" s="35">
        <f t="shared" si="427"/>
        <v>12418.880225988665</v>
      </c>
      <c r="V276" s="15">
        <f t="shared" si="428"/>
        <v>110915.48499999972</v>
      </c>
      <c r="W276" s="17">
        <f t="shared" si="429"/>
        <v>8.9311985446070885</v>
      </c>
      <c r="X276" s="17">
        <f t="shared" si="430"/>
        <v>-8.5478314897050822E-2</v>
      </c>
      <c r="Y276" s="17">
        <f t="shared" si="431"/>
        <v>-8.1198544607088863E-2</v>
      </c>
      <c r="Z276" s="134">
        <f t="shared" si="432"/>
        <v>0.48716147429615464</v>
      </c>
      <c r="AA276" s="15">
        <f>SUM(L$2:L276)-SUM(AB$2:AB276)</f>
        <v>31767.011000000151</v>
      </c>
      <c r="AB276" s="64"/>
      <c r="AC276" s="145">
        <f t="shared" si="433"/>
        <v>-113.88596638418619</v>
      </c>
      <c r="AD276" s="145">
        <f t="shared" si="434"/>
        <v>-6163.8859663841858</v>
      </c>
    </row>
    <row r="277" spans="1:30" x14ac:dyDescent="0.25">
      <c r="A277" s="148">
        <v>43033</v>
      </c>
      <c r="B277" s="100" t="s">
        <v>459</v>
      </c>
      <c r="C277" s="104" t="s">
        <v>69</v>
      </c>
      <c r="D277" s="104">
        <v>400</v>
      </c>
      <c r="E277" s="143">
        <v>9.02</v>
      </c>
      <c r="F277" s="16">
        <f t="shared" si="437"/>
        <v>5650</v>
      </c>
      <c r="G277" s="17">
        <f t="shared" si="438"/>
        <v>9.0179651327433721</v>
      </c>
      <c r="H277" s="15">
        <f t="shared" si="439"/>
        <v>50951.503000000048</v>
      </c>
      <c r="I277" s="15">
        <f t="shared" si="440"/>
        <v>11.496999999952095</v>
      </c>
      <c r="J277" s="33">
        <f t="shared" si="441"/>
        <v>2.2564594414310648E-4</v>
      </c>
      <c r="K277" s="15">
        <f t="shared" si="442"/>
        <v>50963</v>
      </c>
      <c r="L277" s="15">
        <f t="shared" si="443"/>
        <v>1019.8919999999998</v>
      </c>
      <c r="M277" s="15">
        <f t="shared" si="436"/>
        <v>5</v>
      </c>
      <c r="N277" s="15">
        <f t="shared" si="422"/>
        <v>3.6080000000000001</v>
      </c>
      <c r="O277" s="64"/>
      <c r="P277" s="17">
        <f t="shared" si="423"/>
        <v>2.0348672566274928E-3</v>
      </c>
      <c r="Q277" s="15">
        <f t="shared" si="424"/>
        <v>3599.3919999999998</v>
      </c>
      <c r="R277" s="35"/>
      <c r="S277" s="35">
        <f t="shared" si="425"/>
        <v>59963.981999999683</v>
      </c>
      <c r="T277" s="35">
        <f t="shared" si="426"/>
        <v>6647.8915742793442</v>
      </c>
      <c r="U277" s="35">
        <f t="shared" si="427"/>
        <v>12297.891574279343</v>
      </c>
      <c r="V277" s="15">
        <f t="shared" si="428"/>
        <v>110915.48499999972</v>
      </c>
      <c r="W277" s="17">
        <f t="shared" si="429"/>
        <v>9.0190651242995177</v>
      </c>
      <c r="X277" s="17">
        <f t="shared" si="430"/>
        <v>1.0999915561455964E-3</v>
      </c>
      <c r="Y277" s="17">
        <f t="shared" si="431"/>
        <v>9.3487570048189639E-4</v>
      </c>
      <c r="Z277" s="134">
        <f t="shared" si="432"/>
        <v>0.45942834719870185</v>
      </c>
      <c r="AA277" s="15">
        <f>SUM(L$2:L277)-SUM(AB$2:AB277)</f>
        <v>32786.903000000151</v>
      </c>
      <c r="AB277" s="64"/>
      <c r="AC277" s="145">
        <f t="shared" si="433"/>
        <v>1.2739746674004568</v>
      </c>
      <c r="AD277" s="145">
        <f t="shared" si="434"/>
        <v>-5648.7260253325994</v>
      </c>
    </row>
    <row r="278" spans="1:30" x14ac:dyDescent="0.25">
      <c r="A278" s="148">
        <v>43034</v>
      </c>
      <c r="B278" s="100"/>
      <c r="C278" s="104" t="s">
        <v>69</v>
      </c>
      <c r="D278" s="104">
        <v>400</v>
      </c>
      <c r="E278" s="143">
        <v>9.1</v>
      </c>
      <c r="F278" s="16">
        <f t="shared" si="437"/>
        <v>5250</v>
      </c>
      <c r="G278" s="17">
        <f t="shared" si="438"/>
        <v>9.0133605714285796</v>
      </c>
      <c r="H278" s="15">
        <f t="shared" si="439"/>
        <v>47320.143000000047</v>
      </c>
      <c r="I278" s="15">
        <f t="shared" si="440"/>
        <v>454.85699999995268</v>
      </c>
      <c r="J278" s="33">
        <f t="shared" si="441"/>
        <v>9.6123335891008365E-3</v>
      </c>
      <c r="K278" s="15">
        <f t="shared" si="442"/>
        <v>47775</v>
      </c>
      <c r="L278" s="15">
        <f t="shared" si="443"/>
        <v>443.36000000000058</v>
      </c>
      <c r="M278" s="15">
        <f t="shared" si="436"/>
        <v>5</v>
      </c>
      <c r="N278" s="15">
        <f t="shared" si="422"/>
        <v>3.64</v>
      </c>
      <c r="O278" s="64"/>
      <c r="P278" s="17">
        <f t="shared" si="423"/>
        <v>8.6639428571420041E-2</v>
      </c>
      <c r="Q278" s="15">
        <f t="shared" si="424"/>
        <v>3631.3600000000006</v>
      </c>
      <c r="R278" s="35"/>
      <c r="S278" s="35">
        <f t="shared" si="425"/>
        <v>63595.341999999684</v>
      </c>
      <c r="T278" s="35">
        <f t="shared" si="426"/>
        <v>6988.4991208790861</v>
      </c>
      <c r="U278" s="35">
        <f t="shared" si="427"/>
        <v>12238.499120879085</v>
      </c>
      <c r="V278" s="15">
        <f t="shared" si="428"/>
        <v>110915.48499999972</v>
      </c>
      <c r="W278" s="17">
        <f t="shared" si="429"/>
        <v>9.0628339230564663</v>
      </c>
      <c r="X278" s="17">
        <f t="shared" si="430"/>
        <v>4.9473351627886686E-2</v>
      </c>
      <c r="Y278" s="17">
        <f t="shared" si="431"/>
        <v>3.7166076943533355E-2</v>
      </c>
      <c r="Z278" s="134">
        <f t="shared" si="432"/>
        <v>0.42897416980186825</v>
      </c>
      <c r="AA278" s="15">
        <f>SUM(L$2:L278)-SUM(AB$2:AB278)</f>
        <v>33230.263000000152</v>
      </c>
      <c r="AB278" s="64"/>
      <c r="AC278" s="145">
        <f t="shared" si="433"/>
        <v>49.95929357142338</v>
      </c>
      <c r="AD278" s="145">
        <f t="shared" si="434"/>
        <v>-5200.0407064285764</v>
      </c>
    </row>
    <row r="279" spans="1:30" x14ac:dyDescent="0.25">
      <c r="A279" s="148">
        <v>43034</v>
      </c>
      <c r="B279" s="100"/>
      <c r="C279" s="104" t="s">
        <v>69</v>
      </c>
      <c r="D279" s="104">
        <v>400</v>
      </c>
      <c r="E279" s="143">
        <v>9.17</v>
      </c>
      <c r="F279" s="16">
        <f t="shared" ref="F279:F290" si="444">IF(C279="买",F278+D279,F278-D279)</f>
        <v>4850</v>
      </c>
      <c r="G279" s="17">
        <f t="shared" ref="G279:G290" si="445">H279/F279</f>
        <v>9.0022290721649583</v>
      </c>
      <c r="H279" s="15">
        <f t="shared" ref="H279:H290" si="446">IF(C279="买",H278+D279*E279+M279+N279,H278+-1*D279*E279+M279+N279)+O278</f>
        <v>43660.811000000045</v>
      </c>
      <c r="I279" s="15">
        <f t="shared" ref="I279:I290" si="447">-H279+K279</f>
        <v>813.68899999995483</v>
      </c>
      <c r="J279" s="33">
        <f t="shared" ref="J279:J290" si="448">(E279-G279)/G279</f>
        <v>1.8636598390257827E-2</v>
      </c>
      <c r="K279" s="15">
        <f t="shared" ref="K279:K290" si="449">F279*E279</f>
        <v>44474.5</v>
      </c>
      <c r="L279" s="15">
        <f t="shared" ref="L279:L290" si="450">I279-I278</f>
        <v>358.83200000000215</v>
      </c>
      <c r="M279" s="15">
        <f t="shared" ref="M279:M290" si="451">IF(D279*E279*2.5/10000&gt;5,D279*E279*2.5/10000,5)</f>
        <v>5</v>
      </c>
      <c r="N279" s="15">
        <f t="shared" si="422"/>
        <v>3.6680000000000001</v>
      </c>
      <c r="O279" s="64"/>
      <c r="P279" s="17">
        <f t="shared" si="423"/>
        <v>0.16777092783504166</v>
      </c>
      <c r="Q279" s="15">
        <f t="shared" si="424"/>
        <v>3659.3320000000022</v>
      </c>
      <c r="R279" s="35"/>
      <c r="S279" s="35">
        <f t="shared" si="425"/>
        <v>67254.673999999679</v>
      </c>
      <c r="T279" s="35">
        <f t="shared" si="426"/>
        <v>7334.20654307521</v>
      </c>
      <c r="U279" s="35">
        <f t="shared" si="427"/>
        <v>12184.20654307521</v>
      </c>
      <c r="V279" s="15">
        <f t="shared" si="428"/>
        <v>110915.48499999972</v>
      </c>
      <c r="W279" s="17">
        <f t="shared" si="429"/>
        <v>9.1032177276277046</v>
      </c>
      <c r="X279" s="17">
        <f t="shared" si="430"/>
        <v>0.10098865546274638</v>
      </c>
      <c r="Y279" s="17">
        <f t="shared" si="431"/>
        <v>6.6782272372295282E-2</v>
      </c>
      <c r="Z279" s="134">
        <f t="shared" si="432"/>
        <v>0.39805628563941703</v>
      </c>
      <c r="AA279" s="15">
        <f>SUM(L$2:L279)-SUM(AB$2:AB279)</f>
        <v>33589.095000000154</v>
      </c>
      <c r="AB279" s="64"/>
      <c r="AC279" s="145">
        <f t="shared" si="433"/>
        <v>88.689438985818427</v>
      </c>
      <c r="AD279" s="145">
        <f t="shared" si="434"/>
        <v>-4761.310561014182</v>
      </c>
    </row>
    <row r="280" spans="1:30" x14ac:dyDescent="0.25">
      <c r="A280" s="148">
        <v>43038</v>
      </c>
      <c r="B280" s="100" t="s">
        <v>460</v>
      </c>
      <c r="C280" s="104" t="s">
        <v>63</v>
      </c>
      <c r="D280" s="104">
        <v>500</v>
      </c>
      <c r="E280" s="143">
        <v>8.98</v>
      </c>
      <c r="F280" s="16">
        <f t="shared" si="444"/>
        <v>5350</v>
      </c>
      <c r="G280" s="17">
        <f t="shared" si="445"/>
        <v>9.0010861682243082</v>
      </c>
      <c r="H280" s="15">
        <f t="shared" si="446"/>
        <v>48155.811000000045</v>
      </c>
      <c r="I280" s="15">
        <f t="shared" si="447"/>
        <v>-112.81100000004517</v>
      </c>
      <c r="J280" s="33">
        <f t="shared" si="448"/>
        <v>-2.3426248599581548E-3</v>
      </c>
      <c r="K280" s="15">
        <f t="shared" si="449"/>
        <v>48043</v>
      </c>
      <c r="L280" s="15">
        <f t="shared" si="450"/>
        <v>-926.5</v>
      </c>
      <c r="M280" s="15">
        <f t="shared" si="451"/>
        <v>5</v>
      </c>
      <c r="N280" s="15">
        <f t="shared" si="422"/>
        <v>0</v>
      </c>
      <c r="O280" s="64"/>
      <c r="P280" s="17">
        <f t="shared" si="423"/>
        <v>-2.1086168224307755E-2</v>
      </c>
      <c r="Q280" s="15">
        <f t="shared" si="424"/>
        <v>-4495</v>
      </c>
      <c r="R280" s="35"/>
      <c r="S280" s="35">
        <f t="shared" si="425"/>
        <v>62759.673999999679</v>
      </c>
      <c r="T280" s="35">
        <f t="shared" si="426"/>
        <v>6988.8278396436162</v>
      </c>
      <c r="U280" s="35">
        <f t="shared" si="427"/>
        <v>12338.827839643616</v>
      </c>
      <c r="V280" s="15">
        <f t="shared" si="428"/>
        <v>110915.48499999972</v>
      </c>
      <c r="W280" s="17">
        <f t="shared" si="429"/>
        <v>8.9891427647314757</v>
      </c>
      <c r="X280" s="17">
        <f t="shared" si="430"/>
        <v>-1.1943403492832516E-2</v>
      </c>
      <c r="Y280" s="17">
        <f t="shared" si="431"/>
        <v>-9.1427647314752392E-3</v>
      </c>
      <c r="Z280" s="134">
        <f t="shared" si="432"/>
        <v>0.43359061894120121</v>
      </c>
      <c r="AA280" s="15">
        <f>SUM(L$2:L280)-SUM(AB$2:AB280)</f>
        <v>32662.595000000154</v>
      </c>
      <c r="AB280" s="64"/>
      <c r="AC280" s="145">
        <f t="shared" si="433"/>
        <v>-12.556190924281196</v>
      </c>
      <c r="AD280" s="145">
        <f t="shared" si="434"/>
        <v>-5362.5561909242815</v>
      </c>
    </row>
    <row r="281" spans="1:30" x14ac:dyDescent="0.25">
      <c r="A281" s="148">
        <v>43039</v>
      </c>
      <c r="B281" s="100" t="s">
        <v>299</v>
      </c>
      <c r="C281" s="104" t="s">
        <v>63</v>
      </c>
      <c r="D281" s="104">
        <v>500</v>
      </c>
      <c r="E281" s="143">
        <v>8.8800000000000008</v>
      </c>
      <c r="F281" s="16">
        <f t="shared" si="444"/>
        <v>5850</v>
      </c>
      <c r="G281" s="17">
        <f t="shared" si="445"/>
        <v>8.9915916239316314</v>
      </c>
      <c r="H281" s="15">
        <f t="shared" si="446"/>
        <v>52600.811000000045</v>
      </c>
      <c r="I281" s="15">
        <f t="shared" si="447"/>
        <v>-652.81100000003789</v>
      </c>
      <c r="J281" s="33">
        <f t="shared" si="448"/>
        <v>-1.2410664162574192E-2</v>
      </c>
      <c r="K281" s="15">
        <f t="shared" si="449"/>
        <v>51948.000000000007</v>
      </c>
      <c r="L281" s="15">
        <f t="shared" si="450"/>
        <v>-539.99999999999272</v>
      </c>
      <c r="M281" s="15">
        <f t="shared" si="451"/>
        <v>5</v>
      </c>
      <c r="N281" s="15">
        <f t="shared" si="422"/>
        <v>0</v>
      </c>
      <c r="O281" s="64"/>
      <c r="P281" s="17">
        <f t="shared" si="423"/>
        <v>-0.11159162393163058</v>
      </c>
      <c r="Q281" s="15">
        <f t="shared" si="424"/>
        <v>-4445</v>
      </c>
      <c r="R281" s="35"/>
      <c r="S281" s="35">
        <f t="shared" si="425"/>
        <v>58314.673999999679</v>
      </c>
      <c r="T281" s="35">
        <f t="shared" si="426"/>
        <v>6566.967792792756</v>
      </c>
      <c r="U281" s="35">
        <f t="shared" si="427"/>
        <v>12416.967792792755</v>
      </c>
      <c r="V281" s="15">
        <f t="shared" si="428"/>
        <v>110915.48499999972</v>
      </c>
      <c r="W281" s="17">
        <f t="shared" si="429"/>
        <v>8.9325741075352525</v>
      </c>
      <c r="X281" s="17">
        <f t="shared" si="430"/>
        <v>-5.9017516396378866E-2</v>
      </c>
      <c r="Y281" s="17">
        <f t="shared" si="431"/>
        <v>-5.2574107535251713E-2</v>
      </c>
      <c r="Z281" s="134">
        <f t="shared" si="432"/>
        <v>0.47112951387339069</v>
      </c>
      <c r="AA281" s="15">
        <f>SUM(L$2:L281)-SUM(AB$2:AB281)</f>
        <v>32122.595000000161</v>
      </c>
      <c r="AB281" s="64"/>
      <c r="AC281" s="145">
        <f t="shared" si="433"/>
        <v>-73.477994876130396</v>
      </c>
      <c r="AD281" s="145">
        <f t="shared" si="434"/>
        <v>-5923.4779948761307</v>
      </c>
    </row>
    <row r="282" spans="1:30" x14ac:dyDescent="0.25">
      <c r="A282" s="148">
        <v>43040</v>
      </c>
      <c r="B282" s="100" t="s">
        <v>461</v>
      </c>
      <c r="C282" s="104" t="s">
        <v>63</v>
      </c>
      <c r="D282" s="104">
        <v>500</v>
      </c>
      <c r="E282" s="143">
        <v>8.7200000000000006</v>
      </c>
      <c r="F282" s="16">
        <f t="shared" si="444"/>
        <v>6350</v>
      </c>
      <c r="G282" s="17">
        <f t="shared" si="445"/>
        <v>8.9709938582677236</v>
      </c>
      <c r="H282" s="15">
        <f t="shared" si="446"/>
        <v>56965.811000000045</v>
      </c>
      <c r="I282" s="15">
        <f t="shared" si="447"/>
        <v>-1593.8110000000379</v>
      </c>
      <c r="J282" s="33">
        <f t="shared" si="448"/>
        <v>-2.7978378118763889E-2</v>
      </c>
      <c r="K282" s="15">
        <f t="shared" si="449"/>
        <v>55372.000000000007</v>
      </c>
      <c r="L282" s="15">
        <f t="shared" si="450"/>
        <v>-941</v>
      </c>
      <c r="M282" s="15">
        <f t="shared" si="451"/>
        <v>5</v>
      </c>
      <c r="N282" s="15">
        <f t="shared" si="422"/>
        <v>0</v>
      </c>
      <c r="O282" s="64"/>
      <c r="P282" s="17">
        <f t="shared" si="423"/>
        <v>-0.25099385826772291</v>
      </c>
      <c r="Q282" s="15">
        <f t="shared" si="424"/>
        <v>-4365</v>
      </c>
      <c r="R282" s="35"/>
      <c r="S282" s="35">
        <f t="shared" si="425"/>
        <v>53949.673999999679</v>
      </c>
      <c r="T282" s="35">
        <f t="shared" si="426"/>
        <v>6186.8892201834487</v>
      </c>
      <c r="U282" s="35">
        <f t="shared" si="427"/>
        <v>12536.88922018345</v>
      </c>
      <c r="V282" s="15">
        <f t="shared" si="428"/>
        <v>110915.48499999972</v>
      </c>
      <c r="W282" s="17">
        <f t="shared" si="429"/>
        <v>8.8471297027522695</v>
      </c>
      <c r="X282" s="17">
        <f t="shared" si="430"/>
        <v>-0.12386415551545404</v>
      </c>
      <c r="Y282" s="17">
        <f t="shared" si="431"/>
        <v>-0.12712970275226887</v>
      </c>
      <c r="Z282" s="134">
        <f t="shared" si="432"/>
        <v>0.50650523335381936</v>
      </c>
      <c r="AA282" s="15">
        <f>SUM(L$2:L282)-SUM(AB$2:AB282)</f>
        <v>31181.595000000161</v>
      </c>
      <c r="AB282" s="64"/>
      <c r="AC282" s="145">
        <f t="shared" si="433"/>
        <v>-182.68510258027956</v>
      </c>
      <c r="AD282" s="145">
        <f t="shared" si="434"/>
        <v>-6532.6851025802798</v>
      </c>
    </row>
    <row r="283" spans="1:30" x14ac:dyDescent="0.25">
      <c r="A283" s="148">
        <v>43041</v>
      </c>
      <c r="B283" s="100" t="s">
        <v>462</v>
      </c>
      <c r="C283" s="104" t="s">
        <v>63</v>
      </c>
      <c r="D283" s="104">
        <v>500</v>
      </c>
      <c r="E283" s="143">
        <v>8.61</v>
      </c>
      <c r="F283" s="16">
        <f t="shared" si="444"/>
        <v>6850</v>
      </c>
      <c r="G283" s="17">
        <f t="shared" si="445"/>
        <v>8.9453738686131459</v>
      </c>
      <c r="H283" s="15">
        <f t="shared" si="446"/>
        <v>61275.811000000045</v>
      </c>
      <c r="I283" s="15">
        <f t="shared" si="447"/>
        <v>-2297.3110000000524</v>
      </c>
      <c r="J283" s="33">
        <f t="shared" si="448"/>
        <v>-3.7491319372338482E-2</v>
      </c>
      <c r="K283" s="15">
        <f t="shared" si="449"/>
        <v>58978.499999999993</v>
      </c>
      <c r="L283" s="15">
        <f t="shared" si="450"/>
        <v>-703.50000000001455</v>
      </c>
      <c r="M283" s="15">
        <f t="shared" si="451"/>
        <v>5</v>
      </c>
      <c r="N283" s="15">
        <f t="shared" si="422"/>
        <v>0</v>
      </c>
      <c r="O283" s="64"/>
      <c r="P283" s="17">
        <f t="shared" si="423"/>
        <v>-0.33537386861314644</v>
      </c>
      <c r="Q283" s="15">
        <f t="shared" si="424"/>
        <v>-4310</v>
      </c>
      <c r="R283" s="35"/>
      <c r="S283" s="35">
        <f t="shared" si="425"/>
        <v>49639.673999999679</v>
      </c>
      <c r="T283" s="35">
        <f t="shared" si="426"/>
        <v>5765.3512195121584</v>
      </c>
      <c r="U283" s="35">
        <f t="shared" si="427"/>
        <v>12615.351219512158</v>
      </c>
      <c r="V283" s="15">
        <f t="shared" si="428"/>
        <v>110915.48499999972</v>
      </c>
      <c r="W283" s="17">
        <f t="shared" si="429"/>
        <v>8.7921044028046396</v>
      </c>
      <c r="X283" s="17">
        <f t="shared" si="430"/>
        <v>-0.15326946580850631</v>
      </c>
      <c r="Y283" s="17">
        <f t="shared" si="431"/>
        <v>-0.18210440280464013</v>
      </c>
      <c r="Z283" s="134">
        <f t="shared" si="432"/>
        <v>0.54298924229751988</v>
      </c>
      <c r="AA283" s="15">
        <f>SUM(L$2:L283)-SUM(AB$2:AB283)</f>
        <v>30478.095000000147</v>
      </c>
      <c r="AB283" s="64"/>
      <c r="AC283" s="145">
        <f t="shared" si="433"/>
        <v>-266.68552200929764</v>
      </c>
      <c r="AD283" s="145">
        <f t="shared" si="434"/>
        <v>-7116.6855220092975</v>
      </c>
    </row>
    <row r="284" spans="1:30" x14ac:dyDescent="0.25">
      <c r="A284" s="148">
        <v>43041</v>
      </c>
      <c r="B284" s="100" t="s">
        <v>256</v>
      </c>
      <c r="C284" s="104" t="s">
        <v>63</v>
      </c>
      <c r="D284" s="104">
        <v>500</v>
      </c>
      <c r="E284" s="143">
        <v>8.49</v>
      </c>
      <c r="F284" s="16">
        <f t="shared" si="444"/>
        <v>7350</v>
      </c>
      <c r="G284" s="17">
        <f t="shared" si="445"/>
        <v>8.9150763265306185</v>
      </c>
      <c r="H284" s="15">
        <f t="shared" si="446"/>
        <v>65525.811000000045</v>
      </c>
      <c r="I284" s="15">
        <f t="shared" si="447"/>
        <v>-3124.3110000000452</v>
      </c>
      <c r="J284" s="33">
        <f t="shared" si="448"/>
        <v>-4.7680615505850704E-2</v>
      </c>
      <c r="K284" s="15">
        <f t="shared" si="449"/>
        <v>62401.5</v>
      </c>
      <c r="L284" s="15">
        <f t="shared" si="450"/>
        <v>-826.99999999999272</v>
      </c>
      <c r="M284" s="15">
        <f t="shared" si="451"/>
        <v>5</v>
      </c>
      <c r="N284" s="15">
        <f t="shared" si="422"/>
        <v>0</v>
      </c>
      <c r="O284" s="64"/>
      <c r="P284" s="17">
        <f t="shared" si="423"/>
        <v>-0.42507632653061833</v>
      </c>
      <c r="Q284" s="15">
        <f t="shared" si="424"/>
        <v>-4250</v>
      </c>
      <c r="R284" s="35"/>
      <c r="S284" s="35">
        <f t="shared" si="425"/>
        <v>45389.673999999679</v>
      </c>
      <c r="T284" s="35">
        <f t="shared" si="426"/>
        <v>5346.2513545347092</v>
      </c>
      <c r="U284" s="35">
        <f t="shared" si="427"/>
        <v>12696.25135453471</v>
      </c>
      <c r="V284" s="15">
        <f t="shared" si="428"/>
        <v>110915.48499999972</v>
      </c>
      <c r="W284" s="17">
        <f t="shared" si="429"/>
        <v>8.7360813757349032</v>
      </c>
      <c r="X284" s="17">
        <f t="shared" si="430"/>
        <v>-0.17899495079571537</v>
      </c>
      <c r="Y284" s="17">
        <f t="shared" si="431"/>
        <v>-0.24608137573490296</v>
      </c>
      <c r="Z284" s="134">
        <f t="shared" si="432"/>
        <v>0.57891103403327049</v>
      </c>
      <c r="AA284" s="15">
        <f>SUM(L$2:L284)-SUM(AB$2:AB284)</f>
        <v>29651.095000000154</v>
      </c>
      <c r="AB284" s="64"/>
      <c r="AC284" s="145">
        <f t="shared" si="433"/>
        <v>-367.81494045936927</v>
      </c>
      <c r="AD284" s="145">
        <f t="shared" si="434"/>
        <v>-7717.8149404593696</v>
      </c>
    </row>
    <row r="285" spans="1:30" x14ac:dyDescent="0.25">
      <c r="A285" s="148">
        <v>43041</v>
      </c>
      <c r="B285" s="100" t="s">
        <v>297</v>
      </c>
      <c r="C285" s="104" t="s">
        <v>63</v>
      </c>
      <c r="D285" s="104">
        <v>500</v>
      </c>
      <c r="E285" s="143">
        <v>8.41</v>
      </c>
      <c r="F285" s="16">
        <f t="shared" si="444"/>
        <v>7850</v>
      </c>
      <c r="G285" s="17">
        <f t="shared" si="445"/>
        <v>8.8835428025477761</v>
      </c>
      <c r="H285" s="15">
        <f t="shared" si="446"/>
        <v>69735.811000000045</v>
      </c>
      <c r="I285" s="15">
        <f t="shared" si="447"/>
        <v>-3717.3110000000452</v>
      </c>
      <c r="J285" s="33">
        <f t="shared" si="448"/>
        <v>-5.3305625140002151E-2</v>
      </c>
      <c r="K285" s="15">
        <f t="shared" si="449"/>
        <v>66018.5</v>
      </c>
      <c r="L285" s="15">
        <f t="shared" si="450"/>
        <v>-593</v>
      </c>
      <c r="M285" s="15">
        <f t="shared" si="451"/>
        <v>5</v>
      </c>
      <c r="N285" s="15">
        <f t="shared" si="422"/>
        <v>0</v>
      </c>
      <c r="O285" s="64"/>
      <c r="P285" s="17">
        <f t="shared" si="423"/>
        <v>-0.47354280254777592</v>
      </c>
      <c r="Q285" s="15">
        <f t="shared" si="424"/>
        <v>-4210</v>
      </c>
      <c r="R285" s="35"/>
      <c r="S285" s="35">
        <f t="shared" si="425"/>
        <v>41179.673999999679</v>
      </c>
      <c r="T285" s="35">
        <f t="shared" si="426"/>
        <v>4896.5129607609606</v>
      </c>
      <c r="U285" s="35">
        <f t="shared" si="427"/>
        <v>12746.51296076096</v>
      </c>
      <c r="V285" s="15">
        <f t="shared" si="428"/>
        <v>110915.48499999972</v>
      </c>
      <c r="W285" s="17">
        <f t="shared" si="429"/>
        <v>8.7016335637396267</v>
      </c>
      <c r="X285" s="17">
        <f t="shared" si="430"/>
        <v>-0.18190923880814935</v>
      </c>
      <c r="Y285" s="17">
        <f t="shared" si="431"/>
        <v>-0.29163356373962657</v>
      </c>
      <c r="Z285" s="134">
        <f t="shared" si="432"/>
        <v>0.61585470662961295</v>
      </c>
      <c r="AA285" s="15">
        <f>SUM(L$2:L285)-SUM(AB$2:AB285)</f>
        <v>29058.095000000154</v>
      </c>
      <c r="AB285" s="64"/>
      <c r="AC285" s="145">
        <f t="shared" si="433"/>
        <v>-441.78981504162249</v>
      </c>
      <c r="AD285" s="145">
        <f t="shared" si="434"/>
        <v>-8291.7898150416222</v>
      </c>
    </row>
    <row r="286" spans="1:30" x14ac:dyDescent="0.25">
      <c r="A286" s="148">
        <v>43041</v>
      </c>
      <c r="B286" s="100" t="s">
        <v>463</v>
      </c>
      <c r="C286" s="104" t="s">
        <v>63</v>
      </c>
      <c r="D286" s="104">
        <v>500</v>
      </c>
      <c r="E286" s="143">
        <v>8.32</v>
      </c>
      <c r="F286" s="16">
        <f t="shared" si="444"/>
        <v>8350</v>
      </c>
      <c r="G286" s="17">
        <f t="shared" si="445"/>
        <v>8.8503965269461133</v>
      </c>
      <c r="H286" s="15">
        <f t="shared" si="446"/>
        <v>73900.811000000045</v>
      </c>
      <c r="I286" s="15">
        <f t="shared" si="447"/>
        <v>-4428.8110000000452</v>
      </c>
      <c r="J286" s="33">
        <f t="shared" si="448"/>
        <v>-5.9929125811623928E-2</v>
      </c>
      <c r="K286" s="15">
        <f t="shared" si="449"/>
        <v>69472</v>
      </c>
      <c r="L286" s="15">
        <f t="shared" si="450"/>
        <v>-711.5</v>
      </c>
      <c r="M286" s="15">
        <f t="shared" si="451"/>
        <v>5</v>
      </c>
      <c r="N286" s="15">
        <f t="shared" si="422"/>
        <v>0</v>
      </c>
      <c r="O286" s="64"/>
      <c r="P286" s="17">
        <f t="shared" si="423"/>
        <v>-0.53039652694611306</v>
      </c>
      <c r="Q286" s="15">
        <f t="shared" si="424"/>
        <v>-4165</v>
      </c>
      <c r="R286" s="35"/>
      <c r="S286" s="35">
        <f t="shared" si="425"/>
        <v>37014.673999999679</v>
      </c>
      <c r="T286" s="35">
        <f t="shared" si="426"/>
        <v>4448.8790865384226</v>
      </c>
      <c r="U286" s="35">
        <f t="shared" si="427"/>
        <v>12798.879086538422</v>
      </c>
      <c r="V286" s="15">
        <f t="shared" si="428"/>
        <v>110915.48499999972</v>
      </c>
      <c r="W286" s="17">
        <f t="shared" si="429"/>
        <v>8.6660311617958943</v>
      </c>
      <c r="X286" s="17">
        <f t="shared" si="430"/>
        <v>-0.18436536515021906</v>
      </c>
      <c r="Y286" s="17">
        <f t="shared" si="431"/>
        <v>-0.34603116179589399</v>
      </c>
      <c r="Z286" s="134">
        <f t="shared" si="432"/>
        <v>0.65240088163520082</v>
      </c>
      <c r="AA286" s="15">
        <f>SUM(L$2:L286)-SUM(AB$2:AB286)</f>
        <v>28346.595000000154</v>
      </c>
      <c r="AB286" s="64"/>
      <c r="AC286" s="145">
        <f t="shared" si="433"/>
        <v>-532.04285991587085</v>
      </c>
      <c r="AD286" s="145">
        <f t="shared" si="434"/>
        <v>-8882.0428599158713</v>
      </c>
    </row>
    <row r="287" spans="1:30" x14ac:dyDescent="0.25">
      <c r="A287" s="148">
        <v>43041</v>
      </c>
      <c r="B287" s="100"/>
      <c r="C287" s="104" t="s">
        <v>63</v>
      </c>
      <c r="D287" s="104">
        <v>500</v>
      </c>
      <c r="E287" s="143">
        <v>8.2799999999999994</v>
      </c>
      <c r="F287" s="16">
        <f t="shared" si="444"/>
        <v>8850</v>
      </c>
      <c r="G287" s="17">
        <f t="shared" si="445"/>
        <v>8.818735706214694</v>
      </c>
      <c r="H287" s="15">
        <f t="shared" si="446"/>
        <v>78045.811000000045</v>
      </c>
      <c r="I287" s="15">
        <f t="shared" si="447"/>
        <v>-4767.8110000000452</v>
      </c>
      <c r="J287" s="33">
        <f t="shared" si="448"/>
        <v>-6.108990269830171E-2</v>
      </c>
      <c r="K287" s="15">
        <f t="shared" si="449"/>
        <v>73278</v>
      </c>
      <c r="L287" s="15">
        <f t="shared" si="450"/>
        <v>-339</v>
      </c>
      <c r="M287" s="15">
        <f t="shared" si="451"/>
        <v>5</v>
      </c>
      <c r="N287" s="15">
        <f t="shared" si="422"/>
        <v>0</v>
      </c>
      <c r="O287" s="64"/>
      <c r="P287" s="17">
        <f t="shared" si="423"/>
        <v>-0.53873570621469469</v>
      </c>
      <c r="Q287" s="15">
        <f t="shared" si="424"/>
        <v>-4145</v>
      </c>
      <c r="R287" s="35"/>
      <c r="S287" s="35">
        <f t="shared" si="425"/>
        <v>32869.673999999679</v>
      </c>
      <c r="T287" s="35">
        <f t="shared" si="426"/>
        <v>3969.7673913043095</v>
      </c>
      <c r="U287" s="35">
        <f t="shared" si="427"/>
        <v>12819.767391304309</v>
      </c>
      <c r="V287" s="15">
        <f t="shared" si="428"/>
        <v>110915.48499999972</v>
      </c>
      <c r="W287" s="17">
        <f t="shared" si="429"/>
        <v>8.6519108821922988</v>
      </c>
      <c r="X287" s="17">
        <f t="shared" si="430"/>
        <v>-0.16682482402239529</v>
      </c>
      <c r="Y287" s="17">
        <f t="shared" si="431"/>
        <v>-0.3719108821922994</v>
      </c>
      <c r="Z287" s="134">
        <f t="shared" si="432"/>
        <v>0.69034013877685363</v>
      </c>
      <c r="AA287" s="15">
        <f>SUM(L$2:L287)-SUM(AB$2:AB287)</f>
        <v>28007.595000000154</v>
      </c>
      <c r="AB287" s="64"/>
      <c r="AC287" s="145">
        <f t="shared" si="433"/>
        <v>-575.53467324879784</v>
      </c>
      <c r="AD287" s="145">
        <f t="shared" si="434"/>
        <v>-9425.5346732487978</v>
      </c>
    </row>
    <row r="288" spans="1:30" x14ac:dyDescent="0.25">
      <c r="A288" s="148">
        <v>43042</v>
      </c>
      <c r="B288" s="100" t="s">
        <v>240</v>
      </c>
      <c r="C288" s="104" t="s">
        <v>63</v>
      </c>
      <c r="D288" s="104">
        <v>500</v>
      </c>
      <c r="E288" s="143">
        <v>8.17</v>
      </c>
      <c r="F288" s="16">
        <f t="shared" si="444"/>
        <v>9350</v>
      </c>
      <c r="G288" s="17">
        <f t="shared" si="445"/>
        <v>8.7845787165775455</v>
      </c>
      <c r="H288" s="15">
        <f t="shared" si="446"/>
        <v>82135.811000000045</v>
      </c>
      <c r="I288" s="15">
        <f t="shared" si="447"/>
        <v>-5746.3110000000452</v>
      </c>
      <c r="J288" s="33">
        <f t="shared" si="448"/>
        <v>-6.9961091636388029E-2</v>
      </c>
      <c r="K288" s="15">
        <f t="shared" si="449"/>
        <v>76389.5</v>
      </c>
      <c r="L288" s="15">
        <f t="shared" si="450"/>
        <v>-978.5</v>
      </c>
      <c r="M288" s="15">
        <f t="shared" si="451"/>
        <v>5</v>
      </c>
      <c r="N288" s="15">
        <f t="shared" si="422"/>
        <v>0</v>
      </c>
      <c r="O288" s="64"/>
      <c r="P288" s="17">
        <f t="shared" si="423"/>
        <v>-0.61457871657754559</v>
      </c>
      <c r="Q288" s="15">
        <f t="shared" si="424"/>
        <v>-4090</v>
      </c>
      <c r="R288" s="35"/>
      <c r="S288" s="35">
        <f t="shared" si="425"/>
        <v>28779.673999999679</v>
      </c>
      <c r="T288" s="35">
        <f t="shared" si="426"/>
        <v>3522.6039167686267</v>
      </c>
      <c r="U288" s="35">
        <f t="shared" si="427"/>
        <v>12872.603916768627</v>
      </c>
      <c r="V288" s="15">
        <f t="shared" si="428"/>
        <v>110915.48499999972</v>
      </c>
      <c r="W288" s="17">
        <f t="shared" si="429"/>
        <v>8.6163984938210181</v>
      </c>
      <c r="X288" s="17">
        <f t="shared" si="430"/>
        <v>-0.16818022275652744</v>
      </c>
      <c r="Y288" s="17">
        <f t="shared" si="431"/>
        <v>-0.44639849382101815</v>
      </c>
      <c r="Z288" s="134">
        <f t="shared" si="432"/>
        <v>0.72634876831874928</v>
      </c>
      <c r="AA288" s="15">
        <f>SUM(L$2:L288)-SUM(AB$2:AB288)</f>
        <v>27029.095000000154</v>
      </c>
      <c r="AB288" s="64"/>
      <c r="AC288" s="145">
        <f t="shared" si="433"/>
        <v>-702.99116823745976</v>
      </c>
      <c r="AD288" s="145">
        <f t="shared" si="434"/>
        <v>-10052.99116823746</v>
      </c>
    </row>
    <row r="289" spans="1:30" x14ac:dyDescent="0.25">
      <c r="A289" s="148">
        <v>43045</v>
      </c>
      <c r="B289" s="100"/>
      <c r="C289" s="104" t="s">
        <v>63</v>
      </c>
      <c r="D289" s="104">
        <v>500</v>
      </c>
      <c r="E289" s="143">
        <v>8.0399999999999991</v>
      </c>
      <c r="F289" s="16">
        <f t="shared" si="444"/>
        <v>9850</v>
      </c>
      <c r="G289" s="17">
        <f t="shared" si="445"/>
        <v>8.7472904568527969</v>
      </c>
      <c r="H289" s="15">
        <f t="shared" si="446"/>
        <v>86160.811000000045</v>
      </c>
      <c r="I289" s="15">
        <f t="shared" si="447"/>
        <v>-6966.8110000000597</v>
      </c>
      <c r="J289" s="33">
        <f t="shared" si="448"/>
        <v>-8.0858233797266074E-2</v>
      </c>
      <c r="K289" s="15">
        <f t="shared" si="449"/>
        <v>79193.999999999985</v>
      </c>
      <c r="L289" s="15">
        <f t="shared" si="450"/>
        <v>-1220.5000000000146</v>
      </c>
      <c r="M289" s="15">
        <f t="shared" si="451"/>
        <v>5</v>
      </c>
      <c r="N289" s="15">
        <f t="shared" si="422"/>
        <v>0</v>
      </c>
      <c r="O289" s="64"/>
      <c r="P289" s="17">
        <f t="shared" si="423"/>
        <v>-0.70729045685279779</v>
      </c>
      <c r="Q289" s="15">
        <f t="shared" si="424"/>
        <v>-4025</v>
      </c>
      <c r="R289" s="35"/>
      <c r="S289" s="35">
        <f t="shared" si="425"/>
        <v>24754.673999999679</v>
      </c>
      <c r="T289" s="35">
        <f t="shared" si="426"/>
        <v>3078.9395522387663</v>
      </c>
      <c r="U289" s="35">
        <f t="shared" si="427"/>
        <v>12928.939552238766</v>
      </c>
      <c r="V289" s="15">
        <f t="shared" si="428"/>
        <v>110915.48499999972</v>
      </c>
      <c r="W289" s="17">
        <f t="shared" si="429"/>
        <v>8.5788540159733113</v>
      </c>
      <c r="X289" s="17">
        <f t="shared" si="430"/>
        <v>-0.16843644087948562</v>
      </c>
      <c r="Y289" s="17">
        <f t="shared" si="431"/>
        <v>-0.53885401597331217</v>
      </c>
      <c r="Z289" s="134">
        <f t="shared" si="432"/>
        <v>0.7618567601930184</v>
      </c>
      <c r="AA289" s="15">
        <f>SUM(L$2:L289)-SUM(AB$2:AB289)</f>
        <v>25808.595000000139</v>
      </c>
      <c r="AB289" s="64"/>
      <c r="AC289" s="145">
        <f t="shared" si="433"/>
        <v>-866.08552170398775</v>
      </c>
      <c r="AD289" s="145">
        <f t="shared" si="434"/>
        <v>-10716.085521703988</v>
      </c>
    </row>
    <row r="290" spans="1:30" x14ac:dyDescent="0.25">
      <c r="A290" s="148">
        <v>43048</v>
      </c>
      <c r="B290" s="100"/>
      <c r="C290" s="104" t="s">
        <v>69</v>
      </c>
      <c r="D290" s="104">
        <v>400</v>
      </c>
      <c r="E290" s="143">
        <v>8.23</v>
      </c>
      <c r="F290" s="16">
        <f t="shared" si="444"/>
        <v>9450</v>
      </c>
      <c r="G290" s="17">
        <f t="shared" si="445"/>
        <v>8.7700638095238137</v>
      </c>
      <c r="H290" s="15">
        <f t="shared" si="446"/>
        <v>82877.103000000046</v>
      </c>
      <c r="I290" s="15">
        <f t="shared" si="447"/>
        <v>-5103.6030000000464</v>
      </c>
      <c r="J290" s="33">
        <f t="shared" si="448"/>
        <v>-6.1580374014762955E-2</v>
      </c>
      <c r="K290" s="15">
        <f t="shared" si="449"/>
        <v>77773.5</v>
      </c>
      <c r="L290" s="15">
        <f t="shared" si="450"/>
        <v>1863.2080000000133</v>
      </c>
      <c r="M290" s="15">
        <f t="shared" si="451"/>
        <v>5</v>
      </c>
      <c r="N290" s="15">
        <f t="shared" si="422"/>
        <v>3.2919999999999998</v>
      </c>
      <c r="O290" s="64"/>
      <c r="P290" s="17">
        <f t="shared" si="423"/>
        <v>-0.54006380952381328</v>
      </c>
      <c r="Q290" s="15">
        <f t="shared" si="424"/>
        <v>3283.7079999999987</v>
      </c>
      <c r="R290" s="35"/>
      <c r="S290" s="35">
        <f t="shared" si="425"/>
        <v>28038.381999999678</v>
      </c>
      <c r="T290" s="35">
        <f t="shared" si="426"/>
        <v>3406.8507897933991</v>
      </c>
      <c r="U290" s="35">
        <f t="shared" si="427"/>
        <v>12856.8507897934</v>
      </c>
      <c r="V290" s="15">
        <f t="shared" si="428"/>
        <v>110915.48499999972</v>
      </c>
      <c r="W290" s="17">
        <f t="shared" si="429"/>
        <v>8.6269559173893207</v>
      </c>
      <c r="X290" s="17">
        <f t="shared" si="430"/>
        <v>-0.14310789213449304</v>
      </c>
      <c r="Y290" s="17">
        <f t="shared" si="431"/>
        <v>-0.39695591738932023</v>
      </c>
      <c r="Z290" s="134">
        <f t="shared" si="432"/>
        <v>0.73501669689610316</v>
      </c>
      <c r="AA290" s="15">
        <f>SUM(L$2:L290)-SUM(AB$2:AB290)</f>
        <v>27671.803000000153</v>
      </c>
      <c r="AB290" s="64"/>
      <c r="AC290" s="145">
        <f t="shared" si="433"/>
        <v>-619.81181026732031</v>
      </c>
      <c r="AD290" s="145">
        <f t="shared" si="434"/>
        <v>-10069.81181026732</v>
      </c>
    </row>
    <row r="291" spans="1:30" x14ac:dyDescent="0.25">
      <c r="A291" s="148">
        <v>43052</v>
      </c>
      <c r="B291" s="100" t="s">
        <v>464</v>
      </c>
      <c r="C291" s="104" t="s">
        <v>63</v>
      </c>
      <c r="D291" s="104">
        <v>400</v>
      </c>
      <c r="E291" s="143">
        <v>8.07</v>
      </c>
      <c r="F291" s="16">
        <f t="shared" ref="F291:F296" si="452">IF(C291="买",F290+D291,F290-D291)</f>
        <v>9850</v>
      </c>
      <c r="G291" s="17">
        <f t="shared" ref="G291:G296" si="453">H291/F291</f>
        <v>8.7421424365482281</v>
      </c>
      <c r="H291" s="15">
        <f t="shared" ref="H291:H296" si="454">IF(C291="买",H290+D291*E291+M291+N291,H290+-1*D291*E291+M291+N291)+O290</f>
        <v>86110.103000000046</v>
      </c>
      <c r="I291" s="15">
        <f t="shared" ref="I291:I296" si="455">-H291+K291</f>
        <v>-6620.6030000000464</v>
      </c>
      <c r="J291" s="33">
        <f t="shared" ref="J291:J296" si="456">(E291-G291)/G291</f>
        <v>-7.6885322039389969E-2</v>
      </c>
      <c r="K291" s="15">
        <f t="shared" ref="K291:K296" si="457">F291*E291</f>
        <v>79489.5</v>
      </c>
      <c r="L291" s="15">
        <f t="shared" ref="L291:L296" si="458">I291-I290</f>
        <v>-1517</v>
      </c>
      <c r="M291" s="15">
        <f t="shared" ref="M291:M296" si="459">IF(D291*E291*2.5/10000&gt;5,D291*E291*2.5/10000,5)</f>
        <v>5</v>
      </c>
      <c r="N291" s="15">
        <f t="shared" si="422"/>
        <v>0</v>
      </c>
      <c r="O291" s="64"/>
      <c r="P291" s="17">
        <f t="shared" si="423"/>
        <v>-0.67214243654822781</v>
      </c>
      <c r="Q291" s="15">
        <f t="shared" si="424"/>
        <v>-3233</v>
      </c>
      <c r="R291" s="35"/>
      <c r="S291" s="35">
        <f t="shared" si="425"/>
        <v>24805.381999999678</v>
      </c>
      <c r="T291" s="35">
        <f t="shared" si="426"/>
        <v>3073.7771995042972</v>
      </c>
      <c r="U291" s="35">
        <f t="shared" si="427"/>
        <v>12923.777199504297</v>
      </c>
      <c r="V291" s="15">
        <f t="shared" si="428"/>
        <v>110915.48499999972</v>
      </c>
      <c r="W291" s="17">
        <f t="shared" si="429"/>
        <v>8.582280805974742</v>
      </c>
      <c r="X291" s="17">
        <f t="shared" si="430"/>
        <v>-0.15986163057348612</v>
      </c>
      <c r="Y291" s="17">
        <f t="shared" si="431"/>
        <v>-0.51228080597474168</v>
      </c>
      <c r="Z291" s="134">
        <f t="shared" si="432"/>
        <v>0.76216108092437607</v>
      </c>
      <c r="AA291" s="15">
        <f>SUM(L$2:L291)-SUM(AB$2:AB291)</f>
        <v>26154.803000000153</v>
      </c>
      <c r="AB291" s="64"/>
      <c r="AC291" s="145">
        <f t="shared" si="433"/>
        <v>-819.98670365552005</v>
      </c>
      <c r="AD291" s="145">
        <f t="shared" si="434"/>
        <v>-10669.986703655521</v>
      </c>
    </row>
    <row r="292" spans="1:30" x14ac:dyDescent="0.25">
      <c r="A292" s="148">
        <v>43053</v>
      </c>
      <c r="B292" s="100"/>
      <c r="C292" s="104" t="s">
        <v>63</v>
      </c>
      <c r="D292" s="104">
        <v>400</v>
      </c>
      <c r="E292" s="143">
        <v>7.99</v>
      </c>
      <c r="F292" s="16">
        <f t="shared" si="452"/>
        <v>10250</v>
      </c>
      <c r="G292" s="17">
        <f t="shared" si="453"/>
        <v>8.7132783414634183</v>
      </c>
      <c r="H292" s="15">
        <f t="shared" si="454"/>
        <v>89311.103000000046</v>
      </c>
      <c r="I292" s="15">
        <f t="shared" si="455"/>
        <v>-7413.6030000000464</v>
      </c>
      <c r="J292" s="33">
        <f t="shared" si="456"/>
        <v>-8.3008749763173698E-2</v>
      </c>
      <c r="K292" s="15">
        <f t="shared" si="457"/>
        <v>81897.5</v>
      </c>
      <c r="L292" s="15">
        <f t="shared" si="458"/>
        <v>-793</v>
      </c>
      <c r="M292" s="15">
        <f t="shared" si="459"/>
        <v>5</v>
      </c>
      <c r="N292" s="15">
        <f t="shared" si="422"/>
        <v>0</v>
      </c>
      <c r="O292" s="64"/>
      <c r="P292" s="17">
        <f t="shared" si="423"/>
        <v>-0.72327834146341807</v>
      </c>
      <c r="Q292" s="15">
        <f t="shared" si="424"/>
        <v>-3201</v>
      </c>
      <c r="R292" s="35"/>
      <c r="S292" s="35">
        <f t="shared" si="425"/>
        <v>21604.381999999678</v>
      </c>
      <c r="T292" s="35">
        <f t="shared" si="426"/>
        <v>2703.9276595744277</v>
      </c>
      <c r="U292" s="35">
        <f t="shared" si="427"/>
        <v>12953.927659574427</v>
      </c>
      <c r="V292" s="15">
        <f t="shared" si="428"/>
        <v>110915.48499999972</v>
      </c>
      <c r="W292" s="17">
        <f t="shared" si="429"/>
        <v>8.5623054192386636</v>
      </c>
      <c r="X292" s="17">
        <f t="shared" si="430"/>
        <v>-0.15097292222475467</v>
      </c>
      <c r="Y292" s="17">
        <f t="shared" si="431"/>
        <v>-0.5723054192386634</v>
      </c>
      <c r="Z292" s="134">
        <f t="shared" si="432"/>
        <v>0.79126580519569933</v>
      </c>
      <c r="AA292" s="15">
        <f>SUM(L$2:L292)-SUM(AB$2:AB292)</f>
        <v>25361.803000000153</v>
      </c>
      <c r="AB292" s="64"/>
      <c r="AC292" s="145">
        <f t="shared" si="433"/>
        <v>-927.39627015019357</v>
      </c>
      <c r="AD292" s="145">
        <f t="shared" si="434"/>
        <v>-11177.396270150193</v>
      </c>
    </row>
    <row r="293" spans="1:30" x14ac:dyDescent="0.25">
      <c r="A293" s="148">
        <v>43056</v>
      </c>
      <c r="B293" s="100"/>
      <c r="C293" s="104" t="s">
        <v>63</v>
      </c>
      <c r="D293" s="104">
        <v>500</v>
      </c>
      <c r="E293" s="143">
        <v>7.85</v>
      </c>
      <c r="F293" s="16">
        <f t="shared" si="452"/>
        <v>10750</v>
      </c>
      <c r="G293" s="17">
        <f t="shared" si="453"/>
        <v>8.6735909767441903</v>
      </c>
      <c r="H293" s="15">
        <f t="shared" si="454"/>
        <v>93241.103000000046</v>
      </c>
      <c r="I293" s="15">
        <f t="shared" si="455"/>
        <v>-8853.6030000000464</v>
      </c>
      <c r="J293" s="33">
        <f t="shared" si="456"/>
        <v>-9.4953863855514936E-2</v>
      </c>
      <c r="K293" s="15">
        <f t="shared" si="457"/>
        <v>84387.5</v>
      </c>
      <c r="L293" s="15">
        <f t="shared" si="458"/>
        <v>-1440</v>
      </c>
      <c r="M293" s="15">
        <f t="shared" si="459"/>
        <v>5</v>
      </c>
      <c r="N293" s="15">
        <f t="shared" si="422"/>
        <v>0</v>
      </c>
      <c r="O293" s="64"/>
      <c r="P293" s="17">
        <f t="shared" si="423"/>
        <v>-0.82359097674419068</v>
      </c>
      <c r="Q293" s="15">
        <f t="shared" si="424"/>
        <v>-3930</v>
      </c>
      <c r="R293" s="35"/>
      <c r="S293" s="35">
        <f t="shared" si="425"/>
        <v>17674.381999999678</v>
      </c>
      <c r="T293" s="35">
        <f t="shared" si="426"/>
        <v>2251.5136305732076</v>
      </c>
      <c r="U293" s="35">
        <f t="shared" si="427"/>
        <v>13001.513630573209</v>
      </c>
      <c r="V293" s="15">
        <f t="shared" si="428"/>
        <v>110915.48499999972</v>
      </c>
      <c r="W293" s="17">
        <f t="shared" si="429"/>
        <v>8.5309670974909171</v>
      </c>
      <c r="X293" s="17">
        <f t="shared" si="430"/>
        <v>-0.14262387925327324</v>
      </c>
      <c r="Y293" s="17">
        <f t="shared" si="431"/>
        <v>-0.68096709749091744</v>
      </c>
      <c r="Z293" s="134">
        <f t="shared" si="432"/>
        <v>0.82682680689741017</v>
      </c>
      <c r="AA293" s="15">
        <f>SUM(L$2:L293)-SUM(AB$2:AB293)</f>
        <v>23921.803000000153</v>
      </c>
      <c r="AB293" s="64"/>
      <c r="AC293" s="145">
        <f t="shared" si="433"/>
        <v>-1127.2835921656113</v>
      </c>
      <c r="AD293" s="145">
        <f t="shared" si="434"/>
        <v>-11877.283592165611</v>
      </c>
    </row>
    <row r="294" spans="1:30" x14ac:dyDescent="0.25">
      <c r="A294" s="148">
        <v>43059</v>
      </c>
      <c r="B294" s="100"/>
      <c r="C294" s="104" t="s">
        <v>63</v>
      </c>
      <c r="D294" s="104">
        <v>500</v>
      </c>
      <c r="E294" s="143">
        <v>7.75</v>
      </c>
      <c r="F294" s="16">
        <f t="shared" si="452"/>
        <v>11250</v>
      </c>
      <c r="G294" s="17">
        <f t="shared" si="453"/>
        <v>8.6329869333333367</v>
      </c>
      <c r="H294" s="15">
        <f t="shared" si="454"/>
        <v>97121.103000000046</v>
      </c>
      <c r="I294" s="15">
        <f t="shared" si="455"/>
        <v>-9933.6030000000464</v>
      </c>
      <c r="J294" s="33">
        <f t="shared" si="456"/>
        <v>-0.10228058262476729</v>
      </c>
      <c r="K294" s="15">
        <f t="shared" si="457"/>
        <v>87187.5</v>
      </c>
      <c r="L294" s="15">
        <f t="shared" si="458"/>
        <v>-1080</v>
      </c>
      <c r="M294" s="15">
        <f t="shared" si="459"/>
        <v>5</v>
      </c>
      <c r="N294" s="15">
        <f t="shared" si="422"/>
        <v>0</v>
      </c>
      <c r="O294" s="64"/>
      <c r="P294" s="17">
        <f t="shared" si="423"/>
        <v>-0.88298693333333667</v>
      </c>
      <c r="Q294" s="15">
        <f t="shared" si="424"/>
        <v>-3880</v>
      </c>
      <c r="R294" s="35"/>
      <c r="S294" s="35">
        <f t="shared" si="425"/>
        <v>13794.381999999678</v>
      </c>
      <c r="T294" s="35">
        <f t="shared" si="426"/>
        <v>1779.9202580644746</v>
      </c>
      <c r="U294" s="35">
        <f t="shared" si="427"/>
        <v>13029.920258064474</v>
      </c>
      <c r="V294" s="15">
        <f t="shared" si="428"/>
        <v>110915.48499999972</v>
      </c>
      <c r="W294" s="17">
        <f t="shared" si="429"/>
        <v>8.5123686717385656</v>
      </c>
      <c r="X294" s="17">
        <f t="shared" si="430"/>
        <v>-0.12061826159477107</v>
      </c>
      <c r="Y294" s="17">
        <f t="shared" si="431"/>
        <v>-0.7623686717385656</v>
      </c>
      <c r="Z294" s="134">
        <f t="shared" si="432"/>
        <v>0.86339745579311233</v>
      </c>
      <c r="AA294" s="15">
        <f>SUM(L$2:L294)-SUM(AB$2:AB294)</f>
        <v>22841.803000000153</v>
      </c>
      <c r="AB294" s="64"/>
      <c r="AC294" s="145">
        <f t="shared" si="433"/>
        <v>-1281.1143481935546</v>
      </c>
      <c r="AD294" s="145">
        <f t="shared" si="434"/>
        <v>-12531.114348193554</v>
      </c>
    </row>
    <row r="295" spans="1:30" x14ac:dyDescent="0.25">
      <c r="A295" s="148">
        <v>43059</v>
      </c>
      <c r="B295" s="100" t="s">
        <v>298</v>
      </c>
      <c r="C295" s="104" t="s">
        <v>69</v>
      </c>
      <c r="D295" s="104">
        <v>400</v>
      </c>
      <c r="E295" s="143">
        <v>7.87</v>
      </c>
      <c r="F295" s="16">
        <f t="shared" si="452"/>
        <v>10850</v>
      </c>
      <c r="G295" s="17">
        <f t="shared" si="453"/>
        <v>8.6618664516129069</v>
      </c>
      <c r="H295" s="15">
        <f t="shared" si="454"/>
        <v>93981.251000000047</v>
      </c>
      <c r="I295" s="15">
        <f t="shared" si="455"/>
        <v>-8591.7510000000475</v>
      </c>
      <c r="J295" s="33">
        <f t="shared" si="456"/>
        <v>-9.1419840751002929E-2</v>
      </c>
      <c r="K295" s="15">
        <f t="shared" si="457"/>
        <v>85389.5</v>
      </c>
      <c r="L295" s="15">
        <f t="shared" si="458"/>
        <v>1341.851999999999</v>
      </c>
      <c r="M295" s="15">
        <f t="shared" si="459"/>
        <v>5</v>
      </c>
      <c r="N295" s="15">
        <f t="shared" si="422"/>
        <v>3.1480000000000001</v>
      </c>
      <c r="O295" s="64"/>
      <c r="P295" s="17">
        <f t="shared" si="423"/>
        <v>-0.79186645161290681</v>
      </c>
      <c r="Q295" s="15">
        <f t="shared" si="424"/>
        <v>3139.851999999999</v>
      </c>
      <c r="R295" s="35"/>
      <c r="S295" s="35">
        <f t="shared" si="425"/>
        <v>16934.233999999677</v>
      </c>
      <c r="T295" s="35">
        <f t="shared" si="426"/>
        <v>2151.7451080050414</v>
      </c>
      <c r="U295" s="35">
        <f t="shared" si="427"/>
        <v>13001.745108005041</v>
      </c>
      <c r="V295" s="15">
        <f t="shared" si="428"/>
        <v>110915.48499999972</v>
      </c>
      <c r="W295" s="17">
        <f t="shared" si="429"/>
        <v>8.530815215852078</v>
      </c>
      <c r="X295" s="17">
        <f t="shared" si="430"/>
        <v>-0.13105123576082889</v>
      </c>
      <c r="Y295" s="17">
        <f t="shared" si="431"/>
        <v>-0.66081521585207792</v>
      </c>
      <c r="Z295" s="134">
        <f t="shared" si="432"/>
        <v>0.83450336165410333</v>
      </c>
      <c r="AA295" s="15">
        <f>SUM(L$2:L295)-SUM(AB$2:AB295)</f>
        <v>24183.655000000152</v>
      </c>
      <c r="AB295" s="64"/>
      <c r="AC295" s="145">
        <f t="shared" si="433"/>
        <v>-1091.1632940914926</v>
      </c>
      <c r="AD295" s="145">
        <f t="shared" si="434"/>
        <v>-11941.163294091493</v>
      </c>
    </row>
    <row r="296" spans="1:30" x14ac:dyDescent="0.25">
      <c r="A296" s="148">
        <v>43063</v>
      </c>
      <c r="B296" s="100"/>
      <c r="C296" s="104" t="s">
        <v>63</v>
      </c>
      <c r="D296" s="104">
        <v>500</v>
      </c>
      <c r="E296" s="143">
        <v>7.69</v>
      </c>
      <c r="F296" s="16">
        <f t="shared" si="452"/>
        <v>11350</v>
      </c>
      <c r="G296" s="17">
        <f t="shared" si="453"/>
        <v>8.6194934801762155</v>
      </c>
      <c r="H296" s="15">
        <f t="shared" si="454"/>
        <v>97831.251000000047</v>
      </c>
      <c r="I296" s="15">
        <f t="shared" si="455"/>
        <v>-10549.751000000047</v>
      </c>
      <c r="J296" s="33">
        <f t="shared" si="456"/>
        <v>-0.10783620665343467</v>
      </c>
      <c r="K296" s="15">
        <f t="shared" si="457"/>
        <v>87281.5</v>
      </c>
      <c r="L296" s="15">
        <f t="shared" si="458"/>
        <v>-1958</v>
      </c>
      <c r="M296" s="15">
        <f t="shared" si="459"/>
        <v>5</v>
      </c>
      <c r="N296" s="15">
        <f t="shared" si="422"/>
        <v>0</v>
      </c>
      <c r="O296" s="64"/>
      <c r="P296" s="17">
        <f t="shared" si="423"/>
        <v>-0.92949348017621514</v>
      </c>
      <c r="Q296" s="15">
        <f t="shared" si="424"/>
        <v>-3850</v>
      </c>
      <c r="R296" s="35"/>
      <c r="S296" s="35">
        <f t="shared" si="425"/>
        <v>13084.233999999677</v>
      </c>
      <c r="T296" s="35">
        <f t="shared" si="426"/>
        <v>1701.4608582574351</v>
      </c>
      <c r="U296" s="35">
        <f t="shared" si="427"/>
        <v>13051.460858257435</v>
      </c>
      <c r="V296" s="15">
        <f t="shared" si="428"/>
        <v>110915.48499999972</v>
      </c>
      <c r="W296" s="17">
        <f t="shared" si="429"/>
        <v>8.4983195524679829</v>
      </c>
      <c r="X296" s="17">
        <f t="shared" si="430"/>
        <v>-0.12117392770823265</v>
      </c>
      <c r="Y296" s="17">
        <f t="shared" si="431"/>
        <v>-0.80831955246798248</v>
      </c>
      <c r="Z296" s="134">
        <f t="shared" si="432"/>
        <v>0.8696344511364833</v>
      </c>
      <c r="AA296" s="15">
        <f>SUM(L$2:L296)-SUM(AB$2:AB296)</f>
        <v>22225.655000000152</v>
      </c>
      <c r="AB296" s="64"/>
      <c r="AC296" s="145">
        <f t="shared" si="433"/>
        <v>-1371.1932541612546</v>
      </c>
      <c r="AD296" s="145">
        <f t="shared" si="434"/>
        <v>-12721.193254161255</v>
      </c>
    </row>
    <row r="297" spans="1:30" x14ac:dyDescent="0.25">
      <c r="A297" s="148">
        <v>43067</v>
      </c>
      <c r="B297" s="100"/>
      <c r="C297" s="104" t="s">
        <v>69</v>
      </c>
      <c r="D297" s="104">
        <v>400</v>
      </c>
      <c r="E297" s="143">
        <v>7.84</v>
      </c>
      <c r="F297" s="16">
        <f t="shared" ref="F297:F305" si="460">IF(C297="买",F296+D297,F296-D297)</f>
        <v>10950</v>
      </c>
      <c r="G297" s="17">
        <f t="shared" ref="G297:G305" si="461">H297/F297</f>
        <v>8.648711141552516</v>
      </c>
      <c r="H297" s="15">
        <f t="shared" ref="H297:H305" si="462">IF(C297="买",H296+D297*E297+M297+N297,H296+-1*D297*E297+M297+N297)+O296</f>
        <v>94703.387000000046</v>
      </c>
      <c r="I297" s="15">
        <f t="shared" ref="I297:I305" si="463">-H297+K297</f>
        <v>-8855.3870000000461</v>
      </c>
      <c r="J297" s="33">
        <f t="shared" ref="J297:J305" si="464">(E297-G297)/G297</f>
        <v>-9.3506550087802523E-2</v>
      </c>
      <c r="K297" s="15">
        <f t="shared" ref="K297:K305" si="465">F297*E297</f>
        <v>85848</v>
      </c>
      <c r="L297" s="15">
        <f t="shared" ref="L297:L305" si="466">I297-I296</f>
        <v>1694.3640000000014</v>
      </c>
      <c r="M297" s="15">
        <f t="shared" ref="M297:M305" si="467">IF(D297*E297*2.5/10000&gt;5,D297*E297*2.5/10000,5)</f>
        <v>5</v>
      </c>
      <c r="N297" s="15">
        <f t="shared" ref="N297:N305" si="468">IF(C297="卖",D297*E297/1000,0)</f>
        <v>3.1360000000000001</v>
      </c>
      <c r="O297" s="64"/>
      <c r="P297" s="17">
        <f t="shared" ref="P297:P305" si="469">E297-G297</f>
        <v>-0.80871114155251611</v>
      </c>
      <c r="Q297" s="15">
        <f t="shared" ref="Q297:Q305" si="470">(H297-H296)*-1</f>
        <v>3127.8640000000014</v>
      </c>
      <c r="R297" s="35"/>
      <c r="S297" s="35">
        <f t="shared" ref="S297:S305" si="471">S296+Q297+O297+R297</f>
        <v>16212.097999999678</v>
      </c>
      <c r="T297" s="35">
        <f t="shared" ref="T297:T305" si="472">S297/E297</f>
        <v>2067.869642857102</v>
      </c>
      <c r="U297" s="35">
        <f t="shared" ref="U297:U305" si="473">F297+T297</f>
        <v>13017.869642857102</v>
      </c>
      <c r="V297" s="15">
        <f t="shared" ref="V297:V305" si="474">H297+S297</f>
        <v>110915.48499999972</v>
      </c>
      <c r="W297" s="17">
        <f t="shared" ref="W297:W305" si="475">V297/U297</f>
        <v>8.5202485539451533</v>
      </c>
      <c r="X297" s="17">
        <f t="shared" ref="X297:X305" si="476">W297-G297</f>
        <v>-0.12846258760736262</v>
      </c>
      <c r="Y297" s="17">
        <f t="shared" ref="Y297:Y305" si="477">(X297-P297)*-1</f>
        <v>-0.68024855394515349</v>
      </c>
      <c r="Z297" s="134">
        <f t="shared" ref="Z297:Z305" si="478">F297/U297</f>
        <v>0.84115145568447591</v>
      </c>
      <c r="AA297" s="15">
        <f>SUM(L$2:L297)-SUM(AB$2:AB297)</f>
        <v>23920.019000000153</v>
      </c>
      <c r="AB297" s="64"/>
      <c r="AC297" s="145">
        <f t="shared" ref="AC297:AC305" si="479">I297/E297*(1-0.0005)</f>
        <v>-1128.94889113521</v>
      </c>
      <c r="AD297" s="145">
        <f t="shared" ref="AD297:AD305" si="480">AC297-F297</f>
        <v>-12078.948891135209</v>
      </c>
    </row>
    <row r="298" spans="1:30" x14ac:dyDescent="0.25">
      <c r="A298" s="148">
        <v>43068</v>
      </c>
      <c r="B298" s="100" t="s">
        <v>465</v>
      </c>
      <c r="C298" s="104" t="s">
        <v>69</v>
      </c>
      <c r="D298" s="104">
        <v>400</v>
      </c>
      <c r="E298" s="143">
        <v>8.0500000000000007</v>
      </c>
      <c r="F298" s="16">
        <f t="shared" si="460"/>
        <v>10550</v>
      </c>
      <c r="G298" s="17">
        <f t="shared" si="461"/>
        <v>8.6721902369668289</v>
      </c>
      <c r="H298" s="15">
        <f t="shared" si="462"/>
        <v>91491.607000000047</v>
      </c>
      <c r="I298" s="15">
        <f t="shared" si="463"/>
        <v>-6564.1070000000327</v>
      </c>
      <c r="J298" s="33">
        <f t="shared" si="464"/>
        <v>-7.1745455296244098E-2</v>
      </c>
      <c r="K298" s="15">
        <f t="shared" si="465"/>
        <v>84927.500000000015</v>
      </c>
      <c r="L298" s="15">
        <f t="shared" si="466"/>
        <v>2291.2800000000134</v>
      </c>
      <c r="M298" s="15">
        <f t="shared" si="467"/>
        <v>5</v>
      </c>
      <c r="N298" s="15">
        <f t="shared" si="468"/>
        <v>3.2200000000000006</v>
      </c>
      <c r="O298" s="64"/>
      <c r="P298" s="17">
        <f t="shared" si="469"/>
        <v>-0.62219023696682818</v>
      </c>
      <c r="Q298" s="15">
        <f t="shared" si="470"/>
        <v>3211.7799999999988</v>
      </c>
      <c r="R298" s="35"/>
      <c r="S298" s="35">
        <f t="shared" si="471"/>
        <v>19423.877999999677</v>
      </c>
      <c r="T298" s="35">
        <f t="shared" si="472"/>
        <v>2412.9040993788417</v>
      </c>
      <c r="U298" s="35">
        <f t="shared" si="473"/>
        <v>12962.904099378842</v>
      </c>
      <c r="V298" s="15">
        <f t="shared" si="474"/>
        <v>110915.48499999972</v>
      </c>
      <c r="W298" s="17">
        <f t="shared" si="475"/>
        <v>8.5563762679779902</v>
      </c>
      <c r="X298" s="17">
        <f t="shared" si="476"/>
        <v>-0.11581396898883867</v>
      </c>
      <c r="Y298" s="17">
        <f t="shared" si="477"/>
        <v>-0.50637626797798951</v>
      </c>
      <c r="Z298" s="134">
        <f t="shared" si="478"/>
        <v>0.81386083852194324</v>
      </c>
      <c r="AA298" s="15">
        <f>SUM(L$2:L298)-SUM(AB$2:AB298)</f>
        <v>26211.299000000166</v>
      </c>
      <c r="AB298" s="64"/>
      <c r="AC298" s="145">
        <f t="shared" si="479"/>
        <v>-815.00931012422757</v>
      </c>
      <c r="AD298" s="145">
        <f t="shared" si="480"/>
        <v>-11365.009310124227</v>
      </c>
    </row>
    <row r="299" spans="1:30" x14ac:dyDescent="0.25">
      <c r="A299" s="148">
        <v>43074</v>
      </c>
      <c r="B299" s="100" t="s">
        <v>321</v>
      </c>
      <c r="C299" s="104" t="s">
        <v>63</v>
      </c>
      <c r="D299" s="104">
        <v>500</v>
      </c>
      <c r="E299" s="143">
        <v>7.82</v>
      </c>
      <c r="F299" s="16">
        <f t="shared" si="460"/>
        <v>11050</v>
      </c>
      <c r="G299" s="17">
        <f t="shared" si="461"/>
        <v>8.6340820814479677</v>
      </c>
      <c r="H299" s="15">
        <f t="shared" si="462"/>
        <v>95406.607000000047</v>
      </c>
      <c r="I299" s="15">
        <f t="shared" si="463"/>
        <v>-8995.6070000000473</v>
      </c>
      <c r="J299" s="33">
        <f t="shared" si="464"/>
        <v>-9.4287044502065112E-2</v>
      </c>
      <c r="K299" s="15">
        <f t="shared" si="465"/>
        <v>86411</v>
      </c>
      <c r="L299" s="15">
        <f t="shared" si="466"/>
        <v>-2431.5000000000146</v>
      </c>
      <c r="M299" s="15">
        <f t="shared" si="467"/>
        <v>5</v>
      </c>
      <c r="N299" s="15">
        <f t="shared" si="468"/>
        <v>0</v>
      </c>
      <c r="O299" s="64"/>
      <c r="P299" s="17">
        <f t="shared" si="469"/>
        <v>-0.81408208144796745</v>
      </c>
      <c r="Q299" s="15">
        <f t="shared" si="470"/>
        <v>-3915</v>
      </c>
      <c r="R299" s="35"/>
      <c r="S299" s="35">
        <f t="shared" si="471"/>
        <v>15508.877999999677</v>
      </c>
      <c r="T299" s="35">
        <f t="shared" si="472"/>
        <v>1983.232480818373</v>
      </c>
      <c r="U299" s="35">
        <f t="shared" si="473"/>
        <v>13033.232480818373</v>
      </c>
      <c r="V299" s="15">
        <f t="shared" si="474"/>
        <v>110915.48499999972</v>
      </c>
      <c r="W299" s="17">
        <f t="shared" si="475"/>
        <v>8.5102053664153772</v>
      </c>
      <c r="X299" s="17">
        <f t="shared" si="476"/>
        <v>-0.12387671503259057</v>
      </c>
      <c r="Y299" s="17">
        <f t="shared" si="477"/>
        <v>-0.69020536641537689</v>
      </c>
      <c r="Z299" s="134">
        <f t="shared" si="478"/>
        <v>0.84783264752338372</v>
      </c>
      <c r="AA299" s="15">
        <f>SUM(L$2:L299)-SUM(AB$2:AB299)</f>
        <v>23779.799000000152</v>
      </c>
      <c r="AB299" s="64"/>
      <c r="AC299" s="145">
        <f t="shared" si="479"/>
        <v>-1149.7582092711059</v>
      </c>
      <c r="AD299" s="145">
        <f t="shared" si="480"/>
        <v>-12199.758209271105</v>
      </c>
    </row>
    <row r="300" spans="1:30" x14ac:dyDescent="0.25">
      <c r="A300" s="148">
        <v>43080</v>
      </c>
      <c r="B300" s="100" t="s">
        <v>466</v>
      </c>
      <c r="C300" s="104" t="s">
        <v>69</v>
      </c>
      <c r="D300" s="104">
        <v>400</v>
      </c>
      <c r="E300" s="143">
        <f>E299+0.16</f>
        <v>7.98</v>
      </c>
      <c r="F300" s="16">
        <f t="shared" si="460"/>
        <v>10650</v>
      </c>
      <c r="G300" s="17">
        <f t="shared" si="461"/>
        <v>8.6594177464788764</v>
      </c>
      <c r="H300" s="15">
        <f t="shared" si="462"/>
        <v>92222.799000000043</v>
      </c>
      <c r="I300" s="15">
        <f t="shared" si="463"/>
        <v>-7235.7990000000427</v>
      </c>
      <c r="J300" s="33">
        <f t="shared" si="464"/>
        <v>-7.8459980378604938E-2</v>
      </c>
      <c r="K300" s="15">
        <f t="shared" si="465"/>
        <v>84987</v>
      </c>
      <c r="L300" s="15">
        <f t="shared" si="466"/>
        <v>1759.8080000000045</v>
      </c>
      <c r="M300" s="15">
        <f t="shared" si="467"/>
        <v>5</v>
      </c>
      <c r="N300" s="15">
        <f t="shared" si="468"/>
        <v>3.1920000000000002</v>
      </c>
      <c r="O300" s="64"/>
      <c r="P300" s="17">
        <f t="shared" si="469"/>
        <v>-0.67941774647887598</v>
      </c>
      <c r="Q300" s="15">
        <f t="shared" si="470"/>
        <v>3183.8080000000045</v>
      </c>
      <c r="R300" s="35"/>
      <c r="S300" s="35">
        <f t="shared" si="471"/>
        <v>18692.685999999681</v>
      </c>
      <c r="T300" s="35">
        <f t="shared" si="472"/>
        <v>2342.4418546365514</v>
      </c>
      <c r="U300" s="35">
        <f t="shared" si="473"/>
        <v>12992.441854636552</v>
      </c>
      <c r="V300" s="15">
        <f t="shared" si="474"/>
        <v>110915.48499999972</v>
      </c>
      <c r="W300" s="17">
        <f t="shared" si="475"/>
        <v>8.5369237161848694</v>
      </c>
      <c r="X300" s="17">
        <f t="shared" si="476"/>
        <v>-0.12249403029400696</v>
      </c>
      <c r="Y300" s="17">
        <f t="shared" si="477"/>
        <v>-0.55692371618486902</v>
      </c>
      <c r="Z300" s="134">
        <f t="shared" si="478"/>
        <v>0.81970734363528319</v>
      </c>
      <c r="AA300" s="15">
        <f>SUM(L$2:L300)-SUM(AB$2:AB300)</f>
        <v>25539.607000000156</v>
      </c>
      <c r="AB300" s="64"/>
      <c r="AC300" s="145">
        <f t="shared" si="479"/>
        <v>-906.28835845865206</v>
      </c>
      <c r="AD300" s="145">
        <f t="shared" si="480"/>
        <v>-11556.288358458653</v>
      </c>
    </row>
    <row r="301" spans="1:30" x14ac:dyDescent="0.25">
      <c r="A301" s="148">
        <v>43080</v>
      </c>
      <c r="B301" s="100"/>
      <c r="C301" s="104" t="s">
        <v>69</v>
      </c>
      <c r="D301" s="104">
        <v>400</v>
      </c>
      <c r="E301" s="143">
        <v>8.0500000000000007</v>
      </c>
      <c r="F301" s="16">
        <f t="shared" si="460"/>
        <v>10250</v>
      </c>
      <c r="G301" s="17">
        <f t="shared" si="461"/>
        <v>8.6840018536585415</v>
      </c>
      <c r="H301" s="15">
        <f t="shared" si="462"/>
        <v>89011.019000000044</v>
      </c>
      <c r="I301" s="15">
        <f t="shared" si="463"/>
        <v>-6498.5190000000293</v>
      </c>
      <c r="J301" s="33">
        <f t="shared" si="464"/>
        <v>-7.3008028365567176E-2</v>
      </c>
      <c r="K301" s="15">
        <f t="shared" si="465"/>
        <v>82512.500000000015</v>
      </c>
      <c r="L301" s="15">
        <f t="shared" si="466"/>
        <v>737.28000000001339</v>
      </c>
      <c r="M301" s="15">
        <f t="shared" si="467"/>
        <v>5</v>
      </c>
      <c r="N301" s="15">
        <f t="shared" si="468"/>
        <v>3.2200000000000006</v>
      </c>
      <c r="O301" s="64"/>
      <c r="P301" s="17">
        <f t="shared" si="469"/>
        <v>-0.63400185365854078</v>
      </c>
      <c r="Q301" s="15">
        <f t="shared" si="470"/>
        <v>3211.7799999999988</v>
      </c>
      <c r="R301" s="35"/>
      <c r="S301" s="35">
        <f t="shared" si="471"/>
        <v>21904.46599999968</v>
      </c>
      <c r="T301" s="35">
        <f t="shared" si="472"/>
        <v>2721.0516770185936</v>
      </c>
      <c r="U301" s="35">
        <f t="shared" si="473"/>
        <v>12971.051677018593</v>
      </c>
      <c r="V301" s="15">
        <f t="shared" si="474"/>
        <v>110915.48499999972</v>
      </c>
      <c r="W301" s="17">
        <f t="shared" si="475"/>
        <v>8.5510017045505862</v>
      </c>
      <c r="X301" s="17">
        <f t="shared" si="476"/>
        <v>-0.13300014910795532</v>
      </c>
      <c r="Y301" s="17">
        <f t="shared" si="477"/>
        <v>-0.50100170455058546</v>
      </c>
      <c r="Z301" s="134">
        <f t="shared" si="478"/>
        <v>0.79022119834434046</v>
      </c>
      <c r="AA301" s="15">
        <f>SUM(L$2:L301)-SUM(AB$2:AB301)</f>
        <v>26276.88700000017</v>
      </c>
      <c r="AB301" s="64"/>
      <c r="AC301" s="145">
        <f t="shared" si="479"/>
        <v>-806.86580627329556</v>
      </c>
      <c r="AD301" s="145">
        <f t="shared" si="480"/>
        <v>-11056.865806273296</v>
      </c>
    </row>
    <row r="302" spans="1:30" x14ac:dyDescent="0.25">
      <c r="A302" s="148">
        <v>43083</v>
      </c>
      <c r="B302" s="100" t="s">
        <v>300</v>
      </c>
      <c r="C302" s="104" t="s">
        <v>69</v>
      </c>
      <c r="D302" s="104">
        <v>400</v>
      </c>
      <c r="E302" s="143">
        <v>8.2200000000000006</v>
      </c>
      <c r="F302" s="16">
        <f t="shared" si="460"/>
        <v>9850</v>
      </c>
      <c r="G302" s="17">
        <f t="shared" si="461"/>
        <v>8.7036859898477204</v>
      </c>
      <c r="H302" s="15">
        <f t="shared" si="462"/>
        <v>85731.307000000044</v>
      </c>
      <c r="I302" s="15">
        <f t="shared" si="463"/>
        <v>-4764.3070000000444</v>
      </c>
      <c r="J302" s="33">
        <f t="shared" si="464"/>
        <v>-5.55725459778659E-2</v>
      </c>
      <c r="K302" s="15">
        <f t="shared" si="465"/>
        <v>80967</v>
      </c>
      <c r="L302" s="15">
        <f t="shared" si="466"/>
        <v>1734.211999999985</v>
      </c>
      <c r="M302" s="15">
        <f t="shared" si="467"/>
        <v>5</v>
      </c>
      <c r="N302" s="15">
        <f t="shared" si="468"/>
        <v>3.2880000000000003</v>
      </c>
      <c r="O302" s="64"/>
      <c r="P302" s="17">
        <f t="shared" si="469"/>
        <v>-0.48368598984771971</v>
      </c>
      <c r="Q302" s="15">
        <f t="shared" si="470"/>
        <v>3279.7119999999995</v>
      </c>
      <c r="R302" s="35"/>
      <c r="S302" s="35">
        <f t="shared" si="471"/>
        <v>25184.17799999968</v>
      </c>
      <c r="T302" s="35">
        <f t="shared" si="472"/>
        <v>3063.7686131386467</v>
      </c>
      <c r="U302" s="35">
        <f t="shared" si="473"/>
        <v>12913.768613138647</v>
      </c>
      <c r="V302" s="15">
        <f t="shared" si="474"/>
        <v>110915.48499999972</v>
      </c>
      <c r="W302" s="17">
        <f t="shared" si="475"/>
        <v>8.588932349860503</v>
      </c>
      <c r="X302" s="17">
        <f t="shared" si="476"/>
        <v>-0.11475363998721733</v>
      </c>
      <c r="Y302" s="17">
        <f t="shared" si="477"/>
        <v>-0.36893234986050238</v>
      </c>
      <c r="Z302" s="134">
        <f t="shared" si="478"/>
        <v>0.76275178029583657</v>
      </c>
      <c r="AA302" s="15">
        <f>SUM(L$2:L302)-SUM(AB$2:AB302)</f>
        <v>28011.099000000155</v>
      </c>
      <c r="AB302" s="64"/>
      <c r="AC302" s="145">
        <f t="shared" si="479"/>
        <v>-579.30959203163559</v>
      </c>
      <c r="AD302" s="145">
        <f t="shared" si="480"/>
        <v>-10429.309592031635</v>
      </c>
    </row>
    <row r="303" spans="1:30" x14ac:dyDescent="0.25">
      <c r="A303" s="148">
        <v>43084</v>
      </c>
      <c r="B303" s="100" t="s">
        <v>467</v>
      </c>
      <c r="C303" s="104" t="s">
        <v>63</v>
      </c>
      <c r="D303" s="104">
        <v>500</v>
      </c>
      <c r="E303" s="143">
        <v>7.96</v>
      </c>
      <c r="F303" s="16">
        <f t="shared" si="460"/>
        <v>10350</v>
      </c>
      <c r="G303" s="17">
        <f t="shared" si="461"/>
        <v>8.6682422222222257</v>
      </c>
      <c r="H303" s="15">
        <f t="shared" si="462"/>
        <v>89716.307000000044</v>
      </c>
      <c r="I303" s="15">
        <f t="shared" si="463"/>
        <v>-7330.3070000000444</v>
      </c>
      <c r="J303" s="33">
        <f t="shared" si="464"/>
        <v>-8.1705402787032172E-2</v>
      </c>
      <c r="K303" s="15">
        <f t="shared" si="465"/>
        <v>82386</v>
      </c>
      <c r="L303" s="15">
        <f t="shared" si="466"/>
        <v>-2566</v>
      </c>
      <c r="M303" s="15">
        <f t="shared" si="467"/>
        <v>5</v>
      </c>
      <c r="N303" s="15">
        <f t="shared" si="468"/>
        <v>0</v>
      </c>
      <c r="O303" s="64"/>
      <c r="P303" s="17">
        <f t="shared" si="469"/>
        <v>-0.70824222222222577</v>
      </c>
      <c r="Q303" s="15">
        <f t="shared" si="470"/>
        <v>-3985</v>
      </c>
      <c r="R303" s="35"/>
      <c r="S303" s="35">
        <f t="shared" si="471"/>
        <v>21199.17799999968</v>
      </c>
      <c r="T303" s="35">
        <f t="shared" si="472"/>
        <v>2663.2133165828745</v>
      </c>
      <c r="U303" s="35">
        <f t="shared" si="473"/>
        <v>13013.213316582875</v>
      </c>
      <c r="V303" s="15">
        <f t="shared" si="474"/>
        <v>110915.48499999972</v>
      </c>
      <c r="W303" s="17">
        <f t="shared" si="475"/>
        <v>8.5232972288757427</v>
      </c>
      <c r="X303" s="17">
        <f t="shared" si="476"/>
        <v>-0.14494499334648303</v>
      </c>
      <c r="Y303" s="17">
        <f t="shared" si="477"/>
        <v>-0.56329722887574274</v>
      </c>
      <c r="Z303" s="134">
        <f t="shared" si="478"/>
        <v>0.79534544990597256</v>
      </c>
      <c r="AA303" s="15">
        <f>SUM(L$2:L303)-SUM(AB$2:AB303)</f>
        <v>25445.099000000155</v>
      </c>
      <c r="AB303" s="64"/>
      <c r="AC303" s="145">
        <f t="shared" si="479"/>
        <v>-920.43239277638759</v>
      </c>
      <c r="AD303" s="145">
        <f t="shared" si="480"/>
        <v>-11270.432392776387</v>
      </c>
    </row>
    <row r="304" spans="1:30" x14ac:dyDescent="0.25">
      <c r="A304" s="148">
        <v>43089</v>
      </c>
      <c r="B304" s="100"/>
      <c r="C304" s="104" t="s">
        <v>63</v>
      </c>
      <c r="D304" s="104">
        <v>500</v>
      </c>
      <c r="E304" s="143">
        <v>7.96</v>
      </c>
      <c r="F304" s="16">
        <f t="shared" si="460"/>
        <v>10850</v>
      </c>
      <c r="G304" s="17">
        <f t="shared" si="461"/>
        <v>8.6360651612903272</v>
      </c>
      <c r="H304" s="15">
        <f t="shared" si="462"/>
        <v>93701.307000000044</v>
      </c>
      <c r="I304" s="15">
        <f t="shared" si="463"/>
        <v>-7335.3070000000444</v>
      </c>
      <c r="J304" s="33">
        <f t="shared" si="464"/>
        <v>-7.8283934716087217E-2</v>
      </c>
      <c r="K304" s="15">
        <f t="shared" si="465"/>
        <v>86366</v>
      </c>
      <c r="L304" s="15">
        <f t="shared" si="466"/>
        <v>-5</v>
      </c>
      <c r="M304" s="15">
        <f t="shared" si="467"/>
        <v>5</v>
      </c>
      <c r="N304" s="15">
        <f t="shared" si="468"/>
        <v>0</v>
      </c>
      <c r="O304" s="64"/>
      <c r="P304" s="17">
        <f t="shared" si="469"/>
        <v>-0.67606516129032723</v>
      </c>
      <c r="Q304" s="15">
        <f t="shared" si="470"/>
        <v>-3985</v>
      </c>
      <c r="R304" s="35"/>
      <c r="S304" s="35">
        <f t="shared" si="471"/>
        <v>17214.17799999968</v>
      </c>
      <c r="T304" s="35">
        <f t="shared" si="472"/>
        <v>2162.5851758793569</v>
      </c>
      <c r="U304" s="35">
        <f t="shared" si="473"/>
        <v>13012.585175879358</v>
      </c>
      <c r="V304" s="15">
        <f t="shared" si="474"/>
        <v>110915.48499999972</v>
      </c>
      <c r="W304" s="17">
        <f t="shared" si="475"/>
        <v>8.5237086636402619</v>
      </c>
      <c r="X304" s="17">
        <f t="shared" si="476"/>
        <v>-0.11235649765006528</v>
      </c>
      <c r="Y304" s="17">
        <f t="shared" si="477"/>
        <v>-0.56370866364026195</v>
      </c>
      <c r="Z304" s="134">
        <f t="shared" si="478"/>
        <v>0.83380818287452896</v>
      </c>
      <c r="AA304" s="15">
        <f>SUM(L$2:L304)-SUM(AB$2:AB304)</f>
        <v>25440.099000000155</v>
      </c>
      <c r="AB304" s="64"/>
      <c r="AC304" s="145">
        <f t="shared" si="479"/>
        <v>-921.06021940955338</v>
      </c>
      <c r="AD304" s="145">
        <f t="shared" si="480"/>
        <v>-11771.060219409554</v>
      </c>
    </row>
    <row r="305" spans="1:31" x14ac:dyDescent="0.25">
      <c r="A305" s="148">
        <v>43095</v>
      </c>
      <c r="B305" s="100" t="s">
        <v>468</v>
      </c>
      <c r="C305" s="104" t="s">
        <v>69</v>
      </c>
      <c r="D305" s="104">
        <v>400</v>
      </c>
      <c r="E305" s="143">
        <v>8.1</v>
      </c>
      <c r="F305" s="16">
        <f t="shared" si="460"/>
        <v>10450</v>
      </c>
      <c r="G305" s="17">
        <f t="shared" si="461"/>
        <v>8.6573729186602915</v>
      </c>
      <c r="H305" s="15">
        <f t="shared" si="462"/>
        <v>90469.54700000005</v>
      </c>
      <c r="I305" s="15">
        <f t="shared" si="463"/>
        <v>-5824.5470000000496</v>
      </c>
      <c r="J305" s="33">
        <f t="shared" si="464"/>
        <v>-6.438129948854554E-2</v>
      </c>
      <c r="K305" s="15">
        <f t="shared" si="465"/>
        <v>84645</v>
      </c>
      <c r="L305" s="15">
        <f t="shared" si="466"/>
        <v>1510.7599999999948</v>
      </c>
      <c r="M305" s="15">
        <f t="shared" si="467"/>
        <v>5</v>
      </c>
      <c r="N305" s="15">
        <f t="shared" si="468"/>
        <v>3.24</v>
      </c>
      <c r="O305" s="64"/>
      <c r="P305" s="17">
        <f t="shared" si="469"/>
        <v>-0.55737291866029182</v>
      </c>
      <c r="Q305" s="15">
        <f t="shared" si="470"/>
        <v>3231.7599999999948</v>
      </c>
      <c r="R305" s="35"/>
      <c r="S305" s="35">
        <f t="shared" si="471"/>
        <v>20445.937999999675</v>
      </c>
      <c r="T305" s="35">
        <f t="shared" si="472"/>
        <v>2524.1898765431697</v>
      </c>
      <c r="U305" s="35">
        <f t="shared" si="473"/>
        <v>12974.189876543169</v>
      </c>
      <c r="V305" s="15">
        <f t="shared" si="474"/>
        <v>110915.48499999972</v>
      </c>
      <c r="W305" s="17">
        <f t="shared" si="475"/>
        <v>8.5489333866255972</v>
      </c>
      <c r="X305" s="17">
        <f t="shared" si="476"/>
        <v>-0.10843953203469425</v>
      </c>
      <c r="Y305" s="17">
        <f t="shared" si="477"/>
        <v>-0.44893338662559756</v>
      </c>
      <c r="Z305" s="134">
        <f t="shared" si="478"/>
        <v>0.80544528016297912</v>
      </c>
      <c r="AA305" s="15">
        <f>SUM(L$2:L305)-SUM(AB$2:AB305)</f>
        <v>26950.85900000015</v>
      </c>
      <c r="AB305" s="64"/>
      <c r="AC305" s="145">
        <f t="shared" si="479"/>
        <v>-718.72033660494446</v>
      </c>
      <c r="AD305" s="145">
        <f t="shared" si="480"/>
        <v>-11168.720336604945</v>
      </c>
    </row>
    <row r="306" spans="1:31" x14ac:dyDescent="0.25">
      <c r="A306" s="148">
        <v>43095</v>
      </c>
      <c r="B306" s="100" t="s">
        <v>469</v>
      </c>
      <c r="C306" s="104" t="s">
        <v>69</v>
      </c>
      <c r="D306" s="104">
        <v>400</v>
      </c>
      <c r="E306" s="143">
        <v>8.3800000000000008</v>
      </c>
      <c r="F306" s="16">
        <f t="shared" ref="F306:F315" si="481">IF(C306="买",F305+D306,F305-D306)</f>
        <v>10050</v>
      </c>
      <c r="G306" s="17">
        <f t="shared" ref="G306:G314" si="482">H306/F306</f>
        <v>8.6692436815920448</v>
      </c>
      <c r="H306" s="15">
        <f t="shared" ref="H306:H314" si="483">IF(C306="买",H305+D306*E306+M306+N306,H305+-1*D306*E306+M306+N306)+O305</f>
        <v>87125.899000000049</v>
      </c>
      <c r="I306" s="15">
        <f t="shared" ref="I306:I314" si="484">-H306+K306</f>
        <v>-2906.899000000034</v>
      </c>
      <c r="J306" s="33">
        <f t="shared" ref="J306:J314" si="485">(E306-G306)/G306</f>
        <v>-3.3364350134281441E-2</v>
      </c>
      <c r="K306" s="15">
        <f t="shared" ref="K306:K314" si="486">F306*E306</f>
        <v>84219.000000000015</v>
      </c>
      <c r="L306" s="15">
        <f t="shared" ref="L306:L314" si="487">I306-I305</f>
        <v>2917.6480000000156</v>
      </c>
      <c r="M306" s="15">
        <f t="shared" ref="M306:M314" si="488">IF(D306*E306*2.5/10000&gt;5,D306*E306*2.5/10000,5)</f>
        <v>5</v>
      </c>
      <c r="N306" s="15">
        <f t="shared" ref="N306:N314" si="489">IF(C306="卖",D306*E306/1000,0)</f>
        <v>3.3520000000000003</v>
      </c>
      <c r="O306" s="64"/>
      <c r="P306" s="17">
        <f t="shared" ref="P306:P314" si="490">E306-G306</f>
        <v>-0.28924368159204406</v>
      </c>
      <c r="Q306" s="15">
        <f t="shared" ref="Q306:Q314" si="491">(H306-H305)*-1</f>
        <v>3343.648000000001</v>
      </c>
      <c r="R306" s="35"/>
      <c r="S306" s="35">
        <f t="shared" ref="S306:S314" si="492">S305+Q306+O306+R306</f>
        <v>23789.585999999676</v>
      </c>
      <c r="T306" s="35">
        <f t="shared" ref="T306:T314" si="493">S306/E306</f>
        <v>2838.8527446300327</v>
      </c>
      <c r="U306" s="35">
        <f t="shared" ref="U306:U314" si="494">F306+T306</f>
        <v>12888.852744630032</v>
      </c>
      <c r="V306" s="15">
        <f t="shared" ref="V306:V314" si="495">H306+S306</f>
        <v>110915.48499999972</v>
      </c>
      <c r="W306" s="17">
        <f t="shared" ref="W306:W314" si="496">V306/U306</f>
        <v>8.6055358997107927</v>
      </c>
      <c r="X306" s="17">
        <f t="shared" ref="X306:X314" si="497">W306-G306</f>
        <v>-6.3707781881252146E-2</v>
      </c>
      <c r="Y306" s="17">
        <f t="shared" ref="Y306:Y314" si="498">(X306-P306)*-1</f>
        <v>-0.22553589971079191</v>
      </c>
      <c r="Z306" s="134">
        <f t="shared" ref="Z306:Z314" si="499">F306/U306</f>
        <v>0.77974356594206551</v>
      </c>
      <c r="AA306" s="15">
        <f>SUM(L$2:L306)-SUM(AB$2:AB306)</f>
        <v>29868.507000000165</v>
      </c>
      <c r="AB306" s="64"/>
      <c r="AC306" s="145">
        <f t="shared" ref="AC306:AC314" si="500">I306/E306*(1-0.0005)</f>
        <v>-346.7118795346102</v>
      </c>
      <c r="AD306" s="145">
        <f t="shared" ref="AD306:AD314" si="501">AC306-F306</f>
        <v>-10396.71187953461</v>
      </c>
    </row>
    <row r="307" spans="1:31" x14ac:dyDescent="0.25">
      <c r="A307" s="148">
        <v>43095</v>
      </c>
      <c r="B307" s="100" t="s">
        <v>470</v>
      </c>
      <c r="C307" s="104" t="s">
        <v>69</v>
      </c>
      <c r="D307" s="104">
        <v>400</v>
      </c>
      <c r="E307" s="143">
        <v>8.44</v>
      </c>
      <c r="F307" s="16">
        <f t="shared" si="481"/>
        <v>9650</v>
      </c>
      <c r="G307" s="17">
        <f t="shared" si="482"/>
        <v>8.6796139896373106</v>
      </c>
      <c r="H307" s="15">
        <f t="shared" si="483"/>
        <v>83758.275000000052</v>
      </c>
      <c r="I307" s="15">
        <f t="shared" si="484"/>
        <v>-2312.2750000000524</v>
      </c>
      <c r="J307" s="33">
        <f t="shared" si="485"/>
        <v>-2.7606526041755879E-2</v>
      </c>
      <c r="K307" s="15">
        <f t="shared" si="486"/>
        <v>81446</v>
      </c>
      <c r="L307" s="15">
        <f t="shared" si="487"/>
        <v>594.62399999998161</v>
      </c>
      <c r="M307" s="15">
        <f t="shared" si="488"/>
        <v>5</v>
      </c>
      <c r="N307" s="15">
        <f t="shared" si="489"/>
        <v>3.3759999999999999</v>
      </c>
      <c r="O307" s="64"/>
      <c r="P307" s="17">
        <f t="shared" si="490"/>
        <v>-0.23961398963731106</v>
      </c>
      <c r="Q307" s="15">
        <f t="shared" si="491"/>
        <v>3367.6239999999962</v>
      </c>
      <c r="R307" s="35"/>
      <c r="S307" s="35">
        <f t="shared" si="492"/>
        <v>27157.209999999672</v>
      </c>
      <c r="T307" s="35">
        <f t="shared" si="493"/>
        <v>3217.6789099525681</v>
      </c>
      <c r="U307" s="35">
        <f t="shared" si="494"/>
        <v>12867.678909952569</v>
      </c>
      <c r="V307" s="15">
        <f t="shared" si="495"/>
        <v>110915.48499999972</v>
      </c>
      <c r="W307" s="17">
        <f t="shared" si="496"/>
        <v>8.6196963551998174</v>
      </c>
      <c r="X307" s="17">
        <f t="shared" si="497"/>
        <v>-5.9917634437493206E-2</v>
      </c>
      <c r="Y307" s="17">
        <f t="shared" si="498"/>
        <v>-0.17969635519981786</v>
      </c>
      <c r="Z307" s="134">
        <f t="shared" si="499"/>
        <v>0.74994100082309023</v>
      </c>
      <c r="AA307" s="15">
        <f>SUM(L$2:L307)-SUM(AB$2:AB307)</f>
        <v>30463.131000000147</v>
      </c>
      <c r="AB307" s="64"/>
      <c r="AC307" s="145">
        <f t="shared" si="500"/>
        <v>-273.82924911138065</v>
      </c>
      <c r="AD307" s="145">
        <f t="shared" si="501"/>
        <v>-9923.8292491113807</v>
      </c>
    </row>
    <row r="308" spans="1:31" x14ac:dyDescent="0.25">
      <c r="A308" s="148">
        <v>43095</v>
      </c>
      <c r="B308" s="100"/>
      <c r="C308" s="104" t="s">
        <v>69</v>
      </c>
      <c r="D308" s="104">
        <v>400</v>
      </c>
      <c r="E308" s="143">
        <v>8.57</v>
      </c>
      <c r="F308" s="16">
        <f t="shared" si="481"/>
        <v>9250</v>
      </c>
      <c r="G308" s="17">
        <f t="shared" si="482"/>
        <v>8.6852651891891952</v>
      </c>
      <c r="H308" s="15">
        <f t="shared" si="483"/>
        <v>80338.703000000052</v>
      </c>
      <c r="I308" s="15">
        <f t="shared" si="484"/>
        <v>-1066.2030000000523</v>
      </c>
      <c r="J308" s="33">
        <f t="shared" si="485"/>
        <v>-1.3271349426689803E-2</v>
      </c>
      <c r="K308" s="15">
        <f t="shared" si="486"/>
        <v>79272.5</v>
      </c>
      <c r="L308" s="15">
        <f t="shared" si="487"/>
        <v>1246.0720000000001</v>
      </c>
      <c r="M308" s="15">
        <f t="shared" si="488"/>
        <v>5</v>
      </c>
      <c r="N308" s="15">
        <f t="shared" si="489"/>
        <v>3.4279999999999999</v>
      </c>
      <c r="O308" s="64"/>
      <c r="P308" s="17">
        <f t="shared" si="490"/>
        <v>-0.11526518918919493</v>
      </c>
      <c r="Q308" s="15">
        <f t="shared" si="491"/>
        <v>3419.5720000000001</v>
      </c>
      <c r="R308" s="35"/>
      <c r="S308" s="35">
        <f t="shared" si="492"/>
        <v>30576.781999999672</v>
      </c>
      <c r="T308" s="35">
        <f t="shared" si="493"/>
        <v>3567.885880980125</v>
      </c>
      <c r="U308" s="35">
        <f t="shared" si="494"/>
        <v>12817.885880980124</v>
      </c>
      <c r="V308" s="15">
        <f t="shared" si="495"/>
        <v>110915.48499999972</v>
      </c>
      <c r="W308" s="17">
        <f t="shared" si="496"/>
        <v>8.6531808778686461</v>
      </c>
      <c r="X308" s="17">
        <f t="shared" si="497"/>
        <v>-3.2084311320549119E-2</v>
      </c>
      <c r="Y308" s="17">
        <f t="shared" si="498"/>
        <v>-8.3180877868645808E-2</v>
      </c>
      <c r="Z308" s="134">
        <f t="shared" si="499"/>
        <v>0.72164786657413238</v>
      </c>
      <c r="AA308" s="15">
        <f>SUM(L$2:L308)-SUM(AB$2:AB308)</f>
        <v>31709.203000000147</v>
      </c>
      <c r="AB308" s="64"/>
      <c r="AC308" s="145">
        <f t="shared" si="500"/>
        <v>-124.34887963827914</v>
      </c>
      <c r="AD308" s="145">
        <f t="shared" si="501"/>
        <v>-9374.348879638279</v>
      </c>
    </row>
    <row r="309" spans="1:31" x14ac:dyDescent="0.25">
      <c r="A309" s="148">
        <v>43102</v>
      </c>
      <c r="B309" s="100"/>
      <c r="C309" s="104" t="s">
        <v>69</v>
      </c>
      <c r="D309" s="104">
        <v>400</v>
      </c>
      <c r="E309" s="143">
        <v>8.67</v>
      </c>
      <c r="F309" s="16">
        <f t="shared" si="481"/>
        <v>8850</v>
      </c>
      <c r="G309" s="17">
        <f t="shared" si="482"/>
        <v>8.6869119774011345</v>
      </c>
      <c r="H309" s="15">
        <f t="shared" si="483"/>
        <v>76879.171000000046</v>
      </c>
      <c r="I309" s="15">
        <f t="shared" si="484"/>
        <v>-149.67100000004575</v>
      </c>
      <c r="J309" s="33">
        <f t="shared" si="485"/>
        <v>-1.9468342081893815E-3</v>
      </c>
      <c r="K309" s="15">
        <f t="shared" si="486"/>
        <v>76729.5</v>
      </c>
      <c r="L309" s="15">
        <f t="shared" si="487"/>
        <v>916.53200000000652</v>
      </c>
      <c r="M309" s="15">
        <f t="shared" si="488"/>
        <v>5</v>
      </c>
      <c r="N309" s="15">
        <f t="shared" si="489"/>
        <v>3.468</v>
      </c>
      <c r="O309" s="64"/>
      <c r="P309" s="17">
        <f t="shared" si="490"/>
        <v>-1.6911977401134592E-2</v>
      </c>
      <c r="Q309" s="15">
        <f t="shared" si="491"/>
        <v>3459.5320000000065</v>
      </c>
      <c r="R309" s="35"/>
      <c r="S309" s="35">
        <f t="shared" si="492"/>
        <v>34036.313999999678</v>
      </c>
      <c r="T309" s="35">
        <f t="shared" si="493"/>
        <v>3925.7570934255687</v>
      </c>
      <c r="U309" s="35">
        <f t="shared" si="494"/>
        <v>12775.757093425569</v>
      </c>
      <c r="V309" s="15">
        <f t="shared" si="495"/>
        <v>110915.48499999972</v>
      </c>
      <c r="W309" s="17">
        <f t="shared" si="496"/>
        <v>8.6817152352620308</v>
      </c>
      <c r="X309" s="17">
        <f t="shared" si="497"/>
        <v>-5.196742139103705E-3</v>
      </c>
      <c r="Y309" s="17">
        <f t="shared" si="498"/>
        <v>-1.1715235262030887E-2</v>
      </c>
      <c r="Z309" s="134">
        <f t="shared" si="499"/>
        <v>0.69271824247145619</v>
      </c>
      <c r="AA309" s="15">
        <f>SUM(L$2:L309)-SUM(AB$2:AB309)</f>
        <v>32625.735000000153</v>
      </c>
      <c r="AB309" s="64"/>
      <c r="AC309" s="145">
        <f t="shared" si="500"/>
        <v>-17.254459573246336</v>
      </c>
      <c r="AD309" s="145">
        <f t="shared" si="501"/>
        <v>-8867.254459573247</v>
      </c>
    </row>
    <row r="310" spans="1:31" x14ac:dyDescent="0.25">
      <c r="A310" s="148">
        <v>43102</v>
      </c>
      <c r="B310" s="100"/>
      <c r="C310" s="104" t="s">
        <v>69</v>
      </c>
      <c r="D310" s="104">
        <v>400</v>
      </c>
      <c r="E310" s="143">
        <v>8.6999999999999993</v>
      </c>
      <c r="F310" s="16">
        <f t="shared" si="481"/>
        <v>8450</v>
      </c>
      <c r="G310" s="17">
        <f t="shared" si="482"/>
        <v>8.6872959763313666</v>
      </c>
      <c r="H310" s="15">
        <f t="shared" si="483"/>
        <v>73407.651000000042</v>
      </c>
      <c r="I310" s="15">
        <f t="shared" si="484"/>
        <v>107.34899999995832</v>
      </c>
      <c r="J310" s="33">
        <f t="shared" si="485"/>
        <v>1.4623680030293558E-3</v>
      </c>
      <c r="K310" s="15">
        <f t="shared" si="486"/>
        <v>73515</v>
      </c>
      <c r="L310" s="15">
        <f t="shared" si="487"/>
        <v>257.02000000000407</v>
      </c>
      <c r="M310" s="15">
        <f t="shared" si="488"/>
        <v>5</v>
      </c>
      <c r="N310" s="15">
        <f t="shared" si="489"/>
        <v>3.4799999999999995</v>
      </c>
      <c r="O310" s="64"/>
      <c r="P310" s="17">
        <f t="shared" si="490"/>
        <v>1.2704023668632658E-2</v>
      </c>
      <c r="Q310" s="15">
        <f t="shared" si="491"/>
        <v>3471.5200000000041</v>
      </c>
      <c r="R310" s="35"/>
      <c r="S310" s="35">
        <f t="shared" si="492"/>
        <v>37507.833999999682</v>
      </c>
      <c r="T310" s="35">
        <f t="shared" si="493"/>
        <v>4311.2452873562861</v>
      </c>
      <c r="U310" s="35">
        <f t="shared" si="494"/>
        <v>12761.245287356287</v>
      </c>
      <c r="V310" s="15">
        <f t="shared" si="495"/>
        <v>110915.48499999972</v>
      </c>
      <c r="W310" s="17">
        <f t="shared" si="496"/>
        <v>8.6915878899290231</v>
      </c>
      <c r="X310" s="17">
        <f t="shared" si="497"/>
        <v>4.2919135976564604E-3</v>
      </c>
      <c r="Y310" s="17">
        <f t="shared" si="498"/>
        <v>8.4121100709761976E-3</v>
      </c>
      <c r="Z310" s="134">
        <f t="shared" si="499"/>
        <v>0.66216108300748477</v>
      </c>
      <c r="AA310" s="15">
        <f>SUM(L$2:L310)-SUM(AB$2:AB310)</f>
        <v>32882.755000000157</v>
      </c>
      <c r="AB310" s="64"/>
      <c r="AC310" s="145">
        <f t="shared" si="500"/>
        <v>12.332796034477973</v>
      </c>
      <c r="AD310" s="145">
        <f t="shared" si="501"/>
        <v>-8437.6672039655223</v>
      </c>
    </row>
    <row r="311" spans="1:31" x14ac:dyDescent="0.25">
      <c r="A311" s="148">
        <v>43102</v>
      </c>
      <c r="B311" s="100"/>
      <c r="C311" s="104" t="s">
        <v>69</v>
      </c>
      <c r="D311" s="104">
        <v>400</v>
      </c>
      <c r="E311" s="143">
        <v>8.76</v>
      </c>
      <c r="F311" s="16">
        <f t="shared" si="481"/>
        <v>8050</v>
      </c>
      <c r="G311" s="17">
        <f t="shared" si="482"/>
        <v>8.6847397515528009</v>
      </c>
      <c r="H311" s="15">
        <f t="shared" si="483"/>
        <v>69912.155000000042</v>
      </c>
      <c r="I311" s="15">
        <f t="shared" si="484"/>
        <v>605.84499999995751</v>
      </c>
      <c r="J311" s="33">
        <f t="shared" si="485"/>
        <v>8.6658035358794308E-3</v>
      </c>
      <c r="K311" s="15">
        <f t="shared" si="486"/>
        <v>70518</v>
      </c>
      <c r="L311" s="15">
        <f t="shared" si="487"/>
        <v>498.49599999999919</v>
      </c>
      <c r="M311" s="15">
        <f t="shared" si="488"/>
        <v>5</v>
      </c>
      <c r="N311" s="15">
        <f t="shared" si="489"/>
        <v>3.504</v>
      </c>
      <c r="O311" s="64"/>
      <c r="P311" s="17">
        <f t="shared" si="490"/>
        <v>7.5260248447198919E-2</v>
      </c>
      <c r="Q311" s="15">
        <f t="shared" si="491"/>
        <v>3495.4959999999992</v>
      </c>
      <c r="R311" s="35"/>
      <c r="S311" s="35">
        <f t="shared" si="492"/>
        <v>41003.329999999682</v>
      </c>
      <c r="T311" s="35">
        <f t="shared" si="493"/>
        <v>4680.745433789918</v>
      </c>
      <c r="U311" s="35">
        <f t="shared" si="494"/>
        <v>12730.745433789918</v>
      </c>
      <c r="V311" s="15">
        <f t="shared" si="495"/>
        <v>110915.48499999972</v>
      </c>
      <c r="W311" s="17">
        <f t="shared" si="496"/>
        <v>8.7124108778114504</v>
      </c>
      <c r="X311" s="17">
        <f t="shared" si="497"/>
        <v>2.7671126258649537E-2</v>
      </c>
      <c r="Y311" s="17">
        <f t="shared" si="498"/>
        <v>4.7589122188549382E-2</v>
      </c>
      <c r="Z311" s="134">
        <f t="shared" si="499"/>
        <v>0.63232746596548128</v>
      </c>
      <c r="AA311" s="15">
        <f>SUM(L$2:L311)-SUM(AB$2:AB311)</f>
        <v>33381.251000000157</v>
      </c>
      <c r="AB311" s="64"/>
      <c r="AC311" s="145">
        <f t="shared" si="500"/>
        <v>69.125807933785111</v>
      </c>
      <c r="AD311" s="145">
        <f t="shared" si="501"/>
        <v>-7980.8741920662151</v>
      </c>
    </row>
    <row r="312" spans="1:31" x14ac:dyDescent="0.25">
      <c r="A312" s="148">
        <v>43102</v>
      </c>
      <c r="B312" s="100" t="s">
        <v>471</v>
      </c>
      <c r="C312" s="104" t="s">
        <v>69</v>
      </c>
      <c r="D312" s="104">
        <v>400</v>
      </c>
      <c r="E312" s="143">
        <v>8.85</v>
      </c>
      <c r="F312" s="16">
        <f t="shared" si="481"/>
        <v>7650</v>
      </c>
      <c r="G312" s="17">
        <f t="shared" si="482"/>
        <v>8.6772150326797437</v>
      </c>
      <c r="H312" s="15">
        <f t="shared" si="483"/>
        <v>66380.695000000036</v>
      </c>
      <c r="I312" s="15">
        <f t="shared" si="484"/>
        <v>1321.8049999999639</v>
      </c>
      <c r="J312" s="33">
        <f t="shared" si="485"/>
        <v>1.9912491124113075E-2</v>
      </c>
      <c r="K312" s="15">
        <f t="shared" si="486"/>
        <v>67702.5</v>
      </c>
      <c r="L312" s="15">
        <f t="shared" si="487"/>
        <v>715.9600000000064</v>
      </c>
      <c r="M312" s="15">
        <f t="shared" si="488"/>
        <v>5</v>
      </c>
      <c r="N312" s="15">
        <f t="shared" si="489"/>
        <v>3.54</v>
      </c>
      <c r="O312" s="64"/>
      <c r="P312" s="17">
        <f t="shared" si="490"/>
        <v>0.17278496732025594</v>
      </c>
      <c r="Q312" s="15">
        <f t="shared" si="491"/>
        <v>3531.4600000000064</v>
      </c>
      <c r="R312" s="35"/>
      <c r="S312" s="35">
        <f t="shared" si="492"/>
        <v>44534.789999999688</v>
      </c>
      <c r="T312" s="35">
        <f t="shared" si="493"/>
        <v>5032.179661016914</v>
      </c>
      <c r="U312" s="35">
        <f t="shared" si="494"/>
        <v>12682.179661016915</v>
      </c>
      <c r="V312" s="15">
        <f t="shared" si="495"/>
        <v>110915.48499999972</v>
      </c>
      <c r="W312" s="17">
        <f t="shared" si="496"/>
        <v>8.7457746195582615</v>
      </c>
      <c r="X312" s="17">
        <f t="shared" si="497"/>
        <v>6.855958687851782E-2</v>
      </c>
      <c r="Y312" s="17">
        <f t="shared" si="498"/>
        <v>0.10422538044173812</v>
      </c>
      <c r="Z312" s="134">
        <f t="shared" si="499"/>
        <v>0.60320861275250126</v>
      </c>
      <c r="AA312" s="15">
        <f>SUM(L$2:L312)-SUM(AB$2:AB312)</f>
        <v>34097.211000000163</v>
      </c>
      <c r="AB312" s="64"/>
      <c r="AC312" s="145">
        <f t="shared" si="500"/>
        <v>149.28181892654962</v>
      </c>
      <c r="AD312" s="145">
        <f t="shared" si="501"/>
        <v>-7500.7181810734501</v>
      </c>
    </row>
    <row r="313" spans="1:31" x14ac:dyDescent="0.25">
      <c r="A313" s="148">
        <v>43108</v>
      </c>
      <c r="B313" s="100" t="s">
        <v>472</v>
      </c>
      <c r="C313" s="104" t="s">
        <v>69</v>
      </c>
      <c r="D313" s="104">
        <v>400</v>
      </c>
      <c r="E313" s="143">
        <v>8.86</v>
      </c>
      <c r="F313" s="16">
        <f t="shared" si="481"/>
        <v>7250</v>
      </c>
      <c r="G313" s="17">
        <f t="shared" si="482"/>
        <v>8.6683088275862126</v>
      </c>
      <c r="H313" s="15">
        <f t="shared" si="483"/>
        <v>62845.239000000038</v>
      </c>
      <c r="I313" s="15">
        <f t="shared" si="484"/>
        <v>1389.7609999999549</v>
      </c>
      <c r="J313" s="33">
        <f t="shared" si="485"/>
        <v>2.2114022034349392E-2</v>
      </c>
      <c r="K313" s="15">
        <f t="shared" si="486"/>
        <v>64234.999999999993</v>
      </c>
      <c r="L313" s="15">
        <f t="shared" si="487"/>
        <v>67.955999999991036</v>
      </c>
      <c r="M313" s="15">
        <f t="shared" si="488"/>
        <v>5</v>
      </c>
      <c r="N313" s="15">
        <f t="shared" si="489"/>
        <v>3.544</v>
      </c>
      <c r="O313" s="64"/>
      <c r="P313" s="17">
        <f t="shared" si="490"/>
        <v>0.19169117241378686</v>
      </c>
      <c r="Q313" s="15">
        <f t="shared" si="491"/>
        <v>3535.4559999999983</v>
      </c>
      <c r="R313" s="35"/>
      <c r="S313" s="35">
        <f t="shared" si="492"/>
        <v>48070.245999999686</v>
      </c>
      <c r="T313" s="35">
        <f t="shared" si="493"/>
        <v>5425.5356659141862</v>
      </c>
      <c r="U313" s="35">
        <f t="shared" si="494"/>
        <v>12675.535665914187</v>
      </c>
      <c r="V313" s="15">
        <f t="shared" si="495"/>
        <v>110915.48499999972</v>
      </c>
      <c r="W313" s="17">
        <f t="shared" si="496"/>
        <v>8.750358795349598</v>
      </c>
      <c r="X313" s="17">
        <f t="shared" si="497"/>
        <v>8.2049967763385467E-2</v>
      </c>
      <c r="Y313" s="17">
        <f t="shared" si="498"/>
        <v>0.10964120465040139</v>
      </c>
      <c r="Z313" s="134">
        <f t="shared" si="499"/>
        <v>0.57196793816737801</v>
      </c>
      <c r="AA313" s="15">
        <f>SUM(L$2:L313)-SUM(AB$2:AB313)</f>
        <v>1389.7609999999549</v>
      </c>
      <c r="AB313" s="64">
        <v>32775.406000000199</v>
      </c>
      <c r="AC313" s="145">
        <f t="shared" si="500"/>
        <v>156.77947172685725</v>
      </c>
      <c r="AD313" s="145">
        <f t="shared" si="501"/>
        <v>-7093.2205282731429</v>
      </c>
      <c r="AE313" s="73"/>
    </row>
    <row r="314" spans="1:31" x14ac:dyDescent="0.25">
      <c r="A314" s="148">
        <v>43108</v>
      </c>
      <c r="B314" s="100"/>
      <c r="C314" s="104" t="s">
        <v>69</v>
      </c>
      <c r="D314" s="104">
        <v>400</v>
      </c>
      <c r="E314" s="143">
        <v>8.91</v>
      </c>
      <c r="F314" s="16">
        <f t="shared" si="481"/>
        <v>6850</v>
      </c>
      <c r="G314" s="17">
        <f t="shared" si="482"/>
        <v>8.6554456934306625</v>
      </c>
      <c r="H314" s="15">
        <f t="shared" si="483"/>
        <v>59289.803000000036</v>
      </c>
      <c r="I314" s="15">
        <f t="shared" si="484"/>
        <v>1743.6969999999637</v>
      </c>
      <c r="J314" s="33">
        <f t="shared" si="485"/>
        <v>2.9409728347384822E-2</v>
      </c>
      <c r="K314" s="15">
        <f t="shared" si="486"/>
        <v>61033.5</v>
      </c>
      <c r="L314" s="15">
        <f t="shared" si="487"/>
        <v>353.93600000000879</v>
      </c>
      <c r="M314" s="15">
        <f t="shared" si="488"/>
        <v>5</v>
      </c>
      <c r="N314" s="15">
        <f t="shared" si="489"/>
        <v>3.5640000000000001</v>
      </c>
      <c r="O314" s="64"/>
      <c r="P314" s="17">
        <f t="shared" si="490"/>
        <v>0.25455430656933764</v>
      </c>
      <c r="Q314" s="15">
        <f t="shared" si="491"/>
        <v>3555.4360000000015</v>
      </c>
      <c r="R314" s="35"/>
      <c r="S314" s="35">
        <f t="shared" si="492"/>
        <v>51625.681999999688</v>
      </c>
      <c r="T314" s="35">
        <f t="shared" si="493"/>
        <v>5794.1281705948022</v>
      </c>
      <c r="U314" s="35">
        <f t="shared" si="494"/>
        <v>12644.128170594802</v>
      </c>
      <c r="V314" s="15">
        <f t="shared" si="495"/>
        <v>110915.48499999972</v>
      </c>
      <c r="W314" s="17">
        <f t="shared" si="496"/>
        <v>8.7720943273846981</v>
      </c>
      <c r="X314" s="17">
        <f t="shared" si="497"/>
        <v>0.11664863395403557</v>
      </c>
      <c r="Y314" s="17">
        <f t="shared" si="498"/>
        <v>0.13790567261530207</v>
      </c>
      <c r="Z314" s="134">
        <f t="shared" si="499"/>
        <v>0.54175344536054038</v>
      </c>
      <c r="AA314" s="15">
        <f>SUM(L$2:L314)-SUM(AB$2:AB314)</f>
        <v>1743.6969999999637</v>
      </c>
      <c r="AB314" s="64"/>
      <c r="AC314" s="145">
        <f t="shared" si="500"/>
        <v>195.60327177328438</v>
      </c>
      <c r="AD314" s="145">
        <f t="shared" si="501"/>
        <v>-6654.3967282267158</v>
      </c>
    </row>
    <row r="315" spans="1:31" x14ac:dyDescent="0.25">
      <c r="A315" s="148">
        <v>43110</v>
      </c>
      <c r="B315" s="100" t="s">
        <v>327</v>
      </c>
      <c r="C315" s="104" t="s">
        <v>63</v>
      </c>
      <c r="D315" s="104">
        <v>500</v>
      </c>
      <c r="E315" s="143">
        <v>8.64</v>
      </c>
      <c r="F315" s="16">
        <f t="shared" si="481"/>
        <v>7350</v>
      </c>
      <c r="G315" s="17">
        <f t="shared" ref="G315:G326" si="502">H315/F315</f>
        <v>8.6550752380952432</v>
      </c>
      <c r="H315" s="15">
        <f t="shared" ref="H315:H326" si="503">IF(C315="买",H314+D315*E315+M315+N315,H314+-1*D315*E315+M315+N315)+O314</f>
        <v>63614.803000000036</v>
      </c>
      <c r="I315" s="15">
        <f t="shared" ref="I315:I326" si="504">-H315+K315</f>
        <v>-110.80300000002899</v>
      </c>
      <c r="J315" s="33">
        <f t="shared" ref="J315:J326" si="505">(E315-G315)/G315</f>
        <v>-1.7417801325272189E-3</v>
      </c>
      <c r="K315" s="15">
        <f t="shared" ref="K315:K326" si="506">F315*E315</f>
        <v>63504.000000000007</v>
      </c>
      <c r="L315" s="15">
        <f t="shared" ref="L315:L326" si="507">I315-I314</f>
        <v>-1854.4999999999927</v>
      </c>
      <c r="M315" s="15">
        <f t="shared" ref="M315:M326" si="508">IF(D315*E315*2.5/10000&gt;5,D315*E315*2.5/10000,5)</f>
        <v>5</v>
      </c>
      <c r="N315" s="15">
        <f t="shared" ref="N315:N326" si="509">IF(C315="卖",D315*E315/1000,0)</f>
        <v>0</v>
      </c>
      <c r="O315" s="64"/>
      <c r="P315" s="17">
        <f t="shared" ref="P315:P326" si="510">E315-G315</f>
        <v>-1.5075238095242582E-2</v>
      </c>
      <c r="Q315" s="15">
        <f t="shared" ref="Q315:Q326" si="511">(H315-H314)*-1</f>
        <v>-4325</v>
      </c>
      <c r="R315" s="35"/>
      <c r="S315" s="35">
        <f t="shared" ref="S315:S326" si="512">S314+Q315+O315+R315</f>
        <v>47300.681999999688</v>
      </c>
      <c r="T315" s="35">
        <f t="shared" ref="T315:T326" si="513">S315/E315</f>
        <v>5474.6159722221855</v>
      </c>
      <c r="U315" s="35">
        <f t="shared" ref="U315:U326" si="514">F315+T315</f>
        <v>12824.615972222186</v>
      </c>
      <c r="V315" s="15">
        <f t="shared" ref="V315:V326" si="515">H315+S315</f>
        <v>110915.48499999972</v>
      </c>
      <c r="W315" s="17">
        <f t="shared" ref="W315:W326" si="516">V315/U315</f>
        <v>8.6486398688459794</v>
      </c>
      <c r="X315" s="17">
        <f t="shared" ref="X315:X326" si="517">W315-G315</f>
        <v>-6.4353692492638004E-3</v>
      </c>
      <c r="Y315" s="17">
        <f t="shared" ref="Y315:Y326" si="518">(X315-P315)*-1</f>
        <v>-8.639868845978782E-3</v>
      </c>
      <c r="Z315" s="134">
        <f t="shared" ref="Z315:Z326" si="519">F315/U315</f>
        <v>0.57311657642770164</v>
      </c>
      <c r="AA315" s="15">
        <f>SUM(L$2:L315)-SUM(AB$2:AB315)</f>
        <v>-110.80300000002899</v>
      </c>
      <c r="AB315" s="64"/>
      <c r="AC315" s="145">
        <f t="shared" ref="AC315:AC326" si="520">I315/E315*(1-0.0005)</f>
        <v>-12.818009085651502</v>
      </c>
      <c r="AD315" s="145">
        <f t="shared" ref="AD315:AD326" si="521">AC315-F315</f>
        <v>-7362.8180090856513</v>
      </c>
    </row>
    <row r="316" spans="1:31" x14ac:dyDescent="0.25">
      <c r="A316" s="148">
        <v>43110</v>
      </c>
      <c r="B316" s="100"/>
      <c r="C316" s="104" t="s">
        <v>63</v>
      </c>
      <c r="D316" s="104">
        <v>500</v>
      </c>
      <c r="E316" s="143">
        <v>8.56</v>
      </c>
      <c r="F316" s="16">
        <f t="shared" ref="F316:F326" si="522">IF(C316="买",F315+D316,F315-D316)</f>
        <v>7850</v>
      </c>
      <c r="G316" s="17">
        <f t="shared" si="502"/>
        <v>8.6496564331210255</v>
      </c>
      <c r="H316" s="15">
        <f t="shared" si="503"/>
        <v>67899.803000000044</v>
      </c>
      <c r="I316" s="15">
        <f t="shared" si="504"/>
        <v>-703.80300000004354</v>
      </c>
      <c r="J316" s="33">
        <f t="shared" si="505"/>
        <v>-1.03653172601995E-2</v>
      </c>
      <c r="K316" s="15">
        <f t="shared" si="506"/>
        <v>67196</v>
      </c>
      <c r="L316" s="15">
        <f t="shared" si="507"/>
        <v>-593.00000000001455</v>
      </c>
      <c r="M316" s="15">
        <f t="shared" si="508"/>
        <v>5</v>
      </c>
      <c r="N316" s="15">
        <f t="shared" si="509"/>
        <v>0</v>
      </c>
      <c r="O316" s="64"/>
      <c r="P316" s="17">
        <f t="shared" si="510"/>
        <v>-8.9656433121025003E-2</v>
      </c>
      <c r="Q316" s="15">
        <f t="shared" si="511"/>
        <v>-4285.0000000000073</v>
      </c>
      <c r="R316" s="35"/>
      <c r="S316" s="35">
        <f t="shared" si="512"/>
        <v>43015.681999999681</v>
      </c>
      <c r="T316" s="35">
        <f t="shared" si="513"/>
        <v>5025.1964953270653</v>
      </c>
      <c r="U316" s="35">
        <f t="shared" si="514"/>
        <v>12875.196495327065</v>
      </c>
      <c r="V316" s="15">
        <f t="shared" si="515"/>
        <v>110915.48499999972</v>
      </c>
      <c r="W316" s="17">
        <f t="shared" si="516"/>
        <v>8.6146634764180483</v>
      </c>
      <c r="X316" s="17">
        <f t="shared" si="517"/>
        <v>-3.4992956702977196E-2</v>
      </c>
      <c r="Y316" s="17">
        <f t="shared" si="518"/>
        <v>-5.4663476418047807E-2</v>
      </c>
      <c r="Z316" s="134">
        <f t="shared" si="519"/>
        <v>0.60969943276975114</v>
      </c>
      <c r="AA316" s="15">
        <f>SUM(L$2:L316)-SUM(AB$2:AB316)</f>
        <v>-703.80300000004354</v>
      </c>
      <c r="AB316" s="64"/>
      <c r="AC316" s="145">
        <f t="shared" si="520"/>
        <v>-82.178866647201346</v>
      </c>
      <c r="AD316" s="145">
        <f t="shared" si="521"/>
        <v>-7932.1788666472012</v>
      </c>
    </row>
    <row r="317" spans="1:31" x14ac:dyDescent="0.25">
      <c r="A317" s="148">
        <v>43112</v>
      </c>
      <c r="B317" s="100" t="s">
        <v>473</v>
      </c>
      <c r="C317" s="104" t="s">
        <v>69</v>
      </c>
      <c r="D317" s="104">
        <v>400</v>
      </c>
      <c r="E317" s="143">
        <v>8.7100000000000009</v>
      </c>
      <c r="F317" s="16">
        <f t="shared" si="522"/>
        <v>7450</v>
      </c>
      <c r="G317" s="17">
        <f t="shared" si="502"/>
        <v>8.6475553020134281</v>
      </c>
      <c r="H317" s="15">
        <f t="shared" si="503"/>
        <v>64424.28700000004</v>
      </c>
      <c r="I317" s="15">
        <f t="shared" si="504"/>
        <v>465.212999999967</v>
      </c>
      <c r="J317" s="33">
        <f t="shared" si="505"/>
        <v>7.2210810808036787E-3</v>
      </c>
      <c r="K317" s="15">
        <f t="shared" si="506"/>
        <v>64889.500000000007</v>
      </c>
      <c r="L317" s="15">
        <f t="shared" si="507"/>
        <v>1169.0160000000105</v>
      </c>
      <c r="M317" s="15">
        <f t="shared" si="508"/>
        <v>5</v>
      </c>
      <c r="N317" s="15">
        <f t="shared" si="509"/>
        <v>3.4840000000000004</v>
      </c>
      <c r="O317" s="64"/>
      <c r="P317" s="17">
        <f t="shared" si="510"/>
        <v>6.2444697986572706E-2</v>
      </c>
      <c r="Q317" s="15">
        <f t="shared" si="511"/>
        <v>3475.5160000000033</v>
      </c>
      <c r="R317" s="35"/>
      <c r="S317" s="35">
        <f t="shared" si="512"/>
        <v>46491.197999999684</v>
      </c>
      <c r="T317" s="35">
        <f t="shared" si="513"/>
        <v>5337.6805970148889</v>
      </c>
      <c r="U317" s="35">
        <f t="shared" si="514"/>
        <v>12787.680597014889</v>
      </c>
      <c r="V317" s="15">
        <f t="shared" si="515"/>
        <v>110915.48499999972</v>
      </c>
      <c r="W317" s="17">
        <f t="shared" si="516"/>
        <v>8.6736202205340849</v>
      </c>
      <c r="X317" s="17">
        <f t="shared" si="517"/>
        <v>2.6064918520656732E-2</v>
      </c>
      <c r="Y317" s="17">
        <f t="shared" si="518"/>
        <v>3.6379779465915973E-2</v>
      </c>
      <c r="Z317" s="134">
        <f t="shared" si="519"/>
        <v>0.58259196759567966</v>
      </c>
      <c r="AA317" s="15">
        <f>SUM(L$2:L317)-SUM(AB$2:AB317)</f>
        <v>465.212999999967</v>
      </c>
      <c r="AB317" s="64"/>
      <c r="AC317" s="145">
        <f t="shared" si="520"/>
        <v>53.384660562567966</v>
      </c>
      <c r="AD317" s="145">
        <f t="shared" si="521"/>
        <v>-7396.6153394374323</v>
      </c>
    </row>
    <row r="318" spans="1:31" x14ac:dyDescent="0.25">
      <c r="A318" s="148">
        <v>43115</v>
      </c>
      <c r="B318" s="100" t="s">
        <v>326</v>
      </c>
      <c r="C318" s="104" t="s">
        <v>63</v>
      </c>
      <c r="D318" s="104">
        <v>500</v>
      </c>
      <c r="E318" s="143">
        <v>8.39</v>
      </c>
      <c r="F318" s="16">
        <f t="shared" si="522"/>
        <v>7950</v>
      </c>
      <c r="G318" s="17">
        <f t="shared" si="502"/>
        <v>8.6319857861635274</v>
      </c>
      <c r="H318" s="15">
        <f t="shared" si="503"/>
        <v>68624.28700000004</v>
      </c>
      <c r="I318" s="15">
        <f t="shared" si="504"/>
        <v>-1923.7870000000403</v>
      </c>
      <c r="J318" s="33">
        <f t="shared" si="505"/>
        <v>-2.8033617311026302E-2</v>
      </c>
      <c r="K318" s="15">
        <f t="shared" si="506"/>
        <v>66700.5</v>
      </c>
      <c r="L318" s="15">
        <f t="shared" si="507"/>
        <v>-2389.0000000000073</v>
      </c>
      <c r="M318" s="15">
        <f t="shared" si="508"/>
        <v>5</v>
      </c>
      <c r="N318" s="15">
        <f t="shared" si="509"/>
        <v>0</v>
      </c>
      <c r="O318" s="64"/>
      <c r="P318" s="17">
        <f t="shared" si="510"/>
        <v>-0.24198578616352684</v>
      </c>
      <c r="Q318" s="15">
        <f t="shared" si="511"/>
        <v>-4200</v>
      </c>
      <c r="R318" s="35"/>
      <c r="S318" s="35">
        <f t="shared" si="512"/>
        <v>42291.197999999684</v>
      </c>
      <c r="T318" s="35">
        <f t="shared" si="513"/>
        <v>5040.6672228843481</v>
      </c>
      <c r="U318" s="35">
        <f t="shared" si="514"/>
        <v>12990.667222884349</v>
      </c>
      <c r="V318" s="15">
        <f t="shared" si="515"/>
        <v>110915.48499999972</v>
      </c>
      <c r="W318" s="17">
        <f t="shared" si="516"/>
        <v>8.5380899300238475</v>
      </c>
      <c r="X318" s="17">
        <f t="shared" si="517"/>
        <v>-9.3895856139679879E-2</v>
      </c>
      <c r="Y318" s="17">
        <f t="shared" si="518"/>
        <v>-0.14808993002384696</v>
      </c>
      <c r="Z318" s="134">
        <f t="shared" si="519"/>
        <v>0.61197780403421365</v>
      </c>
      <c r="AA318" s="15">
        <f>SUM(L$2:L318)-SUM(AB$2:AB318)</f>
        <v>-1923.7870000000403</v>
      </c>
      <c r="AB318" s="64"/>
      <c r="AC318" s="145">
        <f t="shared" si="520"/>
        <v>-229.1805848033421</v>
      </c>
      <c r="AD318" s="145">
        <f t="shared" si="521"/>
        <v>-8179.1805848033418</v>
      </c>
    </row>
    <row r="319" spans="1:31" x14ac:dyDescent="0.25">
      <c r="A319" s="148">
        <v>43116</v>
      </c>
      <c r="B319" s="100"/>
      <c r="C319" s="104" t="s">
        <v>69</v>
      </c>
      <c r="D319" s="104">
        <v>400</v>
      </c>
      <c r="E319" s="143">
        <v>8.5</v>
      </c>
      <c r="F319" s="16">
        <f t="shared" si="522"/>
        <v>7550</v>
      </c>
      <c r="G319" s="17">
        <f t="shared" si="502"/>
        <v>8.6400909933774894</v>
      </c>
      <c r="H319" s="15">
        <f t="shared" si="503"/>
        <v>65232.687000000042</v>
      </c>
      <c r="I319" s="15">
        <f t="shared" si="504"/>
        <v>-1057.6870000000417</v>
      </c>
      <c r="J319" s="33">
        <f t="shared" si="505"/>
        <v>-1.6214064583910892E-2</v>
      </c>
      <c r="K319" s="15">
        <f t="shared" si="506"/>
        <v>64175</v>
      </c>
      <c r="L319" s="15">
        <f t="shared" si="507"/>
        <v>866.09999999999854</v>
      </c>
      <c r="M319" s="15">
        <f t="shared" si="508"/>
        <v>5</v>
      </c>
      <c r="N319" s="15">
        <f t="shared" si="509"/>
        <v>3.4</v>
      </c>
      <c r="O319" s="64"/>
      <c r="P319" s="17">
        <f t="shared" si="510"/>
        <v>-0.14009099337748943</v>
      </c>
      <c r="Q319" s="15">
        <f t="shared" si="511"/>
        <v>3391.5999999999985</v>
      </c>
      <c r="R319" s="35"/>
      <c r="S319" s="35">
        <f t="shared" si="512"/>
        <v>45682.797999999682</v>
      </c>
      <c r="T319" s="35">
        <f t="shared" si="513"/>
        <v>5374.4468235293743</v>
      </c>
      <c r="U319" s="35">
        <f t="shared" si="514"/>
        <v>12924.446823529375</v>
      </c>
      <c r="V319" s="15">
        <f t="shared" si="515"/>
        <v>110915.48499999972</v>
      </c>
      <c r="W319" s="17">
        <f t="shared" si="516"/>
        <v>8.5818361524049518</v>
      </c>
      <c r="X319" s="17">
        <f t="shared" si="517"/>
        <v>-5.8254840972537636E-2</v>
      </c>
      <c r="Y319" s="17">
        <f t="shared" si="518"/>
        <v>-8.183615240495179E-2</v>
      </c>
      <c r="Z319" s="134">
        <f t="shared" si="519"/>
        <v>0.58416426660945986</v>
      </c>
      <c r="AA319" s="15">
        <f>SUM(L$2:L319)-SUM(AB$2:AB319)</f>
        <v>-1057.6870000000417</v>
      </c>
      <c r="AB319" s="64"/>
      <c r="AC319" s="145">
        <f t="shared" si="520"/>
        <v>-124.37154782353431</v>
      </c>
      <c r="AD319" s="145">
        <f t="shared" si="521"/>
        <v>-7674.3715478235345</v>
      </c>
    </row>
    <row r="320" spans="1:31" x14ac:dyDescent="0.25">
      <c r="A320" s="148">
        <v>43117</v>
      </c>
      <c r="B320" s="100" t="s">
        <v>329</v>
      </c>
      <c r="C320" s="104" t="s">
        <v>63</v>
      </c>
      <c r="D320" s="104">
        <v>500</v>
      </c>
      <c r="E320" s="143">
        <v>8.34</v>
      </c>
      <c r="F320" s="16">
        <f t="shared" si="522"/>
        <v>8050</v>
      </c>
      <c r="G320" s="17">
        <f t="shared" si="502"/>
        <v>8.6220729192546628</v>
      </c>
      <c r="H320" s="15">
        <f t="shared" si="503"/>
        <v>69407.687000000034</v>
      </c>
      <c r="I320" s="15">
        <f t="shared" si="504"/>
        <v>-2270.6870000000345</v>
      </c>
      <c r="J320" s="33">
        <f t="shared" si="505"/>
        <v>-3.2715209195777341E-2</v>
      </c>
      <c r="K320" s="15">
        <f t="shared" si="506"/>
        <v>67137</v>
      </c>
      <c r="L320" s="15">
        <f t="shared" si="507"/>
        <v>-1212.9999999999927</v>
      </c>
      <c r="M320" s="15">
        <f t="shared" si="508"/>
        <v>5</v>
      </c>
      <c r="N320" s="15">
        <f t="shared" si="509"/>
        <v>0</v>
      </c>
      <c r="O320" s="64"/>
      <c r="P320" s="17">
        <f t="shared" si="510"/>
        <v>-0.28207291925466293</v>
      </c>
      <c r="Q320" s="15">
        <f t="shared" si="511"/>
        <v>-4174.9999999999927</v>
      </c>
      <c r="R320" s="35"/>
      <c r="S320" s="35">
        <f t="shared" si="512"/>
        <v>41507.79799999969</v>
      </c>
      <c r="T320" s="35">
        <f t="shared" si="513"/>
        <v>4976.9541966426486</v>
      </c>
      <c r="U320" s="35">
        <f t="shared" si="514"/>
        <v>13026.954196642648</v>
      </c>
      <c r="V320" s="15">
        <f t="shared" si="515"/>
        <v>110915.48499999972</v>
      </c>
      <c r="W320" s="17">
        <f t="shared" si="516"/>
        <v>8.5143068230473435</v>
      </c>
      <c r="X320" s="17">
        <f t="shared" si="517"/>
        <v>-0.10776609620731925</v>
      </c>
      <c r="Y320" s="17">
        <f t="shared" si="518"/>
        <v>-0.17430682304734368</v>
      </c>
      <c r="Z320" s="134">
        <f t="shared" si="519"/>
        <v>0.61794951287037414</v>
      </c>
      <c r="AA320" s="15">
        <f>SUM(L$2:L320)-SUM(AB$2:AB320)</f>
        <v>-2270.6870000000345</v>
      </c>
      <c r="AB320" s="64"/>
      <c r="AC320" s="145">
        <f t="shared" si="520"/>
        <v>-272.12849598321759</v>
      </c>
      <c r="AD320" s="145">
        <f t="shared" si="521"/>
        <v>-8322.1284959832174</v>
      </c>
    </row>
    <row r="321" spans="1:30" x14ac:dyDescent="0.25">
      <c r="A321" s="148">
        <v>43118</v>
      </c>
      <c r="B321" s="100"/>
      <c r="C321" s="104" t="s">
        <v>69</v>
      </c>
      <c r="D321" s="104">
        <v>400</v>
      </c>
      <c r="E321" s="143">
        <v>8.4</v>
      </c>
      <c r="F321" s="16">
        <f t="shared" si="522"/>
        <v>7650</v>
      </c>
      <c r="G321" s="17">
        <f t="shared" si="502"/>
        <v>8.6347773856209198</v>
      </c>
      <c r="H321" s="15">
        <f t="shared" si="503"/>
        <v>66056.047000000035</v>
      </c>
      <c r="I321" s="15">
        <f t="shared" si="504"/>
        <v>-1796.047000000035</v>
      </c>
      <c r="J321" s="33">
        <f t="shared" si="505"/>
        <v>-2.7189743885219664E-2</v>
      </c>
      <c r="K321" s="15">
        <f t="shared" si="506"/>
        <v>64260</v>
      </c>
      <c r="L321" s="15">
        <f t="shared" si="507"/>
        <v>474.63999999999942</v>
      </c>
      <c r="M321" s="15">
        <f t="shared" si="508"/>
        <v>5</v>
      </c>
      <c r="N321" s="15">
        <f t="shared" si="509"/>
        <v>3.36</v>
      </c>
      <c r="O321" s="64"/>
      <c r="P321" s="17">
        <f t="shared" si="510"/>
        <v>-0.23477738562091943</v>
      </c>
      <c r="Q321" s="15">
        <f t="shared" si="511"/>
        <v>3351.6399999999994</v>
      </c>
      <c r="R321" s="35"/>
      <c r="S321" s="35">
        <f t="shared" si="512"/>
        <v>44859.437999999689</v>
      </c>
      <c r="T321" s="35">
        <f t="shared" si="513"/>
        <v>5340.4092857142487</v>
      </c>
      <c r="U321" s="35">
        <f t="shared" si="514"/>
        <v>12990.40928571425</v>
      </c>
      <c r="V321" s="15">
        <f t="shared" si="515"/>
        <v>110915.48499999972</v>
      </c>
      <c r="W321" s="17">
        <f t="shared" si="516"/>
        <v>8.5382594620767769</v>
      </c>
      <c r="X321" s="17">
        <f t="shared" si="517"/>
        <v>-9.6517923544142903E-2</v>
      </c>
      <c r="Y321" s="17">
        <f t="shared" si="518"/>
        <v>-0.13825946207677653</v>
      </c>
      <c r="Z321" s="134">
        <f t="shared" si="519"/>
        <v>0.58889599486390476</v>
      </c>
      <c r="AA321" s="15">
        <f>SUM(L$2:L321)-SUM(AB$2:AB321)</f>
        <v>-1796.047000000035</v>
      </c>
      <c r="AB321" s="64"/>
      <c r="AC321" s="145">
        <f t="shared" si="520"/>
        <v>-213.70821148809941</v>
      </c>
      <c r="AD321" s="145">
        <f t="shared" si="521"/>
        <v>-7863.7082114880996</v>
      </c>
    </row>
    <row r="322" spans="1:30" x14ac:dyDescent="0.25">
      <c r="A322" s="148">
        <v>43119</v>
      </c>
      <c r="B322" s="100"/>
      <c r="C322" s="104" t="s">
        <v>69</v>
      </c>
      <c r="D322" s="104">
        <v>400</v>
      </c>
      <c r="E322" s="143">
        <v>8.5399999999999991</v>
      </c>
      <c r="F322" s="16">
        <f t="shared" si="522"/>
        <v>7250</v>
      </c>
      <c r="G322" s="17">
        <f t="shared" si="502"/>
        <v>8.6411673103448319</v>
      </c>
      <c r="H322" s="15">
        <f t="shared" si="503"/>
        <v>62648.463000000032</v>
      </c>
      <c r="I322" s="15">
        <f t="shared" si="504"/>
        <v>-733.46300000003976</v>
      </c>
      <c r="J322" s="33">
        <f t="shared" si="505"/>
        <v>-1.1707597678813556E-2</v>
      </c>
      <c r="K322" s="15">
        <f t="shared" si="506"/>
        <v>61914.999999999993</v>
      </c>
      <c r="L322" s="15">
        <f t="shared" si="507"/>
        <v>1062.5839999999953</v>
      </c>
      <c r="M322" s="15">
        <f t="shared" si="508"/>
        <v>5</v>
      </c>
      <c r="N322" s="15">
        <f t="shared" si="509"/>
        <v>3.4159999999999995</v>
      </c>
      <c r="O322" s="64"/>
      <c r="P322" s="17">
        <f t="shared" si="510"/>
        <v>-0.10116731034483273</v>
      </c>
      <c r="Q322" s="15">
        <f t="shared" si="511"/>
        <v>3407.5840000000026</v>
      </c>
      <c r="R322" s="35"/>
      <c r="S322" s="35">
        <f t="shared" si="512"/>
        <v>48267.021999999692</v>
      </c>
      <c r="T322" s="35">
        <f t="shared" si="513"/>
        <v>5651.876112412142</v>
      </c>
      <c r="U322" s="35">
        <f t="shared" si="514"/>
        <v>12901.876112412141</v>
      </c>
      <c r="V322" s="15">
        <f t="shared" si="515"/>
        <v>110915.48499999972</v>
      </c>
      <c r="W322" s="17">
        <f t="shared" si="516"/>
        <v>8.5968493290130432</v>
      </c>
      <c r="X322" s="17">
        <f t="shared" si="517"/>
        <v>-4.4317981331788658E-2</v>
      </c>
      <c r="Y322" s="17">
        <f t="shared" si="518"/>
        <v>-5.684932901304407E-2</v>
      </c>
      <c r="Z322" s="134">
        <f t="shared" si="519"/>
        <v>0.56193377899708696</v>
      </c>
      <c r="AA322" s="15">
        <f>SUM(L$2:L322)-SUM(AB$2:AB322)</f>
        <v>-733.46300000003976</v>
      </c>
      <c r="AB322" s="64"/>
      <c r="AC322" s="145">
        <f t="shared" si="520"/>
        <v>-85.84265439110537</v>
      </c>
      <c r="AD322" s="145">
        <f t="shared" si="521"/>
        <v>-7335.8426543911055</v>
      </c>
    </row>
    <row r="323" spans="1:30" x14ac:dyDescent="0.25">
      <c r="A323" s="148">
        <v>43119</v>
      </c>
      <c r="B323" s="100" t="s">
        <v>330</v>
      </c>
      <c r="C323" s="104" t="s">
        <v>63</v>
      </c>
      <c r="D323" s="104">
        <v>400</v>
      </c>
      <c r="E323" s="143">
        <v>8.4600000000000009</v>
      </c>
      <c r="F323" s="16">
        <f t="shared" si="522"/>
        <v>7650</v>
      </c>
      <c r="G323" s="17">
        <f t="shared" si="502"/>
        <v>8.6323481045751684</v>
      </c>
      <c r="H323" s="15">
        <f t="shared" si="503"/>
        <v>66037.463000000032</v>
      </c>
      <c r="I323" s="15">
        <f t="shared" si="504"/>
        <v>-1318.4630000000252</v>
      </c>
      <c r="J323" s="33">
        <f t="shared" si="505"/>
        <v>-1.9965379348386405E-2</v>
      </c>
      <c r="K323" s="15">
        <f t="shared" si="506"/>
        <v>64719.000000000007</v>
      </c>
      <c r="L323" s="15">
        <f t="shared" si="507"/>
        <v>-584.99999999998545</v>
      </c>
      <c r="M323" s="15">
        <f t="shared" si="508"/>
        <v>5</v>
      </c>
      <c r="N323" s="15">
        <f t="shared" si="509"/>
        <v>0</v>
      </c>
      <c r="O323" s="64"/>
      <c r="P323" s="17">
        <f t="shared" si="510"/>
        <v>-0.17234810457516758</v>
      </c>
      <c r="Q323" s="15">
        <f t="shared" si="511"/>
        <v>-3389</v>
      </c>
      <c r="R323" s="35"/>
      <c r="S323" s="35">
        <f t="shared" si="512"/>
        <v>44878.021999999692</v>
      </c>
      <c r="T323" s="35">
        <f t="shared" si="513"/>
        <v>5304.7307328604829</v>
      </c>
      <c r="U323" s="35">
        <f t="shared" si="514"/>
        <v>12954.730732860484</v>
      </c>
      <c r="V323" s="15">
        <f t="shared" si="515"/>
        <v>110915.48499999972</v>
      </c>
      <c r="W323" s="17">
        <f t="shared" si="516"/>
        <v>8.561774635628332</v>
      </c>
      <c r="X323" s="17">
        <f t="shared" si="517"/>
        <v>-7.0573468946836471E-2</v>
      </c>
      <c r="Y323" s="17">
        <f t="shared" si="518"/>
        <v>-0.10177463562833111</v>
      </c>
      <c r="Z323" s="134">
        <f t="shared" si="519"/>
        <v>0.59051787009322376</v>
      </c>
      <c r="AA323" s="15">
        <f>SUM(L$2:L323)-SUM(AB$2:AB323)</f>
        <v>-1318.4630000000252</v>
      </c>
      <c r="AB323" s="64"/>
      <c r="AC323" s="145">
        <f t="shared" si="520"/>
        <v>-155.76876696217789</v>
      </c>
      <c r="AD323" s="145">
        <f t="shared" si="521"/>
        <v>-7805.7687669621782</v>
      </c>
    </row>
    <row r="324" spans="1:30" x14ac:dyDescent="0.25">
      <c r="A324" s="148">
        <v>43122</v>
      </c>
      <c r="B324" s="100" t="s">
        <v>474</v>
      </c>
      <c r="C324" s="104" t="s">
        <v>63</v>
      </c>
      <c r="D324" s="104">
        <v>400</v>
      </c>
      <c r="E324" s="143">
        <v>8.33</v>
      </c>
      <c r="F324" s="16">
        <f t="shared" si="522"/>
        <v>8050</v>
      </c>
      <c r="G324" s="17">
        <f t="shared" si="502"/>
        <v>8.6179457142857192</v>
      </c>
      <c r="H324" s="15">
        <f t="shared" si="503"/>
        <v>69374.463000000032</v>
      </c>
      <c r="I324" s="15">
        <f t="shared" si="504"/>
        <v>-2317.9630000000325</v>
      </c>
      <c r="J324" s="33">
        <f t="shared" si="505"/>
        <v>-3.3412337908835958E-2</v>
      </c>
      <c r="K324" s="15">
        <f t="shared" si="506"/>
        <v>67056.5</v>
      </c>
      <c r="L324" s="15">
        <f t="shared" si="507"/>
        <v>-999.50000000000728</v>
      </c>
      <c r="M324" s="15">
        <f t="shared" si="508"/>
        <v>5</v>
      </c>
      <c r="N324" s="15">
        <f t="shared" si="509"/>
        <v>0</v>
      </c>
      <c r="O324" s="64"/>
      <c r="P324" s="17">
        <f t="shared" si="510"/>
        <v>-0.28794571428571913</v>
      </c>
      <c r="Q324" s="15">
        <f t="shared" si="511"/>
        <v>-3337</v>
      </c>
      <c r="R324" s="35"/>
      <c r="S324" s="35">
        <f t="shared" si="512"/>
        <v>41541.021999999692</v>
      </c>
      <c r="T324" s="35">
        <f t="shared" si="513"/>
        <v>4986.9174069627479</v>
      </c>
      <c r="U324" s="35">
        <f t="shared" si="514"/>
        <v>13036.917406962748</v>
      </c>
      <c r="V324" s="15">
        <f t="shared" si="515"/>
        <v>110915.48499999972</v>
      </c>
      <c r="W324" s="17">
        <f t="shared" si="516"/>
        <v>8.5077999298179225</v>
      </c>
      <c r="X324" s="17">
        <f t="shared" si="517"/>
        <v>-0.11014578446779666</v>
      </c>
      <c r="Y324" s="17">
        <f t="shared" si="518"/>
        <v>-0.17779992981792248</v>
      </c>
      <c r="Z324" s="134">
        <f t="shared" si="519"/>
        <v>0.61747725698566303</v>
      </c>
      <c r="AA324" s="15">
        <f>SUM(L$2:L324)-SUM(AB$2:AB324)</f>
        <v>-2317.9630000000325</v>
      </c>
      <c r="AB324" s="64"/>
      <c r="AC324" s="145">
        <f t="shared" si="520"/>
        <v>-278.12773331332926</v>
      </c>
      <c r="AD324" s="145">
        <f t="shared" si="521"/>
        <v>-8328.1277333133294</v>
      </c>
    </row>
    <row r="325" spans="1:30" x14ac:dyDescent="0.25">
      <c r="A325" s="148">
        <v>43123</v>
      </c>
      <c r="B325" s="100" t="s">
        <v>228</v>
      </c>
      <c r="C325" s="104" t="s">
        <v>69</v>
      </c>
      <c r="D325" s="104">
        <v>400</v>
      </c>
      <c r="E325" s="143">
        <v>8.52</v>
      </c>
      <c r="F325" s="16">
        <f t="shared" si="522"/>
        <v>7650</v>
      </c>
      <c r="G325" s="17">
        <f t="shared" si="502"/>
        <v>8.6241661437908537</v>
      </c>
      <c r="H325" s="15">
        <f t="shared" si="503"/>
        <v>65974.871000000028</v>
      </c>
      <c r="I325" s="15">
        <f t="shared" si="504"/>
        <v>-796.87100000002829</v>
      </c>
      <c r="J325" s="33">
        <f t="shared" si="505"/>
        <v>-1.2078401790282143E-2</v>
      </c>
      <c r="K325" s="15">
        <f t="shared" si="506"/>
        <v>65178</v>
      </c>
      <c r="L325" s="15">
        <f t="shared" si="507"/>
        <v>1521.0920000000042</v>
      </c>
      <c r="M325" s="15">
        <f t="shared" si="508"/>
        <v>5</v>
      </c>
      <c r="N325" s="15">
        <f t="shared" si="509"/>
        <v>3.4079999999999999</v>
      </c>
      <c r="O325" s="64"/>
      <c r="P325" s="17">
        <f t="shared" si="510"/>
        <v>-0.10416614379085409</v>
      </c>
      <c r="Q325" s="15">
        <f t="shared" si="511"/>
        <v>3399.5920000000042</v>
      </c>
      <c r="R325" s="35"/>
      <c r="S325" s="35">
        <f t="shared" si="512"/>
        <v>44940.613999999696</v>
      </c>
      <c r="T325" s="35">
        <f t="shared" si="513"/>
        <v>5274.7199530516082</v>
      </c>
      <c r="U325" s="35">
        <f t="shared" si="514"/>
        <v>12924.719953051608</v>
      </c>
      <c r="V325" s="15">
        <f t="shared" si="515"/>
        <v>110915.48499999972</v>
      </c>
      <c r="W325" s="17">
        <f t="shared" si="516"/>
        <v>8.581654798161555</v>
      </c>
      <c r="X325" s="17">
        <f t="shared" si="517"/>
        <v>-4.2511345629298702E-2</v>
      </c>
      <c r="Y325" s="17">
        <f t="shared" si="518"/>
        <v>-6.1654798161555391E-2</v>
      </c>
      <c r="Z325" s="134">
        <f t="shared" si="519"/>
        <v>0.59188903340174781</v>
      </c>
      <c r="AA325" s="15">
        <f>SUM(L$2:L325)-SUM(AB$2:AB325)</f>
        <v>-796.87100000002829</v>
      </c>
      <c r="AB325" s="64"/>
      <c r="AC325" s="145">
        <f t="shared" si="520"/>
        <v>-93.482695363853097</v>
      </c>
      <c r="AD325" s="145">
        <f t="shared" si="521"/>
        <v>-7743.4826953638531</v>
      </c>
    </row>
    <row r="326" spans="1:30" x14ac:dyDescent="0.25">
      <c r="A326" s="148">
        <v>43125</v>
      </c>
      <c r="B326" s="100" t="s">
        <v>475</v>
      </c>
      <c r="C326" s="104" t="s">
        <v>69</v>
      </c>
      <c r="D326" s="104">
        <v>400</v>
      </c>
      <c r="E326" s="143">
        <v>8.6199999999999992</v>
      </c>
      <c r="F326" s="16">
        <f t="shared" si="522"/>
        <v>7250</v>
      </c>
      <c r="G326" s="17">
        <f t="shared" si="502"/>
        <v>8.6255612413793141</v>
      </c>
      <c r="H326" s="15">
        <f t="shared" si="503"/>
        <v>62535.319000000025</v>
      </c>
      <c r="I326" s="15">
        <f t="shared" si="504"/>
        <v>-40.319000000032247</v>
      </c>
      <c r="J326" s="33">
        <f t="shared" si="505"/>
        <v>-6.4473965504250588E-4</v>
      </c>
      <c r="K326" s="15">
        <f t="shared" si="506"/>
        <v>62494.999999999993</v>
      </c>
      <c r="L326" s="15">
        <f t="shared" si="507"/>
        <v>756.55199999999604</v>
      </c>
      <c r="M326" s="15">
        <f t="shared" si="508"/>
        <v>5</v>
      </c>
      <c r="N326" s="15">
        <f t="shared" si="509"/>
        <v>3.4479999999999995</v>
      </c>
      <c r="O326" s="64"/>
      <c r="P326" s="17">
        <f t="shared" si="510"/>
        <v>-5.5612413793149074E-3</v>
      </c>
      <c r="Q326" s="15">
        <f t="shared" si="511"/>
        <v>3439.5520000000033</v>
      </c>
      <c r="R326" s="35"/>
      <c r="S326" s="35">
        <f t="shared" si="512"/>
        <v>48380.165999999699</v>
      </c>
      <c r="T326" s="35">
        <f t="shared" si="513"/>
        <v>5612.5482598607541</v>
      </c>
      <c r="U326" s="35">
        <f t="shared" si="514"/>
        <v>12862.548259860754</v>
      </c>
      <c r="V326" s="15">
        <f t="shared" si="515"/>
        <v>110915.48499999972</v>
      </c>
      <c r="W326" s="17">
        <f t="shared" si="516"/>
        <v>8.6231346043711916</v>
      </c>
      <c r="X326" s="17">
        <f t="shared" si="517"/>
        <v>-2.4266370081225119E-3</v>
      </c>
      <c r="Y326" s="17">
        <f t="shared" si="518"/>
        <v>-3.1346043711923954E-3</v>
      </c>
      <c r="Z326" s="134">
        <f t="shared" si="519"/>
        <v>0.56365191823027505</v>
      </c>
      <c r="AA326" s="15">
        <f>SUM(L$2:L326)-SUM(AB$2:AB326)</f>
        <v>-40.319000000032247</v>
      </c>
      <c r="AB326" s="64"/>
      <c r="AC326" s="145">
        <f t="shared" si="520"/>
        <v>-4.6750395011638322</v>
      </c>
      <c r="AD326" s="145">
        <f t="shared" si="521"/>
        <v>-7254.6750395011641</v>
      </c>
    </row>
    <row r="327" spans="1:30" x14ac:dyDescent="0.25">
      <c r="A327" s="148">
        <v>43126</v>
      </c>
      <c r="B327" s="100"/>
      <c r="C327" s="104" t="s">
        <v>69</v>
      </c>
      <c r="D327" s="104">
        <v>400</v>
      </c>
      <c r="E327" s="143">
        <v>8.64</v>
      </c>
      <c r="F327" s="16">
        <f t="shared" ref="F327:F338" si="523">IF(C327="买",F326+D327,F326-D327)</f>
        <v>6850</v>
      </c>
      <c r="G327" s="17">
        <f t="shared" ref="G327:G390" si="524">H327/F327</f>
        <v>8.6259525547445293</v>
      </c>
      <c r="H327" s="15">
        <f t="shared" ref="H327:H390" si="525">IF(C327="买",H326+D327*E327+M327+N327,H326+-1*D327*E327+M327+N327)+O326</f>
        <v>59087.775000000023</v>
      </c>
      <c r="I327" s="15">
        <f t="shared" ref="I327:I390" si="526">-H327+K327</f>
        <v>96.224999999983993</v>
      </c>
      <c r="J327" s="33">
        <f t="shared" ref="J327:J390" si="527">(E327-G327)/G327</f>
        <v>1.6285094505585696E-3</v>
      </c>
      <c r="K327" s="15">
        <f t="shared" ref="K327:K390" si="528">F327*E327</f>
        <v>59184.000000000007</v>
      </c>
      <c r="L327" s="15">
        <f t="shared" ref="L327:L390" si="529">I327-I326</f>
        <v>136.54400000001624</v>
      </c>
      <c r="M327" s="15">
        <f t="shared" ref="M327:M390" si="530">IF(D327*E327*2.5/10000&gt;5,D327*E327*2.5/10000,5)</f>
        <v>5</v>
      </c>
      <c r="N327" s="15">
        <f t="shared" ref="N327:N390" si="531">IF(C327="卖",D327*E327/1000,0)</f>
        <v>3.456</v>
      </c>
      <c r="O327" s="64"/>
      <c r="P327" s="17">
        <f t="shared" ref="P327:P390" si="532">E327-G327</f>
        <v>1.4047445255471303E-2</v>
      </c>
      <c r="Q327" s="15">
        <f t="shared" ref="Q327:Q390" si="533">(H327-H326)*-1</f>
        <v>3447.5440000000017</v>
      </c>
      <c r="R327" s="35"/>
      <c r="S327" s="35">
        <f t="shared" ref="S327:S390" si="534">S326+Q327+O327+R327</f>
        <v>51827.709999999701</v>
      </c>
      <c r="T327" s="35">
        <f t="shared" ref="T327:T390" si="535">S327/E327</f>
        <v>5998.5775462962611</v>
      </c>
      <c r="U327" s="35">
        <f t="shared" ref="U327:U390" si="536">F327+T327</f>
        <v>12848.577546296261</v>
      </c>
      <c r="V327" s="15">
        <f t="shared" ref="V327:V390" si="537">H327+S327</f>
        <v>110915.48499999972</v>
      </c>
      <c r="W327" s="17">
        <f t="shared" ref="W327:W390" si="538">V327/U327</f>
        <v>8.6325108441262657</v>
      </c>
      <c r="X327" s="17">
        <f t="shared" ref="X327:X390" si="539">W327-G327</f>
        <v>6.5582893817364152E-3</v>
      </c>
      <c r="Y327" s="17">
        <f t="shared" ref="Y327:Y390" si="540">(X327-P327)*-1</f>
        <v>7.4891558737348873E-3</v>
      </c>
      <c r="Z327" s="134">
        <f t="shared" ref="Z327:Z390" si="541">F327/U327</f>
        <v>0.5331329460648806</v>
      </c>
      <c r="AA327" s="15">
        <f>SUM(L$2:L327)-SUM(AB$2:AB327)</f>
        <v>96.224999999983993</v>
      </c>
      <c r="AB327" s="64"/>
      <c r="AC327" s="145">
        <f t="shared" ref="AC327:AC390" si="542">I327/E327*(1-0.0005)</f>
        <v>11.131584201387037</v>
      </c>
      <c r="AD327" s="145">
        <f t="shared" ref="AD327:AD390" si="543">AC327-F327</f>
        <v>-6838.8684157986127</v>
      </c>
    </row>
    <row r="328" spans="1:30" x14ac:dyDescent="0.25">
      <c r="A328" s="148">
        <v>43126</v>
      </c>
      <c r="B328" s="100"/>
      <c r="C328" s="104" t="s">
        <v>69</v>
      </c>
      <c r="D328" s="104">
        <v>400</v>
      </c>
      <c r="E328" s="143">
        <v>8.66</v>
      </c>
      <c r="F328" s="16">
        <f t="shared" si="523"/>
        <v>6450</v>
      </c>
      <c r="G328" s="17">
        <f t="shared" si="524"/>
        <v>8.625153333333337</v>
      </c>
      <c r="H328" s="15">
        <f t="shared" si="525"/>
        <v>55632.239000000023</v>
      </c>
      <c r="I328" s="15">
        <f t="shared" si="526"/>
        <v>224.76099999997678</v>
      </c>
      <c r="J328" s="33">
        <f t="shared" si="527"/>
        <v>4.0401214123339012E-3</v>
      </c>
      <c r="K328" s="15">
        <f t="shared" si="528"/>
        <v>55857</v>
      </c>
      <c r="L328" s="15">
        <f t="shared" si="529"/>
        <v>128.53599999999278</v>
      </c>
      <c r="M328" s="15">
        <f t="shared" si="530"/>
        <v>5</v>
      </c>
      <c r="N328" s="15">
        <f t="shared" si="531"/>
        <v>3.464</v>
      </c>
      <c r="O328" s="64"/>
      <c r="P328" s="17">
        <f t="shared" si="532"/>
        <v>3.484666666666314E-2</v>
      </c>
      <c r="Q328" s="15">
        <f t="shared" si="533"/>
        <v>3455.5360000000001</v>
      </c>
      <c r="R328" s="35"/>
      <c r="S328" s="35">
        <f t="shared" si="534"/>
        <v>55283.245999999701</v>
      </c>
      <c r="T328" s="35">
        <f t="shared" si="535"/>
        <v>6383.7466512701731</v>
      </c>
      <c r="U328" s="35">
        <f t="shared" si="536"/>
        <v>12833.746651270172</v>
      </c>
      <c r="V328" s="15">
        <f t="shared" si="537"/>
        <v>110915.48499999972</v>
      </c>
      <c r="W328" s="17">
        <f t="shared" si="538"/>
        <v>8.6424867198872342</v>
      </c>
      <c r="X328" s="17">
        <f t="shared" si="539"/>
        <v>1.7333386553897157E-2</v>
      </c>
      <c r="Y328" s="17">
        <f t="shared" si="540"/>
        <v>1.7513280112765983E-2</v>
      </c>
      <c r="Z328" s="134">
        <f t="shared" si="541"/>
        <v>0.50258121616898488</v>
      </c>
      <c r="AA328" s="15">
        <f>SUM(L$2:L328)-SUM(AB$2:AB328)</f>
        <v>224.76099999997678</v>
      </c>
      <c r="AB328" s="64"/>
      <c r="AC328" s="145">
        <f t="shared" si="542"/>
        <v>25.940949133946514</v>
      </c>
      <c r="AD328" s="145">
        <f t="shared" si="543"/>
        <v>-6424.0590508660534</v>
      </c>
    </row>
    <row r="329" spans="1:30" x14ac:dyDescent="0.25">
      <c r="A329" s="148">
        <v>43126</v>
      </c>
      <c r="B329" s="100"/>
      <c r="C329" s="104" t="s">
        <v>69</v>
      </c>
      <c r="D329" s="104">
        <v>400</v>
      </c>
      <c r="E329" s="143">
        <v>8.7100000000000009</v>
      </c>
      <c r="F329" s="16">
        <f t="shared" si="523"/>
        <v>6050</v>
      </c>
      <c r="G329" s="17">
        <f t="shared" si="524"/>
        <v>8.6209459504132262</v>
      </c>
      <c r="H329" s="15">
        <f t="shared" si="525"/>
        <v>52156.72300000002</v>
      </c>
      <c r="I329" s="15">
        <f t="shared" si="526"/>
        <v>538.77699999998731</v>
      </c>
      <c r="J329" s="33">
        <f t="shared" si="527"/>
        <v>1.032996263971543E-2</v>
      </c>
      <c r="K329" s="15">
        <f t="shared" si="528"/>
        <v>52695.500000000007</v>
      </c>
      <c r="L329" s="15">
        <f t="shared" si="529"/>
        <v>314.01600000001054</v>
      </c>
      <c r="M329" s="15">
        <f t="shared" si="530"/>
        <v>5</v>
      </c>
      <c r="N329" s="15">
        <f t="shared" si="531"/>
        <v>3.4840000000000004</v>
      </c>
      <c r="O329" s="64"/>
      <c r="P329" s="17">
        <f t="shared" si="532"/>
        <v>8.9054049586774653E-2</v>
      </c>
      <c r="Q329" s="15">
        <f t="shared" si="533"/>
        <v>3475.5160000000033</v>
      </c>
      <c r="R329" s="35"/>
      <c r="S329" s="35">
        <f t="shared" si="534"/>
        <v>58758.761999999704</v>
      </c>
      <c r="T329" s="35">
        <f t="shared" si="535"/>
        <v>6746.1265212399194</v>
      </c>
      <c r="U329" s="35">
        <f t="shared" si="536"/>
        <v>12796.126521239919</v>
      </c>
      <c r="V329" s="15">
        <f t="shared" si="537"/>
        <v>110915.48499999972</v>
      </c>
      <c r="W329" s="17">
        <f t="shared" si="538"/>
        <v>8.6678953053405916</v>
      </c>
      <c r="X329" s="17">
        <f t="shared" si="539"/>
        <v>4.6949354927365405E-2</v>
      </c>
      <c r="Y329" s="17">
        <f t="shared" si="540"/>
        <v>4.2104694659409247E-2</v>
      </c>
      <c r="Z329" s="134">
        <f t="shared" si="541"/>
        <v>0.47279932641786404</v>
      </c>
      <c r="AA329" s="15">
        <f>SUM(L$2:L329)-SUM(AB$2:AB329)</f>
        <v>538.77699999998731</v>
      </c>
      <c r="AB329" s="64"/>
      <c r="AC329" s="145">
        <f t="shared" si="542"/>
        <v>61.826361825486487</v>
      </c>
      <c r="AD329" s="145">
        <f t="shared" si="543"/>
        <v>-5988.1736381745131</v>
      </c>
    </row>
    <row r="330" spans="1:30" x14ac:dyDescent="0.25">
      <c r="A330" s="148">
        <v>43126</v>
      </c>
      <c r="B330" s="100"/>
      <c r="C330" s="104" t="s">
        <v>69</v>
      </c>
      <c r="D330" s="104">
        <v>400</v>
      </c>
      <c r="E330" s="143">
        <v>8.77</v>
      </c>
      <c r="F330" s="16">
        <f t="shared" si="523"/>
        <v>5650</v>
      </c>
      <c r="G330" s="17">
        <f t="shared" si="524"/>
        <v>8.6118992920354014</v>
      </c>
      <c r="H330" s="15">
        <f t="shared" si="525"/>
        <v>48657.231000000022</v>
      </c>
      <c r="I330" s="15">
        <f t="shared" si="526"/>
        <v>893.2689999999784</v>
      </c>
      <c r="J330" s="33">
        <f t="shared" si="527"/>
        <v>1.8358401858091337E-2</v>
      </c>
      <c r="K330" s="15">
        <f t="shared" si="528"/>
        <v>49550.5</v>
      </c>
      <c r="L330" s="15">
        <f t="shared" si="529"/>
        <v>354.49199999999109</v>
      </c>
      <c r="M330" s="15">
        <f t="shared" si="530"/>
        <v>5</v>
      </c>
      <c r="N330" s="15">
        <f t="shared" si="531"/>
        <v>3.508</v>
      </c>
      <c r="O330" s="64"/>
      <c r="P330" s="17">
        <f t="shared" si="532"/>
        <v>0.15810070796459819</v>
      </c>
      <c r="Q330" s="15">
        <f t="shared" si="533"/>
        <v>3499.4919999999984</v>
      </c>
      <c r="R330" s="35"/>
      <c r="S330" s="35">
        <f t="shared" si="534"/>
        <v>62258.253999999703</v>
      </c>
      <c r="T330" s="35">
        <f t="shared" si="535"/>
        <v>7099.0027366020186</v>
      </c>
      <c r="U330" s="35">
        <f t="shared" si="536"/>
        <v>12749.002736602019</v>
      </c>
      <c r="V330" s="15">
        <f t="shared" si="537"/>
        <v>110915.48499999972</v>
      </c>
      <c r="W330" s="17">
        <f t="shared" si="538"/>
        <v>8.6999342059567191</v>
      </c>
      <c r="X330" s="17">
        <f t="shared" si="539"/>
        <v>8.8034913921317681E-2</v>
      </c>
      <c r="Y330" s="17">
        <f t="shared" si="540"/>
        <v>7.0065794043280505E-2</v>
      </c>
      <c r="Z330" s="134">
        <f t="shared" si="541"/>
        <v>0.44317191836338798</v>
      </c>
      <c r="AA330" s="15">
        <f>SUM(L$2:L330)-SUM(AB$2:AB330)</f>
        <v>893.2689999999784</v>
      </c>
      <c r="AB330" s="64"/>
      <c r="AC330" s="145">
        <f t="shared" si="542"/>
        <v>101.80414657924499</v>
      </c>
      <c r="AD330" s="145">
        <f t="shared" si="543"/>
        <v>-5548.1958534207552</v>
      </c>
    </row>
    <row r="331" spans="1:30" x14ac:dyDescent="0.25">
      <c r="A331" s="148">
        <v>43129</v>
      </c>
      <c r="B331" s="100"/>
      <c r="C331" s="104" t="s">
        <v>69</v>
      </c>
      <c r="D331" s="104">
        <v>400</v>
      </c>
      <c r="E331" s="143">
        <v>8.7799999999999994</v>
      </c>
      <c r="F331" s="16">
        <f t="shared" si="523"/>
        <v>5250</v>
      </c>
      <c r="G331" s="17">
        <f t="shared" si="524"/>
        <v>8.6007129523809578</v>
      </c>
      <c r="H331" s="15">
        <f t="shared" si="525"/>
        <v>45153.743000000024</v>
      </c>
      <c r="I331" s="15">
        <f t="shared" si="526"/>
        <v>941.25699999997596</v>
      </c>
      <c r="J331" s="33">
        <f t="shared" si="527"/>
        <v>2.0845602987995208E-2</v>
      </c>
      <c r="K331" s="15">
        <f t="shared" si="528"/>
        <v>46095</v>
      </c>
      <c r="L331" s="15">
        <f t="shared" si="529"/>
        <v>47.987999999997555</v>
      </c>
      <c r="M331" s="15">
        <f t="shared" si="530"/>
        <v>5</v>
      </c>
      <c r="N331" s="15">
        <f t="shared" si="531"/>
        <v>3.5119999999999996</v>
      </c>
      <c r="O331" s="64"/>
      <c r="P331" s="17">
        <f t="shared" si="532"/>
        <v>0.17928704761904157</v>
      </c>
      <c r="Q331" s="15">
        <f t="shared" si="533"/>
        <v>3503.4879999999976</v>
      </c>
      <c r="R331" s="35"/>
      <c r="S331" s="35">
        <f t="shared" si="534"/>
        <v>65761.741999999707</v>
      </c>
      <c r="T331" s="35">
        <f t="shared" si="535"/>
        <v>7489.9478359908553</v>
      </c>
      <c r="U331" s="35">
        <f t="shared" si="536"/>
        <v>12739.947835990855</v>
      </c>
      <c r="V331" s="15">
        <f t="shared" si="537"/>
        <v>110915.48499999972</v>
      </c>
      <c r="W331" s="17">
        <f t="shared" si="538"/>
        <v>8.7061176723706115</v>
      </c>
      <c r="X331" s="17">
        <f t="shared" si="539"/>
        <v>0.10540471998965373</v>
      </c>
      <c r="Y331" s="17">
        <f t="shared" si="540"/>
        <v>7.3882327629387845E-2</v>
      </c>
      <c r="Z331" s="134">
        <f t="shared" si="541"/>
        <v>0.41208959939133682</v>
      </c>
      <c r="AA331" s="15">
        <f>SUM(L$2:L331)-SUM(AB$2:AB331)</f>
        <v>941.25699999997596</v>
      </c>
      <c r="AB331" s="64"/>
      <c r="AC331" s="145">
        <f t="shared" si="542"/>
        <v>107.15106736901778</v>
      </c>
      <c r="AD331" s="145">
        <f t="shared" si="543"/>
        <v>-5142.8489326309818</v>
      </c>
    </row>
    <row r="332" spans="1:30" x14ac:dyDescent="0.25">
      <c r="A332" s="148">
        <v>43129</v>
      </c>
      <c r="B332" s="100"/>
      <c r="C332" s="104" t="s">
        <v>69</v>
      </c>
      <c r="D332" s="104">
        <v>400</v>
      </c>
      <c r="E332" s="143">
        <v>8.82</v>
      </c>
      <c r="F332" s="16">
        <f t="shared" si="523"/>
        <v>4850</v>
      </c>
      <c r="G332" s="17">
        <f t="shared" si="524"/>
        <v>8.5843857731958817</v>
      </c>
      <c r="H332" s="15">
        <f t="shared" si="525"/>
        <v>41634.271000000022</v>
      </c>
      <c r="I332" s="15">
        <f t="shared" si="526"/>
        <v>1142.7289999999775</v>
      </c>
      <c r="J332" s="33">
        <f t="shared" si="527"/>
        <v>2.744683580505047E-2</v>
      </c>
      <c r="K332" s="15">
        <f t="shared" si="528"/>
        <v>42777</v>
      </c>
      <c r="L332" s="15">
        <f t="shared" si="529"/>
        <v>201.47200000000157</v>
      </c>
      <c r="M332" s="15">
        <f t="shared" si="530"/>
        <v>5</v>
      </c>
      <c r="N332" s="15">
        <f t="shared" si="531"/>
        <v>3.528</v>
      </c>
      <c r="O332" s="64"/>
      <c r="P332" s="17">
        <f t="shared" si="532"/>
        <v>0.23561422680411859</v>
      </c>
      <c r="Q332" s="15">
        <f t="shared" si="533"/>
        <v>3519.4720000000016</v>
      </c>
      <c r="R332" s="35"/>
      <c r="S332" s="35">
        <f t="shared" si="534"/>
        <v>69281.213999999716</v>
      </c>
      <c r="T332" s="35">
        <f t="shared" si="535"/>
        <v>7855.0129251700355</v>
      </c>
      <c r="U332" s="35">
        <f t="shared" si="536"/>
        <v>12705.012925170035</v>
      </c>
      <c r="V332" s="15">
        <f t="shared" si="537"/>
        <v>110915.48499999974</v>
      </c>
      <c r="W332" s="17">
        <f t="shared" si="538"/>
        <v>8.7300568408131181</v>
      </c>
      <c r="X332" s="17">
        <f t="shared" si="539"/>
        <v>0.14567106761723636</v>
      </c>
      <c r="Y332" s="17">
        <f t="shared" si="540"/>
        <v>8.9943159186882227E-2</v>
      </c>
      <c r="Z332" s="134">
        <f t="shared" si="541"/>
        <v>0.38173908429416975</v>
      </c>
      <c r="AA332" s="15">
        <f>SUM(L$2:L332)-SUM(AB$2:AB332)</f>
        <v>1142.7289999999775</v>
      </c>
      <c r="AB332" s="64"/>
      <c r="AC332" s="145">
        <f t="shared" si="542"/>
        <v>129.49633055555302</v>
      </c>
      <c r="AD332" s="145">
        <f t="shared" si="543"/>
        <v>-4720.503669444447</v>
      </c>
    </row>
    <row r="333" spans="1:30" x14ac:dyDescent="0.25">
      <c r="A333" s="148">
        <v>43130</v>
      </c>
      <c r="B333" s="100" t="s">
        <v>476</v>
      </c>
      <c r="C333" s="104" t="s">
        <v>63</v>
      </c>
      <c r="D333" s="104">
        <v>500</v>
      </c>
      <c r="E333" s="143">
        <v>8.58</v>
      </c>
      <c r="F333" s="16">
        <f t="shared" si="523"/>
        <v>5350</v>
      </c>
      <c r="G333" s="17">
        <f t="shared" si="524"/>
        <v>8.5849104672897241</v>
      </c>
      <c r="H333" s="15">
        <f t="shared" si="525"/>
        <v>45929.271000000022</v>
      </c>
      <c r="I333" s="15">
        <f t="shared" si="526"/>
        <v>-26.271000000022468</v>
      </c>
      <c r="J333" s="33">
        <f t="shared" si="527"/>
        <v>-5.7198817721324966E-4</v>
      </c>
      <c r="K333" s="15">
        <f t="shared" si="528"/>
        <v>45903</v>
      </c>
      <c r="L333" s="15">
        <f t="shared" si="529"/>
        <v>-1169</v>
      </c>
      <c r="M333" s="15">
        <f t="shared" si="530"/>
        <v>5</v>
      </c>
      <c r="N333" s="15">
        <f t="shared" si="531"/>
        <v>0</v>
      </c>
      <c r="O333" s="64"/>
      <c r="P333" s="17">
        <f t="shared" si="532"/>
        <v>-4.9104672897239965E-3</v>
      </c>
      <c r="Q333" s="15">
        <f t="shared" si="533"/>
        <v>-4295</v>
      </c>
      <c r="R333" s="35"/>
      <c r="S333" s="35">
        <f t="shared" si="534"/>
        <v>64986.213999999716</v>
      </c>
      <c r="T333" s="35">
        <f t="shared" si="535"/>
        <v>7574.1508158507831</v>
      </c>
      <c r="U333" s="35">
        <f t="shared" si="536"/>
        <v>12924.150815850782</v>
      </c>
      <c r="V333" s="15">
        <f t="shared" si="537"/>
        <v>110915.48499999974</v>
      </c>
      <c r="W333" s="17">
        <f t="shared" si="538"/>
        <v>8.5820327060844726</v>
      </c>
      <c r="X333" s="17">
        <f t="shared" si="539"/>
        <v>-2.8777612052515167E-3</v>
      </c>
      <c r="Y333" s="17">
        <f t="shared" si="540"/>
        <v>-2.0327060844724798E-3</v>
      </c>
      <c r="Z333" s="134">
        <f t="shared" si="541"/>
        <v>0.41395369616381372</v>
      </c>
      <c r="AA333" s="15">
        <f>SUM(L$2:L333)-SUM(AB$2:AB333)</f>
        <v>-26.271000000022468</v>
      </c>
      <c r="AB333" s="64"/>
      <c r="AC333" s="145">
        <f t="shared" si="542"/>
        <v>-3.0603571678347854</v>
      </c>
      <c r="AD333" s="145">
        <f t="shared" si="543"/>
        <v>-5353.0603571678348</v>
      </c>
    </row>
    <row r="334" spans="1:30" x14ac:dyDescent="0.25">
      <c r="A334" s="148">
        <v>43131</v>
      </c>
      <c r="B334" s="100"/>
      <c r="C334" s="104" t="s">
        <v>63</v>
      </c>
      <c r="D334" s="104">
        <v>500</v>
      </c>
      <c r="E334" s="143">
        <v>8.5399999999999991</v>
      </c>
      <c r="F334" s="16">
        <f t="shared" si="523"/>
        <v>5850</v>
      </c>
      <c r="G334" s="17">
        <f t="shared" si="524"/>
        <v>8.5819266666666714</v>
      </c>
      <c r="H334" s="15">
        <f t="shared" si="525"/>
        <v>50204.271000000022</v>
      </c>
      <c r="I334" s="15">
        <f t="shared" si="526"/>
        <v>-245.27100000002974</v>
      </c>
      <c r="J334" s="33">
        <f t="shared" si="527"/>
        <v>-4.8854608405733517E-3</v>
      </c>
      <c r="K334" s="15">
        <f t="shared" si="528"/>
        <v>49958.999999999993</v>
      </c>
      <c r="L334" s="15">
        <f t="shared" si="529"/>
        <v>-219.00000000000728</v>
      </c>
      <c r="M334" s="15">
        <f t="shared" si="530"/>
        <v>5</v>
      </c>
      <c r="N334" s="15">
        <f t="shared" si="531"/>
        <v>0</v>
      </c>
      <c r="O334" s="64"/>
      <c r="P334" s="17">
        <f t="shared" si="532"/>
        <v>-4.1926666666672219E-2</v>
      </c>
      <c r="Q334" s="15">
        <f t="shared" si="533"/>
        <v>-4275</v>
      </c>
      <c r="R334" s="35"/>
      <c r="S334" s="35">
        <f t="shared" si="534"/>
        <v>60711.213999999716</v>
      </c>
      <c r="T334" s="35">
        <f t="shared" si="535"/>
        <v>7109.0414519905999</v>
      </c>
      <c r="U334" s="35">
        <f t="shared" si="536"/>
        <v>12959.041451990601</v>
      </c>
      <c r="V334" s="15">
        <f t="shared" si="537"/>
        <v>110915.48499999974</v>
      </c>
      <c r="W334" s="17">
        <f t="shared" si="538"/>
        <v>8.5589266313337031</v>
      </c>
      <c r="X334" s="17">
        <f t="shared" si="539"/>
        <v>-2.3000035332968238E-2</v>
      </c>
      <c r="Y334" s="17">
        <f t="shared" si="540"/>
        <v>-1.892663133370398E-2</v>
      </c>
      <c r="Z334" s="134">
        <f t="shared" si="541"/>
        <v>0.45142227700038712</v>
      </c>
      <c r="AA334" s="15">
        <f>SUM(L$2:L334)-SUM(AB$2:AB334)</f>
        <v>-245.27100000002974</v>
      </c>
      <c r="AB334" s="64"/>
      <c r="AC334" s="145">
        <f t="shared" si="542"/>
        <v>-28.705897482439084</v>
      </c>
      <c r="AD334" s="145">
        <f t="shared" si="543"/>
        <v>-5878.7058974824395</v>
      </c>
    </row>
    <row r="335" spans="1:30" x14ac:dyDescent="0.25">
      <c r="A335" s="148">
        <v>43131</v>
      </c>
      <c r="B335" s="100" t="s">
        <v>477</v>
      </c>
      <c r="C335" s="104" t="s">
        <v>69</v>
      </c>
      <c r="D335" s="104">
        <v>400</v>
      </c>
      <c r="E335" s="143">
        <v>8.6199999999999992</v>
      </c>
      <c r="F335" s="16">
        <f t="shared" si="523"/>
        <v>5450</v>
      </c>
      <c r="G335" s="17">
        <f t="shared" si="524"/>
        <v>8.5806823853211043</v>
      </c>
      <c r="H335" s="15">
        <f t="shared" si="525"/>
        <v>46764.719000000019</v>
      </c>
      <c r="I335" s="15">
        <f t="shared" si="526"/>
        <v>214.28099999997357</v>
      </c>
      <c r="J335" s="33">
        <f t="shared" si="527"/>
        <v>4.5821081486660349E-3</v>
      </c>
      <c r="K335" s="15">
        <f t="shared" si="528"/>
        <v>46978.999999999993</v>
      </c>
      <c r="L335" s="15">
        <f t="shared" si="529"/>
        <v>459.55200000000332</v>
      </c>
      <c r="M335" s="15">
        <f t="shared" si="530"/>
        <v>5</v>
      </c>
      <c r="N335" s="15">
        <f t="shared" si="531"/>
        <v>3.4479999999999995</v>
      </c>
      <c r="O335" s="64"/>
      <c r="P335" s="17">
        <f t="shared" si="532"/>
        <v>3.9317614678894941E-2</v>
      </c>
      <c r="Q335" s="15">
        <f t="shared" si="533"/>
        <v>3439.5520000000033</v>
      </c>
      <c r="R335" s="35"/>
      <c r="S335" s="35">
        <f t="shared" si="534"/>
        <v>64150.765999999719</v>
      </c>
      <c r="T335" s="35">
        <f t="shared" si="535"/>
        <v>7442.0842227377871</v>
      </c>
      <c r="U335" s="35">
        <f t="shared" si="536"/>
        <v>12892.084222737787</v>
      </c>
      <c r="V335" s="15">
        <f t="shared" si="537"/>
        <v>110915.48499999974</v>
      </c>
      <c r="W335" s="17">
        <f t="shared" si="538"/>
        <v>8.6033788706078997</v>
      </c>
      <c r="X335" s="17">
        <f t="shared" si="539"/>
        <v>2.2696485286795465E-2</v>
      </c>
      <c r="Y335" s="17">
        <f t="shared" si="540"/>
        <v>1.6621129392099476E-2</v>
      </c>
      <c r="Z335" s="134">
        <f t="shared" si="541"/>
        <v>0.42274002448632991</v>
      </c>
      <c r="AA335" s="15">
        <f>SUM(L$2:L335)-SUM(AB$2:AB335)</f>
        <v>214.28099999997357</v>
      </c>
      <c r="AB335" s="64"/>
      <c r="AC335" s="145">
        <f t="shared" si="542"/>
        <v>24.846155394428493</v>
      </c>
      <c r="AD335" s="145">
        <f t="shared" si="543"/>
        <v>-5425.1538446055711</v>
      </c>
    </row>
    <row r="336" spans="1:30" x14ac:dyDescent="0.25">
      <c r="A336" s="148">
        <v>43131</v>
      </c>
      <c r="B336" s="100"/>
      <c r="C336" s="104" t="s">
        <v>69</v>
      </c>
      <c r="D336" s="104">
        <v>400</v>
      </c>
      <c r="E336" s="143">
        <v>8.6999999999999993</v>
      </c>
      <c r="F336" s="16">
        <f t="shared" si="523"/>
        <v>5050</v>
      </c>
      <c r="G336" s="17">
        <f t="shared" si="524"/>
        <v>8.5729106930693106</v>
      </c>
      <c r="H336" s="15">
        <f t="shared" si="525"/>
        <v>43293.199000000022</v>
      </c>
      <c r="I336" s="15">
        <f t="shared" si="526"/>
        <v>641.80099999997765</v>
      </c>
      <c r="J336" s="33">
        <f t="shared" si="527"/>
        <v>1.4824522438269748E-2</v>
      </c>
      <c r="K336" s="15">
        <f t="shared" si="528"/>
        <v>43935</v>
      </c>
      <c r="L336" s="15">
        <f t="shared" si="529"/>
        <v>427.52000000000407</v>
      </c>
      <c r="M336" s="15">
        <f t="shared" si="530"/>
        <v>5</v>
      </c>
      <c r="N336" s="15">
        <f t="shared" si="531"/>
        <v>3.4799999999999995</v>
      </c>
      <c r="O336" s="64"/>
      <c r="P336" s="17">
        <f t="shared" si="532"/>
        <v>0.12708930693068865</v>
      </c>
      <c r="Q336" s="15">
        <f t="shared" si="533"/>
        <v>3471.5199999999968</v>
      </c>
      <c r="R336" s="35"/>
      <c r="S336" s="35">
        <f t="shared" si="534"/>
        <v>67622.285999999716</v>
      </c>
      <c r="T336" s="35">
        <f t="shared" si="535"/>
        <v>7772.6765517241056</v>
      </c>
      <c r="U336" s="35">
        <f t="shared" si="536"/>
        <v>12822.676551724106</v>
      </c>
      <c r="V336" s="15">
        <f t="shared" si="537"/>
        <v>110915.48499999974</v>
      </c>
      <c r="W336" s="17">
        <f t="shared" si="538"/>
        <v>8.6499479693329953</v>
      </c>
      <c r="X336" s="17">
        <f t="shared" si="539"/>
        <v>7.7037276263684618E-2</v>
      </c>
      <c r="Y336" s="17">
        <f t="shared" si="540"/>
        <v>5.0052030667004033E-2</v>
      </c>
      <c r="Z336" s="134">
        <f t="shared" si="541"/>
        <v>0.39383353230733947</v>
      </c>
      <c r="AA336" s="15">
        <f>SUM(L$2:L336)-SUM(AB$2:AB336)</f>
        <v>641.80099999997765</v>
      </c>
      <c r="AB336" s="64"/>
      <c r="AC336" s="145">
        <f t="shared" si="542"/>
        <v>73.733344770112382</v>
      </c>
      <c r="AD336" s="145">
        <f t="shared" si="543"/>
        <v>-4976.2666552298879</v>
      </c>
    </row>
    <row r="337" spans="1:30" x14ac:dyDescent="0.25">
      <c r="A337" s="148">
        <v>43131</v>
      </c>
      <c r="B337" s="100" t="s">
        <v>478</v>
      </c>
      <c r="C337" s="104" t="s">
        <v>63</v>
      </c>
      <c r="D337" s="104">
        <v>500</v>
      </c>
      <c r="E337" s="143">
        <v>8.56</v>
      </c>
      <c r="F337" s="16">
        <f t="shared" si="523"/>
        <v>5550</v>
      </c>
      <c r="G337" s="17">
        <f t="shared" si="524"/>
        <v>8.5726484684684721</v>
      </c>
      <c r="H337" s="15">
        <f t="shared" si="525"/>
        <v>47578.199000000022</v>
      </c>
      <c r="I337" s="15">
        <f t="shared" si="526"/>
        <v>-70.199000000022352</v>
      </c>
      <c r="J337" s="33">
        <f t="shared" si="527"/>
        <v>-1.4754446674204113E-3</v>
      </c>
      <c r="K337" s="15">
        <f t="shared" si="528"/>
        <v>47508</v>
      </c>
      <c r="L337" s="15">
        <f t="shared" si="529"/>
        <v>-712</v>
      </c>
      <c r="M337" s="15">
        <f t="shared" si="530"/>
        <v>5</v>
      </c>
      <c r="N337" s="15">
        <f t="shared" si="531"/>
        <v>0</v>
      </c>
      <c r="O337" s="64"/>
      <c r="P337" s="17">
        <f t="shared" si="532"/>
        <v>-1.2648468468471563E-2</v>
      </c>
      <c r="Q337" s="15">
        <f t="shared" si="533"/>
        <v>-4285</v>
      </c>
      <c r="R337" s="35"/>
      <c r="S337" s="35">
        <f t="shared" si="534"/>
        <v>63337.285999999716</v>
      </c>
      <c r="T337" s="35">
        <f t="shared" si="535"/>
        <v>7399.2156542055736</v>
      </c>
      <c r="U337" s="35">
        <f t="shared" si="536"/>
        <v>12949.215654205575</v>
      </c>
      <c r="V337" s="15">
        <f t="shared" si="537"/>
        <v>110915.48499999974</v>
      </c>
      <c r="W337" s="17">
        <f t="shared" si="538"/>
        <v>8.5654211005418865</v>
      </c>
      <c r="X337" s="17">
        <f t="shared" si="539"/>
        <v>-7.2273679265855151E-3</v>
      </c>
      <c r="Y337" s="17">
        <f t="shared" si="540"/>
        <v>-5.4211005418860481E-3</v>
      </c>
      <c r="Z337" s="134">
        <f t="shared" si="541"/>
        <v>0.42859738753346821</v>
      </c>
      <c r="AA337" s="15">
        <f>SUM(L$2:L337)-SUM(AB$2:AB337)</f>
        <v>-70.199000000022352</v>
      </c>
      <c r="AB337" s="64"/>
      <c r="AC337" s="145">
        <f t="shared" si="542"/>
        <v>-8.1967173481334505</v>
      </c>
      <c r="AD337" s="145">
        <f t="shared" si="543"/>
        <v>-5558.1967173481335</v>
      </c>
    </row>
    <row r="338" spans="1:30" x14ac:dyDescent="0.25">
      <c r="A338" s="148">
        <v>43131</v>
      </c>
      <c r="B338" s="100"/>
      <c r="C338" s="104" t="s">
        <v>69</v>
      </c>
      <c r="D338" s="104">
        <v>400</v>
      </c>
      <c r="E338" s="143">
        <v>8.67</v>
      </c>
      <c r="F338" s="16">
        <f t="shared" si="523"/>
        <v>5150</v>
      </c>
      <c r="G338" s="17">
        <f t="shared" si="524"/>
        <v>8.5667314563106842</v>
      </c>
      <c r="H338" s="15">
        <f t="shared" si="525"/>
        <v>44118.667000000023</v>
      </c>
      <c r="I338" s="15">
        <f t="shared" si="526"/>
        <v>531.83299999997689</v>
      </c>
      <c r="J338" s="33">
        <f t="shared" si="527"/>
        <v>1.2054602646992386E-2</v>
      </c>
      <c r="K338" s="15">
        <f t="shared" si="528"/>
        <v>44650.5</v>
      </c>
      <c r="L338" s="15">
        <f t="shared" si="529"/>
        <v>602.03199999999924</v>
      </c>
      <c r="M338" s="15">
        <f t="shared" si="530"/>
        <v>5</v>
      </c>
      <c r="N338" s="15">
        <f t="shared" si="531"/>
        <v>3.468</v>
      </c>
      <c r="O338" s="64"/>
      <c r="P338" s="17">
        <f t="shared" si="532"/>
        <v>0.10326854368931571</v>
      </c>
      <c r="Q338" s="15">
        <f t="shared" si="533"/>
        <v>3459.5319999999992</v>
      </c>
      <c r="R338" s="35"/>
      <c r="S338" s="35">
        <f t="shared" si="534"/>
        <v>66796.817999999708</v>
      </c>
      <c r="T338" s="35">
        <f t="shared" si="535"/>
        <v>7704.3619377162295</v>
      </c>
      <c r="U338" s="35">
        <f t="shared" si="536"/>
        <v>12854.361937716229</v>
      </c>
      <c r="V338" s="15">
        <f t="shared" si="537"/>
        <v>110915.48499999972</v>
      </c>
      <c r="W338" s="17">
        <f t="shared" si="538"/>
        <v>8.6286262622309149</v>
      </c>
      <c r="X338" s="17">
        <f t="shared" si="539"/>
        <v>6.1894805920230667E-2</v>
      </c>
      <c r="Y338" s="17">
        <f t="shared" si="540"/>
        <v>4.1373737769085039E-2</v>
      </c>
      <c r="Z338" s="134">
        <f t="shared" si="541"/>
        <v>0.40064221195524974</v>
      </c>
      <c r="AA338" s="15">
        <f>SUM(L$2:L338)-SUM(AB$2:AB338)</f>
        <v>531.83299999997689</v>
      </c>
      <c r="AB338" s="64"/>
      <c r="AC338" s="145">
        <f t="shared" si="542"/>
        <v>61.311082295268392</v>
      </c>
      <c r="AD338" s="145">
        <f t="shared" si="543"/>
        <v>-5088.6889177047315</v>
      </c>
    </row>
    <row r="339" spans="1:30" x14ac:dyDescent="0.25">
      <c r="A339" s="148">
        <v>43132</v>
      </c>
      <c r="B339" s="100"/>
      <c r="C339" s="104" t="s">
        <v>63</v>
      </c>
      <c r="D339" s="104">
        <v>500</v>
      </c>
      <c r="E339" s="143">
        <v>8.36</v>
      </c>
      <c r="F339" s="16">
        <f t="shared" ref="F339:F344" si="544">IF(C339="买",F338+D339,F338-D339)</f>
        <v>5650</v>
      </c>
      <c r="G339" s="17">
        <f t="shared" si="524"/>
        <v>8.5493215929203572</v>
      </c>
      <c r="H339" s="15">
        <f t="shared" si="525"/>
        <v>48303.667000000023</v>
      </c>
      <c r="I339" s="15">
        <f t="shared" si="526"/>
        <v>-1069.6670000000231</v>
      </c>
      <c r="J339" s="33">
        <f t="shared" si="527"/>
        <v>-2.2144633449879096E-2</v>
      </c>
      <c r="K339" s="15">
        <f t="shared" si="528"/>
        <v>47234</v>
      </c>
      <c r="L339" s="15">
        <f t="shared" si="529"/>
        <v>-1601.5</v>
      </c>
      <c r="M339" s="15">
        <f t="shared" si="530"/>
        <v>5</v>
      </c>
      <c r="N339" s="15">
        <f t="shared" si="531"/>
        <v>0</v>
      </c>
      <c r="O339" s="64"/>
      <c r="P339" s="17">
        <f t="shared" si="532"/>
        <v>-0.18932159292035777</v>
      </c>
      <c r="Q339" s="15">
        <f t="shared" si="533"/>
        <v>-4185</v>
      </c>
      <c r="R339" s="35"/>
      <c r="S339" s="35">
        <f t="shared" si="534"/>
        <v>62611.817999999708</v>
      </c>
      <c r="T339" s="35">
        <f t="shared" si="535"/>
        <v>7489.4519138755641</v>
      </c>
      <c r="U339" s="35">
        <f t="shared" si="536"/>
        <v>13139.451913875564</v>
      </c>
      <c r="V339" s="15">
        <f t="shared" si="537"/>
        <v>110915.48499999972</v>
      </c>
      <c r="W339" s="17">
        <f t="shared" si="538"/>
        <v>8.4414087990131783</v>
      </c>
      <c r="X339" s="17">
        <f t="shared" si="539"/>
        <v>-0.10791279390717889</v>
      </c>
      <c r="Y339" s="17">
        <f t="shared" si="540"/>
        <v>-8.1408799013178879E-2</v>
      </c>
      <c r="Z339" s="134">
        <f t="shared" si="541"/>
        <v>0.43000271526040368</v>
      </c>
      <c r="AA339" s="15">
        <f>SUM(L$2:L339)-SUM(AB$2:AB339)</f>
        <v>-1069.6670000000231</v>
      </c>
      <c r="AB339" s="64"/>
      <c r="AC339" s="145">
        <f t="shared" si="542"/>
        <v>-127.88662278708412</v>
      </c>
      <c r="AD339" s="145">
        <f t="shared" si="543"/>
        <v>-5777.886622787084</v>
      </c>
    </row>
    <row r="340" spans="1:30" x14ac:dyDescent="0.25">
      <c r="A340" s="148">
        <v>43133</v>
      </c>
      <c r="B340" s="100"/>
      <c r="C340" s="104" t="s">
        <v>63</v>
      </c>
      <c r="D340" s="104">
        <v>500</v>
      </c>
      <c r="E340" s="143">
        <v>8.15</v>
      </c>
      <c r="F340" s="16">
        <f t="shared" si="544"/>
        <v>6150</v>
      </c>
      <c r="G340" s="17">
        <f t="shared" si="524"/>
        <v>8.5176694308943119</v>
      </c>
      <c r="H340" s="15">
        <f t="shared" si="525"/>
        <v>52383.667000000023</v>
      </c>
      <c r="I340" s="15">
        <f t="shared" si="526"/>
        <v>-2261.1670000000231</v>
      </c>
      <c r="J340" s="33">
        <f t="shared" si="527"/>
        <v>-4.3165496604123103E-2</v>
      </c>
      <c r="K340" s="15">
        <f t="shared" si="528"/>
        <v>50122.5</v>
      </c>
      <c r="L340" s="15">
        <f t="shared" si="529"/>
        <v>-1191.5</v>
      </c>
      <c r="M340" s="15">
        <f t="shared" si="530"/>
        <v>5</v>
      </c>
      <c r="N340" s="15">
        <f t="shared" si="531"/>
        <v>0</v>
      </c>
      <c r="O340" s="64"/>
      <c r="P340" s="17">
        <f t="shared" si="532"/>
        <v>-0.36766943089431159</v>
      </c>
      <c r="Q340" s="15">
        <f t="shared" si="533"/>
        <v>-4080</v>
      </c>
      <c r="R340" s="35"/>
      <c r="S340" s="35">
        <f t="shared" si="534"/>
        <v>58531.817999999708</v>
      </c>
      <c r="T340" s="35">
        <f t="shared" si="535"/>
        <v>7181.8181595091664</v>
      </c>
      <c r="U340" s="35">
        <f t="shared" si="536"/>
        <v>13331.818159509166</v>
      </c>
      <c r="V340" s="15">
        <f t="shared" si="537"/>
        <v>110915.48499999972</v>
      </c>
      <c r="W340" s="17">
        <f t="shared" si="538"/>
        <v>8.3196067987836457</v>
      </c>
      <c r="X340" s="17">
        <f t="shared" si="539"/>
        <v>-0.19806263211066621</v>
      </c>
      <c r="Y340" s="17">
        <f t="shared" si="540"/>
        <v>-0.16960679878364537</v>
      </c>
      <c r="Z340" s="134">
        <f t="shared" si="541"/>
        <v>0.46130242150155631</v>
      </c>
      <c r="AA340" s="15">
        <f>SUM(L$2:L340)-SUM(AB$2:AB340)</f>
        <v>-2261.1670000000231</v>
      </c>
      <c r="AB340" s="64"/>
      <c r="AC340" s="145">
        <f t="shared" si="542"/>
        <v>-277.30508177914396</v>
      </c>
      <c r="AD340" s="145">
        <f t="shared" si="543"/>
        <v>-6427.3050817791436</v>
      </c>
    </row>
    <row r="341" spans="1:30" x14ac:dyDescent="0.25">
      <c r="A341" s="148">
        <v>43133</v>
      </c>
      <c r="B341" s="100" t="s">
        <v>479</v>
      </c>
      <c r="C341" s="104" t="s">
        <v>69</v>
      </c>
      <c r="D341" s="104">
        <v>400</v>
      </c>
      <c r="E341" s="143">
        <v>8.36</v>
      </c>
      <c r="F341" s="16">
        <f t="shared" si="544"/>
        <v>5750</v>
      </c>
      <c r="G341" s="17">
        <f t="shared" si="524"/>
        <v>8.5300888695652208</v>
      </c>
      <c r="H341" s="15">
        <f t="shared" si="525"/>
        <v>49048.01100000002</v>
      </c>
      <c r="I341" s="15">
        <f t="shared" si="526"/>
        <v>-978.01100000002043</v>
      </c>
      <c r="J341" s="33">
        <f t="shared" si="527"/>
        <v>-1.9939870752353702E-2</v>
      </c>
      <c r="K341" s="15">
        <f t="shared" si="528"/>
        <v>48070</v>
      </c>
      <c r="L341" s="15">
        <f t="shared" si="529"/>
        <v>1283.1560000000027</v>
      </c>
      <c r="M341" s="15">
        <f t="shared" si="530"/>
        <v>5</v>
      </c>
      <c r="N341" s="15">
        <f t="shared" si="531"/>
        <v>3.3439999999999999</v>
      </c>
      <c r="O341" s="64"/>
      <c r="P341" s="17">
        <f t="shared" si="532"/>
        <v>-0.1700888695652214</v>
      </c>
      <c r="Q341" s="15">
        <f t="shared" si="533"/>
        <v>3335.6560000000027</v>
      </c>
      <c r="R341" s="35"/>
      <c r="S341" s="35">
        <f t="shared" si="534"/>
        <v>61867.473999999711</v>
      </c>
      <c r="T341" s="35">
        <f t="shared" si="535"/>
        <v>7400.4155502392005</v>
      </c>
      <c r="U341" s="35">
        <f t="shared" si="536"/>
        <v>13150.4155502392</v>
      </c>
      <c r="V341" s="15">
        <f t="shared" si="537"/>
        <v>110915.48499999972</v>
      </c>
      <c r="W341" s="17">
        <f t="shared" si="538"/>
        <v>8.4343711098910656</v>
      </c>
      <c r="X341" s="17">
        <f t="shared" si="539"/>
        <v>-9.5717759674155189E-2</v>
      </c>
      <c r="Y341" s="17">
        <f t="shared" si="540"/>
        <v>-7.4371109891066212E-2</v>
      </c>
      <c r="Z341" s="134">
        <f t="shared" si="541"/>
        <v>0.43724854002012203</v>
      </c>
      <c r="AA341" s="15">
        <f>SUM(L$2:L341)-SUM(AB$2:AB341)</f>
        <v>-978.01100000002043</v>
      </c>
      <c r="AB341" s="64"/>
      <c r="AC341" s="145">
        <f t="shared" si="542"/>
        <v>-116.92846824162925</v>
      </c>
      <c r="AD341" s="145">
        <f t="shared" si="543"/>
        <v>-5866.9284682416292</v>
      </c>
    </row>
    <row r="342" spans="1:30" x14ac:dyDescent="0.25">
      <c r="A342" s="148">
        <v>43136</v>
      </c>
      <c r="B342" s="100" t="s">
        <v>480</v>
      </c>
      <c r="C342" s="104" t="s">
        <v>69</v>
      </c>
      <c r="D342" s="104">
        <v>400</v>
      </c>
      <c r="E342" s="143">
        <v>8.4600000000000009</v>
      </c>
      <c r="F342" s="16">
        <f t="shared" si="544"/>
        <v>5350</v>
      </c>
      <c r="G342" s="17">
        <f t="shared" si="524"/>
        <v>8.5368962616822461</v>
      </c>
      <c r="H342" s="15">
        <f t="shared" si="525"/>
        <v>45672.395000000019</v>
      </c>
      <c r="I342" s="15">
        <f t="shared" si="526"/>
        <v>-411.39500000001135</v>
      </c>
      <c r="J342" s="33">
        <f t="shared" si="527"/>
        <v>-9.0075197501688301E-3</v>
      </c>
      <c r="K342" s="15">
        <f t="shared" si="528"/>
        <v>45261.000000000007</v>
      </c>
      <c r="L342" s="15">
        <f t="shared" si="529"/>
        <v>566.61600000000908</v>
      </c>
      <c r="M342" s="15">
        <f t="shared" si="530"/>
        <v>5</v>
      </c>
      <c r="N342" s="15">
        <f t="shared" si="531"/>
        <v>3.3840000000000003</v>
      </c>
      <c r="O342" s="64"/>
      <c r="P342" s="17">
        <f t="shared" si="532"/>
        <v>-7.6896261682245282E-2</v>
      </c>
      <c r="Q342" s="15">
        <f t="shared" si="533"/>
        <v>3375.6160000000018</v>
      </c>
      <c r="R342" s="35"/>
      <c r="S342" s="35">
        <f t="shared" si="534"/>
        <v>65243.089999999713</v>
      </c>
      <c r="T342" s="35">
        <f t="shared" si="535"/>
        <v>7711.9491725767975</v>
      </c>
      <c r="U342" s="35">
        <f t="shared" si="536"/>
        <v>13061.949172576798</v>
      </c>
      <c r="V342" s="15">
        <f t="shared" si="537"/>
        <v>110915.48499999972</v>
      </c>
      <c r="W342" s="17">
        <f t="shared" si="538"/>
        <v>8.4914956821960175</v>
      </c>
      <c r="X342" s="17">
        <f t="shared" si="539"/>
        <v>-4.5400579486228665E-2</v>
      </c>
      <c r="Y342" s="17">
        <f t="shared" si="540"/>
        <v>-3.1495682196016617E-2</v>
      </c>
      <c r="Z342" s="134">
        <f t="shared" si="541"/>
        <v>0.40958664968871394</v>
      </c>
      <c r="AA342" s="15">
        <f>SUM(L$2:L342)-SUM(AB$2:AB342)</f>
        <v>-411.39500000001135</v>
      </c>
      <c r="AB342" s="64"/>
      <c r="AC342" s="145">
        <f t="shared" si="542"/>
        <v>-48.603936465722384</v>
      </c>
      <c r="AD342" s="145">
        <f t="shared" si="543"/>
        <v>-5398.6039364657227</v>
      </c>
    </row>
    <row r="343" spans="1:30" x14ac:dyDescent="0.25">
      <c r="A343" s="148">
        <v>43136</v>
      </c>
      <c r="B343" s="100"/>
      <c r="C343" s="104" t="s">
        <v>69</v>
      </c>
      <c r="D343" s="104">
        <v>400</v>
      </c>
      <c r="E343" s="143">
        <v>8.5399999999999991</v>
      </c>
      <c r="F343" s="16">
        <f t="shared" si="544"/>
        <v>4950</v>
      </c>
      <c r="G343" s="17">
        <f t="shared" si="524"/>
        <v>8.5383456565656601</v>
      </c>
      <c r="H343" s="15">
        <f t="shared" si="525"/>
        <v>42264.811000000016</v>
      </c>
      <c r="I343" s="15">
        <f t="shared" si="526"/>
        <v>8.1889999999766587</v>
      </c>
      <c r="J343" s="33">
        <f t="shared" si="527"/>
        <v>1.9375456334060277E-4</v>
      </c>
      <c r="K343" s="15">
        <f t="shared" si="528"/>
        <v>42272.999999999993</v>
      </c>
      <c r="L343" s="15">
        <f t="shared" si="529"/>
        <v>419.58399999998801</v>
      </c>
      <c r="M343" s="15">
        <f t="shared" si="530"/>
        <v>5</v>
      </c>
      <c r="N343" s="15">
        <f t="shared" si="531"/>
        <v>3.4159999999999995</v>
      </c>
      <c r="O343" s="64"/>
      <c r="P343" s="17">
        <f t="shared" si="532"/>
        <v>1.6543434343390118E-3</v>
      </c>
      <c r="Q343" s="15">
        <f t="shared" si="533"/>
        <v>3407.5840000000026</v>
      </c>
      <c r="R343" s="35"/>
      <c r="S343" s="35">
        <f t="shared" si="534"/>
        <v>68650.673999999708</v>
      </c>
      <c r="T343" s="35">
        <f t="shared" si="535"/>
        <v>8038.7206088992643</v>
      </c>
      <c r="U343" s="35">
        <f t="shared" si="536"/>
        <v>12988.720608899264</v>
      </c>
      <c r="V343" s="15">
        <f t="shared" si="537"/>
        <v>110915.48499999972</v>
      </c>
      <c r="W343" s="17">
        <f t="shared" si="538"/>
        <v>8.5393695298985506</v>
      </c>
      <c r="X343" s="17">
        <f t="shared" si="539"/>
        <v>1.0238733328904459E-3</v>
      </c>
      <c r="Y343" s="17">
        <f t="shared" si="540"/>
        <v>6.3047010144856586E-4</v>
      </c>
      <c r="Z343" s="134">
        <f t="shared" si="541"/>
        <v>0.38109989036244968</v>
      </c>
      <c r="AA343" s="15">
        <f>SUM(L$2:L343)-SUM(AB$2:AB343)</f>
        <v>8.1889999999766587</v>
      </c>
      <c r="AB343" s="64"/>
      <c r="AC343" s="145">
        <f t="shared" si="542"/>
        <v>0.95841984777244404</v>
      </c>
      <c r="AD343" s="145">
        <f t="shared" si="543"/>
        <v>-4949.0415801522277</v>
      </c>
    </row>
    <row r="344" spans="1:30" x14ac:dyDescent="0.25">
      <c r="A344" s="148">
        <v>43136</v>
      </c>
      <c r="B344" s="100"/>
      <c r="C344" s="104" t="s">
        <v>69</v>
      </c>
      <c r="D344" s="104">
        <v>400</v>
      </c>
      <c r="E344" s="143">
        <v>8.6</v>
      </c>
      <c r="F344" s="16">
        <f t="shared" si="544"/>
        <v>4550</v>
      </c>
      <c r="G344" s="17">
        <f t="shared" si="524"/>
        <v>8.5347804395604427</v>
      </c>
      <c r="H344" s="15">
        <f t="shared" si="525"/>
        <v>38833.251000000018</v>
      </c>
      <c r="I344" s="15">
        <f t="shared" si="526"/>
        <v>296.74899999998161</v>
      </c>
      <c r="J344" s="33">
        <f t="shared" si="527"/>
        <v>7.6416213517633072E-3</v>
      </c>
      <c r="K344" s="15">
        <f t="shared" si="528"/>
        <v>39130</v>
      </c>
      <c r="L344" s="15">
        <f t="shared" si="529"/>
        <v>288.56000000000495</v>
      </c>
      <c r="M344" s="15">
        <f t="shared" si="530"/>
        <v>5</v>
      </c>
      <c r="N344" s="15">
        <f t="shared" si="531"/>
        <v>3.44</v>
      </c>
      <c r="O344" s="64"/>
      <c r="P344" s="17">
        <f t="shared" si="532"/>
        <v>6.5219560439556901E-2</v>
      </c>
      <c r="Q344" s="15">
        <f t="shared" si="533"/>
        <v>3431.5599999999977</v>
      </c>
      <c r="R344" s="35"/>
      <c r="S344" s="35">
        <f t="shared" si="534"/>
        <v>72082.233999999706</v>
      </c>
      <c r="T344" s="35">
        <f t="shared" si="535"/>
        <v>8381.6551162790365</v>
      </c>
      <c r="U344" s="35">
        <f t="shared" si="536"/>
        <v>12931.655116279037</v>
      </c>
      <c r="V344" s="15">
        <f t="shared" si="537"/>
        <v>110915.48499999972</v>
      </c>
      <c r="W344" s="17">
        <f t="shared" si="538"/>
        <v>8.5770525120464729</v>
      </c>
      <c r="X344" s="17">
        <f t="shared" si="539"/>
        <v>4.2272072486030154E-2</v>
      </c>
      <c r="Y344" s="17">
        <f t="shared" si="540"/>
        <v>2.2947487953526746E-2</v>
      </c>
      <c r="Z344" s="134">
        <f t="shared" si="541"/>
        <v>0.35184977940466605</v>
      </c>
      <c r="AA344" s="15">
        <f>SUM(L$2:L344)-SUM(AB$2:AB344)</f>
        <v>296.74899999998161</v>
      </c>
      <c r="AB344" s="64"/>
      <c r="AC344" s="145">
        <f t="shared" si="542"/>
        <v>34.488444825579258</v>
      </c>
      <c r="AD344" s="145">
        <f t="shared" si="543"/>
        <v>-4515.5115551744211</v>
      </c>
    </row>
    <row r="345" spans="1:30" x14ac:dyDescent="0.25">
      <c r="A345" s="148">
        <v>43137</v>
      </c>
      <c r="B345" s="100"/>
      <c r="C345" s="104" t="s">
        <v>69</v>
      </c>
      <c r="D345" s="104">
        <v>400</v>
      </c>
      <c r="E345" s="143">
        <v>8.74</v>
      </c>
      <c r="F345" s="16">
        <f t="shared" ref="F345:F350" si="545">IF(C345="买",F344+D345,F344-D345)</f>
        <v>4150</v>
      </c>
      <c r="G345" s="17">
        <f t="shared" si="524"/>
        <v>8.5170474698795218</v>
      </c>
      <c r="H345" s="15">
        <f t="shared" si="525"/>
        <v>35345.747000000018</v>
      </c>
      <c r="I345" s="15">
        <f t="shared" si="526"/>
        <v>925.25299999998242</v>
      </c>
      <c r="J345" s="33">
        <f t="shared" si="527"/>
        <v>2.6177208816664282E-2</v>
      </c>
      <c r="K345" s="15">
        <f t="shared" si="528"/>
        <v>36271</v>
      </c>
      <c r="L345" s="15">
        <f t="shared" si="529"/>
        <v>628.50400000000081</v>
      </c>
      <c r="M345" s="15">
        <f t="shared" si="530"/>
        <v>5</v>
      </c>
      <c r="N345" s="15">
        <f t="shared" si="531"/>
        <v>3.496</v>
      </c>
      <c r="O345" s="64"/>
      <c r="P345" s="17">
        <f t="shared" si="532"/>
        <v>0.22295253012047844</v>
      </c>
      <c r="Q345" s="15">
        <f t="shared" si="533"/>
        <v>3487.5040000000008</v>
      </c>
      <c r="R345" s="35"/>
      <c r="S345" s="35">
        <f t="shared" si="534"/>
        <v>75569.737999999707</v>
      </c>
      <c r="T345" s="35">
        <f t="shared" si="535"/>
        <v>8646.4231121281118</v>
      </c>
      <c r="U345" s="35">
        <f t="shared" si="536"/>
        <v>12796.423112128112</v>
      </c>
      <c r="V345" s="15">
        <f t="shared" si="537"/>
        <v>110915.48499999972</v>
      </c>
      <c r="W345" s="17">
        <f t="shared" si="538"/>
        <v>8.6676944039836386</v>
      </c>
      <c r="X345" s="17">
        <f t="shared" si="539"/>
        <v>0.15064693410411678</v>
      </c>
      <c r="Y345" s="17">
        <f t="shared" si="540"/>
        <v>7.2305596016361662E-2</v>
      </c>
      <c r="Z345" s="134">
        <f t="shared" si="541"/>
        <v>0.32430937642775659</v>
      </c>
      <c r="AA345" s="15">
        <f>SUM(L$2:L345)-SUM(AB$2:AB345)</f>
        <v>925.25299999998242</v>
      </c>
      <c r="AB345" s="64"/>
      <c r="AC345" s="145">
        <f t="shared" si="542"/>
        <v>105.81125554919709</v>
      </c>
      <c r="AD345" s="145">
        <f t="shared" si="543"/>
        <v>-4044.1887444508029</v>
      </c>
    </row>
    <row r="346" spans="1:30" x14ac:dyDescent="0.25">
      <c r="A346" s="148">
        <v>43137</v>
      </c>
      <c r="B346" s="100"/>
      <c r="C346" s="104" t="s">
        <v>69</v>
      </c>
      <c r="D346" s="104">
        <v>400</v>
      </c>
      <c r="E346" s="143">
        <v>8.81</v>
      </c>
      <c r="F346" s="16">
        <f t="shared" si="545"/>
        <v>3750</v>
      </c>
      <c r="G346" s="17">
        <f t="shared" si="524"/>
        <v>8.4880722666666717</v>
      </c>
      <c r="H346" s="15">
        <f t="shared" si="525"/>
        <v>31830.271000000019</v>
      </c>
      <c r="I346" s="15">
        <f t="shared" si="526"/>
        <v>1207.2289999999812</v>
      </c>
      <c r="J346" s="33">
        <f t="shared" si="527"/>
        <v>3.7927072628441721E-2</v>
      </c>
      <c r="K346" s="15">
        <f t="shared" si="528"/>
        <v>33037.5</v>
      </c>
      <c r="L346" s="15">
        <f t="shared" si="529"/>
        <v>281.97599999999875</v>
      </c>
      <c r="M346" s="15">
        <f t="shared" si="530"/>
        <v>5</v>
      </c>
      <c r="N346" s="15">
        <f t="shared" si="531"/>
        <v>3.524</v>
      </c>
      <c r="O346" s="64"/>
      <c r="P346" s="17">
        <f t="shared" si="532"/>
        <v>0.3219277333333288</v>
      </c>
      <c r="Q346" s="15">
        <f t="shared" si="533"/>
        <v>3515.4759999999987</v>
      </c>
      <c r="R346" s="35"/>
      <c r="S346" s="35">
        <f t="shared" si="534"/>
        <v>79085.213999999702</v>
      </c>
      <c r="T346" s="35">
        <f t="shared" si="535"/>
        <v>8976.7552780930419</v>
      </c>
      <c r="U346" s="35">
        <f t="shared" si="536"/>
        <v>12726.755278093042</v>
      </c>
      <c r="V346" s="15">
        <f t="shared" si="537"/>
        <v>110915.48499999972</v>
      </c>
      <c r="W346" s="17">
        <f t="shared" si="538"/>
        <v>8.715142436259617</v>
      </c>
      <c r="X346" s="17">
        <f t="shared" si="539"/>
        <v>0.22707016959294535</v>
      </c>
      <c r="Y346" s="17">
        <f t="shared" si="540"/>
        <v>9.4857563740383455E-2</v>
      </c>
      <c r="Z346" s="134">
        <f t="shared" si="541"/>
        <v>0.29465483684242683</v>
      </c>
      <c r="AA346" s="15">
        <f>SUM(L$2:L346)-SUM(AB$2:AB346)</f>
        <v>1207.2289999999848</v>
      </c>
      <c r="AB346" s="64"/>
      <c r="AC346" s="145">
        <f t="shared" si="542"/>
        <v>136.96088371168912</v>
      </c>
      <c r="AD346" s="145">
        <f t="shared" si="543"/>
        <v>-3613.0391162883107</v>
      </c>
    </row>
    <row r="347" spans="1:30" x14ac:dyDescent="0.25">
      <c r="A347" s="148">
        <v>43137</v>
      </c>
      <c r="B347" s="100" t="s">
        <v>481</v>
      </c>
      <c r="C347" s="104" t="s">
        <v>63</v>
      </c>
      <c r="D347" s="104">
        <v>500</v>
      </c>
      <c r="E347" s="143">
        <v>8.5299999999999994</v>
      </c>
      <c r="F347" s="16">
        <f t="shared" si="545"/>
        <v>4250</v>
      </c>
      <c r="G347" s="17">
        <f t="shared" si="524"/>
        <v>8.4941814117647105</v>
      </c>
      <c r="H347" s="15">
        <f t="shared" si="525"/>
        <v>36100.271000000022</v>
      </c>
      <c r="I347" s="15">
        <f t="shared" si="526"/>
        <v>152.22899999997753</v>
      </c>
      <c r="J347" s="33">
        <f t="shared" si="527"/>
        <v>4.2168381506049483E-3</v>
      </c>
      <c r="K347" s="15">
        <f t="shared" si="528"/>
        <v>36252.5</v>
      </c>
      <c r="L347" s="15">
        <f t="shared" si="529"/>
        <v>-1055.0000000000036</v>
      </c>
      <c r="M347" s="15">
        <f t="shared" si="530"/>
        <v>5</v>
      </c>
      <c r="N347" s="15">
        <f t="shared" si="531"/>
        <v>0</v>
      </c>
      <c r="O347" s="64"/>
      <c r="P347" s="17">
        <f t="shared" si="532"/>
        <v>3.5818588235288829E-2</v>
      </c>
      <c r="Q347" s="15">
        <f t="shared" si="533"/>
        <v>-4270.0000000000036</v>
      </c>
      <c r="R347" s="35"/>
      <c r="S347" s="35">
        <f t="shared" si="534"/>
        <v>74815.213999999702</v>
      </c>
      <c r="T347" s="35">
        <f t="shared" si="535"/>
        <v>8770.8339976552998</v>
      </c>
      <c r="U347" s="35">
        <f t="shared" si="536"/>
        <v>13020.8339976553</v>
      </c>
      <c r="V347" s="15">
        <f t="shared" si="537"/>
        <v>110915.48499999972</v>
      </c>
      <c r="W347" s="17">
        <f t="shared" si="538"/>
        <v>8.5183088133964855</v>
      </c>
      <c r="X347" s="17">
        <f t="shared" si="539"/>
        <v>2.4127401631774958E-2</v>
      </c>
      <c r="Y347" s="17">
        <f t="shared" si="540"/>
        <v>1.169118660351387E-2</v>
      </c>
      <c r="Z347" s="134">
        <f t="shared" si="541"/>
        <v>0.32639998334709669</v>
      </c>
      <c r="AA347" s="15">
        <f>SUM(L$2:L347)-SUM(AB$2:AB347)</f>
        <v>152.22899999998481</v>
      </c>
      <c r="AB347" s="64"/>
      <c r="AC347" s="145">
        <f t="shared" si="542"/>
        <v>17.837383997652704</v>
      </c>
      <c r="AD347" s="145">
        <f t="shared" si="543"/>
        <v>-4232.162616002347</v>
      </c>
    </row>
    <row r="348" spans="1:30" x14ac:dyDescent="0.25">
      <c r="A348" s="148">
        <v>43137</v>
      </c>
      <c r="B348" s="100"/>
      <c r="C348" s="104" t="s">
        <v>69</v>
      </c>
      <c r="D348" s="104">
        <v>400</v>
      </c>
      <c r="E348" s="143">
        <v>8.65</v>
      </c>
      <c r="F348" s="16">
        <f t="shared" si="545"/>
        <v>3850</v>
      </c>
      <c r="G348" s="17">
        <f t="shared" si="524"/>
        <v>8.480189870129875</v>
      </c>
      <c r="H348" s="15">
        <f t="shared" si="525"/>
        <v>32648.731000000022</v>
      </c>
      <c r="I348" s="15">
        <f t="shared" si="526"/>
        <v>653.7689999999784</v>
      </c>
      <c r="J348" s="33">
        <f t="shared" si="527"/>
        <v>2.0024331114124532E-2</v>
      </c>
      <c r="K348" s="15">
        <f t="shared" si="528"/>
        <v>33302.5</v>
      </c>
      <c r="L348" s="15">
        <f t="shared" si="529"/>
        <v>501.54000000000087</v>
      </c>
      <c r="M348" s="15">
        <f t="shared" si="530"/>
        <v>5</v>
      </c>
      <c r="N348" s="15">
        <f t="shared" si="531"/>
        <v>3.46</v>
      </c>
      <c r="O348" s="64"/>
      <c r="P348" s="17">
        <f t="shared" si="532"/>
        <v>0.16981012987012534</v>
      </c>
      <c r="Q348" s="15">
        <f t="shared" si="533"/>
        <v>3451.5400000000009</v>
      </c>
      <c r="R348" s="35"/>
      <c r="S348" s="35">
        <f t="shared" si="534"/>
        <v>78266.753999999695</v>
      </c>
      <c r="T348" s="35">
        <f t="shared" si="535"/>
        <v>9048.1796531791551</v>
      </c>
      <c r="U348" s="35">
        <f t="shared" si="536"/>
        <v>12898.179653179155</v>
      </c>
      <c r="V348" s="15">
        <f t="shared" si="537"/>
        <v>110915.48499999972</v>
      </c>
      <c r="W348" s="17">
        <f t="shared" si="538"/>
        <v>8.5993130800175486</v>
      </c>
      <c r="X348" s="17">
        <f t="shared" si="539"/>
        <v>0.11912320988767355</v>
      </c>
      <c r="Y348" s="17">
        <f t="shared" si="540"/>
        <v>5.0686919982451784E-2</v>
      </c>
      <c r="Z348" s="134">
        <f t="shared" si="541"/>
        <v>0.29849173321531836</v>
      </c>
      <c r="AA348" s="15">
        <f>SUM(L$2:L348)-SUM(AB$2:AB348)</f>
        <v>653.76899999998568</v>
      </c>
      <c r="AB348" s="64"/>
      <c r="AC348" s="145">
        <f t="shared" si="542"/>
        <v>75.54244109826341</v>
      </c>
      <c r="AD348" s="145">
        <f t="shared" si="543"/>
        <v>-3774.4575589017368</v>
      </c>
    </row>
    <row r="349" spans="1:30" x14ac:dyDescent="0.25">
      <c r="A349" s="148">
        <v>43137</v>
      </c>
      <c r="B349" s="100"/>
      <c r="C349" s="104" t="s">
        <v>69</v>
      </c>
      <c r="D349" s="104">
        <v>400</v>
      </c>
      <c r="E349" s="143">
        <v>8.7100000000000009</v>
      </c>
      <c r="F349" s="16">
        <f t="shared" si="545"/>
        <v>3450</v>
      </c>
      <c r="G349" s="17">
        <f t="shared" si="524"/>
        <v>8.4560043478260933</v>
      </c>
      <c r="H349" s="15">
        <f t="shared" si="525"/>
        <v>29173.215000000022</v>
      </c>
      <c r="I349" s="15">
        <f t="shared" si="526"/>
        <v>876.28499999998166</v>
      </c>
      <c r="J349" s="33">
        <f t="shared" si="527"/>
        <v>3.0037313336907855E-2</v>
      </c>
      <c r="K349" s="15">
        <f t="shared" si="528"/>
        <v>30049.500000000004</v>
      </c>
      <c r="L349" s="15">
        <f t="shared" si="529"/>
        <v>222.51600000000326</v>
      </c>
      <c r="M349" s="15">
        <f t="shared" si="530"/>
        <v>5</v>
      </c>
      <c r="N349" s="15">
        <f t="shared" si="531"/>
        <v>3.4840000000000004</v>
      </c>
      <c r="O349" s="64"/>
      <c r="P349" s="17">
        <f t="shared" si="532"/>
        <v>0.25399565217390752</v>
      </c>
      <c r="Q349" s="15">
        <f t="shared" si="533"/>
        <v>3475.5159999999996</v>
      </c>
      <c r="R349" s="35"/>
      <c r="S349" s="35">
        <f t="shared" si="534"/>
        <v>81742.269999999698</v>
      </c>
      <c r="T349" s="35">
        <f t="shared" si="535"/>
        <v>9384.8760045923864</v>
      </c>
      <c r="U349" s="35">
        <f t="shared" si="536"/>
        <v>12834.876004592386</v>
      </c>
      <c r="V349" s="15">
        <f t="shared" si="537"/>
        <v>110915.48499999972</v>
      </c>
      <c r="W349" s="17">
        <f t="shared" si="538"/>
        <v>8.6417262590081574</v>
      </c>
      <c r="X349" s="17">
        <f t="shared" si="539"/>
        <v>0.18572191118206405</v>
      </c>
      <c r="Y349" s="17">
        <f t="shared" si="540"/>
        <v>6.8273740991843468E-2</v>
      </c>
      <c r="Z349" s="134">
        <f t="shared" si="541"/>
        <v>0.26879885701782952</v>
      </c>
      <c r="AA349" s="15">
        <f>SUM(L$2:L349)-SUM(AB$2:AB349)</f>
        <v>876.28499999998894</v>
      </c>
      <c r="AB349" s="64"/>
      <c r="AC349" s="145">
        <f t="shared" si="542"/>
        <v>100.55647043627802</v>
      </c>
      <c r="AD349" s="145">
        <f t="shared" si="543"/>
        <v>-3349.4435295637218</v>
      </c>
    </row>
    <row r="350" spans="1:30" x14ac:dyDescent="0.25">
      <c r="A350" s="148">
        <v>43137</v>
      </c>
      <c r="B350" s="100"/>
      <c r="C350" s="104" t="s">
        <v>69</v>
      </c>
      <c r="D350" s="104">
        <v>400</v>
      </c>
      <c r="E350" s="143">
        <v>8.81</v>
      </c>
      <c r="F350" s="16">
        <f t="shared" si="545"/>
        <v>3050</v>
      </c>
      <c r="G350" s="17">
        <f t="shared" si="524"/>
        <v>8.4123734426229593</v>
      </c>
      <c r="H350" s="15">
        <f t="shared" si="525"/>
        <v>25657.739000000023</v>
      </c>
      <c r="I350" s="15">
        <f t="shared" si="526"/>
        <v>1212.7609999999768</v>
      </c>
      <c r="J350" s="33">
        <f t="shared" si="527"/>
        <v>4.7266869461879496E-2</v>
      </c>
      <c r="K350" s="15">
        <f t="shared" si="528"/>
        <v>26870.5</v>
      </c>
      <c r="L350" s="15">
        <f t="shared" si="529"/>
        <v>336.47599999999511</v>
      </c>
      <c r="M350" s="15">
        <f t="shared" si="530"/>
        <v>5</v>
      </c>
      <c r="N350" s="15">
        <f t="shared" si="531"/>
        <v>3.524</v>
      </c>
      <c r="O350" s="64"/>
      <c r="P350" s="17">
        <f t="shared" si="532"/>
        <v>0.39762655737704122</v>
      </c>
      <c r="Q350" s="15">
        <f t="shared" si="533"/>
        <v>3515.4759999999987</v>
      </c>
      <c r="R350" s="35"/>
      <c r="S350" s="35">
        <f t="shared" si="534"/>
        <v>85257.745999999694</v>
      </c>
      <c r="T350" s="35">
        <f t="shared" si="535"/>
        <v>9677.3832009080234</v>
      </c>
      <c r="U350" s="35">
        <f t="shared" si="536"/>
        <v>12727.383200908023</v>
      </c>
      <c r="V350" s="15">
        <f t="shared" si="537"/>
        <v>110915.48499999972</v>
      </c>
      <c r="W350" s="17">
        <f t="shared" si="538"/>
        <v>8.7147124628169106</v>
      </c>
      <c r="X350" s="17">
        <f t="shared" si="539"/>
        <v>0.30233902019395131</v>
      </c>
      <c r="Y350" s="17">
        <f t="shared" si="540"/>
        <v>9.528753718308991E-2</v>
      </c>
      <c r="Z350" s="134">
        <f t="shared" si="541"/>
        <v>0.23964077704381531</v>
      </c>
      <c r="AA350" s="15">
        <f>SUM(L$2:L350)-SUM(AB$2:AB350)</f>
        <v>1212.7609999999841</v>
      </c>
      <c r="AB350" s="64"/>
      <c r="AC350" s="145">
        <f t="shared" si="542"/>
        <v>137.58849256526412</v>
      </c>
      <c r="AD350" s="145">
        <f t="shared" si="543"/>
        <v>-2912.411507434736</v>
      </c>
    </row>
    <row r="351" spans="1:30" x14ac:dyDescent="0.25">
      <c r="A351" s="148">
        <v>43138</v>
      </c>
      <c r="B351" s="100"/>
      <c r="C351" s="104" t="s">
        <v>69</v>
      </c>
      <c r="D351" s="104">
        <v>400</v>
      </c>
      <c r="E351" s="143">
        <v>8.92</v>
      </c>
      <c r="F351" s="16">
        <f t="shared" ref="F351:F386" si="546">IF(C351="买",F350+D351,F350-D351)</f>
        <v>2650</v>
      </c>
      <c r="G351" s="17">
        <f t="shared" si="524"/>
        <v>8.3389837735849142</v>
      </c>
      <c r="H351" s="15">
        <f t="shared" si="525"/>
        <v>22098.307000000023</v>
      </c>
      <c r="I351" s="15">
        <f t="shared" si="526"/>
        <v>1539.6929999999775</v>
      </c>
      <c r="J351" s="33">
        <f t="shared" si="527"/>
        <v>6.967470403954365E-2</v>
      </c>
      <c r="K351" s="15">
        <f t="shared" si="528"/>
        <v>23638</v>
      </c>
      <c r="L351" s="15">
        <f t="shared" si="529"/>
        <v>326.9320000000007</v>
      </c>
      <c r="M351" s="15">
        <f t="shared" si="530"/>
        <v>5</v>
      </c>
      <c r="N351" s="15">
        <f t="shared" si="531"/>
        <v>3.5680000000000001</v>
      </c>
      <c r="O351" s="64"/>
      <c r="P351" s="17">
        <f t="shared" si="532"/>
        <v>0.58101622641508577</v>
      </c>
      <c r="Q351" s="15">
        <f t="shared" si="533"/>
        <v>3559.4320000000007</v>
      </c>
      <c r="R351" s="35"/>
      <c r="S351" s="35">
        <f t="shared" si="534"/>
        <v>88817.177999999694</v>
      </c>
      <c r="T351" s="35">
        <f t="shared" si="535"/>
        <v>9957.0827354259745</v>
      </c>
      <c r="U351" s="35">
        <f t="shared" si="536"/>
        <v>12607.082735425975</v>
      </c>
      <c r="V351" s="15">
        <f t="shared" si="537"/>
        <v>110915.48499999972</v>
      </c>
      <c r="W351" s="17">
        <f t="shared" si="538"/>
        <v>8.7978707943532868</v>
      </c>
      <c r="X351" s="17">
        <f t="shared" si="539"/>
        <v>0.45888702076837262</v>
      </c>
      <c r="Y351" s="17">
        <f t="shared" si="540"/>
        <v>0.12212920564671315</v>
      </c>
      <c r="Z351" s="134">
        <f t="shared" si="541"/>
        <v>0.21019930269462617</v>
      </c>
      <c r="AA351" s="15">
        <f>SUM(L$2:L351)-SUM(AB$2:AB351)</f>
        <v>1539.6929999999847</v>
      </c>
      <c r="AB351" s="64"/>
      <c r="AC351" s="145">
        <f t="shared" si="542"/>
        <v>172.52501720851765</v>
      </c>
      <c r="AD351" s="145">
        <f t="shared" si="543"/>
        <v>-2477.4749827914825</v>
      </c>
    </row>
    <row r="352" spans="1:30" x14ac:dyDescent="0.25">
      <c r="A352" s="148">
        <v>43138</v>
      </c>
      <c r="B352" s="100" t="s">
        <v>316</v>
      </c>
      <c r="C352" s="104" t="s">
        <v>63</v>
      </c>
      <c r="D352" s="104">
        <v>400</v>
      </c>
      <c r="E352" s="143">
        <v>8.75</v>
      </c>
      <c r="F352" s="16">
        <f t="shared" si="546"/>
        <v>3050</v>
      </c>
      <c r="G352" s="17">
        <f t="shared" si="524"/>
        <v>8.3945268852459094</v>
      </c>
      <c r="H352" s="15">
        <f t="shared" si="525"/>
        <v>25603.307000000023</v>
      </c>
      <c r="I352" s="15">
        <f t="shared" si="526"/>
        <v>1084.1929999999775</v>
      </c>
      <c r="J352" s="33">
        <f t="shared" si="527"/>
        <v>4.2345818842853988E-2</v>
      </c>
      <c r="K352" s="15">
        <f t="shared" si="528"/>
        <v>26687.5</v>
      </c>
      <c r="L352" s="15">
        <f t="shared" si="529"/>
        <v>-455.5</v>
      </c>
      <c r="M352" s="15">
        <f t="shared" si="530"/>
        <v>5</v>
      </c>
      <c r="N352" s="15">
        <f t="shared" si="531"/>
        <v>0</v>
      </c>
      <c r="O352" s="64"/>
      <c r="P352" s="17">
        <f t="shared" si="532"/>
        <v>0.3554731147540906</v>
      </c>
      <c r="Q352" s="15">
        <f t="shared" si="533"/>
        <v>-3505</v>
      </c>
      <c r="R352" s="35"/>
      <c r="S352" s="35">
        <f t="shared" si="534"/>
        <v>85312.177999999694</v>
      </c>
      <c r="T352" s="35">
        <f t="shared" si="535"/>
        <v>9749.9631999999656</v>
      </c>
      <c r="U352" s="35">
        <f t="shared" si="536"/>
        <v>12799.963199999966</v>
      </c>
      <c r="V352" s="15">
        <f t="shared" si="537"/>
        <v>110915.48499999972</v>
      </c>
      <c r="W352" s="17">
        <f t="shared" si="538"/>
        <v>8.6652971783543897</v>
      </c>
      <c r="X352" s="17">
        <f t="shared" si="539"/>
        <v>0.27077029310848033</v>
      </c>
      <c r="Y352" s="17">
        <f t="shared" si="540"/>
        <v>8.4702821645610271E-2</v>
      </c>
      <c r="Z352" s="134">
        <f t="shared" si="541"/>
        <v>0.23828193506056394</v>
      </c>
      <c r="AA352" s="15">
        <f>SUM(L$2:L352)-SUM(AB$2:AB352)</f>
        <v>1084.1929999999847</v>
      </c>
      <c r="AB352" s="64"/>
      <c r="AC352" s="145">
        <f t="shared" si="542"/>
        <v>123.84581754285458</v>
      </c>
      <c r="AD352" s="145">
        <f t="shared" si="543"/>
        <v>-2926.1541824571455</v>
      </c>
    </row>
    <row r="353" spans="1:30" x14ac:dyDescent="0.25">
      <c r="A353" s="148">
        <v>43138</v>
      </c>
      <c r="B353" s="100" t="s">
        <v>482</v>
      </c>
      <c r="C353" s="104" t="s">
        <v>63</v>
      </c>
      <c r="D353" s="104">
        <v>400</v>
      </c>
      <c r="E353" s="143">
        <v>8.61</v>
      </c>
      <c r="F353" s="16">
        <f t="shared" si="546"/>
        <v>3450</v>
      </c>
      <c r="G353" s="17">
        <f t="shared" si="524"/>
        <v>8.4209585507246434</v>
      </c>
      <c r="H353" s="15">
        <f t="shared" si="525"/>
        <v>29052.307000000023</v>
      </c>
      <c r="I353" s="15">
        <f t="shared" si="526"/>
        <v>652.19299999997384</v>
      </c>
      <c r="J353" s="33">
        <f t="shared" si="527"/>
        <v>2.2448922903092614E-2</v>
      </c>
      <c r="K353" s="15">
        <f t="shared" si="528"/>
        <v>29704.499999999996</v>
      </c>
      <c r="L353" s="15">
        <f t="shared" si="529"/>
        <v>-432.00000000000364</v>
      </c>
      <c r="M353" s="15">
        <f t="shared" si="530"/>
        <v>5</v>
      </c>
      <c r="N353" s="15">
        <f t="shared" si="531"/>
        <v>0</v>
      </c>
      <c r="O353" s="64"/>
      <c r="P353" s="17">
        <f t="shared" si="532"/>
        <v>0.18904144927535604</v>
      </c>
      <c r="Q353" s="15">
        <f t="shared" si="533"/>
        <v>-3449</v>
      </c>
      <c r="R353" s="35"/>
      <c r="S353" s="35">
        <f t="shared" si="534"/>
        <v>81863.177999999694</v>
      </c>
      <c r="T353" s="35">
        <f t="shared" si="535"/>
        <v>9507.9184668989201</v>
      </c>
      <c r="U353" s="35">
        <f t="shared" si="536"/>
        <v>12957.91846689892</v>
      </c>
      <c r="V353" s="15">
        <f t="shared" si="537"/>
        <v>110915.48499999972</v>
      </c>
      <c r="W353" s="17">
        <f t="shared" si="538"/>
        <v>8.5596683821814423</v>
      </c>
      <c r="X353" s="17">
        <f t="shared" si="539"/>
        <v>0.13870983145679894</v>
      </c>
      <c r="Y353" s="17">
        <f t="shared" si="540"/>
        <v>5.0331617818557106E-2</v>
      </c>
      <c r="Z353" s="134">
        <f t="shared" si="541"/>
        <v>0.26624646611360037</v>
      </c>
      <c r="AA353" s="15">
        <f>SUM(L$2:L353)-SUM(AB$2:AB353)</f>
        <v>652.19299999997747</v>
      </c>
      <c r="AB353" s="64"/>
      <c r="AC353" s="145">
        <f t="shared" si="542"/>
        <v>75.710441753771661</v>
      </c>
      <c r="AD353" s="145">
        <f t="shared" si="543"/>
        <v>-3374.2895582462284</v>
      </c>
    </row>
    <row r="354" spans="1:30" x14ac:dyDescent="0.25">
      <c r="A354" s="148">
        <v>43138</v>
      </c>
      <c r="B354" s="100"/>
      <c r="C354" s="104" t="s">
        <v>69</v>
      </c>
      <c r="D354" s="104">
        <v>400</v>
      </c>
      <c r="E354" s="143">
        <v>8.7200000000000006</v>
      </c>
      <c r="F354" s="16">
        <f t="shared" si="546"/>
        <v>3050</v>
      </c>
      <c r="G354" s="17">
        <f t="shared" si="524"/>
        <v>8.3845229508196795</v>
      </c>
      <c r="H354" s="15">
        <f t="shared" si="525"/>
        <v>25572.795000000024</v>
      </c>
      <c r="I354" s="15">
        <f t="shared" si="526"/>
        <v>1023.2049999999799</v>
      </c>
      <c r="J354" s="33">
        <f t="shared" si="527"/>
        <v>4.0011465309129433E-2</v>
      </c>
      <c r="K354" s="15">
        <f t="shared" si="528"/>
        <v>26596.000000000004</v>
      </c>
      <c r="L354" s="15">
        <f t="shared" si="529"/>
        <v>371.01200000000608</v>
      </c>
      <c r="M354" s="15">
        <f t="shared" si="530"/>
        <v>5</v>
      </c>
      <c r="N354" s="15">
        <f t="shared" si="531"/>
        <v>3.4880000000000004</v>
      </c>
      <c r="O354" s="64"/>
      <c r="P354" s="17">
        <f t="shared" si="532"/>
        <v>0.33547704918032117</v>
      </c>
      <c r="Q354" s="15">
        <f t="shared" si="533"/>
        <v>3479.5119999999988</v>
      </c>
      <c r="R354" s="35"/>
      <c r="S354" s="35">
        <f t="shared" si="534"/>
        <v>85342.689999999697</v>
      </c>
      <c r="T354" s="35">
        <f t="shared" si="535"/>
        <v>9787.0057339449195</v>
      </c>
      <c r="U354" s="35">
        <f t="shared" si="536"/>
        <v>12837.005733944919</v>
      </c>
      <c r="V354" s="15">
        <f t="shared" si="537"/>
        <v>110915.48499999972</v>
      </c>
      <c r="W354" s="17">
        <f t="shared" si="538"/>
        <v>8.6402925494304093</v>
      </c>
      <c r="X354" s="17">
        <f t="shared" si="539"/>
        <v>0.25576959861072979</v>
      </c>
      <c r="Y354" s="17">
        <f t="shared" si="540"/>
        <v>7.9707450569591387E-2</v>
      </c>
      <c r="Z354" s="134">
        <f t="shared" si="541"/>
        <v>0.23759434740570995</v>
      </c>
      <c r="AA354" s="15">
        <f>SUM(L$2:L354)-SUM(AB$2:AB354)</f>
        <v>1023.2049999999799</v>
      </c>
      <c r="AB354" s="64"/>
      <c r="AC354" s="145">
        <f t="shared" si="542"/>
        <v>117.28135292430963</v>
      </c>
      <c r="AD354" s="145">
        <f t="shared" si="543"/>
        <v>-2932.7186470756906</v>
      </c>
    </row>
    <row r="355" spans="1:30" x14ac:dyDescent="0.25">
      <c r="A355" s="148">
        <v>43138</v>
      </c>
      <c r="B355" s="100" t="s">
        <v>483</v>
      </c>
      <c r="C355" s="104" t="s">
        <v>63</v>
      </c>
      <c r="D355" s="104">
        <v>400</v>
      </c>
      <c r="E355" s="143">
        <v>8.58</v>
      </c>
      <c r="F355" s="16">
        <f t="shared" si="546"/>
        <v>3450</v>
      </c>
      <c r="G355" s="17">
        <f t="shared" si="524"/>
        <v>8.4086362318840653</v>
      </c>
      <c r="H355" s="15">
        <f t="shared" si="525"/>
        <v>29009.795000000024</v>
      </c>
      <c r="I355" s="15">
        <f t="shared" si="526"/>
        <v>591.20499999997628</v>
      </c>
      <c r="J355" s="33">
        <f t="shared" si="527"/>
        <v>2.0379495959898183E-2</v>
      </c>
      <c r="K355" s="15">
        <f t="shared" si="528"/>
        <v>29601</v>
      </c>
      <c r="L355" s="15">
        <f t="shared" si="529"/>
        <v>-432.00000000000364</v>
      </c>
      <c r="M355" s="15">
        <f t="shared" si="530"/>
        <v>5</v>
      </c>
      <c r="N355" s="15">
        <f t="shared" si="531"/>
        <v>0</v>
      </c>
      <c r="O355" s="64"/>
      <c r="P355" s="17">
        <f t="shared" si="532"/>
        <v>0.17136376811593479</v>
      </c>
      <c r="Q355" s="15">
        <f t="shared" si="533"/>
        <v>-3437</v>
      </c>
      <c r="R355" s="35"/>
      <c r="S355" s="35">
        <f t="shared" si="534"/>
        <v>81905.689999999697</v>
      </c>
      <c r="T355" s="35">
        <f t="shared" si="535"/>
        <v>9546.11771561768</v>
      </c>
      <c r="U355" s="35">
        <f t="shared" si="536"/>
        <v>12996.11771561768</v>
      </c>
      <c r="V355" s="15">
        <f t="shared" si="537"/>
        <v>110915.48499999972</v>
      </c>
      <c r="W355" s="17">
        <f t="shared" si="538"/>
        <v>8.534509107032056</v>
      </c>
      <c r="X355" s="17">
        <f t="shared" si="539"/>
        <v>0.12587287514799073</v>
      </c>
      <c r="Y355" s="17">
        <f t="shared" si="540"/>
        <v>4.5490892967944063E-2</v>
      </c>
      <c r="Z355" s="134">
        <f t="shared" si="541"/>
        <v>0.26546389279423577</v>
      </c>
      <c r="AA355" s="15">
        <f>SUM(L$2:L355)-SUM(AB$2:AB355)</f>
        <v>591.20499999997992</v>
      </c>
      <c r="AB355" s="64"/>
      <c r="AC355" s="145">
        <f t="shared" si="542"/>
        <v>68.870559149181389</v>
      </c>
      <c r="AD355" s="145">
        <f t="shared" si="543"/>
        <v>-3381.1294408508188</v>
      </c>
    </row>
    <row r="356" spans="1:30" x14ac:dyDescent="0.25">
      <c r="A356" s="148">
        <v>43138</v>
      </c>
      <c r="B356" s="100"/>
      <c r="C356" s="104" t="s">
        <v>69</v>
      </c>
      <c r="D356" s="104">
        <v>400</v>
      </c>
      <c r="E356" s="143">
        <v>8.75</v>
      </c>
      <c r="F356" s="16">
        <f t="shared" si="546"/>
        <v>3050</v>
      </c>
      <c r="G356" s="17">
        <f t="shared" si="524"/>
        <v>8.3666540983606641</v>
      </c>
      <c r="H356" s="15">
        <f t="shared" si="525"/>
        <v>25518.295000000024</v>
      </c>
      <c r="I356" s="15">
        <f t="shared" si="526"/>
        <v>1169.2049999999763</v>
      </c>
      <c r="J356" s="33">
        <f t="shared" si="527"/>
        <v>4.581830408340265E-2</v>
      </c>
      <c r="K356" s="15">
        <f t="shared" si="528"/>
        <v>26687.5</v>
      </c>
      <c r="L356" s="15">
        <f t="shared" si="529"/>
        <v>578</v>
      </c>
      <c r="M356" s="15">
        <f t="shared" si="530"/>
        <v>5</v>
      </c>
      <c r="N356" s="15">
        <f t="shared" si="531"/>
        <v>3.5</v>
      </c>
      <c r="O356" s="64"/>
      <c r="P356" s="17">
        <f t="shared" si="532"/>
        <v>0.38334590163933591</v>
      </c>
      <c r="Q356" s="15">
        <f t="shared" si="533"/>
        <v>3491.5</v>
      </c>
      <c r="R356" s="35"/>
      <c r="S356" s="35">
        <f t="shared" si="534"/>
        <v>85397.189999999697</v>
      </c>
      <c r="T356" s="35">
        <f t="shared" si="535"/>
        <v>9759.6788571428224</v>
      </c>
      <c r="U356" s="35">
        <f t="shared" si="536"/>
        <v>12809.678857142822</v>
      </c>
      <c r="V356" s="15">
        <f t="shared" si="537"/>
        <v>110915.48499999972</v>
      </c>
      <c r="W356" s="17">
        <f t="shared" si="538"/>
        <v>8.6587248780364217</v>
      </c>
      <c r="X356" s="17">
        <f t="shared" si="539"/>
        <v>0.29207077967575756</v>
      </c>
      <c r="Y356" s="17">
        <f t="shared" si="540"/>
        <v>9.1275121963578343E-2</v>
      </c>
      <c r="Z356" s="134">
        <f t="shared" si="541"/>
        <v>0.23810120722107606</v>
      </c>
      <c r="AA356" s="15">
        <f>SUM(L$2:L356)-SUM(AB$2:AB356)</f>
        <v>1169.2049999999799</v>
      </c>
      <c r="AB356" s="64"/>
      <c r="AC356" s="145">
        <f t="shared" si="542"/>
        <v>133.55661685714014</v>
      </c>
      <c r="AD356" s="145">
        <f t="shared" si="543"/>
        <v>-2916.4433831428601</v>
      </c>
    </row>
    <row r="357" spans="1:30" x14ac:dyDescent="0.25">
      <c r="A357" s="148">
        <v>43139</v>
      </c>
      <c r="B357" s="100"/>
      <c r="C357" s="104" t="s">
        <v>69</v>
      </c>
      <c r="D357" s="104">
        <v>400</v>
      </c>
      <c r="E357" s="143">
        <v>8.8699999999999992</v>
      </c>
      <c r="F357" s="16">
        <f t="shared" si="546"/>
        <v>2650</v>
      </c>
      <c r="G357" s="17">
        <f t="shared" si="524"/>
        <v>8.2939030188679332</v>
      </c>
      <c r="H357" s="15">
        <f t="shared" si="525"/>
        <v>21978.843000000023</v>
      </c>
      <c r="I357" s="15">
        <f t="shared" si="526"/>
        <v>1526.6569999999738</v>
      </c>
      <c r="J357" s="33">
        <f t="shared" si="527"/>
        <v>6.9460298706350163E-2</v>
      </c>
      <c r="K357" s="15">
        <f t="shared" si="528"/>
        <v>23505.499999999996</v>
      </c>
      <c r="L357" s="15">
        <f t="shared" si="529"/>
        <v>357.4519999999975</v>
      </c>
      <c r="M357" s="15">
        <f t="shared" si="530"/>
        <v>5</v>
      </c>
      <c r="N357" s="15">
        <f t="shared" si="531"/>
        <v>3.5479999999999996</v>
      </c>
      <c r="O357" s="64"/>
      <c r="P357" s="17">
        <f t="shared" si="532"/>
        <v>0.57609698113206598</v>
      </c>
      <c r="Q357" s="15">
        <f t="shared" si="533"/>
        <v>3539.4520000000011</v>
      </c>
      <c r="R357" s="35"/>
      <c r="S357" s="35">
        <f t="shared" si="534"/>
        <v>88936.641999999702</v>
      </c>
      <c r="T357" s="35">
        <f t="shared" si="535"/>
        <v>10026.678917700079</v>
      </c>
      <c r="U357" s="35">
        <f t="shared" si="536"/>
        <v>12676.678917700079</v>
      </c>
      <c r="V357" s="15">
        <f t="shared" si="537"/>
        <v>110915.48499999972</v>
      </c>
      <c r="W357" s="17">
        <f t="shared" si="538"/>
        <v>8.7495696404467296</v>
      </c>
      <c r="X357" s="17">
        <f t="shared" si="539"/>
        <v>0.45566662157879634</v>
      </c>
      <c r="Y357" s="17">
        <f t="shared" si="540"/>
        <v>0.12043035955326964</v>
      </c>
      <c r="Z357" s="134">
        <f t="shared" si="541"/>
        <v>0.20904528837595482</v>
      </c>
      <c r="AA357" s="15">
        <f>SUM(L$2:L357)-SUM(AB$2:AB357)</f>
        <v>1526.6569999999774</v>
      </c>
      <c r="AB357" s="64"/>
      <c r="AC357" s="145">
        <f t="shared" si="542"/>
        <v>172.02859881623158</v>
      </c>
      <c r="AD357" s="145">
        <f t="shared" si="543"/>
        <v>-2477.9714011837686</v>
      </c>
    </row>
    <row r="358" spans="1:30" x14ac:dyDescent="0.25">
      <c r="A358" s="148">
        <v>43139</v>
      </c>
      <c r="B358" s="100"/>
      <c r="C358" s="104" t="s">
        <v>69</v>
      </c>
      <c r="D358" s="104">
        <v>400</v>
      </c>
      <c r="E358" s="143">
        <v>9.01</v>
      </c>
      <c r="F358" s="16">
        <f t="shared" si="546"/>
        <v>2250</v>
      </c>
      <c r="G358" s="17">
        <f t="shared" si="524"/>
        <v>8.1704208888888985</v>
      </c>
      <c r="H358" s="15">
        <f t="shared" si="525"/>
        <v>18383.447000000022</v>
      </c>
      <c r="I358" s="15">
        <f t="shared" si="526"/>
        <v>1889.0529999999781</v>
      </c>
      <c r="J358" s="33">
        <f t="shared" si="527"/>
        <v>0.10275836735080074</v>
      </c>
      <c r="K358" s="15">
        <f t="shared" si="528"/>
        <v>20272.5</v>
      </c>
      <c r="L358" s="15">
        <f t="shared" si="529"/>
        <v>362.39600000000428</v>
      </c>
      <c r="M358" s="15">
        <f t="shared" si="530"/>
        <v>5</v>
      </c>
      <c r="N358" s="15">
        <f t="shared" si="531"/>
        <v>3.6040000000000001</v>
      </c>
      <c r="O358" s="64"/>
      <c r="P358" s="17">
        <f t="shared" si="532"/>
        <v>0.83957911111110128</v>
      </c>
      <c r="Q358" s="15">
        <f t="shared" si="533"/>
        <v>3595.3960000000006</v>
      </c>
      <c r="R358" s="35"/>
      <c r="S358" s="35">
        <f t="shared" si="534"/>
        <v>92532.037999999709</v>
      </c>
      <c r="T358" s="35">
        <f t="shared" si="535"/>
        <v>10269.926526082099</v>
      </c>
      <c r="U358" s="35">
        <f t="shared" si="536"/>
        <v>12519.926526082099</v>
      </c>
      <c r="V358" s="15">
        <f t="shared" si="537"/>
        <v>110915.48499999972</v>
      </c>
      <c r="W358" s="17">
        <f t="shared" si="538"/>
        <v>8.8591162870593028</v>
      </c>
      <c r="X358" s="17">
        <f t="shared" si="539"/>
        <v>0.68869539817040426</v>
      </c>
      <c r="Y358" s="17">
        <f t="shared" si="540"/>
        <v>0.15088371294069702</v>
      </c>
      <c r="Z358" s="134">
        <f t="shared" si="541"/>
        <v>0.17971351471693497</v>
      </c>
      <c r="AA358" s="15">
        <f>SUM(L$2:L358)-SUM(AB$2:AB358)</f>
        <v>1889.0529999999781</v>
      </c>
      <c r="AB358" s="64"/>
      <c r="AC358" s="145">
        <f t="shared" si="542"/>
        <v>209.55698928967573</v>
      </c>
      <c r="AD358" s="145">
        <f t="shared" si="543"/>
        <v>-2040.4430107103242</v>
      </c>
    </row>
    <row r="359" spans="1:30" x14ac:dyDescent="0.25">
      <c r="A359" s="148">
        <v>43140</v>
      </c>
      <c r="B359" s="100" t="s">
        <v>484</v>
      </c>
      <c r="C359" s="104" t="s">
        <v>63</v>
      </c>
      <c r="D359" s="104">
        <v>500</v>
      </c>
      <c r="E359" s="143">
        <v>8.73</v>
      </c>
      <c r="F359" s="16">
        <f t="shared" si="546"/>
        <v>2750</v>
      </c>
      <c r="G359" s="17">
        <f t="shared" si="524"/>
        <v>8.2739807272727344</v>
      </c>
      <c r="H359" s="15">
        <f t="shared" si="525"/>
        <v>22753.447000000022</v>
      </c>
      <c r="I359" s="15">
        <f t="shared" si="526"/>
        <v>1254.0529999999781</v>
      </c>
      <c r="J359" s="33">
        <f t="shared" si="527"/>
        <v>5.5114857981737035E-2</v>
      </c>
      <c r="K359" s="15">
        <f t="shared" si="528"/>
        <v>24007.5</v>
      </c>
      <c r="L359" s="15">
        <f t="shared" si="529"/>
        <v>-635</v>
      </c>
      <c r="M359" s="15">
        <f t="shared" si="530"/>
        <v>5</v>
      </c>
      <c r="N359" s="15">
        <f t="shared" si="531"/>
        <v>0</v>
      </c>
      <c r="O359" s="64"/>
      <c r="P359" s="17">
        <f t="shared" si="532"/>
        <v>0.45601927272726606</v>
      </c>
      <c r="Q359" s="15">
        <f t="shared" si="533"/>
        <v>-4370</v>
      </c>
      <c r="R359" s="35"/>
      <c r="S359" s="35">
        <f t="shared" si="534"/>
        <v>88162.037999999709</v>
      </c>
      <c r="T359" s="35">
        <f t="shared" si="535"/>
        <v>10098.744329896874</v>
      </c>
      <c r="U359" s="35">
        <f t="shared" si="536"/>
        <v>12848.744329896874</v>
      </c>
      <c r="V359" s="15">
        <f t="shared" si="537"/>
        <v>110915.48499999972</v>
      </c>
      <c r="W359" s="17">
        <f t="shared" si="538"/>
        <v>8.6323987895002308</v>
      </c>
      <c r="X359" s="17">
        <f t="shared" si="539"/>
        <v>0.35841806222749639</v>
      </c>
      <c r="Y359" s="17">
        <f t="shared" si="540"/>
        <v>9.7601210499769664E-2</v>
      </c>
      <c r="Z359" s="134">
        <f t="shared" si="541"/>
        <v>0.21402869645411274</v>
      </c>
      <c r="AA359" s="15">
        <f>SUM(L$2:L359)-SUM(AB$2:AB359)</f>
        <v>1254.0529999999781</v>
      </c>
      <c r="AB359" s="64"/>
      <c r="AC359" s="145">
        <f t="shared" si="542"/>
        <v>143.57685836196771</v>
      </c>
      <c r="AD359" s="145">
        <f t="shared" si="543"/>
        <v>-2606.4231416380321</v>
      </c>
    </row>
    <row r="360" spans="1:30" x14ac:dyDescent="0.25">
      <c r="A360" s="148">
        <v>43140</v>
      </c>
      <c r="B360" s="100"/>
      <c r="C360" s="104" t="s">
        <v>69</v>
      </c>
      <c r="D360" s="104">
        <v>400</v>
      </c>
      <c r="E360" s="143">
        <v>8.94</v>
      </c>
      <c r="F360" s="16">
        <f t="shared" si="546"/>
        <v>2350</v>
      </c>
      <c r="G360" s="17">
        <f t="shared" si="524"/>
        <v>8.1642651063829881</v>
      </c>
      <c r="H360" s="15">
        <f t="shared" si="525"/>
        <v>19186.023000000023</v>
      </c>
      <c r="I360" s="15">
        <f t="shared" si="526"/>
        <v>1822.9769999999771</v>
      </c>
      <c r="J360" s="33">
        <f t="shared" si="527"/>
        <v>9.501588734674063E-2</v>
      </c>
      <c r="K360" s="15">
        <f t="shared" si="528"/>
        <v>21009</v>
      </c>
      <c r="L360" s="15">
        <f t="shared" si="529"/>
        <v>568.92399999999907</v>
      </c>
      <c r="M360" s="15">
        <f t="shared" si="530"/>
        <v>5</v>
      </c>
      <c r="N360" s="15">
        <f t="shared" si="531"/>
        <v>3.5760000000000001</v>
      </c>
      <c r="O360" s="64"/>
      <c r="P360" s="17">
        <f t="shared" si="532"/>
        <v>0.77573489361701142</v>
      </c>
      <c r="Q360" s="15">
        <f t="shared" si="533"/>
        <v>3567.4239999999991</v>
      </c>
      <c r="R360" s="35"/>
      <c r="S360" s="35">
        <f t="shared" si="534"/>
        <v>91729.461999999708</v>
      </c>
      <c r="T360" s="35">
        <f t="shared" si="535"/>
        <v>10260.566219239341</v>
      </c>
      <c r="U360" s="35">
        <f t="shared" si="536"/>
        <v>12610.566219239341</v>
      </c>
      <c r="V360" s="15">
        <f t="shared" si="537"/>
        <v>110915.48499999972</v>
      </c>
      <c r="W360" s="17">
        <f t="shared" si="538"/>
        <v>8.7954405116862429</v>
      </c>
      <c r="X360" s="17">
        <f t="shared" si="539"/>
        <v>0.63117540530325478</v>
      </c>
      <c r="Y360" s="17">
        <f t="shared" si="540"/>
        <v>0.14455948831375665</v>
      </c>
      <c r="Z360" s="134">
        <f t="shared" si="541"/>
        <v>0.18635166408425949</v>
      </c>
      <c r="AA360" s="15">
        <f>SUM(L$2:L360)-SUM(AB$2:AB360)</f>
        <v>1822.9769999999771</v>
      </c>
      <c r="AB360" s="64"/>
      <c r="AC360" s="145">
        <f t="shared" si="542"/>
        <v>203.81045989932633</v>
      </c>
      <c r="AD360" s="145">
        <f t="shared" si="543"/>
        <v>-2146.1895401006736</v>
      </c>
    </row>
    <row r="361" spans="1:30" x14ac:dyDescent="0.25">
      <c r="A361" s="148">
        <v>43140</v>
      </c>
      <c r="B361" s="100" t="s">
        <v>485</v>
      </c>
      <c r="C361" s="104" t="s">
        <v>63</v>
      </c>
      <c r="D361" s="104">
        <v>500</v>
      </c>
      <c r="E361" s="143">
        <v>8.51</v>
      </c>
      <c r="F361" s="16">
        <f t="shared" si="546"/>
        <v>2850</v>
      </c>
      <c r="G361" s="17">
        <f t="shared" si="524"/>
        <v>8.2266747368421136</v>
      </c>
      <c r="H361" s="15">
        <f t="shared" si="525"/>
        <v>23446.023000000023</v>
      </c>
      <c r="I361" s="15">
        <f t="shared" si="526"/>
        <v>807.47699999997712</v>
      </c>
      <c r="J361" s="33">
        <f t="shared" si="527"/>
        <v>3.4439828025417139E-2</v>
      </c>
      <c r="K361" s="15">
        <f t="shared" si="528"/>
        <v>24253.5</v>
      </c>
      <c r="L361" s="15">
        <f t="shared" si="529"/>
        <v>-1015.5</v>
      </c>
      <c r="M361" s="15">
        <f t="shared" si="530"/>
        <v>5</v>
      </c>
      <c r="N361" s="15">
        <f t="shared" si="531"/>
        <v>0</v>
      </c>
      <c r="O361" s="64"/>
      <c r="P361" s="17">
        <f t="shared" si="532"/>
        <v>0.2833252631578862</v>
      </c>
      <c r="Q361" s="15">
        <f t="shared" si="533"/>
        <v>-4260</v>
      </c>
      <c r="R361" s="35"/>
      <c r="S361" s="35">
        <f t="shared" si="534"/>
        <v>87469.461999999708</v>
      </c>
      <c r="T361" s="35">
        <f t="shared" si="535"/>
        <v>10278.432667450024</v>
      </c>
      <c r="U361" s="35">
        <f t="shared" si="536"/>
        <v>13128.432667450024</v>
      </c>
      <c r="V361" s="15">
        <f t="shared" si="537"/>
        <v>110915.48499999972</v>
      </c>
      <c r="W361" s="17">
        <f t="shared" si="538"/>
        <v>8.4484940289177093</v>
      </c>
      <c r="X361" s="17">
        <f t="shared" si="539"/>
        <v>0.2218192920755957</v>
      </c>
      <c r="Y361" s="17">
        <f t="shared" si="540"/>
        <v>6.15059710822905E-2</v>
      </c>
      <c r="Z361" s="134">
        <f t="shared" si="541"/>
        <v>0.21708608119430331</v>
      </c>
      <c r="AA361" s="15">
        <f>SUM(L$2:L361)-SUM(AB$2:AB361)</f>
        <v>807.47699999997712</v>
      </c>
      <c r="AB361" s="64"/>
      <c r="AC361" s="145">
        <f t="shared" si="542"/>
        <v>94.838221092829286</v>
      </c>
      <c r="AD361" s="145">
        <f t="shared" si="543"/>
        <v>-2755.1617789071706</v>
      </c>
    </row>
    <row r="362" spans="1:30" x14ac:dyDescent="0.25">
      <c r="A362" s="148">
        <v>43140</v>
      </c>
      <c r="B362" s="100" t="s">
        <v>486</v>
      </c>
      <c r="C362" s="104" t="s">
        <v>63</v>
      </c>
      <c r="D362" s="104">
        <v>500</v>
      </c>
      <c r="E362" s="143">
        <v>8.31</v>
      </c>
      <c r="F362" s="16">
        <f t="shared" si="546"/>
        <v>3350</v>
      </c>
      <c r="G362" s="17">
        <f t="shared" si="524"/>
        <v>8.2406038805970212</v>
      </c>
      <c r="H362" s="15">
        <f t="shared" si="525"/>
        <v>27606.023000000023</v>
      </c>
      <c r="I362" s="15">
        <f t="shared" si="526"/>
        <v>232.47699999997712</v>
      </c>
      <c r="J362" s="33">
        <f t="shared" si="527"/>
        <v>8.4212419876626369E-3</v>
      </c>
      <c r="K362" s="15">
        <f t="shared" si="528"/>
        <v>27838.5</v>
      </c>
      <c r="L362" s="15">
        <f t="shared" si="529"/>
        <v>-575</v>
      </c>
      <c r="M362" s="15">
        <f t="shared" si="530"/>
        <v>5</v>
      </c>
      <c r="N362" s="15">
        <f t="shared" si="531"/>
        <v>0</v>
      </c>
      <c r="O362" s="64"/>
      <c r="P362" s="17">
        <f t="shared" si="532"/>
        <v>6.9396119402979295E-2</v>
      </c>
      <c r="Q362" s="15">
        <f t="shared" si="533"/>
        <v>-4160</v>
      </c>
      <c r="R362" s="35"/>
      <c r="S362" s="35">
        <f t="shared" si="534"/>
        <v>83309.461999999708</v>
      </c>
      <c r="T362" s="35">
        <f t="shared" si="535"/>
        <v>10025.206016847136</v>
      </c>
      <c r="U362" s="35">
        <f t="shared" si="536"/>
        <v>13375.206016847136</v>
      </c>
      <c r="V362" s="15">
        <f t="shared" si="537"/>
        <v>110915.48499999972</v>
      </c>
      <c r="W362" s="17">
        <f t="shared" si="538"/>
        <v>8.2926188097807874</v>
      </c>
      <c r="X362" s="17">
        <f t="shared" si="539"/>
        <v>5.2014929183766156E-2</v>
      </c>
      <c r="Y362" s="17">
        <f t="shared" si="540"/>
        <v>1.7381190219213138E-2</v>
      </c>
      <c r="Z362" s="134">
        <f t="shared" si="541"/>
        <v>0.25046343179913705</v>
      </c>
      <c r="AA362" s="15">
        <f>SUM(L$2:L362)-SUM(AB$2:AB362)</f>
        <v>232.47699999997712</v>
      </c>
      <c r="AB362" s="64"/>
      <c r="AC362" s="145">
        <f t="shared" si="542"/>
        <v>27.961583814678352</v>
      </c>
      <c r="AD362" s="145">
        <f t="shared" si="543"/>
        <v>-3322.0384161853217</v>
      </c>
    </row>
    <row r="363" spans="1:30" x14ac:dyDescent="0.25">
      <c r="A363" s="148">
        <v>43140</v>
      </c>
      <c r="B363" s="100"/>
      <c r="C363" s="104" t="s">
        <v>69</v>
      </c>
      <c r="D363" s="104">
        <v>400</v>
      </c>
      <c r="E363" s="143">
        <v>8.43</v>
      </c>
      <c r="F363" s="16">
        <f t="shared" si="546"/>
        <v>2950</v>
      </c>
      <c r="G363" s="17">
        <f t="shared" si="524"/>
        <v>8.2177610169491597</v>
      </c>
      <c r="H363" s="15">
        <f t="shared" si="525"/>
        <v>24242.395000000022</v>
      </c>
      <c r="I363" s="15">
        <f t="shared" si="526"/>
        <v>626.10499999997774</v>
      </c>
      <c r="J363" s="33">
        <f t="shared" si="527"/>
        <v>2.5826862403651844E-2</v>
      </c>
      <c r="K363" s="15">
        <f t="shared" si="528"/>
        <v>24868.5</v>
      </c>
      <c r="L363" s="15">
        <f t="shared" si="529"/>
        <v>393.62800000000061</v>
      </c>
      <c r="M363" s="15">
        <f t="shared" si="530"/>
        <v>5</v>
      </c>
      <c r="N363" s="15">
        <f t="shared" si="531"/>
        <v>3.3719999999999999</v>
      </c>
      <c r="O363" s="64"/>
      <c r="P363" s="17">
        <f t="shared" si="532"/>
        <v>0.21223898305083999</v>
      </c>
      <c r="Q363" s="15">
        <f t="shared" si="533"/>
        <v>3363.6280000000006</v>
      </c>
      <c r="R363" s="35"/>
      <c r="S363" s="35">
        <f t="shared" si="534"/>
        <v>86673.089999999705</v>
      </c>
      <c r="T363" s="35">
        <f t="shared" si="535"/>
        <v>10281.505338078257</v>
      </c>
      <c r="U363" s="35">
        <f t="shared" si="536"/>
        <v>13231.505338078257</v>
      </c>
      <c r="V363" s="15">
        <f t="shared" si="537"/>
        <v>110915.48499999972</v>
      </c>
      <c r="W363" s="17">
        <f t="shared" si="538"/>
        <v>8.3826807431201225</v>
      </c>
      <c r="X363" s="17">
        <f t="shared" si="539"/>
        <v>0.16491972617096273</v>
      </c>
      <c r="Y363" s="17">
        <f t="shared" si="540"/>
        <v>4.7319256879877258E-2</v>
      </c>
      <c r="Z363" s="134">
        <f t="shared" si="541"/>
        <v>0.22295271207806941</v>
      </c>
      <c r="AA363" s="15">
        <f>SUM(L$2:L363)-SUM(AB$2:AB363)</f>
        <v>626.1049999999741</v>
      </c>
      <c r="AB363" s="64"/>
      <c r="AC363" s="145">
        <f t="shared" si="542"/>
        <v>74.233920225382889</v>
      </c>
      <c r="AD363" s="145">
        <f t="shared" si="543"/>
        <v>-2875.7660797746171</v>
      </c>
    </row>
    <row r="364" spans="1:30" x14ac:dyDescent="0.25">
      <c r="A364" s="148">
        <v>43143</v>
      </c>
      <c r="B364" s="100"/>
      <c r="C364" s="104" t="s">
        <v>69</v>
      </c>
      <c r="D364" s="104">
        <v>400</v>
      </c>
      <c r="E364" s="143">
        <v>8.6300000000000008</v>
      </c>
      <c r="F364" s="16">
        <f t="shared" si="546"/>
        <v>2550</v>
      </c>
      <c r="G364" s="17">
        <f t="shared" si="524"/>
        <v>8.1564105882353033</v>
      </c>
      <c r="H364" s="15">
        <f t="shared" si="525"/>
        <v>20798.847000000023</v>
      </c>
      <c r="I364" s="15">
        <f t="shared" si="526"/>
        <v>1207.6529999999802</v>
      </c>
      <c r="J364" s="33">
        <f t="shared" si="527"/>
        <v>5.8063458998471269E-2</v>
      </c>
      <c r="K364" s="15">
        <f t="shared" si="528"/>
        <v>22006.500000000004</v>
      </c>
      <c r="L364" s="15">
        <f t="shared" si="529"/>
        <v>581.5480000000025</v>
      </c>
      <c r="M364" s="15">
        <f t="shared" si="530"/>
        <v>5</v>
      </c>
      <c r="N364" s="15">
        <f t="shared" si="531"/>
        <v>3.4520000000000004</v>
      </c>
      <c r="O364" s="64"/>
      <c r="P364" s="17">
        <f t="shared" si="532"/>
        <v>0.47358941176469749</v>
      </c>
      <c r="Q364" s="15">
        <f t="shared" si="533"/>
        <v>3443.5479999999989</v>
      </c>
      <c r="R364" s="35"/>
      <c r="S364" s="35">
        <f t="shared" si="534"/>
        <v>90116.637999999701</v>
      </c>
      <c r="T364" s="35">
        <f t="shared" si="535"/>
        <v>10442.252375434495</v>
      </c>
      <c r="U364" s="35">
        <f t="shared" si="536"/>
        <v>12992.252375434495</v>
      </c>
      <c r="V364" s="15">
        <f t="shared" si="537"/>
        <v>110915.48499999972</v>
      </c>
      <c r="W364" s="17">
        <f t="shared" si="538"/>
        <v>8.5370482188074348</v>
      </c>
      <c r="X364" s="17">
        <f t="shared" si="539"/>
        <v>0.38063763057213151</v>
      </c>
      <c r="Y364" s="17">
        <f t="shared" si="540"/>
        <v>9.2951781192565974E-2</v>
      </c>
      <c r="Z364" s="134">
        <f t="shared" si="541"/>
        <v>0.19627081789309234</v>
      </c>
      <c r="AA364" s="15">
        <f>SUM(L$2:L364)-SUM(AB$2:AB364)</f>
        <v>1207.6529999999766</v>
      </c>
      <c r="AB364" s="64"/>
      <c r="AC364" s="145">
        <f t="shared" si="542"/>
        <v>139.86664814600002</v>
      </c>
      <c r="AD364" s="145">
        <f t="shared" si="543"/>
        <v>-2410.133351854</v>
      </c>
    </row>
    <row r="365" spans="1:30" x14ac:dyDescent="0.25">
      <c r="A365" s="148">
        <v>43144</v>
      </c>
      <c r="B365" s="100"/>
      <c r="C365" s="104" t="s">
        <v>69</v>
      </c>
      <c r="D365" s="104">
        <v>400</v>
      </c>
      <c r="E365" s="143">
        <v>8.81</v>
      </c>
      <c r="F365" s="16">
        <f t="shared" si="546"/>
        <v>2150</v>
      </c>
      <c r="G365" s="17">
        <f t="shared" si="524"/>
        <v>8.0387772093023369</v>
      </c>
      <c r="H365" s="15">
        <f t="shared" si="525"/>
        <v>17283.371000000025</v>
      </c>
      <c r="I365" s="15">
        <f t="shared" si="526"/>
        <v>1658.1289999999753</v>
      </c>
      <c r="J365" s="33">
        <f t="shared" si="527"/>
        <v>9.5937823703487843E-2</v>
      </c>
      <c r="K365" s="15">
        <f t="shared" si="528"/>
        <v>18941.5</v>
      </c>
      <c r="L365" s="15">
        <f t="shared" si="529"/>
        <v>450.47599999999511</v>
      </c>
      <c r="M365" s="15">
        <f t="shared" si="530"/>
        <v>5</v>
      </c>
      <c r="N365" s="15">
        <f t="shared" si="531"/>
        <v>3.524</v>
      </c>
      <c r="O365" s="64"/>
      <c r="P365" s="17">
        <f t="shared" si="532"/>
        <v>0.77122279069766364</v>
      </c>
      <c r="Q365" s="15">
        <f t="shared" si="533"/>
        <v>3515.4759999999987</v>
      </c>
      <c r="R365" s="35"/>
      <c r="S365" s="35">
        <f t="shared" si="534"/>
        <v>93632.113999999696</v>
      </c>
      <c r="T365" s="35">
        <f t="shared" si="535"/>
        <v>10627.935754824028</v>
      </c>
      <c r="U365" s="35">
        <f t="shared" si="536"/>
        <v>12777.935754824028</v>
      </c>
      <c r="V365" s="15">
        <f t="shared" si="537"/>
        <v>110915.48499999972</v>
      </c>
      <c r="W365" s="17">
        <f t="shared" si="538"/>
        <v>8.6802349869481876</v>
      </c>
      <c r="X365" s="17">
        <f t="shared" si="539"/>
        <v>0.64145777764585077</v>
      </c>
      <c r="Y365" s="17">
        <f t="shared" si="540"/>
        <v>0.12976501305181287</v>
      </c>
      <c r="Z365" s="134">
        <f t="shared" si="541"/>
        <v>0.16825878931096636</v>
      </c>
      <c r="AA365" s="15">
        <f>SUM(L$2:L365)-SUM(AB$2:AB365)</f>
        <v>1658.1289999999717</v>
      </c>
      <c r="AB365" s="64"/>
      <c r="AC365" s="145">
        <f t="shared" si="542"/>
        <v>188.11577020431048</v>
      </c>
      <c r="AD365" s="145">
        <f t="shared" si="543"/>
        <v>-1961.8842297956894</v>
      </c>
    </row>
    <row r="366" spans="1:30" x14ac:dyDescent="0.25">
      <c r="A366" s="148">
        <v>43144</v>
      </c>
      <c r="B366" s="100"/>
      <c r="C366" s="104" t="s">
        <v>69</v>
      </c>
      <c r="D366" s="104">
        <v>400</v>
      </c>
      <c r="E366" s="143">
        <v>8.98</v>
      </c>
      <c r="F366" s="16">
        <f t="shared" si="546"/>
        <v>1750</v>
      </c>
      <c r="G366" s="17">
        <f t="shared" si="524"/>
        <v>7.8285502857143001</v>
      </c>
      <c r="H366" s="15">
        <f t="shared" si="525"/>
        <v>13699.963000000025</v>
      </c>
      <c r="I366" s="15">
        <f t="shared" si="526"/>
        <v>2015.0369999999748</v>
      </c>
      <c r="J366" s="33">
        <f t="shared" si="527"/>
        <v>0.14708338993324083</v>
      </c>
      <c r="K366" s="15">
        <f t="shared" si="528"/>
        <v>15715</v>
      </c>
      <c r="L366" s="15">
        <f t="shared" si="529"/>
        <v>356.90799999999945</v>
      </c>
      <c r="M366" s="15">
        <f t="shared" si="530"/>
        <v>5</v>
      </c>
      <c r="N366" s="15">
        <f t="shared" si="531"/>
        <v>3.5920000000000001</v>
      </c>
      <c r="O366" s="64"/>
      <c r="P366" s="17">
        <f t="shared" si="532"/>
        <v>1.1514497142857003</v>
      </c>
      <c r="Q366" s="15">
        <f t="shared" si="533"/>
        <v>3583.4079999999994</v>
      </c>
      <c r="R366" s="35"/>
      <c r="S366" s="35">
        <f t="shared" si="534"/>
        <v>97215.521999999692</v>
      </c>
      <c r="T366" s="35">
        <f t="shared" si="535"/>
        <v>10825.781959910879</v>
      </c>
      <c r="U366" s="35">
        <f t="shared" si="536"/>
        <v>12575.781959910879</v>
      </c>
      <c r="V366" s="15">
        <f t="shared" si="537"/>
        <v>110915.48499999972</v>
      </c>
      <c r="W366" s="17">
        <f t="shared" si="538"/>
        <v>8.8197684528545803</v>
      </c>
      <c r="X366" s="17">
        <f t="shared" si="539"/>
        <v>0.99121816714028022</v>
      </c>
      <c r="Y366" s="17">
        <f t="shared" si="540"/>
        <v>0.16023154714542009</v>
      </c>
      <c r="Z366" s="134">
        <f t="shared" si="541"/>
        <v>0.13915635668451123</v>
      </c>
      <c r="AA366" s="15">
        <f>SUM(L$2:L366)-SUM(AB$2:AB366)</f>
        <v>2015.0369999999748</v>
      </c>
      <c r="AB366" s="64"/>
      <c r="AC366" s="145">
        <f t="shared" si="542"/>
        <v>224.27945228284798</v>
      </c>
      <c r="AD366" s="145">
        <f t="shared" si="543"/>
        <v>-1525.7205477171519</v>
      </c>
    </row>
    <row r="367" spans="1:30" x14ac:dyDescent="0.25">
      <c r="A367" s="148">
        <v>43144</v>
      </c>
      <c r="B367" s="100"/>
      <c r="C367" s="104" t="s">
        <v>69</v>
      </c>
      <c r="D367" s="104">
        <v>400</v>
      </c>
      <c r="E367" s="143">
        <v>9.08</v>
      </c>
      <c r="F367" s="16">
        <f t="shared" si="546"/>
        <v>1350</v>
      </c>
      <c r="G367" s="17">
        <f t="shared" si="524"/>
        <v>7.4641444444444627</v>
      </c>
      <c r="H367" s="15">
        <f t="shared" si="525"/>
        <v>10076.595000000025</v>
      </c>
      <c r="I367" s="15">
        <f t="shared" si="526"/>
        <v>2181.4049999999752</v>
      </c>
      <c r="J367" s="33">
        <f t="shared" si="527"/>
        <v>0.2164823534140223</v>
      </c>
      <c r="K367" s="15">
        <f t="shared" si="528"/>
        <v>12258</v>
      </c>
      <c r="L367" s="15">
        <f t="shared" si="529"/>
        <v>166.36800000000039</v>
      </c>
      <c r="M367" s="15">
        <f t="shared" si="530"/>
        <v>5</v>
      </c>
      <c r="N367" s="15">
        <f t="shared" si="531"/>
        <v>3.6320000000000001</v>
      </c>
      <c r="O367" s="64"/>
      <c r="P367" s="17">
        <f t="shared" si="532"/>
        <v>1.6158555555555374</v>
      </c>
      <c r="Q367" s="15">
        <f t="shared" si="533"/>
        <v>3623.3680000000004</v>
      </c>
      <c r="R367" s="35"/>
      <c r="S367" s="35">
        <f t="shared" si="534"/>
        <v>100838.88999999969</v>
      </c>
      <c r="T367" s="35">
        <f t="shared" si="535"/>
        <v>11105.604625550626</v>
      </c>
      <c r="U367" s="35">
        <f t="shared" si="536"/>
        <v>12455.604625550626</v>
      </c>
      <c r="V367" s="15">
        <f t="shared" si="537"/>
        <v>110915.48499999972</v>
      </c>
      <c r="W367" s="17">
        <f t="shared" si="538"/>
        <v>8.9048655873738021</v>
      </c>
      <c r="X367" s="17">
        <f t="shared" si="539"/>
        <v>1.4407211429293394</v>
      </c>
      <c r="Y367" s="17">
        <f t="shared" si="540"/>
        <v>0.175134412626198</v>
      </c>
      <c r="Z367" s="134">
        <f t="shared" si="541"/>
        <v>0.10838494321108241</v>
      </c>
      <c r="AA367" s="15">
        <f>SUM(L$2:L367)-SUM(AB$2:AB367)</f>
        <v>2181.404999999977</v>
      </c>
      <c r="AB367" s="64"/>
      <c r="AC367" s="145">
        <f t="shared" si="542"/>
        <v>240.12271998898407</v>
      </c>
      <c r="AD367" s="145">
        <f t="shared" si="543"/>
        <v>-1109.877280011016</v>
      </c>
    </row>
    <row r="368" spans="1:30" x14ac:dyDescent="0.25">
      <c r="A368" s="148">
        <v>43144</v>
      </c>
      <c r="B368" s="100"/>
      <c r="C368" s="104" t="s">
        <v>69</v>
      </c>
      <c r="D368" s="104">
        <v>400</v>
      </c>
      <c r="E368" s="143">
        <v>9.23</v>
      </c>
      <c r="F368" s="16">
        <f t="shared" si="546"/>
        <v>950</v>
      </c>
      <c r="G368" s="17">
        <f t="shared" si="524"/>
        <v>6.7297757894737105</v>
      </c>
      <c r="H368" s="15">
        <f t="shared" si="525"/>
        <v>6393.2870000000248</v>
      </c>
      <c r="I368" s="15">
        <f t="shared" si="526"/>
        <v>2375.2129999999752</v>
      </c>
      <c r="J368" s="33">
        <f t="shared" si="527"/>
        <v>0.37151671745691478</v>
      </c>
      <c r="K368" s="15">
        <f t="shared" si="528"/>
        <v>8768.5</v>
      </c>
      <c r="L368" s="15">
        <f t="shared" si="529"/>
        <v>193.80799999999999</v>
      </c>
      <c r="M368" s="15">
        <f t="shared" si="530"/>
        <v>5</v>
      </c>
      <c r="N368" s="15">
        <f t="shared" si="531"/>
        <v>3.6920000000000002</v>
      </c>
      <c r="O368" s="64"/>
      <c r="P368" s="17">
        <f t="shared" si="532"/>
        <v>2.50022421052629</v>
      </c>
      <c r="Q368" s="15">
        <f t="shared" si="533"/>
        <v>3683.308</v>
      </c>
      <c r="R368" s="35"/>
      <c r="S368" s="35">
        <f t="shared" si="534"/>
        <v>104522.1979999997</v>
      </c>
      <c r="T368" s="35">
        <f t="shared" si="535"/>
        <v>11324.181798483174</v>
      </c>
      <c r="U368" s="35">
        <f t="shared" si="536"/>
        <v>12274.181798483174</v>
      </c>
      <c r="V368" s="15">
        <f t="shared" si="537"/>
        <v>110915.48499999972</v>
      </c>
      <c r="W368" s="17">
        <f t="shared" si="538"/>
        <v>9.0364870604822318</v>
      </c>
      <c r="X368" s="17">
        <f t="shared" si="539"/>
        <v>2.3067112710085214</v>
      </c>
      <c r="Y368" s="17">
        <f t="shared" si="540"/>
        <v>0.1935129395177686</v>
      </c>
      <c r="Z368" s="134">
        <f t="shared" si="541"/>
        <v>7.7398234407559427E-2</v>
      </c>
      <c r="AA368" s="15">
        <f>SUM(L$2:L368)-SUM(AB$2:AB368)</f>
        <v>2375.2129999999743</v>
      </c>
      <c r="AB368" s="64"/>
      <c r="AC368" s="145">
        <f t="shared" si="542"/>
        <v>257.20751825568527</v>
      </c>
      <c r="AD368" s="145">
        <f t="shared" si="543"/>
        <v>-692.79248174431473</v>
      </c>
    </row>
    <row r="369" spans="1:30" x14ac:dyDescent="0.25">
      <c r="A369" s="148">
        <v>43153</v>
      </c>
      <c r="B369" s="149"/>
      <c r="C369" s="104" t="s">
        <v>69</v>
      </c>
      <c r="D369" s="104">
        <v>400</v>
      </c>
      <c r="E369" s="143">
        <v>9.3000000000000007</v>
      </c>
      <c r="F369" s="16">
        <f t="shared" si="546"/>
        <v>550</v>
      </c>
      <c r="G369" s="17">
        <f t="shared" si="524"/>
        <v>4.8763763636364077</v>
      </c>
      <c r="H369" s="15">
        <f t="shared" si="525"/>
        <v>2682.0070000000242</v>
      </c>
      <c r="I369" s="15">
        <f t="shared" si="526"/>
        <v>2432.9929999999758</v>
      </c>
      <c r="J369" s="33">
        <f t="shared" si="527"/>
        <v>0.90715385903167078</v>
      </c>
      <c r="K369" s="15">
        <f t="shared" si="528"/>
        <v>5115</v>
      </c>
      <c r="L369" s="15">
        <f t="shared" si="529"/>
        <v>57.780000000000655</v>
      </c>
      <c r="M369" s="15">
        <f t="shared" si="530"/>
        <v>5</v>
      </c>
      <c r="N369" s="15">
        <f t="shared" si="531"/>
        <v>3.7200000000000006</v>
      </c>
      <c r="O369" s="64"/>
      <c r="P369" s="17">
        <f t="shared" si="532"/>
        <v>4.423623636363593</v>
      </c>
      <c r="Q369" s="15">
        <f t="shared" si="533"/>
        <v>3711.2800000000007</v>
      </c>
      <c r="R369" s="35"/>
      <c r="S369" s="35">
        <f t="shared" si="534"/>
        <v>108233.4779999997</v>
      </c>
      <c r="T369" s="35">
        <f t="shared" si="535"/>
        <v>11638.008387096741</v>
      </c>
      <c r="U369" s="35">
        <f t="shared" si="536"/>
        <v>12188.008387096741</v>
      </c>
      <c r="V369" s="15">
        <f t="shared" si="537"/>
        <v>110915.48499999972</v>
      </c>
      <c r="W369" s="17">
        <f t="shared" si="538"/>
        <v>9.1003781321174877</v>
      </c>
      <c r="X369" s="17">
        <f t="shared" si="539"/>
        <v>4.22400176848108</v>
      </c>
      <c r="Y369" s="17">
        <f t="shared" si="540"/>
        <v>0.19962186788251302</v>
      </c>
      <c r="Z369" s="134">
        <f t="shared" si="541"/>
        <v>4.5126322737214113E-2</v>
      </c>
      <c r="AA369" s="15">
        <f>SUM(L$2:L369)-SUM(AB$2:AB369)</f>
        <v>2432.9929999999731</v>
      </c>
      <c r="AB369" s="64"/>
      <c r="AC369" s="145">
        <f t="shared" si="542"/>
        <v>261.48134446236298</v>
      </c>
      <c r="AD369" s="145">
        <f t="shared" si="543"/>
        <v>-288.51865553763702</v>
      </c>
    </row>
    <row r="370" spans="1:30" x14ac:dyDescent="0.25">
      <c r="A370" s="148">
        <v>43154</v>
      </c>
      <c r="B370" s="100" t="s">
        <v>342</v>
      </c>
      <c r="C370" s="104" t="s">
        <v>63</v>
      </c>
      <c r="D370" s="104">
        <v>400</v>
      </c>
      <c r="E370" s="143">
        <v>9.19</v>
      </c>
      <c r="F370" s="16">
        <f t="shared" si="546"/>
        <v>950</v>
      </c>
      <c r="G370" s="17">
        <f t="shared" si="524"/>
        <v>6.6979021052631831</v>
      </c>
      <c r="H370" s="15">
        <f t="shared" si="525"/>
        <v>6363.0070000000242</v>
      </c>
      <c r="I370" s="15">
        <f t="shared" si="526"/>
        <v>2367.4929999999758</v>
      </c>
      <c r="J370" s="33">
        <f t="shared" si="527"/>
        <v>0.37207141214837053</v>
      </c>
      <c r="K370" s="15">
        <f t="shared" si="528"/>
        <v>8730.5</v>
      </c>
      <c r="L370" s="15">
        <f t="shared" si="529"/>
        <v>-65.5</v>
      </c>
      <c r="M370" s="15">
        <f t="shared" si="530"/>
        <v>5</v>
      </c>
      <c r="N370" s="15">
        <f t="shared" si="531"/>
        <v>0</v>
      </c>
      <c r="O370" s="64"/>
      <c r="P370" s="17">
        <f t="shared" si="532"/>
        <v>2.4920978947368164</v>
      </c>
      <c r="Q370" s="15">
        <f t="shared" si="533"/>
        <v>-3681</v>
      </c>
      <c r="R370" s="35"/>
      <c r="S370" s="35">
        <f t="shared" si="534"/>
        <v>104552.4779999997</v>
      </c>
      <c r="T370" s="35">
        <f t="shared" si="535"/>
        <v>11376.765832426518</v>
      </c>
      <c r="U370" s="35">
        <f t="shared" si="536"/>
        <v>12326.765832426518</v>
      </c>
      <c r="V370" s="15">
        <f t="shared" si="537"/>
        <v>110915.48499999972</v>
      </c>
      <c r="W370" s="17">
        <f t="shared" si="538"/>
        <v>8.9979388355239056</v>
      </c>
      <c r="X370" s="17">
        <f t="shared" si="539"/>
        <v>2.3000367302607225</v>
      </c>
      <c r="Y370" s="17">
        <f t="shared" si="540"/>
        <v>0.19206116447609389</v>
      </c>
      <c r="Z370" s="134">
        <f t="shared" si="541"/>
        <v>7.7068065777720143E-2</v>
      </c>
      <c r="AA370" s="15">
        <f>SUM(L$2:L370)-SUM(AB$2:AB370)</f>
        <v>2367.4929999999731</v>
      </c>
      <c r="AB370" s="64"/>
      <c r="AC370" s="145">
        <f t="shared" si="542"/>
        <v>257.487405168659</v>
      </c>
      <c r="AD370" s="145">
        <f t="shared" si="543"/>
        <v>-692.51259483134095</v>
      </c>
    </row>
    <row r="371" spans="1:30" x14ac:dyDescent="0.25">
      <c r="A371" s="148">
        <v>43154</v>
      </c>
      <c r="B371" s="100"/>
      <c r="C371" s="104" t="s">
        <v>69</v>
      </c>
      <c r="D371" s="104">
        <v>400</v>
      </c>
      <c r="E371" s="143">
        <v>9.2799999999999994</v>
      </c>
      <c r="F371" s="16">
        <f t="shared" si="546"/>
        <v>550</v>
      </c>
      <c r="G371" s="17">
        <f t="shared" si="524"/>
        <v>4.8358527272727718</v>
      </c>
      <c r="H371" s="15">
        <f t="shared" si="525"/>
        <v>2659.7190000000246</v>
      </c>
      <c r="I371" s="15">
        <f t="shared" si="526"/>
        <v>2444.2809999999754</v>
      </c>
      <c r="J371" s="33">
        <f t="shared" si="527"/>
        <v>0.91899971387953117</v>
      </c>
      <c r="K371" s="15">
        <f t="shared" si="528"/>
        <v>5104</v>
      </c>
      <c r="L371" s="15">
        <f t="shared" si="529"/>
        <v>76.787999999999556</v>
      </c>
      <c r="M371" s="15">
        <f t="shared" si="530"/>
        <v>5</v>
      </c>
      <c r="N371" s="15">
        <f t="shared" si="531"/>
        <v>3.7119999999999997</v>
      </c>
      <c r="O371" s="64"/>
      <c r="P371" s="17">
        <f t="shared" si="532"/>
        <v>4.4441472727272275</v>
      </c>
      <c r="Q371" s="15">
        <f t="shared" si="533"/>
        <v>3703.2879999999996</v>
      </c>
      <c r="R371" s="35"/>
      <c r="S371" s="35">
        <f t="shared" si="534"/>
        <v>108255.7659999997</v>
      </c>
      <c r="T371" s="35">
        <f t="shared" si="535"/>
        <v>11665.492025862037</v>
      </c>
      <c r="U371" s="35">
        <f t="shared" si="536"/>
        <v>12215.492025862037</v>
      </c>
      <c r="V371" s="15">
        <f t="shared" si="537"/>
        <v>110915.48499999972</v>
      </c>
      <c r="W371" s="17">
        <f t="shared" si="538"/>
        <v>9.0799031889321302</v>
      </c>
      <c r="X371" s="17">
        <f t="shared" si="539"/>
        <v>4.2440504616593584</v>
      </c>
      <c r="Y371" s="17">
        <f t="shared" si="540"/>
        <v>0.20009681106786914</v>
      </c>
      <c r="Z371" s="134">
        <f t="shared" si="541"/>
        <v>4.5024793011658237E-2</v>
      </c>
      <c r="AA371" s="15">
        <f>SUM(L$2:L371)-SUM(AB$2:AB371)</f>
        <v>2444.2809999999736</v>
      </c>
      <c r="AB371" s="64"/>
      <c r="AC371" s="145">
        <f t="shared" si="542"/>
        <v>263.26065296335946</v>
      </c>
      <c r="AD371" s="145">
        <f t="shared" si="543"/>
        <v>-286.73934703664054</v>
      </c>
    </row>
    <row r="372" spans="1:30" x14ac:dyDescent="0.25">
      <c r="A372" s="148">
        <v>43157</v>
      </c>
      <c r="B372" s="149"/>
      <c r="C372" s="104" t="s">
        <v>69</v>
      </c>
      <c r="D372" s="104">
        <v>400</v>
      </c>
      <c r="E372" s="143">
        <v>9.4600000000000009</v>
      </c>
      <c r="F372" s="16">
        <f t="shared" si="546"/>
        <v>150</v>
      </c>
      <c r="G372" s="17">
        <f t="shared" si="524"/>
        <v>-7.4366466666665048</v>
      </c>
      <c r="H372" s="15">
        <f t="shared" si="525"/>
        <v>-1115.4969999999757</v>
      </c>
      <c r="I372" s="15">
        <f t="shared" si="526"/>
        <v>2534.4969999999757</v>
      </c>
      <c r="J372" s="33">
        <f t="shared" si="527"/>
        <v>-2.2720787236541478</v>
      </c>
      <c r="K372" s="15">
        <f t="shared" si="528"/>
        <v>1419.0000000000002</v>
      </c>
      <c r="L372" s="15">
        <f t="shared" si="529"/>
        <v>90.216000000000349</v>
      </c>
      <c r="M372" s="15">
        <f t="shared" si="530"/>
        <v>5</v>
      </c>
      <c r="N372" s="15">
        <f t="shared" si="531"/>
        <v>3.7840000000000003</v>
      </c>
      <c r="O372" s="64"/>
      <c r="P372" s="17">
        <f t="shared" si="532"/>
        <v>16.896646666666506</v>
      </c>
      <c r="Q372" s="15">
        <f t="shared" si="533"/>
        <v>3775.2160000000003</v>
      </c>
      <c r="R372" s="35"/>
      <c r="S372" s="35">
        <f t="shared" si="534"/>
        <v>112030.9819999997</v>
      </c>
      <c r="T372" s="35">
        <f t="shared" si="535"/>
        <v>11842.598520084533</v>
      </c>
      <c r="U372" s="35">
        <f t="shared" si="536"/>
        <v>11992.598520084533</v>
      </c>
      <c r="V372" s="15">
        <f t="shared" si="537"/>
        <v>110915.48499999972</v>
      </c>
      <c r="W372" s="17">
        <f t="shared" si="538"/>
        <v>9.2486615652349791</v>
      </c>
      <c r="X372" s="17">
        <f t="shared" si="539"/>
        <v>16.685308231901484</v>
      </c>
      <c r="Y372" s="17">
        <f t="shared" si="540"/>
        <v>0.21133843476502179</v>
      </c>
      <c r="Z372" s="134">
        <f t="shared" si="541"/>
        <v>1.2507714633220514E-2</v>
      </c>
      <c r="AA372" s="15">
        <f>SUM(L$2:L372)-SUM(AB$2:AB372)</f>
        <v>2534.4969999999739</v>
      </c>
      <c r="AB372" s="64"/>
      <c r="AC372" s="145">
        <f t="shared" si="542"/>
        <v>267.78327182875006</v>
      </c>
      <c r="AD372" s="145">
        <f t="shared" si="543"/>
        <v>117.78327182875006</v>
      </c>
    </row>
    <row r="373" spans="1:30" x14ac:dyDescent="0.25">
      <c r="A373" s="148">
        <v>43158</v>
      </c>
      <c r="B373" s="100" t="s">
        <v>294</v>
      </c>
      <c r="C373" s="104" t="s">
        <v>69</v>
      </c>
      <c r="D373" s="104">
        <v>50</v>
      </c>
      <c r="E373" s="143">
        <v>9.81</v>
      </c>
      <c r="F373" s="16">
        <f t="shared" si="546"/>
        <v>100</v>
      </c>
      <c r="G373" s="17">
        <f t="shared" si="524"/>
        <v>-16.005064999999757</v>
      </c>
      <c r="H373" s="15">
        <f t="shared" si="525"/>
        <v>-1600.5064999999756</v>
      </c>
      <c r="I373" s="15">
        <f t="shared" si="526"/>
        <v>2581.5064999999759</v>
      </c>
      <c r="J373" s="33">
        <f t="shared" si="527"/>
        <v>-1.6129309690401226</v>
      </c>
      <c r="K373" s="15">
        <f t="shared" si="528"/>
        <v>981</v>
      </c>
      <c r="L373" s="15">
        <f t="shared" si="529"/>
        <v>47.009500000000116</v>
      </c>
      <c r="M373" s="15">
        <f t="shared" si="530"/>
        <v>5</v>
      </c>
      <c r="N373" s="15">
        <f t="shared" si="531"/>
        <v>0.49049999999999999</v>
      </c>
      <c r="O373" s="64"/>
      <c r="P373" s="17">
        <f t="shared" si="532"/>
        <v>25.815064999999755</v>
      </c>
      <c r="Q373" s="15">
        <f t="shared" si="533"/>
        <v>485.00949999999989</v>
      </c>
      <c r="R373" s="35"/>
      <c r="S373" s="35">
        <f t="shared" si="534"/>
        <v>112515.9914999997</v>
      </c>
      <c r="T373" s="35">
        <f t="shared" si="535"/>
        <v>11469.520030581009</v>
      </c>
      <c r="U373" s="35">
        <f t="shared" si="536"/>
        <v>11569.520030581009</v>
      </c>
      <c r="V373" s="15">
        <f t="shared" si="537"/>
        <v>110915.48499999972</v>
      </c>
      <c r="W373" s="17">
        <f t="shared" si="538"/>
        <v>9.586870043599351</v>
      </c>
      <c r="X373" s="17">
        <f t="shared" si="539"/>
        <v>25.591935043599108</v>
      </c>
      <c r="Y373" s="17">
        <f t="shared" si="540"/>
        <v>0.2231299564006477</v>
      </c>
      <c r="Z373" s="134">
        <f t="shared" si="541"/>
        <v>8.6434009134066132E-3</v>
      </c>
      <c r="AA373" s="15">
        <f>SUM(L$2:L373)-SUM(AB$2:AB373)</f>
        <v>2581.506499999974</v>
      </c>
      <c r="AB373" s="64"/>
      <c r="AC373" s="145">
        <f t="shared" si="542"/>
        <v>263.01893442915144</v>
      </c>
      <c r="AD373" s="145">
        <f t="shared" si="543"/>
        <v>163.01893442915144</v>
      </c>
    </row>
    <row r="374" spans="1:30" x14ac:dyDescent="0.25">
      <c r="A374" s="148">
        <v>43178</v>
      </c>
      <c r="B374" s="100" t="s">
        <v>487</v>
      </c>
      <c r="C374" s="104" t="s">
        <v>63</v>
      </c>
      <c r="D374" s="104">
        <v>500</v>
      </c>
      <c r="E374" s="143">
        <v>9.2799999999999994</v>
      </c>
      <c r="F374" s="16">
        <f t="shared" si="546"/>
        <v>600</v>
      </c>
      <c r="G374" s="17">
        <f t="shared" si="524"/>
        <v>5.0741558333333732</v>
      </c>
      <c r="H374" s="15">
        <f t="shared" si="525"/>
        <v>3044.4935000000241</v>
      </c>
      <c r="I374" s="15">
        <f t="shared" si="526"/>
        <v>2523.5064999999759</v>
      </c>
      <c r="J374" s="33">
        <f t="shared" si="527"/>
        <v>0.82887564056220053</v>
      </c>
      <c r="K374" s="15">
        <f t="shared" si="528"/>
        <v>5568</v>
      </c>
      <c r="L374" s="15">
        <f t="shared" si="529"/>
        <v>-58</v>
      </c>
      <c r="M374" s="15">
        <f t="shared" si="530"/>
        <v>5</v>
      </c>
      <c r="N374" s="15">
        <f t="shared" si="531"/>
        <v>0</v>
      </c>
      <c r="O374" s="64"/>
      <c r="P374" s="17">
        <f t="shared" si="532"/>
        <v>4.2058441666666262</v>
      </c>
      <c r="Q374" s="15">
        <f t="shared" si="533"/>
        <v>-4645</v>
      </c>
      <c r="R374" s="35"/>
      <c r="S374" s="35">
        <f t="shared" si="534"/>
        <v>107870.9914999997</v>
      </c>
      <c r="T374" s="35">
        <f t="shared" si="535"/>
        <v>11624.029256465485</v>
      </c>
      <c r="U374" s="35">
        <f t="shared" si="536"/>
        <v>12224.029256465485</v>
      </c>
      <c r="V374" s="15">
        <f t="shared" si="537"/>
        <v>110915.48499999972</v>
      </c>
      <c r="W374" s="17">
        <f t="shared" si="538"/>
        <v>9.0735618078903695</v>
      </c>
      <c r="X374" s="17">
        <f t="shared" si="539"/>
        <v>3.9994059745569963</v>
      </c>
      <c r="Y374" s="17">
        <f t="shared" si="540"/>
        <v>0.20643819210962988</v>
      </c>
      <c r="Z374" s="134">
        <f t="shared" si="541"/>
        <v>4.9083652158526239E-2</v>
      </c>
      <c r="AA374" s="15">
        <f>SUM(L$2:L374)-SUM(AB$2:AB374)</f>
        <v>2523.506499999974</v>
      </c>
      <c r="AB374" s="64"/>
      <c r="AC374" s="145">
        <f t="shared" si="542"/>
        <v>271.79361495150607</v>
      </c>
      <c r="AD374" s="145">
        <f t="shared" si="543"/>
        <v>-328.20638504849393</v>
      </c>
    </row>
    <row r="375" spans="1:30" x14ac:dyDescent="0.25">
      <c r="A375" s="148">
        <v>43179</v>
      </c>
      <c r="B375" s="100" t="s">
        <v>336</v>
      </c>
      <c r="C375" s="104" t="s">
        <v>63</v>
      </c>
      <c r="D375" s="104">
        <v>500</v>
      </c>
      <c r="E375" s="143">
        <v>9.11</v>
      </c>
      <c r="F375" s="16">
        <f t="shared" si="546"/>
        <v>1100</v>
      </c>
      <c r="G375" s="17">
        <f t="shared" si="524"/>
        <v>6.9131759090909313</v>
      </c>
      <c r="H375" s="15">
        <f t="shared" si="525"/>
        <v>7604.4935000000241</v>
      </c>
      <c r="I375" s="15">
        <f t="shared" si="526"/>
        <v>2416.5064999999759</v>
      </c>
      <c r="J375" s="33">
        <f t="shared" si="527"/>
        <v>0.31777349799825161</v>
      </c>
      <c r="K375" s="15">
        <f t="shared" si="528"/>
        <v>10021</v>
      </c>
      <c r="L375" s="15">
        <f t="shared" si="529"/>
        <v>-107</v>
      </c>
      <c r="M375" s="15">
        <f t="shared" si="530"/>
        <v>5</v>
      </c>
      <c r="N375" s="15">
        <f t="shared" si="531"/>
        <v>0</v>
      </c>
      <c r="O375" s="64"/>
      <c r="P375" s="17">
        <f t="shared" si="532"/>
        <v>2.1968240909090682</v>
      </c>
      <c r="Q375" s="15">
        <f t="shared" si="533"/>
        <v>-4560</v>
      </c>
      <c r="R375" s="35"/>
      <c r="S375" s="35">
        <f t="shared" si="534"/>
        <v>103310.9914999997</v>
      </c>
      <c r="T375" s="35">
        <f t="shared" si="535"/>
        <v>11340.394237102053</v>
      </c>
      <c r="U375" s="35">
        <f t="shared" si="536"/>
        <v>12440.394237102053</v>
      </c>
      <c r="V375" s="15">
        <f t="shared" si="537"/>
        <v>110915.48499999972</v>
      </c>
      <c r="W375" s="17">
        <f t="shared" si="538"/>
        <v>8.9157532218076323</v>
      </c>
      <c r="X375" s="17">
        <f t="shared" si="539"/>
        <v>2.002577312716701</v>
      </c>
      <c r="Y375" s="17">
        <f t="shared" si="540"/>
        <v>0.19424677819236713</v>
      </c>
      <c r="Z375" s="134">
        <f t="shared" si="541"/>
        <v>8.8421635121447822E-2</v>
      </c>
      <c r="AA375" s="15">
        <f>SUM(L$2:L375)-SUM(AB$2:AB375)</f>
        <v>2416.506499999974</v>
      </c>
      <c r="AB375" s="64"/>
      <c r="AC375" s="145">
        <f t="shared" si="542"/>
        <v>265.12604245334535</v>
      </c>
      <c r="AD375" s="145">
        <f t="shared" si="543"/>
        <v>-834.87395754665465</v>
      </c>
    </row>
    <row r="376" spans="1:30" x14ac:dyDescent="0.25">
      <c r="A376" s="148">
        <v>43180</v>
      </c>
      <c r="B376" s="149"/>
      <c r="C376" s="104" t="s">
        <v>69</v>
      </c>
      <c r="D376" s="104">
        <v>400</v>
      </c>
      <c r="E376" s="143">
        <v>9.26</v>
      </c>
      <c r="F376" s="16">
        <f t="shared" si="546"/>
        <v>700</v>
      </c>
      <c r="G376" s="17">
        <f t="shared" si="524"/>
        <v>5.5845678571428916</v>
      </c>
      <c r="H376" s="15">
        <f t="shared" si="525"/>
        <v>3909.1975000000243</v>
      </c>
      <c r="I376" s="15">
        <f t="shared" si="526"/>
        <v>2572.8024999999757</v>
      </c>
      <c r="J376" s="33">
        <f t="shared" si="527"/>
        <v>0.65814083325285044</v>
      </c>
      <c r="K376" s="15">
        <f t="shared" si="528"/>
        <v>6482</v>
      </c>
      <c r="L376" s="15">
        <f t="shared" si="529"/>
        <v>156.29599999999982</v>
      </c>
      <c r="M376" s="15">
        <f t="shared" si="530"/>
        <v>5</v>
      </c>
      <c r="N376" s="15">
        <f t="shared" si="531"/>
        <v>3.7040000000000002</v>
      </c>
      <c r="O376" s="64"/>
      <c r="P376" s="17">
        <f t="shared" si="532"/>
        <v>3.6754321428571082</v>
      </c>
      <c r="Q376" s="15">
        <f t="shared" si="533"/>
        <v>3695.2959999999998</v>
      </c>
      <c r="R376" s="35"/>
      <c r="S376" s="35">
        <f t="shared" si="534"/>
        <v>107006.2874999997</v>
      </c>
      <c r="T376" s="35">
        <f t="shared" si="535"/>
        <v>11555.754589632797</v>
      </c>
      <c r="U376" s="35">
        <f t="shared" si="536"/>
        <v>12255.754589632797</v>
      </c>
      <c r="V376" s="15">
        <f t="shared" si="537"/>
        <v>110915.48499999972</v>
      </c>
      <c r="W376" s="17">
        <f t="shared" si="538"/>
        <v>9.0500739215048966</v>
      </c>
      <c r="X376" s="17">
        <f t="shared" si="539"/>
        <v>3.465506064362005</v>
      </c>
      <c r="Y376" s="17">
        <f t="shared" si="540"/>
        <v>0.20992607849510314</v>
      </c>
      <c r="Z376" s="134">
        <f t="shared" si="541"/>
        <v>5.7116026180234827E-2</v>
      </c>
      <c r="AA376" s="15">
        <f>SUM(L$2:L376)-SUM(AB$2:AB376)</f>
        <v>2572.8024999999761</v>
      </c>
      <c r="AB376" s="64"/>
      <c r="AC376" s="145">
        <f t="shared" si="542"/>
        <v>277.70152254319396</v>
      </c>
      <c r="AD376" s="145">
        <f t="shared" si="543"/>
        <v>-422.29847745680604</v>
      </c>
    </row>
    <row r="377" spans="1:30" x14ac:dyDescent="0.25">
      <c r="A377" s="148">
        <v>43181</v>
      </c>
      <c r="B377" s="100" t="s">
        <v>488</v>
      </c>
      <c r="C377" s="104" t="s">
        <v>63</v>
      </c>
      <c r="D377" s="104">
        <v>500</v>
      </c>
      <c r="E377" s="143">
        <v>9.01</v>
      </c>
      <c r="F377" s="16">
        <f t="shared" si="546"/>
        <v>1200</v>
      </c>
      <c r="G377" s="17">
        <f t="shared" si="524"/>
        <v>7.0159979166666862</v>
      </c>
      <c r="H377" s="15">
        <f t="shared" si="525"/>
        <v>8419.1975000000239</v>
      </c>
      <c r="I377" s="15">
        <f t="shared" si="526"/>
        <v>2392.8024999999761</v>
      </c>
      <c r="J377" s="33">
        <f t="shared" si="527"/>
        <v>0.28420790698875631</v>
      </c>
      <c r="K377" s="15">
        <f t="shared" si="528"/>
        <v>10812</v>
      </c>
      <c r="L377" s="15">
        <f t="shared" si="529"/>
        <v>-179.99999999999955</v>
      </c>
      <c r="M377" s="15">
        <f t="shared" si="530"/>
        <v>5</v>
      </c>
      <c r="N377" s="15">
        <f t="shared" si="531"/>
        <v>0</v>
      </c>
      <c r="O377" s="64"/>
      <c r="P377" s="17">
        <f t="shared" si="532"/>
        <v>1.9940020833333136</v>
      </c>
      <c r="Q377" s="15">
        <f t="shared" si="533"/>
        <v>-4510</v>
      </c>
      <c r="R377" s="35"/>
      <c r="S377" s="35">
        <f t="shared" si="534"/>
        <v>102496.2874999997</v>
      </c>
      <c r="T377" s="35">
        <f t="shared" si="535"/>
        <v>11375.836570477215</v>
      </c>
      <c r="U377" s="35">
        <f t="shared" si="536"/>
        <v>12575.836570477215</v>
      </c>
      <c r="V377" s="15">
        <f t="shared" si="537"/>
        <v>110915.48499999972</v>
      </c>
      <c r="W377" s="17">
        <f t="shared" si="538"/>
        <v>8.8197301530128591</v>
      </c>
      <c r="X377" s="17">
        <f t="shared" si="539"/>
        <v>1.803732236346173</v>
      </c>
      <c r="Y377" s="17">
        <f t="shared" si="540"/>
        <v>0.19026984698714067</v>
      </c>
      <c r="Z377" s="134">
        <f t="shared" si="541"/>
        <v>9.5421087358680878E-2</v>
      </c>
      <c r="AA377" s="15">
        <f>SUM(L$2:L377)-SUM(AB$2:AB377)</f>
        <v>2392.8024999999761</v>
      </c>
      <c r="AB377" s="64"/>
      <c r="AC377" s="145">
        <f t="shared" si="542"/>
        <v>265.43907866259445</v>
      </c>
      <c r="AD377" s="145">
        <f t="shared" si="543"/>
        <v>-934.56092133740549</v>
      </c>
    </row>
    <row r="378" spans="1:30" x14ac:dyDescent="0.25">
      <c r="A378" s="148">
        <v>43181</v>
      </c>
      <c r="B378" s="149"/>
      <c r="C378" s="104" t="s">
        <v>69</v>
      </c>
      <c r="D378" s="104">
        <v>400</v>
      </c>
      <c r="E378" s="143">
        <v>9.14</v>
      </c>
      <c r="F378" s="16">
        <f t="shared" si="546"/>
        <v>800</v>
      </c>
      <c r="G378" s="17">
        <f t="shared" si="524"/>
        <v>5.9648168750000297</v>
      </c>
      <c r="H378" s="15">
        <f t="shared" si="525"/>
        <v>4771.8535000000238</v>
      </c>
      <c r="I378" s="15">
        <f t="shared" si="526"/>
        <v>2540.1464999999762</v>
      </c>
      <c r="J378" s="33">
        <f t="shared" si="527"/>
        <v>0.53231862629478544</v>
      </c>
      <c r="K378" s="15">
        <f t="shared" si="528"/>
        <v>7312</v>
      </c>
      <c r="L378" s="15">
        <f t="shared" si="529"/>
        <v>147.34400000000005</v>
      </c>
      <c r="M378" s="15">
        <f t="shared" si="530"/>
        <v>5</v>
      </c>
      <c r="N378" s="15">
        <f t="shared" si="531"/>
        <v>3.6560000000000001</v>
      </c>
      <c r="O378" s="64"/>
      <c r="P378" s="17">
        <f t="shared" si="532"/>
        <v>3.1751831249999709</v>
      </c>
      <c r="Q378" s="15">
        <f t="shared" si="533"/>
        <v>3647.3440000000001</v>
      </c>
      <c r="R378" s="35"/>
      <c r="S378" s="35">
        <f t="shared" si="534"/>
        <v>106143.6314999997</v>
      </c>
      <c r="T378" s="35">
        <f t="shared" si="535"/>
        <v>11613.088785557953</v>
      </c>
      <c r="U378" s="35">
        <f t="shared" si="536"/>
        <v>12413.088785557953</v>
      </c>
      <c r="V378" s="15">
        <f t="shared" si="537"/>
        <v>110915.48499999972</v>
      </c>
      <c r="W378" s="17">
        <f t="shared" si="538"/>
        <v>8.9353654772085971</v>
      </c>
      <c r="X378" s="17">
        <f t="shared" si="539"/>
        <v>2.9705486022085674</v>
      </c>
      <c r="Y378" s="17">
        <f t="shared" si="540"/>
        <v>0.20463452279140348</v>
      </c>
      <c r="Z378" s="134">
        <f t="shared" si="541"/>
        <v>6.4448101018238307E-2</v>
      </c>
      <c r="AA378" s="15">
        <f>SUM(L$2:L378)-SUM(AB$2:AB378)</f>
        <v>2540.1464999999735</v>
      </c>
      <c r="AB378" s="64"/>
      <c r="AC378" s="145">
        <f t="shared" si="542"/>
        <v>277.77641430524903</v>
      </c>
      <c r="AD378" s="145">
        <f t="shared" si="543"/>
        <v>-522.22358569475091</v>
      </c>
    </row>
    <row r="379" spans="1:30" x14ac:dyDescent="0.25">
      <c r="A379" s="148">
        <v>43182</v>
      </c>
      <c r="B379" s="100" t="s">
        <v>319</v>
      </c>
      <c r="C379" s="104" t="s">
        <v>63</v>
      </c>
      <c r="D379" s="104">
        <v>500</v>
      </c>
      <c r="E379" s="143">
        <v>8.77</v>
      </c>
      <c r="F379" s="16">
        <f t="shared" si="546"/>
        <v>1300</v>
      </c>
      <c r="G379" s="17">
        <f t="shared" si="524"/>
        <v>7.0475796153846328</v>
      </c>
      <c r="H379" s="15">
        <f t="shared" si="525"/>
        <v>9161.8535000000229</v>
      </c>
      <c r="I379" s="15">
        <f t="shared" si="526"/>
        <v>2239.1464999999771</v>
      </c>
      <c r="J379" s="33">
        <f t="shared" si="527"/>
        <v>0.24439885444577031</v>
      </c>
      <c r="K379" s="15">
        <f t="shared" si="528"/>
        <v>11401</v>
      </c>
      <c r="L379" s="15">
        <f t="shared" si="529"/>
        <v>-300.99999999999909</v>
      </c>
      <c r="M379" s="15">
        <f t="shared" si="530"/>
        <v>5</v>
      </c>
      <c r="N379" s="15">
        <f t="shared" si="531"/>
        <v>0</v>
      </c>
      <c r="O379" s="64"/>
      <c r="P379" s="17">
        <f t="shared" si="532"/>
        <v>1.7224203846153667</v>
      </c>
      <c r="Q379" s="15">
        <f t="shared" si="533"/>
        <v>-4389.9999999999991</v>
      </c>
      <c r="R379" s="35"/>
      <c r="S379" s="35">
        <f t="shared" si="534"/>
        <v>101753.6314999997</v>
      </c>
      <c r="T379" s="35">
        <f t="shared" si="535"/>
        <v>11602.466533637366</v>
      </c>
      <c r="U379" s="35">
        <f t="shared" si="536"/>
        <v>12902.466533637366</v>
      </c>
      <c r="V379" s="15">
        <f t="shared" si="537"/>
        <v>110915.48499999972</v>
      </c>
      <c r="W379" s="17">
        <f t="shared" si="538"/>
        <v>8.5964559342849363</v>
      </c>
      <c r="X379" s="17">
        <f t="shared" si="539"/>
        <v>1.5488763189003034</v>
      </c>
      <c r="Y379" s="17">
        <f t="shared" si="540"/>
        <v>0.17354406571506331</v>
      </c>
      <c r="Z379" s="134">
        <f t="shared" si="541"/>
        <v>0.10075592884591764</v>
      </c>
      <c r="AA379" s="15">
        <f>SUM(L$2:L379)-SUM(AB$2:AB379)</f>
        <v>2239.1464999999735</v>
      </c>
      <c r="AB379" s="64"/>
      <c r="AC379" s="145">
        <f t="shared" si="542"/>
        <v>255.19121171607495</v>
      </c>
      <c r="AD379" s="145">
        <f t="shared" si="543"/>
        <v>-1044.808788283925</v>
      </c>
    </row>
    <row r="380" spans="1:30" x14ac:dyDescent="0.25">
      <c r="A380" s="148">
        <v>43182</v>
      </c>
      <c r="B380" s="100" t="s">
        <v>489</v>
      </c>
      <c r="C380" s="104" t="s">
        <v>63</v>
      </c>
      <c r="D380" s="104">
        <v>500</v>
      </c>
      <c r="E380" s="143">
        <v>8.48</v>
      </c>
      <c r="F380" s="16">
        <f t="shared" si="546"/>
        <v>1800</v>
      </c>
      <c r="G380" s="17">
        <f t="shared" si="524"/>
        <v>7.4482519444444568</v>
      </c>
      <c r="H380" s="15">
        <f t="shared" si="525"/>
        <v>13406.853500000023</v>
      </c>
      <c r="I380" s="15">
        <f t="shared" si="526"/>
        <v>1857.1464999999771</v>
      </c>
      <c r="J380" s="33">
        <f t="shared" si="527"/>
        <v>0.13852217449828741</v>
      </c>
      <c r="K380" s="15">
        <f t="shared" si="528"/>
        <v>15264</v>
      </c>
      <c r="L380" s="15">
        <f t="shared" si="529"/>
        <v>-382</v>
      </c>
      <c r="M380" s="15">
        <f t="shared" si="530"/>
        <v>5</v>
      </c>
      <c r="N380" s="15">
        <f t="shared" si="531"/>
        <v>0</v>
      </c>
      <c r="O380" s="64"/>
      <c r="P380" s="17">
        <f t="shared" si="532"/>
        <v>1.0317480555555436</v>
      </c>
      <c r="Q380" s="15">
        <f t="shared" si="533"/>
        <v>-4245</v>
      </c>
      <c r="R380" s="35"/>
      <c r="S380" s="35">
        <f t="shared" si="534"/>
        <v>97508.631499999698</v>
      </c>
      <c r="T380" s="35">
        <f t="shared" si="535"/>
        <v>11498.659374999963</v>
      </c>
      <c r="U380" s="35">
        <f t="shared" si="536"/>
        <v>13298.659374999963</v>
      </c>
      <c r="V380" s="15">
        <f t="shared" si="537"/>
        <v>110915.48499999972</v>
      </c>
      <c r="W380" s="17">
        <f t="shared" si="538"/>
        <v>8.3403508483350439</v>
      </c>
      <c r="X380" s="17">
        <f t="shared" si="539"/>
        <v>0.8920989038905871</v>
      </c>
      <c r="Y380" s="17">
        <f t="shared" si="540"/>
        <v>0.13964915166495651</v>
      </c>
      <c r="Z380" s="134">
        <f t="shared" si="541"/>
        <v>0.13535198919252001</v>
      </c>
      <c r="AA380" s="15">
        <f>SUM(L$2:L380)-SUM(AB$2:AB380)</f>
        <v>1857.1464999999735</v>
      </c>
      <c r="AB380" s="64"/>
      <c r="AC380" s="145">
        <f t="shared" si="542"/>
        <v>218.8936234374973</v>
      </c>
      <c r="AD380" s="145">
        <f t="shared" si="543"/>
        <v>-1581.1063765625026</v>
      </c>
    </row>
    <row r="381" spans="1:30" x14ac:dyDescent="0.25">
      <c r="A381" s="148">
        <v>43182</v>
      </c>
      <c r="B381" s="100" t="s">
        <v>490</v>
      </c>
      <c r="C381" s="104" t="s">
        <v>63</v>
      </c>
      <c r="D381" s="104">
        <v>500</v>
      </c>
      <c r="E381" s="143">
        <v>8.33</v>
      </c>
      <c r="F381" s="16">
        <f t="shared" si="546"/>
        <v>2300</v>
      </c>
      <c r="G381" s="17">
        <f t="shared" si="524"/>
        <v>7.6421102173913145</v>
      </c>
      <c r="H381" s="15">
        <f t="shared" si="525"/>
        <v>17576.853500000023</v>
      </c>
      <c r="I381" s="15">
        <f t="shared" si="526"/>
        <v>1582.1464999999771</v>
      </c>
      <c r="J381" s="33">
        <f t="shared" si="527"/>
        <v>9.0013067469668265E-2</v>
      </c>
      <c r="K381" s="15">
        <f t="shared" si="528"/>
        <v>19159</v>
      </c>
      <c r="L381" s="15">
        <f t="shared" si="529"/>
        <v>-275</v>
      </c>
      <c r="M381" s="15">
        <f t="shared" si="530"/>
        <v>5</v>
      </c>
      <c r="N381" s="15">
        <f t="shared" si="531"/>
        <v>0</v>
      </c>
      <c r="O381" s="64"/>
      <c r="P381" s="17">
        <f t="shared" si="532"/>
        <v>0.68788978260868561</v>
      </c>
      <c r="Q381" s="15">
        <f t="shared" si="533"/>
        <v>-4170</v>
      </c>
      <c r="R381" s="35"/>
      <c r="S381" s="35">
        <f t="shared" si="534"/>
        <v>93338.631499999698</v>
      </c>
      <c r="T381" s="35">
        <f t="shared" si="535"/>
        <v>11205.117827130816</v>
      </c>
      <c r="U381" s="35">
        <f t="shared" si="536"/>
        <v>13505.117827130816</v>
      </c>
      <c r="V381" s="15">
        <f t="shared" si="537"/>
        <v>110915.48499999972</v>
      </c>
      <c r="W381" s="17">
        <f t="shared" si="538"/>
        <v>8.2128483749455672</v>
      </c>
      <c r="X381" s="17">
        <f t="shared" si="539"/>
        <v>0.57073815755425272</v>
      </c>
      <c r="Y381" s="17">
        <f t="shared" si="540"/>
        <v>0.11715162505443288</v>
      </c>
      <c r="Z381" s="134">
        <f t="shared" si="541"/>
        <v>0.17030580772716136</v>
      </c>
      <c r="AA381" s="15">
        <f>SUM(L$2:L381)-SUM(AB$2:AB381)</f>
        <v>1582.1464999999735</v>
      </c>
      <c r="AB381" s="64"/>
      <c r="AC381" s="145">
        <f t="shared" si="542"/>
        <v>189.83858664465512</v>
      </c>
      <c r="AD381" s="145">
        <f t="shared" si="543"/>
        <v>-2110.1614133553448</v>
      </c>
    </row>
    <row r="382" spans="1:30" x14ac:dyDescent="0.25">
      <c r="A382" s="148">
        <v>43182</v>
      </c>
      <c r="B382" s="100" t="s">
        <v>351</v>
      </c>
      <c r="C382" s="104" t="s">
        <v>63</v>
      </c>
      <c r="D382" s="104">
        <v>500</v>
      </c>
      <c r="E382" s="143">
        <v>8.2200000000000006</v>
      </c>
      <c r="F382" s="16">
        <f t="shared" si="546"/>
        <v>2800</v>
      </c>
      <c r="G382" s="17">
        <f t="shared" si="524"/>
        <v>7.7470905357142943</v>
      </c>
      <c r="H382" s="15">
        <f t="shared" si="525"/>
        <v>21691.853500000023</v>
      </c>
      <c r="I382" s="15">
        <f t="shared" si="526"/>
        <v>1324.1464999999771</v>
      </c>
      <c r="J382" s="33">
        <f t="shared" si="527"/>
        <v>6.1043492664191942E-2</v>
      </c>
      <c r="K382" s="15">
        <f t="shared" si="528"/>
        <v>23016</v>
      </c>
      <c r="L382" s="15">
        <f t="shared" si="529"/>
        <v>-258</v>
      </c>
      <c r="M382" s="15">
        <f t="shared" si="530"/>
        <v>5</v>
      </c>
      <c r="N382" s="15">
        <f t="shared" si="531"/>
        <v>0</v>
      </c>
      <c r="O382" s="64"/>
      <c r="P382" s="17">
        <f t="shared" si="532"/>
        <v>0.47290946428570635</v>
      </c>
      <c r="Q382" s="15">
        <f t="shared" si="533"/>
        <v>-4115</v>
      </c>
      <c r="R382" s="35"/>
      <c r="S382" s="35">
        <f t="shared" si="534"/>
        <v>89223.631499999698</v>
      </c>
      <c r="T382" s="35">
        <f t="shared" si="535"/>
        <v>10854.456386861277</v>
      </c>
      <c r="U382" s="35">
        <f t="shared" si="536"/>
        <v>13654.456386861277</v>
      </c>
      <c r="V382" s="15">
        <f t="shared" si="537"/>
        <v>110915.48499999972</v>
      </c>
      <c r="W382" s="17">
        <f t="shared" si="538"/>
        <v>8.1230245904718625</v>
      </c>
      <c r="X382" s="17">
        <f t="shared" si="539"/>
        <v>0.37593405475756825</v>
      </c>
      <c r="Y382" s="17">
        <f t="shared" si="540"/>
        <v>9.6975409528138101E-2</v>
      </c>
      <c r="Z382" s="134">
        <f t="shared" si="541"/>
        <v>0.20506125770735503</v>
      </c>
      <c r="AA382" s="15">
        <f>SUM(L$2:L382)-SUM(AB$2:AB382)</f>
        <v>1324.1464999999735</v>
      </c>
      <c r="AB382" s="64"/>
      <c r="AC382" s="145">
        <f t="shared" si="542"/>
        <v>161.00783780413346</v>
      </c>
      <c r="AD382" s="145">
        <f t="shared" si="543"/>
        <v>-2638.9921621958665</v>
      </c>
    </row>
    <row r="383" spans="1:30" x14ac:dyDescent="0.25">
      <c r="A383" s="148">
        <v>43185</v>
      </c>
      <c r="B383" s="100" t="s">
        <v>491</v>
      </c>
      <c r="C383" s="104" t="s">
        <v>63</v>
      </c>
      <c r="D383" s="104">
        <v>500</v>
      </c>
      <c r="E383" s="143">
        <v>8.18</v>
      </c>
      <c r="F383" s="16">
        <f t="shared" si="546"/>
        <v>3300</v>
      </c>
      <c r="G383" s="17">
        <f t="shared" si="524"/>
        <v>7.8141980303030376</v>
      </c>
      <c r="H383" s="15">
        <f t="shared" si="525"/>
        <v>25786.853500000023</v>
      </c>
      <c r="I383" s="15">
        <f t="shared" si="526"/>
        <v>1207.1464999999771</v>
      </c>
      <c r="J383" s="33">
        <f t="shared" si="527"/>
        <v>4.6812477528519476E-2</v>
      </c>
      <c r="K383" s="15">
        <f t="shared" si="528"/>
        <v>26994</v>
      </c>
      <c r="L383" s="15">
        <f t="shared" si="529"/>
        <v>-117</v>
      </c>
      <c r="M383" s="15">
        <f t="shared" si="530"/>
        <v>5</v>
      </c>
      <c r="N383" s="15">
        <f t="shared" si="531"/>
        <v>0</v>
      </c>
      <c r="O383" s="64"/>
      <c r="P383" s="17">
        <f t="shared" si="532"/>
        <v>0.3658019696969621</v>
      </c>
      <c r="Q383" s="15">
        <f t="shared" si="533"/>
        <v>-4095</v>
      </c>
      <c r="R383" s="35"/>
      <c r="S383" s="35">
        <f t="shared" si="534"/>
        <v>85128.631499999698</v>
      </c>
      <c r="T383" s="35">
        <f t="shared" si="535"/>
        <v>10406.923166259132</v>
      </c>
      <c r="U383" s="35">
        <f t="shared" si="536"/>
        <v>13706.923166259132</v>
      </c>
      <c r="V383" s="15">
        <f t="shared" si="537"/>
        <v>110915.48499999972</v>
      </c>
      <c r="W383" s="17">
        <f t="shared" si="538"/>
        <v>8.0919316213158989</v>
      </c>
      <c r="X383" s="17">
        <f t="shared" si="539"/>
        <v>0.27773359101286132</v>
      </c>
      <c r="Y383" s="17">
        <f t="shared" si="540"/>
        <v>8.8068378684100779E-2</v>
      </c>
      <c r="Z383" s="134">
        <f t="shared" si="541"/>
        <v>0.24075424951117091</v>
      </c>
      <c r="AA383" s="15">
        <f>SUM(L$2:L383)-SUM(AB$2:AB383)</f>
        <v>1207.1464999999735</v>
      </c>
      <c r="AB383" s="64"/>
      <c r="AC383" s="145">
        <f t="shared" si="542"/>
        <v>147.4991352995082</v>
      </c>
      <c r="AD383" s="145">
        <f t="shared" si="543"/>
        <v>-3152.500864700492</v>
      </c>
    </row>
    <row r="384" spans="1:30" x14ac:dyDescent="0.25">
      <c r="A384" s="148">
        <v>43185</v>
      </c>
      <c r="B384" s="150"/>
      <c r="C384" s="104" t="s">
        <v>69</v>
      </c>
      <c r="D384" s="104">
        <v>400</v>
      </c>
      <c r="E384" s="143">
        <v>8.3000000000000007</v>
      </c>
      <c r="F384" s="16">
        <f t="shared" si="546"/>
        <v>2900</v>
      </c>
      <c r="G384" s="17">
        <f t="shared" si="524"/>
        <v>7.7500598275862149</v>
      </c>
      <c r="H384" s="15">
        <f t="shared" si="525"/>
        <v>22475.173500000023</v>
      </c>
      <c r="I384" s="15">
        <f t="shared" si="526"/>
        <v>1594.826499999981</v>
      </c>
      <c r="J384" s="33">
        <f t="shared" si="527"/>
        <v>7.0959474461898014E-2</v>
      </c>
      <c r="K384" s="15">
        <f t="shared" si="528"/>
        <v>24070.000000000004</v>
      </c>
      <c r="L384" s="15">
        <f t="shared" si="529"/>
        <v>387.68000000000393</v>
      </c>
      <c r="M384" s="15">
        <f t="shared" si="530"/>
        <v>5</v>
      </c>
      <c r="N384" s="15">
        <f t="shared" si="531"/>
        <v>3.3200000000000003</v>
      </c>
      <c r="O384" s="64"/>
      <c r="P384" s="17">
        <f t="shared" si="532"/>
        <v>0.54994017241378579</v>
      </c>
      <c r="Q384" s="15">
        <f t="shared" si="533"/>
        <v>3311.6800000000003</v>
      </c>
      <c r="R384" s="35"/>
      <c r="S384" s="35">
        <f t="shared" si="534"/>
        <v>88440.311499999691</v>
      </c>
      <c r="T384" s="35">
        <f t="shared" si="535"/>
        <v>10655.459216867432</v>
      </c>
      <c r="U384" s="35">
        <f t="shared" si="536"/>
        <v>13555.459216867432</v>
      </c>
      <c r="V384" s="15">
        <f t="shared" si="537"/>
        <v>110915.48499999971</v>
      </c>
      <c r="W384" s="17">
        <f t="shared" si="538"/>
        <v>8.1823480286071391</v>
      </c>
      <c r="X384" s="17">
        <f t="shared" si="539"/>
        <v>0.43228820102092413</v>
      </c>
      <c r="Y384" s="17">
        <f t="shared" si="540"/>
        <v>0.11765197139286165</v>
      </c>
      <c r="Z384" s="134">
        <f t="shared" si="541"/>
        <v>0.21393594666209834</v>
      </c>
      <c r="AA384" s="15">
        <f>SUM(L$2:L384)-SUM(AB$2:AB384)</f>
        <v>1594.8264999999737</v>
      </c>
      <c r="AB384" s="64"/>
      <c r="AC384" s="145">
        <f t="shared" si="542"/>
        <v>192.05169719879288</v>
      </c>
      <c r="AD384" s="145">
        <f t="shared" si="543"/>
        <v>-2707.9483028012073</v>
      </c>
    </row>
    <row r="385" spans="1:30" x14ac:dyDescent="0.25">
      <c r="A385" s="148">
        <v>43186</v>
      </c>
      <c r="B385" s="100"/>
      <c r="C385" s="104" t="s">
        <v>69</v>
      </c>
      <c r="D385" s="104">
        <v>400</v>
      </c>
      <c r="E385" s="143">
        <v>8.5500000000000007</v>
      </c>
      <c r="F385" s="16">
        <f t="shared" si="546"/>
        <v>2500</v>
      </c>
      <c r="G385" s="17">
        <f t="shared" si="524"/>
        <v>7.625437400000008</v>
      </c>
      <c r="H385" s="15">
        <f t="shared" si="525"/>
        <v>19063.593500000021</v>
      </c>
      <c r="I385" s="15">
        <f t="shared" si="526"/>
        <v>2311.4064999999791</v>
      </c>
      <c r="J385" s="33">
        <f t="shared" si="527"/>
        <v>0.1212471562614876</v>
      </c>
      <c r="K385" s="15">
        <f t="shared" si="528"/>
        <v>21375</v>
      </c>
      <c r="L385" s="15">
        <f t="shared" si="529"/>
        <v>716.57999999999811</v>
      </c>
      <c r="M385" s="15">
        <f t="shared" si="530"/>
        <v>5</v>
      </c>
      <c r="N385" s="15">
        <f t="shared" si="531"/>
        <v>3.4200000000000004</v>
      </c>
      <c r="O385" s="64"/>
      <c r="P385" s="17">
        <f t="shared" si="532"/>
        <v>0.92456259999999268</v>
      </c>
      <c r="Q385" s="15">
        <f t="shared" si="533"/>
        <v>3411.5800000000017</v>
      </c>
      <c r="R385" s="35"/>
      <c r="S385" s="35">
        <f t="shared" si="534"/>
        <v>91851.891499999692</v>
      </c>
      <c r="T385" s="35">
        <f t="shared" si="535"/>
        <v>10742.91128654967</v>
      </c>
      <c r="U385" s="35">
        <f t="shared" si="536"/>
        <v>13242.91128654967</v>
      </c>
      <c r="V385" s="15">
        <f t="shared" si="537"/>
        <v>110915.48499999971</v>
      </c>
      <c r="W385" s="17">
        <f t="shared" si="538"/>
        <v>8.3754608484504782</v>
      </c>
      <c r="X385" s="17">
        <f t="shared" si="539"/>
        <v>0.7500234484504702</v>
      </c>
      <c r="Y385" s="17">
        <f t="shared" si="540"/>
        <v>0.17453915154952249</v>
      </c>
      <c r="Z385" s="134">
        <f t="shared" si="541"/>
        <v>0.18878024219184769</v>
      </c>
      <c r="AA385" s="15">
        <f>SUM(L$2:L385)-SUM(AB$2:AB385)</f>
        <v>2311.4064999999755</v>
      </c>
      <c r="AB385" s="64"/>
      <c r="AC385" s="145">
        <f t="shared" si="542"/>
        <v>270.20477154970513</v>
      </c>
      <c r="AD385" s="145">
        <f t="shared" si="543"/>
        <v>-2229.7952284502949</v>
      </c>
    </row>
    <row r="386" spans="1:30" x14ac:dyDescent="0.25">
      <c r="A386" s="148">
        <v>43187</v>
      </c>
      <c r="B386" s="100" t="s">
        <v>344</v>
      </c>
      <c r="C386" s="104" t="s">
        <v>63</v>
      </c>
      <c r="D386" s="104">
        <v>500</v>
      </c>
      <c r="E386" s="143">
        <v>8.27</v>
      </c>
      <c r="F386" s="16">
        <f t="shared" si="546"/>
        <v>3000</v>
      </c>
      <c r="G386" s="17">
        <f t="shared" si="524"/>
        <v>7.7345311666666738</v>
      </c>
      <c r="H386" s="15">
        <f t="shared" si="525"/>
        <v>23203.593500000021</v>
      </c>
      <c r="I386" s="15">
        <f t="shared" si="526"/>
        <v>1606.4064999999791</v>
      </c>
      <c r="J386" s="33">
        <f t="shared" si="527"/>
        <v>6.9230936147884836E-2</v>
      </c>
      <c r="K386" s="15">
        <f t="shared" si="528"/>
        <v>24810</v>
      </c>
      <c r="L386" s="15">
        <f t="shared" si="529"/>
        <v>-705</v>
      </c>
      <c r="M386" s="15">
        <f t="shared" si="530"/>
        <v>5</v>
      </c>
      <c r="N386" s="15">
        <f t="shared" si="531"/>
        <v>0</v>
      </c>
      <c r="O386" s="64"/>
      <c r="P386" s="17">
        <f t="shared" si="532"/>
        <v>0.53546883333332573</v>
      </c>
      <c r="Q386" s="15">
        <f t="shared" si="533"/>
        <v>-4140</v>
      </c>
      <c r="R386" s="35"/>
      <c r="S386" s="35">
        <f t="shared" si="534"/>
        <v>87711.891499999692</v>
      </c>
      <c r="T386" s="35">
        <f t="shared" si="535"/>
        <v>10606.032829504196</v>
      </c>
      <c r="U386" s="35">
        <f t="shared" si="536"/>
        <v>13606.032829504196</v>
      </c>
      <c r="V386" s="15">
        <f t="shared" si="537"/>
        <v>110915.48499999971</v>
      </c>
      <c r="W386" s="17">
        <f t="shared" si="538"/>
        <v>8.1519342478347863</v>
      </c>
      <c r="X386" s="17">
        <f t="shared" si="539"/>
        <v>0.41740308116811242</v>
      </c>
      <c r="Y386" s="17">
        <f t="shared" si="540"/>
        <v>0.11806575216521331</v>
      </c>
      <c r="Z386" s="134">
        <f t="shared" si="541"/>
        <v>0.22049042785598805</v>
      </c>
      <c r="AA386" s="15">
        <f>SUM(L$2:L386)-SUM(AB$2:AB386)</f>
        <v>1606.4064999999755</v>
      </c>
      <c r="AB386" s="64"/>
      <c r="AC386" s="145">
        <f t="shared" si="542"/>
        <v>194.14791980048119</v>
      </c>
      <c r="AD386" s="145">
        <f t="shared" si="543"/>
        <v>-2805.8520801995187</v>
      </c>
    </row>
    <row r="387" spans="1:30" x14ac:dyDescent="0.25">
      <c r="A387" s="148">
        <v>43189</v>
      </c>
      <c r="B387" s="100"/>
      <c r="C387" s="104" t="s">
        <v>69</v>
      </c>
      <c r="D387" s="104">
        <v>400</v>
      </c>
      <c r="E387" s="143">
        <v>8.5500000000000007</v>
      </c>
      <c r="F387" s="16">
        <f t="shared" ref="F387:F412" si="547">IF(C387="买",F386+D387,F386-D387)</f>
        <v>2600</v>
      </c>
      <c r="G387" s="17">
        <f t="shared" si="524"/>
        <v>7.6123128846153918</v>
      </c>
      <c r="H387" s="15">
        <f t="shared" si="525"/>
        <v>19792.013500000019</v>
      </c>
      <c r="I387" s="15">
        <f t="shared" si="526"/>
        <v>2437.9864999999845</v>
      </c>
      <c r="J387" s="33">
        <f t="shared" si="527"/>
        <v>0.12318031715166225</v>
      </c>
      <c r="K387" s="15">
        <f t="shared" si="528"/>
        <v>22230.000000000004</v>
      </c>
      <c r="L387" s="15">
        <f t="shared" si="529"/>
        <v>831.58000000000538</v>
      </c>
      <c r="M387" s="15">
        <f t="shared" si="530"/>
        <v>5</v>
      </c>
      <c r="N387" s="15">
        <f t="shared" si="531"/>
        <v>3.4200000000000004</v>
      </c>
      <c r="O387" s="64"/>
      <c r="P387" s="17">
        <f t="shared" si="532"/>
        <v>0.93768711538460892</v>
      </c>
      <c r="Q387" s="15">
        <f t="shared" si="533"/>
        <v>3411.5800000000017</v>
      </c>
      <c r="R387" s="35"/>
      <c r="S387" s="35">
        <f t="shared" si="534"/>
        <v>91123.471499999694</v>
      </c>
      <c r="T387" s="35">
        <f t="shared" si="535"/>
        <v>10657.715964912244</v>
      </c>
      <c r="U387" s="35">
        <f t="shared" si="536"/>
        <v>13257.715964912244</v>
      </c>
      <c r="V387" s="15">
        <f t="shared" si="537"/>
        <v>110915.48499999971</v>
      </c>
      <c r="W387" s="17">
        <f t="shared" si="538"/>
        <v>8.3661081059171636</v>
      </c>
      <c r="X387" s="17">
        <f t="shared" si="539"/>
        <v>0.75379522130177179</v>
      </c>
      <c r="Y387" s="17">
        <f t="shared" si="540"/>
        <v>0.18389189408283713</v>
      </c>
      <c r="Z387" s="134">
        <f t="shared" si="541"/>
        <v>0.19611221170231263</v>
      </c>
      <c r="AA387" s="15">
        <f>SUM(L$2:L387)-SUM(AB$2:AB387)</f>
        <v>2437.9864999999772</v>
      </c>
      <c r="AB387" s="64"/>
      <c r="AC387" s="145">
        <f t="shared" si="542"/>
        <v>285.00204757309763</v>
      </c>
      <c r="AD387" s="145">
        <f t="shared" si="543"/>
        <v>-2314.9979524269024</v>
      </c>
    </row>
    <row r="388" spans="1:30" x14ac:dyDescent="0.25">
      <c r="A388" s="148">
        <v>43189</v>
      </c>
      <c r="B388" s="100"/>
      <c r="C388" s="104" t="s">
        <v>69</v>
      </c>
      <c r="D388" s="104">
        <v>400</v>
      </c>
      <c r="E388" s="143">
        <v>8.69</v>
      </c>
      <c r="F388" s="16">
        <f t="shared" si="547"/>
        <v>2200</v>
      </c>
      <c r="G388" s="17">
        <f t="shared" si="524"/>
        <v>7.4202225000000093</v>
      </c>
      <c r="H388" s="15">
        <f t="shared" si="525"/>
        <v>16324.48950000002</v>
      </c>
      <c r="I388" s="15">
        <f t="shared" si="526"/>
        <v>2793.5104999999803</v>
      </c>
      <c r="J388" s="33">
        <f t="shared" si="527"/>
        <v>0.17112391171558383</v>
      </c>
      <c r="K388" s="15">
        <f t="shared" si="528"/>
        <v>19118</v>
      </c>
      <c r="L388" s="15">
        <f t="shared" si="529"/>
        <v>355.52399999999579</v>
      </c>
      <c r="M388" s="15">
        <f t="shared" si="530"/>
        <v>5</v>
      </c>
      <c r="N388" s="15">
        <f t="shared" si="531"/>
        <v>3.476</v>
      </c>
      <c r="O388" s="64"/>
      <c r="P388" s="17">
        <f t="shared" si="532"/>
        <v>1.2697774999999902</v>
      </c>
      <c r="Q388" s="15">
        <f t="shared" si="533"/>
        <v>3467.5239999999994</v>
      </c>
      <c r="R388" s="35"/>
      <c r="S388" s="35">
        <f t="shared" si="534"/>
        <v>94590.995499999699</v>
      </c>
      <c r="T388" s="35">
        <f t="shared" si="535"/>
        <v>10885.039758342889</v>
      </c>
      <c r="U388" s="35">
        <f t="shared" si="536"/>
        <v>13085.039758342889</v>
      </c>
      <c r="V388" s="15">
        <f t="shared" si="537"/>
        <v>110915.48499999972</v>
      </c>
      <c r="W388" s="17">
        <f t="shared" si="538"/>
        <v>8.4765111186827795</v>
      </c>
      <c r="X388" s="17">
        <f t="shared" si="539"/>
        <v>1.0562886186827702</v>
      </c>
      <c r="Y388" s="17">
        <f t="shared" si="540"/>
        <v>0.21348888131721999</v>
      </c>
      <c r="Z388" s="134">
        <f t="shared" si="541"/>
        <v>0.16813093736282322</v>
      </c>
      <c r="AA388" s="15">
        <f>SUM(L$2:L388)-SUM(AB$2:AB388)</f>
        <v>2793.5104999999749</v>
      </c>
      <c r="AB388" s="64"/>
      <c r="AC388" s="145">
        <f t="shared" si="542"/>
        <v>321.30192689873195</v>
      </c>
      <c r="AD388" s="145">
        <f t="shared" si="543"/>
        <v>-1878.6980731012682</v>
      </c>
    </row>
    <row r="389" spans="1:30" x14ac:dyDescent="0.25">
      <c r="A389" s="148">
        <v>43189</v>
      </c>
      <c r="B389" s="149"/>
      <c r="C389" s="104" t="s">
        <v>69</v>
      </c>
      <c r="D389" s="104">
        <v>400</v>
      </c>
      <c r="E389" s="143">
        <v>8.8000000000000007</v>
      </c>
      <c r="F389" s="16">
        <f t="shared" si="547"/>
        <v>1800</v>
      </c>
      <c r="G389" s="17">
        <f t="shared" si="524"/>
        <v>7.1183386111111222</v>
      </c>
      <c r="H389" s="15">
        <f t="shared" si="525"/>
        <v>12813.00950000002</v>
      </c>
      <c r="I389" s="15">
        <f t="shared" si="526"/>
        <v>3026.9904999999817</v>
      </c>
      <c r="J389" s="33">
        <f t="shared" si="527"/>
        <v>0.2362435226478195</v>
      </c>
      <c r="K389" s="15">
        <f t="shared" si="528"/>
        <v>15840.000000000002</v>
      </c>
      <c r="L389" s="15">
        <f t="shared" si="529"/>
        <v>233.48000000000138</v>
      </c>
      <c r="M389" s="15">
        <f t="shared" si="530"/>
        <v>5</v>
      </c>
      <c r="N389" s="15">
        <f t="shared" si="531"/>
        <v>3.5200000000000005</v>
      </c>
      <c r="O389" s="64"/>
      <c r="P389" s="17">
        <f t="shared" si="532"/>
        <v>1.6816613888888785</v>
      </c>
      <c r="Q389" s="15">
        <f t="shared" si="533"/>
        <v>3511.4799999999996</v>
      </c>
      <c r="R389" s="35"/>
      <c r="S389" s="35">
        <f t="shared" si="534"/>
        <v>98102.475499999695</v>
      </c>
      <c r="T389" s="35">
        <f t="shared" si="535"/>
        <v>11148.00857954542</v>
      </c>
      <c r="U389" s="35">
        <f t="shared" si="536"/>
        <v>12948.00857954542</v>
      </c>
      <c r="V389" s="15">
        <f t="shared" si="537"/>
        <v>110915.48499999971</v>
      </c>
      <c r="W389" s="17">
        <f t="shared" si="538"/>
        <v>8.5662196096485559</v>
      </c>
      <c r="X389" s="17">
        <f t="shared" si="539"/>
        <v>1.4478809985374337</v>
      </c>
      <c r="Y389" s="17">
        <f t="shared" si="540"/>
        <v>0.23378039035144482</v>
      </c>
      <c r="Z389" s="134">
        <f t="shared" si="541"/>
        <v>0.13901751678196639</v>
      </c>
      <c r="AA389" s="15">
        <f>SUM(L$2:L389)-SUM(AB$2:AB389)</f>
        <v>3026.9904999999781</v>
      </c>
      <c r="AB389" s="64"/>
      <c r="AC389" s="145">
        <f t="shared" si="542"/>
        <v>343.80420508522519</v>
      </c>
      <c r="AD389" s="145">
        <f t="shared" si="543"/>
        <v>-1456.1957949147748</v>
      </c>
    </row>
    <row r="390" spans="1:30" x14ac:dyDescent="0.25">
      <c r="A390" s="148">
        <v>43189</v>
      </c>
      <c r="B390" s="100"/>
      <c r="C390" s="104" t="s">
        <v>69</v>
      </c>
      <c r="D390" s="104">
        <v>400</v>
      </c>
      <c r="E390" s="143">
        <v>8.94</v>
      </c>
      <c r="F390" s="16">
        <f t="shared" si="547"/>
        <v>1400</v>
      </c>
      <c r="G390" s="17">
        <f t="shared" si="524"/>
        <v>6.6039896428571563</v>
      </c>
      <c r="H390" s="15">
        <f t="shared" si="525"/>
        <v>9245.5855000000192</v>
      </c>
      <c r="I390" s="15">
        <f t="shared" si="526"/>
        <v>3270.4144999999808</v>
      </c>
      <c r="J390" s="33">
        <f t="shared" si="527"/>
        <v>0.35372713821098445</v>
      </c>
      <c r="K390" s="15">
        <f t="shared" si="528"/>
        <v>12516</v>
      </c>
      <c r="L390" s="15">
        <f t="shared" si="529"/>
        <v>243.42399999999907</v>
      </c>
      <c r="M390" s="15">
        <f t="shared" si="530"/>
        <v>5</v>
      </c>
      <c r="N390" s="15">
        <f t="shared" si="531"/>
        <v>3.5760000000000001</v>
      </c>
      <c r="O390" s="64"/>
      <c r="P390" s="17">
        <f t="shared" si="532"/>
        <v>2.3360103571428432</v>
      </c>
      <c r="Q390" s="15">
        <f t="shared" si="533"/>
        <v>3567.4240000000009</v>
      </c>
      <c r="R390" s="35"/>
      <c r="S390" s="35">
        <f t="shared" si="534"/>
        <v>101669.89949999969</v>
      </c>
      <c r="T390" s="35">
        <f t="shared" si="535"/>
        <v>11372.471979865739</v>
      </c>
      <c r="U390" s="35">
        <f t="shared" si="536"/>
        <v>12772.471979865739</v>
      </c>
      <c r="V390" s="15">
        <f t="shared" si="537"/>
        <v>110915.48499999971</v>
      </c>
      <c r="W390" s="17">
        <f t="shared" si="538"/>
        <v>8.6839481953724071</v>
      </c>
      <c r="X390" s="17">
        <f t="shared" si="539"/>
        <v>2.0799585525152509</v>
      </c>
      <c r="Y390" s="17">
        <f t="shared" si="540"/>
        <v>0.25605180462759236</v>
      </c>
      <c r="Z390" s="134">
        <f t="shared" si="541"/>
        <v>0.10961073175239149</v>
      </c>
      <c r="AA390" s="15">
        <f>SUM(L$2:L390)-SUM(AB$2:AB390)</f>
        <v>3270.4144999999771</v>
      </c>
      <c r="AB390" s="64"/>
      <c r="AC390" s="145">
        <f t="shared" si="542"/>
        <v>365.63526764541177</v>
      </c>
      <c r="AD390" s="145">
        <f t="shared" si="543"/>
        <v>-1034.3647323545883</v>
      </c>
    </row>
    <row r="391" spans="1:30" x14ac:dyDescent="0.25">
      <c r="A391" s="148">
        <v>43192</v>
      </c>
      <c r="B391" s="149"/>
      <c r="C391" s="104" t="s">
        <v>69</v>
      </c>
      <c r="D391" s="104">
        <v>400</v>
      </c>
      <c r="E391" s="143">
        <v>9.1300000000000008</v>
      </c>
      <c r="F391" s="16">
        <f t="shared" si="547"/>
        <v>1000</v>
      </c>
      <c r="G391" s="17">
        <f t="shared" ref="G391:G431" si="548">H391/F391</f>
        <v>5.6022375000000189</v>
      </c>
      <c r="H391" s="15">
        <f t="shared" ref="H391:H431" si="549">IF(C391="买",H390+D391*E391+M391+N391,H390+-1*D391*E391+M391+N391)+O390</f>
        <v>5602.2375000000193</v>
      </c>
      <c r="I391" s="15">
        <f t="shared" ref="I391:I431" si="550">-H391+K391</f>
        <v>3527.7624999999807</v>
      </c>
      <c r="J391" s="33">
        <f t="shared" ref="J391:J431" si="551">(E391-G391)/G391</f>
        <v>0.62970598800924993</v>
      </c>
      <c r="K391" s="15">
        <f t="shared" ref="K391:K431" si="552">F391*E391</f>
        <v>9130</v>
      </c>
      <c r="L391" s="15">
        <f t="shared" ref="L391:L431" si="553">I391-I390</f>
        <v>257.34799999999996</v>
      </c>
      <c r="M391" s="15">
        <f t="shared" ref="M391:M431" si="554">IF(D391*E391*2.5/10000&gt;5,D391*E391*2.5/10000,5)</f>
        <v>5</v>
      </c>
      <c r="N391" s="15">
        <f t="shared" ref="N391:N431" si="555">IF(C391="卖",D391*E391/1000,0)</f>
        <v>3.6520000000000006</v>
      </c>
      <c r="O391" s="64"/>
      <c r="P391" s="17">
        <f t="shared" ref="P391:P431" si="556">E391-G391</f>
        <v>3.5277624999999819</v>
      </c>
      <c r="Q391" s="15">
        <f t="shared" ref="Q391:Q431" si="557">(H391-H390)*-1</f>
        <v>3643.348</v>
      </c>
      <c r="R391" s="35"/>
      <c r="S391" s="35">
        <f t="shared" ref="S391:S431" si="558">S390+Q391+O391+R391</f>
        <v>105313.24749999969</v>
      </c>
      <c r="T391" s="35">
        <f t="shared" ref="T391:T431" si="559">S391/E391</f>
        <v>11534.857338444654</v>
      </c>
      <c r="U391" s="35">
        <f t="shared" ref="U391:U431" si="560">F391+T391</f>
        <v>12534.857338444654</v>
      </c>
      <c r="V391" s="15">
        <f t="shared" ref="V391:V431" si="561">H391+S391</f>
        <v>110915.48499999971</v>
      </c>
      <c r="W391" s="17">
        <f t="shared" ref="W391:W431" si="562">V391/U391</f>
        <v>8.8485638093239203</v>
      </c>
      <c r="X391" s="17">
        <f t="shared" ref="X391:X431" si="563">W391-G391</f>
        <v>3.2463263093239014</v>
      </c>
      <c r="Y391" s="17">
        <f t="shared" ref="Y391:Y431" si="564">(X391-P391)*-1</f>
        <v>0.2814361906760805</v>
      </c>
      <c r="Z391" s="134">
        <f t="shared" ref="Z391:Z431" si="565">F391/U391</f>
        <v>7.9777533401435716E-2</v>
      </c>
      <c r="AA391" s="15">
        <f>SUM(L$2:L391)-SUM(AB$2:AB391)</f>
        <v>3527.7624999999753</v>
      </c>
      <c r="AB391" s="64"/>
      <c r="AC391" s="145">
        <f t="shared" ref="AC391:AC431" si="566">I391/E391*(1-0.0005)</f>
        <v>386.19919153888065</v>
      </c>
      <c r="AD391" s="145">
        <f t="shared" ref="AD391:AD431" si="567">AC391-F391</f>
        <v>-613.80080846111935</v>
      </c>
    </row>
    <row r="392" spans="1:30" x14ac:dyDescent="0.25">
      <c r="A392" s="148">
        <v>43192</v>
      </c>
      <c r="B392" s="149"/>
      <c r="C392" s="104" t="s">
        <v>69</v>
      </c>
      <c r="D392" s="104">
        <v>400</v>
      </c>
      <c r="E392" s="143">
        <v>9.25</v>
      </c>
      <c r="F392" s="16">
        <f t="shared" si="547"/>
        <v>600</v>
      </c>
      <c r="G392" s="17">
        <f t="shared" si="548"/>
        <v>3.1848958333333655</v>
      </c>
      <c r="H392" s="15">
        <f t="shared" si="549"/>
        <v>1910.9375000000193</v>
      </c>
      <c r="I392" s="15">
        <f t="shared" si="550"/>
        <v>3639.0624999999809</v>
      </c>
      <c r="J392" s="33">
        <f t="shared" si="551"/>
        <v>1.9043336058871332</v>
      </c>
      <c r="K392" s="15">
        <f t="shared" si="552"/>
        <v>5550</v>
      </c>
      <c r="L392" s="15">
        <f t="shared" si="553"/>
        <v>111.30000000000018</v>
      </c>
      <c r="M392" s="15">
        <f t="shared" si="554"/>
        <v>5</v>
      </c>
      <c r="N392" s="15">
        <f t="shared" si="555"/>
        <v>3.7</v>
      </c>
      <c r="O392" s="64"/>
      <c r="P392" s="17">
        <f t="shared" si="556"/>
        <v>6.0651041666666341</v>
      </c>
      <c r="Q392" s="15">
        <f t="shared" si="557"/>
        <v>3691.3</v>
      </c>
      <c r="R392" s="35"/>
      <c r="S392" s="35">
        <f t="shared" si="558"/>
        <v>109004.54749999969</v>
      </c>
      <c r="T392" s="35">
        <f t="shared" si="559"/>
        <v>11784.275405405373</v>
      </c>
      <c r="U392" s="35">
        <f t="shared" si="560"/>
        <v>12384.275405405373</v>
      </c>
      <c r="V392" s="15">
        <f t="shared" si="561"/>
        <v>110915.48499999971</v>
      </c>
      <c r="W392" s="17">
        <f t="shared" si="562"/>
        <v>8.9561545887124208</v>
      </c>
      <c r="X392" s="17">
        <f t="shared" si="563"/>
        <v>5.7712587553790549</v>
      </c>
      <c r="Y392" s="17">
        <f t="shared" si="564"/>
        <v>0.29384541128757924</v>
      </c>
      <c r="Z392" s="134">
        <f t="shared" si="565"/>
        <v>4.844853496540602E-2</v>
      </c>
      <c r="AA392" s="15">
        <f>SUM(L$2:L392)-SUM(AB$2:AB392)</f>
        <v>3639.0624999999782</v>
      </c>
      <c r="AB392" s="64"/>
      <c r="AC392" s="145">
        <f t="shared" si="566"/>
        <v>393.21545608107903</v>
      </c>
      <c r="AD392" s="145">
        <f t="shared" si="567"/>
        <v>-206.78454391892097</v>
      </c>
    </row>
    <row r="393" spans="1:30" x14ac:dyDescent="0.25">
      <c r="A393" s="148">
        <v>43192</v>
      </c>
      <c r="B393" s="100" t="s">
        <v>334</v>
      </c>
      <c r="C393" s="104" t="s">
        <v>63</v>
      </c>
      <c r="D393" s="104">
        <v>500</v>
      </c>
      <c r="E393" s="143">
        <v>9.01</v>
      </c>
      <c r="F393" s="16">
        <f t="shared" si="547"/>
        <v>1100</v>
      </c>
      <c r="G393" s="17">
        <f t="shared" si="548"/>
        <v>5.8372159090909266</v>
      </c>
      <c r="H393" s="15">
        <f t="shared" si="549"/>
        <v>6420.9375000000191</v>
      </c>
      <c r="I393" s="15">
        <f t="shared" si="550"/>
        <v>3490.0624999999809</v>
      </c>
      <c r="J393" s="33">
        <f t="shared" si="551"/>
        <v>0.54354406969386793</v>
      </c>
      <c r="K393" s="15">
        <f t="shared" si="552"/>
        <v>9911</v>
      </c>
      <c r="L393" s="15">
        <f t="shared" si="553"/>
        <v>-149</v>
      </c>
      <c r="M393" s="15">
        <f t="shared" si="554"/>
        <v>5</v>
      </c>
      <c r="N393" s="15">
        <f t="shared" si="555"/>
        <v>0</v>
      </c>
      <c r="O393" s="64"/>
      <c r="P393" s="17">
        <f t="shared" si="556"/>
        <v>3.1727840909090732</v>
      </c>
      <c r="Q393" s="15">
        <f t="shared" si="557"/>
        <v>-4510</v>
      </c>
      <c r="R393" s="35"/>
      <c r="S393" s="35">
        <f t="shared" si="558"/>
        <v>104494.54749999969</v>
      </c>
      <c r="T393" s="35">
        <f t="shared" si="559"/>
        <v>11597.619034406182</v>
      </c>
      <c r="U393" s="35">
        <f t="shared" si="560"/>
        <v>12697.619034406182</v>
      </c>
      <c r="V393" s="15">
        <f t="shared" si="561"/>
        <v>110915.48499999971</v>
      </c>
      <c r="W393" s="17">
        <f t="shared" si="562"/>
        <v>8.7351403991139502</v>
      </c>
      <c r="X393" s="17">
        <f t="shared" si="563"/>
        <v>2.8979244900230237</v>
      </c>
      <c r="Y393" s="17">
        <f t="shared" si="564"/>
        <v>0.27485960088604955</v>
      </c>
      <c r="Z393" s="134">
        <f t="shared" si="565"/>
        <v>8.6630414491045776E-2</v>
      </c>
      <c r="AA393" s="15">
        <f>SUM(L$2:L393)-SUM(AB$2:AB393)</f>
        <v>3490.0624999999782</v>
      </c>
      <c r="AB393" s="64"/>
      <c r="AC393" s="145">
        <f t="shared" si="566"/>
        <v>387.16065135959838</v>
      </c>
      <c r="AD393" s="145">
        <f t="shared" si="567"/>
        <v>-712.83934864040157</v>
      </c>
    </row>
    <row r="394" spans="1:30" x14ac:dyDescent="0.25">
      <c r="A394" s="148">
        <v>43192</v>
      </c>
      <c r="B394" s="100" t="s">
        <v>492</v>
      </c>
      <c r="C394" s="104" t="s">
        <v>63</v>
      </c>
      <c r="D394" s="104">
        <v>500</v>
      </c>
      <c r="E394" s="143">
        <v>8.9499999999999993</v>
      </c>
      <c r="F394" s="16">
        <f t="shared" si="547"/>
        <v>1600</v>
      </c>
      <c r="G394" s="17">
        <f t="shared" si="548"/>
        <v>6.813085937500011</v>
      </c>
      <c r="H394" s="15">
        <f t="shared" si="549"/>
        <v>10900.937500000018</v>
      </c>
      <c r="I394" s="15">
        <f t="shared" si="550"/>
        <v>3419.06249999998</v>
      </c>
      <c r="J394" s="33">
        <f t="shared" si="551"/>
        <v>0.31364848206862717</v>
      </c>
      <c r="K394" s="15">
        <f t="shared" si="552"/>
        <v>14319.999999999998</v>
      </c>
      <c r="L394" s="15">
        <f t="shared" si="553"/>
        <v>-71.000000000000909</v>
      </c>
      <c r="M394" s="15">
        <f t="shared" si="554"/>
        <v>5</v>
      </c>
      <c r="N394" s="15">
        <f t="shared" si="555"/>
        <v>0</v>
      </c>
      <c r="O394" s="64"/>
      <c r="P394" s="17">
        <f t="shared" si="556"/>
        <v>2.1369140624999883</v>
      </c>
      <c r="Q394" s="15">
        <f t="shared" si="557"/>
        <v>-4479.9999999999991</v>
      </c>
      <c r="R394" s="35"/>
      <c r="S394" s="35">
        <f t="shared" si="558"/>
        <v>100014.54749999969</v>
      </c>
      <c r="T394" s="35">
        <f t="shared" si="559"/>
        <v>11174.80977653628</v>
      </c>
      <c r="U394" s="35">
        <f t="shared" si="560"/>
        <v>12774.80977653628</v>
      </c>
      <c r="V394" s="15">
        <f t="shared" si="561"/>
        <v>110915.48499999971</v>
      </c>
      <c r="W394" s="17">
        <f t="shared" si="562"/>
        <v>8.6823590284467596</v>
      </c>
      <c r="X394" s="17">
        <f t="shared" si="563"/>
        <v>1.8692730909467485</v>
      </c>
      <c r="Y394" s="17">
        <f t="shared" si="564"/>
        <v>0.26764097155323974</v>
      </c>
      <c r="Z394" s="134">
        <f t="shared" si="565"/>
        <v>0.12524648335184985</v>
      </c>
      <c r="AA394" s="15">
        <f>SUM(L$2:L394)-SUM(AB$2:AB394)</f>
        <v>3419.0624999999782</v>
      </c>
      <c r="AB394" s="64"/>
      <c r="AC394" s="145">
        <f t="shared" si="566"/>
        <v>381.82714734636653</v>
      </c>
      <c r="AD394" s="145">
        <f t="shared" si="567"/>
        <v>-1218.1728526536335</v>
      </c>
    </row>
    <row r="395" spans="1:30" x14ac:dyDescent="0.25">
      <c r="A395" s="148">
        <v>43193</v>
      </c>
      <c r="B395" s="100" t="s">
        <v>493</v>
      </c>
      <c r="C395" s="104" t="s">
        <v>63</v>
      </c>
      <c r="D395" s="104">
        <v>500</v>
      </c>
      <c r="E395" s="143">
        <v>8.76</v>
      </c>
      <c r="F395" s="16">
        <f t="shared" si="547"/>
        <v>2100</v>
      </c>
      <c r="G395" s="17">
        <f t="shared" si="548"/>
        <v>7.2790178571428656</v>
      </c>
      <c r="H395" s="15">
        <f t="shared" si="549"/>
        <v>15285.937500000018</v>
      </c>
      <c r="I395" s="15">
        <f t="shared" si="550"/>
        <v>3110.0624999999818</v>
      </c>
      <c r="J395" s="33">
        <f t="shared" si="551"/>
        <v>0.20345906163753305</v>
      </c>
      <c r="K395" s="15">
        <f t="shared" si="552"/>
        <v>18396</v>
      </c>
      <c r="L395" s="15">
        <f t="shared" si="553"/>
        <v>-308.99999999999818</v>
      </c>
      <c r="M395" s="15">
        <f t="shared" si="554"/>
        <v>5</v>
      </c>
      <c r="N395" s="15">
        <f t="shared" si="555"/>
        <v>0</v>
      </c>
      <c r="O395" s="64"/>
      <c r="P395" s="17">
        <f t="shared" si="556"/>
        <v>1.4809821428571341</v>
      </c>
      <c r="Q395" s="15">
        <f t="shared" si="557"/>
        <v>-4385</v>
      </c>
      <c r="R395" s="35"/>
      <c r="S395" s="35">
        <f t="shared" si="558"/>
        <v>95629.547499999695</v>
      </c>
      <c r="T395" s="35">
        <f t="shared" si="559"/>
        <v>10916.61501141549</v>
      </c>
      <c r="U395" s="35">
        <f t="shared" si="560"/>
        <v>13016.61501141549</v>
      </c>
      <c r="V395" s="15">
        <f t="shared" si="561"/>
        <v>110915.48499999971</v>
      </c>
      <c r="W395" s="17">
        <f t="shared" si="562"/>
        <v>8.521069794468648</v>
      </c>
      <c r="X395" s="17">
        <f t="shared" si="563"/>
        <v>1.2420519373257823</v>
      </c>
      <c r="Y395" s="17">
        <f t="shared" si="564"/>
        <v>0.2389302055313518</v>
      </c>
      <c r="Z395" s="134">
        <f t="shared" si="565"/>
        <v>0.16133226635022341</v>
      </c>
      <c r="AA395" s="15">
        <f>SUM(L$2:L395)-SUM(AB$2:AB395)</f>
        <v>3110.0624999999782</v>
      </c>
      <c r="AB395" s="64"/>
      <c r="AC395" s="145">
        <f t="shared" si="566"/>
        <v>354.85245077054589</v>
      </c>
      <c r="AD395" s="145">
        <f t="shared" si="567"/>
        <v>-1745.1475492294542</v>
      </c>
    </row>
    <row r="396" spans="1:30" x14ac:dyDescent="0.25">
      <c r="A396" s="148">
        <v>43193</v>
      </c>
      <c r="B396" s="149"/>
      <c r="C396" s="104" t="s">
        <v>69</v>
      </c>
      <c r="D396" s="104">
        <v>400</v>
      </c>
      <c r="E396" s="143">
        <v>8.91</v>
      </c>
      <c r="F396" s="16">
        <f t="shared" si="547"/>
        <v>1700</v>
      </c>
      <c r="G396" s="17">
        <f t="shared" si="548"/>
        <v>6.9002950000000105</v>
      </c>
      <c r="H396" s="15">
        <f t="shared" si="549"/>
        <v>11730.501500000018</v>
      </c>
      <c r="I396" s="15">
        <f t="shared" si="550"/>
        <v>3416.4984999999815</v>
      </c>
      <c r="J396" s="33">
        <f t="shared" si="551"/>
        <v>0.29124914224681503</v>
      </c>
      <c r="K396" s="15">
        <f t="shared" si="552"/>
        <v>15147</v>
      </c>
      <c r="L396" s="15">
        <f t="shared" si="553"/>
        <v>306.43599999999969</v>
      </c>
      <c r="M396" s="15">
        <f t="shared" si="554"/>
        <v>5</v>
      </c>
      <c r="N396" s="15">
        <f t="shared" si="555"/>
        <v>3.5640000000000001</v>
      </c>
      <c r="O396" s="64"/>
      <c r="P396" s="17">
        <f t="shared" si="556"/>
        <v>2.0097049999999896</v>
      </c>
      <c r="Q396" s="15">
        <f t="shared" si="557"/>
        <v>3555.4359999999997</v>
      </c>
      <c r="R396" s="35"/>
      <c r="S396" s="35">
        <f t="shared" si="558"/>
        <v>99184.983499999697</v>
      </c>
      <c r="T396" s="35">
        <f t="shared" si="559"/>
        <v>11131.87244668908</v>
      </c>
      <c r="U396" s="35">
        <f t="shared" si="560"/>
        <v>12831.87244668908</v>
      </c>
      <c r="V396" s="15">
        <f t="shared" si="561"/>
        <v>110915.48499999971</v>
      </c>
      <c r="W396" s="17">
        <f t="shared" si="562"/>
        <v>8.6437490288970622</v>
      </c>
      <c r="X396" s="17">
        <f t="shared" si="563"/>
        <v>1.7434540288970517</v>
      </c>
      <c r="Y396" s="17">
        <f t="shared" si="564"/>
        <v>0.26625097110293794</v>
      </c>
      <c r="Z396" s="134">
        <f t="shared" si="565"/>
        <v>0.13248261366864189</v>
      </c>
      <c r="AA396" s="15">
        <f>SUM(L$2:L396)-SUM(AB$2:AB396)</f>
        <v>3416.4984999999797</v>
      </c>
      <c r="AB396" s="64"/>
      <c r="AC396" s="145">
        <f t="shared" si="566"/>
        <v>383.25367572951535</v>
      </c>
      <c r="AD396" s="145">
        <f t="shared" si="567"/>
        <v>-1316.7463242704846</v>
      </c>
    </row>
    <row r="397" spans="1:30" x14ac:dyDescent="0.25">
      <c r="A397" s="148">
        <v>43194</v>
      </c>
      <c r="B397" s="149"/>
      <c r="C397" s="104" t="s">
        <v>69</v>
      </c>
      <c r="D397" s="104">
        <v>400</v>
      </c>
      <c r="E397" s="143">
        <v>9.14</v>
      </c>
      <c r="F397" s="16">
        <f t="shared" si="547"/>
        <v>1300</v>
      </c>
      <c r="G397" s="17">
        <f t="shared" si="548"/>
        <v>6.2178134615384755</v>
      </c>
      <c r="H397" s="15">
        <f t="shared" si="549"/>
        <v>8083.1575000000184</v>
      </c>
      <c r="I397" s="15">
        <f t="shared" si="550"/>
        <v>3798.8424999999816</v>
      </c>
      <c r="J397" s="33">
        <f t="shared" si="551"/>
        <v>0.46997011996858579</v>
      </c>
      <c r="K397" s="15">
        <f t="shared" si="552"/>
        <v>11882</v>
      </c>
      <c r="L397" s="15">
        <f t="shared" si="553"/>
        <v>382.34400000000005</v>
      </c>
      <c r="M397" s="15">
        <f t="shared" si="554"/>
        <v>5</v>
      </c>
      <c r="N397" s="15">
        <f t="shared" si="555"/>
        <v>3.6560000000000001</v>
      </c>
      <c r="O397" s="64"/>
      <c r="P397" s="17">
        <f t="shared" si="556"/>
        <v>2.9221865384615251</v>
      </c>
      <c r="Q397" s="15">
        <f t="shared" si="557"/>
        <v>3647.3440000000001</v>
      </c>
      <c r="R397" s="35"/>
      <c r="S397" s="35">
        <f t="shared" si="558"/>
        <v>102832.32749999969</v>
      </c>
      <c r="T397" s="35">
        <f t="shared" si="559"/>
        <v>11250.801695842416</v>
      </c>
      <c r="U397" s="35">
        <f t="shared" si="560"/>
        <v>12550.801695842416</v>
      </c>
      <c r="V397" s="15">
        <f t="shared" si="561"/>
        <v>110915.48499999971</v>
      </c>
      <c r="W397" s="17">
        <f t="shared" si="562"/>
        <v>8.8373227215231687</v>
      </c>
      <c r="X397" s="17">
        <f t="shared" si="563"/>
        <v>2.6195092599846932</v>
      </c>
      <c r="Y397" s="17">
        <f t="shared" si="564"/>
        <v>0.3026772784768319</v>
      </c>
      <c r="Z397" s="134">
        <f t="shared" si="565"/>
        <v>0.10357904072619031</v>
      </c>
      <c r="AA397" s="15">
        <f>SUM(L$2:L397)-SUM(AB$2:AB397)</f>
        <v>3798.842499999977</v>
      </c>
      <c r="AB397" s="64"/>
      <c r="AC397" s="145">
        <f t="shared" si="566"/>
        <v>415.42046813457131</v>
      </c>
      <c r="AD397" s="145">
        <f t="shared" si="567"/>
        <v>-884.57953186542863</v>
      </c>
    </row>
    <row r="398" spans="1:30" x14ac:dyDescent="0.25">
      <c r="A398" s="148">
        <v>43194</v>
      </c>
      <c r="B398" s="100"/>
      <c r="C398" s="104" t="s">
        <v>69</v>
      </c>
      <c r="D398" s="104">
        <v>400</v>
      </c>
      <c r="E398" s="143">
        <v>9.23</v>
      </c>
      <c r="F398" s="16">
        <f t="shared" si="547"/>
        <v>900</v>
      </c>
      <c r="G398" s="17">
        <f t="shared" si="548"/>
        <v>4.8887216666666875</v>
      </c>
      <c r="H398" s="15">
        <f t="shared" si="549"/>
        <v>4399.8495000000185</v>
      </c>
      <c r="I398" s="15">
        <f t="shared" si="550"/>
        <v>3907.1504999999815</v>
      </c>
      <c r="J398" s="33">
        <f t="shared" si="551"/>
        <v>0.88801912429049334</v>
      </c>
      <c r="K398" s="15">
        <f t="shared" si="552"/>
        <v>8307</v>
      </c>
      <c r="L398" s="15">
        <f t="shared" si="553"/>
        <v>108.30799999999999</v>
      </c>
      <c r="M398" s="15">
        <f t="shared" si="554"/>
        <v>5</v>
      </c>
      <c r="N398" s="15">
        <f t="shared" si="555"/>
        <v>3.6920000000000002</v>
      </c>
      <c r="O398" s="64"/>
      <c r="P398" s="17">
        <f t="shared" si="556"/>
        <v>4.3412783333333129</v>
      </c>
      <c r="Q398" s="15">
        <f t="shared" si="557"/>
        <v>3683.308</v>
      </c>
      <c r="R398" s="35"/>
      <c r="S398" s="35">
        <f t="shared" si="558"/>
        <v>106515.6354999997</v>
      </c>
      <c r="T398" s="35">
        <f t="shared" si="559"/>
        <v>11540.155525460423</v>
      </c>
      <c r="U398" s="35">
        <f t="shared" si="560"/>
        <v>12440.155525460423</v>
      </c>
      <c r="V398" s="15">
        <f t="shared" si="561"/>
        <v>110915.48499999972</v>
      </c>
      <c r="W398" s="17">
        <f t="shared" si="562"/>
        <v>8.9159243044025072</v>
      </c>
      <c r="X398" s="17">
        <f t="shared" si="563"/>
        <v>4.0272026377358197</v>
      </c>
      <c r="Y398" s="17">
        <f t="shared" si="564"/>
        <v>0.31407569559749327</v>
      </c>
      <c r="Z398" s="134">
        <f t="shared" si="565"/>
        <v>7.2346362403430647E-2</v>
      </c>
      <c r="AA398" s="15">
        <f>SUM(L$2:L398)-SUM(AB$2:AB398)</f>
        <v>3907.1504999999743</v>
      </c>
      <c r="AB398" s="64"/>
      <c r="AC398" s="145">
        <f t="shared" si="566"/>
        <v>423.09825836944543</v>
      </c>
      <c r="AD398" s="145">
        <f t="shared" si="567"/>
        <v>-476.90174163055457</v>
      </c>
    </row>
    <row r="399" spans="1:30" x14ac:dyDescent="0.25">
      <c r="A399" s="148">
        <v>43199</v>
      </c>
      <c r="B399" s="149"/>
      <c r="C399" s="104" t="s">
        <v>69</v>
      </c>
      <c r="D399" s="104">
        <v>400</v>
      </c>
      <c r="E399" s="143">
        <v>9.1300000000000008</v>
      </c>
      <c r="F399" s="16">
        <f t="shared" si="547"/>
        <v>500</v>
      </c>
      <c r="G399" s="17">
        <f t="shared" si="548"/>
        <v>1.5130030000000361</v>
      </c>
      <c r="H399" s="15">
        <f t="shared" si="549"/>
        <v>756.50150000001804</v>
      </c>
      <c r="I399" s="15">
        <f t="shared" si="550"/>
        <v>3808.498499999982</v>
      </c>
      <c r="J399" s="33">
        <f t="shared" si="551"/>
        <v>5.0343568386842481</v>
      </c>
      <c r="K399" s="15">
        <f t="shared" si="552"/>
        <v>4565</v>
      </c>
      <c r="L399" s="15">
        <f t="shared" si="553"/>
        <v>-98.651999999999589</v>
      </c>
      <c r="M399" s="15">
        <f t="shared" si="554"/>
        <v>5</v>
      </c>
      <c r="N399" s="15">
        <f t="shared" si="555"/>
        <v>3.6520000000000006</v>
      </c>
      <c r="O399" s="64"/>
      <c r="P399" s="17">
        <f t="shared" si="556"/>
        <v>7.6169969999999649</v>
      </c>
      <c r="Q399" s="15">
        <f t="shared" si="557"/>
        <v>3643.3480000000004</v>
      </c>
      <c r="R399" s="35"/>
      <c r="S399" s="35">
        <f t="shared" si="558"/>
        <v>110158.9834999997</v>
      </c>
      <c r="T399" s="35">
        <f t="shared" si="559"/>
        <v>12065.606078860865</v>
      </c>
      <c r="U399" s="35">
        <f t="shared" si="560"/>
        <v>12565.606078860865</v>
      </c>
      <c r="V399" s="15">
        <f t="shared" si="561"/>
        <v>110915.48499999971</v>
      </c>
      <c r="W399" s="17">
        <f t="shared" si="562"/>
        <v>8.8269108791014048</v>
      </c>
      <c r="X399" s="17">
        <f t="shared" si="563"/>
        <v>7.313907879101369</v>
      </c>
      <c r="Y399" s="17">
        <f t="shared" si="564"/>
        <v>0.30308912089859597</v>
      </c>
      <c r="Z399" s="134">
        <f t="shared" si="565"/>
        <v>3.9791156659060849E-2</v>
      </c>
      <c r="AA399" s="15">
        <f>SUM(L$2:L399)-SUM(AB$2:AB399)</f>
        <v>3808.4984999999724</v>
      </c>
      <c r="AB399" s="64"/>
      <c r="AC399" s="145">
        <f t="shared" si="566"/>
        <v>416.932557584883</v>
      </c>
      <c r="AD399" s="145">
        <f t="shared" si="567"/>
        <v>-83.067442415117</v>
      </c>
    </row>
    <row r="400" spans="1:30" x14ac:dyDescent="0.25">
      <c r="A400" s="148">
        <v>43199</v>
      </c>
      <c r="B400" s="100" t="s">
        <v>494</v>
      </c>
      <c r="C400" s="104" t="s">
        <v>63</v>
      </c>
      <c r="D400" s="104">
        <v>500</v>
      </c>
      <c r="E400" s="143">
        <v>8.9600000000000009</v>
      </c>
      <c r="F400" s="16">
        <f t="shared" si="547"/>
        <v>1000</v>
      </c>
      <c r="G400" s="17">
        <f t="shared" si="548"/>
        <v>5.2415015000000187</v>
      </c>
      <c r="H400" s="15">
        <f t="shared" si="549"/>
        <v>5241.5015000000185</v>
      </c>
      <c r="I400" s="15">
        <f t="shared" si="550"/>
        <v>3718.4984999999815</v>
      </c>
      <c r="J400" s="33">
        <f t="shared" si="551"/>
        <v>0.70943383303428775</v>
      </c>
      <c r="K400" s="15">
        <f t="shared" si="552"/>
        <v>8960</v>
      </c>
      <c r="L400" s="15">
        <f t="shared" si="553"/>
        <v>-90.000000000000455</v>
      </c>
      <c r="M400" s="15">
        <f t="shared" si="554"/>
        <v>5</v>
      </c>
      <c r="N400" s="15">
        <f t="shared" si="555"/>
        <v>0</v>
      </c>
      <c r="O400" s="64"/>
      <c r="P400" s="17">
        <f t="shared" si="556"/>
        <v>3.7184984999999822</v>
      </c>
      <c r="Q400" s="15">
        <f t="shared" si="557"/>
        <v>-4485</v>
      </c>
      <c r="R400" s="35"/>
      <c r="S400" s="35">
        <f t="shared" si="558"/>
        <v>105673.9834999997</v>
      </c>
      <c r="T400" s="35">
        <f t="shared" si="559"/>
        <v>11793.971372767823</v>
      </c>
      <c r="U400" s="35">
        <f t="shared" si="560"/>
        <v>12793.971372767823</v>
      </c>
      <c r="V400" s="15">
        <f t="shared" si="561"/>
        <v>110915.48499999971</v>
      </c>
      <c r="W400" s="17">
        <f t="shared" si="562"/>
        <v>8.6693554150109424</v>
      </c>
      <c r="X400" s="17">
        <f t="shared" si="563"/>
        <v>3.4278539150109237</v>
      </c>
      <c r="Y400" s="17">
        <f t="shared" si="564"/>
        <v>0.29064458498905843</v>
      </c>
      <c r="Z400" s="134">
        <f t="shared" si="565"/>
        <v>7.8161813159009899E-2</v>
      </c>
      <c r="AA400" s="15">
        <f>SUM(L$2:L400)-SUM(AB$2:AB400)</f>
        <v>3718.4984999999724</v>
      </c>
      <c r="AB400" s="64"/>
      <c r="AC400" s="145">
        <f t="shared" si="566"/>
        <v>414.80348780691753</v>
      </c>
      <c r="AD400" s="145">
        <f t="shared" si="567"/>
        <v>-585.19651219308253</v>
      </c>
    </row>
    <row r="401" spans="1:30" x14ac:dyDescent="0.25">
      <c r="A401" s="148">
        <v>43200</v>
      </c>
      <c r="B401" s="149"/>
      <c r="C401" s="104" t="s">
        <v>69</v>
      </c>
      <c r="D401" s="104">
        <v>400</v>
      </c>
      <c r="E401" s="143">
        <v>9.1199999999999992</v>
      </c>
      <c r="F401" s="16">
        <f t="shared" si="547"/>
        <v>600</v>
      </c>
      <c r="G401" s="17">
        <f t="shared" si="548"/>
        <v>2.6702491666666983</v>
      </c>
      <c r="H401" s="15">
        <f t="shared" si="549"/>
        <v>1602.1495000000189</v>
      </c>
      <c r="I401" s="15">
        <f t="shared" si="550"/>
        <v>3869.8504999999805</v>
      </c>
      <c r="J401" s="33">
        <f t="shared" si="551"/>
        <v>2.4154116079678798</v>
      </c>
      <c r="K401" s="15">
        <f t="shared" si="552"/>
        <v>5471.9999999999991</v>
      </c>
      <c r="L401" s="15">
        <f t="shared" si="553"/>
        <v>151.35199999999895</v>
      </c>
      <c r="M401" s="15">
        <f t="shared" si="554"/>
        <v>5</v>
      </c>
      <c r="N401" s="15">
        <f t="shared" si="555"/>
        <v>3.6479999999999997</v>
      </c>
      <c r="O401" s="64"/>
      <c r="P401" s="17">
        <f t="shared" si="556"/>
        <v>6.4497508333333009</v>
      </c>
      <c r="Q401" s="15">
        <f t="shared" si="557"/>
        <v>3639.3519999999999</v>
      </c>
      <c r="R401" s="35"/>
      <c r="S401" s="35">
        <f t="shared" si="558"/>
        <v>109313.3354999997</v>
      </c>
      <c r="T401" s="35">
        <f t="shared" si="559"/>
        <v>11986.111348684179</v>
      </c>
      <c r="U401" s="35">
        <f t="shared" si="560"/>
        <v>12586.111348684179</v>
      </c>
      <c r="V401" s="15">
        <f t="shared" si="561"/>
        <v>110915.48499999971</v>
      </c>
      <c r="W401" s="17">
        <f t="shared" si="562"/>
        <v>8.8125300918774592</v>
      </c>
      <c r="X401" s="17">
        <f t="shared" si="563"/>
        <v>6.1422809252107609</v>
      </c>
      <c r="Y401" s="17">
        <f t="shared" si="564"/>
        <v>0.30746990812254005</v>
      </c>
      <c r="Z401" s="134">
        <f t="shared" si="565"/>
        <v>4.7671594774404032E-2</v>
      </c>
      <c r="AA401" s="15">
        <f>SUM(L$2:L401)-SUM(AB$2:AB401)</f>
        <v>3869.8504999999714</v>
      </c>
      <c r="AB401" s="64"/>
      <c r="AC401" s="145">
        <f t="shared" si="566"/>
        <v>424.11354986293651</v>
      </c>
      <c r="AD401" s="145">
        <f t="shared" si="567"/>
        <v>-175.88645013706349</v>
      </c>
    </row>
    <row r="402" spans="1:30" x14ac:dyDescent="0.25">
      <c r="A402" s="148">
        <v>43201</v>
      </c>
      <c r="B402" s="149"/>
      <c r="C402" s="104" t="s">
        <v>69</v>
      </c>
      <c r="D402" s="104">
        <v>400</v>
      </c>
      <c r="E402" s="143">
        <v>9.2200000000000006</v>
      </c>
      <c r="F402" s="16">
        <f t="shared" si="547"/>
        <v>200</v>
      </c>
      <c r="G402" s="17">
        <f t="shared" si="548"/>
        <v>-10.385812499999906</v>
      </c>
      <c r="H402" s="15">
        <f t="shared" si="549"/>
        <v>-2077.1624999999813</v>
      </c>
      <c r="I402" s="15">
        <f t="shared" si="550"/>
        <v>3921.1624999999813</v>
      </c>
      <c r="J402" s="33">
        <f t="shared" si="551"/>
        <v>-1.8877495140606557</v>
      </c>
      <c r="K402" s="15">
        <f t="shared" si="552"/>
        <v>1844.0000000000002</v>
      </c>
      <c r="L402" s="15">
        <f t="shared" si="553"/>
        <v>51.312000000000808</v>
      </c>
      <c r="M402" s="15">
        <f t="shared" si="554"/>
        <v>5</v>
      </c>
      <c r="N402" s="15">
        <f t="shared" si="555"/>
        <v>3.6880000000000006</v>
      </c>
      <c r="O402" s="64"/>
      <c r="P402" s="17">
        <f t="shared" si="556"/>
        <v>19.605812499999907</v>
      </c>
      <c r="Q402" s="15">
        <f t="shared" si="557"/>
        <v>3679.3119999999999</v>
      </c>
      <c r="R402" s="35"/>
      <c r="S402" s="35">
        <f t="shared" si="558"/>
        <v>112992.6474999997</v>
      </c>
      <c r="T402" s="35">
        <f t="shared" si="559"/>
        <v>12255.167841648557</v>
      </c>
      <c r="U402" s="35">
        <f t="shared" si="560"/>
        <v>12455.167841648557</v>
      </c>
      <c r="V402" s="15">
        <f t="shared" si="561"/>
        <v>110915.48499999972</v>
      </c>
      <c r="W402" s="17">
        <f t="shared" si="562"/>
        <v>8.9051778675444186</v>
      </c>
      <c r="X402" s="17">
        <f t="shared" si="563"/>
        <v>19.290990367544325</v>
      </c>
      <c r="Y402" s="17">
        <f t="shared" si="564"/>
        <v>0.31482213245558199</v>
      </c>
      <c r="Z402" s="134">
        <f t="shared" si="565"/>
        <v>1.6057591719577193E-2</v>
      </c>
      <c r="AA402" s="15">
        <f>SUM(L$2:L402)-SUM(AB$2:AB402)</f>
        <v>3921.1624999999694</v>
      </c>
      <c r="AB402" s="64"/>
      <c r="AC402" s="145">
        <f t="shared" si="566"/>
        <v>425.07613001626697</v>
      </c>
      <c r="AD402" s="145">
        <f t="shared" si="567"/>
        <v>225.07613001626697</v>
      </c>
    </row>
    <row r="403" spans="1:30" x14ac:dyDescent="0.25">
      <c r="A403" s="148">
        <v>43206</v>
      </c>
      <c r="B403" s="100" t="s">
        <v>495</v>
      </c>
      <c r="C403" s="104" t="s">
        <v>63</v>
      </c>
      <c r="D403" s="104">
        <v>500</v>
      </c>
      <c r="E403" s="143">
        <v>8.89</v>
      </c>
      <c r="F403" s="16">
        <f t="shared" si="547"/>
        <v>700</v>
      </c>
      <c r="G403" s="17">
        <f t="shared" si="548"/>
        <v>3.3897678571428838</v>
      </c>
      <c r="H403" s="15">
        <f t="shared" si="549"/>
        <v>2372.8375000000187</v>
      </c>
      <c r="I403" s="15">
        <f t="shared" si="550"/>
        <v>3850.1624999999813</v>
      </c>
      <c r="J403" s="33">
        <f t="shared" si="551"/>
        <v>1.622598471239582</v>
      </c>
      <c r="K403" s="15">
        <f t="shared" si="552"/>
        <v>6223</v>
      </c>
      <c r="L403" s="15">
        <f t="shared" si="553"/>
        <v>-71</v>
      </c>
      <c r="M403" s="15">
        <f t="shared" si="554"/>
        <v>5</v>
      </c>
      <c r="N403" s="15">
        <f t="shared" si="555"/>
        <v>0</v>
      </c>
      <c r="O403" s="64"/>
      <c r="P403" s="17">
        <f t="shared" si="556"/>
        <v>5.5002321428571168</v>
      </c>
      <c r="Q403" s="15">
        <f t="shared" si="557"/>
        <v>-4450</v>
      </c>
      <c r="R403" s="35"/>
      <c r="S403" s="35">
        <f t="shared" si="558"/>
        <v>108542.6474999997</v>
      </c>
      <c r="T403" s="35">
        <f t="shared" si="559"/>
        <v>12209.521653543272</v>
      </c>
      <c r="U403" s="35">
        <f t="shared" si="560"/>
        <v>12909.521653543272</v>
      </c>
      <c r="V403" s="15">
        <f t="shared" si="561"/>
        <v>110915.48499999972</v>
      </c>
      <c r="W403" s="17">
        <f t="shared" si="562"/>
        <v>8.5917579269528392</v>
      </c>
      <c r="X403" s="17">
        <f t="shared" si="563"/>
        <v>5.2019900698099555</v>
      </c>
      <c r="Y403" s="17">
        <f t="shared" si="564"/>
        <v>0.29824207304716133</v>
      </c>
      <c r="Z403" s="134">
        <f t="shared" si="565"/>
        <v>5.4223542807093184E-2</v>
      </c>
      <c r="AA403" s="15">
        <f>SUM(L$2:L403)-SUM(AB$2:AB403)</f>
        <v>3850.1624999999694</v>
      </c>
      <c r="AB403" s="64"/>
      <c r="AC403" s="145">
        <f t="shared" si="566"/>
        <v>432.87260053430612</v>
      </c>
      <c r="AD403" s="145">
        <f t="shared" si="567"/>
        <v>-267.12739946569388</v>
      </c>
    </row>
    <row r="404" spans="1:30" x14ac:dyDescent="0.25">
      <c r="A404" s="148">
        <v>43206</v>
      </c>
      <c r="B404" s="100" t="s">
        <v>345</v>
      </c>
      <c r="C404" s="104" t="s">
        <v>63</v>
      </c>
      <c r="D404" s="104">
        <v>500</v>
      </c>
      <c r="E404" s="143">
        <v>8.7899999999999991</v>
      </c>
      <c r="F404" s="16">
        <f t="shared" si="547"/>
        <v>1200</v>
      </c>
      <c r="G404" s="17">
        <f t="shared" si="548"/>
        <v>5.6440312500000154</v>
      </c>
      <c r="H404" s="15">
        <f t="shared" si="549"/>
        <v>6772.8375000000187</v>
      </c>
      <c r="I404" s="15">
        <f t="shared" si="550"/>
        <v>3775.1624999999794</v>
      </c>
      <c r="J404" s="33">
        <f t="shared" si="551"/>
        <v>0.55739747188677868</v>
      </c>
      <c r="K404" s="15">
        <f t="shared" si="552"/>
        <v>10547.999999999998</v>
      </c>
      <c r="L404" s="15">
        <f t="shared" si="553"/>
        <v>-75.000000000001819</v>
      </c>
      <c r="M404" s="15">
        <f t="shared" si="554"/>
        <v>5</v>
      </c>
      <c r="N404" s="15">
        <f t="shared" si="555"/>
        <v>0</v>
      </c>
      <c r="O404" s="64"/>
      <c r="P404" s="17">
        <f t="shared" si="556"/>
        <v>3.1459687499999838</v>
      </c>
      <c r="Q404" s="15">
        <f t="shared" si="557"/>
        <v>-4400</v>
      </c>
      <c r="R404" s="35"/>
      <c r="S404" s="35">
        <f t="shared" si="558"/>
        <v>104142.6474999997</v>
      </c>
      <c r="T404" s="35">
        <f t="shared" si="559"/>
        <v>11847.855233219534</v>
      </c>
      <c r="U404" s="35">
        <f t="shared" si="560"/>
        <v>13047.855233219534</v>
      </c>
      <c r="V404" s="15">
        <f t="shared" si="561"/>
        <v>110915.48499999972</v>
      </c>
      <c r="W404" s="17">
        <f t="shared" si="562"/>
        <v>8.5006679655374704</v>
      </c>
      <c r="X404" s="17">
        <f t="shared" si="563"/>
        <v>2.856636715537455</v>
      </c>
      <c r="Y404" s="17">
        <f t="shared" si="564"/>
        <v>0.28933203446252875</v>
      </c>
      <c r="Z404" s="134">
        <f t="shared" si="565"/>
        <v>9.1969138111283461E-2</v>
      </c>
      <c r="AA404" s="15">
        <f>SUM(L$2:L404)-SUM(AB$2:AB404)</f>
        <v>3775.1624999999694</v>
      </c>
      <c r="AB404" s="64"/>
      <c r="AC404" s="145">
        <f t="shared" si="566"/>
        <v>429.26904650170422</v>
      </c>
      <c r="AD404" s="145">
        <f t="shared" si="567"/>
        <v>-770.73095349829578</v>
      </c>
    </row>
    <row r="405" spans="1:30" x14ac:dyDescent="0.25">
      <c r="A405" s="148">
        <v>43207</v>
      </c>
      <c r="B405" s="149"/>
      <c r="C405" s="104" t="s">
        <v>69</v>
      </c>
      <c r="D405" s="104">
        <v>400</v>
      </c>
      <c r="E405" s="143">
        <v>8.91</v>
      </c>
      <c r="F405" s="16">
        <f t="shared" si="547"/>
        <v>800</v>
      </c>
      <c r="G405" s="17">
        <f t="shared" si="548"/>
        <v>4.0217518750000236</v>
      </c>
      <c r="H405" s="15">
        <f t="shared" si="549"/>
        <v>3217.4015000000186</v>
      </c>
      <c r="I405" s="15">
        <f t="shared" si="550"/>
        <v>3910.5984999999814</v>
      </c>
      <c r="J405" s="33">
        <f t="shared" si="551"/>
        <v>1.215452438870299</v>
      </c>
      <c r="K405" s="15">
        <f t="shared" si="552"/>
        <v>7128</v>
      </c>
      <c r="L405" s="15">
        <f t="shared" si="553"/>
        <v>135.43600000000197</v>
      </c>
      <c r="M405" s="15">
        <f t="shared" si="554"/>
        <v>5</v>
      </c>
      <c r="N405" s="15">
        <f t="shared" si="555"/>
        <v>3.5640000000000001</v>
      </c>
      <c r="O405" s="64"/>
      <c r="P405" s="17">
        <f t="shared" si="556"/>
        <v>4.8882481249999765</v>
      </c>
      <c r="Q405" s="15">
        <f t="shared" si="557"/>
        <v>3555.4360000000001</v>
      </c>
      <c r="R405" s="35"/>
      <c r="S405" s="35">
        <f t="shared" si="558"/>
        <v>107698.0834999997</v>
      </c>
      <c r="T405" s="35">
        <f t="shared" si="559"/>
        <v>12087.326992143626</v>
      </c>
      <c r="U405" s="35">
        <f t="shared" si="560"/>
        <v>12887.326992143626</v>
      </c>
      <c r="V405" s="15">
        <f t="shared" si="561"/>
        <v>110915.48499999972</v>
      </c>
      <c r="W405" s="17">
        <f t="shared" si="562"/>
        <v>8.6065547236922004</v>
      </c>
      <c r="X405" s="17">
        <f t="shared" si="563"/>
        <v>4.5848028486921768</v>
      </c>
      <c r="Y405" s="17">
        <f t="shared" si="564"/>
        <v>0.30344527630779972</v>
      </c>
      <c r="Z405" s="134">
        <f t="shared" si="565"/>
        <v>6.2076488048118598E-2</v>
      </c>
      <c r="AA405" s="15">
        <f>SUM(L$2:L405)-SUM(AB$2:AB405)</f>
        <v>3910.598499999971</v>
      </c>
      <c r="AB405" s="64"/>
      <c r="AC405" s="145">
        <f t="shared" si="566"/>
        <v>438.68049391133349</v>
      </c>
      <c r="AD405" s="145">
        <f t="shared" si="567"/>
        <v>-361.31950608866651</v>
      </c>
    </row>
    <row r="406" spans="1:30" x14ac:dyDescent="0.25">
      <c r="A406" s="148">
        <v>43207</v>
      </c>
      <c r="B406" s="100" t="s">
        <v>496</v>
      </c>
      <c r="C406" s="104" t="s">
        <v>63</v>
      </c>
      <c r="D406" s="104">
        <v>500</v>
      </c>
      <c r="E406" s="143">
        <v>8.69</v>
      </c>
      <c r="F406" s="16">
        <f t="shared" si="547"/>
        <v>1300</v>
      </c>
      <c r="G406" s="17">
        <f t="shared" si="548"/>
        <v>5.821078076923091</v>
      </c>
      <c r="H406" s="15">
        <f t="shared" si="549"/>
        <v>7567.4015000000181</v>
      </c>
      <c r="I406" s="15">
        <f t="shared" si="550"/>
        <v>3729.5984999999819</v>
      </c>
      <c r="J406" s="33">
        <f t="shared" si="551"/>
        <v>0.49285061721648732</v>
      </c>
      <c r="K406" s="15">
        <f t="shared" si="552"/>
        <v>11297</v>
      </c>
      <c r="L406" s="15">
        <f t="shared" si="553"/>
        <v>-180.99999999999955</v>
      </c>
      <c r="M406" s="15">
        <f t="shared" si="554"/>
        <v>5</v>
      </c>
      <c r="N406" s="15">
        <f t="shared" si="555"/>
        <v>0</v>
      </c>
      <c r="O406" s="64"/>
      <c r="P406" s="17">
        <f t="shared" si="556"/>
        <v>2.8689219230769085</v>
      </c>
      <c r="Q406" s="15">
        <f t="shared" si="557"/>
        <v>-4350</v>
      </c>
      <c r="R406" s="35"/>
      <c r="S406" s="35">
        <f t="shared" si="558"/>
        <v>103348.0834999997</v>
      </c>
      <c r="T406" s="35">
        <f t="shared" si="559"/>
        <v>11892.759896432648</v>
      </c>
      <c r="U406" s="35">
        <f t="shared" si="560"/>
        <v>13192.759896432648</v>
      </c>
      <c r="V406" s="15">
        <f t="shared" si="561"/>
        <v>110915.48499999972</v>
      </c>
      <c r="W406" s="17">
        <f t="shared" si="562"/>
        <v>8.4072995999867715</v>
      </c>
      <c r="X406" s="17">
        <f t="shared" si="563"/>
        <v>2.5862215230636805</v>
      </c>
      <c r="Y406" s="17">
        <f t="shared" si="564"/>
        <v>0.28270040001322805</v>
      </c>
      <c r="Z406" s="134">
        <f t="shared" si="565"/>
        <v>9.8538896349619987E-2</v>
      </c>
      <c r="AA406" s="15">
        <f>SUM(L$2:L406)-SUM(AB$2:AB406)</f>
        <v>3729.598499999971</v>
      </c>
      <c r="AB406" s="64"/>
      <c r="AC406" s="145">
        <f t="shared" si="566"/>
        <v>428.96820491944555</v>
      </c>
      <c r="AD406" s="145">
        <f t="shared" si="567"/>
        <v>-871.0317950805545</v>
      </c>
    </row>
    <row r="407" spans="1:30" x14ac:dyDescent="0.25">
      <c r="A407" s="148">
        <v>43208</v>
      </c>
      <c r="B407" s="100"/>
      <c r="C407" s="104" t="s">
        <v>69</v>
      </c>
      <c r="D407" s="104">
        <v>400</v>
      </c>
      <c r="E407" s="143">
        <v>8.7799999999999994</v>
      </c>
      <c r="F407" s="16">
        <f t="shared" si="547"/>
        <v>900</v>
      </c>
      <c r="G407" s="17">
        <f t="shared" si="548"/>
        <v>4.5154594444444651</v>
      </c>
      <c r="H407" s="15">
        <f t="shared" si="549"/>
        <v>4063.9135000000188</v>
      </c>
      <c r="I407" s="15">
        <f t="shared" si="550"/>
        <v>3838.0864999999803</v>
      </c>
      <c r="J407" s="33">
        <f t="shared" si="551"/>
        <v>0.94443114992481092</v>
      </c>
      <c r="K407" s="15">
        <f t="shared" si="552"/>
        <v>7901.9999999999991</v>
      </c>
      <c r="L407" s="15">
        <f t="shared" si="553"/>
        <v>108.48799999999846</v>
      </c>
      <c r="M407" s="15">
        <f t="shared" si="554"/>
        <v>5</v>
      </c>
      <c r="N407" s="15">
        <f t="shared" si="555"/>
        <v>3.5119999999999996</v>
      </c>
      <c r="O407" s="64">
        <v>-2.5</v>
      </c>
      <c r="P407" s="17">
        <f t="shared" si="556"/>
        <v>4.2645405555555342</v>
      </c>
      <c r="Q407" s="15">
        <f t="shared" si="557"/>
        <v>3503.4879999999994</v>
      </c>
      <c r="R407" s="35"/>
      <c r="S407" s="35">
        <f t="shared" si="558"/>
        <v>106849.0714999997</v>
      </c>
      <c r="T407" s="35">
        <f t="shared" si="559"/>
        <v>12169.598120728897</v>
      </c>
      <c r="U407" s="35">
        <f t="shared" si="560"/>
        <v>13069.598120728897</v>
      </c>
      <c r="V407" s="15">
        <f t="shared" si="561"/>
        <v>110912.98499999972</v>
      </c>
      <c r="W407" s="17">
        <f t="shared" si="562"/>
        <v>8.4863347729175675</v>
      </c>
      <c r="X407" s="17">
        <f t="shared" si="563"/>
        <v>3.9708753284731024</v>
      </c>
      <c r="Y407" s="17">
        <f t="shared" si="564"/>
        <v>0.29366522708243181</v>
      </c>
      <c r="Z407" s="134">
        <f t="shared" si="565"/>
        <v>6.8862102085033863E-2</v>
      </c>
      <c r="AA407" s="15">
        <f>SUM(L$2:L407)-SUM(AB$2:AB407)</f>
        <v>3838.0864999999685</v>
      </c>
      <c r="AB407" s="64"/>
      <c r="AC407" s="145">
        <f t="shared" si="566"/>
        <v>436.92112263667207</v>
      </c>
      <c r="AD407" s="145">
        <f t="shared" si="567"/>
        <v>-463.07887736332793</v>
      </c>
    </row>
    <row r="408" spans="1:30" x14ac:dyDescent="0.25">
      <c r="A408" s="148">
        <v>43208</v>
      </c>
      <c r="B408" s="149"/>
      <c r="C408" s="104" t="s">
        <v>69</v>
      </c>
      <c r="D408" s="104">
        <v>400</v>
      </c>
      <c r="E408" s="143">
        <v>8.93</v>
      </c>
      <c r="F408" s="16">
        <f t="shared" si="547"/>
        <v>500</v>
      </c>
      <c r="G408" s="17">
        <f t="shared" si="548"/>
        <v>0.99597100000003747</v>
      </c>
      <c r="H408" s="15">
        <f t="shared" si="549"/>
        <v>497.98550000001876</v>
      </c>
      <c r="I408" s="15">
        <f t="shared" si="550"/>
        <v>3967.0144999999811</v>
      </c>
      <c r="J408" s="33">
        <f t="shared" si="551"/>
        <v>7.9661245156733118</v>
      </c>
      <c r="K408" s="15">
        <f t="shared" si="552"/>
        <v>4465</v>
      </c>
      <c r="L408" s="15">
        <f t="shared" si="553"/>
        <v>128.92800000000079</v>
      </c>
      <c r="M408" s="15">
        <f t="shared" si="554"/>
        <v>5</v>
      </c>
      <c r="N408" s="15">
        <f t="shared" si="555"/>
        <v>3.5720000000000001</v>
      </c>
      <c r="O408" s="64"/>
      <c r="P408" s="17">
        <f t="shared" si="556"/>
        <v>7.9340289999999625</v>
      </c>
      <c r="Q408" s="15">
        <f t="shared" si="557"/>
        <v>3565.9279999999999</v>
      </c>
      <c r="R408" s="35"/>
      <c r="S408" s="35">
        <f t="shared" si="558"/>
        <v>110414.9994999997</v>
      </c>
      <c r="T408" s="35">
        <f t="shared" si="559"/>
        <v>12364.501623740169</v>
      </c>
      <c r="U408" s="35">
        <f t="shared" si="560"/>
        <v>12864.501623740169</v>
      </c>
      <c r="V408" s="15">
        <f t="shared" si="561"/>
        <v>110912.98499999972</v>
      </c>
      <c r="W408" s="17">
        <f t="shared" si="562"/>
        <v>8.6216309223608594</v>
      </c>
      <c r="X408" s="17">
        <f t="shared" si="563"/>
        <v>7.6256599223608221</v>
      </c>
      <c r="Y408" s="17">
        <f t="shared" si="564"/>
        <v>0.30836907763914034</v>
      </c>
      <c r="Z408" s="134">
        <f t="shared" si="565"/>
        <v>3.8866643623201018E-2</v>
      </c>
      <c r="AA408" s="15">
        <f>SUM(L$2:L408)-SUM(AB$2:AB408)</f>
        <v>3967.0144999999684</v>
      </c>
      <c r="AB408" s="64"/>
      <c r="AC408" s="145">
        <f t="shared" si="566"/>
        <v>444.01242919932599</v>
      </c>
      <c r="AD408" s="145">
        <f t="shared" si="567"/>
        <v>-55.987570800674007</v>
      </c>
    </row>
    <row r="409" spans="1:30" x14ac:dyDescent="0.25">
      <c r="A409" s="148">
        <v>43209</v>
      </c>
      <c r="B409" s="149"/>
      <c r="C409" s="104" t="s">
        <v>69</v>
      </c>
      <c r="D409" s="104">
        <v>400</v>
      </c>
      <c r="E409" s="143">
        <v>9.09</v>
      </c>
      <c r="F409" s="16">
        <f t="shared" si="547"/>
        <v>100</v>
      </c>
      <c r="G409" s="17">
        <f t="shared" si="548"/>
        <v>-31.293784999999811</v>
      </c>
      <c r="H409" s="15">
        <f t="shared" si="549"/>
        <v>-3129.3784999999812</v>
      </c>
      <c r="I409" s="15">
        <f t="shared" si="550"/>
        <v>4038.3784999999812</v>
      </c>
      <c r="J409" s="33">
        <f t="shared" si="551"/>
        <v>-1.2904730124527939</v>
      </c>
      <c r="K409" s="15">
        <f t="shared" si="552"/>
        <v>909</v>
      </c>
      <c r="L409" s="15">
        <f t="shared" si="553"/>
        <v>71.364000000000033</v>
      </c>
      <c r="M409" s="15">
        <f t="shared" si="554"/>
        <v>5</v>
      </c>
      <c r="N409" s="15">
        <f t="shared" si="555"/>
        <v>3.6360000000000001</v>
      </c>
      <c r="O409" s="64"/>
      <c r="P409" s="17">
        <f t="shared" si="556"/>
        <v>40.383784999999811</v>
      </c>
      <c r="Q409" s="15">
        <f t="shared" si="557"/>
        <v>3627.364</v>
      </c>
      <c r="R409" s="35"/>
      <c r="S409" s="35">
        <f t="shared" si="558"/>
        <v>114042.3634999997</v>
      </c>
      <c r="T409" s="35">
        <f t="shared" si="559"/>
        <v>12545.914576457613</v>
      </c>
      <c r="U409" s="35">
        <f t="shared" si="560"/>
        <v>12645.914576457613</v>
      </c>
      <c r="V409" s="15">
        <f t="shared" si="561"/>
        <v>110912.98499999972</v>
      </c>
      <c r="W409" s="17">
        <f t="shared" si="562"/>
        <v>8.7706574585346271</v>
      </c>
      <c r="X409" s="17">
        <f t="shared" si="563"/>
        <v>40.064442458534437</v>
      </c>
      <c r="Y409" s="17">
        <f t="shared" si="564"/>
        <v>0.31934254146537455</v>
      </c>
      <c r="Z409" s="134">
        <f t="shared" si="565"/>
        <v>7.9076921954040359E-3</v>
      </c>
      <c r="AA409" s="15">
        <f>SUM(L$2:L409)-SUM(AB$2:AB409)</f>
        <v>4038.3784999999698</v>
      </c>
      <c r="AB409" s="64"/>
      <c r="AC409" s="145">
        <f t="shared" si="566"/>
        <v>444.04392857535549</v>
      </c>
      <c r="AD409" s="145">
        <f t="shared" si="567"/>
        <v>344.04392857535549</v>
      </c>
    </row>
    <row r="410" spans="1:30" x14ac:dyDescent="0.25">
      <c r="A410" s="148">
        <v>43210</v>
      </c>
      <c r="B410" s="100" t="s">
        <v>497</v>
      </c>
      <c r="C410" s="104" t="s">
        <v>63</v>
      </c>
      <c r="D410" s="104">
        <v>500</v>
      </c>
      <c r="E410" s="143">
        <v>9.01</v>
      </c>
      <c r="F410" s="16">
        <f t="shared" si="547"/>
        <v>600</v>
      </c>
      <c r="G410" s="17">
        <f t="shared" si="548"/>
        <v>2.3010358333333647</v>
      </c>
      <c r="H410" s="15">
        <f t="shared" si="549"/>
        <v>1380.6215000000188</v>
      </c>
      <c r="I410" s="15">
        <f t="shared" si="550"/>
        <v>4025.3784999999812</v>
      </c>
      <c r="J410" s="33">
        <f t="shared" si="551"/>
        <v>2.9156278531081301</v>
      </c>
      <c r="K410" s="15">
        <f t="shared" si="552"/>
        <v>5406</v>
      </c>
      <c r="L410" s="15">
        <f t="shared" si="553"/>
        <v>-13</v>
      </c>
      <c r="M410" s="15">
        <f t="shared" si="554"/>
        <v>5</v>
      </c>
      <c r="N410" s="15">
        <f t="shared" si="555"/>
        <v>0</v>
      </c>
      <c r="O410" s="64"/>
      <c r="P410" s="17">
        <f t="shared" si="556"/>
        <v>6.7089641666666351</v>
      </c>
      <c r="Q410" s="15">
        <f t="shared" si="557"/>
        <v>-4510</v>
      </c>
      <c r="R410" s="35"/>
      <c r="S410" s="35">
        <f t="shared" si="558"/>
        <v>109532.3634999997</v>
      </c>
      <c r="T410" s="35">
        <f t="shared" si="559"/>
        <v>12156.755105438369</v>
      </c>
      <c r="U410" s="35">
        <f t="shared" si="560"/>
        <v>12756.755105438369</v>
      </c>
      <c r="V410" s="15">
        <f t="shared" si="561"/>
        <v>110912.98499999972</v>
      </c>
      <c r="W410" s="17">
        <f t="shared" si="562"/>
        <v>8.6944512208058367</v>
      </c>
      <c r="X410" s="17">
        <f t="shared" si="563"/>
        <v>6.393415387472472</v>
      </c>
      <c r="Y410" s="17">
        <f t="shared" si="564"/>
        <v>0.31554877919416313</v>
      </c>
      <c r="Z410" s="134">
        <f t="shared" si="565"/>
        <v>4.7033904393462271E-2</v>
      </c>
      <c r="AA410" s="15">
        <f>SUM(L$2:L410)-SUM(AB$2:AB410)</f>
        <v>4025.3784999999698</v>
      </c>
      <c r="AB410" s="64"/>
      <c r="AC410" s="145">
        <f t="shared" si="566"/>
        <v>446.54448509988697</v>
      </c>
      <c r="AD410" s="145">
        <f t="shared" si="567"/>
        <v>-153.45551490011303</v>
      </c>
    </row>
    <row r="411" spans="1:30" x14ac:dyDescent="0.25">
      <c r="A411" s="148">
        <v>43214</v>
      </c>
      <c r="B411" s="100"/>
      <c r="C411" s="104" t="s">
        <v>69</v>
      </c>
      <c r="D411" s="104">
        <v>400</v>
      </c>
      <c r="E411" s="143">
        <v>9.1300000000000008</v>
      </c>
      <c r="F411" s="16">
        <f t="shared" si="547"/>
        <v>200</v>
      </c>
      <c r="G411" s="17">
        <f t="shared" si="548"/>
        <v>-11.313632499999908</v>
      </c>
      <c r="H411" s="15">
        <f t="shared" si="549"/>
        <v>-2262.7264999999816</v>
      </c>
      <c r="I411" s="15">
        <f t="shared" si="550"/>
        <v>4088.7264999999816</v>
      </c>
      <c r="J411" s="33">
        <f t="shared" si="551"/>
        <v>-1.8069910349306533</v>
      </c>
      <c r="K411" s="15">
        <f t="shared" si="552"/>
        <v>1826.0000000000002</v>
      </c>
      <c r="L411" s="15">
        <f t="shared" si="553"/>
        <v>63.348000000000411</v>
      </c>
      <c r="M411" s="15">
        <f t="shared" si="554"/>
        <v>5</v>
      </c>
      <c r="N411" s="15">
        <f t="shared" si="555"/>
        <v>3.6520000000000006</v>
      </c>
      <c r="O411" s="64"/>
      <c r="P411" s="17">
        <f t="shared" si="556"/>
        <v>20.443632499999907</v>
      </c>
      <c r="Q411" s="15">
        <f t="shared" si="557"/>
        <v>3643.3480000000004</v>
      </c>
      <c r="R411" s="35"/>
      <c r="S411" s="35">
        <f t="shared" si="558"/>
        <v>113175.7114999997</v>
      </c>
      <c r="T411" s="35">
        <f t="shared" si="559"/>
        <v>12396.025355969297</v>
      </c>
      <c r="U411" s="35">
        <f t="shared" si="560"/>
        <v>12596.025355969297</v>
      </c>
      <c r="V411" s="15">
        <f t="shared" si="561"/>
        <v>110912.98499999972</v>
      </c>
      <c r="W411" s="17">
        <f t="shared" si="562"/>
        <v>8.8053955010052203</v>
      </c>
      <c r="X411" s="17">
        <f t="shared" si="563"/>
        <v>20.119028001005127</v>
      </c>
      <c r="Y411" s="17">
        <f t="shared" si="564"/>
        <v>0.3246044989947805</v>
      </c>
      <c r="Z411" s="134">
        <f t="shared" si="565"/>
        <v>1.5878024563138828E-2</v>
      </c>
      <c r="AA411" s="15">
        <f>SUM(L$2:L411)-SUM(AB$2:AB411)</f>
        <v>4088.7264999999679</v>
      </c>
      <c r="AB411" s="64"/>
      <c r="AC411" s="145">
        <f t="shared" si="566"/>
        <v>447.61031070646021</v>
      </c>
      <c r="AD411" s="145">
        <f t="shared" si="567"/>
        <v>247.61031070646021</v>
      </c>
    </row>
    <row r="412" spans="1:30" x14ac:dyDescent="0.25">
      <c r="A412" s="148">
        <v>43223</v>
      </c>
      <c r="B412" s="100"/>
      <c r="C412" s="104" t="s">
        <v>69</v>
      </c>
      <c r="D412" s="104">
        <v>100</v>
      </c>
      <c r="E412" s="143">
        <v>9.9700000000000006</v>
      </c>
      <c r="F412" s="16">
        <f t="shared" si="547"/>
        <v>100</v>
      </c>
      <c r="G412" s="17">
        <f t="shared" si="548"/>
        <v>-32.537294999999816</v>
      </c>
      <c r="H412" s="15">
        <f t="shared" si="549"/>
        <v>-3253.7294999999817</v>
      </c>
      <c r="I412" s="15">
        <f t="shared" si="550"/>
        <v>4250.7294999999822</v>
      </c>
      <c r="J412" s="33">
        <f t="shared" si="551"/>
        <v>-1.3064176047824521</v>
      </c>
      <c r="K412" s="15">
        <f t="shared" si="552"/>
        <v>997.00000000000011</v>
      </c>
      <c r="L412" s="15">
        <f t="shared" si="553"/>
        <v>162.00300000000061</v>
      </c>
      <c r="M412" s="15">
        <f t="shared" si="554"/>
        <v>5</v>
      </c>
      <c r="N412" s="15">
        <f t="shared" si="555"/>
        <v>0.99700000000000011</v>
      </c>
      <c r="O412" s="64"/>
      <c r="P412" s="17">
        <f t="shared" si="556"/>
        <v>42.507294999999814</v>
      </c>
      <c r="Q412" s="15">
        <f t="shared" si="557"/>
        <v>991.00300000000016</v>
      </c>
      <c r="R412" s="35"/>
      <c r="S412" s="35">
        <f t="shared" si="558"/>
        <v>114166.7144999997</v>
      </c>
      <c r="T412" s="35">
        <f t="shared" si="559"/>
        <v>11451.024523570681</v>
      </c>
      <c r="U412" s="35">
        <f t="shared" si="560"/>
        <v>11551.024523570681</v>
      </c>
      <c r="V412" s="15">
        <f t="shared" si="561"/>
        <v>110912.98499999971</v>
      </c>
      <c r="W412" s="17">
        <f t="shared" si="562"/>
        <v>9.6020041143254389</v>
      </c>
      <c r="X412" s="17">
        <f t="shared" si="563"/>
        <v>42.139299114325254</v>
      </c>
      <c r="Y412" s="17">
        <f t="shared" si="564"/>
        <v>0.36799588567455999</v>
      </c>
      <c r="Z412" s="134">
        <f t="shared" si="565"/>
        <v>8.6572407318452962E-3</v>
      </c>
      <c r="AA412" s="15">
        <f>SUM(L$2:L412)-SUM(AB$2:AB412)</f>
        <v>4250.7294999999649</v>
      </c>
      <c r="AB412" s="64"/>
      <c r="AC412" s="145">
        <f t="shared" si="566"/>
        <v>426.13883001504337</v>
      </c>
      <c r="AD412" s="145">
        <f t="shared" si="567"/>
        <v>326.13883001504337</v>
      </c>
    </row>
    <row r="413" spans="1:30" x14ac:dyDescent="0.25">
      <c r="A413" s="148">
        <v>43234</v>
      </c>
      <c r="B413" s="100"/>
      <c r="C413" s="104" t="s">
        <v>63</v>
      </c>
      <c r="D413" s="104">
        <v>100</v>
      </c>
      <c r="E413" s="143">
        <v>9.73</v>
      </c>
      <c r="F413" s="16">
        <f t="shared" ref="F413:F443" si="568">IF(C413="买",F412+D413,F412-D413)</f>
        <v>200</v>
      </c>
      <c r="G413" s="17">
        <f t="shared" si="548"/>
        <v>-11.378647499999909</v>
      </c>
      <c r="H413" s="15">
        <f t="shared" si="549"/>
        <v>-2275.7294999999817</v>
      </c>
      <c r="I413" s="15">
        <f t="shared" si="550"/>
        <v>4221.7294999999813</v>
      </c>
      <c r="J413" s="33">
        <f t="shared" si="551"/>
        <v>-1.8551104162423593</v>
      </c>
      <c r="K413" s="15">
        <f t="shared" si="552"/>
        <v>1946</v>
      </c>
      <c r="L413" s="15">
        <f t="shared" si="553"/>
        <v>-29.000000000000909</v>
      </c>
      <c r="M413" s="15">
        <f t="shared" si="554"/>
        <v>5</v>
      </c>
      <c r="N413" s="15">
        <f t="shared" si="555"/>
        <v>0</v>
      </c>
      <c r="O413" s="64">
        <v>-15</v>
      </c>
      <c r="P413" s="17">
        <f t="shared" si="556"/>
        <v>21.108647499999911</v>
      </c>
      <c r="Q413" s="15">
        <f t="shared" si="557"/>
        <v>-978</v>
      </c>
      <c r="R413" s="35"/>
      <c r="S413" s="35">
        <f t="shared" si="558"/>
        <v>113173.7144999997</v>
      </c>
      <c r="T413" s="35">
        <f t="shared" si="559"/>
        <v>11631.419784172631</v>
      </c>
      <c r="U413" s="35">
        <f t="shared" si="560"/>
        <v>11831.419784172631</v>
      </c>
      <c r="V413" s="15">
        <f t="shared" si="561"/>
        <v>110897.98499999971</v>
      </c>
      <c r="W413" s="17">
        <f t="shared" si="562"/>
        <v>9.3731764253984498</v>
      </c>
      <c r="X413" s="17">
        <f t="shared" si="563"/>
        <v>20.751823925398359</v>
      </c>
      <c r="Y413" s="17">
        <f t="shared" si="564"/>
        <v>0.35682357460155245</v>
      </c>
      <c r="Z413" s="134">
        <f t="shared" si="565"/>
        <v>1.6904141992117303E-2</v>
      </c>
      <c r="AA413" s="15">
        <f>SUM(L$2:L413)-SUM(AB$2:AB413)</f>
        <v>4221.7294999999649</v>
      </c>
      <c r="AB413" s="64"/>
      <c r="AC413" s="145">
        <f t="shared" si="566"/>
        <v>433.67097998458183</v>
      </c>
      <c r="AD413" s="145">
        <f t="shared" si="567"/>
        <v>233.67097998458183</v>
      </c>
    </row>
    <row r="414" spans="1:30" x14ac:dyDescent="0.25">
      <c r="A414" s="148">
        <v>43235</v>
      </c>
      <c r="B414" s="100" t="s">
        <v>498</v>
      </c>
      <c r="C414" s="104" t="s">
        <v>69</v>
      </c>
      <c r="D414" s="104">
        <v>100</v>
      </c>
      <c r="E414" s="143">
        <v>10.42</v>
      </c>
      <c r="F414" s="16">
        <f t="shared" si="568"/>
        <v>100</v>
      </c>
      <c r="G414" s="17">
        <f t="shared" si="548"/>
        <v>-33.266874999999821</v>
      </c>
      <c r="H414" s="15">
        <f t="shared" si="549"/>
        <v>-3326.6874999999818</v>
      </c>
      <c r="I414" s="15">
        <f t="shared" si="550"/>
        <v>4368.6874999999818</v>
      </c>
      <c r="J414" s="33">
        <f t="shared" si="551"/>
        <v>-1.3132244913295901</v>
      </c>
      <c r="K414" s="15">
        <f t="shared" si="552"/>
        <v>1042</v>
      </c>
      <c r="L414" s="15">
        <f t="shared" si="553"/>
        <v>146.95800000000054</v>
      </c>
      <c r="M414" s="15">
        <f t="shared" si="554"/>
        <v>5</v>
      </c>
      <c r="N414" s="15">
        <f t="shared" si="555"/>
        <v>1.042</v>
      </c>
      <c r="O414" s="64"/>
      <c r="P414" s="17">
        <f t="shared" si="556"/>
        <v>43.686874999999823</v>
      </c>
      <c r="Q414" s="15">
        <f t="shared" si="557"/>
        <v>1050.9580000000001</v>
      </c>
      <c r="R414" s="35"/>
      <c r="S414" s="35">
        <f t="shared" si="558"/>
        <v>114224.67249999969</v>
      </c>
      <c r="T414" s="35">
        <f t="shared" si="559"/>
        <v>10962.060700575787</v>
      </c>
      <c r="U414" s="35">
        <f t="shared" si="560"/>
        <v>11062.060700575787</v>
      </c>
      <c r="V414" s="15">
        <f t="shared" si="561"/>
        <v>110897.98499999971</v>
      </c>
      <c r="W414" s="17">
        <f t="shared" si="562"/>
        <v>10.025074712727568</v>
      </c>
      <c r="X414" s="17">
        <f t="shared" si="563"/>
        <v>43.291949712727387</v>
      </c>
      <c r="Y414" s="17">
        <f t="shared" si="564"/>
        <v>0.39492528727243581</v>
      </c>
      <c r="Z414" s="134">
        <f t="shared" si="565"/>
        <v>9.0399070034749441E-3</v>
      </c>
      <c r="AA414" s="15">
        <f>SUM(L$2:L414)-SUM(AB$2:AB414)</f>
        <v>4368.6874999999636</v>
      </c>
      <c r="AB414" s="64"/>
      <c r="AC414" s="145">
        <f t="shared" si="566"/>
        <v>419.05020693377946</v>
      </c>
      <c r="AD414" s="145">
        <f t="shared" si="567"/>
        <v>319.05020693377946</v>
      </c>
    </row>
    <row r="415" spans="1:30" x14ac:dyDescent="0.25">
      <c r="A415" s="148">
        <v>43399</v>
      </c>
      <c r="B415" s="149"/>
      <c r="C415" s="104" t="s">
        <v>63</v>
      </c>
      <c r="D415" s="104">
        <v>30</v>
      </c>
      <c r="E415" s="143">
        <v>0</v>
      </c>
      <c r="F415" s="16">
        <f t="shared" si="568"/>
        <v>130</v>
      </c>
      <c r="G415" s="17">
        <f t="shared" si="548"/>
        <v>-25.551442307692167</v>
      </c>
      <c r="H415" s="15">
        <f t="shared" si="549"/>
        <v>-3321.6874999999818</v>
      </c>
      <c r="I415" s="15">
        <f t="shared" si="550"/>
        <v>3321.6874999999818</v>
      </c>
      <c r="J415" s="33">
        <f t="shared" si="551"/>
        <v>-1</v>
      </c>
      <c r="K415" s="15">
        <f t="shared" si="552"/>
        <v>0</v>
      </c>
      <c r="L415" s="15">
        <f t="shared" si="553"/>
        <v>-1047</v>
      </c>
      <c r="M415" s="15">
        <f t="shared" si="554"/>
        <v>5</v>
      </c>
      <c r="N415" s="15">
        <f t="shared" si="555"/>
        <v>0</v>
      </c>
      <c r="O415" s="64"/>
      <c r="P415" s="17">
        <f t="shared" si="556"/>
        <v>25.551442307692167</v>
      </c>
      <c r="Q415" s="15">
        <f t="shared" si="557"/>
        <v>-5</v>
      </c>
      <c r="R415" s="35"/>
      <c r="S415" s="35">
        <f t="shared" si="558"/>
        <v>114219.67249999969</v>
      </c>
      <c r="T415" s="35" t="e">
        <f>S415/E415</f>
        <v>#DIV/0!</v>
      </c>
      <c r="U415" s="35" t="e">
        <f>F415+T415</f>
        <v>#DIV/0!</v>
      </c>
      <c r="V415" s="15">
        <f t="shared" si="561"/>
        <v>110897.98499999971</v>
      </c>
      <c r="W415" s="17" t="e">
        <f t="shared" si="562"/>
        <v>#DIV/0!</v>
      </c>
      <c r="X415" s="17" t="e">
        <f t="shared" si="563"/>
        <v>#DIV/0!</v>
      </c>
      <c r="Y415" s="17" t="e">
        <f t="shared" si="564"/>
        <v>#DIV/0!</v>
      </c>
      <c r="Z415" s="134" t="e">
        <f t="shared" si="565"/>
        <v>#DIV/0!</v>
      </c>
      <c r="AA415" s="15">
        <f>SUM(L$2:L415)-SUM(AB$2:AB415)</f>
        <v>3321.6874999999636</v>
      </c>
      <c r="AB415" s="64"/>
      <c r="AC415" s="145" t="e">
        <f t="shared" si="566"/>
        <v>#DIV/0!</v>
      </c>
      <c r="AD415" s="145" t="e">
        <f t="shared" si="567"/>
        <v>#DIV/0!</v>
      </c>
    </row>
    <row r="416" spans="1:30" x14ac:dyDescent="0.25">
      <c r="A416" s="148">
        <v>43426</v>
      </c>
      <c r="B416" s="100" t="s">
        <v>499</v>
      </c>
      <c r="C416" s="104" t="s">
        <v>63</v>
      </c>
      <c r="D416" s="104">
        <v>500</v>
      </c>
      <c r="E416" s="143">
        <v>7.04</v>
      </c>
      <c r="F416" s="16">
        <f t="shared" si="568"/>
        <v>630</v>
      </c>
      <c r="G416" s="17">
        <f t="shared" si="548"/>
        <v>0.32271825396828285</v>
      </c>
      <c r="H416" s="15">
        <f t="shared" si="549"/>
        <v>203.31250000001819</v>
      </c>
      <c r="I416" s="15">
        <f t="shared" si="550"/>
        <v>4231.8874999999816</v>
      </c>
      <c r="J416" s="33">
        <f t="shared" si="551"/>
        <v>20.814694128494821</v>
      </c>
      <c r="K416" s="15">
        <f t="shared" si="552"/>
        <v>4435.2</v>
      </c>
      <c r="L416" s="15">
        <f t="shared" si="553"/>
        <v>910.19999999999982</v>
      </c>
      <c r="M416" s="15">
        <f t="shared" si="554"/>
        <v>5</v>
      </c>
      <c r="N416" s="15">
        <f t="shared" si="555"/>
        <v>0</v>
      </c>
      <c r="O416" s="64"/>
      <c r="P416" s="17">
        <f t="shared" si="556"/>
        <v>6.7172817460317171</v>
      </c>
      <c r="Q416" s="15">
        <f t="shared" si="557"/>
        <v>-3525</v>
      </c>
      <c r="R416" s="35"/>
      <c r="S416" s="35">
        <f t="shared" si="558"/>
        <v>110694.67249999969</v>
      </c>
      <c r="T416" s="35">
        <f t="shared" si="559"/>
        <v>15723.675071022684</v>
      </c>
      <c r="U416" s="35">
        <f t="shared" si="560"/>
        <v>16353.675071022684</v>
      </c>
      <c r="V416" s="15">
        <f t="shared" si="561"/>
        <v>110897.98499999971</v>
      </c>
      <c r="W416" s="17">
        <f t="shared" si="562"/>
        <v>6.7812271259138237</v>
      </c>
      <c r="X416" s="17">
        <f t="shared" si="563"/>
        <v>6.4585088719455408</v>
      </c>
      <c r="Y416" s="17">
        <f t="shared" si="564"/>
        <v>0.25877287408617633</v>
      </c>
      <c r="Z416" s="134">
        <f t="shared" si="565"/>
        <v>3.8523450983583882E-2</v>
      </c>
      <c r="AA416" s="15">
        <f>SUM(L$2:L416)-SUM(AB$2:AB416)</f>
        <v>4231.8874999999607</v>
      </c>
      <c r="AB416" s="64"/>
      <c r="AC416" s="145">
        <f t="shared" si="566"/>
        <v>600.81982333096335</v>
      </c>
      <c r="AD416" s="145">
        <f t="shared" si="567"/>
        <v>-29.180176669036655</v>
      </c>
    </row>
    <row r="417" spans="1:30" x14ac:dyDescent="0.25">
      <c r="A417" s="148">
        <v>43521</v>
      </c>
      <c r="B417" s="100"/>
      <c r="C417" s="104" t="s">
        <v>69</v>
      </c>
      <c r="D417" s="104">
        <v>400</v>
      </c>
      <c r="E417" s="143">
        <v>7.26</v>
      </c>
      <c r="F417" s="16">
        <f t="shared" si="568"/>
        <v>230</v>
      </c>
      <c r="G417" s="17">
        <f t="shared" si="548"/>
        <v>-11.707754347826008</v>
      </c>
      <c r="H417" s="15">
        <f t="shared" si="549"/>
        <v>-2692.7834999999818</v>
      </c>
      <c r="I417" s="15">
        <f t="shared" si="550"/>
        <v>4362.5834999999815</v>
      </c>
      <c r="J417" s="33">
        <f t="shared" si="551"/>
        <v>-1.6201018388593111</v>
      </c>
      <c r="K417" s="15">
        <f t="shared" si="552"/>
        <v>1669.8</v>
      </c>
      <c r="L417" s="15">
        <f t="shared" si="553"/>
        <v>130.69599999999991</v>
      </c>
      <c r="M417" s="15">
        <f t="shared" si="554"/>
        <v>5</v>
      </c>
      <c r="N417" s="15">
        <f t="shared" si="555"/>
        <v>2.9039999999999999</v>
      </c>
      <c r="O417" s="64"/>
      <c r="P417" s="17">
        <f t="shared" si="556"/>
        <v>18.967754347826009</v>
      </c>
      <c r="Q417" s="15">
        <f t="shared" si="557"/>
        <v>2896.096</v>
      </c>
      <c r="R417" s="35"/>
      <c r="S417" s="35">
        <f t="shared" si="558"/>
        <v>113590.7684999997</v>
      </c>
      <c r="T417" s="35">
        <f t="shared" si="559"/>
        <v>15646.111363636322</v>
      </c>
      <c r="U417" s="35">
        <f t="shared" si="560"/>
        <v>15876.111363636322</v>
      </c>
      <c r="V417" s="15">
        <f t="shared" si="561"/>
        <v>110897.98499999972</v>
      </c>
      <c r="W417" s="17">
        <f t="shared" si="562"/>
        <v>6.9852108277602332</v>
      </c>
      <c r="X417" s="17">
        <f t="shared" si="563"/>
        <v>18.692965175586242</v>
      </c>
      <c r="Y417" s="17">
        <f t="shared" si="564"/>
        <v>0.27478917223976751</v>
      </c>
      <c r="Z417" s="134">
        <f t="shared" si="565"/>
        <v>1.4487174770442021E-2</v>
      </c>
      <c r="AA417" s="15">
        <f>SUM(L$2:L417)-SUM(AB$2:AB417)</f>
        <v>4362.583499999957</v>
      </c>
      <c r="AB417" s="64"/>
      <c r="AC417" s="145">
        <f t="shared" si="566"/>
        <v>600.60636477272476</v>
      </c>
      <c r="AD417" s="145">
        <f t="shared" si="567"/>
        <v>370.60636477272476</v>
      </c>
    </row>
    <row r="418" spans="1:30" x14ac:dyDescent="0.25">
      <c r="A418" s="148">
        <v>43591</v>
      </c>
      <c r="B418" s="100" t="s">
        <v>715</v>
      </c>
      <c r="C418" s="317" t="s">
        <v>714</v>
      </c>
      <c r="D418" s="104">
        <v>500</v>
      </c>
      <c r="E418" s="143">
        <v>7.1</v>
      </c>
      <c r="F418" s="16">
        <f t="shared" si="568"/>
        <v>730</v>
      </c>
      <c r="G418" s="17">
        <f t="shared" si="548"/>
        <v>1.1811184931507099</v>
      </c>
      <c r="H418" s="15">
        <f t="shared" si="549"/>
        <v>862.21650000001819</v>
      </c>
      <c r="I418" s="15">
        <f t="shared" si="550"/>
        <v>4320.7834999999814</v>
      </c>
      <c r="J418" s="33">
        <f t="shared" si="551"/>
        <v>5.0112512344636064</v>
      </c>
      <c r="K418" s="15">
        <f t="shared" si="552"/>
        <v>5183</v>
      </c>
      <c r="L418" s="15">
        <f t="shared" si="553"/>
        <v>-41.800000000000182</v>
      </c>
      <c r="M418" s="15">
        <f t="shared" si="554"/>
        <v>5</v>
      </c>
      <c r="N418" s="15">
        <f t="shared" si="555"/>
        <v>0</v>
      </c>
      <c r="O418" s="64"/>
      <c r="P418" s="17">
        <f t="shared" si="556"/>
        <v>5.9188815068492895</v>
      </c>
      <c r="Q418" s="15">
        <f t="shared" si="557"/>
        <v>-3555</v>
      </c>
      <c r="R418" s="35"/>
      <c r="S418" s="35">
        <f t="shared" si="558"/>
        <v>110035.7684999997</v>
      </c>
      <c r="T418" s="35">
        <f t="shared" si="559"/>
        <v>15497.99556338024</v>
      </c>
      <c r="U418" s="35">
        <f t="shared" si="560"/>
        <v>16227.99556338024</v>
      </c>
      <c r="V418" s="15">
        <f t="shared" si="561"/>
        <v>110897.98499999972</v>
      </c>
      <c r="W418" s="17">
        <f t="shared" si="562"/>
        <v>6.8337450898895877</v>
      </c>
      <c r="X418" s="17">
        <f t="shared" si="563"/>
        <v>5.6526265967388776</v>
      </c>
      <c r="Y418" s="17">
        <f t="shared" si="564"/>
        <v>0.26625491011041191</v>
      </c>
      <c r="Z418" s="134">
        <f t="shared" si="565"/>
        <v>4.4983990607398425E-2</v>
      </c>
      <c r="AA418" s="15">
        <f>SUM(L$2:L418)-SUM(AB$2:AB418)</f>
        <v>4320.7834999999541</v>
      </c>
      <c r="AB418" s="64"/>
      <c r="AC418" s="145">
        <f t="shared" si="566"/>
        <v>608.25677580985655</v>
      </c>
      <c r="AD418" s="145">
        <f t="shared" si="567"/>
        <v>-121.74322419014345</v>
      </c>
    </row>
    <row r="419" spans="1:30" x14ac:dyDescent="0.25">
      <c r="A419" s="148">
        <v>43591</v>
      </c>
      <c r="B419" s="100" t="s">
        <v>718</v>
      </c>
      <c r="C419" s="317" t="s">
        <v>714</v>
      </c>
      <c r="D419" s="104">
        <v>500</v>
      </c>
      <c r="E419" s="143">
        <v>7.01</v>
      </c>
      <c r="F419" s="16">
        <f t="shared" si="568"/>
        <v>1230</v>
      </c>
      <c r="G419" s="17">
        <f t="shared" si="548"/>
        <v>3.5546475609756247</v>
      </c>
      <c r="H419" s="15">
        <f t="shared" si="549"/>
        <v>4372.2165000000186</v>
      </c>
      <c r="I419" s="15">
        <f t="shared" si="550"/>
        <v>4250.0834999999806</v>
      </c>
      <c r="J419" s="33">
        <f t="shared" si="551"/>
        <v>0.97206611337749704</v>
      </c>
      <c r="K419" s="15">
        <f t="shared" si="552"/>
        <v>8622.2999999999993</v>
      </c>
      <c r="L419" s="15">
        <f t="shared" si="553"/>
        <v>-70.700000000000728</v>
      </c>
      <c r="M419" s="15">
        <f t="shared" si="554"/>
        <v>5</v>
      </c>
      <c r="N419" s="15">
        <f t="shared" si="555"/>
        <v>0</v>
      </c>
      <c r="O419" s="64"/>
      <c r="P419" s="17">
        <f t="shared" si="556"/>
        <v>3.4553524390243751</v>
      </c>
      <c r="Q419" s="15">
        <f t="shared" si="557"/>
        <v>-3510.0000000000005</v>
      </c>
      <c r="R419" s="35"/>
      <c r="S419" s="35">
        <f t="shared" si="558"/>
        <v>106525.7684999997</v>
      </c>
      <c r="T419" s="35">
        <f t="shared" si="559"/>
        <v>15196.257988587689</v>
      </c>
      <c r="U419" s="35">
        <f t="shared" si="560"/>
        <v>16426.257988587691</v>
      </c>
      <c r="V419" s="15">
        <f t="shared" si="561"/>
        <v>110897.98499999972</v>
      </c>
      <c r="W419" s="17">
        <f t="shared" si="562"/>
        <v>6.7512628303443929</v>
      </c>
      <c r="X419" s="17">
        <f t="shared" si="563"/>
        <v>3.1966152693687682</v>
      </c>
      <c r="Y419" s="17">
        <f t="shared" si="564"/>
        <v>0.25873716965560689</v>
      </c>
      <c r="Z419" s="134">
        <f t="shared" si="565"/>
        <v>7.4880109691114971E-2</v>
      </c>
      <c r="AA419" s="15">
        <f>SUM(L$2:L419)-SUM(AB$2:AB419)</f>
        <v>4250.083499999957</v>
      </c>
      <c r="AB419" s="64"/>
      <c r="AC419" s="145">
        <f t="shared" si="566"/>
        <v>605.98551472895588</v>
      </c>
      <c r="AD419" s="145">
        <f t="shared" si="567"/>
        <v>-624.01448527104412</v>
      </c>
    </row>
    <row r="420" spans="1:30" x14ac:dyDescent="0.25">
      <c r="A420" s="148">
        <v>43591</v>
      </c>
      <c r="B420" s="100" t="s">
        <v>719</v>
      </c>
      <c r="C420" s="317" t="s">
        <v>714</v>
      </c>
      <c r="D420" s="104">
        <v>500</v>
      </c>
      <c r="E420" s="143">
        <v>6.87</v>
      </c>
      <c r="F420" s="16">
        <f t="shared" si="568"/>
        <v>1730</v>
      </c>
      <c r="G420" s="17">
        <f t="shared" si="548"/>
        <v>4.5157320809248667</v>
      </c>
      <c r="H420" s="15">
        <f t="shared" si="549"/>
        <v>7812.2165000000186</v>
      </c>
      <c r="I420" s="15">
        <f t="shared" si="550"/>
        <v>4072.8834999999817</v>
      </c>
      <c r="J420" s="33">
        <f t="shared" si="551"/>
        <v>0.52134800667646253</v>
      </c>
      <c r="K420" s="15">
        <f t="shared" si="552"/>
        <v>11885.1</v>
      </c>
      <c r="L420" s="15">
        <f t="shared" si="553"/>
        <v>-177.19999999999891</v>
      </c>
      <c r="M420" s="15">
        <f t="shared" si="554"/>
        <v>5</v>
      </c>
      <c r="N420" s="15">
        <f t="shared" si="555"/>
        <v>0</v>
      </c>
      <c r="O420" s="64"/>
      <c r="P420" s="17">
        <f t="shared" si="556"/>
        <v>2.3542679190751334</v>
      </c>
      <c r="Q420" s="15">
        <f t="shared" si="557"/>
        <v>-3440</v>
      </c>
      <c r="R420" s="35"/>
      <c r="S420" s="35">
        <f t="shared" si="558"/>
        <v>103085.7684999997</v>
      </c>
      <c r="T420" s="35">
        <f t="shared" si="559"/>
        <v>15005.206477438092</v>
      </c>
      <c r="U420" s="35">
        <f t="shared" si="560"/>
        <v>16735.206477438092</v>
      </c>
      <c r="V420" s="15">
        <f t="shared" si="561"/>
        <v>110897.98499999972</v>
      </c>
      <c r="W420" s="17">
        <f t="shared" si="562"/>
        <v>6.6266278309448463</v>
      </c>
      <c r="X420" s="17">
        <f t="shared" si="563"/>
        <v>2.1108957500199796</v>
      </c>
      <c r="Y420" s="17">
        <f t="shared" si="564"/>
        <v>0.2433721690551538</v>
      </c>
      <c r="Z420" s="134">
        <f t="shared" si="565"/>
        <v>0.10337488230768677</v>
      </c>
      <c r="AA420" s="15">
        <f>SUM(L$2:L420)-SUM(AB$2:AB420)</f>
        <v>4072.8834999999599</v>
      </c>
      <c r="AB420" s="64"/>
      <c r="AC420" s="145">
        <f t="shared" si="566"/>
        <v>592.55415695050692</v>
      </c>
      <c r="AD420" s="145">
        <f t="shared" si="567"/>
        <v>-1137.4458430494931</v>
      </c>
    </row>
    <row r="421" spans="1:30" x14ac:dyDescent="0.25">
      <c r="A421" s="148">
        <v>43605</v>
      </c>
      <c r="B421" s="100" t="s">
        <v>723</v>
      </c>
      <c r="C421" s="317" t="s">
        <v>623</v>
      </c>
      <c r="D421" s="104">
        <v>500</v>
      </c>
      <c r="E421" s="143">
        <v>6.59</v>
      </c>
      <c r="F421" s="16">
        <f t="shared" si="568"/>
        <v>2230</v>
      </c>
      <c r="G421" s="17">
        <f t="shared" si="548"/>
        <v>4.9830567264574075</v>
      </c>
      <c r="H421" s="15">
        <f t="shared" si="549"/>
        <v>11112.216500000019</v>
      </c>
      <c r="I421" s="15">
        <f t="shared" si="550"/>
        <v>3583.4834999999803</v>
      </c>
      <c r="J421" s="33">
        <f t="shared" si="551"/>
        <v>0.32248143293464226</v>
      </c>
      <c r="K421" s="15">
        <f t="shared" si="552"/>
        <v>14695.699999999999</v>
      </c>
      <c r="L421" s="15">
        <f t="shared" si="553"/>
        <v>-489.40000000000146</v>
      </c>
      <c r="M421" s="15">
        <f t="shared" si="554"/>
        <v>5</v>
      </c>
      <c r="N421" s="15">
        <f t="shared" si="555"/>
        <v>0</v>
      </c>
      <c r="O421" s="64">
        <v>-274.5</v>
      </c>
      <c r="P421" s="17">
        <f t="shared" si="556"/>
        <v>1.6069432735425924</v>
      </c>
      <c r="Q421" s="15">
        <f t="shared" si="557"/>
        <v>-3300</v>
      </c>
      <c r="R421" s="35"/>
      <c r="S421" s="35">
        <f t="shared" si="558"/>
        <v>99511.2684999997</v>
      </c>
      <c r="T421" s="35">
        <f t="shared" si="559"/>
        <v>15100.34423368736</v>
      </c>
      <c r="U421" s="35">
        <f t="shared" si="560"/>
        <v>17330.34423368736</v>
      </c>
      <c r="V421" s="15">
        <f t="shared" si="561"/>
        <v>110623.48499999972</v>
      </c>
      <c r="W421" s="17">
        <f t="shared" si="562"/>
        <v>6.3832249093451781</v>
      </c>
      <c r="X421" s="17">
        <f t="shared" si="563"/>
        <v>1.4001681828877706</v>
      </c>
      <c r="Y421" s="17">
        <f t="shared" si="564"/>
        <v>0.2067750906548218</v>
      </c>
      <c r="Z421" s="134">
        <f t="shared" si="565"/>
        <v>0.12867603608618713</v>
      </c>
      <c r="AA421" s="15">
        <f>SUM(L$2:L421)-SUM(AB$2:AB421)</f>
        <v>3583.4834999999584</v>
      </c>
      <c r="AB421" s="64"/>
      <c r="AC421" s="145">
        <f t="shared" si="566"/>
        <v>543.50406043247051</v>
      </c>
      <c r="AD421" s="145">
        <f t="shared" si="567"/>
        <v>-1686.4959395675296</v>
      </c>
    </row>
    <row r="422" spans="1:30" x14ac:dyDescent="0.25">
      <c r="A422" s="148">
        <v>43612</v>
      </c>
      <c r="B422" s="100"/>
      <c r="C422" s="317" t="s">
        <v>720</v>
      </c>
      <c r="D422" s="104">
        <v>400</v>
      </c>
      <c r="E422" s="143">
        <v>6.82</v>
      </c>
      <c r="F422" s="16">
        <f t="shared" si="568"/>
        <v>1830</v>
      </c>
      <c r="G422" s="17">
        <f>H422/F422</f>
        <v>4.4357620218579328</v>
      </c>
      <c r="H422" s="15">
        <f t="shared" si="549"/>
        <v>8117.4445000000178</v>
      </c>
      <c r="I422" s="15">
        <f t="shared" si="550"/>
        <v>4363.1554999999826</v>
      </c>
      <c r="J422" s="33">
        <f t="shared" si="551"/>
        <v>0.5375035825622182</v>
      </c>
      <c r="K422" s="15">
        <f t="shared" si="552"/>
        <v>12480.6</v>
      </c>
      <c r="L422" s="15">
        <f t="shared" si="553"/>
        <v>779.6720000000023</v>
      </c>
      <c r="M422" s="15">
        <f t="shared" si="554"/>
        <v>5</v>
      </c>
      <c r="N422" s="15">
        <f t="shared" si="555"/>
        <v>2.7280000000000002</v>
      </c>
      <c r="O422" s="64"/>
      <c r="P422" s="17">
        <f t="shared" si="556"/>
        <v>2.3842379781420675</v>
      </c>
      <c r="Q422" s="15">
        <f t="shared" si="557"/>
        <v>2994.7720000000008</v>
      </c>
      <c r="R422" s="35"/>
      <c r="S422" s="35">
        <f t="shared" si="558"/>
        <v>102506.0404999997</v>
      </c>
      <c r="T422" s="35">
        <f t="shared" si="559"/>
        <v>15030.211217008753</v>
      </c>
      <c r="U422" s="35">
        <f t="shared" si="560"/>
        <v>16860.211217008753</v>
      </c>
      <c r="V422" s="15">
        <f t="shared" si="561"/>
        <v>110623.48499999971</v>
      </c>
      <c r="W422" s="17">
        <f t="shared" si="562"/>
        <v>6.5612158457660135</v>
      </c>
      <c r="X422" s="17">
        <f t="shared" si="563"/>
        <v>2.1254538239080807</v>
      </c>
      <c r="Y422" s="17">
        <f t="shared" si="564"/>
        <v>0.25878415423398682</v>
      </c>
      <c r="Z422" s="134">
        <f t="shared" si="565"/>
        <v>0.10853956551587428</v>
      </c>
      <c r="AA422" s="15">
        <f>SUM(L$2:L422)-SUM(AB$2:AB422)</f>
        <v>4363.1554999999571</v>
      </c>
      <c r="AB422" s="64"/>
      <c r="AC422" s="145">
        <f t="shared" si="566"/>
        <v>639.4389915322555</v>
      </c>
      <c r="AD422" s="145">
        <f t="shared" si="567"/>
        <v>-1190.5610084677446</v>
      </c>
    </row>
    <row r="423" spans="1:30" x14ac:dyDescent="0.25">
      <c r="A423" s="148">
        <v>43630</v>
      </c>
      <c r="B423" s="100" t="s">
        <v>734</v>
      </c>
      <c r="C423" s="317" t="s">
        <v>63</v>
      </c>
      <c r="D423" s="104">
        <v>500</v>
      </c>
      <c r="E423" s="143">
        <v>6.63</v>
      </c>
      <c r="F423" s="16">
        <f t="shared" si="568"/>
        <v>2330</v>
      </c>
      <c r="G423" s="17">
        <f t="shared" si="548"/>
        <v>4.9087744635193209</v>
      </c>
      <c r="H423" s="15">
        <f t="shared" si="549"/>
        <v>11437.444500000018</v>
      </c>
      <c r="I423" s="15">
        <f t="shared" si="550"/>
        <v>4010.4554999999818</v>
      </c>
      <c r="J423" s="33">
        <f t="shared" si="551"/>
        <v>0.35064261951172537</v>
      </c>
      <c r="K423" s="15">
        <f t="shared" si="552"/>
        <v>15447.9</v>
      </c>
      <c r="L423" s="15">
        <f t="shared" si="553"/>
        <v>-352.70000000000073</v>
      </c>
      <c r="M423" s="15">
        <f t="shared" si="554"/>
        <v>5</v>
      </c>
      <c r="N423" s="15">
        <f t="shared" si="555"/>
        <v>0</v>
      </c>
      <c r="O423" s="64"/>
      <c r="P423" s="17">
        <f t="shared" si="556"/>
        <v>1.721225536480679</v>
      </c>
      <c r="Q423" s="15">
        <f t="shared" si="557"/>
        <v>-3320</v>
      </c>
      <c r="R423" s="35"/>
      <c r="S423" s="35">
        <f t="shared" si="558"/>
        <v>99186.040499999697</v>
      </c>
      <c r="T423" s="35">
        <f t="shared" si="559"/>
        <v>14960.187104072353</v>
      </c>
      <c r="U423" s="35">
        <f t="shared" si="560"/>
        <v>17290.187104072353</v>
      </c>
      <c r="V423" s="15">
        <f t="shared" si="561"/>
        <v>110623.48499999971</v>
      </c>
      <c r="W423" s="17">
        <f t="shared" si="562"/>
        <v>6.3980501965733261</v>
      </c>
      <c r="X423" s="17">
        <f t="shared" si="563"/>
        <v>1.4892757330540052</v>
      </c>
      <c r="Y423" s="17">
        <f t="shared" si="564"/>
        <v>0.23194980342667382</v>
      </c>
      <c r="Z423" s="134">
        <f t="shared" si="565"/>
        <v>0.13475851857330196</v>
      </c>
      <c r="AA423" s="15">
        <f>SUM(L$2:L423)-SUM(AB$2:AB423)</f>
        <v>4010.45549999996</v>
      </c>
      <c r="AB423" s="64"/>
      <c r="AC423" s="145">
        <f t="shared" si="566"/>
        <v>604.59280124434122</v>
      </c>
      <c r="AD423" s="145">
        <f t="shared" si="567"/>
        <v>-1725.4071987556588</v>
      </c>
    </row>
    <row r="424" spans="1:30" x14ac:dyDescent="0.25">
      <c r="A424" s="148">
        <v>43637</v>
      </c>
      <c r="B424" s="100"/>
      <c r="C424" s="317" t="s">
        <v>720</v>
      </c>
      <c r="D424" s="104">
        <v>400</v>
      </c>
      <c r="E424" s="143">
        <v>6.83</v>
      </c>
      <c r="F424" s="16">
        <f t="shared" si="568"/>
        <v>1930</v>
      </c>
      <c r="G424" s="17">
        <f t="shared" si="548"/>
        <v>4.514599222797937</v>
      </c>
      <c r="H424" s="15">
        <f t="shared" si="549"/>
        <v>8713.1765000000178</v>
      </c>
      <c r="I424" s="15">
        <f t="shared" si="550"/>
        <v>4468.7234999999819</v>
      </c>
      <c r="J424" s="33">
        <f t="shared" si="551"/>
        <v>0.51286961764173744</v>
      </c>
      <c r="K424" s="15">
        <f t="shared" si="552"/>
        <v>13181.9</v>
      </c>
      <c r="L424" s="15">
        <f t="shared" si="553"/>
        <v>458.26800000000003</v>
      </c>
      <c r="M424" s="15">
        <f t="shared" si="554"/>
        <v>5</v>
      </c>
      <c r="N424" s="15">
        <f t="shared" si="555"/>
        <v>2.7320000000000002</v>
      </c>
      <c r="O424" s="64"/>
      <c r="P424" s="17">
        <f t="shared" si="556"/>
        <v>2.3154007772020631</v>
      </c>
      <c r="Q424" s="15">
        <f t="shared" si="557"/>
        <v>2724.268</v>
      </c>
      <c r="R424" s="35"/>
      <c r="S424" s="35">
        <f t="shared" si="558"/>
        <v>101910.30849999969</v>
      </c>
      <c r="T424" s="35">
        <f t="shared" si="559"/>
        <v>14920.982210834509</v>
      </c>
      <c r="U424" s="35">
        <f t="shared" si="560"/>
        <v>16850.982210834511</v>
      </c>
      <c r="V424" s="15">
        <f t="shared" si="561"/>
        <v>110623.48499999971</v>
      </c>
      <c r="W424" s="17">
        <f t="shared" si="562"/>
        <v>6.5648093159147249</v>
      </c>
      <c r="X424" s="17">
        <f t="shared" si="563"/>
        <v>2.0502100931167879</v>
      </c>
      <c r="Y424" s="17">
        <f t="shared" si="564"/>
        <v>0.26519068408527513</v>
      </c>
      <c r="Z424" s="134">
        <f t="shared" si="565"/>
        <v>0.11453338303087679</v>
      </c>
      <c r="AA424" s="15">
        <f>SUM(L$2:L424)-SUM(AB$2:AB424)</f>
        <v>4468.7234999999564</v>
      </c>
      <c r="AB424" s="64"/>
      <c r="AC424" s="145">
        <f t="shared" si="566"/>
        <v>653.95155757686416</v>
      </c>
      <c r="AD424" s="145">
        <f t="shared" si="567"/>
        <v>-1276.0484424231358</v>
      </c>
    </row>
    <row r="425" spans="1:30" x14ac:dyDescent="0.25">
      <c r="A425" s="148">
        <v>43640</v>
      </c>
      <c r="B425" s="149"/>
      <c r="C425" s="317" t="s">
        <v>720</v>
      </c>
      <c r="D425" s="104">
        <v>400</v>
      </c>
      <c r="E425" s="143">
        <v>6.93</v>
      </c>
      <c r="F425" s="16">
        <f t="shared" si="568"/>
        <v>1530</v>
      </c>
      <c r="G425" s="17">
        <f t="shared" si="548"/>
        <v>3.8882016339869399</v>
      </c>
      <c r="H425" s="15">
        <f t="shared" si="549"/>
        <v>5948.9485000000177</v>
      </c>
      <c r="I425" s="15">
        <f t="shared" si="550"/>
        <v>4653.9514999999819</v>
      </c>
      <c r="J425" s="33">
        <f t="shared" si="551"/>
        <v>0.78231497549524387</v>
      </c>
      <c r="K425" s="15">
        <f t="shared" si="552"/>
        <v>10602.9</v>
      </c>
      <c r="L425" s="15">
        <f t="shared" si="553"/>
        <v>185.22800000000007</v>
      </c>
      <c r="M425" s="15">
        <f t="shared" si="554"/>
        <v>5</v>
      </c>
      <c r="N425" s="15">
        <f t="shared" si="555"/>
        <v>2.7719999999999998</v>
      </c>
      <c r="O425" s="64"/>
      <c r="P425" s="17">
        <f t="shared" si="556"/>
        <v>3.0417983660130599</v>
      </c>
      <c r="Q425" s="15">
        <f t="shared" si="557"/>
        <v>2764.2280000000001</v>
      </c>
      <c r="R425" s="35"/>
      <c r="S425" s="35">
        <f t="shared" si="558"/>
        <v>104674.5364999997</v>
      </c>
      <c r="T425" s="35">
        <f t="shared" si="559"/>
        <v>15104.550721500678</v>
      </c>
      <c r="U425" s="35">
        <f t="shared" si="560"/>
        <v>16634.55072150068</v>
      </c>
      <c r="V425" s="15">
        <f t="shared" si="561"/>
        <v>110623.48499999971</v>
      </c>
      <c r="W425" s="17">
        <f t="shared" si="562"/>
        <v>6.6502237933613308</v>
      </c>
      <c r="X425" s="17">
        <f t="shared" si="563"/>
        <v>2.762022159374391</v>
      </c>
      <c r="Y425" s="17">
        <f t="shared" si="564"/>
        <v>0.27977620663866887</v>
      </c>
      <c r="Z425" s="134">
        <f t="shared" si="565"/>
        <v>9.1977236152367303E-2</v>
      </c>
      <c r="AA425" s="15">
        <f>SUM(L$2:L425)-SUM(AB$2:AB425)</f>
        <v>4653.9514999999592</v>
      </c>
      <c r="AB425" s="64"/>
      <c r="AC425" s="145">
        <f t="shared" si="566"/>
        <v>671.23009007936253</v>
      </c>
      <c r="AD425" s="145">
        <f t="shared" si="567"/>
        <v>-858.76990992063747</v>
      </c>
    </row>
    <row r="426" spans="1:30" x14ac:dyDescent="0.25">
      <c r="A426" s="148">
        <v>43641</v>
      </c>
      <c r="B426" s="100" t="s">
        <v>735</v>
      </c>
      <c r="C426" s="317" t="s">
        <v>63</v>
      </c>
      <c r="D426" s="104">
        <v>400</v>
      </c>
      <c r="E426" s="143">
        <v>6.82</v>
      </c>
      <c r="F426" s="16">
        <f t="shared" si="568"/>
        <v>1930</v>
      </c>
      <c r="G426" s="17">
        <f t="shared" si="548"/>
        <v>4.4984189119171072</v>
      </c>
      <c r="H426" s="15">
        <f t="shared" si="549"/>
        <v>8681.9485000000168</v>
      </c>
      <c r="I426" s="15">
        <f t="shared" si="550"/>
        <v>4480.6514999999836</v>
      </c>
      <c r="J426" s="33">
        <f t="shared" si="551"/>
        <v>0.51608823756556199</v>
      </c>
      <c r="K426" s="15">
        <f t="shared" si="552"/>
        <v>13162.6</v>
      </c>
      <c r="L426" s="15">
        <f t="shared" si="553"/>
        <v>-173.29999999999836</v>
      </c>
      <c r="M426" s="15">
        <f t="shared" si="554"/>
        <v>5</v>
      </c>
      <c r="N426" s="15">
        <f t="shared" si="555"/>
        <v>0</v>
      </c>
      <c r="O426" s="64"/>
      <c r="P426" s="17">
        <f t="shared" si="556"/>
        <v>2.3215810880828931</v>
      </c>
      <c r="Q426" s="15">
        <f t="shared" si="557"/>
        <v>-2732.9999999999991</v>
      </c>
      <c r="R426" s="35"/>
      <c r="S426" s="35">
        <f t="shared" si="558"/>
        <v>101941.5364999997</v>
      </c>
      <c r="T426" s="35">
        <f t="shared" si="559"/>
        <v>14947.439369501421</v>
      </c>
      <c r="U426" s="35">
        <f t="shared" si="560"/>
        <v>16877.439369501422</v>
      </c>
      <c r="V426" s="15">
        <f t="shared" si="561"/>
        <v>110623.48499999971</v>
      </c>
      <c r="W426" s="17">
        <f t="shared" si="562"/>
        <v>6.5545182878809918</v>
      </c>
      <c r="X426" s="17">
        <f t="shared" si="563"/>
        <v>2.0560993759638846</v>
      </c>
      <c r="Y426" s="17">
        <f t="shared" si="564"/>
        <v>0.26548171211900851</v>
      </c>
      <c r="Z426" s="134">
        <f t="shared" si="565"/>
        <v>0.11435383992477138</v>
      </c>
      <c r="AA426" s="15">
        <f>SUM(L$2:L426)-SUM(AB$2:AB426)</f>
        <v>4480.6514999999636</v>
      </c>
      <c r="AB426" s="64"/>
      <c r="AC426" s="145">
        <f t="shared" si="566"/>
        <v>656.65852994867794</v>
      </c>
      <c r="AD426" s="145">
        <f t="shared" si="567"/>
        <v>-1273.3414700513222</v>
      </c>
    </row>
    <row r="427" spans="1:30" x14ac:dyDescent="0.25">
      <c r="A427" s="148">
        <v>43641</v>
      </c>
      <c r="B427" s="100" t="s">
        <v>738</v>
      </c>
      <c r="C427" s="317" t="s">
        <v>63</v>
      </c>
      <c r="D427" s="104">
        <v>400</v>
      </c>
      <c r="E427" s="143">
        <v>6.72</v>
      </c>
      <c r="F427" s="16">
        <f t="shared" si="568"/>
        <v>2330</v>
      </c>
      <c r="G427" s="17">
        <f t="shared" si="548"/>
        <v>4.8819521459227539</v>
      </c>
      <c r="H427" s="15">
        <f t="shared" si="549"/>
        <v>11374.948500000017</v>
      </c>
      <c r="I427" s="15">
        <f t="shared" si="550"/>
        <v>4282.6514999999818</v>
      </c>
      <c r="J427" s="33">
        <f t="shared" si="551"/>
        <v>0.37649853975162845</v>
      </c>
      <c r="K427" s="15">
        <f t="shared" si="552"/>
        <v>15657.599999999999</v>
      </c>
      <c r="L427" s="15">
        <f t="shared" si="553"/>
        <v>-198.00000000000182</v>
      </c>
      <c r="M427" s="15">
        <f t="shared" si="554"/>
        <v>5</v>
      </c>
      <c r="N427" s="15">
        <f t="shared" si="555"/>
        <v>0</v>
      </c>
      <c r="O427" s="64"/>
      <c r="P427" s="17">
        <f t="shared" si="556"/>
        <v>1.8380478540772458</v>
      </c>
      <c r="Q427" s="15">
        <f t="shared" si="557"/>
        <v>-2693</v>
      </c>
      <c r="R427" s="35"/>
      <c r="S427" s="35">
        <f t="shared" si="558"/>
        <v>99248.536499999696</v>
      </c>
      <c r="T427" s="35">
        <f t="shared" si="559"/>
        <v>14769.127455357098</v>
      </c>
      <c r="U427" s="35">
        <f t="shared" si="560"/>
        <v>17099.127455357098</v>
      </c>
      <c r="V427" s="15">
        <f t="shared" si="561"/>
        <v>110623.48499999971</v>
      </c>
      <c r="W427" s="17">
        <f t="shared" si="562"/>
        <v>6.4695397638750132</v>
      </c>
      <c r="X427" s="17">
        <f t="shared" si="563"/>
        <v>1.5875876179522592</v>
      </c>
      <c r="Y427" s="17">
        <f t="shared" si="564"/>
        <v>0.25046023612498658</v>
      </c>
      <c r="Z427" s="134">
        <f t="shared" si="565"/>
        <v>0.13626426296214425</v>
      </c>
      <c r="AA427" s="15">
        <f>SUM(L$2:L427)-SUM(AB$2:AB427)</f>
        <v>4282.6514999999636</v>
      </c>
      <c r="AB427" s="64"/>
      <c r="AC427" s="145">
        <f t="shared" si="566"/>
        <v>636.98068069196165</v>
      </c>
      <c r="AD427" s="145">
        <f t="shared" si="567"/>
        <v>-1693.0193193080383</v>
      </c>
    </row>
    <row r="428" spans="1:30" x14ac:dyDescent="0.25">
      <c r="A428" s="148">
        <v>43647</v>
      </c>
      <c r="B428" s="149"/>
      <c r="C428" s="317" t="s">
        <v>69</v>
      </c>
      <c r="D428" s="104">
        <v>400</v>
      </c>
      <c r="E428" s="143">
        <v>6.88</v>
      </c>
      <c r="F428" s="16">
        <f t="shared" si="568"/>
        <v>1930</v>
      </c>
      <c r="G428" s="17">
        <f t="shared" si="548"/>
        <v>4.4718655440414601</v>
      </c>
      <c r="H428" s="15">
        <f t="shared" si="549"/>
        <v>8630.7005000000172</v>
      </c>
      <c r="I428" s="15">
        <f t="shared" si="550"/>
        <v>4647.6994999999824</v>
      </c>
      <c r="J428" s="33">
        <f t="shared" si="551"/>
        <v>0.53850779551439332</v>
      </c>
      <c r="K428" s="15">
        <f t="shared" si="552"/>
        <v>13278.4</v>
      </c>
      <c r="L428" s="15">
        <f t="shared" si="553"/>
        <v>365.04800000000068</v>
      </c>
      <c r="M428" s="15">
        <f t="shared" si="554"/>
        <v>5</v>
      </c>
      <c r="N428" s="15">
        <f t="shared" si="555"/>
        <v>2.7519999999999998</v>
      </c>
      <c r="O428" s="64"/>
      <c r="P428" s="17">
        <f t="shared" si="556"/>
        <v>2.4081344559585398</v>
      </c>
      <c r="Q428" s="15">
        <f t="shared" si="557"/>
        <v>2744.2479999999996</v>
      </c>
      <c r="R428" s="35"/>
      <c r="S428" s="35">
        <f t="shared" si="558"/>
        <v>101992.78449999969</v>
      </c>
      <c r="T428" s="35">
        <f t="shared" si="559"/>
        <v>14824.532630813908</v>
      </c>
      <c r="U428" s="35">
        <f t="shared" si="560"/>
        <v>16754.532630813908</v>
      </c>
      <c r="V428" s="15">
        <f t="shared" si="561"/>
        <v>110623.48499999971</v>
      </c>
      <c r="W428" s="17">
        <f t="shared" si="562"/>
        <v>6.6026004686366351</v>
      </c>
      <c r="X428" s="17">
        <f t="shared" si="563"/>
        <v>2.130734924595175</v>
      </c>
      <c r="Y428" s="17">
        <f t="shared" si="564"/>
        <v>0.27739953136336482</v>
      </c>
      <c r="Z428" s="134">
        <f t="shared" si="565"/>
        <v>0.11519270889421662</v>
      </c>
      <c r="AA428" s="15">
        <f>SUM(L$2:L428)-SUM(AB$2:AB428)</f>
        <v>4647.6994999999661</v>
      </c>
      <c r="AB428" s="64"/>
      <c r="AC428" s="145">
        <f t="shared" si="566"/>
        <v>675.19994916424173</v>
      </c>
      <c r="AD428" s="145">
        <f t="shared" si="567"/>
        <v>-1254.8000508357582</v>
      </c>
    </row>
    <row r="429" spans="1:30" x14ac:dyDescent="0.25">
      <c r="A429" s="148">
        <v>43654</v>
      </c>
      <c r="B429" s="100"/>
      <c r="C429" s="317" t="s">
        <v>63</v>
      </c>
      <c r="D429" s="104">
        <v>500</v>
      </c>
      <c r="E429" s="143">
        <v>6.59</v>
      </c>
      <c r="F429" s="16">
        <f t="shared" si="568"/>
        <v>2430</v>
      </c>
      <c r="G429" s="17">
        <f t="shared" si="548"/>
        <v>4.9097532921810769</v>
      </c>
      <c r="H429" s="15">
        <f t="shared" si="549"/>
        <v>11930.700500000017</v>
      </c>
      <c r="I429" s="15">
        <f t="shared" si="550"/>
        <v>4082.9994999999817</v>
      </c>
      <c r="J429" s="33">
        <f t="shared" si="551"/>
        <v>0.3422263009619575</v>
      </c>
      <c r="K429" s="15">
        <f t="shared" si="552"/>
        <v>16013.699999999999</v>
      </c>
      <c r="L429" s="15">
        <f t="shared" si="553"/>
        <v>-564.70000000000073</v>
      </c>
      <c r="M429" s="15">
        <f t="shared" si="554"/>
        <v>5</v>
      </c>
      <c r="N429" s="15">
        <f t="shared" si="555"/>
        <v>0</v>
      </c>
      <c r="O429" s="64"/>
      <c r="P429" s="17">
        <f t="shared" si="556"/>
        <v>1.6802467078189229</v>
      </c>
      <c r="Q429" s="15">
        <f t="shared" si="557"/>
        <v>-3300</v>
      </c>
      <c r="R429" s="35"/>
      <c r="S429" s="35">
        <f t="shared" si="558"/>
        <v>98692.784499999689</v>
      </c>
      <c r="T429" s="35">
        <f t="shared" si="559"/>
        <v>14976.143323216949</v>
      </c>
      <c r="U429" s="35">
        <f t="shared" si="560"/>
        <v>17406.143323216951</v>
      </c>
      <c r="V429" s="15">
        <f t="shared" si="561"/>
        <v>110623.48499999971</v>
      </c>
      <c r="W429" s="17">
        <f t="shared" si="562"/>
        <v>6.3554276754946661</v>
      </c>
      <c r="X429" s="17">
        <f t="shared" si="563"/>
        <v>1.4456743833135892</v>
      </c>
      <c r="Y429" s="17">
        <f t="shared" si="564"/>
        <v>0.23457232450533372</v>
      </c>
      <c r="Z429" s="134">
        <f t="shared" si="565"/>
        <v>0.13960588252532524</v>
      </c>
      <c r="AA429" s="15">
        <f>SUM(L$2:L429)-SUM(AB$2:AB429)</f>
        <v>4082.999499999969</v>
      </c>
      <c r="AB429" s="64"/>
      <c r="AC429" s="145">
        <f t="shared" si="566"/>
        <v>619.26525041729622</v>
      </c>
      <c r="AD429" s="145">
        <f t="shared" si="567"/>
        <v>-1810.7347495827039</v>
      </c>
    </row>
    <row r="430" spans="1:30" x14ac:dyDescent="0.25">
      <c r="A430" s="148">
        <v>43655</v>
      </c>
      <c r="B430" s="100" t="s">
        <v>743</v>
      </c>
      <c r="C430" s="317" t="s">
        <v>739</v>
      </c>
      <c r="D430" s="104">
        <v>500</v>
      </c>
      <c r="E430" s="143">
        <v>6.49</v>
      </c>
      <c r="F430" s="16">
        <f t="shared" si="568"/>
        <v>2930</v>
      </c>
      <c r="G430" s="17">
        <f t="shared" si="548"/>
        <v>5.1811264505119512</v>
      </c>
      <c r="H430" s="15">
        <f t="shared" si="549"/>
        <v>15180.700500000017</v>
      </c>
      <c r="I430" s="15">
        <f t="shared" si="550"/>
        <v>3834.9994999999835</v>
      </c>
      <c r="J430" s="33">
        <f t="shared" si="551"/>
        <v>0.252623355555956</v>
      </c>
      <c r="K430" s="15">
        <f t="shared" si="552"/>
        <v>19015.7</v>
      </c>
      <c r="L430" s="15">
        <f t="shared" si="553"/>
        <v>-247.99999999999818</v>
      </c>
      <c r="M430" s="15">
        <f t="shared" si="554"/>
        <v>5</v>
      </c>
      <c r="N430" s="15">
        <f t="shared" si="555"/>
        <v>0</v>
      </c>
      <c r="O430" s="64"/>
      <c r="P430" s="17">
        <f t="shared" si="556"/>
        <v>1.308873549488049</v>
      </c>
      <c r="Q430" s="15">
        <f t="shared" si="557"/>
        <v>-3250</v>
      </c>
      <c r="R430" s="35"/>
      <c r="S430" s="35">
        <f t="shared" si="558"/>
        <v>95442.784499999689</v>
      </c>
      <c r="T430" s="35">
        <f t="shared" si="559"/>
        <v>14706.130123266516</v>
      </c>
      <c r="U430" s="35">
        <f t="shared" si="560"/>
        <v>17636.130123266514</v>
      </c>
      <c r="V430" s="15">
        <f t="shared" si="561"/>
        <v>110623.48499999971</v>
      </c>
      <c r="W430" s="17">
        <f t="shared" si="562"/>
        <v>6.2725486955927687</v>
      </c>
      <c r="X430" s="17">
        <f t="shared" si="563"/>
        <v>1.0914222450808175</v>
      </c>
      <c r="Y430" s="17">
        <f t="shared" si="564"/>
        <v>0.21745130440723148</v>
      </c>
      <c r="Z430" s="134">
        <f t="shared" si="565"/>
        <v>0.16613622033410771</v>
      </c>
      <c r="AA430" s="15">
        <f>SUM(L$2:L430)-SUM(AB$2:AB430)</f>
        <v>3834.999499999969</v>
      </c>
      <c r="AB430" s="64"/>
      <c r="AC430" s="145">
        <f t="shared" si="566"/>
        <v>590.61355936055213</v>
      </c>
      <c r="AD430" s="145">
        <f t="shared" si="567"/>
        <v>-2339.3864406394478</v>
      </c>
    </row>
    <row r="431" spans="1:30" x14ac:dyDescent="0.25">
      <c r="A431" s="148">
        <v>43661</v>
      </c>
      <c r="B431" s="100" t="s">
        <v>741</v>
      </c>
      <c r="C431" s="317" t="s">
        <v>69</v>
      </c>
      <c r="D431" s="104">
        <v>400</v>
      </c>
      <c r="E431" s="143">
        <v>6.62</v>
      </c>
      <c r="F431" s="16">
        <f t="shared" si="568"/>
        <v>2530</v>
      </c>
      <c r="G431" s="17">
        <f t="shared" si="548"/>
        <v>4.9566594861660143</v>
      </c>
      <c r="H431" s="15">
        <f t="shared" si="549"/>
        <v>12540.348500000016</v>
      </c>
      <c r="I431" s="15">
        <f t="shared" si="550"/>
        <v>4208.2514999999821</v>
      </c>
      <c r="J431" s="33">
        <f t="shared" si="551"/>
        <v>0.33557691797799549</v>
      </c>
      <c r="K431" s="15">
        <f t="shared" si="552"/>
        <v>16748.599999999999</v>
      </c>
      <c r="L431" s="15">
        <f t="shared" si="553"/>
        <v>373.25199999999859</v>
      </c>
      <c r="M431" s="15">
        <f t="shared" si="554"/>
        <v>5</v>
      </c>
      <c r="N431" s="15">
        <f t="shared" si="555"/>
        <v>2.6480000000000001</v>
      </c>
      <c r="O431" s="64"/>
      <c r="P431" s="17">
        <f t="shared" si="556"/>
        <v>1.6633405138339858</v>
      </c>
      <c r="Q431" s="15">
        <f t="shared" si="557"/>
        <v>2640.3520000000008</v>
      </c>
      <c r="R431" s="35"/>
      <c r="S431" s="35">
        <f t="shared" si="558"/>
        <v>98083.136499999688</v>
      </c>
      <c r="T431" s="35">
        <f t="shared" si="559"/>
        <v>14816.183761329257</v>
      </c>
      <c r="U431" s="35">
        <f t="shared" si="560"/>
        <v>17346.183761329259</v>
      </c>
      <c r="V431" s="15">
        <f t="shared" si="561"/>
        <v>110623.48499999971</v>
      </c>
      <c r="W431" s="17">
        <f t="shared" si="562"/>
        <v>6.3773961190598216</v>
      </c>
      <c r="X431" s="17">
        <f t="shared" si="563"/>
        <v>1.4207366328938074</v>
      </c>
      <c r="Y431" s="17">
        <f t="shared" si="564"/>
        <v>0.24260388094017848</v>
      </c>
      <c r="Z431" s="134">
        <f t="shared" si="565"/>
        <v>0.14585340699781235</v>
      </c>
      <c r="AA431" s="15">
        <f>SUM(L$2:L455)-SUM(AB$2:AB455)</f>
        <v>5212.8747999999832</v>
      </c>
      <c r="AB431" s="64"/>
      <c r="AC431" s="145">
        <f t="shared" si="566"/>
        <v>635.3696939954657</v>
      </c>
      <c r="AD431" s="145">
        <f t="shared" si="567"/>
        <v>-1894.6303060045343</v>
      </c>
    </row>
    <row r="432" spans="1:30" x14ac:dyDescent="0.25">
      <c r="A432" s="148">
        <v>43663</v>
      </c>
      <c r="B432" s="327"/>
      <c r="C432" s="317" t="s">
        <v>69</v>
      </c>
      <c r="D432" s="104">
        <v>400</v>
      </c>
      <c r="E432" s="143">
        <v>6.74</v>
      </c>
      <c r="F432" s="16">
        <f t="shared" si="568"/>
        <v>2130</v>
      </c>
      <c r="G432" s="292">
        <f t="shared" ref="G432:G437" si="569">H432/F432</f>
        <v>4.6253730046948434</v>
      </c>
      <c r="H432" s="143">
        <f t="shared" ref="H432:H437" si="570">IF(C432="买",H431+D432*E432+M432+N432,H431+-1*D432*E432+M432+N432)+O431</f>
        <v>9852.0445000000163</v>
      </c>
      <c r="I432" s="143">
        <f t="shared" ref="I432:I437" si="571">-H432+K432</f>
        <v>4504.1554999999844</v>
      </c>
      <c r="J432" s="293">
        <f t="shared" ref="J432:J437" si="572">(E432-G432)/G432</f>
        <v>0.45717977623832057</v>
      </c>
      <c r="K432" s="143">
        <f t="shared" ref="K432:K437" si="573">F432*E432</f>
        <v>14356.2</v>
      </c>
      <c r="L432" s="143">
        <f t="shared" ref="L432:L437" si="574">I432-I431</f>
        <v>295.90400000000227</v>
      </c>
      <c r="M432" s="143">
        <f t="shared" ref="M432:M437" si="575">IF(D432*E432*2.5/10000&gt;5,D432*E432*2.5/10000,5)</f>
        <v>5</v>
      </c>
      <c r="N432" s="143">
        <f t="shared" ref="N432:N437" si="576">IF(C432="卖",D432*E432/1000,0)</f>
        <v>2.6960000000000002</v>
      </c>
      <c r="O432" s="64"/>
      <c r="P432" s="292">
        <f t="shared" ref="P432:P437" si="577">E432-G432</f>
        <v>2.1146269953051569</v>
      </c>
      <c r="Q432" s="143">
        <f t="shared" ref="Q432:Q437" si="578">(H432-H431)*-1</f>
        <v>2688.3040000000001</v>
      </c>
      <c r="R432" s="323"/>
      <c r="S432" s="323">
        <f t="shared" ref="S432:S437" si="579">S431+Q432+O432+R432</f>
        <v>100771.44049999969</v>
      </c>
      <c r="T432" s="323">
        <f t="shared" ref="T432:T437" si="580">S432/E432</f>
        <v>14951.252299703217</v>
      </c>
      <c r="U432" s="323">
        <f t="shared" ref="U432:U437" si="581">F432+T432</f>
        <v>17081.252299703217</v>
      </c>
      <c r="V432" s="143">
        <f t="shared" ref="V432:V437" si="582">H432+S432</f>
        <v>110623.48499999971</v>
      </c>
      <c r="W432" s="292">
        <f t="shared" ref="W432:W437" si="583">V432/U432</f>
        <v>6.4763099952526177</v>
      </c>
      <c r="X432" s="292">
        <f t="shared" ref="X432:X437" si="584">W432-G432</f>
        <v>1.8509369905577744</v>
      </c>
      <c r="Y432" s="292">
        <f t="shared" ref="Y432:Y437" si="585">(X432-P432)*-1</f>
        <v>0.26369000474738247</v>
      </c>
      <c r="Z432" s="324">
        <f t="shared" ref="Z432:Z437" si="586">F432/U432</f>
        <v>0.12469811713026499</v>
      </c>
      <c r="AA432" s="143">
        <f>SUM(L$2:L432)-SUM(AB$2:AB432)</f>
        <v>4504.1554999999717</v>
      </c>
      <c r="AB432" s="64"/>
      <c r="AC432" s="145">
        <f t="shared" ref="AC432:AC437" si="587">I432/E432*(1-0.0005)</f>
        <v>667.93819321216381</v>
      </c>
      <c r="AD432" s="145">
        <f t="shared" ref="AD432:AD437" si="588">AC432-F432</f>
        <v>-1462.0618067878363</v>
      </c>
    </row>
    <row r="433" spans="1:30" x14ac:dyDescent="0.25">
      <c r="A433" s="148">
        <v>43672</v>
      </c>
      <c r="B433" s="327"/>
      <c r="C433" s="317" t="s">
        <v>69</v>
      </c>
      <c r="D433" s="104">
        <v>400</v>
      </c>
      <c r="E433" s="143">
        <v>6.93</v>
      </c>
      <c r="F433" s="16">
        <f t="shared" si="568"/>
        <v>1730</v>
      </c>
      <c r="G433" s="292">
        <f t="shared" si="569"/>
        <v>4.0970037572254432</v>
      </c>
      <c r="H433" s="143">
        <f t="shared" si="570"/>
        <v>7087.8165000000163</v>
      </c>
      <c r="I433" s="143">
        <f t="shared" si="571"/>
        <v>4901.0834999999834</v>
      </c>
      <c r="J433" s="293">
        <f t="shared" si="572"/>
        <v>0.69148002068055392</v>
      </c>
      <c r="K433" s="143">
        <f t="shared" si="573"/>
        <v>11988.9</v>
      </c>
      <c r="L433" s="143">
        <f t="shared" si="574"/>
        <v>396.92799999999897</v>
      </c>
      <c r="M433" s="143">
        <f t="shared" si="575"/>
        <v>5</v>
      </c>
      <c r="N433" s="143">
        <f t="shared" si="576"/>
        <v>2.7719999999999998</v>
      </c>
      <c r="O433" s="64"/>
      <c r="P433" s="292">
        <f t="shared" si="577"/>
        <v>2.8329962427745565</v>
      </c>
      <c r="Q433" s="143">
        <f t="shared" si="578"/>
        <v>2764.2280000000001</v>
      </c>
      <c r="R433" s="323"/>
      <c r="S433" s="323">
        <f t="shared" si="579"/>
        <v>103535.66849999969</v>
      </c>
      <c r="T433" s="323">
        <f t="shared" si="580"/>
        <v>14940.211904761862</v>
      </c>
      <c r="U433" s="323">
        <f t="shared" si="581"/>
        <v>16670.211904761862</v>
      </c>
      <c r="V433" s="143">
        <f t="shared" si="582"/>
        <v>110623.48499999971</v>
      </c>
      <c r="W433" s="292">
        <f t="shared" si="583"/>
        <v>6.635997528525718</v>
      </c>
      <c r="X433" s="292">
        <f t="shared" si="584"/>
        <v>2.5389937713002748</v>
      </c>
      <c r="Y433" s="292">
        <f t="shared" si="585"/>
        <v>0.29400247147428171</v>
      </c>
      <c r="Z433" s="324">
        <f t="shared" si="586"/>
        <v>0.10377792495282102</v>
      </c>
      <c r="AA433" s="143">
        <f>SUM(L$2:L433)-SUM(AB$2:AB433)</f>
        <v>4901.0834999999715</v>
      </c>
      <c r="AB433" s="64"/>
      <c r="AC433" s="145">
        <f t="shared" si="587"/>
        <v>706.87344274891541</v>
      </c>
      <c r="AD433" s="145">
        <f t="shared" si="588"/>
        <v>-1023.1265572510846</v>
      </c>
    </row>
    <row r="434" spans="1:30" x14ac:dyDescent="0.25">
      <c r="A434" s="148">
        <v>43679</v>
      </c>
      <c r="B434" s="332" t="s">
        <v>755</v>
      </c>
      <c r="C434" s="317" t="s">
        <v>754</v>
      </c>
      <c r="D434" s="104">
        <v>500</v>
      </c>
      <c r="E434" s="143">
        <v>6.58</v>
      </c>
      <c r="F434" s="16">
        <f t="shared" si="568"/>
        <v>2230</v>
      </c>
      <c r="G434" s="292">
        <f t="shared" si="569"/>
        <v>4.6559715246636841</v>
      </c>
      <c r="H434" s="143">
        <f t="shared" si="570"/>
        <v>10382.816500000015</v>
      </c>
      <c r="I434" s="143">
        <f t="shared" si="571"/>
        <v>4290.5834999999843</v>
      </c>
      <c r="J434" s="293">
        <f t="shared" si="572"/>
        <v>0.4132388836882534</v>
      </c>
      <c r="K434" s="143">
        <f t="shared" si="573"/>
        <v>14673.4</v>
      </c>
      <c r="L434" s="143">
        <f t="shared" si="574"/>
        <v>-610.49999999999909</v>
      </c>
      <c r="M434" s="143">
        <f t="shared" si="575"/>
        <v>5</v>
      </c>
      <c r="N434" s="143">
        <f t="shared" si="576"/>
        <v>0</v>
      </c>
      <c r="O434" s="64"/>
      <c r="P434" s="292">
        <f t="shared" si="577"/>
        <v>1.9240284753363159</v>
      </c>
      <c r="Q434" s="143">
        <f t="shared" si="578"/>
        <v>-3294.9999999999991</v>
      </c>
      <c r="R434" s="323"/>
      <c r="S434" s="323">
        <f t="shared" si="579"/>
        <v>100240.66849999969</v>
      </c>
      <c r="T434" s="323">
        <f t="shared" si="580"/>
        <v>15234.144148936124</v>
      </c>
      <c r="U434" s="323">
        <f t="shared" si="581"/>
        <v>17464.144148936124</v>
      </c>
      <c r="V434" s="143">
        <f t="shared" si="582"/>
        <v>110623.48499999971</v>
      </c>
      <c r="W434" s="292">
        <f t="shared" si="583"/>
        <v>6.3343204257014012</v>
      </c>
      <c r="X434" s="292">
        <f t="shared" si="584"/>
        <v>1.6783489010377171</v>
      </c>
      <c r="Y434" s="292">
        <f t="shared" si="585"/>
        <v>0.24567957429859888</v>
      </c>
      <c r="Z434" s="324">
        <f t="shared" si="586"/>
        <v>0.12769019660982622</v>
      </c>
      <c r="AA434" s="143">
        <f>SUM(L$2:L434)-SUM(AB$2:AB434)</f>
        <v>4290.5834999999715</v>
      </c>
      <c r="AB434" s="64"/>
      <c r="AC434" s="145">
        <f t="shared" si="587"/>
        <v>651.73832952127418</v>
      </c>
      <c r="AD434" s="145">
        <f t="shared" si="588"/>
        <v>-1578.2616704787258</v>
      </c>
    </row>
    <row r="435" spans="1:30" x14ac:dyDescent="0.25">
      <c r="A435" s="148">
        <v>43690</v>
      </c>
      <c r="B435" s="332"/>
      <c r="C435" s="317" t="s">
        <v>758</v>
      </c>
      <c r="D435" s="104">
        <v>500</v>
      </c>
      <c r="E435" s="143">
        <v>6.15</v>
      </c>
      <c r="F435" s="16">
        <f t="shared" si="568"/>
        <v>2730</v>
      </c>
      <c r="G435" s="292">
        <f t="shared" si="569"/>
        <v>4.9314346153846209</v>
      </c>
      <c r="H435" s="143">
        <f t="shared" si="570"/>
        <v>13462.816500000015</v>
      </c>
      <c r="I435" s="143">
        <f t="shared" si="571"/>
        <v>3326.6834999999846</v>
      </c>
      <c r="J435" s="293">
        <f t="shared" si="572"/>
        <v>0.24710160017407815</v>
      </c>
      <c r="K435" s="143">
        <f t="shared" si="573"/>
        <v>16789.5</v>
      </c>
      <c r="L435" s="143">
        <f t="shared" si="574"/>
        <v>-963.89999999999964</v>
      </c>
      <c r="M435" s="143">
        <f t="shared" si="575"/>
        <v>5</v>
      </c>
      <c r="N435" s="143">
        <f t="shared" si="576"/>
        <v>0</v>
      </c>
      <c r="O435" s="64"/>
      <c r="P435" s="292">
        <f t="shared" si="577"/>
        <v>1.2185653846153794</v>
      </c>
      <c r="Q435" s="143">
        <f t="shared" si="578"/>
        <v>-3080</v>
      </c>
      <c r="R435" s="323"/>
      <c r="S435" s="323">
        <f t="shared" si="579"/>
        <v>97160.668499999694</v>
      </c>
      <c r="T435" s="323">
        <f t="shared" si="580"/>
        <v>15798.482682926779</v>
      </c>
      <c r="U435" s="323">
        <f t="shared" si="581"/>
        <v>18528.482682926777</v>
      </c>
      <c r="V435" s="143">
        <f t="shared" si="582"/>
        <v>110623.48499999971</v>
      </c>
      <c r="W435" s="292">
        <f t="shared" si="583"/>
        <v>5.9704556974832395</v>
      </c>
      <c r="X435" s="292">
        <f t="shared" si="584"/>
        <v>1.0390210820986185</v>
      </c>
      <c r="Y435" s="292">
        <f t="shared" si="585"/>
        <v>0.1795443025167609</v>
      </c>
      <c r="Z435" s="324">
        <f t="shared" si="586"/>
        <v>0.14734072113285246</v>
      </c>
      <c r="AA435" s="143">
        <f>SUM(L$2:L435)-SUM(AB$2:AB435)</f>
        <v>3326.6834999999701</v>
      </c>
      <c r="AB435" s="64"/>
      <c r="AC435" s="145">
        <f t="shared" si="587"/>
        <v>540.65368426829014</v>
      </c>
      <c r="AD435" s="145">
        <f t="shared" si="588"/>
        <v>-2189.3463157317101</v>
      </c>
    </row>
    <row r="436" spans="1:30" x14ac:dyDescent="0.25">
      <c r="A436" s="148">
        <v>43712</v>
      </c>
      <c r="B436" s="332" t="s">
        <v>767</v>
      </c>
      <c r="C436" s="317" t="s">
        <v>69</v>
      </c>
      <c r="D436" s="104">
        <v>400</v>
      </c>
      <c r="E436" s="143">
        <v>6.4</v>
      </c>
      <c r="F436" s="16">
        <f t="shared" si="568"/>
        <v>2330</v>
      </c>
      <c r="G436" s="292">
        <f t="shared" si="569"/>
        <v>4.6825650214592338</v>
      </c>
      <c r="H436" s="143">
        <f t="shared" si="570"/>
        <v>10910.376500000015</v>
      </c>
      <c r="I436" s="143">
        <f t="shared" si="571"/>
        <v>4001.6234999999851</v>
      </c>
      <c r="J436" s="293">
        <f t="shared" si="572"/>
        <v>0.36677226491679554</v>
      </c>
      <c r="K436" s="143">
        <f t="shared" si="573"/>
        <v>14912</v>
      </c>
      <c r="L436" s="143">
        <f t="shared" si="574"/>
        <v>674.94000000000051</v>
      </c>
      <c r="M436" s="143">
        <f t="shared" si="575"/>
        <v>5</v>
      </c>
      <c r="N436" s="143">
        <f t="shared" si="576"/>
        <v>2.56</v>
      </c>
      <c r="O436" s="64"/>
      <c r="P436" s="292">
        <f t="shared" si="577"/>
        <v>1.7174349785407665</v>
      </c>
      <c r="Q436" s="143">
        <f t="shared" si="578"/>
        <v>2552.4400000000005</v>
      </c>
      <c r="R436" s="323"/>
      <c r="S436" s="323">
        <f t="shared" si="579"/>
        <v>99713.108499999697</v>
      </c>
      <c r="T436" s="323">
        <f t="shared" si="580"/>
        <v>15580.173203124952</v>
      </c>
      <c r="U436" s="323">
        <f t="shared" si="581"/>
        <v>17910.173203124952</v>
      </c>
      <c r="V436" s="143">
        <f t="shared" si="582"/>
        <v>110623.48499999971</v>
      </c>
      <c r="W436" s="292">
        <f t="shared" si="583"/>
        <v>6.1765725962213596</v>
      </c>
      <c r="X436" s="292">
        <f t="shared" si="584"/>
        <v>1.4940075747621258</v>
      </c>
      <c r="Y436" s="292">
        <f t="shared" si="585"/>
        <v>0.22342740377864079</v>
      </c>
      <c r="Z436" s="324">
        <f t="shared" si="586"/>
        <v>0.13009366093642599</v>
      </c>
      <c r="AA436" s="143">
        <f>SUM(L$2:L436)-SUM(AB$2:AB436)</f>
        <v>4001.6234999999724</v>
      </c>
      <c r="AB436" s="64"/>
      <c r="AC436" s="145">
        <f t="shared" si="587"/>
        <v>624.94104503906021</v>
      </c>
      <c r="AD436" s="145">
        <f t="shared" si="588"/>
        <v>-1705.0589549609399</v>
      </c>
    </row>
    <row r="437" spans="1:30" x14ac:dyDescent="0.25">
      <c r="A437" s="148">
        <v>43713</v>
      </c>
      <c r="B437" s="327"/>
      <c r="C437" s="317" t="s">
        <v>69</v>
      </c>
      <c r="D437" s="104">
        <v>400</v>
      </c>
      <c r="E437" s="143">
        <v>6.58</v>
      </c>
      <c r="F437" s="16">
        <f t="shared" si="568"/>
        <v>1930</v>
      </c>
      <c r="G437" s="292">
        <f t="shared" si="569"/>
        <v>4.2932686528497488</v>
      </c>
      <c r="H437" s="143">
        <f t="shared" si="570"/>
        <v>8286.0085000000145</v>
      </c>
      <c r="I437" s="143">
        <f t="shared" si="571"/>
        <v>4413.3914999999852</v>
      </c>
      <c r="J437" s="293">
        <f t="shared" si="572"/>
        <v>0.53263178525582933</v>
      </c>
      <c r="K437" s="143">
        <f t="shared" si="573"/>
        <v>12699.4</v>
      </c>
      <c r="L437" s="143">
        <f t="shared" si="574"/>
        <v>411.76800000000003</v>
      </c>
      <c r="M437" s="143">
        <f t="shared" si="575"/>
        <v>5</v>
      </c>
      <c r="N437" s="143">
        <f t="shared" si="576"/>
        <v>2.6320000000000001</v>
      </c>
      <c r="O437" s="64"/>
      <c r="P437" s="292">
        <f t="shared" si="577"/>
        <v>2.2867313471502513</v>
      </c>
      <c r="Q437" s="143">
        <f t="shared" si="578"/>
        <v>2624.3680000000004</v>
      </c>
      <c r="R437" s="323"/>
      <c r="S437" s="323">
        <f t="shared" si="579"/>
        <v>102337.4764999997</v>
      </c>
      <c r="T437" s="323">
        <f t="shared" si="580"/>
        <v>15552.807978723358</v>
      </c>
      <c r="U437" s="323">
        <f t="shared" si="581"/>
        <v>17482.807978723358</v>
      </c>
      <c r="V437" s="143">
        <f t="shared" si="582"/>
        <v>110623.48499999971</v>
      </c>
      <c r="W437" s="292">
        <f t="shared" si="583"/>
        <v>6.3275582008696141</v>
      </c>
      <c r="X437" s="292">
        <f t="shared" si="584"/>
        <v>2.0342895480198653</v>
      </c>
      <c r="Y437" s="292">
        <f t="shared" si="585"/>
        <v>0.252441799130386</v>
      </c>
      <c r="Z437" s="324">
        <f t="shared" si="586"/>
        <v>0.11039416564826526</v>
      </c>
      <c r="AA437" s="143">
        <f>SUM(L$2:L455)-SUM(AB$2:AB455)</f>
        <v>5212.8747999999832</v>
      </c>
      <c r="AB437" s="64"/>
      <c r="AC437" s="145">
        <f t="shared" si="587"/>
        <v>670.39282739361477</v>
      </c>
      <c r="AD437" s="145">
        <f t="shared" si="588"/>
        <v>-1259.6071726063851</v>
      </c>
    </row>
    <row r="438" spans="1:30" x14ac:dyDescent="0.25">
      <c r="A438" s="148">
        <v>43733</v>
      </c>
      <c r="B438" s="332" t="s">
        <v>772</v>
      </c>
      <c r="C438" s="317" t="s">
        <v>771</v>
      </c>
      <c r="D438" s="104">
        <v>400</v>
      </c>
      <c r="E438" s="143">
        <v>6.28</v>
      </c>
      <c r="F438" s="16">
        <f t="shared" si="568"/>
        <v>2330</v>
      </c>
      <c r="G438" s="292">
        <f t="shared" ref="G438:G443" si="589">H438/F438</f>
        <v>4.6364843347639546</v>
      </c>
      <c r="H438" s="143">
        <f t="shared" ref="H438:H443" si="590">IF(C438="买",H437+D438*E438+M438+N438,H437+-1*D438*E438+M438+N438)+O437</f>
        <v>10803.008500000014</v>
      </c>
      <c r="I438" s="143">
        <f t="shared" ref="I438:I443" si="591">-H438+K438</f>
        <v>3829.391499999987</v>
      </c>
      <c r="J438" s="293">
        <f t="shared" ref="J438:J443" si="592">(E438-G438)/G438</f>
        <v>0.35447454290163533</v>
      </c>
      <c r="K438" s="143">
        <f t="shared" ref="K438:K443" si="593">F438*E438</f>
        <v>14632.400000000001</v>
      </c>
      <c r="L438" s="143">
        <f t="shared" ref="L438:L443" si="594">I438-I437</f>
        <v>-583.99999999999818</v>
      </c>
      <c r="M438" s="143">
        <f t="shared" ref="M438:M443" si="595">IF(D438*E438*2.5/10000&gt;5,D438*E438*2.5/10000,5)</f>
        <v>5</v>
      </c>
      <c r="N438" s="143">
        <f t="shared" ref="N438:N443" si="596">IF(C438="卖",D438*E438/1000,0)</f>
        <v>0</v>
      </c>
      <c r="O438" s="64"/>
      <c r="P438" s="292">
        <f t="shared" ref="P438:P443" si="597">E438-G438</f>
        <v>1.6435156652360456</v>
      </c>
      <c r="Q438" s="143">
        <f t="shared" ref="Q438:Q443" si="598">(H438-H437)*-1</f>
        <v>-2517</v>
      </c>
      <c r="R438" s="323"/>
      <c r="S438" s="323">
        <f t="shared" ref="S438:S443" si="599">S437+Q438+O438+R438</f>
        <v>99820.476499999699</v>
      </c>
      <c r="T438" s="323">
        <f t="shared" ref="T438:T443" si="600">S438/E438</f>
        <v>15894.980334394855</v>
      </c>
      <c r="U438" s="323">
        <f t="shared" ref="U438:U443" si="601">F438+T438</f>
        <v>18224.980334394855</v>
      </c>
      <c r="V438" s="143">
        <f t="shared" ref="V438:V443" si="602">H438+S438</f>
        <v>110623.48499999971</v>
      </c>
      <c r="W438" s="292">
        <f t="shared" ref="W438:W443" si="603">V438/U438</f>
        <v>6.0698822698440438</v>
      </c>
      <c r="X438" s="292">
        <f t="shared" ref="X438:X443" si="604">W438-G438</f>
        <v>1.4333979350800892</v>
      </c>
      <c r="Y438" s="292">
        <f t="shared" ref="Y438:Y443" si="605">(X438-P438)*-1</f>
        <v>0.21011773015595647</v>
      </c>
      <c r="Z438" s="324">
        <f t="shared" ref="Z438:Z443" si="606">F438/U438</f>
        <v>0.12784650283560187</v>
      </c>
      <c r="AA438" s="143">
        <f>SUM(L$2:L438)-SUM(AB$2:AB438)</f>
        <v>3829.3914999999761</v>
      </c>
      <c r="AB438" s="64"/>
      <c r="AC438" s="145">
        <f t="shared" ref="AC438:AC443" si="607">I438/E438*(1-0.0005)</f>
        <v>609.47082870222721</v>
      </c>
      <c r="AD438" s="145">
        <f t="shared" ref="AD438:AD443" si="608">AC438-F438</f>
        <v>-1720.5291712977728</v>
      </c>
    </row>
    <row r="439" spans="1:30" x14ac:dyDescent="0.25">
      <c r="A439" s="148">
        <v>43753</v>
      </c>
      <c r="B439" s="332"/>
      <c r="C439" s="317" t="s">
        <v>69</v>
      </c>
      <c r="D439" s="104">
        <v>400</v>
      </c>
      <c r="E439" s="143">
        <v>6.54</v>
      </c>
      <c r="F439" s="16">
        <f t="shared" si="568"/>
        <v>1930</v>
      </c>
      <c r="G439" s="292">
        <f t="shared" si="589"/>
        <v>4.2459194300518206</v>
      </c>
      <c r="H439" s="143">
        <f t="shared" si="590"/>
        <v>8194.6245000000145</v>
      </c>
      <c r="I439" s="143">
        <f t="shared" si="591"/>
        <v>4427.5754999999863</v>
      </c>
      <c r="J439" s="293">
        <f t="shared" si="592"/>
        <v>0.54030242630397263</v>
      </c>
      <c r="K439" s="143">
        <f t="shared" si="593"/>
        <v>12622.2</v>
      </c>
      <c r="L439" s="143">
        <f t="shared" si="594"/>
        <v>598.18399999999929</v>
      </c>
      <c r="M439" s="143">
        <f t="shared" si="595"/>
        <v>5</v>
      </c>
      <c r="N439" s="143">
        <f t="shared" si="596"/>
        <v>2.6160000000000001</v>
      </c>
      <c r="O439" s="64"/>
      <c r="P439" s="292">
        <f t="shared" si="597"/>
        <v>2.2940805699481794</v>
      </c>
      <c r="Q439" s="143">
        <f t="shared" si="598"/>
        <v>2608.384</v>
      </c>
      <c r="R439" s="323"/>
      <c r="S439" s="323">
        <f t="shared" si="599"/>
        <v>102428.8604999997</v>
      </c>
      <c r="T439" s="323">
        <f t="shared" si="600"/>
        <v>15661.905275229312</v>
      </c>
      <c r="U439" s="323">
        <f t="shared" si="601"/>
        <v>17591.905275229314</v>
      </c>
      <c r="V439" s="143">
        <f t="shared" si="602"/>
        <v>110623.48499999972</v>
      </c>
      <c r="W439" s="292">
        <f t="shared" si="603"/>
        <v>6.2883174544923035</v>
      </c>
      <c r="X439" s="292">
        <f t="shared" si="604"/>
        <v>2.0423980244404829</v>
      </c>
      <c r="Y439" s="292">
        <f t="shared" si="605"/>
        <v>0.25168254550769653</v>
      </c>
      <c r="Z439" s="324">
        <f t="shared" si="606"/>
        <v>0.10970954935265487</v>
      </c>
      <c r="AA439" s="143">
        <f>SUM(L$2:L439)-SUM(AB$2:AB439)</f>
        <v>4427.5754999999772</v>
      </c>
      <c r="AB439" s="64"/>
      <c r="AC439" s="145">
        <f t="shared" si="607"/>
        <v>676.66081227064012</v>
      </c>
      <c r="AD439" s="145">
        <f t="shared" si="608"/>
        <v>-1253.3391877293598</v>
      </c>
    </row>
    <row r="440" spans="1:30" x14ac:dyDescent="0.25">
      <c r="A440" s="148">
        <v>43810</v>
      </c>
      <c r="B440" s="327"/>
      <c r="C440" s="317" t="s">
        <v>69</v>
      </c>
      <c r="D440" s="104">
        <v>400</v>
      </c>
      <c r="E440" s="143">
        <v>6.65</v>
      </c>
      <c r="F440" s="16">
        <f t="shared" si="568"/>
        <v>1530</v>
      </c>
      <c r="G440" s="292">
        <f t="shared" si="589"/>
        <v>3.62240816993465</v>
      </c>
      <c r="H440" s="143">
        <f t="shared" si="590"/>
        <v>5542.2845000000143</v>
      </c>
      <c r="I440" s="143">
        <f t="shared" si="591"/>
        <v>4632.2154999999857</v>
      </c>
      <c r="J440" s="293">
        <f t="shared" si="592"/>
        <v>0.83579532952521185</v>
      </c>
      <c r="K440" s="143">
        <f t="shared" si="593"/>
        <v>10174.5</v>
      </c>
      <c r="L440" s="143">
        <f t="shared" si="594"/>
        <v>204.63999999999942</v>
      </c>
      <c r="M440" s="143">
        <f t="shared" si="595"/>
        <v>5</v>
      </c>
      <c r="N440" s="143">
        <f t="shared" si="596"/>
        <v>2.66</v>
      </c>
      <c r="O440" s="64"/>
      <c r="P440" s="292">
        <f t="shared" si="597"/>
        <v>3.0275918300653504</v>
      </c>
      <c r="Q440" s="143">
        <f t="shared" si="598"/>
        <v>2652.34</v>
      </c>
      <c r="R440" s="323"/>
      <c r="S440" s="323">
        <f t="shared" si="599"/>
        <v>105081.2004999997</v>
      </c>
      <c r="T440" s="323">
        <f t="shared" si="600"/>
        <v>15801.68428571424</v>
      </c>
      <c r="U440" s="323">
        <f t="shared" si="601"/>
        <v>17331.68428571424</v>
      </c>
      <c r="V440" s="143">
        <f t="shared" si="602"/>
        <v>110623.48499999971</v>
      </c>
      <c r="W440" s="292">
        <f t="shared" si="603"/>
        <v>6.3827313708444295</v>
      </c>
      <c r="X440" s="292">
        <f t="shared" si="604"/>
        <v>2.7603232009097796</v>
      </c>
      <c r="Y440" s="292">
        <f t="shared" si="605"/>
        <v>0.26726862915557081</v>
      </c>
      <c r="Z440" s="324">
        <f t="shared" si="606"/>
        <v>8.8277629270059638E-2</v>
      </c>
      <c r="AA440" s="143">
        <f>SUM(L$2:L440)-SUM(AB$2:AB440)</f>
        <v>4632.2154999999766</v>
      </c>
      <c r="AB440" s="64"/>
      <c r="AC440" s="145">
        <f t="shared" si="607"/>
        <v>696.22547251879485</v>
      </c>
      <c r="AD440" s="145">
        <f t="shared" si="608"/>
        <v>-833.77452748120515</v>
      </c>
    </row>
    <row r="441" spans="1:30" x14ac:dyDescent="0.25">
      <c r="A441" s="148">
        <v>43816</v>
      </c>
      <c r="B441" s="327"/>
      <c r="C441" s="317" t="s">
        <v>69</v>
      </c>
      <c r="D441" s="104">
        <v>400</v>
      </c>
      <c r="E441" s="143">
        <v>6.73</v>
      </c>
      <c r="F441" s="16">
        <f t="shared" si="568"/>
        <v>1130</v>
      </c>
      <c r="G441" s="292">
        <f t="shared" si="589"/>
        <v>2.5291827433628447</v>
      </c>
      <c r="H441" s="143">
        <f t="shared" si="590"/>
        <v>2857.9765000000143</v>
      </c>
      <c r="I441" s="143">
        <f t="shared" si="591"/>
        <v>4746.9234999999862</v>
      </c>
      <c r="J441" s="293">
        <f t="shared" si="592"/>
        <v>1.6609386046386183</v>
      </c>
      <c r="K441" s="143">
        <f t="shared" si="593"/>
        <v>7604.9000000000005</v>
      </c>
      <c r="L441" s="143">
        <f t="shared" si="594"/>
        <v>114.70800000000054</v>
      </c>
      <c r="M441" s="143">
        <f t="shared" si="595"/>
        <v>5</v>
      </c>
      <c r="N441" s="143">
        <f t="shared" si="596"/>
        <v>2.6920000000000002</v>
      </c>
      <c r="O441" s="64"/>
      <c r="P441" s="292">
        <f t="shared" si="597"/>
        <v>4.2008172566371558</v>
      </c>
      <c r="Q441" s="143">
        <f t="shared" si="598"/>
        <v>2684.308</v>
      </c>
      <c r="R441" s="323"/>
      <c r="S441" s="323">
        <f t="shared" si="599"/>
        <v>107765.50849999971</v>
      </c>
      <c r="T441" s="323">
        <f t="shared" si="600"/>
        <v>16012.705572065333</v>
      </c>
      <c r="U441" s="323">
        <f t="shared" si="601"/>
        <v>17142.705572065333</v>
      </c>
      <c r="V441" s="143">
        <f t="shared" si="602"/>
        <v>110623.48499999972</v>
      </c>
      <c r="W441" s="292">
        <f t="shared" si="603"/>
        <v>6.4530936808635824</v>
      </c>
      <c r="X441" s="292">
        <f t="shared" si="604"/>
        <v>3.9239109375007377</v>
      </c>
      <c r="Y441" s="292">
        <f t="shared" si="605"/>
        <v>0.27690631913641806</v>
      </c>
      <c r="Z441" s="324">
        <f t="shared" si="606"/>
        <v>6.5917249482565721E-2</v>
      </c>
      <c r="AA441" s="143">
        <f>SUM(L$2:L455)-SUM(AB$2:AB455)</f>
        <v>5212.8747999999832</v>
      </c>
      <c r="AB441" s="64"/>
      <c r="AC441" s="145">
        <f t="shared" si="607"/>
        <v>704.98514684249426</v>
      </c>
      <c r="AD441" s="145">
        <f t="shared" si="608"/>
        <v>-425.01485315750574</v>
      </c>
    </row>
    <row r="442" spans="1:30" x14ac:dyDescent="0.25">
      <c r="A442" s="148">
        <v>43822</v>
      </c>
      <c r="B442" s="332" t="s">
        <v>790</v>
      </c>
      <c r="C442" s="317" t="s">
        <v>63</v>
      </c>
      <c r="D442" s="104">
        <v>400</v>
      </c>
      <c r="E442" s="143">
        <v>6.53</v>
      </c>
      <c r="F442" s="16">
        <f t="shared" si="568"/>
        <v>1530</v>
      </c>
      <c r="G442" s="292">
        <f t="shared" si="589"/>
        <v>3.5784160130719047</v>
      </c>
      <c r="H442" s="143">
        <f t="shared" si="590"/>
        <v>5474.9765000000143</v>
      </c>
      <c r="I442" s="143">
        <f t="shared" si="591"/>
        <v>4515.9234999999853</v>
      </c>
      <c r="J442" s="293">
        <f t="shared" si="592"/>
        <v>0.8248297504107962</v>
      </c>
      <c r="K442" s="143">
        <f t="shared" si="593"/>
        <v>9990.9</v>
      </c>
      <c r="L442" s="143">
        <f t="shared" si="594"/>
        <v>-231.00000000000091</v>
      </c>
      <c r="M442" s="143">
        <f t="shared" si="595"/>
        <v>5</v>
      </c>
      <c r="N442" s="143">
        <f t="shared" si="596"/>
        <v>0</v>
      </c>
      <c r="O442" s="64"/>
      <c r="P442" s="292">
        <f t="shared" si="597"/>
        <v>2.9515839869280955</v>
      </c>
      <c r="Q442" s="143">
        <f t="shared" si="598"/>
        <v>-2617</v>
      </c>
      <c r="R442" s="323"/>
      <c r="S442" s="323">
        <f t="shared" si="599"/>
        <v>105148.50849999971</v>
      </c>
      <c r="T442" s="323">
        <f t="shared" si="600"/>
        <v>16102.374961715115</v>
      </c>
      <c r="U442" s="323">
        <f t="shared" si="601"/>
        <v>17632.374961715115</v>
      </c>
      <c r="V442" s="143">
        <f t="shared" si="602"/>
        <v>110623.48499999972</v>
      </c>
      <c r="W442" s="292">
        <f t="shared" si="603"/>
        <v>6.2738845583873228</v>
      </c>
      <c r="X442" s="292">
        <f t="shared" si="604"/>
        <v>2.6954685453154181</v>
      </c>
      <c r="Y442" s="292">
        <f t="shared" si="605"/>
        <v>0.25611544161267741</v>
      </c>
      <c r="Z442" s="324">
        <f t="shared" si="606"/>
        <v>8.6772201891240616E-2</v>
      </c>
      <c r="AA442" s="143">
        <f>SUM(L$2:L455)-SUM(AB$2:AB455)</f>
        <v>5212.8747999999832</v>
      </c>
      <c r="AB442" s="64"/>
      <c r="AC442" s="145">
        <f t="shared" si="607"/>
        <v>691.21983740428573</v>
      </c>
      <c r="AD442" s="145">
        <f t="shared" si="608"/>
        <v>-838.78016259571427</v>
      </c>
    </row>
    <row r="443" spans="1:30" x14ac:dyDescent="0.25">
      <c r="A443" s="148">
        <v>43822</v>
      </c>
      <c r="B443" s="327"/>
      <c r="C443" s="317" t="s">
        <v>69</v>
      </c>
      <c r="D443" s="104">
        <v>400</v>
      </c>
      <c r="E443" s="143">
        <v>6.69</v>
      </c>
      <c r="F443" s="16">
        <f t="shared" si="568"/>
        <v>1130</v>
      </c>
      <c r="G443" s="292">
        <f t="shared" si="589"/>
        <v>2.4837632743362956</v>
      </c>
      <c r="H443" s="143">
        <f t="shared" si="590"/>
        <v>2806.6525000000142</v>
      </c>
      <c r="I443" s="143">
        <f t="shared" si="591"/>
        <v>4753.047499999986</v>
      </c>
      <c r="J443" s="293">
        <f t="shared" si="592"/>
        <v>1.693493405400192</v>
      </c>
      <c r="K443" s="143">
        <f t="shared" si="593"/>
        <v>7559.7000000000007</v>
      </c>
      <c r="L443" s="143">
        <f t="shared" si="594"/>
        <v>237.12400000000071</v>
      </c>
      <c r="M443" s="143">
        <f t="shared" si="595"/>
        <v>5</v>
      </c>
      <c r="N443" s="143">
        <f t="shared" si="596"/>
        <v>2.6760000000000002</v>
      </c>
      <c r="O443" s="64"/>
      <c r="P443" s="292">
        <f t="shared" si="597"/>
        <v>4.2062367256637048</v>
      </c>
      <c r="Q443" s="143">
        <f t="shared" si="598"/>
        <v>2668.3240000000001</v>
      </c>
      <c r="R443" s="323"/>
      <c r="S443" s="323">
        <f t="shared" si="599"/>
        <v>107816.8324999997</v>
      </c>
      <c r="T443" s="323">
        <f t="shared" si="600"/>
        <v>16116.118460388594</v>
      </c>
      <c r="U443" s="323">
        <f t="shared" si="601"/>
        <v>17246.118460388592</v>
      </c>
      <c r="V443" s="143">
        <f t="shared" si="602"/>
        <v>110623.48499999971</v>
      </c>
      <c r="W443" s="292">
        <f t="shared" si="603"/>
        <v>6.414398999640591</v>
      </c>
      <c r="X443" s="292">
        <f t="shared" si="604"/>
        <v>3.9306357253042954</v>
      </c>
      <c r="Y443" s="292">
        <f t="shared" si="605"/>
        <v>0.27560100035940938</v>
      </c>
      <c r="Z443" s="324">
        <f t="shared" si="606"/>
        <v>6.5521989924597721E-2</v>
      </c>
      <c r="AA443" s="143">
        <f>SUM(L$2:L455)-SUM(AB$2:AB455)</f>
        <v>5212.8747999999832</v>
      </c>
      <c r="AB443" s="64"/>
      <c r="AC443" s="145">
        <f t="shared" si="607"/>
        <v>710.11524308669448</v>
      </c>
      <c r="AD443" s="145">
        <f t="shared" si="608"/>
        <v>-419.88475691330552</v>
      </c>
    </row>
    <row r="444" spans="1:30" x14ac:dyDescent="0.25">
      <c r="A444" s="148">
        <v>43825</v>
      </c>
      <c r="B444" s="327"/>
      <c r="C444" s="317" t="s">
        <v>69</v>
      </c>
      <c r="D444" s="104">
        <v>400</v>
      </c>
      <c r="E444" s="143">
        <v>6.82</v>
      </c>
      <c r="F444" s="16">
        <f>IF(C444="买",F443+D444,F443-D444)</f>
        <v>730</v>
      </c>
      <c r="G444" s="292">
        <f>H444/F444</f>
        <v>0.11832945205481403</v>
      </c>
      <c r="H444" s="143">
        <f>IF(C444="买",H443+D444*E444+M444+N444,H443+-1*D444*E444+M444+N444)+O443</f>
        <v>86.380500000014237</v>
      </c>
      <c r="I444" s="143">
        <f>-H444+K444</f>
        <v>4892.2194999999865</v>
      </c>
      <c r="J444" s="293">
        <f>(E444-G444)/G444</f>
        <v>56.635693240941869</v>
      </c>
      <c r="K444" s="143">
        <f>F444*E444</f>
        <v>4978.6000000000004</v>
      </c>
      <c r="L444" s="143">
        <f>I444-I443</f>
        <v>139.17200000000048</v>
      </c>
      <c r="M444" s="143">
        <f>IF(D444*E444*2.5/10000&gt;5,D444*E444*2.5/10000,5)</f>
        <v>5</v>
      </c>
      <c r="N444" s="143">
        <f>IF(C444="卖",D444*E444/1000,0)</f>
        <v>2.7280000000000002</v>
      </c>
      <c r="O444" s="64"/>
      <c r="P444" s="292">
        <f>E444-G444</f>
        <v>6.7016705479451861</v>
      </c>
      <c r="Q444" s="143">
        <f>(H444-H443)*-1</f>
        <v>2720.2719999999999</v>
      </c>
      <c r="R444" s="323"/>
      <c r="S444" s="323">
        <f>S443+Q444+O444+R444</f>
        <v>110537.1044999997</v>
      </c>
      <c r="T444" s="323">
        <f>S444/E444</f>
        <v>16207.786583577667</v>
      </c>
      <c r="U444" s="323">
        <f>F444+T444</f>
        <v>16937.786583577668</v>
      </c>
      <c r="V444" s="143">
        <f>H444+S444</f>
        <v>110623.48499999971</v>
      </c>
      <c r="W444" s="292">
        <f>V444/U444</f>
        <v>6.5311653594252199</v>
      </c>
      <c r="X444" s="292">
        <f>W444-G444</f>
        <v>6.4128359073704058</v>
      </c>
      <c r="Y444" s="292">
        <f>(X444-P444)*-1</f>
        <v>0.28883464057478037</v>
      </c>
      <c r="Z444" s="324">
        <f>F444/U444</f>
        <v>4.3098901760149966E-2</v>
      </c>
      <c r="AA444" s="143">
        <f>SUM(L$2:L444)-SUM(AB$2:AB444)</f>
        <v>4892.2194999999774</v>
      </c>
      <c r="AB444" s="64"/>
      <c r="AC444" s="145">
        <f>I444/E444*(1-0.0005)</f>
        <v>716.97557041788662</v>
      </c>
      <c r="AD444" s="145">
        <f>AC444-F444</f>
        <v>-13.024429582113385</v>
      </c>
    </row>
    <row r="445" spans="1:30" x14ac:dyDescent="0.25">
      <c r="A445" s="148">
        <v>43832</v>
      </c>
      <c r="B445" s="327"/>
      <c r="C445" s="317" t="s">
        <v>69</v>
      </c>
      <c r="D445" s="104">
        <v>400</v>
      </c>
      <c r="E445" s="143">
        <v>6.98</v>
      </c>
      <c r="F445" s="16">
        <f>IF(C445="买",F444+D445,F444-D445)</f>
        <v>330</v>
      </c>
      <c r="G445" s="292">
        <f>H445/F445</f>
        <v>-8.1752348484848056</v>
      </c>
      <c r="H445" s="143">
        <f>IF(C445="买",H444+D445*E445+M445+N445,H444+-1*D445*E445+M445+N445)+O444</f>
        <v>-2697.8274999999858</v>
      </c>
      <c r="I445" s="143">
        <f>-H445+K445</f>
        <v>5001.2274999999863</v>
      </c>
      <c r="J445" s="293">
        <f>(E445-G445)/G445</f>
        <v>-1.8537981023619976</v>
      </c>
      <c r="K445" s="143">
        <f>F445*E445</f>
        <v>2303.4</v>
      </c>
      <c r="L445" s="143">
        <f>I445-I444</f>
        <v>109.00799999999981</v>
      </c>
      <c r="M445" s="143">
        <f>IF(D445*E445*2.5/10000&gt;5,D445*E445*2.5/10000,5)</f>
        <v>5</v>
      </c>
      <c r="N445" s="143">
        <f>IF(C445="卖",D445*E445/1000,0)</f>
        <v>2.7919999999999998</v>
      </c>
      <c r="O445" s="64"/>
      <c r="P445" s="292">
        <f>E445-G445</f>
        <v>15.155234848484806</v>
      </c>
      <c r="Q445" s="143">
        <f>(H445-H444)*-1</f>
        <v>2784.2080000000001</v>
      </c>
      <c r="R445" s="323"/>
      <c r="S445" s="323">
        <f>S444+Q445+O445+R445</f>
        <v>113321.31249999969</v>
      </c>
      <c r="T445" s="323">
        <f>S445/E445</f>
        <v>16235.145057306545</v>
      </c>
      <c r="U445" s="323">
        <f>F445+T445</f>
        <v>16565.145057306545</v>
      </c>
      <c r="V445" s="143">
        <f>H445+S445</f>
        <v>110623.48499999971</v>
      </c>
      <c r="W445" s="292">
        <f>V445/U445</f>
        <v>6.6780873102711507</v>
      </c>
      <c r="X445" s="292">
        <f>W445-G445</f>
        <v>14.853322158755956</v>
      </c>
      <c r="Y445" s="292">
        <f>(X445-P445)*-1</f>
        <v>0.30191268972884977</v>
      </c>
      <c r="Z445" s="324">
        <f>F445/U445</f>
        <v>1.9921346831457042E-2</v>
      </c>
      <c r="AA445" s="143">
        <f>SUM(L$2:L445)-SUM(AB$2:AB445)</f>
        <v>5001.227499999979</v>
      </c>
      <c r="AB445" s="64"/>
      <c r="AC445" s="145">
        <f>I445/E445*(1-0.0005)</f>
        <v>716.14998370343642</v>
      </c>
      <c r="AD445" s="145">
        <f>AC445-F445</f>
        <v>386.14998370343642</v>
      </c>
    </row>
    <row r="446" spans="1:30" x14ac:dyDescent="0.25">
      <c r="A446" s="148">
        <v>43832</v>
      </c>
      <c r="B446" s="332"/>
      <c r="C446" s="317" t="s">
        <v>69</v>
      </c>
      <c r="D446" s="104">
        <v>230</v>
      </c>
      <c r="E446" s="143">
        <v>7.09</v>
      </c>
      <c r="F446" s="16">
        <f>IF(C446="买",F445+D446,F445-D446)</f>
        <v>100</v>
      </c>
      <c r="G446" s="292">
        <f>H446/F446</f>
        <v>-43.218967999999862</v>
      </c>
      <c r="H446" s="143">
        <f>IF(C446="买",H445+D446*E446+M446+N446,H445+-1*D446*E446+M446+N446)+O445</f>
        <v>-4321.8967999999859</v>
      </c>
      <c r="I446" s="143">
        <f>-H446+K446</f>
        <v>5030.8967999999859</v>
      </c>
      <c r="J446" s="293">
        <f>(E446-G446)/G446</f>
        <v>-1.1640483409969444</v>
      </c>
      <c r="K446" s="143">
        <f>F446*E446</f>
        <v>709</v>
      </c>
      <c r="L446" s="143">
        <f>I446-I445</f>
        <v>29.669299999999566</v>
      </c>
      <c r="M446" s="143">
        <f>IF(D446*E446*2.5/10000&gt;5,D446*E446*2.5/10000,5)</f>
        <v>5</v>
      </c>
      <c r="N446" s="143">
        <f>IF(C446="卖",D446*E446/1000,0)</f>
        <v>1.6307</v>
      </c>
      <c r="O446" s="64"/>
      <c r="P446" s="292">
        <f>E446-G446</f>
        <v>50.308967999999865</v>
      </c>
      <c r="Q446" s="143">
        <f>(H446-H445)*-1</f>
        <v>1624.0693000000001</v>
      </c>
      <c r="R446" s="323"/>
      <c r="S446" s="323">
        <f>S445+Q446+O446+R446</f>
        <v>114945.3817999997</v>
      </c>
      <c r="T446" s="323">
        <f>S446/E446</f>
        <v>16212.324654442835</v>
      </c>
      <c r="U446" s="323">
        <f>F446+T446</f>
        <v>16312.324654442835</v>
      </c>
      <c r="V446" s="143">
        <f>H446+S446</f>
        <v>110623.48499999971</v>
      </c>
      <c r="W446" s="292">
        <f>V446/U446</f>
        <v>6.7815892181786754</v>
      </c>
      <c r="X446" s="292">
        <f>W446-G446</f>
        <v>50.000557218178535</v>
      </c>
      <c r="Y446" s="292">
        <f>(X446-P446)*-1</f>
        <v>0.30841078182132975</v>
      </c>
      <c r="Z446" s="324">
        <f>F446/U446</f>
        <v>6.1303340951324153E-3</v>
      </c>
      <c r="AA446" s="143">
        <f>SUM(L$2:L446)-SUM(AB$2:AB446)</f>
        <v>5030.8967999999804</v>
      </c>
      <c r="AB446" s="64"/>
      <c r="AC446" s="145">
        <f>I446/E446*(1-0.0005)</f>
        <v>709.22162928067507</v>
      </c>
      <c r="AD446" s="145">
        <f>AC446-F446</f>
        <v>609.22162928067507</v>
      </c>
    </row>
    <row r="447" spans="1:30" x14ac:dyDescent="0.25">
      <c r="A447" s="148">
        <v>43850</v>
      </c>
      <c r="B447" s="332" t="s">
        <v>794</v>
      </c>
      <c r="C447" s="317" t="s">
        <v>63</v>
      </c>
      <c r="D447" s="104">
        <v>300</v>
      </c>
      <c r="E447" s="143">
        <v>6.81</v>
      </c>
      <c r="F447" s="16">
        <f t="shared" ref="F447:F455" si="609">IF(C447="买",F446+D447,F446-D447)</f>
        <v>400</v>
      </c>
      <c r="G447" s="292">
        <f>H447/F447</f>
        <v>-5.6847419999999644</v>
      </c>
      <c r="H447" s="143">
        <f>IF(C447="买",H446+D447*E447+M447+N447,H446+-1*D447*E447+M447+N447)+O446</f>
        <v>-2273.8967999999859</v>
      </c>
      <c r="I447" s="143">
        <f>-H447+K447</f>
        <v>4997.8967999999859</v>
      </c>
      <c r="J447" s="293">
        <f>(E447-G447)/G447</f>
        <v>-2.1979435478338405</v>
      </c>
      <c r="K447" s="143">
        <f>F447*E447</f>
        <v>2724</v>
      </c>
      <c r="L447" s="143">
        <f>I447-I446</f>
        <v>-33</v>
      </c>
      <c r="M447" s="143">
        <f>IF(D447*E447*2.5/10000&gt;5,D447*E447*2.5/10000,5)</f>
        <v>5</v>
      </c>
      <c r="N447" s="143">
        <f>IF(C447="卖",D447*E447/1000,0)</f>
        <v>0</v>
      </c>
      <c r="O447" s="64"/>
      <c r="P447" s="292">
        <f>E447-G447</f>
        <v>12.494741999999963</v>
      </c>
      <c r="Q447" s="143">
        <f>(H447-H446)*-1</f>
        <v>-2048</v>
      </c>
      <c r="R447" s="323"/>
      <c r="S447" s="323">
        <f>S446+Q447+O447+R447</f>
        <v>112897.3817999997</v>
      </c>
      <c r="T447" s="323">
        <f>S447/E447</f>
        <v>16578.176475770881</v>
      </c>
      <c r="U447" s="323">
        <f>F447+T447</f>
        <v>16978.176475770881</v>
      </c>
      <c r="V447" s="143">
        <f>H447+S447</f>
        <v>110623.48499999971</v>
      </c>
      <c r="W447" s="292">
        <f>V447/U447</f>
        <v>6.5156281746669107</v>
      </c>
      <c r="X447" s="292">
        <f>W447-G447</f>
        <v>12.200370174666876</v>
      </c>
      <c r="Y447" s="292">
        <f>(X447-P447)*-1</f>
        <v>0.29437182533308714</v>
      </c>
      <c r="Z447" s="324">
        <f>F447/U447</f>
        <v>2.3559656160414503E-2</v>
      </c>
      <c r="AA447" s="143">
        <f>SUM(L$2:L455)-SUM(AB$2:AB455)</f>
        <v>5212.8747999999832</v>
      </c>
      <c r="AB447" s="64"/>
      <c r="AC447" s="145">
        <f>I447/E447*(1-0.0005)</f>
        <v>733.5385978854606</v>
      </c>
      <c r="AD447" s="145">
        <f>AC447-F447</f>
        <v>333.5385978854606</v>
      </c>
    </row>
    <row r="448" spans="1:30" x14ac:dyDescent="0.25">
      <c r="A448" s="148">
        <v>43864</v>
      </c>
      <c r="B448" s="332" t="s">
        <v>799</v>
      </c>
      <c r="C448" s="317" t="s">
        <v>798</v>
      </c>
      <c r="D448" s="104">
        <v>500</v>
      </c>
      <c r="E448" s="143">
        <v>5.95</v>
      </c>
      <c r="F448" s="16">
        <f t="shared" si="609"/>
        <v>900</v>
      </c>
      <c r="G448" s="292">
        <f>H448/F448</f>
        <v>0.78455911111112675</v>
      </c>
      <c r="H448" s="143">
        <f>IF(C448="买",H447+D448*E448+M448+N448,H447+-1*D448*E448+M448+N448)+O447</f>
        <v>706.10320000001411</v>
      </c>
      <c r="I448" s="143">
        <f>-H448+K448</f>
        <v>4648.8967999999859</v>
      </c>
      <c r="J448" s="293">
        <f>(E448-G448)/G448</f>
        <v>6.5838772576018547</v>
      </c>
      <c r="K448" s="143">
        <f>F448*E448</f>
        <v>5355</v>
      </c>
      <c r="L448" s="143">
        <f>I448-I447</f>
        <v>-349</v>
      </c>
      <c r="M448" s="143">
        <f>IF(D448*E448*2.5/10000&gt;5,D448*E448*2.5/10000,5)</f>
        <v>5</v>
      </c>
      <c r="N448" s="143">
        <f>IF(C448="卖",D448*E448/1000,0)</f>
        <v>0</v>
      </c>
      <c r="O448" s="64"/>
      <c r="P448" s="292">
        <f>E448-G448</f>
        <v>5.1654408888888739</v>
      </c>
      <c r="Q448" s="143">
        <f>(H448-H447)*-1</f>
        <v>-2980</v>
      </c>
      <c r="R448" s="323"/>
      <c r="S448" s="323">
        <f>S447+Q448+O448+R448</f>
        <v>109917.3817999997</v>
      </c>
      <c r="T448" s="323">
        <f>S448/E448</f>
        <v>18473.509546218436</v>
      </c>
      <c r="U448" s="323">
        <f>F448+T448</f>
        <v>19373.509546218436</v>
      </c>
      <c r="V448" s="143">
        <f>H448+S448</f>
        <v>110623.48499999971</v>
      </c>
      <c r="W448" s="292">
        <f>V448/U448</f>
        <v>5.7100384799197412</v>
      </c>
      <c r="X448" s="292">
        <f>W448-G448</f>
        <v>4.9254793688086149</v>
      </c>
      <c r="Y448" s="292">
        <f>(X448-P448)*-1</f>
        <v>0.23996152008025895</v>
      </c>
      <c r="Z448" s="324">
        <f>F448/U448</f>
        <v>4.6455186544952731E-2</v>
      </c>
      <c r="AA448" s="143">
        <f>SUM(L$2:L455)-SUM(AB$2:AB455)</f>
        <v>5212.8747999999832</v>
      </c>
      <c r="AB448" s="64"/>
      <c r="AC448" s="145">
        <f>I448/E448*(1-0.0005)</f>
        <v>780.93652968066988</v>
      </c>
      <c r="AD448" s="145">
        <f>AC448-F448</f>
        <v>-119.06347031933012</v>
      </c>
    </row>
    <row r="449" spans="1:30" x14ac:dyDescent="0.25">
      <c r="A449" s="148">
        <v>43867</v>
      </c>
      <c r="B449" s="332"/>
      <c r="C449" s="317" t="s">
        <v>69</v>
      </c>
      <c r="D449" s="104">
        <v>400</v>
      </c>
      <c r="E449" s="143">
        <v>6.23</v>
      </c>
      <c r="F449" s="16">
        <f t="shared" si="609"/>
        <v>500</v>
      </c>
      <c r="G449" s="292">
        <f t="shared" ref="G449:G455" si="610">H449/F449</f>
        <v>-3.5568095999999718</v>
      </c>
      <c r="H449" s="143">
        <f t="shared" ref="H449:H455" si="611">IF(C449="买",H448+D449*E449+M449+N449,H448+-1*D449*E449+M449+N449)+O448</f>
        <v>-1778.4047999999859</v>
      </c>
      <c r="I449" s="143">
        <f t="shared" ref="I449:I455" si="612">-H449+K449</f>
        <v>4893.4047999999857</v>
      </c>
      <c r="J449" s="293">
        <f t="shared" ref="J449:J455" si="613">(E449-G449)/G449</f>
        <v>-2.7515697213592909</v>
      </c>
      <c r="K449" s="143">
        <f t="shared" ref="K449:K455" si="614">F449*E449</f>
        <v>3115</v>
      </c>
      <c r="L449" s="143">
        <f t="shared" ref="L449:L455" si="615">I449-I448</f>
        <v>244.50799999999981</v>
      </c>
      <c r="M449" s="143">
        <f t="shared" ref="M449:M455" si="616">IF(D449*E449*2.5/10000&gt;5,D449*E449*2.5/10000,5)</f>
        <v>5</v>
      </c>
      <c r="N449" s="143">
        <f t="shared" ref="N449:N455" si="617">IF(C449="卖",D449*E449/1000,0)</f>
        <v>2.492</v>
      </c>
      <c r="O449" s="64"/>
      <c r="P449" s="292">
        <f t="shared" ref="P449:P455" si="618">E449-G449</f>
        <v>9.7868095999999731</v>
      </c>
      <c r="Q449" s="143">
        <f t="shared" ref="Q449:Q455" si="619">(H449-H448)*-1</f>
        <v>2484.5079999999998</v>
      </c>
      <c r="R449" s="323"/>
      <c r="S449" s="323">
        <f t="shared" ref="S449:S455" si="620">S448+Q449+O449+R449</f>
        <v>112401.8897999997</v>
      </c>
      <c r="T449" s="323">
        <f t="shared" ref="T449:T455" si="621">S449/E449</f>
        <v>18042.036886035265</v>
      </c>
      <c r="U449" s="323">
        <f t="shared" ref="U449:U455" si="622">F449+T449</f>
        <v>18542.036886035265</v>
      </c>
      <c r="V449" s="143">
        <f t="shared" ref="V449:V455" si="623">H449+S449</f>
        <v>110623.48499999971</v>
      </c>
      <c r="W449" s="292">
        <f t="shared" ref="W449:W455" si="624">V449/U449</f>
        <v>5.9660913026936431</v>
      </c>
      <c r="X449" s="292">
        <f t="shared" ref="X449:X455" si="625">W449-G449</f>
        <v>9.522900902693614</v>
      </c>
      <c r="Y449" s="292">
        <f t="shared" ref="Y449:Y455" si="626">(X449-P449)*-1</f>
        <v>0.26390869730635913</v>
      </c>
      <c r="Z449" s="324">
        <f t="shared" ref="Z449:Z455" si="627">F449/U449</f>
        <v>2.6965753712666251E-2</v>
      </c>
      <c r="AA449" s="143">
        <f>SUM(L$2:L449)-SUM(AB$2:AB449)</f>
        <v>4893.4047999999821</v>
      </c>
      <c r="AB449" s="64"/>
      <c r="AC449" s="145">
        <f t="shared" ref="AC449:AC455" si="628">I449/E449*(1-0.0005)</f>
        <v>785.06550523274245</v>
      </c>
      <c r="AD449" s="145">
        <f t="shared" ref="AD449:AD455" si="629">AC449-F449</f>
        <v>285.06550523274245</v>
      </c>
    </row>
    <row r="450" spans="1:30" x14ac:dyDescent="0.25">
      <c r="A450" s="148">
        <v>43881</v>
      </c>
      <c r="B450" s="332"/>
      <c r="C450" s="317" t="s">
        <v>801</v>
      </c>
      <c r="D450" s="104">
        <v>400</v>
      </c>
      <c r="E450" s="143">
        <v>6.44</v>
      </c>
      <c r="F450" s="16">
        <f t="shared" si="609"/>
        <v>100</v>
      </c>
      <c r="G450" s="292">
        <f t="shared" si="610"/>
        <v>-43.468287999999859</v>
      </c>
      <c r="H450" s="143">
        <f t="shared" si="611"/>
        <v>-4346.8287999999857</v>
      </c>
      <c r="I450" s="143">
        <f t="shared" si="612"/>
        <v>4990.8287999999857</v>
      </c>
      <c r="J450" s="293">
        <f t="shared" si="613"/>
        <v>-1.1481539829679976</v>
      </c>
      <c r="K450" s="143">
        <f t="shared" si="614"/>
        <v>644</v>
      </c>
      <c r="L450" s="143">
        <f t="shared" si="615"/>
        <v>97.423999999999978</v>
      </c>
      <c r="M450" s="143">
        <f t="shared" si="616"/>
        <v>5</v>
      </c>
      <c r="N450" s="143">
        <f t="shared" si="617"/>
        <v>2.5760000000000001</v>
      </c>
      <c r="O450" s="64"/>
      <c r="P450" s="292">
        <f t="shared" si="618"/>
        <v>49.908287999999857</v>
      </c>
      <c r="Q450" s="143">
        <f t="shared" si="619"/>
        <v>2568.424</v>
      </c>
      <c r="R450" s="323"/>
      <c r="S450" s="323">
        <f t="shared" si="620"/>
        <v>114970.3137999997</v>
      </c>
      <c r="T450" s="323">
        <f t="shared" si="621"/>
        <v>17852.533198757716</v>
      </c>
      <c r="U450" s="323">
        <f t="shared" si="622"/>
        <v>17952.533198757716</v>
      </c>
      <c r="V450" s="143">
        <f t="shared" si="623"/>
        <v>110623.48499999971</v>
      </c>
      <c r="W450" s="292">
        <f t="shared" si="624"/>
        <v>6.1619986313494</v>
      </c>
      <c r="X450" s="292">
        <f t="shared" si="625"/>
        <v>49.630286631349257</v>
      </c>
      <c r="Y450" s="292">
        <f t="shared" si="626"/>
        <v>0.27800136865059955</v>
      </c>
      <c r="Z450" s="324">
        <f t="shared" si="627"/>
        <v>5.5702445383540543E-3</v>
      </c>
      <c r="AA450" s="143">
        <f>SUM(L$2:L450)-SUM(AB$2:AB450)</f>
        <v>4990.8287999999811</v>
      </c>
      <c r="AB450" s="64"/>
      <c r="AC450" s="145">
        <f t="shared" si="628"/>
        <v>774.58592944099155</v>
      </c>
      <c r="AD450" s="145">
        <f t="shared" si="629"/>
        <v>674.58592944099155</v>
      </c>
    </row>
    <row r="451" spans="1:30" x14ac:dyDescent="0.25">
      <c r="A451" s="148">
        <v>43978</v>
      </c>
      <c r="B451" s="332" t="s">
        <v>824</v>
      </c>
      <c r="C451" s="317" t="s">
        <v>821</v>
      </c>
      <c r="D451" s="104">
        <v>400</v>
      </c>
      <c r="E451" s="143">
        <v>6.4</v>
      </c>
      <c r="F451" s="16">
        <f t="shared" si="609"/>
        <v>500</v>
      </c>
      <c r="G451" s="292">
        <f t="shared" si="610"/>
        <v>-3.5636575999999716</v>
      </c>
      <c r="H451" s="143">
        <f t="shared" si="611"/>
        <v>-1781.8287999999857</v>
      </c>
      <c r="I451" s="143">
        <f t="shared" si="612"/>
        <v>4981.8287999999857</v>
      </c>
      <c r="J451" s="293">
        <f t="shared" si="613"/>
        <v>-2.7959076652033161</v>
      </c>
      <c r="K451" s="143">
        <f t="shared" si="614"/>
        <v>3200</v>
      </c>
      <c r="L451" s="143">
        <f t="shared" si="615"/>
        <v>-9</v>
      </c>
      <c r="M451" s="143">
        <f t="shared" si="616"/>
        <v>5</v>
      </c>
      <c r="N451" s="143">
        <f t="shared" si="617"/>
        <v>0</v>
      </c>
      <c r="O451" s="64">
        <v>-15</v>
      </c>
      <c r="P451" s="292">
        <f t="shared" si="618"/>
        <v>9.9636575999999728</v>
      </c>
      <c r="Q451" s="143">
        <f t="shared" si="619"/>
        <v>-2565</v>
      </c>
      <c r="R451" s="323"/>
      <c r="S451" s="323">
        <f t="shared" si="620"/>
        <v>112390.3137999997</v>
      </c>
      <c r="T451" s="323">
        <f t="shared" si="621"/>
        <v>17560.986531249953</v>
      </c>
      <c r="U451" s="323">
        <f t="shared" si="622"/>
        <v>18060.986531249953</v>
      </c>
      <c r="V451" s="143">
        <f t="shared" si="623"/>
        <v>110608.48499999971</v>
      </c>
      <c r="W451" s="292">
        <f t="shared" si="624"/>
        <v>6.1241662967091965</v>
      </c>
      <c r="X451" s="292">
        <f t="shared" si="625"/>
        <v>9.687823896709169</v>
      </c>
      <c r="Y451" s="292">
        <f t="shared" si="626"/>
        <v>0.27583370329080381</v>
      </c>
      <c r="Z451" s="324">
        <f t="shared" si="627"/>
        <v>2.7683980558585595E-2</v>
      </c>
      <c r="AA451" s="143">
        <f>SUM(L$2:L451)-SUM(AB$2:AB451)</f>
        <v>4981.8287999999811</v>
      </c>
      <c r="AB451" s="64"/>
      <c r="AC451" s="145">
        <f t="shared" si="628"/>
        <v>778.02154462499777</v>
      </c>
      <c r="AD451" s="145">
        <f t="shared" si="629"/>
        <v>278.02154462499777</v>
      </c>
    </row>
    <row r="452" spans="1:30" x14ac:dyDescent="0.25">
      <c r="A452" s="148">
        <v>43991</v>
      </c>
      <c r="B452" s="327"/>
      <c r="C452" s="317" t="s">
        <v>69</v>
      </c>
      <c r="D452" s="104">
        <v>400</v>
      </c>
      <c r="E452" s="143">
        <v>6.52</v>
      </c>
      <c r="F452" s="16">
        <f t="shared" si="609"/>
        <v>100</v>
      </c>
      <c r="G452" s="292">
        <f t="shared" si="610"/>
        <v>-43.972207999999853</v>
      </c>
      <c r="H452" s="143">
        <f t="shared" si="611"/>
        <v>-4397.2207999999855</v>
      </c>
      <c r="I452" s="143">
        <f t="shared" si="612"/>
        <v>5049.2207999999855</v>
      </c>
      <c r="J452" s="293">
        <f t="shared" si="613"/>
        <v>-1.1482754743632619</v>
      </c>
      <c r="K452" s="143">
        <f t="shared" si="614"/>
        <v>652</v>
      </c>
      <c r="L452" s="143">
        <f t="shared" si="615"/>
        <v>67.391999999999825</v>
      </c>
      <c r="M452" s="143">
        <f t="shared" si="616"/>
        <v>5</v>
      </c>
      <c r="N452" s="143">
        <f t="shared" si="617"/>
        <v>2.6080000000000001</v>
      </c>
      <c r="O452" s="64"/>
      <c r="P452" s="292">
        <f t="shared" si="618"/>
        <v>50.492207999999849</v>
      </c>
      <c r="Q452" s="143">
        <f t="shared" si="619"/>
        <v>2615.3919999999998</v>
      </c>
      <c r="R452" s="323"/>
      <c r="S452" s="323">
        <f t="shared" si="620"/>
        <v>115005.70579999971</v>
      </c>
      <c r="T452" s="323">
        <f t="shared" si="621"/>
        <v>17638.911932515293</v>
      </c>
      <c r="U452" s="323">
        <f t="shared" si="622"/>
        <v>17738.911932515293</v>
      </c>
      <c r="V452" s="143">
        <f t="shared" si="623"/>
        <v>110608.48499999972</v>
      </c>
      <c r="W452" s="292">
        <f t="shared" si="624"/>
        <v>6.235359046867762</v>
      </c>
      <c r="X452" s="292">
        <f t="shared" si="625"/>
        <v>50.207567046867617</v>
      </c>
      <c r="Y452" s="292">
        <f t="shared" si="626"/>
        <v>0.28464095313223226</v>
      </c>
      <c r="Z452" s="324">
        <f t="shared" si="627"/>
        <v>5.6373243398711928E-3</v>
      </c>
      <c r="AA452" s="143">
        <f>SUM(L$2:L452)-SUM(AB$2:AB452)</f>
        <v>5049.220799999981</v>
      </c>
      <c r="AB452" s="64"/>
      <c r="AC452" s="145">
        <f t="shared" si="628"/>
        <v>774.0331579141083</v>
      </c>
      <c r="AD452" s="145">
        <f t="shared" si="629"/>
        <v>674.0331579141083</v>
      </c>
    </row>
    <row r="453" spans="1:30" x14ac:dyDescent="0.25">
      <c r="A453" s="148">
        <v>44011</v>
      </c>
      <c r="B453" s="332" t="s">
        <v>833</v>
      </c>
      <c r="C453" s="317" t="s">
        <v>63</v>
      </c>
      <c r="D453" s="104">
        <v>400</v>
      </c>
      <c r="E453" s="143">
        <v>6.28</v>
      </c>
      <c r="F453" s="16">
        <f t="shared" si="609"/>
        <v>500</v>
      </c>
      <c r="G453" s="292">
        <f t="shared" si="610"/>
        <v>-3.7604415999999712</v>
      </c>
      <c r="H453" s="143">
        <f t="shared" si="611"/>
        <v>-1880.2207999999855</v>
      </c>
      <c r="I453" s="143">
        <f t="shared" si="612"/>
        <v>5020.2207999999855</v>
      </c>
      <c r="J453" s="293">
        <f t="shared" si="613"/>
        <v>-2.6700166278343609</v>
      </c>
      <c r="K453" s="143">
        <f t="shared" si="614"/>
        <v>3140</v>
      </c>
      <c r="L453" s="143">
        <f t="shared" si="615"/>
        <v>-29</v>
      </c>
      <c r="M453" s="143">
        <f t="shared" si="616"/>
        <v>5</v>
      </c>
      <c r="N453" s="143">
        <f t="shared" si="617"/>
        <v>0</v>
      </c>
      <c r="O453" s="64"/>
      <c r="P453" s="292">
        <f t="shared" si="618"/>
        <v>10.040441599999971</v>
      </c>
      <c r="Q453" s="143">
        <f t="shared" si="619"/>
        <v>-2517</v>
      </c>
      <c r="R453" s="323"/>
      <c r="S453" s="323">
        <f t="shared" si="620"/>
        <v>112488.70579999971</v>
      </c>
      <c r="T453" s="323">
        <f t="shared" si="621"/>
        <v>17912.214299363011</v>
      </c>
      <c r="U453" s="323">
        <f t="shared" si="622"/>
        <v>18412.214299363011</v>
      </c>
      <c r="V453" s="143">
        <f t="shared" si="623"/>
        <v>110608.48499999972</v>
      </c>
      <c r="W453" s="292">
        <f t="shared" si="624"/>
        <v>6.0073429084423777</v>
      </c>
      <c r="X453" s="292">
        <f t="shared" si="625"/>
        <v>9.7677845084423485</v>
      </c>
      <c r="Y453" s="292">
        <f t="shared" si="626"/>
        <v>0.27265709155762252</v>
      </c>
      <c r="Z453" s="324">
        <f t="shared" si="627"/>
        <v>2.715588640619385E-2</v>
      </c>
      <c r="AA453" s="143">
        <f>SUM(L$2:L453)-SUM(AB$2:AB453)</f>
        <v>5020.220799999981</v>
      </c>
      <c r="AB453" s="64"/>
      <c r="AC453" s="145">
        <f t="shared" si="628"/>
        <v>798.99851745222702</v>
      </c>
      <c r="AD453" s="145">
        <f t="shared" si="629"/>
        <v>298.99851745222702</v>
      </c>
    </row>
    <row r="454" spans="1:30" x14ac:dyDescent="0.25">
      <c r="A454" s="148">
        <v>44013</v>
      </c>
      <c r="B454" s="327"/>
      <c r="C454" s="317" t="s">
        <v>836</v>
      </c>
      <c r="D454" s="104">
        <v>400</v>
      </c>
      <c r="E454" s="143">
        <v>6.44</v>
      </c>
      <c r="F454" s="16">
        <f t="shared" si="609"/>
        <v>100</v>
      </c>
      <c r="G454" s="292">
        <f t="shared" si="610"/>
        <v>-44.486447999999854</v>
      </c>
      <c r="H454" s="143">
        <f t="shared" si="611"/>
        <v>-4448.6447999999855</v>
      </c>
      <c r="I454" s="143">
        <f t="shared" si="612"/>
        <v>5092.6447999999855</v>
      </c>
      <c r="J454" s="293">
        <f t="shared" si="613"/>
        <v>-1.1447631872070347</v>
      </c>
      <c r="K454" s="143">
        <f t="shared" si="614"/>
        <v>644</v>
      </c>
      <c r="L454" s="143">
        <f t="shared" si="615"/>
        <v>72.423999999999978</v>
      </c>
      <c r="M454" s="143">
        <f t="shared" si="616"/>
        <v>5</v>
      </c>
      <c r="N454" s="143">
        <f t="shared" si="617"/>
        <v>2.5760000000000001</v>
      </c>
      <c r="O454" s="64"/>
      <c r="P454" s="292">
        <f t="shared" si="618"/>
        <v>50.926447999999851</v>
      </c>
      <c r="Q454" s="143">
        <f t="shared" si="619"/>
        <v>2568.424</v>
      </c>
      <c r="R454" s="323"/>
      <c r="S454" s="323">
        <f t="shared" si="620"/>
        <v>115057.1297999997</v>
      </c>
      <c r="T454" s="323">
        <f t="shared" si="621"/>
        <v>17866.013944099333</v>
      </c>
      <c r="U454" s="323">
        <f t="shared" si="622"/>
        <v>17966.013944099333</v>
      </c>
      <c r="V454" s="143">
        <f t="shared" si="623"/>
        <v>110608.48499999972</v>
      </c>
      <c r="W454" s="292">
        <f t="shared" si="624"/>
        <v>6.1565400841919873</v>
      </c>
      <c r="X454" s="292">
        <f t="shared" si="625"/>
        <v>50.642988084191842</v>
      </c>
      <c r="Y454" s="292">
        <f t="shared" si="626"/>
        <v>0.28345991580800955</v>
      </c>
      <c r="Z454" s="324">
        <f t="shared" si="627"/>
        <v>5.5660649218656254E-3</v>
      </c>
      <c r="AA454" s="143">
        <f>SUM(L$2:L454)-SUM(AB$2:AB454)</f>
        <v>5092.64479999998</v>
      </c>
      <c r="AB454" s="64"/>
      <c r="AC454" s="145">
        <f t="shared" si="628"/>
        <v>790.38796236024621</v>
      </c>
      <c r="AD454" s="145">
        <f t="shared" si="629"/>
        <v>690.38796236024621</v>
      </c>
    </row>
    <row r="455" spans="1:30" x14ac:dyDescent="0.25">
      <c r="A455" s="148">
        <v>44032</v>
      </c>
      <c r="B455" s="327"/>
      <c r="C455" s="317" t="s">
        <v>868</v>
      </c>
      <c r="D455" s="104">
        <v>100</v>
      </c>
      <c r="E455" s="143">
        <v>7.7</v>
      </c>
      <c r="F455" s="16">
        <f t="shared" si="609"/>
        <v>0</v>
      </c>
      <c r="G455" s="292" t="e">
        <f t="shared" si="610"/>
        <v>#DIV/0!</v>
      </c>
      <c r="H455" s="143">
        <f t="shared" si="611"/>
        <v>-5212.874799999985</v>
      </c>
      <c r="I455" s="143">
        <f t="shared" si="612"/>
        <v>5212.874799999985</v>
      </c>
      <c r="J455" s="293" t="e">
        <f t="shared" si="613"/>
        <v>#DIV/0!</v>
      </c>
      <c r="K455" s="143">
        <f t="shared" si="614"/>
        <v>0</v>
      </c>
      <c r="L455" s="143">
        <f t="shared" si="615"/>
        <v>120.22999999999956</v>
      </c>
      <c r="M455" s="143">
        <f t="shared" si="616"/>
        <v>5</v>
      </c>
      <c r="N455" s="143">
        <f t="shared" si="617"/>
        <v>0.77</v>
      </c>
      <c r="O455" s="64"/>
      <c r="P455" s="292" t="e">
        <f t="shared" si="618"/>
        <v>#DIV/0!</v>
      </c>
      <c r="Q455" s="143">
        <f t="shared" si="619"/>
        <v>764.22999999999956</v>
      </c>
      <c r="R455" s="323"/>
      <c r="S455" s="323">
        <f t="shared" si="620"/>
        <v>115821.3597999997</v>
      </c>
      <c r="T455" s="323">
        <f t="shared" si="621"/>
        <v>15041.735038961</v>
      </c>
      <c r="U455" s="323">
        <f t="shared" si="622"/>
        <v>15041.735038961</v>
      </c>
      <c r="V455" s="143">
        <f t="shared" si="623"/>
        <v>110608.48499999971</v>
      </c>
      <c r="W455" s="292">
        <f t="shared" si="624"/>
        <v>7.353439261727611</v>
      </c>
      <c r="X455" s="292" t="e">
        <f t="shared" si="625"/>
        <v>#DIV/0!</v>
      </c>
      <c r="Y455" s="292" t="e">
        <f t="shared" si="626"/>
        <v>#DIV/0!</v>
      </c>
      <c r="Z455" s="324">
        <f t="shared" si="627"/>
        <v>0</v>
      </c>
      <c r="AA455" s="143">
        <f>SUM(L$2:L455)-SUM(AB$2:AB455)</f>
        <v>5212.8747999999832</v>
      </c>
      <c r="AB455" s="64"/>
      <c r="AC455" s="145">
        <f t="shared" si="628"/>
        <v>676.65822890908908</v>
      </c>
      <c r="AD455" s="145">
        <f t="shared" si="629"/>
        <v>676.65822890908908</v>
      </c>
    </row>
    <row r="457" spans="1:30" x14ac:dyDescent="0.25">
      <c r="D457" s="128"/>
      <c r="E457" s="128"/>
      <c r="F457" s="128"/>
      <c r="G457" s="128"/>
      <c r="H457" s="128"/>
      <c r="I457" s="128"/>
      <c r="J457" s="128"/>
      <c r="K457" s="128"/>
      <c r="L457" s="128"/>
      <c r="M457" s="128"/>
      <c r="N457" s="128"/>
      <c r="O457" s="128"/>
      <c r="P457" s="128"/>
      <c r="Q457" s="128"/>
    </row>
    <row r="458" spans="1:30" x14ac:dyDescent="0.25">
      <c r="E458" s="128"/>
      <c r="F458" s="128"/>
      <c r="G458" s="128"/>
      <c r="H458" s="128"/>
      <c r="I458" s="128"/>
      <c r="J458" s="128"/>
      <c r="K458" s="128"/>
      <c r="L458" s="128"/>
      <c r="M458" s="128"/>
      <c r="N458" s="128"/>
      <c r="AC458" s="46"/>
      <c r="AD458" s="46"/>
    </row>
  </sheetData>
  <phoneticPr fontId="16" type="noConversion"/>
  <conditionalFormatting sqref="G459:G1048576 G1:G456">
    <cfRule type="top10" dxfId="65" priority="1" percent="1" bottom="1" rank="10"/>
  </conditionalFormatting>
  <conditionalFormatting sqref="I459:I1048576 I1:I456">
    <cfRule type="top10" dxfId="64" priority="2" rank="10"/>
    <cfRule type="top10" dxfId="63" priority="3" rank="10"/>
  </conditionalFormatting>
  <conditionalFormatting sqref="Y1 Y35:Y49">
    <cfRule type="top10" dxfId="62" priority="6" bottom="1" rank="10"/>
  </conditionalFormatting>
  <dataValidations count="1">
    <dataValidation type="list" allowBlank="1" showInputMessage="1" showErrorMessage="1" sqref="C2:C455">
      <formula1>"买,卖"</formula1>
    </dataValidation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I735"/>
  <sheetViews>
    <sheetView workbookViewId="0">
      <pane ySplit="1" topLeftCell="A2" activePane="bottomLeft" state="frozen"/>
      <selection pane="bottomLeft" activeCell="G699" sqref="G699:K699"/>
    </sheetView>
  </sheetViews>
  <sheetFormatPr defaultColWidth="9" defaultRowHeight="14.4" x14ac:dyDescent="0.25"/>
  <cols>
    <col min="1" max="1" width="11.6640625" customWidth="1"/>
    <col min="2" max="2" width="10.77734375" style="151" customWidth="1"/>
    <col min="3" max="3" width="9" style="46"/>
    <col min="4" max="4" width="10.77734375" customWidth="1"/>
    <col min="6" max="6" width="10.77734375" customWidth="1"/>
    <col min="7" max="7" width="13" customWidth="1"/>
    <col min="8" max="8" width="12.77734375" customWidth="1"/>
    <col min="9" max="9" width="13.6640625" customWidth="1"/>
    <col min="10" max="10" width="10.77734375" customWidth="1"/>
    <col min="11" max="11" width="11.6640625" customWidth="1"/>
    <col min="12" max="12" width="12.77734375" customWidth="1"/>
    <col min="15" max="15" width="10.109375" customWidth="1"/>
    <col min="16" max="16" width="11.88671875" customWidth="1"/>
    <col min="17" max="17" width="10.77734375" customWidth="1"/>
    <col min="18" max="18" width="14.77734375" customWidth="1"/>
    <col min="19" max="19" width="14.44140625" bestFit="1" customWidth="1"/>
    <col min="20" max="20" width="10.77734375" customWidth="1"/>
    <col min="21" max="22" width="14.77734375" customWidth="1"/>
    <col min="23" max="23" width="18.77734375" customWidth="1"/>
    <col min="24" max="24" width="19.88671875" customWidth="1"/>
    <col min="25" max="25" width="15.88671875" customWidth="1"/>
    <col min="26" max="26" width="18.33203125" bestFit="1" customWidth="1"/>
    <col min="27" max="27" width="12.77734375" customWidth="1"/>
    <col min="28" max="28" width="10.77734375" customWidth="1"/>
    <col min="29" max="29" width="11.109375" customWidth="1"/>
    <col min="30" max="30" width="17.44140625" customWidth="1"/>
  </cols>
  <sheetData>
    <row r="1" spans="1:35" x14ac:dyDescent="0.25">
      <c r="A1" s="3" t="s">
        <v>3</v>
      </c>
      <c r="B1" s="4" t="s">
        <v>151</v>
      </c>
      <c r="C1" s="4" t="s">
        <v>152</v>
      </c>
      <c r="D1" s="5" t="s">
        <v>153</v>
      </c>
      <c r="E1" s="4" t="s">
        <v>154</v>
      </c>
      <c r="F1" s="5" t="s">
        <v>155</v>
      </c>
      <c r="G1" s="26" t="s">
        <v>156</v>
      </c>
      <c r="H1" s="4" t="s">
        <v>48</v>
      </c>
      <c r="I1" s="4" t="s">
        <v>7</v>
      </c>
      <c r="J1" s="4" t="s">
        <v>157</v>
      </c>
      <c r="K1" s="4" t="s">
        <v>5</v>
      </c>
      <c r="L1" s="4" t="s">
        <v>158</v>
      </c>
      <c r="M1" s="4" t="s">
        <v>159</v>
      </c>
      <c r="N1" s="4" t="s">
        <v>160</v>
      </c>
      <c r="O1" s="164" t="s">
        <v>161</v>
      </c>
      <c r="P1" s="26" t="s">
        <v>162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357" t="s">
        <v>904</v>
      </c>
      <c r="W1" s="358" t="s">
        <v>905</v>
      </c>
      <c r="X1" s="26" t="s">
        <v>169</v>
      </c>
      <c r="Y1" s="26" t="s">
        <v>170</v>
      </c>
      <c r="Z1" s="126" t="s">
        <v>171</v>
      </c>
      <c r="AA1" s="4" t="s">
        <v>106</v>
      </c>
      <c r="AB1" s="170" t="s">
        <v>172</v>
      </c>
      <c r="AC1" s="37" t="s">
        <v>50</v>
      </c>
      <c r="AD1" s="37" t="s">
        <v>173</v>
      </c>
    </row>
    <row r="2" spans="1:35" ht="15" customHeight="1" x14ac:dyDescent="0.25">
      <c r="A2" s="75">
        <v>42090</v>
      </c>
      <c r="B2" s="264"/>
      <c r="C2" s="113" t="s">
        <v>69</v>
      </c>
      <c r="D2" s="153">
        <v>1000</v>
      </c>
      <c r="E2" s="113">
        <v>10.98</v>
      </c>
      <c r="F2" s="153">
        <v>7000</v>
      </c>
      <c r="G2" s="154">
        <v>8.8828771428571596</v>
      </c>
      <c r="H2" s="113">
        <v>62180.140000000101</v>
      </c>
      <c r="I2" s="113">
        <v>14679.859999999901</v>
      </c>
      <c r="J2" s="114">
        <v>0.23608599144356801</v>
      </c>
      <c r="K2" s="113">
        <v>76860</v>
      </c>
      <c r="L2" s="113">
        <f>623.529999999999-3277.77</f>
        <v>-2654.2400000000011</v>
      </c>
      <c r="M2" s="113">
        <v>5.49</v>
      </c>
      <c r="N2" s="113">
        <v>10.98</v>
      </c>
      <c r="O2" s="70"/>
      <c r="P2" s="70"/>
      <c r="Q2" s="70"/>
      <c r="R2" s="70"/>
      <c r="S2" s="167"/>
      <c r="T2" s="70"/>
      <c r="U2" s="168">
        <f t="shared" ref="U2:U65" si="0">F2+T2</f>
        <v>7000</v>
      </c>
      <c r="V2" s="70"/>
      <c r="W2" s="70"/>
      <c r="X2" s="70"/>
      <c r="Y2" s="70"/>
      <c r="Z2" s="70"/>
      <c r="AA2" s="70"/>
      <c r="AC2" s="64"/>
      <c r="AD2" s="64"/>
      <c r="AI2" t="e">
        <f>AVERAGE(AG3:AG45)</f>
        <v>#DIV/0!</v>
      </c>
    </row>
    <row r="3" spans="1:35" ht="14.4" customHeight="1" x14ac:dyDescent="0.25">
      <c r="A3" s="83">
        <v>42090</v>
      </c>
      <c r="B3" s="155"/>
      <c r="C3" s="117" t="s">
        <v>69</v>
      </c>
      <c r="D3" s="156">
        <v>1000</v>
      </c>
      <c r="E3" s="117">
        <v>10.88</v>
      </c>
      <c r="F3" s="156">
        <v>7000</v>
      </c>
      <c r="G3" s="157">
        <v>8.8760000000000208</v>
      </c>
      <c r="H3" s="117">
        <v>62132.000000000102</v>
      </c>
      <c r="I3" s="117">
        <v>14027.9999999999</v>
      </c>
      <c r="J3" s="118">
        <v>0.225777377196933</v>
      </c>
      <c r="K3" s="117">
        <v>76160</v>
      </c>
      <c r="L3" s="117">
        <v>473.55000000000302</v>
      </c>
      <c r="M3" s="117">
        <v>5.44</v>
      </c>
      <c r="N3" s="117">
        <v>10.88</v>
      </c>
      <c r="O3" s="70"/>
      <c r="P3" s="70"/>
      <c r="Q3" s="70"/>
      <c r="R3" s="70"/>
      <c r="S3" s="70"/>
      <c r="T3" s="70"/>
      <c r="U3" s="168">
        <f t="shared" si="0"/>
        <v>7000</v>
      </c>
      <c r="V3" s="70"/>
      <c r="W3" s="70"/>
      <c r="X3" s="70"/>
      <c r="Y3" s="70"/>
      <c r="Z3" s="70"/>
      <c r="AA3" s="70"/>
      <c r="AC3" s="40">
        <f t="shared" ref="AC3:AC66" si="1">I3/E3*(1-0.0005)</f>
        <v>1288.6935661764614</v>
      </c>
      <c r="AD3" s="40">
        <f t="shared" ref="AD3:AD66" si="2">AC3-F3</f>
        <v>-5711.3064338235381</v>
      </c>
    </row>
    <row r="4" spans="1:35" ht="14.4" customHeight="1" x14ac:dyDescent="0.25">
      <c r="A4" s="53">
        <v>42090</v>
      </c>
      <c r="B4" s="158"/>
      <c r="C4" s="10" t="s">
        <v>69</v>
      </c>
      <c r="D4" s="11">
        <v>1000</v>
      </c>
      <c r="E4" s="10">
        <v>10.97</v>
      </c>
      <c r="F4" s="11">
        <v>6000</v>
      </c>
      <c r="G4" s="28">
        <v>8.5297425000000207</v>
      </c>
      <c r="H4" s="10">
        <v>51178.455000000104</v>
      </c>
      <c r="I4" s="10">
        <v>14641.5449999999</v>
      </c>
      <c r="J4" s="27">
        <v>0.28608806186118402</v>
      </c>
      <c r="K4" s="10">
        <v>65820</v>
      </c>
      <c r="L4" s="10">
        <v>613.54499999999803</v>
      </c>
      <c r="M4" s="10">
        <v>5.4850000000000003</v>
      </c>
      <c r="N4" s="10">
        <v>10.97</v>
      </c>
      <c r="O4" s="70"/>
      <c r="P4" s="70"/>
      <c r="Q4" s="70"/>
      <c r="R4" s="70"/>
      <c r="S4" s="70"/>
      <c r="T4" s="70"/>
      <c r="U4" s="168">
        <f t="shared" si="0"/>
        <v>6000</v>
      </c>
      <c r="V4" s="70"/>
      <c r="W4" s="70"/>
      <c r="X4" s="70"/>
      <c r="Y4" s="70"/>
      <c r="Z4" s="70"/>
      <c r="AA4" s="70"/>
      <c r="AC4" s="40">
        <f t="shared" si="1"/>
        <v>1334.0222632178579</v>
      </c>
      <c r="AD4" s="40">
        <f t="shared" si="2"/>
        <v>-4665.9777367821425</v>
      </c>
    </row>
    <row r="5" spans="1:35" s="1" customFormat="1" ht="14.4" customHeight="1" x14ac:dyDescent="0.25">
      <c r="A5" s="9">
        <v>42090</v>
      </c>
      <c r="B5" s="158"/>
      <c r="C5" s="15" t="s">
        <v>69</v>
      </c>
      <c r="D5" s="16">
        <v>1000</v>
      </c>
      <c r="E5" s="15">
        <v>11.03</v>
      </c>
      <c r="F5" s="16">
        <v>5000</v>
      </c>
      <c r="G5" s="17">
        <v>8.0330000000000297</v>
      </c>
      <c r="H5" s="15">
        <v>40165.000000000102</v>
      </c>
      <c r="I5" s="15">
        <v>14984.9999999999</v>
      </c>
      <c r="J5" s="33">
        <v>0.37308602016680698</v>
      </c>
      <c r="K5" s="15">
        <v>55150</v>
      </c>
      <c r="L5" s="15">
        <v>343.45500000000197</v>
      </c>
      <c r="M5" s="15">
        <v>5.5149999999999997</v>
      </c>
      <c r="N5" s="15">
        <v>11.03</v>
      </c>
      <c r="O5" s="165"/>
      <c r="P5" s="165"/>
      <c r="Q5" s="165"/>
      <c r="R5" s="165"/>
      <c r="S5" s="165"/>
      <c r="T5" s="165"/>
      <c r="U5" s="169">
        <f t="shared" si="0"/>
        <v>5000</v>
      </c>
      <c r="V5" s="165"/>
      <c r="W5" s="165"/>
      <c r="X5" s="165"/>
      <c r="Y5" s="165"/>
      <c r="Z5" s="165"/>
      <c r="AA5" s="165"/>
      <c r="AC5" s="40">
        <f t="shared" si="1"/>
        <v>1357.8882592928289</v>
      </c>
      <c r="AD5" s="40">
        <f t="shared" si="2"/>
        <v>-3642.1117407071711</v>
      </c>
    </row>
    <row r="6" spans="1:35" s="1" customFormat="1" ht="14.4" customHeight="1" x14ac:dyDescent="0.25">
      <c r="A6" s="9">
        <v>42090</v>
      </c>
      <c r="B6" s="158"/>
      <c r="C6" s="15" t="s">
        <v>69</v>
      </c>
      <c r="D6" s="16">
        <v>1000</v>
      </c>
      <c r="E6" s="15">
        <v>11.11</v>
      </c>
      <c r="F6" s="16">
        <v>4000</v>
      </c>
      <c r="G6" s="17">
        <v>7.2679162500000301</v>
      </c>
      <c r="H6" s="15">
        <v>29071.665000000099</v>
      </c>
      <c r="I6" s="15">
        <v>15368.334999999901</v>
      </c>
      <c r="J6" s="33">
        <v>0.52863621674230898</v>
      </c>
      <c r="K6" s="306"/>
      <c r="L6" s="15">
        <v>383.33499999999901</v>
      </c>
      <c r="M6" s="15">
        <v>5.5549999999999997</v>
      </c>
      <c r="N6" s="15">
        <v>11.11</v>
      </c>
      <c r="O6" s="165"/>
      <c r="P6" s="165"/>
      <c r="Q6" s="165"/>
      <c r="R6" s="165"/>
      <c r="S6" s="165"/>
      <c r="T6" s="165"/>
      <c r="U6" s="169">
        <f t="shared" si="0"/>
        <v>4000</v>
      </c>
      <c r="V6" s="165"/>
      <c r="W6" s="165"/>
      <c r="X6" s="165"/>
      <c r="Y6" s="165"/>
      <c r="Z6" s="165"/>
      <c r="AA6" s="165"/>
      <c r="AC6" s="40">
        <f t="shared" si="1"/>
        <v>1382.5968346084521</v>
      </c>
      <c r="AD6" s="40">
        <f t="shared" si="2"/>
        <v>-2617.4031653915481</v>
      </c>
    </row>
    <row r="7" spans="1:35" ht="14.4" customHeight="1" x14ac:dyDescent="0.25">
      <c r="A7" s="83">
        <v>42090</v>
      </c>
      <c r="B7" s="152"/>
      <c r="C7" s="31" t="s">
        <v>69</v>
      </c>
      <c r="D7" s="77">
        <v>1000</v>
      </c>
      <c r="E7" s="31">
        <v>11.38</v>
      </c>
      <c r="F7" s="77">
        <v>2000</v>
      </c>
      <c r="G7" s="32">
        <v>3.2477900000000699</v>
      </c>
      <c r="H7" s="31">
        <v>6495.58000000013</v>
      </c>
      <c r="I7" s="31">
        <v>16264.4199999999</v>
      </c>
      <c r="J7" s="108">
        <v>2.5039211279053699</v>
      </c>
      <c r="K7" s="31">
        <v>22760</v>
      </c>
      <c r="L7" s="31">
        <v>432.93</v>
      </c>
      <c r="M7" s="31">
        <v>5.69</v>
      </c>
      <c r="N7" s="31">
        <v>11.38</v>
      </c>
      <c r="O7" s="70"/>
      <c r="P7" s="70"/>
      <c r="Q7" s="70"/>
      <c r="R7" s="70"/>
      <c r="S7" s="70"/>
      <c r="T7" s="70"/>
      <c r="U7" s="168">
        <f t="shared" si="0"/>
        <v>2000</v>
      </c>
      <c r="V7" s="70"/>
      <c r="W7" s="70"/>
      <c r="X7" s="70"/>
      <c r="Y7" s="70"/>
      <c r="Z7" s="70"/>
      <c r="AA7" s="70"/>
      <c r="AC7" s="40">
        <f t="shared" si="1"/>
        <v>1428.4962908611512</v>
      </c>
      <c r="AD7" s="40">
        <f t="shared" si="2"/>
        <v>-571.50370913884876</v>
      </c>
    </row>
    <row r="8" spans="1:35" ht="14.4" customHeight="1" x14ac:dyDescent="0.25">
      <c r="A8" s="75">
        <v>42093</v>
      </c>
      <c r="B8" s="152"/>
      <c r="C8" s="31" t="s">
        <v>69</v>
      </c>
      <c r="D8" s="77">
        <v>1000</v>
      </c>
      <c r="E8" s="31">
        <v>11.34</v>
      </c>
      <c r="F8" s="77">
        <v>2000</v>
      </c>
      <c r="G8" s="32">
        <v>3.1454775000000699</v>
      </c>
      <c r="H8" s="31">
        <v>6290.95500000013</v>
      </c>
      <c r="I8" s="31">
        <v>16389.0449999999</v>
      </c>
      <c r="J8" s="108">
        <v>2.6051760026894999</v>
      </c>
      <c r="K8" s="31">
        <v>22680</v>
      </c>
      <c r="L8" s="31">
        <v>132.990000000002</v>
      </c>
      <c r="M8" s="31">
        <v>5.67</v>
      </c>
      <c r="N8" s="31">
        <v>11.34</v>
      </c>
      <c r="O8" s="70"/>
      <c r="P8" s="70"/>
      <c r="Q8" s="70"/>
      <c r="R8" s="70"/>
      <c r="S8" s="70"/>
      <c r="T8" s="70"/>
      <c r="U8" s="168">
        <f t="shared" si="0"/>
        <v>2000</v>
      </c>
      <c r="V8" s="70"/>
      <c r="W8" s="70"/>
      <c r="X8" s="70"/>
      <c r="Y8" s="70"/>
      <c r="Z8" s="70"/>
      <c r="AA8" s="70"/>
      <c r="AC8" s="40">
        <f t="shared" si="1"/>
        <v>1444.5194424603087</v>
      </c>
      <c r="AD8" s="40">
        <f t="shared" si="2"/>
        <v>-555.48055753969129</v>
      </c>
    </row>
    <row r="9" spans="1:35" ht="14.4" customHeight="1" x14ac:dyDescent="0.25">
      <c r="A9" s="51">
        <v>42093</v>
      </c>
      <c r="B9" s="158"/>
      <c r="C9" s="15" t="s">
        <v>69</v>
      </c>
      <c r="D9" s="16">
        <v>1000</v>
      </c>
      <c r="E9" s="15">
        <v>11.42</v>
      </c>
      <c r="F9" s="16">
        <v>1000</v>
      </c>
      <c r="G9" s="17">
        <v>-5.1119149999998701</v>
      </c>
      <c r="H9" s="15">
        <v>-5111.9149999998699</v>
      </c>
      <c r="I9" s="15">
        <v>16531.914999999899</v>
      </c>
      <c r="J9" s="33">
        <v>-3.23399645729639</v>
      </c>
      <c r="K9" s="15">
        <v>11420</v>
      </c>
      <c r="L9" s="15">
        <v>142.86999999999901</v>
      </c>
      <c r="M9" s="15">
        <v>5.71</v>
      </c>
      <c r="N9" s="15">
        <v>11.42</v>
      </c>
      <c r="O9" s="70"/>
      <c r="P9" s="70"/>
      <c r="Q9" s="70"/>
      <c r="R9" s="70"/>
      <c r="S9" s="70"/>
      <c r="T9" s="70"/>
      <c r="U9" s="168">
        <f t="shared" si="0"/>
        <v>1000</v>
      </c>
      <c r="V9" s="70"/>
      <c r="W9" s="70"/>
      <c r="X9" s="70"/>
      <c r="Y9" s="70"/>
      <c r="Z9" s="70"/>
      <c r="AA9" s="70"/>
      <c r="AC9" s="40">
        <f t="shared" si="1"/>
        <v>1446.9044695709194</v>
      </c>
      <c r="AD9" s="40">
        <f t="shared" si="2"/>
        <v>446.90446957091945</v>
      </c>
    </row>
    <row r="10" spans="1:35" ht="14.4" customHeight="1" x14ac:dyDescent="0.25">
      <c r="A10" s="75">
        <v>42289</v>
      </c>
      <c r="B10" s="152"/>
      <c r="C10" s="31" t="s">
        <v>69</v>
      </c>
      <c r="D10" s="77">
        <v>500</v>
      </c>
      <c r="E10" s="31">
        <v>8.85</v>
      </c>
      <c r="F10" s="77">
        <v>100</v>
      </c>
      <c r="G10" s="32">
        <v>-223.993234999999</v>
      </c>
      <c r="H10" s="31">
        <v>-22399.3234999999</v>
      </c>
      <c r="I10" s="31">
        <v>23284.3234999999</v>
      </c>
      <c r="J10" s="108">
        <v>-1.0395101218123799</v>
      </c>
      <c r="K10" s="31">
        <v>885</v>
      </c>
      <c r="L10" s="31">
        <v>85.575000000000699</v>
      </c>
      <c r="M10" s="31">
        <v>5</v>
      </c>
      <c r="N10" s="31">
        <v>4.4249999999999998</v>
      </c>
      <c r="O10" s="70"/>
      <c r="P10" s="70"/>
      <c r="Q10" s="70"/>
      <c r="R10" s="70"/>
      <c r="S10" s="70"/>
      <c r="T10" s="70"/>
      <c r="U10" s="168">
        <f t="shared" si="0"/>
        <v>100</v>
      </c>
      <c r="V10" s="70"/>
      <c r="W10" s="70"/>
      <c r="X10" s="70"/>
      <c r="Y10" s="70"/>
      <c r="Z10" s="70"/>
      <c r="AA10" s="70"/>
      <c r="AC10" s="40">
        <f t="shared" si="1"/>
        <v>2629.6815071468818</v>
      </c>
      <c r="AD10" s="40">
        <f t="shared" si="2"/>
        <v>2529.6815071468818</v>
      </c>
    </row>
    <row r="11" spans="1:35" ht="14.4" customHeight="1" x14ac:dyDescent="0.25">
      <c r="A11" s="99">
        <v>42753</v>
      </c>
      <c r="B11" s="152"/>
      <c r="C11" s="31" t="s">
        <v>69</v>
      </c>
      <c r="D11" s="77">
        <v>400</v>
      </c>
      <c r="E11" s="31">
        <v>10.02</v>
      </c>
      <c r="F11" s="77">
        <v>200</v>
      </c>
      <c r="G11" s="32">
        <f t="shared" ref="G11:G74" si="3">H11/F11</f>
        <v>-6.4127774999993505</v>
      </c>
      <c r="H11" s="31">
        <v>-1282.5554999998701</v>
      </c>
      <c r="I11" s="31">
        <v>3286.5554999998699</v>
      </c>
      <c r="J11" s="108">
        <v>-2.5625054822190498</v>
      </c>
      <c r="K11" s="31">
        <v>2004</v>
      </c>
      <c r="L11" s="31">
        <v>50.992000000000203</v>
      </c>
      <c r="M11" s="31">
        <v>5</v>
      </c>
      <c r="N11" s="31">
        <v>4.008</v>
      </c>
      <c r="O11" s="70"/>
      <c r="P11" s="70"/>
      <c r="Q11" s="70"/>
      <c r="R11" s="70"/>
      <c r="S11" s="70">
        <v>1</v>
      </c>
      <c r="T11" s="70"/>
      <c r="U11" s="168">
        <f t="shared" si="0"/>
        <v>200</v>
      </c>
      <c r="V11" s="70"/>
      <c r="W11" s="70"/>
      <c r="X11" s="70"/>
      <c r="Y11" s="70"/>
      <c r="Z11" s="70"/>
      <c r="AA11" s="70"/>
      <c r="AC11" s="40">
        <f t="shared" si="1"/>
        <v>327.83555112274155</v>
      </c>
      <c r="AD11" s="40">
        <f t="shared" si="2"/>
        <v>127.83555112274155</v>
      </c>
    </row>
    <row r="12" spans="1:35" ht="14.4" customHeight="1" x14ac:dyDescent="0.25">
      <c r="A12" s="99">
        <v>42797</v>
      </c>
      <c r="B12" s="159" t="s">
        <v>174</v>
      </c>
      <c r="C12" s="31" t="s">
        <v>63</v>
      </c>
      <c r="D12" s="77">
        <v>500</v>
      </c>
      <c r="E12" s="31">
        <v>10.75</v>
      </c>
      <c r="F12" s="102">
        <f t="shared" ref="F12:F75" si="4">IF(C12="买",F11+D12,F11-D12)</f>
        <v>700</v>
      </c>
      <c r="G12" s="32">
        <f t="shared" si="3"/>
        <v>5.8534921428573279</v>
      </c>
      <c r="H12" s="31">
        <f t="shared" ref="H12:H75" si="5">IF(C12="买",H11+D12*E12+M12+N12,H11+-1*D12*E12+M12+N12)+O11</f>
        <v>4097.4445000001297</v>
      </c>
      <c r="I12" s="31">
        <f t="shared" ref="I12:I75" si="6">-H12+K12</f>
        <v>3427.5554999998703</v>
      </c>
      <c r="J12" s="108">
        <f t="shared" ref="J12:J75" si="7">(E12-G12)/G12</f>
        <v>0.83651053723845736</v>
      </c>
      <c r="K12" s="31">
        <f t="shared" ref="K12:K75" si="8">F12*E12</f>
        <v>7525</v>
      </c>
      <c r="L12" s="31">
        <f t="shared" ref="L12:L75" si="9">I12-I11</f>
        <v>141.00000000000045</v>
      </c>
      <c r="M12" s="31">
        <f t="shared" ref="M12:M75" si="10">IF(D12*E12*5/10000&gt;5,D12*E12*5/10000,5)</f>
        <v>5</v>
      </c>
      <c r="N12" s="31">
        <f t="shared" ref="N12:N75" si="11">IF(C12="卖",D12*E12/1000,0)</f>
        <v>0</v>
      </c>
      <c r="O12" s="166"/>
      <c r="P12" s="32">
        <f t="shared" ref="P12:P75" si="12">E12-G12</f>
        <v>4.8965078571426721</v>
      </c>
      <c r="Q12" s="31">
        <f t="shared" ref="Q12:Q75" si="13">(H12-H11)*-1</f>
        <v>-5380</v>
      </c>
      <c r="R12" s="34"/>
      <c r="S12" s="34">
        <f t="shared" ref="S12:S75" si="14">S11+Q12+O12+R12</f>
        <v>-5379</v>
      </c>
      <c r="T12" s="34">
        <f t="shared" ref="T12:T75" si="15">S12/E12</f>
        <v>-500.37209302325579</v>
      </c>
      <c r="U12" s="34">
        <f t="shared" si="0"/>
        <v>199.62790697674421</v>
      </c>
      <c r="V12" s="31">
        <f>H12+S12-SUM(AB1:AB$42)</f>
        <v>-1281.5554999998703</v>
      </c>
      <c r="W12" s="32">
        <f t="shared" ref="W12:W75" si="16">V12/U12</f>
        <v>-6.4197211672873271</v>
      </c>
      <c r="X12" s="32">
        <f t="shared" ref="X12:X75" si="17">W12-G12</f>
        <v>-12.273213310144655</v>
      </c>
      <c r="Y12" s="32">
        <f t="shared" ref="Y12:Y75" si="18">(X12-P12)*-1</f>
        <v>17.169721167287328</v>
      </c>
      <c r="Z12" s="38">
        <f t="shared" ref="Z12:Z75" si="19">F12/U12</f>
        <v>3.5065237651444545</v>
      </c>
      <c r="AA12" s="31">
        <f>SUM(L$2:L12)-SUM(AB$2:AB12)</f>
        <v>146.00200000000314</v>
      </c>
      <c r="AB12" s="171"/>
      <c r="AC12" s="40">
        <f t="shared" si="1"/>
        <v>318.68295090696472</v>
      </c>
      <c r="AD12" s="40">
        <f t="shared" si="2"/>
        <v>-381.31704909303528</v>
      </c>
    </row>
    <row r="13" spans="1:35" s="1" customFormat="1" ht="14.4" customHeight="1" x14ac:dyDescent="0.25">
      <c r="A13" s="99">
        <v>42802</v>
      </c>
      <c r="B13" s="159"/>
      <c r="C13" s="31" t="s">
        <v>69</v>
      </c>
      <c r="D13" s="77">
        <v>400</v>
      </c>
      <c r="E13" s="31">
        <v>11.05</v>
      </c>
      <c r="F13" s="102">
        <f t="shared" si="4"/>
        <v>300</v>
      </c>
      <c r="G13" s="32">
        <f t="shared" si="3"/>
        <v>-1.0437849999995676</v>
      </c>
      <c r="H13" s="31">
        <f t="shared" si="5"/>
        <v>-313.13549999987032</v>
      </c>
      <c r="I13" s="31">
        <f t="shared" si="6"/>
        <v>3628.1354999998703</v>
      </c>
      <c r="J13" s="108">
        <f t="shared" si="7"/>
        <v>-11.586471351863246</v>
      </c>
      <c r="K13" s="31">
        <f t="shared" si="8"/>
        <v>3315</v>
      </c>
      <c r="L13" s="31">
        <f t="shared" si="9"/>
        <v>200.57999999999993</v>
      </c>
      <c r="M13" s="31">
        <f t="shared" si="10"/>
        <v>5</v>
      </c>
      <c r="N13" s="31">
        <f t="shared" si="11"/>
        <v>4.42</v>
      </c>
      <c r="O13" s="166"/>
      <c r="P13" s="32">
        <f t="shared" si="12"/>
        <v>12.093784999999569</v>
      </c>
      <c r="Q13" s="31">
        <f t="shared" si="13"/>
        <v>4410.58</v>
      </c>
      <c r="R13" s="34"/>
      <c r="S13" s="34">
        <f t="shared" si="14"/>
        <v>-968.42000000000007</v>
      </c>
      <c r="T13" s="34">
        <f t="shared" si="15"/>
        <v>-87.639819004524881</v>
      </c>
      <c r="U13" s="34">
        <f t="shared" si="0"/>
        <v>212.3601809954751</v>
      </c>
      <c r="V13" s="31">
        <f>H13+S13-SUM(AB1:AB$43)</f>
        <v>-1281.5554999998703</v>
      </c>
      <c r="W13" s="32">
        <f t="shared" si="16"/>
        <v>-6.0348201531584555</v>
      </c>
      <c r="X13" s="32">
        <f t="shared" si="17"/>
        <v>-4.9910351531588883</v>
      </c>
      <c r="Y13" s="32">
        <f t="shared" si="18"/>
        <v>17.084820153158457</v>
      </c>
      <c r="Z13" s="38">
        <f t="shared" si="19"/>
        <v>1.4126942188205815</v>
      </c>
      <c r="AA13" s="31">
        <f>SUM(L$2:L13)-SUM(AB$2:AB13)</f>
        <v>346.58200000000306</v>
      </c>
      <c r="AC13" s="40">
        <f t="shared" si="1"/>
        <v>328.17388527148148</v>
      </c>
      <c r="AD13" s="40">
        <f t="shared" si="2"/>
        <v>28.173885271481481</v>
      </c>
    </row>
    <row r="14" spans="1:35" s="1" customFormat="1" ht="14.4" customHeight="1" x14ac:dyDescent="0.25">
      <c r="A14" s="99">
        <v>42816</v>
      </c>
      <c r="B14" s="159" t="s">
        <v>174</v>
      </c>
      <c r="C14" s="31" t="s">
        <v>63</v>
      </c>
      <c r="D14" s="77">
        <v>500</v>
      </c>
      <c r="E14" s="31">
        <v>10.92</v>
      </c>
      <c r="F14" s="102">
        <f t="shared" si="4"/>
        <v>800</v>
      </c>
      <c r="G14" s="32">
        <f t="shared" si="3"/>
        <v>6.4398306250001625</v>
      </c>
      <c r="H14" s="31">
        <f t="shared" si="5"/>
        <v>5151.8645000001297</v>
      </c>
      <c r="I14" s="31">
        <f t="shared" si="6"/>
        <v>3584.1354999998703</v>
      </c>
      <c r="J14" s="108">
        <f t="shared" si="7"/>
        <v>0.69569677152801268</v>
      </c>
      <c r="K14" s="31">
        <f t="shared" si="8"/>
        <v>8736</v>
      </c>
      <c r="L14" s="31">
        <f t="shared" si="9"/>
        <v>-44</v>
      </c>
      <c r="M14" s="31">
        <f t="shared" si="10"/>
        <v>5</v>
      </c>
      <c r="N14" s="31">
        <f t="shared" si="11"/>
        <v>0</v>
      </c>
      <c r="O14" s="166"/>
      <c r="P14" s="32">
        <f t="shared" si="12"/>
        <v>4.4801693749998375</v>
      </c>
      <c r="Q14" s="31">
        <f t="shared" si="13"/>
        <v>-5465</v>
      </c>
      <c r="R14" s="34"/>
      <c r="S14" s="34">
        <f t="shared" si="14"/>
        <v>-6433.42</v>
      </c>
      <c r="T14" s="34">
        <f t="shared" si="15"/>
        <v>-589.14102564102564</v>
      </c>
      <c r="U14" s="34">
        <f t="shared" si="0"/>
        <v>210.85897435897436</v>
      </c>
      <c r="V14" s="31">
        <f>H14+S14-SUM(AB1:AB$44)</f>
        <v>-1281.5554999998703</v>
      </c>
      <c r="W14" s="32">
        <f t="shared" si="16"/>
        <v>-6.0777849455821658</v>
      </c>
      <c r="X14" s="32">
        <f t="shared" si="17"/>
        <v>-12.517615570582329</v>
      </c>
      <c r="Y14" s="32">
        <f t="shared" si="18"/>
        <v>16.997784945582168</v>
      </c>
      <c r="Z14" s="38">
        <f t="shared" si="19"/>
        <v>3.79400498571168</v>
      </c>
      <c r="AA14" s="31">
        <f>SUM(L$2:L14)-SUM(AB$2:AB14)</f>
        <v>302.58200000000306</v>
      </c>
      <c r="AC14" s="40">
        <f t="shared" si="1"/>
        <v>328.05342786170979</v>
      </c>
      <c r="AD14" s="40">
        <f t="shared" si="2"/>
        <v>-471.94657213829021</v>
      </c>
    </row>
    <row r="15" spans="1:35" s="1" customFormat="1" ht="14.4" customHeight="1" x14ac:dyDescent="0.25">
      <c r="A15" s="99">
        <v>42816</v>
      </c>
      <c r="B15" s="159" t="s">
        <v>175</v>
      </c>
      <c r="C15" s="31" t="s">
        <v>63</v>
      </c>
      <c r="D15" s="77">
        <v>500</v>
      </c>
      <c r="E15" s="31">
        <v>10.81</v>
      </c>
      <c r="F15" s="102">
        <f t="shared" si="4"/>
        <v>1300</v>
      </c>
      <c r="G15" s="32">
        <f t="shared" si="3"/>
        <v>8.1245111538462549</v>
      </c>
      <c r="H15" s="31">
        <f t="shared" si="5"/>
        <v>10561.864500000131</v>
      </c>
      <c r="I15" s="31">
        <f t="shared" si="6"/>
        <v>3491.1354999998694</v>
      </c>
      <c r="J15" s="108">
        <f t="shared" si="7"/>
        <v>0.33054159140176681</v>
      </c>
      <c r="K15" s="31">
        <f t="shared" si="8"/>
        <v>14053</v>
      </c>
      <c r="L15" s="31">
        <f t="shared" si="9"/>
        <v>-93.000000000000909</v>
      </c>
      <c r="M15" s="31">
        <f t="shared" si="10"/>
        <v>5</v>
      </c>
      <c r="N15" s="31">
        <f t="shared" si="11"/>
        <v>0</v>
      </c>
      <c r="O15" s="166"/>
      <c r="P15" s="32">
        <f t="shared" si="12"/>
        <v>2.6854888461537456</v>
      </c>
      <c r="Q15" s="31">
        <f t="shared" si="13"/>
        <v>-5410.0000000000009</v>
      </c>
      <c r="R15" s="34">
        <v>20000</v>
      </c>
      <c r="S15" s="34">
        <f t="shared" si="14"/>
        <v>8156.5799999999981</v>
      </c>
      <c r="T15" s="34">
        <f t="shared" si="15"/>
        <v>754.54024051803867</v>
      </c>
      <c r="U15" s="34">
        <f t="shared" si="0"/>
        <v>2054.5402405180384</v>
      </c>
      <c r="V15" s="31">
        <f>H15+S15-SUM(AB$15:AB15)</f>
        <v>18718.444500000129</v>
      </c>
      <c r="W15" s="32">
        <f t="shared" si="16"/>
        <v>9.1107704443308446</v>
      </c>
      <c r="X15" s="32">
        <f t="shared" si="17"/>
        <v>0.98625929048458971</v>
      </c>
      <c r="Y15" s="32">
        <f t="shared" si="18"/>
        <v>1.6992295556691559</v>
      </c>
      <c r="Z15" s="38">
        <f t="shared" si="19"/>
        <v>0.63274496861264384</v>
      </c>
      <c r="AA15" s="31">
        <f>SUM(L$2:L15)-SUM(AB$2:AB15)</f>
        <v>209.58200000000215</v>
      </c>
      <c r="AC15" s="40">
        <f t="shared" si="1"/>
        <v>322.79277819147728</v>
      </c>
      <c r="AD15" s="40">
        <f t="shared" si="2"/>
        <v>-977.20722180852272</v>
      </c>
    </row>
    <row r="16" spans="1:35" s="1" customFormat="1" ht="14.4" customHeight="1" x14ac:dyDescent="0.25">
      <c r="A16" s="99">
        <v>42817</v>
      </c>
      <c r="B16" s="160"/>
      <c r="C16" s="104" t="s">
        <v>69</v>
      </c>
      <c r="D16" s="77">
        <v>400</v>
      </c>
      <c r="E16" s="31">
        <v>11</v>
      </c>
      <c r="F16" s="102">
        <f t="shared" si="4"/>
        <v>900</v>
      </c>
      <c r="G16" s="32">
        <f t="shared" si="3"/>
        <v>6.8569605555557001</v>
      </c>
      <c r="H16" s="31">
        <f t="shared" si="5"/>
        <v>6171.2645000001303</v>
      </c>
      <c r="I16" s="31">
        <f t="shared" si="6"/>
        <v>3728.7354999998697</v>
      </c>
      <c r="J16" s="108">
        <f t="shared" si="7"/>
        <v>0.60420931561105373</v>
      </c>
      <c r="K16" s="31">
        <f t="shared" si="8"/>
        <v>9900</v>
      </c>
      <c r="L16" s="31">
        <f t="shared" si="9"/>
        <v>237.60000000000036</v>
      </c>
      <c r="M16" s="31">
        <f t="shared" si="10"/>
        <v>5</v>
      </c>
      <c r="N16" s="31">
        <f t="shared" si="11"/>
        <v>4.4000000000000004</v>
      </c>
      <c r="O16" s="166"/>
      <c r="P16" s="32">
        <f t="shared" si="12"/>
        <v>4.1430394444442999</v>
      </c>
      <c r="Q16" s="31">
        <f t="shared" si="13"/>
        <v>4390.6000000000004</v>
      </c>
      <c r="R16" s="34"/>
      <c r="S16" s="34">
        <f t="shared" si="14"/>
        <v>12547.179999999998</v>
      </c>
      <c r="T16" s="34">
        <f t="shared" si="15"/>
        <v>1140.6527272727271</v>
      </c>
      <c r="U16" s="34">
        <f t="shared" si="0"/>
        <v>2040.6527272727271</v>
      </c>
      <c r="V16" s="31">
        <f>H16+S16-SUM(AB$15:AB16)</f>
        <v>18718.444500000129</v>
      </c>
      <c r="W16" s="32">
        <f t="shared" si="16"/>
        <v>9.1727731278495312</v>
      </c>
      <c r="X16" s="32">
        <f t="shared" si="17"/>
        <v>2.3158125722938312</v>
      </c>
      <c r="Y16" s="32">
        <f t="shared" si="18"/>
        <v>1.8272268721504688</v>
      </c>
      <c r="Z16" s="38">
        <f t="shared" si="19"/>
        <v>0.44103535499782159</v>
      </c>
      <c r="AA16" s="31">
        <f>SUM(L$2:L16)-SUM(AB$2:AB16)</f>
        <v>447.18200000000252</v>
      </c>
      <c r="AC16" s="40">
        <f t="shared" si="1"/>
        <v>338.80646656816998</v>
      </c>
      <c r="AD16" s="40">
        <f t="shared" si="2"/>
        <v>-561.19353343183002</v>
      </c>
    </row>
    <row r="17" spans="1:30" s="1" customFormat="1" ht="14.4" customHeight="1" x14ac:dyDescent="0.25">
      <c r="A17" s="99">
        <v>42821</v>
      </c>
      <c r="B17" s="159"/>
      <c r="C17" s="64" t="s">
        <v>69</v>
      </c>
      <c r="D17" s="77">
        <v>400</v>
      </c>
      <c r="E17" s="31">
        <v>11.18</v>
      </c>
      <c r="F17" s="102">
        <f t="shared" si="4"/>
        <v>500</v>
      </c>
      <c r="G17" s="32">
        <f t="shared" si="3"/>
        <v>3.4174730000002604</v>
      </c>
      <c r="H17" s="31">
        <f t="shared" si="5"/>
        <v>1708.7365000001303</v>
      </c>
      <c r="I17" s="31">
        <f t="shared" si="6"/>
        <v>3881.26349999987</v>
      </c>
      <c r="J17" s="108">
        <f t="shared" si="7"/>
        <v>2.2714230661073689</v>
      </c>
      <c r="K17" s="31">
        <f t="shared" si="8"/>
        <v>5590</v>
      </c>
      <c r="L17" s="31">
        <f t="shared" si="9"/>
        <v>152.52800000000025</v>
      </c>
      <c r="M17" s="31">
        <f t="shared" si="10"/>
        <v>5</v>
      </c>
      <c r="N17" s="31">
        <f t="shared" si="11"/>
        <v>4.4720000000000004</v>
      </c>
      <c r="O17" s="166"/>
      <c r="P17" s="32">
        <f t="shared" si="12"/>
        <v>7.7625269999997393</v>
      </c>
      <c r="Q17" s="31">
        <f t="shared" si="13"/>
        <v>4462.5280000000002</v>
      </c>
      <c r="R17" s="34"/>
      <c r="S17" s="34">
        <f t="shared" si="14"/>
        <v>17009.707999999999</v>
      </c>
      <c r="T17" s="34">
        <f t="shared" si="15"/>
        <v>1521.4407871198569</v>
      </c>
      <c r="U17" s="34">
        <f t="shared" si="0"/>
        <v>2021.4407871198569</v>
      </c>
      <c r="V17" s="31">
        <f>H17+S17-SUM(AB$15:AB17)</f>
        <v>18718.444500000129</v>
      </c>
      <c r="W17" s="32">
        <f t="shared" si="16"/>
        <v>9.2599519210602832</v>
      </c>
      <c r="X17" s="32">
        <f t="shared" si="17"/>
        <v>5.8424789210600228</v>
      </c>
      <c r="Y17" s="32">
        <f t="shared" si="18"/>
        <v>1.9200480789397165</v>
      </c>
      <c r="Z17" s="38">
        <f t="shared" si="19"/>
        <v>0.24734832857132491</v>
      </c>
      <c r="AA17" s="31">
        <f>SUM(L$2:L17)-SUM(AB$2:AB17)</f>
        <v>599.71000000000276</v>
      </c>
      <c r="AC17" s="40">
        <f t="shared" si="1"/>
        <v>346.98773419050718</v>
      </c>
      <c r="AD17" s="40">
        <f t="shared" si="2"/>
        <v>-153.01226580949282</v>
      </c>
    </row>
    <row r="18" spans="1:30" s="1" customFormat="1" ht="14.4" customHeight="1" x14ac:dyDescent="0.25">
      <c r="A18" s="99">
        <v>42823</v>
      </c>
      <c r="B18" s="159" t="s">
        <v>176</v>
      </c>
      <c r="C18" s="64" t="s">
        <v>63</v>
      </c>
      <c r="D18" s="77">
        <v>500</v>
      </c>
      <c r="E18" s="31">
        <v>10.98</v>
      </c>
      <c r="F18" s="102">
        <f t="shared" si="4"/>
        <v>1000</v>
      </c>
      <c r="G18" s="32">
        <f t="shared" si="3"/>
        <v>7.2037365000001303</v>
      </c>
      <c r="H18" s="31">
        <f t="shared" si="5"/>
        <v>7203.73650000013</v>
      </c>
      <c r="I18" s="31">
        <f t="shared" si="6"/>
        <v>3776.26349999987</v>
      </c>
      <c r="J18" s="108">
        <f t="shared" si="7"/>
        <v>0.52420899903817997</v>
      </c>
      <c r="K18" s="31">
        <f t="shared" si="8"/>
        <v>10980</v>
      </c>
      <c r="L18" s="31">
        <f t="shared" si="9"/>
        <v>-105</v>
      </c>
      <c r="M18" s="31">
        <f t="shared" si="10"/>
        <v>5</v>
      </c>
      <c r="N18" s="31">
        <f t="shared" si="11"/>
        <v>0</v>
      </c>
      <c r="O18" s="166"/>
      <c r="P18" s="32">
        <f t="shared" si="12"/>
        <v>3.7762634999998701</v>
      </c>
      <c r="Q18" s="31">
        <f t="shared" si="13"/>
        <v>-5495</v>
      </c>
      <c r="R18" s="34"/>
      <c r="S18" s="34">
        <f t="shared" si="14"/>
        <v>11514.707999999999</v>
      </c>
      <c r="T18" s="34">
        <f t="shared" si="15"/>
        <v>1048.6983606557376</v>
      </c>
      <c r="U18" s="34">
        <f t="shared" si="0"/>
        <v>2048.6983606557378</v>
      </c>
      <c r="V18" s="31">
        <f>H18+S18-SUM(AB$15:AB18)</f>
        <v>18718.444500000129</v>
      </c>
      <c r="W18" s="32">
        <f t="shared" si="16"/>
        <v>9.1367498795717381</v>
      </c>
      <c r="X18" s="32">
        <f t="shared" si="17"/>
        <v>1.9330133795716078</v>
      </c>
      <c r="Y18" s="32">
        <f t="shared" si="18"/>
        <v>1.8432501204282623</v>
      </c>
      <c r="Z18" s="38">
        <f t="shared" si="19"/>
        <v>0.48811480460204237</v>
      </c>
      <c r="AA18" s="31">
        <f>SUM(L$2:L18)-SUM(AB$2:AB18)</f>
        <v>494.71000000000276</v>
      </c>
      <c r="AC18" s="40">
        <f t="shared" si="1"/>
        <v>343.75003353823956</v>
      </c>
      <c r="AD18" s="40">
        <f t="shared" si="2"/>
        <v>-656.24996646176044</v>
      </c>
    </row>
    <row r="19" spans="1:30" s="1" customFormat="1" ht="14.4" customHeight="1" x14ac:dyDescent="0.25">
      <c r="A19" s="99">
        <v>42824</v>
      </c>
      <c r="B19" s="159" t="s">
        <v>176</v>
      </c>
      <c r="C19" s="64" t="s">
        <v>63</v>
      </c>
      <c r="D19" s="77">
        <v>500</v>
      </c>
      <c r="E19" s="31">
        <v>10.87</v>
      </c>
      <c r="F19" s="102">
        <f t="shared" si="4"/>
        <v>1500</v>
      </c>
      <c r="G19" s="32">
        <f t="shared" si="3"/>
        <v>8.4291576666667538</v>
      </c>
      <c r="H19" s="31">
        <f t="shared" si="5"/>
        <v>12643.73650000013</v>
      </c>
      <c r="I19" s="31">
        <f t="shared" si="6"/>
        <v>3661.2634999998681</v>
      </c>
      <c r="J19" s="108">
        <f t="shared" si="7"/>
        <v>0.28957132252794338</v>
      </c>
      <c r="K19" s="31">
        <f t="shared" si="8"/>
        <v>16304.999999999998</v>
      </c>
      <c r="L19" s="31">
        <f t="shared" si="9"/>
        <v>-115.00000000000182</v>
      </c>
      <c r="M19" s="31">
        <f t="shared" si="10"/>
        <v>5</v>
      </c>
      <c r="N19" s="31">
        <f t="shared" si="11"/>
        <v>0</v>
      </c>
      <c r="O19" s="166"/>
      <c r="P19" s="32">
        <f t="shared" si="12"/>
        <v>2.4408423333332454</v>
      </c>
      <c r="Q19" s="31">
        <f t="shared" si="13"/>
        <v>-5440</v>
      </c>
      <c r="R19" s="34"/>
      <c r="S19" s="34">
        <f t="shared" si="14"/>
        <v>6074.7079999999987</v>
      </c>
      <c r="T19" s="34">
        <f t="shared" si="15"/>
        <v>558.85078196872121</v>
      </c>
      <c r="U19" s="34">
        <f t="shared" si="0"/>
        <v>2058.8507819687211</v>
      </c>
      <c r="V19" s="31">
        <f>H19+S19-SUM(AB$15:AB19)</f>
        <v>18718.444500000129</v>
      </c>
      <c r="W19" s="32">
        <f t="shared" si="16"/>
        <v>9.091695553623909</v>
      </c>
      <c r="X19" s="32">
        <f t="shared" si="17"/>
        <v>0.66253788695715521</v>
      </c>
      <c r="Y19" s="32">
        <f t="shared" si="18"/>
        <v>1.7783044463760902</v>
      </c>
      <c r="Z19" s="38">
        <f t="shared" si="19"/>
        <v>0.72856178463097021</v>
      </c>
      <c r="AA19" s="31">
        <f>SUM(L$2:L19)-SUM(AB$2:AB19)</f>
        <v>379.71000000000095</v>
      </c>
      <c r="AC19" s="40">
        <f t="shared" si="1"/>
        <v>336.65435770467974</v>
      </c>
      <c r="AD19" s="40">
        <f t="shared" si="2"/>
        <v>-1163.3456422953202</v>
      </c>
    </row>
    <row r="20" spans="1:30" s="1" customFormat="1" ht="14.4" customHeight="1" x14ac:dyDescent="0.25">
      <c r="A20" s="99">
        <v>42824</v>
      </c>
      <c r="B20" s="159" t="s">
        <v>177</v>
      </c>
      <c r="C20" s="64" t="s">
        <v>63</v>
      </c>
      <c r="D20" s="77">
        <v>500</v>
      </c>
      <c r="E20" s="31">
        <v>10.82</v>
      </c>
      <c r="F20" s="102">
        <f t="shared" si="4"/>
        <v>2000</v>
      </c>
      <c r="G20" s="32">
        <f t="shared" si="3"/>
        <v>9.0293682500000649</v>
      </c>
      <c r="H20" s="31">
        <f t="shared" si="5"/>
        <v>18058.73650000013</v>
      </c>
      <c r="I20" s="31">
        <f t="shared" si="6"/>
        <v>3581.26349999987</v>
      </c>
      <c r="J20" s="108">
        <f t="shared" si="7"/>
        <v>0.19831196385194749</v>
      </c>
      <c r="K20" s="31">
        <f t="shared" si="8"/>
        <v>21640</v>
      </c>
      <c r="L20" s="31">
        <f t="shared" si="9"/>
        <v>-79.999999999998181</v>
      </c>
      <c r="M20" s="31">
        <f t="shared" si="10"/>
        <v>5</v>
      </c>
      <c r="N20" s="31">
        <f t="shared" si="11"/>
        <v>0</v>
      </c>
      <c r="O20" s="166"/>
      <c r="P20" s="32">
        <f t="shared" si="12"/>
        <v>1.7906317499999354</v>
      </c>
      <c r="Q20" s="31">
        <f t="shared" si="13"/>
        <v>-5415</v>
      </c>
      <c r="R20" s="34"/>
      <c r="S20" s="34">
        <f t="shared" si="14"/>
        <v>659.70799999999872</v>
      </c>
      <c r="T20" s="34">
        <f t="shared" si="15"/>
        <v>60.97116451016624</v>
      </c>
      <c r="U20" s="34">
        <f t="shared" si="0"/>
        <v>2060.9711645101661</v>
      </c>
      <c r="V20" s="31">
        <f>H20+S20-SUM(AB$15:AB20)</f>
        <v>18718.444500000129</v>
      </c>
      <c r="W20" s="32">
        <f t="shared" si="16"/>
        <v>9.0823417728161022</v>
      </c>
      <c r="X20" s="32">
        <f t="shared" si="17"/>
        <v>5.2973522816037288E-2</v>
      </c>
      <c r="Y20" s="32">
        <f t="shared" si="18"/>
        <v>1.7376582271838981</v>
      </c>
      <c r="Z20" s="38">
        <f t="shared" si="19"/>
        <v>0.97041629424026554</v>
      </c>
      <c r="AA20" s="31">
        <f>SUM(L$2:L20)-SUM(AB$2:AB20)</f>
        <v>299.71000000000276</v>
      </c>
      <c r="AC20" s="40">
        <f t="shared" si="1"/>
        <v>330.82004327632814</v>
      </c>
      <c r="AD20" s="40">
        <f t="shared" si="2"/>
        <v>-1669.1799567236719</v>
      </c>
    </row>
    <row r="21" spans="1:30" s="1" customFormat="1" ht="14.4" customHeight="1" x14ac:dyDescent="0.25">
      <c r="A21" s="99">
        <v>42824</v>
      </c>
      <c r="B21" s="160"/>
      <c r="C21" s="64" t="s">
        <v>69</v>
      </c>
      <c r="D21" s="77">
        <v>400</v>
      </c>
      <c r="E21" s="31">
        <v>10.95</v>
      </c>
      <c r="F21" s="102">
        <f t="shared" si="4"/>
        <v>1600</v>
      </c>
      <c r="G21" s="32">
        <f t="shared" si="3"/>
        <v>8.5550728125000806</v>
      </c>
      <c r="H21" s="31">
        <f t="shared" si="5"/>
        <v>13688.116500000129</v>
      </c>
      <c r="I21" s="31">
        <f t="shared" si="6"/>
        <v>3831.8834999998708</v>
      </c>
      <c r="J21" s="108">
        <f t="shared" si="7"/>
        <v>0.27994234999386758</v>
      </c>
      <c r="K21" s="31">
        <f t="shared" si="8"/>
        <v>17520</v>
      </c>
      <c r="L21" s="31">
        <f t="shared" si="9"/>
        <v>250.6200000000008</v>
      </c>
      <c r="M21" s="31">
        <f t="shared" si="10"/>
        <v>5</v>
      </c>
      <c r="N21" s="31">
        <f t="shared" si="11"/>
        <v>4.38</v>
      </c>
      <c r="O21" s="166"/>
      <c r="P21" s="32">
        <f t="shared" si="12"/>
        <v>2.3949271874999187</v>
      </c>
      <c r="Q21" s="31">
        <f t="shared" si="13"/>
        <v>4370.6200000000008</v>
      </c>
      <c r="R21" s="34"/>
      <c r="S21" s="34">
        <f t="shared" si="14"/>
        <v>5030.3279999999995</v>
      </c>
      <c r="T21" s="34">
        <f t="shared" si="15"/>
        <v>459.39068493150683</v>
      </c>
      <c r="U21" s="34">
        <f t="shared" si="0"/>
        <v>2059.3906849315067</v>
      </c>
      <c r="V21" s="31">
        <f>H21+S21-SUM(AB$15:AB21)</f>
        <v>18718.444500000129</v>
      </c>
      <c r="W21" s="32">
        <f t="shared" si="16"/>
        <v>9.0893120168807044</v>
      </c>
      <c r="X21" s="32">
        <f t="shared" si="17"/>
        <v>0.53423920438062389</v>
      </c>
      <c r="Y21" s="32">
        <f t="shared" si="18"/>
        <v>1.8606879831192948</v>
      </c>
      <c r="Z21" s="38">
        <f t="shared" si="19"/>
        <v>0.77692883225467946</v>
      </c>
      <c r="AA21" s="31">
        <f>SUM(L$2:L21)-SUM(AB$2:AB21)</f>
        <v>550.33000000000357</v>
      </c>
      <c r="AB21" s="165"/>
      <c r="AC21" s="40">
        <f t="shared" si="1"/>
        <v>349.76872678081014</v>
      </c>
      <c r="AD21" s="40">
        <f t="shared" si="2"/>
        <v>-1250.2312732191899</v>
      </c>
    </row>
    <row r="22" spans="1:30" s="1" customFormat="1" ht="14.4" customHeight="1" x14ac:dyDescent="0.25">
      <c r="A22" s="99">
        <v>42825</v>
      </c>
      <c r="B22" s="160"/>
      <c r="C22" s="104" t="s">
        <v>69</v>
      </c>
      <c r="D22" s="77">
        <v>400</v>
      </c>
      <c r="E22" s="31">
        <v>11.03</v>
      </c>
      <c r="F22" s="102">
        <f t="shared" si="4"/>
        <v>1200</v>
      </c>
      <c r="G22" s="32">
        <f t="shared" si="3"/>
        <v>7.7379404166667749</v>
      </c>
      <c r="H22" s="31">
        <f t="shared" si="5"/>
        <v>9285.5285000001295</v>
      </c>
      <c r="I22" s="31">
        <f t="shared" si="6"/>
        <v>3950.4714999998705</v>
      </c>
      <c r="J22" s="108">
        <f t="shared" si="7"/>
        <v>0.42544390445840685</v>
      </c>
      <c r="K22" s="31">
        <f t="shared" si="8"/>
        <v>13236</v>
      </c>
      <c r="L22" s="31">
        <f t="shared" si="9"/>
        <v>118.58799999999974</v>
      </c>
      <c r="M22" s="31">
        <f t="shared" si="10"/>
        <v>5</v>
      </c>
      <c r="N22" s="31">
        <f t="shared" si="11"/>
        <v>4.4119999999999999</v>
      </c>
      <c r="O22" s="166"/>
      <c r="P22" s="32">
        <f t="shared" si="12"/>
        <v>3.2920595833332245</v>
      </c>
      <c r="Q22" s="31">
        <f t="shared" si="13"/>
        <v>4402.5879999999997</v>
      </c>
      <c r="R22" s="34"/>
      <c r="S22" s="34">
        <f t="shared" si="14"/>
        <v>9432.9159999999993</v>
      </c>
      <c r="T22" s="34">
        <f t="shared" si="15"/>
        <v>855.20543970988217</v>
      </c>
      <c r="U22" s="34">
        <f t="shared" si="0"/>
        <v>2055.2054397098823</v>
      </c>
      <c r="V22" s="31">
        <f>H22+S22-SUM(AB$15:AB22)</f>
        <v>18718.444500000129</v>
      </c>
      <c r="W22" s="32">
        <f t="shared" si="16"/>
        <v>9.1078216018358091</v>
      </c>
      <c r="X22" s="32">
        <f t="shared" si="17"/>
        <v>1.3698811851690342</v>
      </c>
      <c r="Y22" s="32">
        <f t="shared" si="18"/>
        <v>1.9221783981641902</v>
      </c>
      <c r="Z22" s="38">
        <f t="shared" si="19"/>
        <v>0.58388323464606773</v>
      </c>
      <c r="AA22" s="31">
        <f>SUM(L$2:L22)-SUM(AB$2:AB22)</f>
        <v>668.9180000000033</v>
      </c>
      <c r="AC22" s="40">
        <f t="shared" si="1"/>
        <v>357.97790247052319</v>
      </c>
      <c r="AD22" s="40">
        <f t="shared" si="2"/>
        <v>-842.02209752947681</v>
      </c>
    </row>
    <row r="23" spans="1:30" ht="14.4" customHeight="1" x14ac:dyDescent="0.25">
      <c r="A23" s="99">
        <v>42830</v>
      </c>
      <c r="B23" s="159"/>
      <c r="C23" s="64" t="s">
        <v>69</v>
      </c>
      <c r="D23" s="77">
        <v>400</v>
      </c>
      <c r="E23" s="31">
        <v>12</v>
      </c>
      <c r="F23" s="102">
        <f t="shared" si="4"/>
        <v>800</v>
      </c>
      <c r="G23" s="32">
        <f t="shared" si="3"/>
        <v>5.6191606250001618</v>
      </c>
      <c r="H23" s="31">
        <f t="shared" si="5"/>
        <v>4495.3285000001297</v>
      </c>
      <c r="I23" s="31">
        <f t="shared" si="6"/>
        <v>5104.6714999998703</v>
      </c>
      <c r="J23" s="108">
        <f t="shared" si="7"/>
        <v>1.1355502717987627</v>
      </c>
      <c r="K23" s="31">
        <f t="shared" si="8"/>
        <v>9600</v>
      </c>
      <c r="L23" s="31">
        <f t="shared" si="9"/>
        <v>1154.1999999999998</v>
      </c>
      <c r="M23" s="31">
        <f t="shared" si="10"/>
        <v>5</v>
      </c>
      <c r="N23" s="31">
        <f t="shared" si="11"/>
        <v>4.8</v>
      </c>
      <c r="O23" s="166"/>
      <c r="P23" s="32">
        <f t="shared" si="12"/>
        <v>6.3808393749998382</v>
      </c>
      <c r="Q23" s="31">
        <f t="shared" si="13"/>
        <v>4790.2</v>
      </c>
      <c r="R23" s="34"/>
      <c r="S23" s="34">
        <f t="shared" si="14"/>
        <v>14223.115999999998</v>
      </c>
      <c r="T23" s="34">
        <f t="shared" si="15"/>
        <v>1185.2596666666666</v>
      </c>
      <c r="U23" s="34">
        <f t="shared" si="0"/>
        <v>1985.2596666666666</v>
      </c>
      <c r="V23" s="31">
        <f>H23+S23-SUM(AB$15:AB23)</f>
        <v>18718.444500000129</v>
      </c>
      <c r="W23" s="32">
        <f t="shared" si="16"/>
        <v>9.4287134395014309</v>
      </c>
      <c r="X23" s="32">
        <f t="shared" si="17"/>
        <v>3.8095528145012691</v>
      </c>
      <c r="Y23" s="32">
        <f t="shared" si="18"/>
        <v>2.5712865604985691</v>
      </c>
      <c r="Z23" s="38">
        <f t="shared" si="19"/>
        <v>0.40296995573542943</v>
      </c>
      <c r="AA23" s="31">
        <f>SUM(L$2:L23)-SUM(AB$2:AB23)</f>
        <v>1823.1180000000031</v>
      </c>
      <c r="AC23" s="40">
        <f t="shared" si="1"/>
        <v>425.17659702082256</v>
      </c>
      <c r="AD23" s="40">
        <f t="shared" si="2"/>
        <v>-374.82340297917744</v>
      </c>
    </row>
    <row r="24" spans="1:30" ht="14.4" customHeight="1" x14ac:dyDescent="0.25">
      <c r="A24" s="99">
        <v>42831</v>
      </c>
      <c r="B24" s="159" t="s">
        <v>178</v>
      </c>
      <c r="C24" s="64" t="s">
        <v>63</v>
      </c>
      <c r="D24" s="77">
        <v>500</v>
      </c>
      <c r="E24" s="31">
        <v>11.72</v>
      </c>
      <c r="F24" s="102">
        <f t="shared" si="4"/>
        <v>1300</v>
      </c>
      <c r="G24" s="32">
        <f t="shared" si="3"/>
        <v>7.9694834615385624</v>
      </c>
      <c r="H24" s="31">
        <f t="shared" si="5"/>
        <v>10360.328500000131</v>
      </c>
      <c r="I24" s="31">
        <f t="shared" si="6"/>
        <v>4875.6714999998694</v>
      </c>
      <c r="J24" s="108">
        <f t="shared" si="7"/>
        <v>0.47060973983593357</v>
      </c>
      <c r="K24" s="31">
        <f t="shared" si="8"/>
        <v>15236</v>
      </c>
      <c r="L24" s="31">
        <f t="shared" si="9"/>
        <v>-229.00000000000091</v>
      </c>
      <c r="M24" s="31">
        <f t="shared" si="10"/>
        <v>5</v>
      </c>
      <c r="N24" s="31">
        <f t="shared" si="11"/>
        <v>0</v>
      </c>
      <c r="O24" s="166"/>
      <c r="P24" s="32">
        <f t="shared" si="12"/>
        <v>3.7505165384614383</v>
      </c>
      <c r="Q24" s="31">
        <f t="shared" si="13"/>
        <v>-5865.0000000000009</v>
      </c>
      <c r="R24" s="34"/>
      <c r="S24" s="34">
        <f t="shared" si="14"/>
        <v>8358.1159999999982</v>
      </c>
      <c r="T24" s="34">
        <f t="shared" si="15"/>
        <v>713.14982935153569</v>
      </c>
      <c r="U24" s="34">
        <f t="shared" si="0"/>
        <v>2013.1498293515356</v>
      </c>
      <c r="V24" s="31">
        <f>H24+S24-SUM(AB$15:AB24)</f>
        <v>18718.444500000129</v>
      </c>
      <c r="W24" s="32">
        <f t="shared" si="16"/>
        <v>9.2980881140027254</v>
      </c>
      <c r="X24" s="32">
        <f t="shared" si="17"/>
        <v>1.328604652464163</v>
      </c>
      <c r="Y24" s="32">
        <f t="shared" si="18"/>
        <v>2.4219118859972752</v>
      </c>
      <c r="Z24" s="38">
        <f t="shared" si="19"/>
        <v>0.64575422109478486</v>
      </c>
      <c r="AA24" s="31">
        <f>SUM(L$2:L24)-SUM(AB$2:AB24)</f>
        <v>1594.1180000000022</v>
      </c>
      <c r="AC24" s="40">
        <f t="shared" si="1"/>
        <v>415.80492015783869</v>
      </c>
      <c r="AD24" s="40">
        <f t="shared" si="2"/>
        <v>-884.19507984216125</v>
      </c>
    </row>
    <row r="25" spans="1:30" ht="14.4" customHeight="1" x14ac:dyDescent="0.25">
      <c r="A25" s="99">
        <v>42831</v>
      </c>
      <c r="B25" s="159"/>
      <c r="C25" s="64" t="s">
        <v>63</v>
      </c>
      <c r="D25" s="77">
        <v>500</v>
      </c>
      <c r="E25" s="31">
        <v>11.56</v>
      </c>
      <c r="F25" s="102">
        <f t="shared" si="4"/>
        <v>1800</v>
      </c>
      <c r="G25" s="32">
        <f t="shared" si="3"/>
        <v>8.9696269444445171</v>
      </c>
      <c r="H25" s="31">
        <f t="shared" si="5"/>
        <v>16145.328500000131</v>
      </c>
      <c r="I25" s="31">
        <f t="shared" si="6"/>
        <v>4662.6714999998694</v>
      </c>
      <c r="J25" s="108">
        <f t="shared" si="7"/>
        <v>0.28879384522896717</v>
      </c>
      <c r="K25" s="31">
        <f t="shared" si="8"/>
        <v>20808</v>
      </c>
      <c r="L25" s="31">
        <f t="shared" si="9"/>
        <v>-213</v>
      </c>
      <c r="M25" s="31">
        <f t="shared" si="10"/>
        <v>5</v>
      </c>
      <c r="N25" s="31">
        <f t="shared" si="11"/>
        <v>0</v>
      </c>
      <c r="O25" s="166"/>
      <c r="P25" s="32">
        <f t="shared" si="12"/>
        <v>2.5903730555554834</v>
      </c>
      <c r="Q25" s="31">
        <f t="shared" si="13"/>
        <v>-5785</v>
      </c>
      <c r="R25" s="34"/>
      <c r="S25" s="34">
        <f t="shared" si="14"/>
        <v>2573.1159999999982</v>
      </c>
      <c r="T25" s="34">
        <f t="shared" si="15"/>
        <v>222.58788927335624</v>
      </c>
      <c r="U25" s="34">
        <f t="shared" si="0"/>
        <v>2022.5878892733563</v>
      </c>
      <c r="V25" s="31">
        <f>H25+S25-SUM(AB$15:AB25)</f>
        <v>18718.444500000129</v>
      </c>
      <c r="W25" s="32">
        <f t="shared" si="16"/>
        <v>9.2547001785544154</v>
      </c>
      <c r="X25" s="32">
        <f t="shared" si="17"/>
        <v>0.28507323410989827</v>
      </c>
      <c r="Y25" s="32">
        <f t="shared" si="18"/>
        <v>2.3052998214455851</v>
      </c>
      <c r="Z25" s="38">
        <f t="shared" si="19"/>
        <v>0.88994896565245218</v>
      </c>
      <c r="AA25" s="31">
        <f>SUM(L$2:L25)-SUM(AB$2:AB25)</f>
        <v>1381.1180000000022</v>
      </c>
      <c r="AC25" s="40">
        <f t="shared" si="1"/>
        <v>403.14361282438318</v>
      </c>
      <c r="AD25" s="40">
        <f t="shared" si="2"/>
        <v>-1396.8563871756169</v>
      </c>
    </row>
    <row r="26" spans="1:30" ht="14.4" customHeight="1" x14ac:dyDescent="0.25">
      <c r="A26" s="99">
        <v>42831</v>
      </c>
      <c r="B26" s="159" t="s">
        <v>179</v>
      </c>
      <c r="C26" s="64" t="s">
        <v>69</v>
      </c>
      <c r="D26" s="77">
        <v>400</v>
      </c>
      <c r="E26" s="31">
        <v>11.73</v>
      </c>
      <c r="F26" s="102">
        <f t="shared" si="4"/>
        <v>1400</v>
      </c>
      <c r="G26" s="32">
        <f t="shared" si="3"/>
        <v>8.1878717857143783</v>
      </c>
      <c r="H26" s="31">
        <f t="shared" si="5"/>
        <v>11463.02050000013</v>
      </c>
      <c r="I26" s="31">
        <f t="shared" si="6"/>
        <v>4958.9794999998703</v>
      </c>
      <c r="J26" s="108">
        <f t="shared" si="7"/>
        <v>0.43260670257021827</v>
      </c>
      <c r="K26" s="31">
        <f t="shared" si="8"/>
        <v>16422</v>
      </c>
      <c r="L26" s="31">
        <f t="shared" si="9"/>
        <v>296.3080000000009</v>
      </c>
      <c r="M26" s="31">
        <f t="shared" si="10"/>
        <v>5</v>
      </c>
      <c r="N26" s="31">
        <f t="shared" si="11"/>
        <v>4.6920000000000002</v>
      </c>
      <c r="O26" s="166"/>
      <c r="P26" s="32">
        <f t="shared" si="12"/>
        <v>3.5421282142856221</v>
      </c>
      <c r="Q26" s="31">
        <f t="shared" si="13"/>
        <v>4682.3080000000009</v>
      </c>
      <c r="R26" s="34"/>
      <c r="S26" s="34">
        <f t="shared" si="14"/>
        <v>7255.4239999999991</v>
      </c>
      <c r="T26" s="34">
        <f t="shared" si="15"/>
        <v>618.53572037510651</v>
      </c>
      <c r="U26" s="34">
        <f t="shared" si="0"/>
        <v>2018.5357203751064</v>
      </c>
      <c r="V26" s="31">
        <f>H26+S26-SUM(AB$15:AB26)</f>
        <v>18718.444500000129</v>
      </c>
      <c r="W26" s="32">
        <f t="shared" si="16"/>
        <v>9.2732787986143066</v>
      </c>
      <c r="X26" s="32">
        <f t="shared" si="17"/>
        <v>1.0854070128999282</v>
      </c>
      <c r="Y26" s="32">
        <f t="shared" si="18"/>
        <v>2.4567212013856938</v>
      </c>
      <c r="Z26" s="38">
        <f t="shared" si="19"/>
        <v>0.69357207101583351</v>
      </c>
      <c r="AA26" s="31">
        <f>SUM(L$2:L26)-SUM(AB$2:AB26)</f>
        <v>1677.4260000000031</v>
      </c>
      <c r="AC26" s="40">
        <f t="shared" si="1"/>
        <v>422.54902048165991</v>
      </c>
      <c r="AD26" s="40">
        <f t="shared" si="2"/>
        <v>-977.45097951834009</v>
      </c>
    </row>
    <row r="27" spans="1:30" ht="14.4" customHeight="1" x14ac:dyDescent="0.25">
      <c r="A27" s="99">
        <v>42831</v>
      </c>
      <c r="B27" s="159"/>
      <c r="C27" s="64" t="s">
        <v>69</v>
      </c>
      <c r="D27" s="77">
        <v>400</v>
      </c>
      <c r="E27" s="31">
        <v>11.77</v>
      </c>
      <c r="F27" s="102">
        <f t="shared" si="4"/>
        <v>1000</v>
      </c>
      <c r="G27" s="32">
        <f t="shared" si="3"/>
        <v>6.7647285000001292</v>
      </c>
      <c r="H27" s="31">
        <f t="shared" si="5"/>
        <v>6764.7285000001293</v>
      </c>
      <c r="I27" s="31">
        <f t="shared" si="6"/>
        <v>5005.2714999998707</v>
      </c>
      <c r="J27" s="108">
        <f t="shared" si="7"/>
        <v>0.73990722613624105</v>
      </c>
      <c r="K27" s="31">
        <f t="shared" si="8"/>
        <v>11770</v>
      </c>
      <c r="L27" s="31">
        <f t="shared" si="9"/>
        <v>46.292000000000371</v>
      </c>
      <c r="M27" s="31">
        <f t="shared" si="10"/>
        <v>5</v>
      </c>
      <c r="N27" s="31">
        <f t="shared" si="11"/>
        <v>4.7080000000000002</v>
      </c>
      <c r="O27" s="166"/>
      <c r="P27" s="32">
        <f t="shared" si="12"/>
        <v>5.0052714999998704</v>
      </c>
      <c r="Q27" s="31">
        <f t="shared" si="13"/>
        <v>4698.2920000000004</v>
      </c>
      <c r="R27" s="34"/>
      <c r="S27" s="34">
        <f t="shared" si="14"/>
        <v>11953.716</v>
      </c>
      <c r="T27" s="34">
        <f t="shared" si="15"/>
        <v>1015.6088360237893</v>
      </c>
      <c r="U27" s="34">
        <f t="shared" si="0"/>
        <v>2015.6088360237893</v>
      </c>
      <c r="V27" s="31">
        <f>H27+S27-SUM(AB$15:AB27)</f>
        <v>18718.444500000129</v>
      </c>
      <c r="W27" s="32">
        <f t="shared" si="16"/>
        <v>9.2867446130699562</v>
      </c>
      <c r="X27" s="32">
        <f t="shared" si="17"/>
        <v>2.5220161130698271</v>
      </c>
      <c r="Y27" s="32">
        <f t="shared" si="18"/>
        <v>2.4832553869300433</v>
      </c>
      <c r="Z27" s="38">
        <f t="shared" si="19"/>
        <v>0.49612800962547349</v>
      </c>
      <c r="AA27" s="31">
        <f>SUM(L$2:L27)-SUM(AB$2:AB27)</f>
        <v>1723.7180000000035</v>
      </c>
      <c r="AC27" s="40">
        <f t="shared" si="1"/>
        <v>425.04408362360846</v>
      </c>
      <c r="AD27" s="40">
        <f t="shared" si="2"/>
        <v>-574.95591637639154</v>
      </c>
    </row>
    <row r="28" spans="1:30" ht="14.4" customHeight="1" x14ac:dyDescent="0.25">
      <c r="A28" s="99">
        <v>42832</v>
      </c>
      <c r="B28" s="159" t="s">
        <v>180</v>
      </c>
      <c r="C28" s="64" t="s">
        <v>63</v>
      </c>
      <c r="D28" s="77">
        <v>500</v>
      </c>
      <c r="E28" s="31">
        <v>11.51</v>
      </c>
      <c r="F28" s="102">
        <f t="shared" si="4"/>
        <v>1500</v>
      </c>
      <c r="G28" s="32">
        <f t="shared" si="3"/>
        <v>8.3498190000000854</v>
      </c>
      <c r="H28" s="31">
        <f t="shared" si="5"/>
        <v>12524.728500000128</v>
      </c>
      <c r="I28" s="31">
        <f t="shared" si="6"/>
        <v>4740.2714999998716</v>
      </c>
      <c r="J28" s="108">
        <f t="shared" si="7"/>
        <v>0.37847299444453614</v>
      </c>
      <c r="K28" s="31">
        <f t="shared" si="8"/>
        <v>17265</v>
      </c>
      <c r="L28" s="31">
        <f t="shared" si="9"/>
        <v>-264.99999999999909</v>
      </c>
      <c r="M28" s="31">
        <f t="shared" si="10"/>
        <v>5</v>
      </c>
      <c r="N28" s="31">
        <f t="shared" si="11"/>
        <v>0</v>
      </c>
      <c r="O28" s="166"/>
      <c r="P28" s="32">
        <f t="shared" si="12"/>
        <v>3.1601809999999144</v>
      </c>
      <c r="Q28" s="31">
        <f t="shared" si="13"/>
        <v>-5759.9999999999991</v>
      </c>
      <c r="R28" s="34"/>
      <c r="S28" s="34">
        <f t="shared" si="14"/>
        <v>6193.7160000000013</v>
      </c>
      <c r="T28" s="34">
        <f t="shared" si="15"/>
        <v>538.11607298001752</v>
      </c>
      <c r="U28" s="34">
        <f t="shared" si="0"/>
        <v>2038.1160729800176</v>
      </c>
      <c r="V28" s="31">
        <f>H28+S28-SUM(AB$15:AB28)</f>
        <v>18718.444500000129</v>
      </c>
      <c r="W28" s="32">
        <f t="shared" si="16"/>
        <v>9.1841896289209295</v>
      </c>
      <c r="X28" s="32">
        <f t="shared" si="17"/>
        <v>0.83437062892084413</v>
      </c>
      <c r="Y28" s="32">
        <f t="shared" si="18"/>
        <v>2.3258103710790703</v>
      </c>
      <c r="Z28" s="38">
        <f t="shared" si="19"/>
        <v>0.73597378475445963</v>
      </c>
      <c r="AA28" s="31">
        <f>SUM(L$2:L28)-SUM(AB$2:AB28)</f>
        <v>1458.7180000000044</v>
      </c>
      <c r="AC28" s="40">
        <f t="shared" si="1"/>
        <v>411.63348082101407</v>
      </c>
      <c r="AD28" s="40">
        <f t="shared" si="2"/>
        <v>-1088.366519178986</v>
      </c>
    </row>
    <row r="29" spans="1:30" ht="14.4" customHeight="1" x14ac:dyDescent="0.25">
      <c r="A29" s="99">
        <v>42835</v>
      </c>
      <c r="B29" s="331">
        <v>43513</v>
      </c>
      <c r="C29" s="104" t="s">
        <v>69</v>
      </c>
      <c r="D29" s="77">
        <v>400</v>
      </c>
      <c r="E29" s="31">
        <v>11.69</v>
      </c>
      <c r="F29" s="102">
        <f t="shared" si="4"/>
        <v>1100</v>
      </c>
      <c r="G29" s="32">
        <f t="shared" si="3"/>
        <v>7.144004090909208</v>
      </c>
      <c r="H29" s="31">
        <f t="shared" si="5"/>
        <v>7858.4045000001288</v>
      </c>
      <c r="I29" s="31">
        <f t="shared" si="6"/>
        <v>5000.5954999998712</v>
      </c>
      <c r="J29" s="108">
        <f t="shared" si="7"/>
        <v>0.63633724886518483</v>
      </c>
      <c r="K29" s="31">
        <f t="shared" si="8"/>
        <v>12859</v>
      </c>
      <c r="L29" s="31">
        <f t="shared" si="9"/>
        <v>260.32399999999961</v>
      </c>
      <c r="M29" s="31">
        <f t="shared" si="10"/>
        <v>5</v>
      </c>
      <c r="N29" s="31">
        <f t="shared" si="11"/>
        <v>4.6760000000000002</v>
      </c>
      <c r="O29" s="166"/>
      <c r="P29" s="32">
        <f t="shared" si="12"/>
        <v>4.5459959090907915</v>
      </c>
      <c r="Q29" s="31">
        <f t="shared" si="13"/>
        <v>4666.3239999999996</v>
      </c>
      <c r="R29" s="34"/>
      <c r="S29" s="34">
        <f t="shared" si="14"/>
        <v>10860.04</v>
      </c>
      <c r="T29" s="34">
        <f t="shared" si="15"/>
        <v>929.00256629597959</v>
      </c>
      <c r="U29" s="34">
        <f t="shared" si="0"/>
        <v>2029.0025662959797</v>
      </c>
      <c r="V29" s="31">
        <f>H29+S29-SUM(AB$15:AB29)</f>
        <v>18718.444500000129</v>
      </c>
      <c r="W29" s="32">
        <f t="shared" si="16"/>
        <v>9.225441510491212</v>
      </c>
      <c r="X29" s="32">
        <f t="shared" si="17"/>
        <v>2.081437419582004</v>
      </c>
      <c r="Y29" s="32">
        <f t="shared" si="18"/>
        <v>2.4645584895087875</v>
      </c>
      <c r="Z29" s="38">
        <f t="shared" si="19"/>
        <v>0.54213829902053368</v>
      </c>
      <c r="AA29" s="31">
        <f>SUM(L$2:L29)-SUM(AB$2:AB29)</f>
        <v>1719.042000000004</v>
      </c>
      <c r="AC29" s="40">
        <f t="shared" si="1"/>
        <v>427.55305408467677</v>
      </c>
      <c r="AD29" s="40">
        <f t="shared" si="2"/>
        <v>-672.44694591532323</v>
      </c>
    </row>
    <row r="30" spans="1:30" ht="14.4" customHeight="1" x14ac:dyDescent="0.25">
      <c r="A30" s="99">
        <v>42835</v>
      </c>
      <c r="B30" s="160"/>
      <c r="C30" s="104" t="s">
        <v>69</v>
      </c>
      <c r="D30" s="77">
        <v>400</v>
      </c>
      <c r="E30" s="31">
        <v>11.92</v>
      </c>
      <c r="F30" s="102">
        <f t="shared" si="4"/>
        <v>700</v>
      </c>
      <c r="G30" s="32">
        <f t="shared" si="3"/>
        <v>4.4288178571430414</v>
      </c>
      <c r="H30" s="31">
        <f t="shared" si="5"/>
        <v>3100.1725000001288</v>
      </c>
      <c r="I30" s="31">
        <f t="shared" si="6"/>
        <v>5243.8274999998712</v>
      </c>
      <c r="J30" s="108">
        <f t="shared" si="7"/>
        <v>1.6914631363253667</v>
      </c>
      <c r="K30" s="31">
        <f t="shared" si="8"/>
        <v>8344</v>
      </c>
      <c r="L30" s="31">
        <f t="shared" si="9"/>
        <v>243.23199999999997</v>
      </c>
      <c r="M30" s="31">
        <f t="shared" si="10"/>
        <v>5</v>
      </c>
      <c r="N30" s="31">
        <f t="shared" si="11"/>
        <v>4.7679999999999998</v>
      </c>
      <c r="O30" s="166"/>
      <c r="P30" s="32">
        <f t="shared" si="12"/>
        <v>7.4911821428569585</v>
      </c>
      <c r="Q30" s="31">
        <f t="shared" si="13"/>
        <v>4758.232</v>
      </c>
      <c r="R30" s="34"/>
      <c r="S30" s="34">
        <f t="shared" si="14"/>
        <v>15618.272000000001</v>
      </c>
      <c r="T30" s="34">
        <f t="shared" si="15"/>
        <v>1310.2577181208055</v>
      </c>
      <c r="U30" s="34">
        <f t="shared" si="0"/>
        <v>2010.2577181208055</v>
      </c>
      <c r="V30" s="31">
        <f>H30+S30-SUM(AB$15:AB30)</f>
        <v>18718.444500000129</v>
      </c>
      <c r="W30" s="32">
        <f t="shared" si="16"/>
        <v>9.3114650580713523</v>
      </c>
      <c r="X30" s="32">
        <f t="shared" si="17"/>
        <v>4.8826472009283108</v>
      </c>
      <c r="Y30" s="32">
        <f t="shared" si="18"/>
        <v>2.6085349419286477</v>
      </c>
      <c r="Z30" s="38">
        <f t="shared" si="19"/>
        <v>0.34821405916767822</v>
      </c>
      <c r="AA30" s="31">
        <f>SUM(L$2:L30)-SUM(AB$2:AB30)</f>
        <v>1962.274000000004</v>
      </c>
      <c r="AC30" s="40">
        <f t="shared" si="1"/>
        <v>439.69845522230463</v>
      </c>
      <c r="AD30" s="40">
        <f t="shared" si="2"/>
        <v>-260.30154477769537</v>
      </c>
    </row>
    <row r="31" spans="1:30" ht="14.4" customHeight="1" x14ac:dyDescent="0.25">
      <c r="A31" s="99">
        <v>42835</v>
      </c>
      <c r="B31" s="159"/>
      <c r="C31" s="64" t="s">
        <v>69</v>
      </c>
      <c r="D31" s="77">
        <v>400</v>
      </c>
      <c r="E31" s="31">
        <v>12.05</v>
      </c>
      <c r="F31" s="102">
        <f t="shared" si="4"/>
        <v>300</v>
      </c>
      <c r="G31" s="32">
        <f t="shared" si="3"/>
        <v>-5.7000249999995711</v>
      </c>
      <c r="H31" s="31">
        <f t="shared" si="5"/>
        <v>-1710.0074999998712</v>
      </c>
      <c r="I31" s="31">
        <f t="shared" si="6"/>
        <v>5325.0074999998715</v>
      </c>
      <c r="J31" s="108">
        <f t="shared" si="7"/>
        <v>-3.1140258156764062</v>
      </c>
      <c r="K31" s="31">
        <f t="shared" si="8"/>
        <v>3615</v>
      </c>
      <c r="L31" s="31">
        <f t="shared" si="9"/>
        <v>81.180000000000291</v>
      </c>
      <c r="M31" s="31">
        <f t="shared" si="10"/>
        <v>5</v>
      </c>
      <c r="N31" s="31">
        <f t="shared" si="11"/>
        <v>4.82</v>
      </c>
      <c r="O31" s="166"/>
      <c r="P31" s="32">
        <f t="shared" si="12"/>
        <v>17.750024999999571</v>
      </c>
      <c r="Q31" s="31">
        <f t="shared" si="13"/>
        <v>4810.18</v>
      </c>
      <c r="R31" s="34"/>
      <c r="S31" s="34">
        <f t="shared" si="14"/>
        <v>20428.452000000001</v>
      </c>
      <c r="T31" s="34">
        <f t="shared" si="15"/>
        <v>1695.3072199170124</v>
      </c>
      <c r="U31" s="34">
        <f t="shared" si="0"/>
        <v>1995.3072199170124</v>
      </c>
      <c r="V31" s="31">
        <f>H31+S31-SUM(AB$15:AB31)</f>
        <v>18718.444500000129</v>
      </c>
      <c r="W31" s="32">
        <f t="shared" si="16"/>
        <v>9.3812342847026109</v>
      </c>
      <c r="X31" s="32">
        <f t="shared" si="17"/>
        <v>15.081259284702181</v>
      </c>
      <c r="Y31" s="32">
        <f t="shared" si="18"/>
        <v>2.6687657152973898</v>
      </c>
      <c r="Z31" s="38">
        <f t="shared" si="19"/>
        <v>0.15035278628043927</v>
      </c>
      <c r="AA31" s="31">
        <f>SUM(L$2:L31)-SUM(AB$2:AB31)</f>
        <v>2043.4540000000043</v>
      </c>
      <c r="AC31" s="40">
        <f t="shared" si="1"/>
        <v>441.68838143152459</v>
      </c>
      <c r="AD31" s="40">
        <f t="shared" si="2"/>
        <v>141.68838143152459</v>
      </c>
    </row>
    <row r="32" spans="1:30" ht="14.4" customHeight="1" x14ac:dyDescent="0.25">
      <c r="A32" s="99">
        <v>42835</v>
      </c>
      <c r="B32" s="159"/>
      <c r="C32" s="64" t="s">
        <v>69</v>
      </c>
      <c r="D32" s="77">
        <v>200</v>
      </c>
      <c r="E32" s="31">
        <v>12.57</v>
      </c>
      <c r="F32" s="102">
        <f t="shared" si="4"/>
        <v>100</v>
      </c>
      <c r="G32" s="32">
        <f t="shared" si="3"/>
        <v>-42.164934999998714</v>
      </c>
      <c r="H32" s="31">
        <f t="shared" si="5"/>
        <v>-4216.4934999998713</v>
      </c>
      <c r="I32" s="31">
        <f t="shared" si="6"/>
        <v>5473.4934999998713</v>
      </c>
      <c r="J32" s="108">
        <f t="shared" si="7"/>
        <v>-1.2981150095452627</v>
      </c>
      <c r="K32" s="31">
        <f t="shared" si="8"/>
        <v>1257</v>
      </c>
      <c r="L32" s="31">
        <f t="shared" si="9"/>
        <v>148.48599999999988</v>
      </c>
      <c r="M32" s="31">
        <f t="shared" si="10"/>
        <v>5</v>
      </c>
      <c r="N32" s="31">
        <f t="shared" si="11"/>
        <v>2.5139999999999998</v>
      </c>
      <c r="O32" s="166"/>
      <c r="P32" s="32">
        <f t="shared" si="12"/>
        <v>54.734934999998714</v>
      </c>
      <c r="Q32" s="31">
        <f t="shared" si="13"/>
        <v>2506.4859999999999</v>
      </c>
      <c r="R32" s="34"/>
      <c r="S32" s="34">
        <f t="shared" si="14"/>
        <v>22934.938000000002</v>
      </c>
      <c r="T32" s="34">
        <f t="shared" si="15"/>
        <v>1824.5774065234687</v>
      </c>
      <c r="U32" s="34">
        <f t="shared" si="0"/>
        <v>1924.5774065234687</v>
      </c>
      <c r="V32" s="31">
        <f>H32+S32-SUM(AB$15:AB32)</f>
        <v>18718.444500000129</v>
      </c>
      <c r="W32" s="32">
        <f t="shared" si="16"/>
        <v>9.7260024130766869</v>
      </c>
      <c r="X32" s="32">
        <f t="shared" si="17"/>
        <v>51.890937413075399</v>
      </c>
      <c r="Y32" s="32">
        <f t="shared" si="18"/>
        <v>2.8439975869233152</v>
      </c>
      <c r="Z32" s="38">
        <f t="shared" si="19"/>
        <v>5.1959458560120318E-2</v>
      </c>
      <c r="AA32" s="31">
        <f>SUM(L$2:L32)-SUM(AB$2:AB32)</f>
        <v>2191.9400000000041</v>
      </c>
      <c r="AC32" s="40">
        <f t="shared" si="1"/>
        <v>435.22328983690306</v>
      </c>
      <c r="AD32" s="40">
        <f t="shared" si="2"/>
        <v>335.22328983690306</v>
      </c>
    </row>
    <row r="33" spans="1:30" ht="14.4" customHeight="1" x14ac:dyDescent="0.25">
      <c r="A33" s="99">
        <v>42837</v>
      </c>
      <c r="B33" s="159" t="s">
        <v>181</v>
      </c>
      <c r="C33" s="64" t="s">
        <v>63</v>
      </c>
      <c r="D33" s="77">
        <v>200</v>
      </c>
      <c r="E33" s="31">
        <v>12.23</v>
      </c>
      <c r="F33" s="102">
        <f t="shared" si="4"/>
        <v>300</v>
      </c>
      <c r="G33" s="32">
        <f t="shared" si="3"/>
        <v>-5.8849783333329047</v>
      </c>
      <c r="H33" s="31">
        <f t="shared" si="5"/>
        <v>-1765.4934999998713</v>
      </c>
      <c r="I33" s="31">
        <f t="shared" si="6"/>
        <v>5434.4934999998713</v>
      </c>
      <c r="J33" s="108">
        <f t="shared" si="7"/>
        <v>-3.0781724769874645</v>
      </c>
      <c r="K33" s="31">
        <f t="shared" si="8"/>
        <v>3669</v>
      </c>
      <c r="L33" s="31">
        <f t="shared" si="9"/>
        <v>-39</v>
      </c>
      <c r="M33" s="31">
        <f t="shared" si="10"/>
        <v>5</v>
      </c>
      <c r="N33" s="31">
        <f t="shared" si="11"/>
        <v>0</v>
      </c>
      <c r="O33" s="166"/>
      <c r="P33" s="32">
        <f t="shared" si="12"/>
        <v>18.114978333332907</v>
      </c>
      <c r="Q33" s="31">
        <f t="shared" si="13"/>
        <v>-2451</v>
      </c>
      <c r="R33" s="34"/>
      <c r="S33" s="34">
        <f t="shared" si="14"/>
        <v>20483.938000000002</v>
      </c>
      <c r="T33" s="34">
        <f t="shared" si="15"/>
        <v>1674.8927228127557</v>
      </c>
      <c r="U33" s="34">
        <f t="shared" si="0"/>
        <v>1974.8927228127557</v>
      </c>
      <c r="V33" s="31">
        <f>H33+S33-SUM(AB$15:AB33)</f>
        <v>18718.444500000129</v>
      </c>
      <c r="W33" s="32">
        <f t="shared" si="16"/>
        <v>9.4782082508969125</v>
      </c>
      <c r="X33" s="32">
        <f t="shared" si="17"/>
        <v>15.363186584229817</v>
      </c>
      <c r="Y33" s="32">
        <f t="shared" si="18"/>
        <v>2.7517917491030897</v>
      </c>
      <c r="Z33" s="38">
        <f t="shared" si="19"/>
        <v>0.15190698539448905</v>
      </c>
      <c r="AA33" s="31">
        <f>SUM(L$2:L33)-SUM(AB$2:AB33)</f>
        <v>2152.9400000000041</v>
      </c>
      <c r="AC33" s="40">
        <f t="shared" si="1"/>
        <v>444.13542544970335</v>
      </c>
      <c r="AD33" s="40">
        <f t="shared" si="2"/>
        <v>144.13542544970335</v>
      </c>
    </row>
    <row r="34" spans="1:30" ht="14.4" customHeight="1" x14ac:dyDescent="0.25">
      <c r="A34" s="99">
        <v>42838</v>
      </c>
      <c r="B34" s="159"/>
      <c r="C34" s="64" t="s">
        <v>69</v>
      </c>
      <c r="D34" s="77">
        <v>200</v>
      </c>
      <c r="E34" s="31">
        <v>12.77</v>
      </c>
      <c r="F34" s="102">
        <f t="shared" si="4"/>
        <v>100</v>
      </c>
      <c r="G34" s="32">
        <f t="shared" si="3"/>
        <v>-43.119394999998711</v>
      </c>
      <c r="H34" s="31">
        <f t="shared" si="5"/>
        <v>-4311.9394999998713</v>
      </c>
      <c r="I34" s="31">
        <f t="shared" si="6"/>
        <v>5588.9394999998713</v>
      </c>
      <c r="J34" s="108">
        <f t="shared" si="7"/>
        <v>-1.2961544335211657</v>
      </c>
      <c r="K34" s="31">
        <f t="shared" si="8"/>
        <v>1277</v>
      </c>
      <c r="L34" s="31">
        <f t="shared" si="9"/>
        <v>154.44599999999991</v>
      </c>
      <c r="M34" s="31">
        <f t="shared" si="10"/>
        <v>5</v>
      </c>
      <c r="N34" s="31">
        <f t="shared" si="11"/>
        <v>2.5539999999999998</v>
      </c>
      <c r="O34" s="166"/>
      <c r="P34" s="32">
        <f t="shared" si="12"/>
        <v>55.889394999998714</v>
      </c>
      <c r="Q34" s="31">
        <f t="shared" si="13"/>
        <v>2546.4459999999999</v>
      </c>
      <c r="R34" s="34"/>
      <c r="S34" s="34">
        <f t="shared" si="14"/>
        <v>23030.384000000002</v>
      </c>
      <c r="T34" s="34">
        <f t="shared" si="15"/>
        <v>1803.4756460454191</v>
      </c>
      <c r="U34" s="34">
        <f t="shared" si="0"/>
        <v>1903.4756460454191</v>
      </c>
      <c r="V34" s="31">
        <f>H34+S34-SUM(AB$15:AB34)</f>
        <v>18718.444500000129</v>
      </c>
      <c r="W34" s="32">
        <f t="shared" si="16"/>
        <v>9.8338240044671874</v>
      </c>
      <c r="X34" s="32">
        <f t="shared" si="17"/>
        <v>52.9532190044659</v>
      </c>
      <c r="Y34" s="32">
        <f t="shared" si="18"/>
        <v>2.9361759955328139</v>
      </c>
      <c r="Z34" s="38">
        <f t="shared" si="19"/>
        <v>5.2535476462625512E-2</v>
      </c>
      <c r="AA34" s="31">
        <f>SUM(L$2:L34)-SUM(AB$2:AB34)</f>
        <v>2307.3860000000041</v>
      </c>
      <c r="AC34" s="40">
        <f t="shared" si="1"/>
        <v>437.442837137813</v>
      </c>
      <c r="AD34" s="40">
        <f t="shared" si="2"/>
        <v>337.442837137813</v>
      </c>
    </row>
    <row r="35" spans="1:30" ht="14.4" customHeight="1" x14ac:dyDescent="0.25">
      <c r="A35" s="99">
        <v>42842</v>
      </c>
      <c r="B35" s="159" t="s">
        <v>182</v>
      </c>
      <c r="C35" s="64" t="s">
        <v>63</v>
      </c>
      <c r="D35" s="77">
        <v>400</v>
      </c>
      <c r="E35" s="31">
        <v>12.55</v>
      </c>
      <c r="F35" s="102">
        <f t="shared" si="4"/>
        <v>500</v>
      </c>
      <c r="G35" s="32">
        <f t="shared" si="3"/>
        <v>1.4261210000002575</v>
      </c>
      <c r="H35" s="31">
        <f t="shared" si="5"/>
        <v>713.06050000012874</v>
      </c>
      <c r="I35" s="31">
        <f t="shared" si="6"/>
        <v>5561.9394999998713</v>
      </c>
      <c r="J35" s="108">
        <f t="shared" si="7"/>
        <v>7.8000948026133363</v>
      </c>
      <c r="K35" s="31">
        <f t="shared" si="8"/>
        <v>6275</v>
      </c>
      <c r="L35" s="31">
        <f t="shared" si="9"/>
        <v>-27</v>
      </c>
      <c r="M35" s="31">
        <f t="shared" si="10"/>
        <v>5</v>
      </c>
      <c r="N35" s="31">
        <f t="shared" si="11"/>
        <v>0</v>
      </c>
      <c r="O35" s="166"/>
      <c r="P35" s="32">
        <f t="shared" si="12"/>
        <v>11.123878999999743</v>
      </c>
      <c r="Q35" s="31">
        <f t="shared" si="13"/>
        <v>-5025</v>
      </c>
      <c r="R35" s="34"/>
      <c r="S35" s="34">
        <f t="shared" si="14"/>
        <v>18005.384000000002</v>
      </c>
      <c r="T35" s="34">
        <f t="shared" si="15"/>
        <v>1434.691952191235</v>
      </c>
      <c r="U35" s="34">
        <f t="shared" si="0"/>
        <v>1934.691952191235</v>
      </c>
      <c r="V35" s="31">
        <f>H35+S35-SUM(AB$15:AB35)</f>
        <v>18718.444500000129</v>
      </c>
      <c r="W35" s="32">
        <f t="shared" si="16"/>
        <v>9.6751549924005165</v>
      </c>
      <c r="X35" s="32">
        <f t="shared" si="17"/>
        <v>8.2490339924002587</v>
      </c>
      <c r="Y35" s="32">
        <f t="shared" si="18"/>
        <v>2.8748450075994842</v>
      </c>
      <c r="Z35" s="38">
        <f t="shared" si="19"/>
        <v>0.25843907575761571</v>
      </c>
      <c r="AA35" s="31">
        <f>SUM(L$2:L35)-SUM(AB$2:AB35)</f>
        <v>2280.3860000000041</v>
      </c>
      <c r="AC35" s="40">
        <f t="shared" si="1"/>
        <v>442.96083906373474</v>
      </c>
      <c r="AD35" s="40">
        <f t="shared" si="2"/>
        <v>-57.039160936265262</v>
      </c>
    </row>
    <row r="36" spans="1:30" ht="14.4" customHeight="1" x14ac:dyDescent="0.25">
      <c r="A36" s="99">
        <v>42843</v>
      </c>
      <c r="B36" s="159"/>
      <c r="C36" s="64" t="s">
        <v>69</v>
      </c>
      <c r="D36" s="77">
        <v>500</v>
      </c>
      <c r="E36" s="31">
        <v>12.65</v>
      </c>
      <c r="F36" s="102">
        <f t="shared" si="4"/>
        <v>0</v>
      </c>
      <c r="G36" s="32" t="e">
        <f t="shared" si="3"/>
        <v>#DIV/0!</v>
      </c>
      <c r="H36" s="31">
        <f t="shared" si="5"/>
        <v>-5600.6144999998714</v>
      </c>
      <c r="I36" s="31">
        <f t="shared" si="6"/>
        <v>5600.6144999998714</v>
      </c>
      <c r="J36" s="108" t="e">
        <f t="shared" si="7"/>
        <v>#DIV/0!</v>
      </c>
      <c r="K36" s="31">
        <f t="shared" si="8"/>
        <v>0</v>
      </c>
      <c r="L36" s="31">
        <f t="shared" si="9"/>
        <v>38.675000000000182</v>
      </c>
      <c r="M36" s="31">
        <f t="shared" si="10"/>
        <v>5</v>
      </c>
      <c r="N36" s="31">
        <f t="shared" si="11"/>
        <v>6.3250000000000002</v>
      </c>
      <c r="O36" s="166"/>
      <c r="P36" s="32" t="e">
        <f t="shared" si="12"/>
        <v>#DIV/0!</v>
      </c>
      <c r="Q36" s="31">
        <f t="shared" si="13"/>
        <v>6313.6750000000002</v>
      </c>
      <c r="R36" s="34"/>
      <c r="S36" s="34">
        <f t="shared" si="14"/>
        <v>24319.059000000001</v>
      </c>
      <c r="T36" s="34">
        <f t="shared" si="15"/>
        <v>1922.4552569169962</v>
      </c>
      <c r="U36" s="34">
        <f t="shared" si="0"/>
        <v>1922.4552569169962</v>
      </c>
      <c r="V36" s="31">
        <f>H36+S36-SUM(AB$15:AB36)</f>
        <v>18718.444500000129</v>
      </c>
      <c r="W36" s="32">
        <f t="shared" si="16"/>
        <v>9.7367387004983055</v>
      </c>
      <c r="X36" s="32" t="e">
        <f t="shared" si="17"/>
        <v>#DIV/0!</v>
      </c>
      <c r="Y36" s="32" t="e">
        <f t="shared" si="18"/>
        <v>#DIV/0!</v>
      </c>
      <c r="Z36" s="38">
        <f t="shared" si="19"/>
        <v>0</v>
      </c>
      <c r="AA36" s="31">
        <f>SUM(L$2:L36)-SUM(AB$2:AB36)</f>
        <v>2319.0610000000042</v>
      </c>
      <c r="AC36" s="40">
        <f t="shared" si="1"/>
        <v>442.51495594860648</v>
      </c>
      <c r="AD36" s="40">
        <f t="shared" si="2"/>
        <v>442.51495594860648</v>
      </c>
    </row>
    <row r="37" spans="1:30" ht="14.4" customHeight="1" x14ac:dyDescent="0.25">
      <c r="A37" s="99">
        <v>42843</v>
      </c>
      <c r="B37" s="161"/>
      <c r="C37" s="64" t="s">
        <v>63</v>
      </c>
      <c r="D37" s="77">
        <v>100</v>
      </c>
      <c r="E37" s="31">
        <v>12.83</v>
      </c>
      <c r="F37" s="102">
        <f t="shared" si="4"/>
        <v>100</v>
      </c>
      <c r="G37" s="32">
        <f t="shared" si="3"/>
        <v>-43.126144999998715</v>
      </c>
      <c r="H37" s="31">
        <f t="shared" si="5"/>
        <v>-4312.6144999998714</v>
      </c>
      <c r="I37" s="31">
        <f t="shared" si="6"/>
        <v>5595.6144999998714</v>
      </c>
      <c r="J37" s="108">
        <f t="shared" si="7"/>
        <v>-1.2974993475535637</v>
      </c>
      <c r="K37" s="31">
        <f t="shared" si="8"/>
        <v>1283</v>
      </c>
      <c r="L37" s="31">
        <f t="shared" si="9"/>
        <v>-5</v>
      </c>
      <c r="M37" s="31">
        <f t="shared" si="10"/>
        <v>5</v>
      </c>
      <c r="N37" s="31">
        <f t="shared" si="11"/>
        <v>0</v>
      </c>
      <c r="O37" s="166"/>
      <c r="P37" s="32">
        <f t="shared" si="12"/>
        <v>55.956144999998713</v>
      </c>
      <c r="Q37" s="31">
        <f t="shared" si="13"/>
        <v>-1288</v>
      </c>
      <c r="R37" s="34"/>
      <c r="S37" s="34">
        <f t="shared" si="14"/>
        <v>23031.059000000001</v>
      </c>
      <c r="T37" s="34">
        <f t="shared" si="15"/>
        <v>1795.0942322681217</v>
      </c>
      <c r="U37" s="34">
        <f t="shared" si="0"/>
        <v>1895.0942322681217</v>
      </c>
      <c r="V37" s="31">
        <f>H37+S37-SUM(AB$15:AB37)</f>
        <v>18718.444500000129</v>
      </c>
      <c r="W37" s="32">
        <f t="shared" si="16"/>
        <v>9.8773159567886886</v>
      </c>
      <c r="X37" s="32">
        <f t="shared" si="17"/>
        <v>53.003460956787407</v>
      </c>
      <c r="Y37" s="32">
        <f t="shared" si="18"/>
        <v>2.9526840432113062</v>
      </c>
      <c r="Z37" s="38">
        <f t="shared" si="19"/>
        <v>5.2767824574251464E-2</v>
      </c>
      <c r="AA37" s="31">
        <f>SUM(L$2:L37)-SUM(AB$2:AB37)</f>
        <v>2314.0610000000042</v>
      </c>
      <c r="AC37" s="40">
        <f t="shared" si="1"/>
        <v>435.9171233632012</v>
      </c>
      <c r="AD37" s="40">
        <f t="shared" si="2"/>
        <v>335.9171233632012</v>
      </c>
    </row>
    <row r="38" spans="1:30" ht="14.4" customHeight="1" x14ac:dyDescent="0.25">
      <c r="A38" s="99">
        <v>42849</v>
      </c>
      <c r="B38" s="159" t="s">
        <v>183</v>
      </c>
      <c r="C38" s="64" t="s">
        <v>63</v>
      </c>
      <c r="D38" s="77">
        <v>500</v>
      </c>
      <c r="E38" s="31">
        <v>11.88</v>
      </c>
      <c r="F38" s="102">
        <f t="shared" si="4"/>
        <v>600</v>
      </c>
      <c r="G38" s="32">
        <f t="shared" si="3"/>
        <v>2.7206425000002143</v>
      </c>
      <c r="H38" s="31">
        <f t="shared" si="5"/>
        <v>1632.3855000001286</v>
      </c>
      <c r="I38" s="31">
        <f t="shared" si="6"/>
        <v>5495.6144999998724</v>
      </c>
      <c r="J38" s="108">
        <f t="shared" si="7"/>
        <v>3.366615606423506</v>
      </c>
      <c r="K38" s="31">
        <f t="shared" si="8"/>
        <v>7128.0000000000009</v>
      </c>
      <c r="L38" s="31">
        <f t="shared" si="9"/>
        <v>-99.999999999999091</v>
      </c>
      <c r="M38" s="31">
        <f t="shared" si="10"/>
        <v>5</v>
      </c>
      <c r="N38" s="31">
        <f t="shared" si="11"/>
        <v>0</v>
      </c>
      <c r="O38" s="166"/>
      <c r="P38" s="32">
        <f t="shared" si="12"/>
        <v>9.1593574999997855</v>
      </c>
      <c r="Q38" s="31">
        <f t="shared" si="13"/>
        <v>-5945</v>
      </c>
      <c r="R38" s="34"/>
      <c r="S38" s="34">
        <f t="shared" si="14"/>
        <v>17086.059000000001</v>
      </c>
      <c r="T38" s="34">
        <f t="shared" si="15"/>
        <v>1438.2204545454545</v>
      </c>
      <c r="U38" s="34">
        <f t="shared" si="0"/>
        <v>2038.2204545454545</v>
      </c>
      <c r="V38" s="31">
        <f>H38+S38-SUM(AB$15:AB38)</f>
        <v>18718.444500000129</v>
      </c>
      <c r="W38" s="32">
        <f t="shared" si="16"/>
        <v>9.1837192872125044</v>
      </c>
      <c r="X38" s="32">
        <f t="shared" si="17"/>
        <v>6.4630767872122901</v>
      </c>
      <c r="Y38" s="32">
        <f t="shared" si="18"/>
        <v>2.6962807127874955</v>
      </c>
      <c r="Z38" s="38">
        <f t="shared" si="19"/>
        <v>0.29437443759429183</v>
      </c>
      <c r="AA38" s="31">
        <f>SUM(L$2:L38)-SUM(AB$2:AB38)</f>
        <v>2214.0610000000052</v>
      </c>
      <c r="AC38" s="40">
        <f t="shared" si="1"/>
        <v>462.36251622473674</v>
      </c>
      <c r="AD38" s="40">
        <f t="shared" si="2"/>
        <v>-137.63748377526326</v>
      </c>
    </row>
    <row r="39" spans="1:30" ht="14.4" customHeight="1" x14ac:dyDescent="0.25">
      <c r="A39" s="99">
        <v>42850</v>
      </c>
      <c r="B39" s="160"/>
      <c r="C39" s="104" t="s">
        <v>69</v>
      </c>
      <c r="D39" s="77">
        <v>500</v>
      </c>
      <c r="E39" s="31">
        <v>12.6</v>
      </c>
      <c r="F39" s="102">
        <f t="shared" si="4"/>
        <v>100</v>
      </c>
      <c r="G39" s="32">
        <f t="shared" si="3"/>
        <v>-46.563144999998713</v>
      </c>
      <c r="H39" s="31">
        <f t="shared" si="5"/>
        <v>-4656.3144999998713</v>
      </c>
      <c r="I39" s="31">
        <f t="shared" si="6"/>
        <v>5916.3144999998713</v>
      </c>
      <c r="J39" s="108">
        <f t="shared" si="7"/>
        <v>-1.270600278396151</v>
      </c>
      <c r="K39" s="31">
        <f t="shared" si="8"/>
        <v>1260</v>
      </c>
      <c r="L39" s="31">
        <f t="shared" si="9"/>
        <v>420.69999999999891</v>
      </c>
      <c r="M39" s="31">
        <f t="shared" si="10"/>
        <v>5</v>
      </c>
      <c r="N39" s="31">
        <f t="shared" si="11"/>
        <v>6.3</v>
      </c>
      <c r="O39" s="166"/>
      <c r="P39" s="32">
        <f t="shared" si="12"/>
        <v>59.163144999998714</v>
      </c>
      <c r="Q39" s="31">
        <f t="shared" si="13"/>
        <v>6288.7</v>
      </c>
      <c r="R39" s="34"/>
      <c r="S39" s="34">
        <f t="shared" si="14"/>
        <v>23374.759000000002</v>
      </c>
      <c r="T39" s="34">
        <f t="shared" si="15"/>
        <v>1855.1396031746033</v>
      </c>
      <c r="U39" s="34">
        <f t="shared" si="0"/>
        <v>1955.1396031746033</v>
      </c>
      <c r="V39" s="31">
        <f>H39+S39-SUM(AB$15:AB39)</f>
        <v>18718.444500000129</v>
      </c>
      <c r="W39" s="32">
        <f t="shared" si="16"/>
        <v>9.5739682576152507</v>
      </c>
      <c r="X39" s="32">
        <f t="shared" si="17"/>
        <v>56.137113257613962</v>
      </c>
      <c r="Y39" s="32">
        <f t="shared" si="18"/>
        <v>3.0260317423847525</v>
      </c>
      <c r="Z39" s="38">
        <f t="shared" si="19"/>
        <v>5.1147242804364348E-2</v>
      </c>
      <c r="AA39" s="31">
        <f>SUM(L$2:L39)-SUM(AB$2:AB39)</f>
        <v>2634.7610000000041</v>
      </c>
      <c r="AC39" s="40">
        <f t="shared" si="1"/>
        <v>469.313995456339</v>
      </c>
      <c r="AD39" s="40">
        <f t="shared" si="2"/>
        <v>369.313995456339</v>
      </c>
    </row>
    <row r="40" spans="1:30" ht="14.4" customHeight="1" x14ac:dyDescent="0.25">
      <c r="A40" s="99">
        <v>42852</v>
      </c>
      <c r="B40" s="159" t="s">
        <v>184</v>
      </c>
      <c r="C40" s="64" t="s">
        <v>63</v>
      </c>
      <c r="D40" s="77">
        <v>500</v>
      </c>
      <c r="E40" s="31">
        <v>11.69</v>
      </c>
      <c r="F40" s="102">
        <f t="shared" si="4"/>
        <v>600</v>
      </c>
      <c r="G40" s="32">
        <f t="shared" si="3"/>
        <v>1.9894758333335478</v>
      </c>
      <c r="H40" s="31">
        <f t="shared" si="5"/>
        <v>1193.6855000001287</v>
      </c>
      <c r="I40" s="31">
        <f t="shared" si="6"/>
        <v>5820.3144999998713</v>
      </c>
      <c r="J40" s="108">
        <f t="shared" si="7"/>
        <v>4.8759195784813025</v>
      </c>
      <c r="K40" s="31">
        <f t="shared" si="8"/>
        <v>7014</v>
      </c>
      <c r="L40" s="31">
        <f t="shared" si="9"/>
        <v>-96</v>
      </c>
      <c r="M40" s="31">
        <f t="shared" si="10"/>
        <v>5</v>
      </c>
      <c r="N40" s="31">
        <f t="shared" si="11"/>
        <v>0</v>
      </c>
      <c r="O40" s="166"/>
      <c r="P40" s="32">
        <f t="shared" si="12"/>
        <v>9.700524166666451</v>
      </c>
      <c r="Q40" s="31">
        <f t="shared" si="13"/>
        <v>-5850</v>
      </c>
      <c r="R40" s="34"/>
      <c r="S40" s="34">
        <f t="shared" si="14"/>
        <v>17524.759000000002</v>
      </c>
      <c r="T40" s="34">
        <f t="shared" si="15"/>
        <v>1499.1239520958086</v>
      </c>
      <c r="U40" s="34">
        <f t="shared" si="0"/>
        <v>2099.1239520958088</v>
      </c>
      <c r="V40" s="31">
        <f>H40+S40-SUM(AB$15:AB40)</f>
        <v>18718.444500000129</v>
      </c>
      <c r="W40" s="32">
        <f t="shared" si="16"/>
        <v>8.9172649768067505</v>
      </c>
      <c r="X40" s="32">
        <f t="shared" si="17"/>
        <v>6.9277891434732028</v>
      </c>
      <c r="Y40" s="32">
        <f t="shared" si="18"/>
        <v>2.7727350231932482</v>
      </c>
      <c r="Z40" s="38">
        <f t="shared" si="19"/>
        <v>0.28583352564813885</v>
      </c>
      <c r="AA40" s="31">
        <f>SUM(L$2:L40)-SUM(AB$2:AB40)</f>
        <v>2538.7610000000041</v>
      </c>
      <c r="AC40" s="40">
        <f t="shared" si="1"/>
        <v>497.63937919160583</v>
      </c>
      <c r="AD40" s="40">
        <f t="shared" si="2"/>
        <v>-102.36062080839417</v>
      </c>
    </row>
    <row r="41" spans="1:30" ht="14.4" customHeight="1" x14ac:dyDescent="0.25">
      <c r="A41" s="99">
        <v>42853</v>
      </c>
      <c r="B41" s="159"/>
      <c r="C41" s="104" t="s">
        <v>69</v>
      </c>
      <c r="D41" s="77">
        <v>400</v>
      </c>
      <c r="E41" s="31">
        <v>11.79</v>
      </c>
      <c r="F41" s="102">
        <f t="shared" si="4"/>
        <v>200</v>
      </c>
      <c r="G41" s="32">
        <f t="shared" si="3"/>
        <v>-17.562992499999357</v>
      </c>
      <c r="H41" s="31">
        <f t="shared" si="5"/>
        <v>-3512.5984999998714</v>
      </c>
      <c r="I41" s="31">
        <f t="shared" si="6"/>
        <v>5870.5984999998709</v>
      </c>
      <c r="J41" s="108">
        <f t="shared" si="7"/>
        <v>-1.6712979009699191</v>
      </c>
      <c r="K41" s="31">
        <f t="shared" si="8"/>
        <v>2358</v>
      </c>
      <c r="L41" s="31">
        <f t="shared" si="9"/>
        <v>50.283999999999651</v>
      </c>
      <c r="M41" s="31">
        <f t="shared" si="10"/>
        <v>5</v>
      </c>
      <c r="N41" s="31">
        <f t="shared" si="11"/>
        <v>4.7160000000000002</v>
      </c>
      <c r="O41" s="166"/>
      <c r="P41" s="32">
        <f t="shared" si="12"/>
        <v>29.352992499999356</v>
      </c>
      <c r="Q41" s="31">
        <f t="shared" si="13"/>
        <v>4706.2839999999997</v>
      </c>
      <c r="R41" s="34"/>
      <c r="S41" s="34">
        <f t="shared" si="14"/>
        <v>22231.043000000001</v>
      </c>
      <c r="T41" s="34">
        <f t="shared" si="15"/>
        <v>1885.5846480067858</v>
      </c>
      <c r="U41" s="34">
        <f t="shared" si="0"/>
        <v>2085.5846480067858</v>
      </c>
      <c r="V41" s="31">
        <f>H41+S41-SUM(AB$15:AB41)</f>
        <v>18718.444500000129</v>
      </c>
      <c r="W41" s="32">
        <f t="shared" si="16"/>
        <v>8.9751545293975639</v>
      </c>
      <c r="X41" s="32">
        <f t="shared" si="17"/>
        <v>26.538147029396921</v>
      </c>
      <c r="Y41" s="32">
        <f t="shared" si="18"/>
        <v>2.8148454706024353</v>
      </c>
      <c r="Z41" s="38">
        <f t="shared" si="19"/>
        <v>9.5896371404124978E-2</v>
      </c>
      <c r="AA41" s="31">
        <f>SUM(L$2:L41)-SUM(AB$2:AB41)</f>
        <v>2589.0450000000037</v>
      </c>
      <c r="AC41" s="40">
        <f t="shared" si="1"/>
        <v>497.6813571458755</v>
      </c>
      <c r="AD41" s="40">
        <f t="shared" si="2"/>
        <v>297.6813571458755</v>
      </c>
    </row>
    <row r="42" spans="1:30" ht="14.4" customHeight="1" x14ac:dyDescent="0.25">
      <c r="A42" s="99">
        <v>42857</v>
      </c>
      <c r="B42" s="159" t="s">
        <v>185</v>
      </c>
      <c r="C42" s="64" t="s">
        <v>63</v>
      </c>
      <c r="D42" s="77">
        <v>500</v>
      </c>
      <c r="E42" s="31">
        <v>11.32</v>
      </c>
      <c r="F42" s="102">
        <f t="shared" si="4"/>
        <v>700</v>
      </c>
      <c r="G42" s="32">
        <f t="shared" si="3"/>
        <v>3.0748592857144694</v>
      </c>
      <c r="H42" s="31">
        <f t="shared" si="5"/>
        <v>2152.4015000001286</v>
      </c>
      <c r="I42" s="31">
        <f t="shared" si="6"/>
        <v>5771.5984999998709</v>
      </c>
      <c r="J42" s="108">
        <f t="shared" si="7"/>
        <v>2.681469279778669</v>
      </c>
      <c r="K42" s="31">
        <f t="shared" si="8"/>
        <v>7924</v>
      </c>
      <c r="L42" s="31">
        <f t="shared" si="9"/>
        <v>-99</v>
      </c>
      <c r="M42" s="31">
        <f t="shared" si="10"/>
        <v>5</v>
      </c>
      <c r="N42" s="31">
        <f t="shared" si="11"/>
        <v>0</v>
      </c>
      <c r="O42" s="166"/>
      <c r="P42" s="32">
        <f t="shared" si="12"/>
        <v>8.2451407142855313</v>
      </c>
      <c r="Q42" s="31">
        <f t="shared" si="13"/>
        <v>-5665</v>
      </c>
      <c r="R42" s="34"/>
      <c r="S42" s="34">
        <f t="shared" si="14"/>
        <v>16566.043000000001</v>
      </c>
      <c r="T42" s="34">
        <f t="shared" si="15"/>
        <v>1463.4313604240283</v>
      </c>
      <c r="U42" s="34">
        <f t="shared" si="0"/>
        <v>2163.4313604240283</v>
      </c>
      <c r="V42" s="31">
        <f>H42+S42-SUM(AB$15:AB42)</f>
        <v>18718.444500000129</v>
      </c>
      <c r="W42" s="32">
        <f t="shared" si="16"/>
        <v>8.6522017025450495</v>
      </c>
      <c r="X42" s="32">
        <f t="shared" si="17"/>
        <v>5.5773424168305805</v>
      </c>
      <c r="Y42" s="32">
        <f t="shared" si="18"/>
        <v>2.6677982974549508</v>
      </c>
      <c r="Z42" s="38">
        <f t="shared" si="19"/>
        <v>0.32356006888187172</v>
      </c>
      <c r="AA42" s="31">
        <f>SUM(L$2:L42)-SUM(AB$2:AB42)</f>
        <v>2490.0450000000037</v>
      </c>
      <c r="AC42" s="40">
        <f t="shared" si="1"/>
        <v>509.60359547260344</v>
      </c>
      <c r="AD42" s="40">
        <f t="shared" si="2"/>
        <v>-190.39640452739656</v>
      </c>
    </row>
    <row r="43" spans="1:30" ht="14.4" customHeight="1" x14ac:dyDescent="0.25">
      <c r="A43" s="136">
        <v>42860</v>
      </c>
      <c r="B43" s="159" t="s">
        <v>186</v>
      </c>
      <c r="C43" s="46" t="s">
        <v>63</v>
      </c>
      <c r="D43" s="46">
        <v>500</v>
      </c>
      <c r="E43" s="46">
        <v>11.09</v>
      </c>
      <c r="F43" s="102">
        <f t="shared" si="4"/>
        <v>1200</v>
      </c>
      <c r="G43" s="32">
        <f t="shared" si="3"/>
        <v>6.4186679166667746</v>
      </c>
      <c r="H43" s="31">
        <f t="shared" si="5"/>
        <v>7702.4015000001291</v>
      </c>
      <c r="I43" s="31">
        <f t="shared" si="6"/>
        <v>5605.5984999998709</v>
      </c>
      <c r="J43" s="108">
        <f t="shared" si="7"/>
        <v>0.72777282513768937</v>
      </c>
      <c r="K43" s="31">
        <f t="shared" si="8"/>
        <v>13308</v>
      </c>
      <c r="L43" s="31">
        <f t="shared" si="9"/>
        <v>-166</v>
      </c>
      <c r="M43" s="31">
        <f t="shared" si="10"/>
        <v>5</v>
      </c>
      <c r="N43" s="31">
        <f t="shared" si="11"/>
        <v>0</v>
      </c>
      <c r="O43" s="166"/>
      <c r="P43" s="32">
        <f t="shared" si="12"/>
        <v>4.6713320833332252</v>
      </c>
      <c r="Q43" s="31">
        <f t="shared" si="13"/>
        <v>-5550</v>
      </c>
      <c r="R43" s="34"/>
      <c r="S43" s="34">
        <f t="shared" si="14"/>
        <v>11016.043000000001</v>
      </c>
      <c r="T43" s="34">
        <f t="shared" si="15"/>
        <v>993.33119927862958</v>
      </c>
      <c r="U43" s="34">
        <f t="shared" si="0"/>
        <v>2193.3311992786294</v>
      </c>
      <c r="V43" s="31">
        <f>H43+S43-SUM(AB$15:AB43)</f>
        <v>18718.444500000129</v>
      </c>
      <c r="W43" s="32">
        <f t="shared" si="16"/>
        <v>8.5342535163665616</v>
      </c>
      <c r="X43" s="32">
        <f t="shared" si="17"/>
        <v>2.115585599699787</v>
      </c>
      <c r="Y43" s="32">
        <f t="shared" si="18"/>
        <v>2.5557464836334383</v>
      </c>
      <c r="Z43" s="38">
        <f t="shared" si="19"/>
        <v>0.5471129943323978</v>
      </c>
      <c r="AA43" s="31">
        <f>SUM(L$2:L43)-SUM(AB$2:AB43)</f>
        <v>2324.0450000000037</v>
      </c>
      <c r="AC43" s="40">
        <f t="shared" si="1"/>
        <v>505.21151494588565</v>
      </c>
      <c r="AD43" s="40">
        <f t="shared" si="2"/>
        <v>-694.78848505411429</v>
      </c>
    </row>
    <row r="44" spans="1:30" ht="14.4" customHeight="1" x14ac:dyDescent="0.25">
      <c r="A44" s="136">
        <v>42863</v>
      </c>
      <c r="B44" s="159" t="s">
        <v>187</v>
      </c>
      <c r="C44" s="46" t="s">
        <v>63</v>
      </c>
      <c r="D44" s="46">
        <v>500</v>
      </c>
      <c r="E44" s="46">
        <v>10.86</v>
      </c>
      <c r="F44" s="102">
        <f t="shared" si="4"/>
        <v>1700</v>
      </c>
      <c r="G44" s="32">
        <f t="shared" si="3"/>
        <v>7.7278832352941933</v>
      </c>
      <c r="H44" s="31">
        <f t="shared" si="5"/>
        <v>13137.401500000129</v>
      </c>
      <c r="I44" s="31">
        <f t="shared" si="6"/>
        <v>5324.5984999998709</v>
      </c>
      <c r="J44" s="108">
        <f t="shared" si="7"/>
        <v>0.40530073622244234</v>
      </c>
      <c r="K44" s="31">
        <f t="shared" si="8"/>
        <v>18462</v>
      </c>
      <c r="L44" s="31">
        <f t="shared" si="9"/>
        <v>-281</v>
      </c>
      <c r="M44" s="31">
        <f t="shared" si="10"/>
        <v>5</v>
      </c>
      <c r="N44" s="31">
        <f t="shared" si="11"/>
        <v>0</v>
      </c>
      <c r="O44" s="166"/>
      <c r="P44" s="32">
        <f t="shared" si="12"/>
        <v>3.1321167647058061</v>
      </c>
      <c r="Q44" s="31">
        <f t="shared" si="13"/>
        <v>-5435</v>
      </c>
      <c r="R44" s="34"/>
      <c r="S44" s="34">
        <f t="shared" si="14"/>
        <v>5581.0430000000015</v>
      </c>
      <c r="T44" s="34">
        <f t="shared" si="15"/>
        <v>513.90819521178651</v>
      </c>
      <c r="U44" s="34">
        <f t="shared" si="0"/>
        <v>2213.9081952117867</v>
      </c>
      <c r="V44" s="31">
        <f>H44+S44-SUM(AB$15:AB44)</f>
        <v>18718.444500000129</v>
      </c>
      <c r="W44" s="32">
        <f t="shared" si="16"/>
        <v>8.4549325669800357</v>
      </c>
      <c r="X44" s="32">
        <f t="shared" si="17"/>
        <v>0.7270493316858424</v>
      </c>
      <c r="Y44" s="32">
        <f t="shared" si="18"/>
        <v>2.4050674330199637</v>
      </c>
      <c r="Z44" s="38">
        <f t="shared" si="19"/>
        <v>0.767872852034578</v>
      </c>
      <c r="AA44" s="31">
        <f>SUM(L$2:L44)-SUM(AB$2:AB44)</f>
        <v>2043.0450000000037</v>
      </c>
      <c r="AC44" s="40">
        <f t="shared" si="1"/>
        <v>490.04937391803605</v>
      </c>
      <c r="AD44" s="40">
        <f t="shared" si="2"/>
        <v>-1209.9506260819639</v>
      </c>
    </row>
    <row r="45" spans="1:30" ht="14.4" customHeight="1" x14ac:dyDescent="0.25">
      <c r="A45" s="136">
        <v>42863</v>
      </c>
      <c r="B45" s="159" t="s">
        <v>177</v>
      </c>
      <c r="C45" s="46" t="s">
        <v>63</v>
      </c>
      <c r="D45" s="46">
        <v>500</v>
      </c>
      <c r="E45" s="46">
        <v>10.68</v>
      </c>
      <c r="F45" s="102">
        <f t="shared" si="4"/>
        <v>2200</v>
      </c>
      <c r="G45" s="32">
        <f t="shared" si="3"/>
        <v>8.4010915909091501</v>
      </c>
      <c r="H45" s="31">
        <f t="shared" si="5"/>
        <v>18482.401500000131</v>
      </c>
      <c r="I45" s="31">
        <f t="shared" si="6"/>
        <v>5013.5984999998691</v>
      </c>
      <c r="J45" s="108">
        <f t="shared" si="7"/>
        <v>0.27126336910275611</v>
      </c>
      <c r="K45" s="31">
        <f t="shared" si="8"/>
        <v>23496</v>
      </c>
      <c r="L45" s="31">
        <f t="shared" si="9"/>
        <v>-311.00000000000182</v>
      </c>
      <c r="M45" s="31">
        <f t="shared" si="10"/>
        <v>5</v>
      </c>
      <c r="N45" s="31">
        <f t="shared" si="11"/>
        <v>0</v>
      </c>
      <c r="O45" s="166"/>
      <c r="P45" s="32">
        <f t="shared" si="12"/>
        <v>2.2789084090908496</v>
      </c>
      <c r="Q45" s="31">
        <f t="shared" si="13"/>
        <v>-5345.0000000000018</v>
      </c>
      <c r="R45" s="34"/>
      <c r="S45" s="34">
        <f t="shared" si="14"/>
        <v>236.04299999999967</v>
      </c>
      <c r="T45" s="34">
        <f t="shared" si="15"/>
        <v>22.101404494381992</v>
      </c>
      <c r="U45" s="34">
        <f t="shared" si="0"/>
        <v>2222.1014044943818</v>
      </c>
      <c r="V45" s="31">
        <f>H45+S45-SUM(AB$15:AB45)</f>
        <v>18718.444500000129</v>
      </c>
      <c r="W45" s="32">
        <f t="shared" si="16"/>
        <v>8.4237580076861232</v>
      </c>
      <c r="X45" s="32">
        <f t="shared" si="17"/>
        <v>2.2666416776973008E-2</v>
      </c>
      <c r="Y45" s="32">
        <f t="shared" si="18"/>
        <v>2.2562419923138766</v>
      </c>
      <c r="Z45" s="38">
        <f t="shared" si="19"/>
        <v>0.99005382722423019</v>
      </c>
      <c r="AA45" s="31">
        <f>SUM(L$2:L45)-SUM(AB$2:AB45)</f>
        <v>1732.0450000000019</v>
      </c>
      <c r="AC45" s="40">
        <f t="shared" si="1"/>
        <v>469.20334276684173</v>
      </c>
      <c r="AD45" s="40">
        <f t="shared" si="2"/>
        <v>-1730.7966572331584</v>
      </c>
    </row>
    <row r="46" spans="1:30" ht="14.4" customHeight="1" x14ac:dyDescent="0.25">
      <c r="A46" s="136">
        <v>42866</v>
      </c>
      <c r="B46" s="159" t="s">
        <v>185</v>
      </c>
      <c r="C46" s="46" t="s">
        <v>63</v>
      </c>
      <c r="D46" s="46">
        <v>500</v>
      </c>
      <c r="E46" s="46">
        <v>10.25</v>
      </c>
      <c r="F46" s="102">
        <f t="shared" si="4"/>
        <v>2700</v>
      </c>
      <c r="G46" s="32">
        <f t="shared" si="3"/>
        <v>8.745333888888938</v>
      </c>
      <c r="H46" s="31">
        <f t="shared" si="5"/>
        <v>23612.401500000131</v>
      </c>
      <c r="I46" s="31">
        <f t="shared" si="6"/>
        <v>4062.5984999998691</v>
      </c>
      <c r="J46" s="108">
        <f t="shared" si="7"/>
        <v>0.17205359226166997</v>
      </c>
      <c r="K46" s="31">
        <f t="shared" si="8"/>
        <v>27675</v>
      </c>
      <c r="L46" s="31">
        <f t="shared" si="9"/>
        <v>-951</v>
      </c>
      <c r="M46" s="31">
        <f t="shared" si="10"/>
        <v>5</v>
      </c>
      <c r="N46" s="31">
        <f t="shared" si="11"/>
        <v>0</v>
      </c>
      <c r="O46" s="166"/>
      <c r="P46" s="32">
        <f t="shared" si="12"/>
        <v>1.504666111111062</v>
      </c>
      <c r="Q46" s="31">
        <f t="shared" si="13"/>
        <v>-5130</v>
      </c>
      <c r="R46" s="34"/>
      <c r="S46" s="34">
        <f t="shared" si="14"/>
        <v>-4893.9570000000003</v>
      </c>
      <c r="T46" s="34">
        <f t="shared" si="15"/>
        <v>-477.45921951219515</v>
      </c>
      <c r="U46" s="34">
        <f t="shared" si="0"/>
        <v>2222.540780487805</v>
      </c>
      <c r="V46" s="31">
        <f>H46+S46-SUM(AB$15:AB46)</f>
        <v>18718.444500000129</v>
      </c>
      <c r="W46" s="32">
        <f t="shared" si="16"/>
        <v>8.4220927077395586</v>
      </c>
      <c r="X46" s="32">
        <f t="shared" si="17"/>
        <v>-0.32324118114937939</v>
      </c>
      <c r="Y46" s="32">
        <f t="shared" si="18"/>
        <v>1.8279072922604414</v>
      </c>
      <c r="Z46" s="38">
        <f t="shared" si="19"/>
        <v>1.2148258532324441</v>
      </c>
      <c r="AA46" s="31">
        <f>SUM(L$2:L46)-SUM(AB$2:AB46)</f>
        <v>781.04500000000189</v>
      </c>
      <c r="AC46" s="40">
        <f t="shared" si="1"/>
        <v>396.15289763413364</v>
      </c>
      <c r="AD46" s="40">
        <f t="shared" si="2"/>
        <v>-2303.8471023658662</v>
      </c>
    </row>
    <row r="47" spans="1:30" ht="14.4" customHeight="1" x14ac:dyDescent="0.25">
      <c r="A47" s="162">
        <v>42867</v>
      </c>
      <c r="B47" s="160"/>
      <c r="C47" s="163" t="s">
        <v>69</v>
      </c>
      <c r="D47" s="163">
        <v>400</v>
      </c>
      <c r="E47" s="163">
        <v>10.5</v>
      </c>
      <c r="F47" s="102">
        <f t="shared" si="4"/>
        <v>2300</v>
      </c>
      <c r="G47" s="32">
        <f t="shared" si="3"/>
        <v>8.4441745652174482</v>
      </c>
      <c r="H47" s="31">
        <f t="shared" si="5"/>
        <v>19421.601500000132</v>
      </c>
      <c r="I47" s="31">
        <f t="shared" si="6"/>
        <v>4728.3984999998684</v>
      </c>
      <c r="J47" s="108">
        <f t="shared" si="7"/>
        <v>0.24346079287023972</v>
      </c>
      <c r="K47" s="31">
        <f t="shared" si="8"/>
        <v>24150</v>
      </c>
      <c r="L47" s="31">
        <f t="shared" si="9"/>
        <v>665.79999999999927</v>
      </c>
      <c r="M47" s="31">
        <f t="shared" si="10"/>
        <v>5</v>
      </c>
      <c r="N47" s="31">
        <f t="shared" si="11"/>
        <v>4.2</v>
      </c>
      <c r="O47" s="166"/>
      <c r="P47" s="32">
        <f t="shared" si="12"/>
        <v>2.0558254347825518</v>
      </c>
      <c r="Q47" s="31">
        <f t="shared" si="13"/>
        <v>4190.7999999999993</v>
      </c>
      <c r="R47" s="34"/>
      <c r="S47" s="34">
        <f t="shared" si="14"/>
        <v>-703.15700000000106</v>
      </c>
      <c r="T47" s="34">
        <f t="shared" si="15"/>
        <v>-66.967333333333428</v>
      </c>
      <c r="U47" s="34">
        <f t="shared" si="0"/>
        <v>2233.0326666666665</v>
      </c>
      <c r="V47" s="31">
        <f>H47+S47-SUM(AB$15:AB47)</f>
        <v>18718.444500000129</v>
      </c>
      <c r="W47" s="32">
        <f t="shared" si="16"/>
        <v>8.3825215723072546</v>
      </c>
      <c r="X47" s="32">
        <f t="shared" si="17"/>
        <v>-6.165299291019366E-2</v>
      </c>
      <c r="Y47" s="32">
        <f t="shared" si="18"/>
        <v>2.1174784276927454</v>
      </c>
      <c r="Z47" s="38">
        <f t="shared" si="19"/>
        <v>1.0299894105146694</v>
      </c>
      <c r="AA47" s="31">
        <f>SUM(L$2:L47)-SUM(AB$2:AB47)</f>
        <v>1446.8450000000012</v>
      </c>
      <c r="AC47" s="40">
        <f t="shared" si="1"/>
        <v>450.09850483332082</v>
      </c>
      <c r="AD47" s="40">
        <f t="shared" si="2"/>
        <v>-1849.9014951666791</v>
      </c>
    </row>
    <row r="48" spans="1:30" ht="14.4" customHeight="1" x14ac:dyDescent="0.25">
      <c r="A48" s="162">
        <v>42867</v>
      </c>
      <c r="B48" s="160"/>
      <c r="C48" s="163" t="s">
        <v>69</v>
      </c>
      <c r="D48" s="163">
        <v>400</v>
      </c>
      <c r="E48" s="163">
        <v>10.71</v>
      </c>
      <c r="F48" s="102">
        <f t="shared" si="4"/>
        <v>1900</v>
      </c>
      <c r="G48" s="32">
        <f t="shared" si="3"/>
        <v>7.9720450000000689</v>
      </c>
      <c r="H48" s="31">
        <f t="shared" si="5"/>
        <v>15146.885500000131</v>
      </c>
      <c r="I48" s="31">
        <f t="shared" si="6"/>
        <v>5202.1144999998687</v>
      </c>
      <c r="J48" s="108">
        <f t="shared" si="7"/>
        <v>0.34344449887072992</v>
      </c>
      <c r="K48" s="31">
        <f t="shared" si="8"/>
        <v>20349</v>
      </c>
      <c r="L48" s="31">
        <f t="shared" si="9"/>
        <v>473.71600000000035</v>
      </c>
      <c r="M48" s="31">
        <f t="shared" si="10"/>
        <v>5</v>
      </c>
      <c r="N48" s="31">
        <f t="shared" si="11"/>
        <v>4.2839999999999998</v>
      </c>
      <c r="O48" s="166"/>
      <c r="P48" s="32">
        <f t="shared" si="12"/>
        <v>2.737954999999932</v>
      </c>
      <c r="Q48" s="31">
        <f t="shared" si="13"/>
        <v>4274.7160000000003</v>
      </c>
      <c r="R48" s="34"/>
      <c r="S48" s="34">
        <f t="shared" si="14"/>
        <v>3571.5589999999993</v>
      </c>
      <c r="T48" s="34">
        <f t="shared" si="15"/>
        <v>333.47889822595698</v>
      </c>
      <c r="U48" s="34">
        <f t="shared" si="0"/>
        <v>2233.478898225957</v>
      </c>
      <c r="V48" s="31">
        <f>H48+S48-SUM(AB$15:AB48)</f>
        <v>18718.444500000129</v>
      </c>
      <c r="W48" s="32">
        <f t="shared" si="16"/>
        <v>8.3808468102689986</v>
      </c>
      <c r="X48" s="32">
        <f t="shared" si="17"/>
        <v>0.4088018102689297</v>
      </c>
      <c r="Y48" s="32">
        <f t="shared" si="18"/>
        <v>2.3291531897310023</v>
      </c>
      <c r="Z48" s="38">
        <f t="shared" si="19"/>
        <v>0.85069082206649105</v>
      </c>
      <c r="AA48" s="31">
        <f>SUM(L$2:L48)-SUM(AB$2:AB48)</f>
        <v>1920.5610000000015</v>
      </c>
      <c r="AC48" s="40">
        <f t="shared" si="1"/>
        <v>485.48211416898869</v>
      </c>
      <c r="AD48" s="40">
        <f t="shared" si="2"/>
        <v>-1414.5178858310114</v>
      </c>
    </row>
    <row r="49" spans="1:30" ht="14.4" customHeight="1" x14ac:dyDescent="0.25">
      <c r="A49" s="162">
        <v>42867</v>
      </c>
      <c r="B49" s="160"/>
      <c r="C49" s="163" t="s">
        <v>69</v>
      </c>
      <c r="D49" s="163">
        <v>400</v>
      </c>
      <c r="E49" s="163">
        <v>10.86</v>
      </c>
      <c r="F49" s="102">
        <f t="shared" si="4"/>
        <v>1500</v>
      </c>
      <c r="G49" s="32">
        <f t="shared" si="3"/>
        <v>7.2081530000000873</v>
      </c>
      <c r="H49" s="31">
        <f t="shared" si="5"/>
        <v>10812.22950000013</v>
      </c>
      <c r="I49" s="31">
        <f t="shared" si="6"/>
        <v>5477.7704999998696</v>
      </c>
      <c r="J49" s="108">
        <f t="shared" si="7"/>
        <v>0.50662728718436856</v>
      </c>
      <c r="K49" s="31">
        <f t="shared" si="8"/>
        <v>16290</v>
      </c>
      <c r="L49" s="31">
        <f t="shared" si="9"/>
        <v>275.65600000000086</v>
      </c>
      <c r="M49" s="31">
        <f t="shared" si="10"/>
        <v>5</v>
      </c>
      <c r="N49" s="31">
        <f t="shared" si="11"/>
        <v>4.3440000000000003</v>
      </c>
      <c r="O49" s="166"/>
      <c r="P49" s="32">
        <f t="shared" si="12"/>
        <v>3.6518469999999121</v>
      </c>
      <c r="Q49" s="31">
        <f t="shared" si="13"/>
        <v>4334.6560000000009</v>
      </c>
      <c r="R49" s="34"/>
      <c r="S49" s="34">
        <f t="shared" si="14"/>
        <v>7906.2150000000001</v>
      </c>
      <c r="T49" s="34">
        <f t="shared" si="15"/>
        <v>728.01243093922653</v>
      </c>
      <c r="U49" s="34">
        <f t="shared" si="0"/>
        <v>2228.0124309392268</v>
      </c>
      <c r="V49" s="31">
        <f>H49+S49-SUM(AB$15:AB49)</f>
        <v>18718.444500000129</v>
      </c>
      <c r="W49" s="32">
        <f t="shared" si="16"/>
        <v>8.4014093638199761</v>
      </c>
      <c r="X49" s="32">
        <f t="shared" si="17"/>
        <v>1.1932563638198888</v>
      </c>
      <c r="Y49" s="32">
        <f t="shared" si="18"/>
        <v>2.4585906361800234</v>
      </c>
      <c r="Z49" s="38">
        <f t="shared" si="19"/>
        <v>0.67324579484849167</v>
      </c>
      <c r="AA49" s="31">
        <f>SUM(L$2:L49)-SUM(AB$2:AB49)</f>
        <v>2196.2170000000024</v>
      </c>
      <c r="AC49" s="40">
        <f t="shared" si="1"/>
        <v>504.1465575276124</v>
      </c>
      <c r="AD49" s="40">
        <f t="shared" si="2"/>
        <v>-995.85344247238754</v>
      </c>
    </row>
    <row r="50" spans="1:30" ht="14.4" customHeight="1" x14ac:dyDescent="0.25">
      <c r="A50" s="136">
        <v>42870</v>
      </c>
      <c r="B50" s="159"/>
      <c r="C50" s="46" t="s">
        <v>69</v>
      </c>
      <c r="D50" s="46">
        <v>400</v>
      </c>
      <c r="E50" s="46">
        <v>11.25</v>
      </c>
      <c r="F50" s="102">
        <f t="shared" si="4"/>
        <v>1100</v>
      </c>
      <c r="G50" s="32">
        <f t="shared" si="3"/>
        <v>5.7470268181819364</v>
      </c>
      <c r="H50" s="31">
        <f t="shared" si="5"/>
        <v>6321.7295000001304</v>
      </c>
      <c r="I50" s="31">
        <f t="shared" si="6"/>
        <v>6053.2704999998696</v>
      </c>
      <c r="J50" s="108">
        <f t="shared" si="7"/>
        <v>0.95753393118129226</v>
      </c>
      <c r="K50" s="31">
        <f t="shared" si="8"/>
        <v>12375</v>
      </c>
      <c r="L50" s="31">
        <f t="shared" si="9"/>
        <v>575.5</v>
      </c>
      <c r="M50" s="31">
        <f t="shared" si="10"/>
        <v>5</v>
      </c>
      <c r="N50" s="31">
        <f t="shared" si="11"/>
        <v>4.5</v>
      </c>
      <c r="O50" s="166"/>
      <c r="P50" s="32">
        <f t="shared" si="12"/>
        <v>5.5029731818180636</v>
      </c>
      <c r="Q50" s="31">
        <f t="shared" si="13"/>
        <v>4490.5</v>
      </c>
      <c r="R50" s="34"/>
      <c r="S50" s="34">
        <f t="shared" si="14"/>
        <v>12396.715</v>
      </c>
      <c r="T50" s="34">
        <f t="shared" si="15"/>
        <v>1101.9302222222223</v>
      </c>
      <c r="U50" s="34">
        <f t="shared" si="0"/>
        <v>2201.9302222222223</v>
      </c>
      <c r="V50" s="31">
        <f>H50+S50-SUM(AB$15:AB50)</f>
        <v>18718.444500000129</v>
      </c>
      <c r="W50" s="32">
        <f t="shared" si="16"/>
        <v>8.5009253749690501</v>
      </c>
      <c r="X50" s="32">
        <f t="shared" si="17"/>
        <v>2.7538985567871137</v>
      </c>
      <c r="Y50" s="32">
        <f t="shared" si="18"/>
        <v>2.7490746250309499</v>
      </c>
      <c r="Z50" s="38">
        <f t="shared" si="19"/>
        <v>0.49956169768625225</v>
      </c>
      <c r="AA50" s="31">
        <f>SUM(L$2:L50)-SUM(AB$2:AB50)</f>
        <v>2771.7170000000024</v>
      </c>
      <c r="AC50" s="40">
        <f t="shared" si="1"/>
        <v>537.7994546444329</v>
      </c>
      <c r="AD50" s="40">
        <f t="shared" si="2"/>
        <v>-562.2005453555671</v>
      </c>
    </row>
    <row r="51" spans="1:30" ht="14.4" customHeight="1" x14ac:dyDescent="0.25">
      <c r="A51" s="136">
        <v>42870</v>
      </c>
      <c r="B51" s="159"/>
      <c r="C51" s="46" t="s">
        <v>69</v>
      </c>
      <c r="D51" s="46">
        <v>400</v>
      </c>
      <c r="E51" s="46">
        <v>11.65</v>
      </c>
      <c r="F51" s="102">
        <f t="shared" si="4"/>
        <v>700</v>
      </c>
      <c r="G51" s="32">
        <f t="shared" si="3"/>
        <v>2.3876992857144721</v>
      </c>
      <c r="H51" s="31">
        <f t="shared" si="5"/>
        <v>1671.3895000001305</v>
      </c>
      <c r="I51" s="31">
        <f t="shared" si="6"/>
        <v>6483.6104999998697</v>
      </c>
      <c r="J51" s="108">
        <f t="shared" si="7"/>
        <v>3.8791738849618018</v>
      </c>
      <c r="K51" s="31">
        <f t="shared" si="8"/>
        <v>8155</v>
      </c>
      <c r="L51" s="31">
        <f t="shared" si="9"/>
        <v>430.34000000000015</v>
      </c>
      <c r="M51" s="31">
        <f t="shared" si="10"/>
        <v>5</v>
      </c>
      <c r="N51" s="31">
        <f t="shared" si="11"/>
        <v>4.66</v>
      </c>
      <c r="O51" s="166"/>
      <c r="P51" s="32">
        <f t="shared" si="12"/>
        <v>9.2623007142855283</v>
      </c>
      <c r="Q51" s="31">
        <f t="shared" si="13"/>
        <v>4650.34</v>
      </c>
      <c r="R51" s="34"/>
      <c r="S51" s="34">
        <f t="shared" si="14"/>
        <v>17047.055</v>
      </c>
      <c r="T51" s="34">
        <f t="shared" si="15"/>
        <v>1463.2665236051503</v>
      </c>
      <c r="U51" s="34">
        <f t="shared" si="0"/>
        <v>2163.2665236051503</v>
      </c>
      <c r="V51" s="31">
        <f>H51+S51-SUM(AB$15:AB51)</f>
        <v>18718.444500000132</v>
      </c>
      <c r="W51" s="32">
        <f t="shared" si="16"/>
        <v>8.6528609839555362</v>
      </c>
      <c r="X51" s="32">
        <f t="shared" si="17"/>
        <v>6.2651616982410641</v>
      </c>
      <c r="Y51" s="32">
        <f t="shared" si="18"/>
        <v>2.9971390160444642</v>
      </c>
      <c r="Z51" s="38">
        <f t="shared" si="19"/>
        <v>0.32358472354734563</v>
      </c>
      <c r="AA51" s="31">
        <f>SUM(L$2:L51)-SUM(AB$2:AB51)</f>
        <v>3202.0570000000025</v>
      </c>
      <c r="AC51" s="40">
        <f t="shared" si="1"/>
        <v>556.25482358367992</v>
      </c>
      <c r="AD51" s="40">
        <f t="shared" si="2"/>
        <v>-143.74517641632008</v>
      </c>
    </row>
    <row r="52" spans="1:30" ht="14.4" customHeight="1" x14ac:dyDescent="0.25">
      <c r="A52" s="162">
        <v>42870</v>
      </c>
      <c r="B52" s="159"/>
      <c r="C52" s="46" t="s">
        <v>69</v>
      </c>
      <c r="D52" s="163">
        <v>500</v>
      </c>
      <c r="E52" s="163">
        <v>11.97</v>
      </c>
      <c r="F52" s="102">
        <f t="shared" si="4"/>
        <v>200</v>
      </c>
      <c r="G52" s="32">
        <f t="shared" si="3"/>
        <v>-21.513127499999349</v>
      </c>
      <c r="H52" s="31">
        <f t="shared" si="5"/>
        <v>-4302.62549999987</v>
      </c>
      <c r="I52" s="31">
        <f t="shared" si="6"/>
        <v>6696.62549999987</v>
      </c>
      <c r="J52" s="108">
        <f t="shared" si="7"/>
        <v>-1.5564044558375048</v>
      </c>
      <c r="K52" s="31">
        <f t="shared" si="8"/>
        <v>2394</v>
      </c>
      <c r="L52" s="31">
        <f t="shared" si="9"/>
        <v>213.01500000000033</v>
      </c>
      <c r="M52" s="31">
        <f t="shared" si="10"/>
        <v>5</v>
      </c>
      <c r="N52" s="31">
        <f t="shared" si="11"/>
        <v>5.9850000000000003</v>
      </c>
      <c r="O52" s="166"/>
      <c r="P52" s="32">
        <f t="shared" si="12"/>
        <v>33.483127499999348</v>
      </c>
      <c r="Q52" s="31">
        <f t="shared" si="13"/>
        <v>5974.0150000000003</v>
      </c>
      <c r="R52" s="34"/>
      <c r="S52" s="34">
        <f t="shared" si="14"/>
        <v>23021.07</v>
      </c>
      <c r="T52" s="34">
        <f t="shared" si="15"/>
        <v>1923.2305764411026</v>
      </c>
      <c r="U52" s="34">
        <f t="shared" si="0"/>
        <v>2123.2305764411026</v>
      </c>
      <c r="V52" s="31">
        <f>H52+S52-SUM(AB$15:AB52)</f>
        <v>18718.444500000129</v>
      </c>
      <c r="W52" s="32">
        <f t="shared" si="16"/>
        <v>8.8160205997859364</v>
      </c>
      <c r="X52" s="32">
        <f t="shared" si="17"/>
        <v>30.329148099785286</v>
      </c>
      <c r="Y52" s="32">
        <f t="shared" si="18"/>
        <v>3.1539794002140624</v>
      </c>
      <c r="Z52" s="38">
        <f t="shared" si="19"/>
        <v>9.4196081301369625E-2</v>
      </c>
      <c r="AA52" s="31">
        <f>SUM(L$2:L52)-SUM(AB$2:AB52)</f>
        <v>3415.0720000000028</v>
      </c>
      <c r="AC52" s="40">
        <f t="shared" si="1"/>
        <v>559.17102650374852</v>
      </c>
      <c r="AD52" s="40">
        <f t="shared" si="2"/>
        <v>359.17102650374852</v>
      </c>
    </row>
    <row r="53" spans="1:30" ht="14.4" customHeight="1" x14ac:dyDescent="0.25">
      <c r="A53" s="136">
        <v>42870</v>
      </c>
      <c r="B53" s="159" t="s">
        <v>188</v>
      </c>
      <c r="C53" s="46" t="s">
        <v>63</v>
      </c>
      <c r="D53" s="46">
        <v>500</v>
      </c>
      <c r="E53" s="46">
        <v>11.65</v>
      </c>
      <c r="F53" s="102">
        <f t="shared" si="4"/>
        <v>700</v>
      </c>
      <c r="G53" s="32">
        <f t="shared" si="3"/>
        <v>2.1819635714287573</v>
      </c>
      <c r="H53" s="31">
        <f t="shared" si="5"/>
        <v>1527.37450000013</v>
      </c>
      <c r="I53" s="31">
        <f t="shared" si="6"/>
        <v>6627.62549999987</v>
      </c>
      <c r="J53" s="108">
        <f t="shared" si="7"/>
        <v>4.3392275437355439</v>
      </c>
      <c r="K53" s="31">
        <f t="shared" si="8"/>
        <v>8155</v>
      </c>
      <c r="L53" s="31">
        <f t="shared" si="9"/>
        <v>-69</v>
      </c>
      <c r="M53" s="31">
        <f t="shared" si="10"/>
        <v>5</v>
      </c>
      <c r="N53" s="31">
        <f t="shared" si="11"/>
        <v>0</v>
      </c>
      <c r="O53" s="166"/>
      <c r="P53" s="32">
        <f t="shared" si="12"/>
        <v>9.4680364285712422</v>
      </c>
      <c r="Q53" s="31">
        <f t="shared" si="13"/>
        <v>-5830</v>
      </c>
      <c r="R53" s="34"/>
      <c r="S53" s="34">
        <f t="shared" si="14"/>
        <v>17191.07</v>
      </c>
      <c r="T53" s="34">
        <f t="shared" si="15"/>
        <v>1475.6283261802575</v>
      </c>
      <c r="U53" s="34">
        <f t="shared" si="0"/>
        <v>2175.6283261802573</v>
      </c>
      <c r="V53" s="31">
        <f>H53+S53-SUM(AB$15:AB53)</f>
        <v>18718.444500000129</v>
      </c>
      <c r="W53" s="32">
        <f t="shared" si="16"/>
        <v>8.6036958954584097</v>
      </c>
      <c r="X53" s="32">
        <f t="shared" si="17"/>
        <v>6.4217323240296524</v>
      </c>
      <c r="Y53" s="32">
        <f t="shared" si="18"/>
        <v>3.0463041045415897</v>
      </c>
      <c r="Z53" s="38">
        <f t="shared" si="19"/>
        <v>0.32174613263515806</v>
      </c>
      <c r="AA53" s="31">
        <f>SUM(L$2:L53)-SUM(AB$2:AB53)</f>
        <v>3346.0720000000028</v>
      </c>
      <c r="AC53" s="40">
        <f t="shared" si="1"/>
        <v>568.61044525749958</v>
      </c>
      <c r="AD53" s="40">
        <f t="shared" si="2"/>
        <v>-131.38955474250042</v>
      </c>
    </row>
    <row r="54" spans="1:30" ht="14.4" customHeight="1" x14ac:dyDescent="0.25">
      <c r="A54" s="136">
        <v>42871</v>
      </c>
      <c r="B54" s="159"/>
      <c r="C54" s="46" t="s">
        <v>63</v>
      </c>
      <c r="D54" s="46">
        <v>500</v>
      </c>
      <c r="E54" s="46">
        <v>11.42</v>
      </c>
      <c r="F54" s="102">
        <f t="shared" si="4"/>
        <v>1200</v>
      </c>
      <c r="G54" s="32">
        <f t="shared" si="3"/>
        <v>6.0353120833334417</v>
      </c>
      <c r="H54" s="31">
        <f t="shared" si="5"/>
        <v>7242.37450000013</v>
      </c>
      <c r="I54" s="31">
        <f t="shared" si="6"/>
        <v>6461.62549999987</v>
      </c>
      <c r="J54" s="108">
        <f t="shared" si="7"/>
        <v>0.892197096408057</v>
      </c>
      <c r="K54" s="31">
        <f t="shared" si="8"/>
        <v>13704</v>
      </c>
      <c r="L54" s="31">
        <f t="shared" si="9"/>
        <v>-166</v>
      </c>
      <c r="M54" s="31">
        <f t="shared" si="10"/>
        <v>5</v>
      </c>
      <c r="N54" s="31">
        <f t="shared" si="11"/>
        <v>0</v>
      </c>
      <c r="O54" s="166"/>
      <c r="P54" s="32">
        <f t="shared" si="12"/>
        <v>5.3846879166665582</v>
      </c>
      <c r="Q54" s="31">
        <f t="shared" si="13"/>
        <v>-5715</v>
      </c>
      <c r="R54" s="34"/>
      <c r="S54" s="34">
        <f t="shared" si="14"/>
        <v>11476.07</v>
      </c>
      <c r="T54" s="34">
        <f t="shared" si="15"/>
        <v>1004.9098073555166</v>
      </c>
      <c r="U54" s="34">
        <f t="shared" si="0"/>
        <v>2204.9098073555165</v>
      </c>
      <c r="V54" s="31">
        <f>H54+S54-SUM(AB$15:AB54)</f>
        <v>18718.444500000129</v>
      </c>
      <c r="W54" s="32">
        <f t="shared" si="16"/>
        <v>8.4894377255504647</v>
      </c>
      <c r="X54" s="32">
        <f t="shared" si="17"/>
        <v>2.454125642217023</v>
      </c>
      <c r="Y54" s="32">
        <f t="shared" si="18"/>
        <v>2.9305622744495352</v>
      </c>
      <c r="Z54" s="38">
        <f t="shared" si="19"/>
        <v>0.54423994849895174</v>
      </c>
      <c r="AA54" s="31">
        <f>SUM(L$2:L54)-SUM(AB$2:AB54)</f>
        <v>3180.0720000000028</v>
      </c>
      <c r="AC54" s="40">
        <f t="shared" si="1"/>
        <v>565.53368539841244</v>
      </c>
      <c r="AD54" s="40">
        <f t="shared" si="2"/>
        <v>-634.46631460158756</v>
      </c>
    </row>
    <row r="55" spans="1:30" ht="14.4" customHeight="1" x14ac:dyDescent="0.25">
      <c r="A55" s="136">
        <v>42871</v>
      </c>
      <c r="B55" s="159" t="s">
        <v>189</v>
      </c>
      <c r="C55" s="46" t="s">
        <v>69</v>
      </c>
      <c r="D55" s="46">
        <v>400</v>
      </c>
      <c r="E55" s="46">
        <v>11.64</v>
      </c>
      <c r="F55" s="102">
        <f t="shared" si="4"/>
        <v>800</v>
      </c>
      <c r="G55" s="32">
        <f t="shared" si="3"/>
        <v>3.2450381250001623</v>
      </c>
      <c r="H55" s="31">
        <f t="shared" si="5"/>
        <v>2596.0305000001299</v>
      </c>
      <c r="I55" s="31">
        <f t="shared" si="6"/>
        <v>6715.9694999998701</v>
      </c>
      <c r="J55" s="108">
        <f t="shared" si="7"/>
        <v>2.5870148675061926</v>
      </c>
      <c r="K55" s="31">
        <f t="shared" si="8"/>
        <v>9312</v>
      </c>
      <c r="L55" s="31">
        <f t="shared" si="9"/>
        <v>254.34400000000005</v>
      </c>
      <c r="M55" s="31">
        <f t="shared" si="10"/>
        <v>5</v>
      </c>
      <c r="N55" s="31">
        <f t="shared" si="11"/>
        <v>4.6559999999999997</v>
      </c>
      <c r="O55" s="166"/>
      <c r="P55" s="32">
        <f t="shared" si="12"/>
        <v>8.3949618749998383</v>
      </c>
      <c r="Q55" s="31">
        <f t="shared" si="13"/>
        <v>4646.3440000000001</v>
      </c>
      <c r="R55" s="34"/>
      <c r="S55" s="34">
        <f t="shared" si="14"/>
        <v>16122.414000000001</v>
      </c>
      <c r="T55" s="34">
        <f t="shared" si="15"/>
        <v>1385.0871134020617</v>
      </c>
      <c r="U55" s="34">
        <f t="shared" si="0"/>
        <v>2185.0871134020617</v>
      </c>
      <c r="V55" s="31">
        <f>H55+S55-SUM(AB$15:AB55)</f>
        <v>18718.444500000129</v>
      </c>
      <c r="W55" s="32">
        <f t="shared" si="16"/>
        <v>8.566452287047051</v>
      </c>
      <c r="X55" s="32">
        <f t="shared" si="17"/>
        <v>5.3214141620468887</v>
      </c>
      <c r="Y55" s="32">
        <f t="shared" si="18"/>
        <v>3.0735477129529496</v>
      </c>
      <c r="Z55" s="38">
        <f t="shared" si="19"/>
        <v>0.3661181264093602</v>
      </c>
      <c r="AA55" s="31">
        <f>SUM(L$2:L55)-SUM(AB$2:AB55)</f>
        <v>3434.4160000000029</v>
      </c>
      <c r="AC55" s="40">
        <f t="shared" si="1"/>
        <v>576.68483807988582</v>
      </c>
      <c r="AD55" s="40">
        <f t="shared" si="2"/>
        <v>-223.31516192011418</v>
      </c>
    </row>
    <row r="56" spans="1:30" ht="14.4" customHeight="1" x14ac:dyDescent="0.25">
      <c r="A56" s="162">
        <v>42871</v>
      </c>
      <c r="B56" s="159"/>
      <c r="C56" s="46" t="s">
        <v>69</v>
      </c>
      <c r="D56" s="163">
        <v>300</v>
      </c>
      <c r="E56" s="163">
        <v>11.76</v>
      </c>
      <c r="F56" s="102">
        <f t="shared" si="4"/>
        <v>500</v>
      </c>
      <c r="G56" s="32">
        <f t="shared" si="3"/>
        <v>-1.8468829999997403</v>
      </c>
      <c r="H56" s="31">
        <f t="shared" si="5"/>
        <v>-923.44149999987008</v>
      </c>
      <c r="I56" s="31">
        <f t="shared" si="6"/>
        <v>6803.4414999998698</v>
      </c>
      <c r="J56" s="108">
        <f t="shared" si="7"/>
        <v>-7.367485108694841</v>
      </c>
      <c r="K56" s="31">
        <f t="shared" si="8"/>
        <v>5880</v>
      </c>
      <c r="L56" s="31">
        <f t="shared" si="9"/>
        <v>87.471999999999753</v>
      </c>
      <c r="M56" s="31">
        <f t="shared" si="10"/>
        <v>5</v>
      </c>
      <c r="N56" s="31">
        <f t="shared" si="11"/>
        <v>3.528</v>
      </c>
      <c r="O56" s="166"/>
      <c r="P56" s="32">
        <f t="shared" si="12"/>
        <v>13.60688299999974</v>
      </c>
      <c r="Q56" s="31">
        <f t="shared" si="13"/>
        <v>3519.4719999999998</v>
      </c>
      <c r="R56" s="34"/>
      <c r="S56" s="34">
        <f t="shared" si="14"/>
        <v>19641.885999999999</v>
      </c>
      <c r="T56" s="34">
        <f t="shared" si="15"/>
        <v>1670.2284013605442</v>
      </c>
      <c r="U56" s="34">
        <f t="shared" si="0"/>
        <v>2170.228401360544</v>
      </c>
      <c r="V56" s="31">
        <f>H56+S56-SUM(AB$15:AB56)</f>
        <v>18718.444500000129</v>
      </c>
      <c r="W56" s="32">
        <f t="shared" si="16"/>
        <v>8.6251034629651411</v>
      </c>
      <c r="X56" s="32">
        <f t="shared" si="17"/>
        <v>10.471986462964882</v>
      </c>
      <c r="Y56" s="32">
        <f t="shared" si="18"/>
        <v>3.1348965370348587</v>
      </c>
      <c r="Z56" s="38">
        <f t="shared" si="19"/>
        <v>0.23039049700323874</v>
      </c>
      <c r="AA56" s="31">
        <f>SUM(L$2:L56)-SUM(AB$2:AB56)</f>
        <v>3521.8880000000026</v>
      </c>
      <c r="AC56" s="40">
        <f t="shared" si="1"/>
        <v>578.23467510628143</v>
      </c>
      <c r="AD56" s="40">
        <f t="shared" si="2"/>
        <v>78.234675106281429</v>
      </c>
    </row>
    <row r="57" spans="1:30" ht="14.4" customHeight="1" x14ac:dyDescent="0.25">
      <c r="A57" s="136">
        <v>42872</v>
      </c>
      <c r="B57" s="159" t="s">
        <v>190</v>
      </c>
      <c r="C57" s="46" t="s">
        <v>63</v>
      </c>
      <c r="D57" s="46">
        <v>400</v>
      </c>
      <c r="E57" s="46">
        <v>11.54</v>
      </c>
      <c r="F57" s="102">
        <f t="shared" si="4"/>
        <v>900</v>
      </c>
      <c r="G57" s="32">
        <f t="shared" si="3"/>
        <v>4.1083983333334784</v>
      </c>
      <c r="H57" s="31">
        <f t="shared" si="5"/>
        <v>3697.5585000001302</v>
      </c>
      <c r="I57" s="31">
        <f t="shared" si="6"/>
        <v>6688.4414999998698</v>
      </c>
      <c r="J57" s="108">
        <f t="shared" si="7"/>
        <v>1.8088805085841462</v>
      </c>
      <c r="K57" s="31">
        <f t="shared" si="8"/>
        <v>10386</v>
      </c>
      <c r="L57" s="31">
        <f t="shared" si="9"/>
        <v>-115</v>
      </c>
      <c r="M57" s="31">
        <f t="shared" si="10"/>
        <v>5</v>
      </c>
      <c r="N57" s="31">
        <f t="shared" si="11"/>
        <v>0</v>
      </c>
      <c r="O57" s="166"/>
      <c r="P57" s="32">
        <f t="shared" si="12"/>
        <v>7.4316016666665208</v>
      </c>
      <c r="Q57" s="31">
        <f t="shared" si="13"/>
        <v>-4621</v>
      </c>
      <c r="R57" s="34"/>
      <c r="S57" s="34">
        <f t="shared" si="14"/>
        <v>15020.885999999999</v>
      </c>
      <c r="T57" s="34">
        <f t="shared" si="15"/>
        <v>1301.6365684575389</v>
      </c>
      <c r="U57" s="34">
        <f t="shared" si="0"/>
        <v>2201.6365684575389</v>
      </c>
      <c r="V57" s="31">
        <f>H57+S57-SUM(AB$15:AB57)</f>
        <v>18718.444500000129</v>
      </c>
      <c r="W57" s="32">
        <f t="shared" si="16"/>
        <v>8.5020592263845902</v>
      </c>
      <c r="X57" s="32">
        <f t="shared" si="17"/>
        <v>4.3936608930511118</v>
      </c>
      <c r="Y57" s="32">
        <f t="shared" si="18"/>
        <v>3.0379407736154089</v>
      </c>
      <c r="Z57" s="38">
        <f t="shared" si="19"/>
        <v>0.40878681472416573</v>
      </c>
      <c r="AA57" s="31">
        <f>SUM(L$2:L57)-SUM(AB$2:AB57)</f>
        <v>3406.8880000000026</v>
      </c>
      <c r="AC57" s="40">
        <f t="shared" si="1"/>
        <v>579.29785782061276</v>
      </c>
      <c r="AD57" s="40">
        <f t="shared" si="2"/>
        <v>-320.70214217938724</v>
      </c>
    </row>
    <row r="58" spans="1:30" ht="14.4" customHeight="1" x14ac:dyDescent="0.25">
      <c r="A58" s="136">
        <v>42877</v>
      </c>
      <c r="B58" s="159" t="s">
        <v>191</v>
      </c>
      <c r="C58" s="46" t="s">
        <v>63</v>
      </c>
      <c r="D58" s="46">
        <v>500</v>
      </c>
      <c r="E58" s="46">
        <v>11.19</v>
      </c>
      <c r="F58" s="102">
        <f t="shared" si="4"/>
        <v>1400</v>
      </c>
      <c r="G58" s="32">
        <f t="shared" si="3"/>
        <v>6.6411132142858076</v>
      </c>
      <c r="H58" s="31">
        <f t="shared" si="5"/>
        <v>9297.5585000001302</v>
      </c>
      <c r="I58" s="31">
        <f t="shared" si="6"/>
        <v>6368.4414999998698</v>
      </c>
      <c r="J58" s="108">
        <f t="shared" si="7"/>
        <v>0.68495847592674775</v>
      </c>
      <c r="K58" s="31">
        <f t="shared" si="8"/>
        <v>15666</v>
      </c>
      <c r="L58" s="31">
        <f t="shared" si="9"/>
        <v>-320</v>
      </c>
      <c r="M58" s="31">
        <f t="shared" si="10"/>
        <v>5</v>
      </c>
      <c r="N58" s="31">
        <f t="shared" si="11"/>
        <v>0</v>
      </c>
      <c r="O58" s="166"/>
      <c r="P58" s="32">
        <f t="shared" si="12"/>
        <v>4.5488867857141919</v>
      </c>
      <c r="Q58" s="31">
        <f t="shared" si="13"/>
        <v>-5600</v>
      </c>
      <c r="R58" s="34"/>
      <c r="S58" s="34">
        <f t="shared" si="14"/>
        <v>9420.8859999999986</v>
      </c>
      <c r="T58" s="34">
        <f t="shared" si="15"/>
        <v>841.90223413762283</v>
      </c>
      <c r="U58" s="34">
        <f t="shared" si="0"/>
        <v>2241.9022341376231</v>
      </c>
      <c r="V58" s="31">
        <f>H58+S58-SUM(AB$15:AB58)</f>
        <v>18718.444500000129</v>
      </c>
      <c r="W58" s="32">
        <f t="shared" si="16"/>
        <v>8.3493580652059176</v>
      </c>
      <c r="X58" s="32">
        <f t="shared" si="17"/>
        <v>1.70824485092011</v>
      </c>
      <c r="Y58" s="32">
        <f t="shared" si="18"/>
        <v>2.8406419347940819</v>
      </c>
      <c r="Z58" s="38">
        <f t="shared" si="19"/>
        <v>0.62446969304998634</v>
      </c>
      <c r="AA58" s="31">
        <f>SUM(L$2:L58)-SUM(AB$2:AB58)</f>
        <v>3086.8880000000026</v>
      </c>
      <c r="AC58" s="40">
        <f t="shared" si="1"/>
        <v>568.83443067469796</v>
      </c>
      <c r="AD58" s="40">
        <f t="shared" si="2"/>
        <v>-831.16556932530204</v>
      </c>
    </row>
    <row r="59" spans="1:30" ht="14.4" customHeight="1" x14ac:dyDescent="0.25">
      <c r="A59" s="162">
        <v>42878</v>
      </c>
      <c r="B59" s="159"/>
      <c r="C59" s="46" t="s">
        <v>69</v>
      </c>
      <c r="D59" s="163">
        <v>400</v>
      </c>
      <c r="E59" s="163">
        <v>11.38</v>
      </c>
      <c r="F59" s="102">
        <f t="shared" si="4"/>
        <v>1000</v>
      </c>
      <c r="G59" s="32">
        <f t="shared" si="3"/>
        <v>4.7551105000001295</v>
      </c>
      <c r="H59" s="31">
        <f t="shared" si="5"/>
        <v>4755.1105000001298</v>
      </c>
      <c r="I59" s="31">
        <f t="shared" si="6"/>
        <v>6624.8894999998702</v>
      </c>
      <c r="J59" s="108">
        <f t="shared" si="7"/>
        <v>1.3932146266631851</v>
      </c>
      <c r="K59" s="31">
        <f t="shared" si="8"/>
        <v>11380</v>
      </c>
      <c r="L59" s="31">
        <f t="shared" si="9"/>
        <v>256.44800000000032</v>
      </c>
      <c r="M59" s="31">
        <f t="shared" si="10"/>
        <v>5</v>
      </c>
      <c r="N59" s="31">
        <f t="shared" si="11"/>
        <v>4.5519999999999996</v>
      </c>
      <c r="O59" s="166"/>
      <c r="P59" s="32">
        <f t="shared" si="12"/>
        <v>6.6248894999998713</v>
      </c>
      <c r="Q59" s="31">
        <f t="shared" si="13"/>
        <v>4542.4480000000003</v>
      </c>
      <c r="R59" s="34"/>
      <c r="S59" s="34">
        <f t="shared" si="14"/>
        <v>13963.333999999999</v>
      </c>
      <c r="T59" s="34">
        <f t="shared" si="15"/>
        <v>1227.0065026362038</v>
      </c>
      <c r="U59" s="34">
        <f t="shared" si="0"/>
        <v>2227.0065026362035</v>
      </c>
      <c r="V59" s="31">
        <f>H59+S59-SUM(AB$15:AB59)</f>
        <v>18718.444500000129</v>
      </c>
      <c r="W59" s="32">
        <f t="shared" si="16"/>
        <v>8.4052042406891498</v>
      </c>
      <c r="X59" s="32">
        <f t="shared" si="17"/>
        <v>3.6500937406890204</v>
      </c>
      <c r="Y59" s="32">
        <f t="shared" si="18"/>
        <v>2.9747957593108509</v>
      </c>
      <c r="Z59" s="38">
        <f t="shared" si="19"/>
        <v>0.44903326452628534</v>
      </c>
      <c r="AA59" s="31">
        <f>SUM(L$2:L59)-SUM(AB$2:AB59)</f>
        <v>3343.336000000003</v>
      </c>
      <c r="AC59" s="40">
        <f t="shared" si="1"/>
        <v>581.86090116431194</v>
      </c>
      <c r="AD59" s="40">
        <f t="shared" si="2"/>
        <v>-418.13909883568806</v>
      </c>
    </row>
    <row r="60" spans="1:30" ht="14.4" customHeight="1" x14ac:dyDescent="0.25">
      <c r="A60" s="162">
        <v>42878</v>
      </c>
      <c r="B60" s="159"/>
      <c r="C60" s="46" t="s">
        <v>69</v>
      </c>
      <c r="D60" s="163">
        <v>400</v>
      </c>
      <c r="E60" s="163">
        <v>11.54</v>
      </c>
      <c r="F60" s="102">
        <f t="shared" si="4"/>
        <v>600</v>
      </c>
      <c r="G60" s="32">
        <f t="shared" si="3"/>
        <v>0.24787750000021636</v>
      </c>
      <c r="H60" s="31">
        <f t="shared" si="5"/>
        <v>148.72650000012982</v>
      </c>
      <c r="I60" s="31">
        <f t="shared" si="6"/>
        <v>6775.2734999998693</v>
      </c>
      <c r="J60" s="108">
        <f t="shared" si="7"/>
        <v>45.555254107330946</v>
      </c>
      <c r="K60" s="31">
        <f t="shared" si="8"/>
        <v>6923.9999999999991</v>
      </c>
      <c r="L60" s="31">
        <f t="shared" si="9"/>
        <v>150.38399999999911</v>
      </c>
      <c r="M60" s="31">
        <f t="shared" si="10"/>
        <v>5</v>
      </c>
      <c r="N60" s="31">
        <f t="shared" si="11"/>
        <v>4.6159999999999997</v>
      </c>
      <c r="O60" s="166"/>
      <c r="P60" s="32">
        <f t="shared" si="12"/>
        <v>11.292122499999783</v>
      </c>
      <c r="Q60" s="31">
        <f t="shared" si="13"/>
        <v>4606.384</v>
      </c>
      <c r="R60" s="34"/>
      <c r="S60" s="34">
        <f t="shared" si="14"/>
        <v>18569.718000000001</v>
      </c>
      <c r="T60" s="34">
        <f t="shared" si="15"/>
        <v>1609.1610051993071</v>
      </c>
      <c r="U60" s="34">
        <f t="shared" si="0"/>
        <v>2209.1610051993071</v>
      </c>
      <c r="V60" s="31">
        <f>H60+S60-SUM(AB$15:AB60)</f>
        <v>18718.444500000129</v>
      </c>
      <c r="W60" s="32">
        <f t="shared" si="16"/>
        <v>8.473101080430931</v>
      </c>
      <c r="X60" s="32">
        <f t="shared" si="17"/>
        <v>8.2252235804307148</v>
      </c>
      <c r="Y60" s="32">
        <f t="shared" si="18"/>
        <v>3.0668989195690681</v>
      </c>
      <c r="Z60" s="38">
        <f t="shared" si="19"/>
        <v>0.27159632031702863</v>
      </c>
      <c r="AA60" s="31">
        <f>SUM(L$2:L60)-SUM(AB$2:AB60)</f>
        <v>3493.7200000000021</v>
      </c>
      <c r="AC60" s="40">
        <f t="shared" si="1"/>
        <v>586.81853234400955</v>
      </c>
      <c r="AD60" s="40">
        <f t="shared" si="2"/>
        <v>-13.181467655990446</v>
      </c>
    </row>
    <row r="61" spans="1:30" ht="14.4" customHeight="1" x14ac:dyDescent="0.25">
      <c r="A61" s="162">
        <v>42879</v>
      </c>
      <c r="B61" s="159"/>
      <c r="C61" s="46" t="s">
        <v>69</v>
      </c>
      <c r="D61" s="163">
        <v>400</v>
      </c>
      <c r="E61" s="163">
        <v>11.58</v>
      </c>
      <c r="F61" s="102">
        <f t="shared" si="4"/>
        <v>200</v>
      </c>
      <c r="G61" s="32">
        <f t="shared" si="3"/>
        <v>-22.368207499999354</v>
      </c>
      <c r="H61" s="31">
        <f t="shared" si="5"/>
        <v>-4473.6414999998706</v>
      </c>
      <c r="I61" s="31">
        <f t="shared" si="6"/>
        <v>6789.6414999998706</v>
      </c>
      <c r="J61" s="108">
        <f t="shared" si="7"/>
        <v>-1.5176990601504541</v>
      </c>
      <c r="K61" s="31">
        <f t="shared" si="8"/>
        <v>2316</v>
      </c>
      <c r="L61" s="31">
        <f t="shared" si="9"/>
        <v>14.368000000001302</v>
      </c>
      <c r="M61" s="31">
        <f t="shared" si="10"/>
        <v>5</v>
      </c>
      <c r="N61" s="31">
        <f t="shared" si="11"/>
        <v>4.6319999999999997</v>
      </c>
      <c r="O61" s="166"/>
      <c r="P61" s="32">
        <f t="shared" si="12"/>
        <v>33.948207499999356</v>
      </c>
      <c r="Q61" s="31">
        <f t="shared" si="13"/>
        <v>4622.3680000000004</v>
      </c>
      <c r="R61" s="34"/>
      <c r="S61" s="34">
        <f t="shared" si="14"/>
        <v>23192.086000000003</v>
      </c>
      <c r="T61" s="34">
        <f t="shared" si="15"/>
        <v>2002.7708117443872</v>
      </c>
      <c r="U61" s="34">
        <f t="shared" si="0"/>
        <v>2202.7708117443872</v>
      </c>
      <c r="V61" s="31">
        <f>H61+S61-SUM(AB$15:AB61)</f>
        <v>18718.444500000132</v>
      </c>
      <c r="W61" s="32">
        <f t="shared" si="16"/>
        <v>8.4976813748393933</v>
      </c>
      <c r="X61" s="32">
        <f t="shared" si="17"/>
        <v>30.865888874838745</v>
      </c>
      <c r="Y61" s="32">
        <f t="shared" si="18"/>
        <v>3.0823186251606103</v>
      </c>
      <c r="Z61" s="38">
        <f t="shared" si="19"/>
        <v>9.0794738578190454E-2</v>
      </c>
      <c r="AA61" s="31">
        <f>SUM(L$2:L61)-SUM(AB$2:AB61)</f>
        <v>3508.0880000000034</v>
      </c>
      <c r="AC61" s="40">
        <f t="shared" si="1"/>
        <v>586.03166487477301</v>
      </c>
      <c r="AD61" s="40">
        <f t="shared" si="2"/>
        <v>386.03166487477301</v>
      </c>
    </row>
    <row r="62" spans="1:30" ht="14.4" customHeight="1" x14ac:dyDescent="0.25">
      <c r="A62" s="162">
        <v>42881</v>
      </c>
      <c r="B62" s="159" t="s">
        <v>192</v>
      </c>
      <c r="C62" s="46" t="s">
        <v>63</v>
      </c>
      <c r="D62" s="163">
        <v>500</v>
      </c>
      <c r="E62" s="163">
        <v>11.73</v>
      </c>
      <c r="F62" s="102">
        <f t="shared" si="4"/>
        <v>700</v>
      </c>
      <c r="G62" s="32">
        <f t="shared" si="3"/>
        <v>1.994797857143042</v>
      </c>
      <c r="H62" s="31">
        <f t="shared" si="5"/>
        <v>1396.3585000001294</v>
      </c>
      <c r="I62" s="31">
        <f t="shared" si="6"/>
        <v>6814.6414999998706</v>
      </c>
      <c r="J62" s="108">
        <f t="shared" si="7"/>
        <v>4.8802950674910779</v>
      </c>
      <c r="K62" s="31">
        <f t="shared" si="8"/>
        <v>8211</v>
      </c>
      <c r="L62" s="31">
        <f t="shared" si="9"/>
        <v>25</v>
      </c>
      <c r="M62" s="31">
        <f t="shared" si="10"/>
        <v>5</v>
      </c>
      <c r="N62" s="31">
        <f t="shared" si="11"/>
        <v>0</v>
      </c>
      <c r="O62" s="166"/>
      <c r="P62" s="32">
        <f t="shared" si="12"/>
        <v>9.7352021428569593</v>
      </c>
      <c r="Q62" s="31">
        <f t="shared" si="13"/>
        <v>-5870</v>
      </c>
      <c r="R62" s="34"/>
      <c r="S62" s="34">
        <f t="shared" si="14"/>
        <v>17322.086000000003</v>
      </c>
      <c r="T62" s="34">
        <f t="shared" si="15"/>
        <v>1476.7336743393012</v>
      </c>
      <c r="U62" s="34">
        <f t="shared" si="0"/>
        <v>2176.7336743393012</v>
      </c>
      <c r="V62" s="31">
        <f>H62+S62-SUM(AB$15:AB62)</f>
        <v>18718.444500000132</v>
      </c>
      <c r="W62" s="32">
        <f t="shared" si="16"/>
        <v>8.599326927618602</v>
      </c>
      <c r="X62" s="32">
        <f t="shared" si="17"/>
        <v>6.6045290704755599</v>
      </c>
      <c r="Y62" s="32">
        <f t="shared" si="18"/>
        <v>3.1306730723813994</v>
      </c>
      <c r="Z62" s="38">
        <f t="shared" si="19"/>
        <v>0.32158274953525001</v>
      </c>
      <c r="AA62" s="31">
        <f>SUM(L$2:L62)-SUM(AB$2:AB62)</f>
        <v>3533.0880000000034</v>
      </c>
      <c r="AC62" s="40">
        <f t="shared" si="1"/>
        <v>580.66787546887224</v>
      </c>
      <c r="AD62" s="40">
        <f t="shared" si="2"/>
        <v>-119.33212453112776</v>
      </c>
    </row>
    <row r="63" spans="1:30" ht="14.4" customHeight="1" x14ac:dyDescent="0.25">
      <c r="A63" s="162">
        <v>42886</v>
      </c>
      <c r="B63" s="159"/>
      <c r="C63" s="46" t="s">
        <v>69</v>
      </c>
      <c r="D63" s="163">
        <v>400</v>
      </c>
      <c r="E63" s="163">
        <v>12.1</v>
      </c>
      <c r="F63" s="102">
        <f t="shared" si="4"/>
        <v>300</v>
      </c>
      <c r="G63" s="32">
        <f t="shared" si="3"/>
        <v>-11.446004999999568</v>
      </c>
      <c r="H63" s="31">
        <f t="shared" si="5"/>
        <v>-3433.8014999998704</v>
      </c>
      <c r="I63" s="31">
        <f t="shared" si="6"/>
        <v>7063.8014999998704</v>
      </c>
      <c r="J63" s="108">
        <f t="shared" si="7"/>
        <v>-2.0571374029629079</v>
      </c>
      <c r="K63" s="31">
        <f t="shared" si="8"/>
        <v>3630</v>
      </c>
      <c r="L63" s="31">
        <f t="shared" si="9"/>
        <v>249.15999999999985</v>
      </c>
      <c r="M63" s="31">
        <f t="shared" si="10"/>
        <v>5</v>
      </c>
      <c r="N63" s="31">
        <f t="shared" si="11"/>
        <v>4.84</v>
      </c>
      <c r="O63" s="166"/>
      <c r="P63" s="32">
        <f t="shared" si="12"/>
        <v>23.546004999999568</v>
      </c>
      <c r="Q63" s="31">
        <f t="shared" si="13"/>
        <v>4830.16</v>
      </c>
      <c r="R63" s="34"/>
      <c r="S63" s="34">
        <f t="shared" si="14"/>
        <v>22152.246000000003</v>
      </c>
      <c r="T63" s="34">
        <f t="shared" si="15"/>
        <v>1830.7641322314053</v>
      </c>
      <c r="U63" s="34">
        <f t="shared" si="0"/>
        <v>2130.7641322314053</v>
      </c>
      <c r="V63" s="31">
        <f>H63+S63-SUM(AB$15:AB63)</f>
        <v>18718.444500000132</v>
      </c>
      <c r="W63" s="32">
        <f t="shared" si="16"/>
        <v>8.7848505692638863</v>
      </c>
      <c r="X63" s="32">
        <f t="shared" si="17"/>
        <v>20.230855569263454</v>
      </c>
      <c r="Y63" s="32">
        <f t="shared" si="18"/>
        <v>3.3151494307361133</v>
      </c>
      <c r="Z63" s="38">
        <f t="shared" si="19"/>
        <v>0.14079456072213412</v>
      </c>
      <c r="AA63" s="31">
        <f>SUM(L$2:L63)-SUM(AB$2:AB63)</f>
        <v>3782.2480000000032</v>
      </c>
      <c r="AC63" s="40">
        <f t="shared" si="1"/>
        <v>583.49335530990675</v>
      </c>
      <c r="AD63" s="40">
        <f t="shared" si="2"/>
        <v>283.49335530990675</v>
      </c>
    </row>
    <row r="64" spans="1:30" ht="14.4" customHeight="1" x14ac:dyDescent="0.25">
      <c r="A64" s="162">
        <v>42886</v>
      </c>
      <c r="B64" s="159" t="s">
        <v>193</v>
      </c>
      <c r="C64" s="46" t="s">
        <v>63</v>
      </c>
      <c r="D64" s="163">
        <v>400</v>
      </c>
      <c r="E64" s="163">
        <v>11.75</v>
      </c>
      <c r="F64" s="102">
        <f t="shared" si="4"/>
        <v>700</v>
      </c>
      <c r="G64" s="32">
        <f t="shared" si="3"/>
        <v>1.8159978571430422</v>
      </c>
      <c r="H64" s="31">
        <f t="shared" si="5"/>
        <v>1271.1985000001296</v>
      </c>
      <c r="I64" s="31">
        <f t="shared" si="6"/>
        <v>6953.8014999998704</v>
      </c>
      <c r="J64" s="108">
        <f t="shared" si="7"/>
        <v>5.4702719520194227</v>
      </c>
      <c r="K64" s="31">
        <f t="shared" si="8"/>
        <v>8225</v>
      </c>
      <c r="L64" s="31">
        <f t="shared" si="9"/>
        <v>-110</v>
      </c>
      <c r="M64" s="31">
        <f t="shared" si="10"/>
        <v>5</v>
      </c>
      <c r="N64" s="31">
        <f t="shared" si="11"/>
        <v>0</v>
      </c>
      <c r="O64" s="166"/>
      <c r="P64" s="32">
        <f t="shared" si="12"/>
        <v>9.9340021428569578</v>
      </c>
      <c r="Q64" s="31">
        <f t="shared" si="13"/>
        <v>-4705</v>
      </c>
      <c r="R64" s="34"/>
      <c r="S64" s="34">
        <f t="shared" si="14"/>
        <v>17447.246000000003</v>
      </c>
      <c r="T64" s="34">
        <f t="shared" si="15"/>
        <v>1484.8720000000003</v>
      </c>
      <c r="U64" s="34">
        <f t="shared" si="0"/>
        <v>2184.8720000000003</v>
      </c>
      <c r="V64" s="31">
        <f>H64+S64-SUM(AB$15:AB64)</f>
        <v>18718.444500000132</v>
      </c>
      <c r="W64" s="32">
        <f t="shared" si="16"/>
        <v>8.567295704279303</v>
      </c>
      <c r="X64" s="32">
        <f t="shared" si="17"/>
        <v>6.7512978471362608</v>
      </c>
      <c r="Y64" s="32">
        <f t="shared" si="18"/>
        <v>3.182704295720697</v>
      </c>
      <c r="Z64" s="38">
        <f t="shared" si="19"/>
        <v>0.32038490126652724</v>
      </c>
      <c r="AA64" s="31">
        <f>SUM(L$2:L64)-SUM(AB$2:AB64)</f>
        <v>3672.2480000000032</v>
      </c>
      <c r="AC64" s="40">
        <f t="shared" si="1"/>
        <v>591.51698717020179</v>
      </c>
      <c r="AD64" s="40">
        <f t="shared" si="2"/>
        <v>-108.48301282979821</v>
      </c>
    </row>
    <row r="65" spans="1:30" ht="14.4" customHeight="1" x14ac:dyDescent="0.25">
      <c r="A65" s="162">
        <v>42888</v>
      </c>
      <c r="B65" s="159" t="s">
        <v>194</v>
      </c>
      <c r="C65" s="46" t="s">
        <v>63</v>
      </c>
      <c r="D65" s="163">
        <v>500</v>
      </c>
      <c r="E65" s="163">
        <v>11.45</v>
      </c>
      <c r="F65" s="102">
        <f t="shared" si="4"/>
        <v>1200</v>
      </c>
      <c r="G65" s="32">
        <f t="shared" si="3"/>
        <v>5.8343320833334413</v>
      </c>
      <c r="H65" s="31">
        <f t="shared" si="5"/>
        <v>7001.1985000001296</v>
      </c>
      <c r="I65" s="31">
        <f t="shared" si="6"/>
        <v>6738.8014999998704</v>
      </c>
      <c r="J65" s="108">
        <f t="shared" si="7"/>
        <v>0.96252113120342819</v>
      </c>
      <c r="K65" s="31">
        <f t="shared" si="8"/>
        <v>13740</v>
      </c>
      <c r="L65" s="31">
        <f t="shared" si="9"/>
        <v>-215</v>
      </c>
      <c r="M65" s="31">
        <f t="shared" si="10"/>
        <v>5</v>
      </c>
      <c r="N65" s="31">
        <f t="shared" si="11"/>
        <v>0</v>
      </c>
      <c r="O65" s="166"/>
      <c r="P65" s="32">
        <f t="shared" si="12"/>
        <v>5.615667916666558</v>
      </c>
      <c r="Q65" s="31">
        <f t="shared" si="13"/>
        <v>-5730</v>
      </c>
      <c r="R65" s="34"/>
      <c r="S65" s="34">
        <f t="shared" si="14"/>
        <v>11717.246000000003</v>
      </c>
      <c r="T65" s="34">
        <f t="shared" si="15"/>
        <v>1023.3402620087339</v>
      </c>
      <c r="U65" s="34">
        <f t="shared" si="0"/>
        <v>2223.340262008734</v>
      </c>
      <c r="V65" s="31">
        <f>H65+S65-SUM(AB$15:AB65)</f>
        <v>18718.444500000132</v>
      </c>
      <c r="W65" s="32">
        <f t="shared" si="16"/>
        <v>8.4190642430450442</v>
      </c>
      <c r="X65" s="32">
        <f t="shared" si="17"/>
        <v>2.5847321597116029</v>
      </c>
      <c r="Y65" s="32">
        <f t="shared" si="18"/>
        <v>3.0309357569549551</v>
      </c>
      <c r="Z65" s="38">
        <f t="shared" si="19"/>
        <v>0.53972845295205918</v>
      </c>
      <c r="AA65" s="31">
        <f>SUM(L$2:L65)-SUM(AB$2:AB65)</f>
        <v>3457.2480000000032</v>
      </c>
      <c r="AC65" s="40">
        <f t="shared" si="1"/>
        <v>588.24734491265247</v>
      </c>
      <c r="AD65" s="40">
        <f t="shared" si="2"/>
        <v>-611.75265508734753</v>
      </c>
    </row>
    <row r="66" spans="1:30" ht="14.4" customHeight="1" x14ac:dyDescent="0.25">
      <c r="A66" s="162">
        <v>42888</v>
      </c>
      <c r="B66" s="159"/>
      <c r="C66" s="46" t="s">
        <v>69</v>
      </c>
      <c r="D66" s="163">
        <v>400</v>
      </c>
      <c r="E66" s="163">
        <v>11.78</v>
      </c>
      <c r="F66" s="102">
        <f t="shared" si="4"/>
        <v>800</v>
      </c>
      <c r="G66" s="32">
        <f t="shared" si="3"/>
        <v>2.8736381250001619</v>
      </c>
      <c r="H66" s="31">
        <f t="shared" si="5"/>
        <v>2298.9105000001296</v>
      </c>
      <c r="I66" s="31">
        <f t="shared" si="6"/>
        <v>7125.0894999998709</v>
      </c>
      <c r="J66" s="108">
        <f t="shared" si="7"/>
        <v>3.0993331406331257</v>
      </c>
      <c r="K66" s="31">
        <f t="shared" si="8"/>
        <v>9424</v>
      </c>
      <c r="L66" s="31">
        <f t="shared" si="9"/>
        <v>386.28800000000047</v>
      </c>
      <c r="M66" s="31">
        <f t="shared" si="10"/>
        <v>5</v>
      </c>
      <c r="N66" s="31">
        <f t="shared" si="11"/>
        <v>4.7119999999999997</v>
      </c>
      <c r="O66" s="166"/>
      <c r="P66" s="32">
        <f t="shared" si="12"/>
        <v>8.9063618749998383</v>
      </c>
      <c r="Q66" s="31">
        <f t="shared" si="13"/>
        <v>4702.2880000000005</v>
      </c>
      <c r="R66" s="34"/>
      <c r="S66" s="34">
        <f t="shared" si="14"/>
        <v>16419.534000000003</v>
      </c>
      <c r="T66" s="34">
        <f t="shared" si="15"/>
        <v>1393.8483870967746</v>
      </c>
      <c r="U66" s="34">
        <f t="shared" ref="U66:U129" si="20">F66+T66</f>
        <v>2193.8483870967748</v>
      </c>
      <c r="V66" s="31">
        <f>H66+S66-SUM(AB$15:AB66)</f>
        <v>18718.444500000132</v>
      </c>
      <c r="W66" s="32">
        <f t="shared" si="16"/>
        <v>8.5322416125442242</v>
      </c>
      <c r="X66" s="32">
        <f t="shared" si="17"/>
        <v>5.6586034875440623</v>
      </c>
      <c r="Y66" s="32">
        <f t="shared" si="18"/>
        <v>3.2477583874557761</v>
      </c>
      <c r="Z66" s="38">
        <f t="shared" si="19"/>
        <v>0.3646560102809468</v>
      </c>
      <c r="AA66" s="31">
        <f>SUM(L$2:L66)-SUM(AB$2:AB66)</f>
        <v>3843.5360000000037</v>
      </c>
      <c r="AC66" s="40">
        <f t="shared" si="1"/>
        <v>604.5438841468482</v>
      </c>
      <c r="AD66" s="40">
        <f t="shared" si="2"/>
        <v>-195.4561158531518</v>
      </c>
    </row>
    <row r="67" spans="1:30" ht="14.4" customHeight="1" x14ac:dyDescent="0.25">
      <c r="A67" s="162">
        <v>42893</v>
      </c>
      <c r="B67" s="159"/>
      <c r="C67" s="46" t="s">
        <v>69</v>
      </c>
      <c r="D67" s="163">
        <v>400</v>
      </c>
      <c r="E67" s="163">
        <v>12</v>
      </c>
      <c r="F67" s="102">
        <f t="shared" si="4"/>
        <v>400</v>
      </c>
      <c r="G67" s="32">
        <f t="shared" si="3"/>
        <v>-6.2282237499996755</v>
      </c>
      <c r="H67" s="31">
        <f t="shared" si="5"/>
        <v>-2491.2894999998703</v>
      </c>
      <c r="I67" s="31">
        <f t="shared" si="6"/>
        <v>7291.2894999998698</v>
      </c>
      <c r="J67" s="108">
        <f t="shared" si="7"/>
        <v>-2.926713053621528</v>
      </c>
      <c r="K67" s="31">
        <f t="shared" si="8"/>
        <v>4800</v>
      </c>
      <c r="L67" s="31">
        <f t="shared" si="9"/>
        <v>166.19999999999891</v>
      </c>
      <c r="M67" s="31">
        <f t="shared" si="10"/>
        <v>5</v>
      </c>
      <c r="N67" s="31">
        <f t="shared" si="11"/>
        <v>4.8</v>
      </c>
      <c r="O67" s="166"/>
      <c r="P67" s="32">
        <f t="shared" si="12"/>
        <v>18.228223749999675</v>
      </c>
      <c r="Q67" s="31">
        <f t="shared" si="13"/>
        <v>4790.2</v>
      </c>
      <c r="R67" s="34"/>
      <c r="S67" s="34">
        <f t="shared" si="14"/>
        <v>21209.734000000004</v>
      </c>
      <c r="T67" s="34">
        <f t="shared" si="15"/>
        <v>1767.4778333333336</v>
      </c>
      <c r="U67" s="34">
        <f t="shared" si="20"/>
        <v>2167.4778333333334</v>
      </c>
      <c r="V67" s="31">
        <f>H67+S67-SUM(AB$15:AB67)</f>
        <v>18718.444500000132</v>
      </c>
      <c r="W67" s="32">
        <f t="shared" si="16"/>
        <v>8.6360488730873435</v>
      </c>
      <c r="X67" s="32">
        <f t="shared" si="17"/>
        <v>14.864272623087018</v>
      </c>
      <c r="Y67" s="32">
        <f t="shared" si="18"/>
        <v>3.3639511269126565</v>
      </c>
      <c r="Z67" s="38">
        <f t="shared" si="19"/>
        <v>0.18454629332233846</v>
      </c>
      <c r="AA67" s="31">
        <f>SUM(L$2:L67)-SUM(AB$2:AB67)</f>
        <v>4009.7360000000026</v>
      </c>
      <c r="AC67" s="40">
        <f t="shared" ref="AC67:AC130" si="21">I67/E67*(1-0.0005)</f>
        <v>607.30365460415589</v>
      </c>
      <c r="AD67" s="40">
        <f t="shared" ref="AD67:AD130" si="22">AC67-F67</f>
        <v>207.30365460415589</v>
      </c>
    </row>
    <row r="68" spans="1:30" ht="14.4" customHeight="1" x14ac:dyDescent="0.25">
      <c r="A68" s="162">
        <v>42898</v>
      </c>
      <c r="B68" s="159"/>
      <c r="C68" s="46" t="s">
        <v>69</v>
      </c>
      <c r="D68" s="163">
        <v>300</v>
      </c>
      <c r="E68" s="163">
        <v>12.26</v>
      </c>
      <c r="F68" s="102">
        <f t="shared" si="4"/>
        <v>100</v>
      </c>
      <c r="G68" s="32">
        <f t="shared" si="3"/>
        <v>-61.606114999998702</v>
      </c>
      <c r="H68" s="31">
        <f t="shared" si="5"/>
        <v>-6160.6114999998699</v>
      </c>
      <c r="I68" s="31">
        <f t="shared" si="6"/>
        <v>7386.6114999998699</v>
      </c>
      <c r="J68" s="108">
        <f t="shared" si="7"/>
        <v>-1.1990062187820196</v>
      </c>
      <c r="K68" s="31">
        <f t="shared" si="8"/>
        <v>1226</v>
      </c>
      <c r="L68" s="31">
        <f t="shared" si="9"/>
        <v>95.322000000000116</v>
      </c>
      <c r="M68" s="31">
        <f t="shared" si="10"/>
        <v>5</v>
      </c>
      <c r="N68" s="31">
        <f t="shared" si="11"/>
        <v>3.6779999999999999</v>
      </c>
      <c r="O68" s="166"/>
      <c r="P68" s="32">
        <f t="shared" si="12"/>
        <v>73.8661149999987</v>
      </c>
      <c r="Q68" s="31">
        <f t="shared" si="13"/>
        <v>3669.3219999999997</v>
      </c>
      <c r="R68" s="34"/>
      <c r="S68" s="34">
        <f t="shared" si="14"/>
        <v>24879.056000000004</v>
      </c>
      <c r="T68" s="34">
        <f t="shared" si="15"/>
        <v>2029.2867862969008</v>
      </c>
      <c r="U68" s="34">
        <f t="shared" si="20"/>
        <v>2129.2867862969006</v>
      </c>
      <c r="V68" s="31">
        <f>H68+S68-SUM(AB$15:AB68)</f>
        <v>18718.444500000136</v>
      </c>
      <c r="W68" s="32">
        <f t="shared" si="16"/>
        <v>8.7909456915166793</v>
      </c>
      <c r="X68" s="32">
        <f t="shared" si="17"/>
        <v>70.397060691515378</v>
      </c>
      <c r="Y68" s="32">
        <f t="shared" si="18"/>
        <v>3.4690543084833223</v>
      </c>
      <c r="Z68" s="38">
        <f t="shared" si="19"/>
        <v>4.6964082360137438E-2</v>
      </c>
      <c r="AA68" s="31">
        <f>SUM(L$2:L68)-SUM(AB$2:AB68)</f>
        <v>4105.0580000000027</v>
      </c>
      <c r="AC68" s="40">
        <f t="shared" si="21"/>
        <v>602.19561127649843</v>
      </c>
      <c r="AD68" s="40">
        <f t="shared" si="22"/>
        <v>502.19561127649843</v>
      </c>
    </row>
    <row r="69" spans="1:30" ht="14.4" customHeight="1" x14ac:dyDescent="0.25">
      <c r="A69" s="162">
        <v>42898</v>
      </c>
      <c r="B69" s="159" t="s">
        <v>195</v>
      </c>
      <c r="C69" s="46" t="s">
        <v>63</v>
      </c>
      <c r="D69" s="163">
        <v>500</v>
      </c>
      <c r="E69" s="163">
        <v>12.1</v>
      </c>
      <c r="F69" s="102">
        <f t="shared" si="4"/>
        <v>600</v>
      </c>
      <c r="G69" s="32">
        <f t="shared" si="3"/>
        <v>-0.17601916666644987</v>
      </c>
      <c r="H69" s="31">
        <f t="shared" si="5"/>
        <v>-105.61149999986992</v>
      </c>
      <c r="I69" s="31">
        <f t="shared" si="6"/>
        <v>7365.6114999998699</v>
      </c>
      <c r="J69" s="108">
        <f t="shared" si="7"/>
        <v>-69.742513836172591</v>
      </c>
      <c r="K69" s="31">
        <f t="shared" si="8"/>
        <v>7260</v>
      </c>
      <c r="L69" s="31">
        <f t="shared" si="9"/>
        <v>-21</v>
      </c>
      <c r="M69" s="31">
        <f t="shared" si="10"/>
        <v>5</v>
      </c>
      <c r="N69" s="31">
        <f t="shared" si="11"/>
        <v>0</v>
      </c>
      <c r="O69" s="166"/>
      <c r="P69" s="32">
        <f t="shared" si="12"/>
        <v>12.276019166666449</v>
      </c>
      <c r="Q69" s="31">
        <f t="shared" si="13"/>
        <v>-6055</v>
      </c>
      <c r="R69" s="34"/>
      <c r="S69" s="34">
        <f t="shared" si="14"/>
        <v>18824.056000000004</v>
      </c>
      <c r="T69" s="34">
        <f t="shared" si="15"/>
        <v>1555.7071074380169</v>
      </c>
      <c r="U69" s="34">
        <f t="shared" si="20"/>
        <v>2155.7071074380169</v>
      </c>
      <c r="V69" s="31">
        <f>H69+S69-SUM(AB$15:AB69)</f>
        <v>18718.444500000136</v>
      </c>
      <c r="W69" s="32">
        <f t="shared" si="16"/>
        <v>8.683203963754778</v>
      </c>
      <c r="X69" s="32">
        <f t="shared" si="17"/>
        <v>8.8592231304212277</v>
      </c>
      <c r="Y69" s="32">
        <f t="shared" si="18"/>
        <v>3.4167960362452217</v>
      </c>
      <c r="Z69" s="38">
        <f t="shared" si="19"/>
        <v>0.27833094669019259</v>
      </c>
      <c r="AA69" s="31">
        <f>SUM(L$2:L69)-SUM(AB$2:AB69)</f>
        <v>4084.0580000000027</v>
      </c>
      <c r="AC69" s="40">
        <f t="shared" si="21"/>
        <v>608.42385902891499</v>
      </c>
      <c r="AD69" s="40">
        <f t="shared" si="22"/>
        <v>8.4238590289149897</v>
      </c>
    </row>
    <row r="70" spans="1:30" ht="14.4" customHeight="1" x14ac:dyDescent="0.25">
      <c r="A70" s="162">
        <v>42899</v>
      </c>
      <c r="B70" s="159" t="s">
        <v>196</v>
      </c>
      <c r="C70" s="46" t="s">
        <v>63</v>
      </c>
      <c r="D70" s="163">
        <v>500</v>
      </c>
      <c r="E70" s="163">
        <v>11.95</v>
      </c>
      <c r="F70" s="102">
        <f t="shared" si="4"/>
        <v>1100</v>
      </c>
      <c r="G70" s="32">
        <f t="shared" si="3"/>
        <v>5.3403531818183003</v>
      </c>
      <c r="H70" s="31">
        <f t="shared" si="5"/>
        <v>5874.3885000001301</v>
      </c>
      <c r="I70" s="31">
        <f t="shared" si="6"/>
        <v>7270.6114999998699</v>
      </c>
      <c r="J70" s="108">
        <f t="shared" si="7"/>
        <v>1.2376797176420504</v>
      </c>
      <c r="K70" s="31">
        <f t="shared" si="8"/>
        <v>13145</v>
      </c>
      <c r="L70" s="31">
        <f t="shared" si="9"/>
        <v>-95</v>
      </c>
      <c r="M70" s="31">
        <f t="shared" si="10"/>
        <v>5</v>
      </c>
      <c r="N70" s="31">
        <f t="shared" si="11"/>
        <v>0</v>
      </c>
      <c r="O70" s="166"/>
      <c r="P70" s="32">
        <f t="shared" si="12"/>
        <v>6.609646818181699</v>
      </c>
      <c r="Q70" s="31">
        <f t="shared" si="13"/>
        <v>-5980</v>
      </c>
      <c r="R70" s="34"/>
      <c r="S70" s="34">
        <f t="shared" si="14"/>
        <v>12844.056000000004</v>
      </c>
      <c r="T70" s="34">
        <f t="shared" si="15"/>
        <v>1074.8164016736405</v>
      </c>
      <c r="U70" s="34">
        <f t="shared" si="20"/>
        <v>2174.8164016736405</v>
      </c>
      <c r="V70" s="31">
        <f>H70+S70-SUM(AB$15:AB70)</f>
        <v>18718.444500000136</v>
      </c>
      <c r="W70" s="32">
        <f t="shared" si="16"/>
        <v>8.606907914431428</v>
      </c>
      <c r="X70" s="32">
        <f t="shared" si="17"/>
        <v>3.2665547326131277</v>
      </c>
      <c r="Y70" s="32">
        <f t="shared" si="18"/>
        <v>3.3430920855685713</v>
      </c>
      <c r="Z70" s="38">
        <f t="shared" si="19"/>
        <v>0.50578982168494302</v>
      </c>
      <c r="AA70" s="31">
        <f>SUM(L$2:L70)-SUM(AB$2:AB70)</f>
        <v>3989.0580000000027</v>
      </c>
      <c r="AC70" s="40">
        <f t="shared" si="21"/>
        <v>608.11516269873403</v>
      </c>
      <c r="AD70" s="40">
        <f t="shared" si="22"/>
        <v>-491.88483730126597</v>
      </c>
    </row>
    <row r="71" spans="1:30" ht="14.4" customHeight="1" x14ac:dyDescent="0.25">
      <c r="A71" s="162">
        <v>42900</v>
      </c>
      <c r="B71" s="159" t="s">
        <v>197</v>
      </c>
      <c r="C71" s="46" t="s">
        <v>63</v>
      </c>
      <c r="D71" s="163">
        <v>500</v>
      </c>
      <c r="E71" s="163">
        <v>11.71</v>
      </c>
      <c r="F71" s="102">
        <f t="shared" si="4"/>
        <v>1600</v>
      </c>
      <c r="G71" s="32">
        <f t="shared" si="3"/>
        <v>7.3339928125000817</v>
      </c>
      <c r="H71" s="31">
        <f t="shared" si="5"/>
        <v>11734.38850000013</v>
      </c>
      <c r="I71" s="31">
        <f t="shared" si="6"/>
        <v>7001.6114999998699</v>
      </c>
      <c r="J71" s="108">
        <f t="shared" si="7"/>
        <v>0.59667459450484295</v>
      </c>
      <c r="K71" s="31">
        <f t="shared" si="8"/>
        <v>18736</v>
      </c>
      <c r="L71" s="31">
        <f t="shared" si="9"/>
        <v>-269</v>
      </c>
      <c r="M71" s="31">
        <f t="shared" si="10"/>
        <v>5</v>
      </c>
      <c r="N71" s="31">
        <f t="shared" si="11"/>
        <v>0</v>
      </c>
      <c r="O71" s="166"/>
      <c r="P71" s="32">
        <f t="shared" si="12"/>
        <v>4.3760071874999191</v>
      </c>
      <c r="Q71" s="31">
        <f t="shared" si="13"/>
        <v>-5860</v>
      </c>
      <c r="R71" s="34"/>
      <c r="S71" s="34">
        <f t="shared" si="14"/>
        <v>6984.0560000000041</v>
      </c>
      <c r="T71" s="34">
        <f t="shared" si="15"/>
        <v>596.418104184458</v>
      </c>
      <c r="U71" s="34">
        <f t="shared" si="20"/>
        <v>2196.4181041844581</v>
      </c>
      <c r="V71" s="31">
        <f>H71+S71-SUM(AB$15:AB71)</f>
        <v>18718.444500000136</v>
      </c>
      <c r="W71" s="32">
        <f t="shared" si="16"/>
        <v>8.5222592476082308</v>
      </c>
      <c r="X71" s="32">
        <f t="shared" si="17"/>
        <v>1.1882664351081491</v>
      </c>
      <c r="Y71" s="32">
        <f t="shared" si="18"/>
        <v>3.18774075239177</v>
      </c>
      <c r="Z71" s="38">
        <f t="shared" si="19"/>
        <v>0.72845875607735833</v>
      </c>
      <c r="AA71" s="31">
        <f>SUM(L$2:L71)-SUM(AB$2:AB71)</f>
        <v>3720.0580000000027</v>
      </c>
      <c r="AC71" s="40">
        <f t="shared" si="21"/>
        <v>597.61833426557394</v>
      </c>
      <c r="AD71" s="40">
        <f t="shared" si="22"/>
        <v>-1002.3816657344261</v>
      </c>
    </row>
    <row r="72" spans="1:30" ht="14.4" customHeight="1" x14ac:dyDescent="0.25">
      <c r="A72" s="162">
        <v>42900</v>
      </c>
      <c r="B72" s="159" t="s">
        <v>198</v>
      </c>
      <c r="C72" s="46" t="s">
        <v>63</v>
      </c>
      <c r="D72" s="163">
        <v>500</v>
      </c>
      <c r="E72" s="163">
        <v>11.56</v>
      </c>
      <c r="F72" s="102">
        <f t="shared" si="4"/>
        <v>2100</v>
      </c>
      <c r="G72" s="32">
        <f t="shared" si="3"/>
        <v>8.3425659523810154</v>
      </c>
      <c r="H72" s="31">
        <f t="shared" si="5"/>
        <v>17519.388500000132</v>
      </c>
      <c r="I72" s="31">
        <f t="shared" si="6"/>
        <v>6756.6114999998681</v>
      </c>
      <c r="J72" s="108">
        <f t="shared" si="7"/>
        <v>0.38566480217045346</v>
      </c>
      <c r="K72" s="31">
        <f t="shared" si="8"/>
        <v>24276</v>
      </c>
      <c r="L72" s="31">
        <f t="shared" si="9"/>
        <v>-245.00000000000182</v>
      </c>
      <c r="M72" s="31">
        <f t="shared" si="10"/>
        <v>5</v>
      </c>
      <c r="N72" s="31">
        <f t="shared" si="11"/>
        <v>0</v>
      </c>
      <c r="O72" s="166">
        <v>-845</v>
      </c>
      <c r="P72" s="32">
        <f t="shared" si="12"/>
        <v>3.2174340476189851</v>
      </c>
      <c r="Q72" s="31">
        <f t="shared" si="13"/>
        <v>-5785.0000000000018</v>
      </c>
      <c r="R72" s="34">
        <v>845</v>
      </c>
      <c r="S72" s="34">
        <f t="shared" si="14"/>
        <v>1199.0560000000023</v>
      </c>
      <c r="T72" s="34">
        <f t="shared" si="15"/>
        <v>103.72456747404864</v>
      </c>
      <c r="U72" s="34">
        <f t="shared" si="20"/>
        <v>2203.7245674740489</v>
      </c>
      <c r="V72" s="31">
        <f>H72+S72-SUM(AB$15:AB72)</f>
        <v>18718.444500000136</v>
      </c>
      <c r="W72" s="32">
        <f t="shared" si="16"/>
        <v>8.4940036410519184</v>
      </c>
      <c r="X72" s="32">
        <f t="shared" si="17"/>
        <v>0.15143768867090301</v>
      </c>
      <c r="Y72" s="32">
        <f t="shared" si="18"/>
        <v>3.0659963589480821</v>
      </c>
      <c r="Z72" s="38">
        <f t="shared" si="19"/>
        <v>0.95293215449653945</v>
      </c>
      <c r="AA72" s="31">
        <f>SUM(L$2:L72)-SUM(AB$2:AB72)</f>
        <v>3475.0580000000009</v>
      </c>
      <c r="AC72" s="40">
        <f t="shared" si="21"/>
        <v>584.18972268597474</v>
      </c>
      <c r="AD72" s="40">
        <f t="shared" si="22"/>
        <v>-1515.8102773140254</v>
      </c>
    </row>
    <row r="73" spans="1:30" ht="14.4" customHeight="1" x14ac:dyDescent="0.25">
      <c r="A73" s="162">
        <v>42904</v>
      </c>
      <c r="B73" s="161" t="s">
        <v>199</v>
      </c>
      <c r="D73" s="163"/>
      <c r="E73" s="163">
        <v>11.56</v>
      </c>
      <c r="F73" s="102">
        <f t="shared" si="4"/>
        <v>2100</v>
      </c>
      <c r="G73" s="32">
        <f t="shared" si="3"/>
        <v>7.942565952381015</v>
      </c>
      <c r="H73" s="31">
        <f t="shared" si="5"/>
        <v>16679.388500000132</v>
      </c>
      <c r="I73" s="31">
        <f t="shared" si="6"/>
        <v>7596.6114999998681</v>
      </c>
      <c r="J73" s="108">
        <f t="shared" si="7"/>
        <v>0.45544904119235602</v>
      </c>
      <c r="K73" s="31">
        <f t="shared" si="8"/>
        <v>24276</v>
      </c>
      <c r="L73" s="31">
        <f t="shared" si="9"/>
        <v>840</v>
      </c>
      <c r="M73" s="31">
        <f t="shared" si="10"/>
        <v>5</v>
      </c>
      <c r="N73" s="31">
        <f t="shared" si="11"/>
        <v>0</v>
      </c>
      <c r="O73" s="166"/>
      <c r="P73" s="32">
        <f t="shared" si="12"/>
        <v>3.6174340476189855</v>
      </c>
      <c r="Q73" s="31">
        <f t="shared" si="13"/>
        <v>840</v>
      </c>
      <c r="R73" s="34"/>
      <c r="S73" s="34">
        <f t="shared" si="14"/>
        <v>2039.0560000000023</v>
      </c>
      <c r="T73" s="34">
        <f t="shared" si="15"/>
        <v>176.38892733564032</v>
      </c>
      <c r="U73" s="34">
        <f t="shared" si="20"/>
        <v>2276.3889273356403</v>
      </c>
      <c r="V73" s="31">
        <f>H73+S73-SUM(AB$15:AB73)</f>
        <v>18718.444500000136</v>
      </c>
      <c r="W73" s="32">
        <f t="shared" si="16"/>
        <v>8.2228674877226773</v>
      </c>
      <c r="X73" s="32">
        <f t="shared" si="17"/>
        <v>0.28030153534166224</v>
      </c>
      <c r="Y73" s="32">
        <f t="shared" si="18"/>
        <v>3.3371325122773232</v>
      </c>
      <c r="Z73" s="38">
        <f t="shared" si="19"/>
        <v>0.92251371230218915</v>
      </c>
      <c r="AA73" s="31">
        <f>SUM(L$2:L73)-SUM(AB$2:AB73)</f>
        <v>4315.0580000000009</v>
      </c>
      <c r="AC73" s="40">
        <f t="shared" si="21"/>
        <v>656.81775036763565</v>
      </c>
      <c r="AD73" s="40">
        <f t="shared" si="22"/>
        <v>-1443.1822496323643</v>
      </c>
    </row>
    <row r="74" spans="1:30" ht="14.4" customHeight="1" x14ac:dyDescent="0.25">
      <c r="A74" s="162">
        <v>42905</v>
      </c>
      <c r="B74" s="159" t="s">
        <v>200</v>
      </c>
      <c r="C74" s="46" t="s">
        <v>63</v>
      </c>
      <c r="D74" s="163">
        <v>500</v>
      </c>
      <c r="E74" s="163">
        <v>11.17</v>
      </c>
      <c r="F74" s="102">
        <f t="shared" si="4"/>
        <v>2600</v>
      </c>
      <c r="G74" s="32">
        <f t="shared" si="3"/>
        <v>8.5651494230769742</v>
      </c>
      <c r="H74" s="31">
        <f t="shared" si="5"/>
        <v>22269.388500000132</v>
      </c>
      <c r="I74" s="31">
        <f t="shared" si="6"/>
        <v>6772.6114999998681</v>
      </c>
      <c r="J74" s="108">
        <f t="shared" si="7"/>
        <v>0.30412202382655573</v>
      </c>
      <c r="K74" s="31">
        <f t="shared" si="8"/>
        <v>29042</v>
      </c>
      <c r="L74" s="31">
        <f t="shared" si="9"/>
        <v>-824</v>
      </c>
      <c r="M74" s="31">
        <f t="shared" si="10"/>
        <v>5</v>
      </c>
      <c r="N74" s="31">
        <f t="shared" si="11"/>
        <v>0</v>
      </c>
      <c r="O74" s="166"/>
      <c r="P74" s="32">
        <f t="shared" si="12"/>
        <v>2.6048505769230257</v>
      </c>
      <c r="Q74" s="31">
        <f t="shared" si="13"/>
        <v>-5590</v>
      </c>
      <c r="R74" s="34"/>
      <c r="S74" s="34">
        <f t="shared" si="14"/>
        <v>-3550.9439999999977</v>
      </c>
      <c r="T74" s="34">
        <f t="shared" si="15"/>
        <v>-317.90008952551455</v>
      </c>
      <c r="U74" s="34">
        <f t="shared" si="20"/>
        <v>2282.0999104744856</v>
      </c>
      <c r="V74" s="31">
        <f>H74+S74-SUM(AB$15:AB74)</f>
        <v>18718.444500000136</v>
      </c>
      <c r="W74" s="32">
        <f t="shared" si="16"/>
        <v>8.2022896605382485</v>
      </c>
      <c r="X74" s="32">
        <f t="shared" si="17"/>
        <v>-0.36285976253872576</v>
      </c>
      <c r="Y74" s="32">
        <f t="shared" si="18"/>
        <v>2.9677103394617514</v>
      </c>
      <c r="Z74" s="38">
        <f t="shared" si="19"/>
        <v>1.1393015652235041</v>
      </c>
      <c r="AA74" s="31">
        <f>SUM(L$2:L74)-SUM(AB$2:AB74)</f>
        <v>3491.0580000000009</v>
      </c>
      <c r="AC74" s="40">
        <f t="shared" si="21"/>
        <v>606.01837012084775</v>
      </c>
      <c r="AD74" s="40">
        <f t="shared" si="22"/>
        <v>-1993.9816298791523</v>
      </c>
    </row>
    <row r="75" spans="1:30" ht="14.4" customHeight="1" x14ac:dyDescent="0.25">
      <c r="A75" s="162">
        <v>42906</v>
      </c>
      <c r="B75" s="159"/>
      <c r="C75" s="46" t="s">
        <v>69</v>
      </c>
      <c r="D75" s="163">
        <v>400</v>
      </c>
      <c r="E75" s="163">
        <v>11.42</v>
      </c>
      <c r="F75" s="102">
        <f t="shared" si="4"/>
        <v>2200</v>
      </c>
      <c r="G75" s="32">
        <f t="shared" ref="G75:G138" si="23">H75/F75</f>
        <v>8.050434772727332</v>
      </c>
      <c r="H75" s="31">
        <f t="shared" si="5"/>
        <v>17710.956500000131</v>
      </c>
      <c r="I75" s="31">
        <f t="shared" si="6"/>
        <v>7413.0434999998688</v>
      </c>
      <c r="J75" s="108">
        <f t="shared" si="7"/>
        <v>0.41855692548281143</v>
      </c>
      <c r="K75" s="31">
        <f t="shared" si="8"/>
        <v>25124</v>
      </c>
      <c r="L75" s="31">
        <f t="shared" si="9"/>
        <v>640.4320000000007</v>
      </c>
      <c r="M75" s="31">
        <f t="shared" si="10"/>
        <v>5</v>
      </c>
      <c r="N75" s="31">
        <f t="shared" si="11"/>
        <v>4.5679999999999996</v>
      </c>
      <c r="O75" s="166"/>
      <c r="P75" s="32">
        <f t="shared" si="12"/>
        <v>3.3695652272726679</v>
      </c>
      <c r="Q75" s="31">
        <f t="shared" si="13"/>
        <v>4558.4320000000007</v>
      </c>
      <c r="R75" s="34"/>
      <c r="S75" s="34">
        <f t="shared" si="14"/>
        <v>1007.488000000003</v>
      </c>
      <c r="T75" s="34">
        <f t="shared" si="15"/>
        <v>88.221366024518659</v>
      </c>
      <c r="U75" s="34">
        <f t="shared" si="20"/>
        <v>2288.2213660245188</v>
      </c>
      <c r="V75" s="31">
        <f>H75+S75-SUM(AB$15:AB75)</f>
        <v>18718.444500000136</v>
      </c>
      <c r="W75" s="32">
        <f t="shared" si="16"/>
        <v>8.180346874621204</v>
      </c>
      <c r="X75" s="32">
        <f t="shared" si="17"/>
        <v>0.12991210189387203</v>
      </c>
      <c r="Y75" s="32">
        <f t="shared" si="18"/>
        <v>3.2396531253787959</v>
      </c>
      <c r="Z75" s="38">
        <f t="shared" si="19"/>
        <v>0.96144544084133265</v>
      </c>
      <c r="AA75" s="31">
        <f>SUM(L$2:L75)-SUM(AB$2:AB75)</f>
        <v>4131.4900000000016</v>
      </c>
      <c r="AC75" s="40">
        <f t="shared" si="21"/>
        <v>648.8035882880796</v>
      </c>
      <c r="AD75" s="40">
        <f t="shared" si="22"/>
        <v>-1551.1964117119205</v>
      </c>
    </row>
    <row r="76" spans="1:30" s="46" customFormat="1" ht="14.4" customHeight="1" x14ac:dyDescent="0.25">
      <c r="A76" s="172">
        <v>42907</v>
      </c>
      <c r="B76" s="173"/>
      <c r="C76" s="46" t="s">
        <v>69</v>
      </c>
      <c r="D76" s="46">
        <v>400</v>
      </c>
      <c r="E76" s="46">
        <v>11.46</v>
      </c>
      <c r="F76" s="102">
        <f t="shared" ref="F76:F139" si="24">IF(C76="买",F75+D76,F75-D76)</f>
        <v>1800</v>
      </c>
      <c r="G76" s="32">
        <f t="shared" si="23"/>
        <v>7.2980780555556288</v>
      </c>
      <c r="H76" s="31">
        <f t="shared" ref="H76:H139" si="25">IF(C76="买",H75+D76*E76+M76+N76,H75+-1*D76*E76+M76+N76)+O75</f>
        <v>13136.540500000132</v>
      </c>
      <c r="I76" s="31">
        <f t="shared" ref="I76:I139" si="26">-H76+K76</f>
        <v>7491.4594999998681</v>
      </c>
      <c r="J76" s="108">
        <f t="shared" ref="J76:J139" si="27">(E76-G76)/G76</f>
        <v>0.57027643617433332</v>
      </c>
      <c r="K76" s="31">
        <f t="shared" ref="K76:K139" si="28">F76*E76</f>
        <v>20628</v>
      </c>
      <c r="L76" s="31">
        <f t="shared" ref="L76:L139" si="29">I76-I75</f>
        <v>78.415999999999258</v>
      </c>
      <c r="M76" s="31">
        <f t="shared" ref="M76:M139" si="30">IF(D76*E76*5/10000&gt;5,D76*E76*5/10000,5)</f>
        <v>5</v>
      </c>
      <c r="N76" s="31">
        <f t="shared" ref="N76:N139" si="31">IF(C76="卖",D76*E76/1000,0)</f>
        <v>4.5839999999999996</v>
      </c>
      <c r="O76" s="125"/>
      <c r="P76" s="32">
        <f t="shared" ref="P76:P139" si="32">E76-G76</f>
        <v>4.161921944444372</v>
      </c>
      <c r="Q76" s="31">
        <f t="shared" ref="Q76:Q139" si="33">(H76-H75)*-1</f>
        <v>4574.4159999999993</v>
      </c>
      <c r="R76" s="34"/>
      <c r="S76" s="34">
        <f t="shared" ref="S76:S139" si="34">S75+Q76+O76+R76</f>
        <v>5581.9040000000023</v>
      </c>
      <c r="T76" s="34">
        <f t="shared" ref="T76:T139" si="35">S76/E76</f>
        <v>487.07713787085532</v>
      </c>
      <c r="U76" s="34">
        <f t="shared" si="20"/>
        <v>2287.0771378708555</v>
      </c>
      <c r="V76" s="31">
        <f>H76+S76-SUM(AB$15:AB76)</f>
        <v>18718.444500000136</v>
      </c>
      <c r="W76" s="32">
        <f t="shared" ref="W76:W139" si="36">V76/U76</f>
        <v>8.1844395145438735</v>
      </c>
      <c r="X76" s="32">
        <f t="shared" ref="X76:X139" si="37">W76-G76</f>
        <v>0.8863614589882447</v>
      </c>
      <c r="Y76" s="32">
        <f t="shared" ref="Y76:Y139" si="38">(X76-P76)*-1</f>
        <v>3.2755604854561273</v>
      </c>
      <c r="Z76" s="38">
        <f t="shared" ref="Z76:Z139" si="39">F76/U76</f>
        <v>0.78703073464137818</v>
      </c>
      <c r="AA76" s="31">
        <f>SUM(L$2:L76)-SUM(AB$2:AB76)</f>
        <v>4209.9060000000009</v>
      </c>
      <c r="AC76" s="40">
        <f t="shared" si="21"/>
        <v>653.37816494326944</v>
      </c>
      <c r="AD76" s="40">
        <f t="shared" si="22"/>
        <v>-1146.6218350567306</v>
      </c>
    </row>
    <row r="77" spans="1:30" ht="14.4" customHeight="1" x14ac:dyDescent="0.25">
      <c r="A77" s="172">
        <v>42908</v>
      </c>
      <c r="B77" s="159"/>
      <c r="C77" s="46" t="s">
        <v>69</v>
      </c>
      <c r="D77" s="46">
        <v>400</v>
      </c>
      <c r="E77" s="46">
        <v>11.69</v>
      </c>
      <c r="F77" s="102">
        <f t="shared" si="24"/>
        <v>1400</v>
      </c>
      <c r="G77" s="32">
        <f t="shared" si="23"/>
        <v>6.0501546428572368</v>
      </c>
      <c r="H77" s="31">
        <f t="shared" si="25"/>
        <v>8470.2165000001314</v>
      </c>
      <c r="I77" s="31">
        <f t="shared" si="26"/>
        <v>7895.7834999998686</v>
      </c>
      <c r="J77" s="108">
        <f t="shared" si="27"/>
        <v>0.93218201683507673</v>
      </c>
      <c r="K77" s="31">
        <f t="shared" si="28"/>
        <v>16366</v>
      </c>
      <c r="L77" s="31">
        <f t="shared" si="29"/>
        <v>404.32400000000052</v>
      </c>
      <c r="M77" s="31">
        <f t="shared" si="30"/>
        <v>5</v>
      </c>
      <c r="N77" s="31">
        <f t="shared" si="31"/>
        <v>4.6760000000000002</v>
      </c>
      <c r="O77" s="125"/>
      <c r="P77" s="32">
        <f t="shared" si="32"/>
        <v>5.6398453571427627</v>
      </c>
      <c r="Q77" s="31">
        <f t="shared" si="33"/>
        <v>4666.3240000000005</v>
      </c>
      <c r="R77" s="34"/>
      <c r="S77" s="34">
        <f t="shared" si="34"/>
        <v>10248.228000000003</v>
      </c>
      <c r="T77" s="34">
        <f t="shared" si="35"/>
        <v>876.6662104362706</v>
      </c>
      <c r="U77" s="34">
        <f t="shared" si="20"/>
        <v>2276.6662104362704</v>
      </c>
      <c r="V77" s="31">
        <f>H77+S77-SUM(AB$15:AB77)</f>
        <v>18718.444500000136</v>
      </c>
      <c r="W77" s="32">
        <f t="shared" si="36"/>
        <v>8.2218659960755414</v>
      </c>
      <c r="X77" s="32">
        <f t="shared" si="37"/>
        <v>2.1717113532183046</v>
      </c>
      <c r="Y77" s="32">
        <f t="shared" si="38"/>
        <v>3.4681340039244581</v>
      </c>
      <c r="Z77" s="38">
        <f t="shared" si="39"/>
        <v>0.61493423743119657</v>
      </c>
      <c r="AA77" s="31">
        <f>SUM(L$2:L77)-SUM(AB$2:AB77)</f>
        <v>4614.2300000000014</v>
      </c>
      <c r="AB77" s="46"/>
      <c r="AC77" s="40">
        <f t="shared" si="21"/>
        <v>675.09286640289724</v>
      </c>
      <c r="AD77" s="40">
        <f t="shared" si="22"/>
        <v>-724.90713359710276</v>
      </c>
    </row>
    <row r="78" spans="1:30" ht="14.4" customHeight="1" x14ac:dyDescent="0.25">
      <c r="A78" s="172">
        <v>42908</v>
      </c>
      <c r="B78" s="159"/>
      <c r="C78" s="46" t="s">
        <v>69</v>
      </c>
      <c r="D78" s="46">
        <v>400</v>
      </c>
      <c r="E78" s="46">
        <v>11.8</v>
      </c>
      <c r="F78" s="102">
        <f t="shared" si="24"/>
        <v>1000</v>
      </c>
      <c r="G78" s="32">
        <f t="shared" si="23"/>
        <v>3.7599365000001312</v>
      </c>
      <c r="H78" s="31">
        <f t="shared" si="25"/>
        <v>3759.9365000001312</v>
      </c>
      <c r="I78" s="31">
        <f t="shared" si="26"/>
        <v>8040.0634999998692</v>
      </c>
      <c r="J78" s="108">
        <f t="shared" si="27"/>
        <v>2.1383508737446997</v>
      </c>
      <c r="K78" s="31">
        <f t="shared" si="28"/>
        <v>11800</v>
      </c>
      <c r="L78" s="31">
        <f t="shared" si="29"/>
        <v>144.28000000000065</v>
      </c>
      <c r="M78" s="31">
        <f t="shared" si="30"/>
        <v>5</v>
      </c>
      <c r="N78" s="31">
        <f t="shared" si="31"/>
        <v>4.72</v>
      </c>
      <c r="O78" s="125"/>
      <c r="P78" s="32">
        <f t="shared" si="32"/>
        <v>8.040063499999869</v>
      </c>
      <c r="Q78" s="31">
        <f t="shared" si="33"/>
        <v>4710.2800000000007</v>
      </c>
      <c r="R78" s="34"/>
      <c r="S78" s="34">
        <f t="shared" si="34"/>
        <v>14958.508000000003</v>
      </c>
      <c r="T78" s="34">
        <f t="shared" si="35"/>
        <v>1267.6701694915257</v>
      </c>
      <c r="U78" s="34">
        <f t="shared" si="20"/>
        <v>2267.6701694915255</v>
      </c>
      <c r="V78" s="31">
        <f>H78+S78-SUM(AB$15:AB78)</f>
        <v>18718.444500000136</v>
      </c>
      <c r="W78" s="32">
        <f t="shared" si="36"/>
        <v>8.2544828396262453</v>
      </c>
      <c r="X78" s="32">
        <f t="shared" si="37"/>
        <v>4.4945463396261136</v>
      </c>
      <c r="Y78" s="32">
        <f t="shared" si="38"/>
        <v>3.5455171603737554</v>
      </c>
      <c r="Z78" s="38">
        <f t="shared" si="39"/>
        <v>0.44098123856531912</v>
      </c>
      <c r="AA78" s="31">
        <f>SUM(L$2:L78)-SUM(AB$2:AB78)</f>
        <v>4758.510000000002</v>
      </c>
      <c r="AB78" s="46"/>
      <c r="AC78" s="40">
        <f t="shared" si="21"/>
        <v>681.02063290253136</v>
      </c>
      <c r="AD78" s="40">
        <f t="shared" si="22"/>
        <v>-318.97936709746864</v>
      </c>
    </row>
    <row r="79" spans="1:30" ht="14.4" customHeight="1" x14ac:dyDescent="0.25">
      <c r="A79" s="172">
        <v>42909</v>
      </c>
      <c r="B79" s="159"/>
      <c r="C79" s="46" t="s">
        <v>69</v>
      </c>
      <c r="D79" s="46">
        <v>400</v>
      </c>
      <c r="E79" s="46">
        <v>12</v>
      </c>
      <c r="F79" s="102">
        <f t="shared" si="24"/>
        <v>600</v>
      </c>
      <c r="G79" s="32">
        <f t="shared" si="23"/>
        <v>-1.7171058333331146</v>
      </c>
      <c r="H79" s="31">
        <f t="shared" si="25"/>
        <v>-1030.2634999998688</v>
      </c>
      <c r="I79" s="31">
        <f t="shared" si="26"/>
        <v>8230.2634999998681</v>
      </c>
      <c r="J79" s="108">
        <f t="shared" si="27"/>
        <v>-7.9885034265514765</v>
      </c>
      <c r="K79" s="31">
        <f t="shared" si="28"/>
        <v>7200</v>
      </c>
      <c r="L79" s="31">
        <f t="shared" si="29"/>
        <v>190.19999999999891</v>
      </c>
      <c r="M79" s="31">
        <f t="shared" si="30"/>
        <v>5</v>
      </c>
      <c r="N79" s="31">
        <f t="shared" si="31"/>
        <v>4.8</v>
      </c>
      <c r="O79" s="125"/>
      <c r="P79" s="32">
        <f t="shared" si="32"/>
        <v>13.717105833333115</v>
      </c>
      <c r="Q79" s="31">
        <f t="shared" si="33"/>
        <v>4790.2</v>
      </c>
      <c r="R79" s="34"/>
      <c r="S79" s="34">
        <f t="shared" si="34"/>
        <v>19748.708000000002</v>
      </c>
      <c r="T79" s="34">
        <f t="shared" si="35"/>
        <v>1645.7256666666669</v>
      </c>
      <c r="U79" s="34">
        <f t="shared" si="20"/>
        <v>2245.7256666666672</v>
      </c>
      <c r="V79" s="31">
        <f>H79+S79-SUM(AB$15:AB79)</f>
        <v>18718.444500000132</v>
      </c>
      <c r="W79" s="32">
        <f t="shared" si="36"/>
        <v>8.3351429686351395</v>
      </c>
      <c r="X79" s="32">
        <f t="shared" si="37"/>
        <v>10.052248801968254</v>
      </c>
      <c r="Y79" s="32">
        <f t="shared" si="38"/>
        <v>3.6648570313648605</v>
      </c>
      <c r="Z79" s="38">
        <f t="shared" si="39"/>
        <v>0.26717421851912154</v>
      </c>
      <c r="AA79" s="31">
        <f>SUM(L$2:L79)-SUM(AB$2:AB79)</f>
        <v>4948.7100000000009</v>
      </c>
      <c r="AB79" s="46"/>
      <c r="AC79" s="40">
        <f t="shared" si="21"/>
        <v>685.51236402082247</v>
      </c>
      <c r="AD79" s="40">
        <f t="shared" si="22"/>
        <v>85.512364020822474</v>
      </c>
    </row>
    <row r="80" spans="1:30" ht="14.4" customHeight="1" x14ac:dyDescent="0.25">
      <c r="A80" s="172">
        <v>42909</v>
      </c>
      <c r="B80" s="159"/>
      <c r="C80" s="46" t="s">
        <v>69</v>
      </c>
      <c r="D80" s="46">
        <v>400</v>
      </c>
      <c r="E80" s="46">
        <v>11.98</v>
      </c>
      <c r="F80" s="102">
        <f t="shared" si="24"/>
        <v>200</v>
      </c>
      <c r="G80" s="32">
        <f t="shared" si="23"/>
        <v>-29.062357499999344</v>
      </c>
      <c r="H80" s="31">
        <f t="shared" si="25"/>
        <v>-5812.4714999998687</v>
      </c>
      <c r="I80" s="31">
        <f t="shared" si="26"/>
        <v>8208.4714999998687</v>
      </c>
      <c r="J80" s="108">
        <f t="shared" si="27"/>
        <v>-1.4122170749568499</v>
      </c>
      <c r="K80" s="31">
        <f t="shared" si="28"/>
        <v>2396</v>
      </c>
      <c r="L80" s="31">
        <f t="shared" si="29"/>
        <v>-21.791999999999462</v>
      </c>
      <c r="M80" s="31">
        <f t="shared" si="30"/>
        <v>5</v>
      </c>
      <c r="N80" s="31">
        <f t="shared" si="31"/>
        <v>4.7919999999999998</v>
      </c>
      <c r="O80" s="125"/>
      <c r="P80" s="32">
        <f t="shared" si="32"/>
        <v>41.042357499999341</v>
      </c>
      <c r="Q80" s="31">
        <f t="shared" si="33"/>
        <v>4782.2079999999996</v>
      </c>
      <c r="R80" s="34"/>
      <c r="S80" s="34">
        <f t="shared" si="34"/>
        <v>24530.916000000001</v>
      </c>
      <c r="T80" s="34">
        <f t="shared" si="35"/>
        <v>2047.6557595993322</v>
      </c>
      <c r="U80" s="34">
        <f t="shared" si="20"/>
        <v>2247.6557595993322</v>
      </c>
      <c r="V80" s="31">
        <f>H80+S80-SUM(AB$15:AB80)</f>
        <v>18718.444500000132</v>
      </c>
      <c r="W80" s="32">
        <f t="shared" si="36"/>
        <v>8.3279854666610014</v>
      </c>
      <c r="X80" s="32">
        <f t="shared" si="37"/>
        <v>37.390342966660342</v>
      </c>
      <c r="Y80" s="32">
        <f t="shared" si="38"/>
        <v>3.6520145333389991</v>
      </c>
      <c r="Z80" s="38">
        <f t="shared" si="39"/>
        <v>8.8981597446956051E-2</v>
      </c>
      <c r="AA80" s="31">
        <f>SUM(L$2:L80)-SUM(AB$2:AB80)</f>
        <v>4926.9180000000015</v>
      </c>
      <c r="AB80" s="46"/>
      <c r="AC80" s="40">
        <f t="shared" si="21"/>
        <v>684.83866980382879</v>
      </c>
      <c r="AD80" s="40">
        <f t="shared" si="22"/>
        <v>484.83866980382879</v>
      </c>
    </row>
    <row r="81" spans="1:30" ht="14.4" customHeight="1" x14ac:dyDescent="0.25">
      <c r="A81" s="172">
        <v>42913</v>
      </c>
      <c r="B81" s="159" t="s">
        <v>201</v>
      </c>
      <c r="C81" s="46" t="s">
        <v>63</v>
      </c>
      <c r="D81" s="46">
        <v>500</v>
      </c>
      <c r="E81" s="46">
        <v>11.85</v>
      </c>
      <c r="F81" s="102">
        <f t="shared" si="24"/>
        <v>700</v>
      </c>
      <c r="G81" s="32">
        <f t="shared" si="23"/>
        <v>0.16789785714304473</v>
      </c>
      <c r="H81" s="31">
        <f t="shared" si="25"/>
        <v>117.52850000013132</v>
      </c>
      <c r="I81" s="31">
        <f t="shared" si="26"/>
        <v>8177.4714999998687</v>
      </c>
      <c r="J81" s="108">
        <f t="shared" si="27"/>
        <v>69.57862560987958</v>
      </c>
      <c r="K81" s="31">
        <f t="shared" si="28"/>
        <v>8295</v>
      </c>
      <c r="L81" s="31">
        <f t="shared" si="29"/>
        <v>-31</v>
      </c>
      <c r="M81" s="31">
        <f t="shared" si="30"/>
        <v>5</v>
      </c>
      <c r="N81" s="31">
        <f t="shared" si="31"/>
        <v>0</v>
      </c>
      <c r="O81" s="125"/>
      <c r="P81" s="32">
        <f t="shared" si="32"/>
        <v>11.682102142856955</v>
      </c>
      <c r="Q81" s="31">
        <f t="shared" si="33"/>
        <v>-5930</v>
      </c>
      <c r="R81" s="34"/>
      <c r="S81" s="34">
        <f t="shared" si="34"/>
        <v>18600.916000000001</v>
      </c>
      <c r="T81" s="34">
        <f t="shared" si="35"/>
        <v>1569.6975527426162</v>
      </c>
      <c r="U81" s="34">
        <f t="shared" si="20"/>
        <v>2269.6975527426162</v>
      </c>
      <c r="V81" s="31">
        <f>H81+S81-SUM(AB$15:AB81)</f>
        <v>18718.444500000132</v>
      </c>
      <c r="W81" s="32">
        <f t="shared" si="36"/>
        <v>8.2471096104331068</v>
      </c>
      <c r="X81" s="32">
        <f t="shared" si="37"/>
        <v>8.0792117532900622</v>
      </c>
      <c r="Y81" s="32">
        <f t="shared" si="38"/>
        <v>3.6028903895668929</v>
      </c>
      <c r="Z81" s="38">
        <f t="shared" si="39"/>
        <v>0.30841113572781831</v>
      </c>
      <c r="AA81" s="31">
        <f>SUM(L$2:L81)-SUM(AB$2:AB81)</f>
        <v>4895.9180000000015</v>
      </c>
      <c r="AB81" s="46"/>
      <c r="AC81" s="40">
        <f t="shared" si="21"/>
        <v>689.73694213079068</v>
      </c>
      <c r="AD81" s="40">
        <f t="shared" si="22"/>
        <v>-10.26305786920932</v>
      </c>
    </row>
    <row r="82" spans="1:30" ht="14.4" customHeight="1" x14ac:dyDescent="0.25">
      <c r="A82" s="172">
        <v>42914</v>
      </c>
      <c r="B82" s="159" t="s">
        <v>202</v>
      </c>
      <c r="C82" s="46" t="s">
        <v>63</v>
      </c>
      <c r="D82" s="46">
        <v>500</v>
      </c>
      <c r="E82" s="46">
        <v>11.7</v>
      </c>
      <c r="F82" s="102">
        <f t="shared" si="24"/>
        <v>1200</v>
      </c>
      <c r="G82" s="32">
        <f t="shared" si="23"/>
        <v>4.9771070833334425</v>
      </c>
      <c r="H82" s="31">
        <f t="shared" si="25"/>
        <v>5972.5285000001313</v>
      </c>
      <c r="I82" s="31">
        <f t="shared" si="26"/>
        <v>8067.4714999998687</v>
      </c>
      <c r="J82" s="108">
        <f t="shared" si="27"/>
        <v>1.3507631650480514</v>
      </c>
      <c r="K82" s="31">
        <f t="shared" si="28"/>
        <v>14040</v>
      </c>
      <c r="L82" s="31">
        <f t="shared" si="29"/>
        <v>-110</v>
      </c>
      <c r="M82" s="31">
        <f t="shared" si="30"/>
        <v>5</v>
      </c>
      <c r="N82" s="31">
        <f t="shared" si="31"/>
        <v>0</v>
      </c>
      <c r="O82" s="125"/>
      <c r="P82" s="32">
        <f t="shared" si="32"/>
        <v>6.7228929166665568</v>
      </c>
      <c r="Q82" s="31">
        <f t="shared" si="33"/>
        <v>-5855</v>
      </c>
      <c r="R82" s="34"/>
      <c r="S82" s="34">
        <f t="shared" si="34"/>
        <v>12745.916000000001</v>
      </c>
      <c r="T82" s="34">
        <f t="shared" si="35"/>
        <v>1089.39452991453</v>
      </c>
      <c r="U82" s="34">
        <f t="shared" si="20"/>
        <v>2289.3945299145298</v>
      </c>
      <c r="V82" s="31">
        <f>H82+S82-SUM(AB$15:AB82)</f>
        <v>18718.444500000132</v>
      </c>
      <c r="W82" s="32">
        <f t="shared" si="36"/>
        <v>8.1761549857022455</v>
      </c>
      <c r="X82" s="32">
        <f t="shared" si="37"/>
        <v>3.199047902368803</v>
      </c>
      <c r="Y82" s="32">
        <f t="shared" si="38"/>
        <v>3.5238450142977538</v>
      </c>
      <c r="Z82" s="38">
        <f t="shared" si="39"/>
        <v>0.52415605275548538</v>
      </c>
      <c r="AA82" s="31">
        <f>SUM(L$2:L82)-SUM(AB$2:AB82)</f>
        <v>4785.9180000000015</v>
      </c>
      <c r="AB82" s="46"/>
      <c r="AC82" s="40">
        <f t="shared" si="21"/>
        <v>689.18271489315123</v>
      </c>
      <c r="AD82" s="40">
        <f t="shared" si="22"/>
        <v>-510.81728510684877</v>
      </c>
    </row>
    <row r="83" spans="1:30" ht="14.4" customHeight="1" x14ac:dyDescent="0.25">
      <c r="A83" s="172">
        <v>42919</v>
      </c>
      <c r="B83" s="159"/>
      <c r="C83" s="46" t="s">
        <v>69</v>
      </c>
      <c r="D83" s="46">
        <v>400</v>
      </c>
      <c r="E83" s="46">
        <v>11.85</v>
      </c>
      <c r="F83" s="102">
        <f t="shared" si="24"/>
        <v>800</v>
      </c>
      <c r="G83" s="32">
        <f t="shared" si="23"/>
        <v>1.5528356250001643</v>
      </c>
      <c r="H83" s="31">
        <f t="shared" si="25"/>
        <v>1242.2685000001313</v>
      </c>
      <c r="I83" s="31">
        <f t="shared" si="26"/>
        <v>8237.7314999998689</v>
      </c>
      <c r="J83" s="108">
        <f t="shared" si="27"/>
        <v>6.6312005013400865</v>
      </c>
      <c r="K83" s="31">
        <f t="shared" si="28"/>
        <v>9480</v>
      </c>
      <c r="L83" s="31">
        <f t="shared" si="29"/>
        <v>170.26000000000022</v>
      </c>
      <c r="M83" s="31">
        <f t="shared" si="30"/>
        <v>5</v>
      </c>
      <c r="N83" s="31">
        <f t="shared" si="31"/>
        <v>4.74</v>
      </c>
      <c r="O83" s="125"/>
      <c r="P83" s="32">
        <f t="shared" si="32"/>
        <v>10.297164374999836</v>
      </c>
      <c r="Q83" s="31">
        <f t="shared" si="33"/>
        <v>4730.26</v>
      </c>
      <c r="R83" s="34"/>
      <c r="S83" s="34">
        <f t="shared" si="34"/>
        <v>17476.175999999999</v>
      </c>
      <c r="T83" s="34">
        <f t="shared" si="35"/>
        <v>1474.7827848101265</v>
      </c>
      <c r="U83" s="34">
        <f t="shared" si="20"/>
        <v>2274.7827848101265</v>
      </c>
      <c r="V83" s="31">
        <f>H83+S83-SUM(AB$15:AB83)</f>
        <v>18718.444500000132</v>
      </c>
      <c r="W83" s="32">
        <f t="shared" si="36"/>
        <v>8.2286733594928894</v>
      </c>
      <c r="X83" s="32">
        <f t="shared" si="37"/>
        <v>6.6758377344927249</v>
      </c>
      <c r="Y83" s="32">
        <f t="shared" si="38"/>
        <v>3.6213266405071112</v>
      </c>
      <c r="Z83" s="38">
        <f t="shared" si="39"/>
        <v>0.35168192995920489</v>
      </c>
      <c r="AA83" s="31">
        <f>SUM(L$2:L83)-SUM(AB$2:AB83)</f>
        <v>4956.1780000000017</v>
      </c>
      <c r="AB83" s="46"/>
      <c r="AC83" s="40">
        <f t="shared" si="21"/>
        <v>694.81963158226756</v>
      </c>
      <c r="AD83" s="40">
        <f t="shared" si="22"/>
        <v>-105.18036841773244</v>
      </c>
    </row>
    <row r="84" spans="1:30" ht="14.4" customHeight="1" x14ac:dyDescent="0.25">
      <c r="A84" s="172">
        <v>42920</v>
      </c>
      <c r="B84" s="159" t="s">
        <v>203</v>
      </c>
      <c r="C84" s="46" t="s">
        <v>63</v>
      </c>
      <c r="D84" s="46">
        <v>500</v>
      </c>
      <c r="E84" s="46">
        <v>11.67</v>
      </c>
      <c r="F84" s="102">
        <f t="shared" si="24"/>
        <v>1300</v>
      </c>
      <c r="G84" s="32">
        <f t="shared" si="23"/>
        <v>5.4478988461539473</v>
      </c>
      <c r="H84" s="31">
        <f t="shared" si="25"/>
        <v>7082.2685000001311</v>
      </c>
      <c r="I84" s="31">
        <f t="shared" si="26"/>
        <v>8088.7314999998689</v>
      </c>
      <c r="J84" s="108">
        <f t="shared" si="27"/>
        <v>1.1421102574690183</v>
      </c>
      <c r="K84" s="31">
        <f t="shared" si="28"/>
        <v>15171</v>
      </c>
      <c r="L84" s="31">
        <f t="shared" si="29"/>
        <v>-149</v>
      </c>
      <c r="M84" s="31">
        <f t="shared" si="30"/>
        <v>5</v>
      </c>
      <c r="N84" s="31">
        <f t="shared" si="31"/>
        <v>0</v>
      </c>
      <c r="O84" s="125"/>
      <c r="P84" s="32">
        <f t="shared" si="32"/>
        <v>6.2221011538460527</v>
      </c>
      <c r="Q84" s="31">
        <f t="shared" si="33"/>
        <v>-5840</v>
      </c>
      <c r="R84" s="34"/>
      <c r="S84" s="34">
        <f t="shared" si="34"/>
        <v>11636.175999999999</v>
      </c>
      <c r="T84" s="34">
        <f t="shared" si="35"/>
        <v>997.10162810625536</v>
      </c>
      <c r="U84" s="34">
        <f t="shared" si="20"/>
        <v>2297.1016281062552</v>
      </c>
      <c r="V84" s="31">
        <f>H84+S84-SUM(AB$15:AB84)</f>
        <v>18718.444500000129</v>
      </c>
      <c r="W84" s="32">
        <f t="shared" si="36"/>
        <v>8.1487228388026214</v>
      </c>
      <c r="X84" s="32">
        <f t="shared" si="37"/>
        <v>2.7008239926486741</v>
      </c>
      <c r="Y84" s="32">
        <f t="shared" si="38"/>
        <v>3.5212771611973785</v>
      </c>
      <c r="Z84" s="38">
        <f t="shared" si="39"/>
        <v>0.56593055531101077</v>
      </c>
      <c r="AA84" s="31">
        <f>SUM(L$2:L84)-SUM(AB$2:AB84)</f>
        <v>4807.1780000000017</v>
      </c>
      <c r="AC84" s="40">
        <f t="shared" si="21"/>
        <v>692.7752471508029</v>
      </c>
      <c r="AD84" s="40">
        <f t="shared" si="22"/>
        <v>-607.2247528491971</v>
      </c>
    </row>
    <row r="85" spans="1:30" ht="14.4" customHeight="1" x14ac:dyDescent="0.25">
      <c r="A85" s="172">
        <v>42920</v>
      </c>
      <c r="B85" s="159" t="s">
        <v>204</v>
      </c>
      <c r="C85" s="46" t="s">
        <v>63</v>
      </c>
      <c r="D85" s="46">
        <v>500</v>
      </c>
      <c r="E85" s="46">
        <v>11.54</v>
      </c>
      <c r="F85" s="102">
        <f t="shared" si="24"/>
        <v>1800</v>
      </c>
      <c r="G85" s="32">
        <f t="shared" si="23"/>
        <v>7.1429269444445174</v>
      </c>
      <c r="H85" s="31">
        <f t="shared" si="25"/>
        <v>12857.268500000131</v>
      </c>
      <c r="I85" s="31">
        <f t="shared" si="26"/>
        <v>7914.7314999998689</v>
      </c>
      <c r="J85" s="108">
        <f t="shared" si="27"/>
        <v>0.61558421215204351</v>
      </c>
      <c r="K85" s="31">
        <f t="shared" si="28"/>
        <v>20772</v>
      </c>
      <c r="L85" s="31">
        <f t="shared" si="29"/>
        <v>-174</v>
      </c>
      <c r="M85" s="31">
        <f t="shared" si="30"/>
        <v>5</v>
      </c>
      <c r="N85" s="31">
        <f t="shared" si="31"/>
        <v>0</v>
      </c>
      <c r="O85" s="125"/>
      <c r="P85" s="32">
        <f t="shared" si="32"/>
        <v>4.3970730555554818</v>
      </c>
      <c r="Q85" s="31">
        <f t="shared" si="33"/>
        <v>-5775</v>
      </c>
      <c r="R85" s="34"/>
      <c r="S85" s="34">
        <f t="shared" si="34"/>
        <v>5861.1759999999995</v>
      </c>
      <c r="T85" s="34">
        <f t="shared" si="35"/>
        <v>507.90086655112651</v>
      </c>
      <c r="U85" s="34">
        <f t="shared" si="20"/>
        <v>2307.9008665511265</v>
      </c>
      <c r="V85" s="31">
        <f>H85+S85-SUM(AB$15:AB85)</f>
        <v>18718.444500000129</v>
      </c>
      <c r="W85" s="32">
        <f t="shared" si="36"/>
        <v>8.1105929510622943</v>
      </c>
      <c r="X85" s="32">
        <f t="shared" si="37"/>
        <v>0.96766600661777691</v>
      </c>
      <c r="Y85" s="32">
        <f t="shared" si="38"/>
        <v>3.4294070489377049</v>
      </c>
      <c r="Z85" s="38">
        <f t="shared" si="39"/>
        <v>0.7799295134759745</v>
      </c>
      <c r="AA85" s="31">
        <f>SUM(L$2:L85)-SUM(AB$2:AB85)</f>
        <v>4633.1780000000017</v>
      </c>
      <c r="AC85" s="40">
        <f t="shared" si="21"/>
        <v>685.5090237651533</v>
      </c>
      <c r="AD85" s="40">
        <f t="shared" si="22"/>
        <v>-1114.4909762348466</v>
      </c>
    </row>
    <row r="86" spans="1:30" ht="14.4" customHeight="1" x14ac:dyDescent="0.25">
      <c r="A86" s="172">
        <v>42922</v>
      </c>
      <c r="B86" s="159" t="s">
        <v>200</v>
      </c>
      <c r="C86" s="46" t="s">
        <v>63</v>
      </c>
      <c r="D86" s="46">
        <v>500</v>
      </c>
      <c r="E86" s="46">
        <v>11.37</v>
      </c>
      <c r="F86" s="102">
        <f t="shared" si="24"/>
        <v>2300</v>
      </c>
      <c r="G86" s="32">
        <f t="shared" si="23"/>
        <v>8.0640297826087526</v>
      </c>
      <c r="H86" s="31">
        <f t="shared" si="25"/>
        <v>18547.268500000129</v>
      </c>
      <c r="I86" s="31">
        <f t="shared" si="26"/>
        <v>7603.7314999998707</v>
      </c>
      <c r="J86" s="108">
        <f t="shared" si="27"/>
        <v>0.40996503069979351</v>
      </c>
      <c r="K86" s="31">
        <f t="shared" si="28"/>
        <v>26151</v>
      </c>
      <c r="L86" s="31">
        <f t="shared" si="29"/>
        <v>-310.99999999999818</v>
      </c>
      <c r="M86" s="31">
        <f t="shared" si="30"/>
        <v>5</v>
      </c>
      <c r="N86" s="31">
        <f t="shared" si="31"/>
        <v>0</v>
      </c>
      <c r="O86" s="125"/>
      <c r="P86" s="32">
        <f t="shared" si="32"/>
        <v>3.3059702173912466</v>
      </c>
      <c r="Q86" s="31">
        <f t="shared" si="33"/>
        <v>-5689.9999999999982</v>
      </c>
      <c r="R86" s="34"/>
      <c r="S86" s="34">
        <f t="shared" si="34"/>
        <v>171.1760000000013</v>
      </c>
      <c r="T86" s="34">
        <f t="shared" si="35"/>
        <v>15.055057167986043</v>
      </c>
      <c r="U86" s="34">
        <f t="shared" si="20"/>
        <v>2315.055057167986</v>
      </c>
      <c r="V86" s="31">
        <f>H86+S86-SUM(AB$15:AB86)</f>
        <v>18718.444500000129</v>
      </c>
      <c r="W86" s="32">
        <f t="shared" si="36"/>
        <v>8.0855288698396919</v>
      </c>
      <c r="X86" s="32">
        <f t="shared" si="37"/>
        <v>2.1499087230939296E-2</v>
      </c>
      <c r="Y86" s="32">
        <f t="shared" si="38"/>
        <v>3.2844711301603073</v>
      </c>
      <c r="Z86" s="38">
        <f t="shared" si="39"/>
        <v>0.99349689022670462</v>
      </c>
      <c r="AA86" s="31">
        <f>SUM(L$2:L86)-SUM(AB$2:AB86)</f>
        <v>4322.1780000000035</v>
      </c>
      <c r="AC86" s="40">
        <f t="shared" si="21"/>
        <v>668.41949289796594</v>
      </c>
      <c r="AD86" s="40">
        <f t="shared" si="22"/>
        <v>-1631.5805071020341</v>
      </c>
    </row>
    <row r="87" spans="1:30" x14ac:dyDescent="0.25">
      <c r="A87" s="172">
        <v>42923</v>
      </c>
      <c r="B87" s="160"/>
      <c r="C87" s="163" t="s">
        <v>69</v>
      </c>
      <c r="D87" s="163">
        <v>400</v>
      </c>
      <c r="E87" s="163">
        <v>11.51</v>
      </c>
      <c r="F87" s="102">
        <f t="shared" si="24"/>
        <v>1900</v>
      </c>
      <c r="G87" s="32">
        <f t="shared" si="23"/>
        <v>7.3436171052632258</v>
      </c>
      <c r="H87" s="31">
        <f t="shared" si="25"/>
        <v>13952.872500000129</v>
      </c>
      <c r="I87" s="31">
        <f t="shared" si="26"/>
        <v>7916.1274999998714</v>
      </c>
      <c r="J87" s="108">
        <f t="shared" si="27"/>
        <v>0.56734751213413559</v>
      </c>
      <c r="K87" s="31">
        <f t="shared" si="28"/>
        <v>21869</v>
      </c>
      <c r="L87" s="31">
        <f t="shared" si="29"/>
        <v>312.39600000000064</v>
      </c>
      <c r="M87" s="31">
        <f t="shared" si="30"/>
        <v>5</v>
      </c>
      <c r="N87" s="31">
        <f t="shared" si="31"/>
        <v>4.6040000000000001</v>
      </c>
      <c r="O87" s="125"/>
      <c r="P87" s="32">
        <f t="shared" si="32"/>
        <v>4.166382894736774</v>
      </c>
      <c r="Q87" s="31">
        <f t="shared" si="33"/>
        <v>4594.3960000000006</v>
      </c>
      <c r="R87" s="34"/>
      <c r="S87" s="34">
        <f t="shared" si="34"/>
        <v>4765.5720000000019</v>
      </c>
      <c r="T87" s="34">
        <f t="shared" si="35"/>
        <v>414.03753258036505</v>
      </c>
      <c r="U87" s="34">
        <f t="shared" si="20"/>
        <v>2314.0375325803652</v>
      </c>
      <c r="V87" s="31">
        <f>H87+S87-SUM(AB$15:AB87)</f>
        <v>18718.444500000129</v>
      </c>
      <c r="W87" s="32">
        <f t="shared" si="36"/>
        <v>8.0890842246311099</v>
      </c>
      <c r="X87" s="32">
        <f t="shared" si="37"/>
        <v>0.74546711936788412</v>
      </c>
      <c r="Y87" s="32">
        <f t="shared" si="38"/>
        <v>3.4209157753688899</v>
      </c>
      <c r="Z87" s="38">
        <f t="shared" si="39"/>
        <v>0.82107570566555366</v>
      </c>
      <c r="AA87" s="31">
        <f>SUM(L$2:L87)-SUM(AB$2:AB87)</f>
        <v>4634.5740000000042</v>
      </c>
      <c r="AC87" s="40">
        <f t="shared" si="21"/>
        <v>687.41697969156144</v>
      </c>
      <c r="AD87" s="40">
        <f t="shared" si="22"/>
        <v>-1212.5830203084386</v>
      </c>
    </row>
    <row r="88" spans="1:30" ht="14.4" customHeight="1" x14ac:dyDescent="0.25">
      <c r="A88" s="172">
        <v>42923</v>
      </c>
      <c r="B88" s="159"/>
      <c r="C88" s="46" t="s">
        <v>69</v>
      </c>
      <c r="D88" s="46">
        <v>400</v>
      </c>
      <c r="E88" s="46">
        <v>11.62</v>
      </c>
      <c r="F88" s="102">
        <f t="shared" si="24"/>
        <v>1500</v>
      </c>
      <c r="G88" s="32">
        <f t="shared" si="23"/>
        <v>6.2096803333334183</v>
      </c>
      <c r="H88" s="31">
        <f t="shared" si="25"/>
        <v>9314.5205000001279</v>
      </c>
      <c r="I88" s="31">
        <f t="shared" si="26"/>
        <v>8115.4794999998721</v>
      </c>
      <c r="J88" s="108">
        <f t="shared" si="27"/>
        <v>0.87127184915205891</v>
      </c>
      <c r="K88" s="31">
        <f t="shared" si="28"/>
        <v>17430</v>
      </c>
      <c r="L88" s="31">
        <f t="shared" si="29"/>
        <v>199.35200000000077</v>
      </c>
      <c r="M88" s="31">
        <f t="shared" si="30"/>
        <v>5</v>
      </c>
      <c r="N88" s="31">
        <f t="shared" si="31"/>
        <v>4.6479999999999997</v>
      </c>
      <c r="O88" s="125"/>
      <c r="P88" s="32">
        <f t="shared" si="32"/>
        <v>5.4103196666665809</v>
      </c>
      <c r="Q88" s="31">
        <f t="shared" si="33"/>
        <v>4638.3520000000008</v>
      </c>
      <c r="R88" s="34"/>
      <c r="S88" s="34">
        <f t="shared" si="34"/>
        <v>9403.9240000000027</v>
      </c>
      <c r="T88" s="34">
        <f t="shared" si="35"/>
        <v>809.28777969018961</v>
      </c>
      <c r="U88" s="34">
        <f t="shared" si="20"/>
        <v>2309.2877796901894</v>
      </c>
      <c r="V88" s="31">
        <f>H88+S88-SUM(AB$15:AB88)</f>
        <v>18718.444500000129</v>
      </c>
      <c r="W88" s="32">
        <f t="shared" si="36"/>
        <v>8.1057218873393797</v>
      </c>
      <c r="X88" s="32">
        <f t="shared" si="37"/>
        <v>1.8960415540059614</v>
      </c>
      <c r="Y88" s="32">
        <f t="shared" si="38"/>
        <v>3.5142781126606195</v>
      </c>
      <c r="Z88" s="38">
        <f t="shared" si="39"/>
        <v>0.64955091920212638</v>
      </c>
      <c r="AA88" s="31">
        <f>SUM(L$2:L88)-SUM(AB$2:AB88)</f>
        <v>4833.9260000000049</v>
      </c>
      <c r="AC88" s="40">
        <f t="shared" si="21"/>
        <v>698.05695010756222</v>
      </c>
      <c r="AD88" s="40">
        <f t="shared" si="22"/>
        <v>-801.94304989243778</v>
      </c>
    </row>
    <row r="89" spans="1:30" ht="14.4" customHeight="1" x14ac:dyDescent="0.25">
      <c r="A89" s="172">
        <v>42926</v>
      </c>
      <c r="B89" s="159"/>
      <c r="C89" s="46" t="s">
        <v>69</v>
      </c>
      <c r="D89" s="46">
        <v>400</v>
      </c>
      <c r="E89" s="46">
        <v>11.77</v>
      </c>
      <c r="F89" s="102">
        <f t="shared" si="24"/>
        <v>1100</v>
      </c>
      <c r="G89" s="32">
        <f t="shared" si="23"/>
        <v>4.1965713636364796</v>
      </c>
      <c r="H89" s="31">
        <f t="shared" si="25"/>
        <v>4616.2285000001275</v>
      </c>
      <c r="I89" s="31">
        <f t="shared" si="26"/>
        <v>8330.7714999998716</v>
      </c>
      <c r="J89" s="108">
        <f t="shared" si="27"/>
        <v>1.8046705227004343</v>
      </c>
      <c r="K89" s="31">
        <f t="shared" si="28"/>
        <v>12947</v>
      </c>
      <c r="L89" s="31">
        <f t="shared" si="29"/>
        <v>215.29199999999946</v>
      </c>
      <c r="M89" s="31">
        <f t="shared" si="30"/>
        <v>5</v>
      </c>
      <c r="N89" s="31">
        <f t="shared" si="31"/>
        <v>4.7080000000000002</v>
      </c>
      <c r="O89" s="125"/>
      <c r="P89" s="32">
        <f t="shared" si="32"/>
        <v>7.5734286363635199</v>
      </c>
      <c r="Q89" s="31">
        <f t="shared" si="33"/>
        <v>4698.2920000000004</v>
      </c>
      <c r="R89" s="34"/>
      <c r="S89" s="34">
        <f t="shared" si="34"/>
        <v>14102.216000000004</v>
      </c>
      <c r="T89" s="34">
        <f t="shared" si="35"/>
        <v>1198.149192863212</v>
      </c>
      <c r="U89" s="34">
        <f t="shared" si="20"/>
        <v>2298.1491928632122</v>
      </c>
      <c r="V89" s="31">
        <f>H89+S89-SUM(AB$15:AB89)</f>
        <v>18718.444500000132</v>
      </c>
      <c r="W89" s="32">
        <f t="shared" si="36"/>
        <v>8.1450084085616936</v>
      </c>
      <c r="X89" s="32">
        <f t="shared" si="37"/>
        <v>3.948437044925214</v>
      </c>
      <c r="Y89" s="32">
        <f t="shared" si="38"/>
        <v>3.624991591438306</v>
      </c>
      <c r="Z89" s="38">
        <f t="shared" si="39"/>
        <v>0.4786460354340768</v>
      </c>
      <c r="AA89" s="31">
        <f>SUM(L$2:L89)-SUM(AB$2:AB89)</f>
        <v>5049.2180000000044</v>
      </c>
      <c r="AC89" s="40">
        <f t="shared" si="21"/>
        <v>707.44317028461103</v>
      </c>
      <c r="AD89" s="40">
        <f t="shared" si="22"/>
        <v>-392.55682971538897</v>
      </c>
    </row>
    <row r="90" spans="1:30" ht="14.4" customHeight="1" x14ac:dyDescent="0.25">
      <c r="A90" s="172">
        <v>42930</v>
      </c>
      <c r="B90" s="159"/>
      <c r="C90" s="46" t="s">
        <v>69</v>
      </c>
      <c r="D90" s="46">
        <v>400</v>
      </c>
      <c r="E90" s="46">
        <v>11.88</v>
      </c>
      <c r="F90" s="102">
        <f t="shared" si="24"/>
        <v>700</v>
      </c>
      <c r="G90" s="32">
        <f t="shared" si="23"/>
        <v>-0.18002785714267502</v>
      </c>
      <c r="H90" s="31">
        <f t="shared" si="25"/>
        <v>-126.01949999987251</v>
      </c>
      <c r="I90" s="31">
        <f t="shared" si="26"/>
        <v>8442.019499999873</v>
      </c>
      <c r="J90" s="108">
        <f t="shared" si="27"/>
        <v>-66.989787294890192</v>
      </c>
      <c r="K90" s="31">
        <f t="shared" si="28"/>
        <v>8316</v>
      </c>
      <c r="L90" s="31">
        <f t="shared" si="29"/>
        <v>111.24800000000141</v>
      </c>
      <c r="M90" s="31">
        <f t="shared" si="30"/>
        <v>5</v>
      </c>
      <c r="N90" s="31">
        <f t="shared" si="31"/>
        <v>4.7519999999999998</v>
      </c>
      <c r="O90" s="125"/>
      <c r="P90" s="32">
        <f t="shared" si="32"/>
        <v>12.060027857142677</v>
      </c>
      <c r="Q90" s="31">
        <f t="shared" si="33"/>
        <v>4742.2479999999996</v>
      </c>
      <c r="R90" s="34"/>
      <c r="S90" s="34">
        <f t="shared" si="34"/>
        <v>18844.464000000004</v>
      </c>
      <c r="T90" s="34">
        <f t="shared" si="35"/>
        <v>1586.2343434343436</v>
      </c>
      <c r="U90" s="34">
        <f t="shared" si="20"/>
        <v>2286.2343434343438</v>
      </c>
      <c r="V90" s="31">
        <f>H90+S90-SUM(AB$15:AB90)</f>
        <v>18718.444500000132</v>
      </c>
      <c r="W90" s="32">
        <f t="shared" si="36"/>
        <v>8.1874566156160498</v>
      </c>
      <c r="X90" s="32">
        <f t="shared" si="37"/>
        <v>8.3674844727587256</v>
      </c>
      <c r="Y90" s="32">
        <f t="shared" si="38"/>
        <v>3.692543384383951</v>
      </c>
      <c r="Z90" s="38">
        <f t="shared" si="39"/>
        <v>0.30618033624167829</v>
      </c>
      <c r="AA90" s="31">
        <f>SUM(L$2:L90)-SUM(AB$2:AB90)</f>
        <v>5160.4660000000058</v>
      </c>
      <c r="AC90" s="40">
        <f t="shared" si="21"/>
        <v>710.25239816918122</v>
      </c>
      <c r="AD90" s="40">
        <f t="shared" si="22"/>
        <v>10.25239816918122</v>
      </c>
    </row>
    <row r="91" spans="1:30" ht="14.4" customHeight="1" x14ac:dyDescent="0.25">
      <c r="A91" s="172">
        <v>42933</v>
      </c>
      <c r="B91" s="160"/>
      <c r="C91" s="163" t="s">
        <v>69</v>
      </c>
      <c r="D91" s="163">
        <v>400</v>
      </c>
      <c r="E91" s="163">
        <v>12.07</v>
      </c>
      <c r="F91" s="102">
        <f t="shared" si="24"/>
        <v>300</v>
      </c>
      <c r="G91" s="32">
        <f t="shared" si="23"/>
        <v>-16.480638333332905</v>
      </c>
      <c r="H91" s="31">
        <f t="shared" si="25"/>
        <v>-4944.1914999998717</v>
      </c>
      <c r="I91" s="31">
        <f t="shared" si="26"/>
        <v>8565.1914999998717</v>
      </c>
      <c r="J91" s="108">
        <f t="shared" si="27"/>
        <v>-1.732374544958482</v>
      </c>
      <c r="K91" s="31">
        <f t="shared" si="28"/>
        <v>3621</v>
      </c>
      <c r="L91" s="31">
        <f t="shared" si="29"/>
        <v>123.17199999999866</v>
      </c>
      <c r="M91" s="31">
        <f t="shared" si="30"/>
        <v>5</v>
      </c>
      <c r="N91" s="31">
        <f t="shared" si="31"/>
        <v>4.8280000000000003</v>
      </c>
      <c r="O91" s="125"/>
      <c r="P91" s="32">
        <f t="shared" si="32"/>
        <v>28.550638333332905</v>
      </c>
      <c r="Q91" s="31">
        <f t="shared" si="33"/>
        <v>4818.1719999999996</v>
      </c>
      <c r="R91" s="34"/>
      <c r="S91" s="34">
        <f t="shared" si="34"/>
        <v>23662.636000000002</v>
      </c>
      <c r="T91" s="34">
        <f t="shared" si="35"/>
        <v>1960.4503728251866</v>
      </c>
      <c r="U91" s="34">
        <f t="shared" si="20"/>
        <v>2260.4503728251866</v>
      </c>
      <c r="V91" s="31">
        <f>H91+S91-SUM(AB$15:AB91)</f>
        <v>18718.444500000129</v>
      </c>
      <c r="W91" s="32">
        <f t="shared" si="36"/>
        <v>8.2808473590177467</v>
      </c>
      <c r="X91" s="32">
        <f t="shared" si="37"/>
        <v>24.761485692350654</v>
      </c>
      <c r="Y91" s="32">
        <f t="shared" si="38"/>
        <v>3.7891526409822518</v>
      </c>
      <c r="Z91" s="38">
        <f t="shared" si="39"/>
        <v>0.13271691500355742</v>
      </c>
      <c r="AA91" s="31">
        <f>SUM(L$2:L91)-SUM(AB$2:AB91)</f>
        <v>5283.6380000000045</v>
      </c>
      <c r="AC91" s="40">
        <f t="shared" si="21"/>
        <v>709.27165735293056</v>
      </c>
      <c r="AD91" s="40">
        <f t="shared" si="22"/>
        <v>409.27165735293056</v>
      </c>
    </row>
    <row r="92" spans="1:30" ht="14.4" customHeight="1" x14ac:dyDescent="0.25">
      <c r="A92" s="172">
        <v>42933</v>
      </c>
      <c r="B92" s="159"/>
      <c r="C92" s="163" t="s">
        <v>69</v>
      </c>
      <c r="D92" s="163">
        <v>200</v>
      </c>
      <c r="E92" s="163">
        <v>12.18</v>
      </c>
      <c r="F92" s="102">
        <f t="shared" si="24"/>
        <v>100</v>
      </c>
      <c r="G92" s="32">
        <f t="shared" si="23"/>
        <v>-73.727554999998716</v>
      </c>
      <c r="H92" s="31">
        <f t="shared" si="25"/>
        <v>-7372.755499999872</v>
      </c>
      <c r="I92" s="31">
        <f t="shared" si="26"/>
        <v>8590.755499999872</v>
      </c>
      <c r="J92" s="108">
        <f t="shared" si="27"/>
        <v>-1.1652028200311297</v>
      </c>
      <c r="K92" s="31">
        <f t="shared" si="28"/>
        <v>1218</v>
      </c>
      <c r="L92" s="31">
        <f t="shared" si="29"/>
        <v>25.564000000000306</v>
      </c>
      <c r="M92" s="31">
        <f t="shared" si="30"/>
        <v>5</v>
      </c>
      <c r="N92" s="31">
        <f t="shared" si="31"/>
        <v>2.4359999999999999</v>
      </c>
      <c r="O92" s="125"/>
      <c r="P92" s="32">
        <f t="shared" si="32"/>
        <v>85.907554999998723</v>
      </c>
      <c r="Q92" s="31">
        <f t="shared" si="33"/>
        <v>2428.5640000000003</v>
      </c>
      <c r="R92" s="34"/>
      <c r="S92" s="34">
        <f t="shared" si="34"/>
        <v>26091.200000000004</v>
      </c>
      <c r="T92" s="34">
        <f t="shared" si="35"/>
        <v>2142.1346469622335</v>
      </c>
      <c r="U92" s="34">
        <f t="shared" si="20"/>
        <v>2242.1346469622335</v>
      </c>
      <c r="V92" s="31">
        <f>H92+S92-SUM(AB$15:AB92)</f>
        <v>18718.444500000132</v>
      </c>
      <c r="W92" s="32">
        <f t="shared" si="36"/>
        <v>8.3484925962679828</v>
      </c>
      <c r="X92" s="32">
        <f t="shared" si="37"/>
        <v>82.076047596266704</v>
      </c>
      <c r="Y92" s="32">
        <f t="shared" si="38"/>
        <v>3.8315074037320187</v>
      </c>
      <c r="Z92" s="38">
        <f t="shared" si="39"/>
        <v>4.4600354459303083E-2</v>
      </c>
      <c r="AA92" s="31">
        <f>SUM(L$2:L92)-SUM(AB$2:AB92)</f>
        <v>5309.2020000000048</v>
      </c>
      <c r="AB92" s="70"/>
      <c r="AC92" s="40">
        <f t="shared" si="21"/>
        <v>704.96388524218992</v>
      </c>
      <c r="AD92" s="40">
        <f t="shared" si="22"/>
        <v>604.96388524218992</v>
      </c>
    </row>
    <row r="93" spans="1:30" ht="14.4" customHeight="1" x14ac:dyDescent="0.25">
      <c r="A93" s="172">
        <v>42933</v>
      </c>
      <c r="B93" s="159" t="s">
        <v>205</v>
      </c>
      <c r="C93" s="46" t="s">
        <v>63</v>
      </c>
      <c r="D93" s="46">
        <v>500</v>
      </c>
      <c r="E93" s="46">
        <v>11.91</v>
      </c>
      <c r="F93" s="102">
        <f t="shared" si="24"/>
        <v>600</v>
      </c>
      <c r="G93" s="32">
        <f t="shared" si="23"/>
        <v>-2.3545924999997867</v>
      </c>
      <c r="H93" s="31">
        <f t="shared" si="25"/>
        <v>-1412.755499999872</v>
      </c>
      <c r="I93" s="31">
        <f t="shared" si="26"/>
        <v>8558.755499999872</v>
      </c>
      <c r="J93" s="108">
        <f t="shared" si="27"/>
        <v>-6.0582000919484278</v>
      </c>
      <c r="K93" s="31">
        <f t="shared" si="28"/>
        <v>7146</v>
      </c>
      <c r="L93" s="31">
        <f t="shared" si="29"/>
        <v>-32</v>
      </c>
      <c r="M93" s="31">
        <f t="shared" si="30"/>
        <v>5</v>
      </c>
      <c r="N93" s="31">
        <f t="shared" si="31"/>
        <v>0</v>
      </c>
      <c r="O93" s="125"/>
      <c r="P93" s="32">
        <f t="shared" si="32"/>
        <v>14.264592499999786</v>
      </c>
      <c r="Q93" s="31">
        <f t="shared" si="33"/>
        <v>-5960</v>
      </c>
      <c r="R93" s="34"/>
      <c r="S93" s="34">
        <f t="shared" si="34"/>
        <v>20131.200000000004</v>
      </c>
      <c r="T93" s="34">
        <f t="shared" si="35"/>
        <v>1690.2770780856426</v>
      </c>
      <c r="U93" s="34">
        <f t="shared" si="20"/>
        <v>2290.2770780856426</v>
      </c>
      <c r="V93" s="31">
        <f>H93+S93-SUM(AB$15:AB93)</f>
        <v>18718.444500000132</v>
      </c>
      <c r="W93" s="32">
        <f t="shared" si="36"/>
        <v>8.173004340438224</v>
      </c>
      <c r="X93" s="32">
        <f t="shared" si="37"/>
        <v>10.527596840438012</v>
      </c>
      <c r="Y93" s="32">
        <f t="shared" si="38"/>
        <v>3.7369956595617744</v>
      </c>
      <c r="Z93" s="38">
        <f t="shared" si="39"/>
        <v>0.26197703576613429</v>
      </c>
      <c r="AA93" s="31">
        <f>SUM(L$2:L93)-SUM(AB$2:AB93)</f>
        <v>5277.2020000000048</v>
      </c>
      <c r="AC93" s="40">
        <f t="shared" si="21"/>
        <v>718.25995988663919</v>
      </c>
      <c r="AD93" s="40">
        <f t="shared" si="22"/>
        <v>118.25995988663919</v>
      </c>
    </row>
    <row r="94" spans="1:30" x14ac:dyDescent="0.25">
      <c r="A94" s="172">
        <v>42934</v>
      </c>
      <c r="B94" s="268" t="s">
        <v>627</v>
      </c>
      <c r="C94" s="163" t="s">
        <v>69</v>
      </c>
      <c r="D94" s="163">
        <v>400</v>
      </c>
      <c r="E94" s="163">
        <v>12.04</v>
      </c>
      <c r="F94" s="102">
        <f t="shared" si="24"/>
        <v>200</v>
      </c>
      <c r="G94" s="32">
        <f t="shared" si="23"/>
        <v>-31.094697499999359</v>
      </c>
      <c r="H94" s="31">
        <f t="shared" si="25"/>
        <v>-6218.9394999998722</v>
      </c>
      <c r="I94" s="31">
        <f t="shared" si="26"/>
        <v>8626.9394999998731</v>
      </c>
      <c r="J94" s="108">
        <f t="shared" si="27"/>
        <v>-1.3872042813730621</v>
      </c>
      <c r="K94" s="31">
        <f t="shared" si="28"/>
        <v>2408</v>
      </c>
      <c r="L94" s="31">
        <f t="shared" si="29"/>
        <v>68.184000000001106</v>
      </c>
      <c r="M94" s="31">
        <f t="shared" si="30"/>
        <v>5</v>
      </c>
      <c r="N94" s="31">
        <f t="shared" si="31"/>
        <v>4.8159999999999998</v>
      </c>
      <c r="O94" s="125"/>
      <c r="P94" s="32">
        <f t="shared" si="32"/>
        <v>43.134697499999362</v>
      </c>
      <c r="Q94" s="31">
        <f t="shared" si="33"/>
        <v>4806.1840000000002</v>
      </c>
      <c r="R94" s="34">
        <v>126000</v>
      </c>
      <c r="S94" s="34">
        <f t="shared" si="34"/>
        <v>150937.38400000002</v>
      </c>
      <c r="T94" s="34">
        <f t="shared" si="35"/>
        <v>12536.327574750832</v>
      </c>
      <c r="U94" s="34">
        <f t="shared" si="20"/>
        <v>12736.327574750832</v>
      </c>
      <c r="V94" s="31">
        <f>H94+S94-SUM(AB$15:AB94)</f>
        <v>144718.44450000016</v>
      </c>
      <c r="W94" s="32">
        <f t="shared" si="36"/>
        <v>11.362650940833026</v>
      </c>
      <c r="X94" s="32">
        <f t="shared" si="37"/>
        <v>42.457348440832384</v>
      </c>
      <c r="Y94" s="32">
        <f t="shared" si="38"/>
        <v>0.67734905916697841</v>
      </c>
      <c r="Z94" s="38">
        <f t="shared" si="39"/>
        <v>1.5703113697899115E-2</v>
      </c>
      <c r="AA94" s="31">
        <f>SUM(L$2:L94)-SUM(AB$2:AB94)</f>
        <v>5345.3860000000059</v>
      </c>
      <c r="AC94" s="40">
        <f t="shared" si="21"/>
        <v>716.16495267856101</v>
      </c>
      <c r="AD94" s="40">
        <f t="shared" si="22"/>
        <v>516.16495267856101</v>
      </c>
    </row>
    <row r="95" spans="1:30" ht="14.4" customHeight="1" x14ac:dyDescent="0.25">
      <c r="A95" s="172">
        <v>42941</v>
      </c>
      <c r="B95" s="159" t="s">
        <v>206</v>
      </c>
      <c r="C95" s="46" t="s">
        <v>63</v>
      </c>
      <c r="D95" s="46">
        <v>400</v>
      </c>
      <c r="E95" s="46">
        <v>12.02</v>
      </c>
      <c r="F95" s="102">
        <f t="shared" si="24"/>
        <v>600</v>
      </c>
      <c r="G95" s="32">
        <f t="shared" si="23"/>
        <v>-2.3432324999997869</v>
      </c>
      <c r="H95" s="31">
        <f t="shared" si="25"/>
        <v>-1405.9394999998722</v>
      </c>
      <c r="I95" s="31">
        <f t="shared" si="26"/>
        <v>8617.9394999998731</v>
      </c>
      <c r="J95" s="108">
        <f t="shared" si="27"/>
        <v>-6.1296659635785575</v>
      </c>
      <c r="K95" s="31">
        <f t="shared" si="28"/>
        <v>7212</v>
      </c>
      <c r="L95" s="31">
        <f t="shared" si="29"/>
        <v>-9</v>
      </c>
      <c r="M95" s="31">
        <f t="shared" si="30"/>
        <v>5</v>
      </c>
      <c r="N95" s="31">
        <f t="shared" si="31"/>
        <v>0</v>
      </c>
      <c r="O95" s="125"/>
      <c r="P95" s="32">
        <f t="shared" si="32"/>
        <v>14.363232499999786</v>
      </c>
      <c r="Q95" s="31">
        <f t="shared" si="33"/>
        <v>-4813</v>
      </c>
      <c r="R95" s="34"/>
      <c r="S95" s="34">
        <f t="shared" si="34"/>
        <v>146124.38400000002</v>
      </c>
      <c r="T95" s="34">
        <f t="shared" si="35"/>
        <v>12156.770715474211</v>
      </c>
      <c r="U95" s="34">
        <f t="shared" si="20"/>
        <v>12756.770715474211</v>
      </c>
      <c r="V95" s="31">
        <f>H95+S95-SUM(AB$15:AB95)</f>
        <v>144718.44450000016</v>
      </c>
      <c r="W95" s="32">
        <f t="shared" si="36"/>
        <v>11.344441922472893</v>
      </c>
      <c r="X95" s="32">
        <f t="shared" si="37"/>
        <v>13.687674422472679</v>
      </c>
      <c r="Y95" s="32">
        <f t="shared" si="38"/>
        <v>0.67555807752710706</v>
      </c>
      <c r="Z95" s="38">
        <f t="shared" si="39"/>
        <v>4.7033846839638523E-2</v>
      </c>
      <c r="AA95" s="31">
        <f>SUM(L$2:L95)-SUM(AB$2:AB95)</f>
        <v>5336.3860000000059</v>
      </c>
      <c r="AC95" s="40">
        <f t="shared" si="21"/>
        <v>716.6081971921692</v>
      </c>
      <c r="AD95" s="40">
        <f t="shared" si="22"/>
        <v>116.6081971921692</v>
      </c>
    </row>
    <row r="96" spans="1:30" ht="14.4" customHeight="1" x14ac:dyDescent="0.25">
      <c r="A96" s="172">
        <v>42942</v>
      </c>
      <c r="B96" s="159" t="s">
        <v>207</v>
      </c>
      <c r="C96" s="46" t="s">
        <v>63</v>
      </c>
      <c r="D96" s="46">
        <v>500</v>
      </c>
      <c r="E96" s="46">
        <v>11.88</v>
      </c>
      <c r="F96" s="102">
        <f t="shared" si="24"/>
        <v>1100</v>
      </c>
      <c r="G96" s="32">
        <f t="shared" si="23"/>
        <v>4.1264186363637529</v>
      </c>
      <c r="H96" s="31">
        <f t="shared" si="25"/>
        <v>4539.0605000001278</v>
      </c>
      <c r="I96" s="31">
        <f t="shared" si="26"/>
        <v>8528.9394999998731</v>
      </c>
      <c r="J96" s="108">
        <f t="shared" si="27"/>
        <v>1.8790098744001389</v>
      </c>
      <c r="K96" s="31">
        <f t="shared" si="28"/>
        <v>13068</v>
      </c>
      <c r="L96" s="31">
        <f t="shared" si="29"/>
        <v>-89</v>
      </c>
      <c r="M96" s="31">
        <f t="shared" si="30"/>
        <v>5</v>
      </c>
      <c r="N96" s="31">
        <f t="shared" si="31"/>
        <v>0</v>
      </c>
      <c r="O96" s="125"/>
      <c r="P96" s="32">
        <f t="shared" si="32"/>
        <v>7.7535813636362478</v>
      </c>
      <c r="Q96" s="31">
        <f t="shared" si="33"/>
        <v>-5945</v>
      </c>
      <c r="R96" s="34"/>
      <c r="S96" s="34">
        <f t="shared" si="34"/>
        <v>140179.38400000002</v>
      </c>
      <c r="T96" s="34">
        <f t="shared" si="35"/>
        <v>11799.611447811449</v>
      </c>
      <c r="U96" s="34">
        <f t="shared" si="20"/>
        <v>12899.611447811449</v>
      </c>
      <c r="V96" s="31">
        <f>H96+S96-SUM(AB$15:AB96)</f>
        <v>144718.44450000016</v>
      </c>
      <c r="W96" s="32">
        <f t="shared" si="36"/>
        <v>11.218821984328304</v>
      </c>
      <c r="X96" s="32">
        <f t="shared" si="37"/>
        <v>7.0924033479645514</v>
      </c>
      <c r="Y96" s="32">
        <f t="shared" si="38"/>
        <v>0.66117801567169643</v>
      </c>
      <c r="Z96" s="38">
        <f t="shared" si="39"/>
        <v>8.5273886306600835E-2</v>
      </c>
      <c r="AA96" s="31">
        <f>SUM(L$2:L96)-SUM(AB$2:AB96)</f>
        <v>5247.3860000000059</v>
      </c>
      <c r="AC96" s="40">
        <f t="shared" si="21"/>
        <v>717.56523823652128</v>
      </c>
      <c r="AD96" s="40">
        <f t="shared" si="22"/>
        <v>-382.43476176347872</v>
      </c>
    </row>
    <row r="97" spans="1:30" ht="14.4" customHeight="1" x14ac:dyDescent="0.25">
      <c r="A97" s="172">
        <v>42942</v>
      </c>
      <c r="B97" s="159" t="s">
        <v>208</v>
      </c>
      <c r="C97" s="46" t="s">
        <v>63</v>
      </c>
      <c r="D97" s="46">
        <v>500</v>
      </c>
      <c r="E97" s="46">
        <v>11.76</v>
      </c>
      <c r="F97" s="102">
        <f t="shared" si="24"/>
        <v>1600</v>
      </c>
      <c r="G97" s="32">
        <f t="shared" si="23"/>
        <v>6.5150378125000792</v>
      </c>
      <c r="H97" s="31">
        <f t="shared" si="25"/>
        <v>10424.060500000127</v>
      </c>
      <c r="I97" s="31">
        <f t="shared" si="26"/>
        <v>8391.9394999998731</v>
      </c>
      <c r="J97" s="108">
        <f t="shared" si="27"/>
        <v>0.80505475769252977</v>
      </c>
      <c r="K97" s="31">
        <f t="shared" si="28"/>
        <v>18816</v>
      </c>
      <c r="L97" s="31">
        <f t="shared" si="29"/>
        <v>-137</v>
      </c>
      <c r="M97" s="31">
        <f t="shared" si="30"/>
        <v>5</v>
      </c>
      <c r="N97" s="31">
        <f t="shared" si="31"/>
        <v>0</v>
      </c>
      <c r="O97" s="125"/>
      <c r="P97" s="32">
        <f t="shared" si="32"/>
        <v>5.2449621874999206</v>
      </c>
      <c r="Q97" s="31">
        <f t="shared" si="33"/>
        <v>-5884.9999999999991</v>
      </c>
      <c r="R97" s="34"/>
      <c r="S97" s="34">
        <f t="shared" si="34"/>
        <v>134294.38400000002</v>
      </c>
      <c r="T97" s="34">
        <f t="shared" si="35"/>
        <v>11419.590476190479</v>
      </c>
      <c r="U97" s="34">
        <f t="shared" si="20"/>
        <v>13019.590476190479</v>
      </c>
      <c r="V97" s="31">
        <f>H97+S97-SUM(AB$15:AB97)</f>
        <v>144718.44450000016</v>
      </c>
      <c r="W97" s="32">
        <f t="shared" si="36"/>
        <v>11.11543752199068</v>
      </c>
      <c r="X97" s="32">
        <f t="shared" si="37"/>
        <v>4.6003997094906008</v>
      </c>
      <c r="Y97" s="32">
        <f t="shared" si="38"/>
        <v>0.64456247800931976</v>
      </c>
      <c r="Z97" s="38">
        <f t="shared" si="39"/>
        <v>0.12289173019120635</v>
      </c>
      <c r="AA97" s="31">
        <f>SUM(L$2:L97)-SUM(AB$2:AB97)</f>
        <v>5110.3860000000059</v>
      </c>
      <c r="AC97" s="40">
        <f t="shared" si="21"/>
        <v>713.24349747022734</v>
      </c>
      <c r="AD97" s="40">
        <f t="shared" si="22"/>
        <v>-886.75650252977266</v>
      </c>
    </row>
    <row r="98" spans="1:30" ht="14.4" customHeight="1" x14ac:dyDescent="0.25">
      <c r="A98" s="172">
        <v>42943</v>
      </c>
      <c r="B98" s="159" t="s">
        <v>209</v>
      </c>
      <c r="C98" s="46" t="s">
        <v>63</v>
      </c>
      <c r="D98" s="46">
        <v>500</v>
      </c>
      <c r="E98" s="46">
        <v>11.68</v>
      </c>
      <c r="F98" s="102">
        <f t="shared" si="24"/>
        <v>2100</v>
      </c>
      <c r="G98" s="32">
        <f t="shared" si="23"/>
        <v>7.747171666666727</v>
      </c>
      <c r="H98" s="31">
        <f t="shared" si="25"/>
        <v>16269.060500000127</v>
      </c>
      <c r="I98" s="31">
        <f t="shared" si="26"/>
        <v>8258.9394999998731</v>
      </c>
      <c r="J98" s="108">
        <f t="shared" si="27"/>
        <v>0.50764698428651167</v>
      </c>
      <c r="K98" s="31">
        <f t="shared" si="28"/>
        <v>24528</v>
      </c>
      <c r="L98" s="31">
        <f t="shared" si="29"/>
        <v>-133</v>
      </c>
      <c r="M98" s="31">
        <f t="shared" si="30"/>
        <v>5</v>
      </c>
      <c r="N98" s="31">
        <f t="shared" si="31"/>
        <v>0</v>
      </c>
      <c r="O98" s="125"/>
      <c r="P98" s="32">
        <f t="shared" si="32"/>
        <v>3.9328283333332728</v>
      </c>
      <c r="Q98" s="31">
        <f t="shared" si="33"/>
        <v>-5845</v>
      </c>
      <c r="R98" s="34"/>
      <c r="S98" s="34">
        <f t="shared" si="34"/>
        <v>128449.38400000002</v>
      </c>
      <c r="T98" s="34">
        <f t="shared" si="35"/>
        <v>10997.378767123289</v>
      </c>
      <c r="U98" s="34">
        <f t="shared" si="20"/>
        <v>13097.378767123289</v>
      </c>
      <c r="V98" s="31">
        <f>H98+S98-SUM(AB$15:AB98)</f>
        <v>144718.44450000016</v>
      </c>
      <c r="W98" s="32">
        <f t="shared" si="36"/>
        <v>11.049420427793441</v>
      </c>
      <c r="X98" s="32">
        <f t="shared" si="37"/>
        <v>3.3022487611267142</v>
      </c>
      <c r="Y98" s="32">
        <f t="shared" si="38"/>
        <v>0.63057957220655858</v>
      </c>
      <c r="Z98" s="38">
        <f t="shared" si="39"/>
        <v>0.16033742608645993</v>
      </c>
      <c r="AA98" s="31">
        <f>SUM(L$2:L98)-SUM(AB$2:AB98)</f>
        <v>4977.3860000000059</v>
      </c>
      <c r="AC98" s="40">
        <f t="shared" si="21"/>
        <v>706.74743409673567</v>
      </c>
      <c r="AD98" s="40">
        <f t="shared" si="22"/>
        <v>-1393.2525659032644</v>
      </c>
    </row>
    <row r="99" spans="1:30" ht="14.4" customHeight="1" x14ac:dyDescent="0.25">
      <c r="A99" s="172">
        <v>42943</v>
      </c>
      <c r="B99" s="159"/>
      <c r="C99" s="46" t="s">
        <v>69</v>
      </c>
      <c r="D99" s="46">
        <v>400</v>
      </c>
      <c r="E99" s="46">
        <v>11.82</v>
      </c>
      <c r="F99" s="102">
        <f t="shared" si="24"/>
        <v>1700</v>
      </c>
      <c r="G99" s="32">
        <f t="shared" si="23"/>
        <v>6.7945814705883096</v>
      </c>
      <c r="H99" s="31">
        <f t="shared" si="25"/>
        <v>11550.788500000126</v>
      </c>
      <c r="I99" s="31">
        <f t="shared" si="26"/>
        <v>8543.2114999998739</v>
      </c>
      <c r="J99" s="108">
        <f t="shared" si="27"/>
        <v>0.73962149856694026</v>
      </c>
      <c r="K99" s="31">
        <f t="shared" si="28"/>
        <v>20094</v>
      </c>
      <c r="L99" s="31">
        <f t="shared" si="29"/>
        <v>284.27200000000084</v>
      </c>
      <c r="M99" s="31">
        <f t="shared" si="30"/>
        <v>5</v>
      </c>
      <c r="N99" s="31">
        <f t="shared" si="31"/>
        <v>4.7279999999999998</v>
      </c>
      <c r="O99" s="125"/>
      <c r="P99" s="32">
        <f t="shared" si="32"/>
        <v>5.0254185294116906</v>
      </c>
      <c r="Q99" s="31">
        <f t="shared" si="33"/>
        <v>4718.2720000000008</v>
      </c>
      <c r="R99" s="34"/>
      <c r="S99" s="34">
        <f t="shared" si="34"/>
        <v>133167.65600000002</v>
      </c>
      <c r="T99" s="34">
        <f t="shared" si="35"/>
        <v>11266.299153976313</v>
      </c>
      <c r="U99" s="34">
        <f t="shared" si="20"/>
        <v>12966.299153976313</v>
      </c>
      <c r="V99" s="31">
        <f>H99+S99-SUM(AB$15:AB99)</f>
        <v>144718.44450000016</v>
      </c>
      <c r="W99" s="32">
        <f t="shared" si="36"/>
        <v>11.161121826779697</v>
      </c>
      <c r="X99" s="32">
        <f t="shared" si="37"/>
        <v>4.3665403561913871</v>
      </c>
      <c r="Y99" s="32">
        <f t="shared" si="38"/>
        <v>0.65887817322030351</v>
      </c>
      <c r="Z99" s="38">
        <f t="shared" si="39"/>
        <v>0.13110911446761345</v>
      </c>
      <c r="AA99" s="31">
        <f>SUM(L$2:L99)-SUM(AB$2:AB99)</f>
        <v>5261.6580000000067</v>
      </c>
      <c r="AC99" s="40">
        <f t="shared" si="21"/>
        <v>722.4145426607339</v>
      </c>
      <c r="AD99" s="40">
        <f t="shared" si="22"/>
        <v>-977.5854573392661</v>
      </c>
    </row>
    <row r="100" spans="1:30" ht="14.4" customHeight="1" x14ac:dyDescent="0.25">
      <c r="A100" s="172">
        <v>42943</v>
      </c>
      <c r="B100" s="159"/>
      <c r="C100" s="46" t="s">
        <v>69</v>
      </c>
      <c r="D100" s="46">
        <v>400</v>
      </c>
      <c r="E100" s="46">
        <v>11.88</v>
      </c>
      <c r="F100" s="102">
        <f t="shared" si="24"/>
        <v>1300</v>
      </c>
      <c r="G100" s="32">
        <f t="shared" si="23"/>
        <v>5.2373388461539436</v>
      </c>
      <c r="H100" s="31">
        <f t="shared" si="25"/>
        <v>6808.5405000001265</v>
      </c>
      <c r="I100" s="31">
        <f t="shared" si="26"/>
        <v>8635.4594999998753</v>
      </c>
      <c r="J100" s="108">
        <f t="shared" si="27"/>
        <v>1.2683275512570886</v>
      </c>
      <c r="K100" s="31">
        <f t="shared" si="28"/>
        <v>15444.000000000002</v>
      </c>
      <c r="L100" s="31">
        <f t="shared" si="29"/>
        <v>92.248000000001412</v>
      </c>
      <c r="M100" s="31">
        <f t="shared" si="30"/>
        <v>5</v>
      </c>
      <c r="N100" s="31">
        <f t="shared" si="31"/>
        <v>4.7519999999999998</v>
      </c>
      <c r="O100" s="125"/>
      <c r="P100" s="32">
        <f t="shared" si="32"/>
        <v>6.6426611538460572</v>
      </c>
      <c r="Q100" s="31">
        <f t="shared" si="33"/>
        <v>4742.2479999999996</v>
      </c>
      <c r="R100" s="34"/>
      <c r="S100" s="34">
        <f t="shared" si="34"/>
        <v>137909.90400000001</v>
      </c>
      <c r="T100" s="34">
        <f t="shared" si="35"/>
        <v>11608.577777777778</v>
      </c>
      <c r="U100" s="34">
        <f t="shared" si="20"/>
        <v>12908.577777777778</v>
      </c>
      <c r="V100" s="31">
        <f>H100+S100-SUM(AB$15:AB100)</f>
        <v>144718.44450000013</v>
      </c>
      <c r="W100" s="32">
        <f t="shared" si="36"/>
        <v>11.211029362904263</v>
      </c>
      <c r="X100" s="32">
        <f t="shared" si="37"/>
        <v>5.9736905167503194</v>
      </c>
      <c r="Y100" s="32">
        <f t="shared" si="38"/>
        <v>0.66897063709573779</v>
      </c>
      <c r="Z100" s="38">
        <f t="shared" si="39"/>
        <v>0.10070822846479344</v>
      </c>
      <c r="AA100" s="31">
        <f>SUM(L$2:L100)-SUM(AB$2:AB100)</f>
        <v>5353.9060000000081</v>
      </c>
      <c r="AC100" s="40">
        <f t="shared" si="21"/>
        <v>726.52708503786835</v>
      </c>
      <c r="AD100" s="40">
        <f t="shared" si="22"/>
        <v>-573.47291496213165</v>
      </c>
    </row>
    <row r="101" spans="1:30" ht="14.4" customHeight="1" x14ac:dyDescent="0.25">
      <c r="A101" s="172">
        <v>42944</v>
      </c>
      <c r="B101" s="159"/>
      <c r="C101" s="163" t="s">
        <v>69</v>
      </c>
      <c r="D101" s="163">
        <v>400</v>
      </c>
      <c r="E101" s="163">
        <v>11.93</v>
      </c>
      <c r="F101" s="102">
        <f t="shared" si="24"/>
        <v>900</v>
      </c>
      <c r="G101" s="32">
        <f t="shared" si="23"/>
        <v>2.2736805555556958</v>
      </c>
      <c r="H101" s="31">
        <f t="shared" si="25"/>
        <v>2046.3125000001264</v>
      </c>
      <c r="I101" s="31">
        <f t="shared" si="26"/>
        <v>8690.6874999998727</v>
      </c>
      <c r="J101" s="108">
        <f t="shared" si="27"/>
        <v>4.2469991753455725</v>
      </c>
      <c r="K101" s="31">
        <f t="shared" si="28"/>
        <v>10737</v>
      </c>
      <c r="L101" s="31">
        <f t="shared" si="29"/>
        <v>55.227999999997337</v>
      </c>
      <c r="M101" s="31">
        <f t="shared" si="30"/>
        <v>5</v>
      </c>
      <c r="N101" s="31">
        <f t="shared" si="31"/>
        <v>4.7720000000000002</v>
      </c>
      <c r="O101" s="125"/>
      <c r="P101" s="32">
        <f t="shared" si="32"/>
        <v>9.6563194444443035</v>
      </c>
      <c r="Q101" s="31">
        <f t="shared" si="33"/>
        <v>4762.2280000000001</v>
      </c>
      <c r="R101" s="34"/>
      <c r="S101" s="34">
        <f t="shared" si="34"/>
        <v>142672.13200000001</v>
      </c>
      <c r="T101" s="34">
        <f t="shared" si="35"/>
        <v>11959.105783738476</v>
      </c>
      <c r="U101" s="34">
        <f t="shared" si="20"/>
        <v>12859.105783738476</v>
      </c>
      <c r="V101" s="31">
        <f>H101+S101-SUM(AB$15:AB101)</f>
        <v>144718.44450000013</v>
      </c>
      <c r="W101" s="32">
        <f t="shared" si="36"/>
        <v>11.254160820654414</v>
      </c>
      <c r="X101" s="32">
        <f t="shared" si="37"/>
        <v>8.9804802650987181</v>
      </c>
      <c r="Y101" s="32">
        <f t="shared" si="38"/>
        <v>0.67583917934558535</v>
      </c>
      <c r="Z101" s="38">
        <f t="shared" si="39"/>
        <v>6.9989314586565807E-2</v>
      </c>
      <c r="AA101" s="31">
        <f>SUM(L$2:L101)-SUM(AB$2:AB101)</f>
        <v>5409.1340000000055</v>
      </c>
      <c r="AC101" s="40">
        <f t="shared" si="21"/>
        <v>728.10914972756689</v>
      </c>
      <c r="AD101" s="40">
        <f t="shared" si="22"/>
        <v>-171.89085027243311</v>
      </c>
    </row>
    <row r="102" spans="1:30" ht="14.4" customHeight="1" x14ac:dyDescent="0.25">
      <c r="A102" s="172">
        <v>42944</v>
      </c>
      <c r="B102" s="159" t="s">
        <v>210</v>
      </c>
      <c r="C102" s="46" t="s">
        <v>63</v>
      </c>
      <c r="D102" s="46">
        <v>500</v>
      </c>
      <c r="E102" s="46">
        <v>11.84</v>
      </c>
      <c r="F102" s="102">
        <f t="shared" si="24"/>
        <v>1400</v>
      </c>
      <c r="G102" s="32">
        <f t="shared" si="23"/>
        <v>5.6937946428572328</v>
      </c>
      <c r="H102" s="31">
        <f t="shared" si="25"/>
        <v>7971.3125000001264</v>
      </c>
      <c r="I102" s="31">
        <f t="shared" si="26"/>
        <v>8604.6874999998727</v>
      </c>
      <c r="J102" s="108">
        <f t="shared" si="27"/>
        <v>1.0794568021263422</v>
      </c>
      <c r="K102" s="31">
        <f t="shared" si="28"/>
        <v>16576</v>
      </c>
      <c r="L102" s="31">
        <f t="shared" si="29"/>
        <v>-86</v>
      </c>
      <c r="M102" s="31">
        <f t="shared" si="30"/>
        <v>5</v>
      </c>
      <c r="N102" s="31">
        <f t="shared" si="31"/>
        <v>0</v>
      </c>
      <c r="O102" s="125"/>
      <c r="P102" s="32">
        <f t="shared" si="32"/>
        <v>6.1462053571427671</v>
      </c>
      <c r="Q102" s="31">
        <f t="shared" si="33"/>
        <v>-5925</v>
      </c>
      <c r="R102" s="34"/>
      <c r="S102" s="34">
        <f t="shared" si="34"/>
        <v>136747.13200000001</v>
      </c>
      <c r="T102" s="34">
        <f t="shared" si="35"/>
        <v>11549.588851351353</v>
      </c>
      <c r="U102" s="34">
        <f t="shared" si="20"/>
        <v>12949.588851351353</v>
      </c>
      <c r="V102" s="31">
        <f>H102+S102-SUM(AB$15:AB102)</f>
        <v>144718.44450000013</v>
      </c>
      <c r="W102" s="32">
        <f t="shared" si="36"/>
        <v>11.175524270401686</v>
      </c>
      <c r="X102" s="32">
        <f t="shared" si="37"/>
        <v>5.4817296275444534</v>
      </c>
      <c r="Y102" s="32">
        <f t="shared" si="38"/>
        <v>0.66447572959831369</v>
      </c>
      <c r="Z102" s="38">
        <f t="shared" si="39"/>
        <v>0.10811154053388368</v>
      </c>
      <c r="AA102" s="31">
        <f>SUM(L$2:L102)-SUM(AB$2:AB102)</f>
        <v>5323.1340000000055</v>
      </c>
      <c r="AC102" s="40">
        <f t="shared" si="21"/>
        <v>726.38388144002306</v>
      </c>
      <c r="AD102" s="40">
        <f t="shared" si="22"/>
        <v>-673.61611855997694</v>
      </c>
    </row>
    <row r="103" spans="1:30" ht="14.4" customHeight="1" x14ac:dyDescent="0.25">
      <c r="A103" s="172">
        <v>42947</v>
      </c>
      <c r="B103" s="159" t="s">
        <v>211</v>
      </c>
      <c r="C103" s="46" t="s">
        <v>63</v>
      </c>
      <c r="D103" s="46">
        <v>500</v>
      </c>
      <c r="E103" s="46">
        <v>11.75</v>
      </c>
      <c r="F103" s="102">
        <f t="shared" si="24"/>
        <v>1900</v>
      </c>
      <c r="G103" s="32">
        <f t="shared" si="23"/>
        <v>7.2901644736842774</v>
      </c>
      <c r="H103" s="31">
        <f t="shared" si="25"/>
        <v>13851.312500000127</v>
      </c>
      <c r="I103" s="31">
        <f t="shared" si="26"/>
        <v>8473.6874999998727</v>
      </c>
      <c r="J103" s="108">
        <f t="shared" si="27"/>
        <v>0.61176061835293916</v>
      </c>
      <c r="K103" s="31">
        <f t="shared" si="28"/>
        <v>22325</v>
      </c>
      <c r="L103" s="31">
        <f t="shared" si="29"/>
        <v>-131</v>
      </c>
      <c r="M103" s="31">
        <f t="shared" si="30"/>
        <v>5</v>
      </c>
      <c r="N103" s="31">
        <f t="shared" si="31"/>
        <v>0</v>
      </c>
      <c r="O103" s="125"/>
      <c r="P103" s="32">
        <f t="shared" si="32"/>
        <v>4.4598355263157226</v>
      </c>
      <c r="Q103" s="31">
        <f t="shared" si="33"/>
        <v>-5880.0000000000009</v>
      </c>
      <c r="R103" s="34"/>
      <c r="S103" s="34">
        <f t="shared" si="34"/>
        <v>130867.13200000001</v>
      </c>
      <c r="T103" s="34">
        <f t="shared" si="35"/>
        <v>11137.62825531915</v>
      </c>
      <c r="U103" s="34">
        <f t="shared" si="20"/>
        <v>13037.62825531915</v>
      </c>
      <c r="V103" s="31">
        <f>H103+S103-SUM(AB$15:AB103)</f>
        <v>144718.44450000013</v>
      </c>
      <c r="W103" s="32">
        <f t="shared" si="36"/>
        <v>11.100059126241558</v>
      </c>
      <c r="X103" s="32">
        <f t="shared" si="37"/>
        <v>3.8098946525572801</v>
      </c>
      <c r="Y103" s="32">
        <f t="shared" si="38"/>
        <v>0.64994087375844245</v>
      </c>
      <c r="Z103" s="38">
        <f t="shared" si="39"/>
        <v>0.14573202754303333</v>
      </c>
      <c r="AA103" s="31">
        <f>SUM(L$2:L103)-SUM(AB$2:AB103)</f>
        <v>5192.1340000000055</v>
      </c>
      <c r="AC103" s="40">
        <f t="shared" si="21"/>
        <v>720.80431117020191</v>
      </c>
      <c r="AD103" s="40">
        <f t="shared" si="22"/>
        <v>-1179.1956888297982</v>
      </c>
    </row>
    <row r="104" spans="1:30" ht="14.4" customHeight="1" x14ac:dyDescent="0.25">
      <c r="A104" s="172">
        <v>42948</v>
      </c>
      <c r="B104" s="159" t="s">
        <v>212</v>
      </c>
      <c r="C104" s="46" t="s">
        <v>63</v>
      </c>
      <c r="D104" s="46">
        <v>500</v>
      </c>
      <c r="E104" s="46">
        <v>11.72</v>
      </c>
      <c r="F104" s="102">
        <f t="shared" si="24"/>
        <v>2400</v>
      </c>
      <c r="G104" s="32">
        <f t="shared" si="23"/>
        <v>8.2151302083333864</v>
      </c>
      <c r="H104" s="31">
        <f t="shared" si="25"/>
        <v>19716.312500000127</v>
      </c>
      <c r="I104" s="31">
        <f t="shared" si="26"/>
        <v>8411.6874999998727</v>
      </c>
      <c r="J104" s="108">
        <f t="shared" si="27"/>
        <v>0.42663593914936276</v>
      </c>
      <c r="K104" s="31">
        <f t="shared" si="28"/>
        <v>28128</v>
      </c>
      <c r="L104" s="31">
        <f t="shared" si="29"/>
        <v>-62</v>
      </c>
      <c r="M104" s="31">
        <f t="shared" si="30"/>
        <v>5</v>
      </c>
      <c r="N104" s="31">
        <f t="shared" si="31"/>
        <v>0</v>
      </c>
      <c r="O104" s="125"/>
      <c r="P104" s="32">
        <f t="shared" si="32"/>
        <v>3.5048697916666143</v>
      </c>
      <c r="Q104" s="31">
        <f t="shared" si="33"/>
        <v>-5865</v>
      </c>
      <c r="R104" s="34"/>
      <c r="S104" s="34">
        <f t="shared" si="34"/>
        <v>125002.13200000001</v>
      </c>
      <c r="T104" s="34">
        <f t="shared" si="35"/>
        <v>10665.710921501706</v>
      </c>
      <c r="U104" s="34">
        <f t="shared" si="20"/>
        <v>13065.710921501706</v>
      </c>
      <c r="V104" s="31">
        <f>H104+S104-SUM(AB$15:AB104)</f>
        <v>144718.44450000013</v>
      </c>
      <c r="W104" s="32">
        <f t="shared" si="36"/>
        <v>11.076201315754117</v>
      </c>
      <c r="X104" s="32">
        <f t="shared" si="37"/>
        <v>2.8610711074207309</v>
      </c>
      <c r="Y104" s="32">
        <f t="shared" si="38"/>
        <v>0.64379868424588338</v>
      </c>
      <c r="Z104" s="38">
        <f t="shared" si="39"/>
        <v>0.1836869049391272</v>
      </c>
      <c r="AA104" s="31">
        <f>SUM(L$2:L104)-SUM(AB$2:AB104)</f>
        <v>5130.1340000000055</v>
      </c>
      <c r="AC104" s="40">
        <f t="shared" si="21"/>
        <v>717.36191606227578</v>
      </c>
      <c r="AD104" s="40">
        <f t="shared" si="22"/>
        <v>-1682.6380839377243</v>
      </c>
    </row>
    <row r="105" spans="1:30" ht="14.4" customHeight="1" x14ac:dyDescent="0.25">
      <c r="A105" s="172">
        <v>42948</v>
      </c>
      <c r="B105" s="159"/>
      <c r="C105" s="46" t="s">
        <v>69</v>
      </c>
      <c r="D105" s="46">
        <v>400</v>
      </c>
      <c r="E105" s="46">
        <v>11.84</v>
      </c>
      <c r="F105" s="102">
        <f t="shared" si="24"/>
        <v>2000</v>
      </c>
      <c r="G105" s="32">
        <f t="shared" si="23"/>
        <v>7.4950242500000641</v>
      </c>
      <c r="H105" s="31">
        <f t="shared" si="25"/>
        <v>14990.048500000128</v>
      </c>
      <c r="I105" s="31">
        <f t="shared" si="26"/>
        <v>8689.9514999998719</v>
      </c>
      <c r="J105" s="108">
        <f t="shared" si="27"/>
        <v>0.57971470205715459</v>
      </c>
      <c r="K105" s="31">
        <f t="shared" si="28"/>
        <v>23680</v>
      </c>
      <c r="L105" s="31">
        <f t="shared" si="29"/>
        <v>278.26399999999921</v>
      </c>
      <c r="M105" s="31">
        <f t="shared" si="30"/>
        <v>5</v>
      </c>
      <c r="N105" s="31">
        <f t="shared" si="31"/>
        <v>4.7359999999999998</v>
      </c>
      <c r="O105" s="125"/>
      <c r="P105" s="32">
        <f t="shared" si="32"/>
        <v>4.3449757499999357</v>
      </c>
      <c r="Q105" s="31">
        <f t="shared" si="33"/>
        <v>4726.2639999999992</v>
      </c>
      <c r="R105" s="34"/>
      <c r="S105" s="34">
        <f t="shared" si="34"/>
        <v>129728.39600000001</v>
      </c>
      <c r="T105" s="34">
        <f t="shared" si="35"/>
        <v>10956.790202702703</v>
      </c>
      <c r="U105" s="34">
        <f t="shared" si="20"/>
        <v>12956.790202702703</v>
      </c>
      <c r="V105" s="31">
        <f>H105+S105-SUM(AB$15:AB105)</f>
        <v>144718.44450000013</v>
      </c>
      <c r="W105" s="32">
        <f t="shared" si="36"/>
        <v>11.169312942167791</v>
      </c>
      <c r="X105" s="32">
        <f t="shared" si="37"/>
        <v>3.6742886921677265</v>
      </c>
      <c r="Y105" s="32">
        <f t="shared" si="38"/>
        <v>0.67068705783220928</v>
      </c>
      <c r="Z105" s="38">
        <f t="shared" si="39"/>
        <v>0.15435921773147279</v>
      </c>
      <c r="AA105" s="31">
        <f>SUM(L$2:L105)-SUM(AB$2:AB105)</f>
        <v>5408.3980000000047</v>
      </c>
      <c r="AC105" s="40">
        <f t="shared" si="21"/>
        <v>733.58163211569865</v>
      </c>
      <c r="AD105" s="40">
        <f t="shared" si="22"/>
        <v>-1266.4183678843015</v>
      </c>
    </row>
    <row r="106" spans="1:30" ht="14.4" customHeight="1" x14ac:dyDescent="0.25">
      <c r="A106" s="172">
        <v>42948</v>
      </c>
      <c r="B106" s="159"/>
      <c r="C106" s="163" t="s">
        <v>69</v>
      </c>
      <c r="D106" s="163">
        <v>400</v>
      </c>
      <c r="E106" s="163">
        <v>11.91</v>
      </c>
      <c r="F106" s="102">
        <f t="shared" si="24"/>
        <v>1600</v>
      </c>
      <c r="G106" s="32">
        <f t="shared" si="23"/>
        <v>6.39738281250008</v>
      </c>
      <c r="H106" s="31">
        <f t="shared" si="25"/>
        <v>10235.812500000127</v>
      </c>
      <c r="I106" s="31">
        <f t="shared" si="26"/>
        <v>8820.1874999998727</v>
      </c>
      <c r="J106" s="108">
        <f t="shared" si="27"/>
        <v>0.86169881482293287</v>
      </c>
      <c r="K106" s="31">
        <f t="shared" si="28"/>
        <v>19056</v>
      </c>
      <c r="L106" s="31">
        <f t="shared" si="29"/>
        <v>130.23600000000079</v>
      </c>
      <c r="M106" s="31">
        <f t="shared" si="30"/>
        <v>5</v>
      </c>
      <c r="N106" s="31">
        <f t="shared" si="31"/>
        <v>4.7640000000000002</v>
      </c>
      <c r="O106" s="125"/>
      <c r="P106" s="32">
        <f t="shared" si="32"/>
        <v>5.5126171874999201</v>
      </c>
      <c r="Q106" s="31">
        <f t="shared" si="33"/>
        <v>4754.2360000000008</v>
      </c>
      <c r="R106" s="34"/>
      <c r="S106" s="34">
        <f t="shared" si="34"/>
        <v>134482.63200000001</v>
      </c>
      <c r="T106" s="34">
        <f t="shared" si="35"/>
        <v>11291.572795969774</v>
      </c>
      <c r="U106" s="34">
        <f t="shared" si="20"/>
        <v>12891.572795969774</v>
      </c>
      <c r="V106" s="31">
        <f>H106+S106-SUM(AB$15:AB106)</f>
        <v>144718.44450000013</v>
      </c>
      <c r="W106" s="32">
        <f t="shared" si="36"/>
        <v>11.225817577917468</v>
      </c>
      <c r="X106" s="32">
        <f t="shared" si="37"/>
        <v>4.8284347654173878</v>
      </c>
      <c r="Y106" s="32">
        <f t="shared" si="38"/>
        <v>0.68418242208253233</v>
      </c>
      <c r="Z106" s="38">
        <f t="shared" si="39"/>
        <v>0.12411208665712221</v>
      </c>
      <c r="AA106" s="31">
        <f>SUM(L$2:L106)-SUM(AB$2:AB106)</f>
        <v>5538.6340000000055</v>
      </c>
      <c r="AC106" s="40">
        <f t="shared" si="21"/>
        <v>740.1996142946997</v>
      </c>
      <c r="AD106" s="40">
        <f t="shared" si="22"/>
        <v>-859.8003857053003</v>
      </c>
    </row>
    <row r="107" spans="1:30" ht="14.4" customHeight="1" x14ac:dyDescent="0.25">
      <c r="A107" s="172">
        <v>42948</v>
      </c>
      <c r="B107" s="159"/>
      <c r="C107" s="46" t="s">
        <v>69</v>
      </c>
      <c r="D107" s="163">
        <v>400</v>
      </c>
      <c r="E107" s="163">
        <v>12</v>
      </c>
      <c r="F107" s="102">
        <f t="shared" si="24"/>
        <v>1200</v>
      </c>
      <c r="G107" s="32">
        <f t="shared" si="23"/>
        <v>4.538010416666773</v>
      </c>
      <c r="H107" s="31">
        <f t="shared" si="25"/>
        <v>5445.6125000001275</v>
      </c>
      <c r="I107" s="31">
        <f t="shared" si="26"/>
        <v>8954.3874999998734</v>
      </c>
      <c r="J107" s="108">
        <f t="shared" si="27"/>
        <v>1.644330642328969</v>
      </c>
      <c r="K107" s="31">
        <f t="shared" si="28"/>
        <v>14400</v>
      </c>
      <c r="L107" s="31">
        <f t="shared" si="29"/>
        <v>134.20000000000073</v>
      </c>
      <c r="M107" s="31">
        <f t="shared" si="30"/>
        <v>5</v>
      </c>
      <c r="N107" s="31">
        <f t="shared" si="31"/>
        <v>4.8</v>
      </c>
      <c r="O107" s="125"/>
      <c r="P107" s="32">
        <f t="shared" si="32"/>
        <v>7.461989583333227</v>
      </c>
      <c r="Q107" s="31">
        <f t="shared" si="33"/>
        <v>4790.2</v>
      </c>
      <c r="R107" s="34"/>
      <c r="S107" s="34">
        <f t="shared" si="34"/>
        <v>139272.83200000002</v>
      </c>
      <c r="T107" s="34">
        <f t="shared" si="35"/>
        <v>11606.069333333335</v>
      </c>
      <c r="U107" s="34">
        <f t="shared" si="20"/>
        <v>12806.069333333335</v>
      </c>
      <c r="V107" s="31">
        <f>H107+S107-SUM(AB$15:AB107)</f>
        <v>144718.44450000016</v>
      </c>
      <c r="W107" s="32">
        <f t="shared" si="36"/>
        <v>11.300770028107516</v>
      </c>
      <c r="X107" s="32">
        <f t="shared" si="37"/>
        <v>6.7627596114407433</v>
      </c>
      <c r="Y107" s="32">
        <f t="shared" si="38"/>
        <v>0.6992299718924837</v>
      </c>
      <c r="Z107" s="38">
        <f t="shared" si="39"/>
        <v>9.3705567943200258E-2</v>
      </c>
      <c r="AA107" s="31">
        <f>SUM(L$2:L107)-SUM(AB$2:AB107)</f>
        <v>5672.8340000000062</v>
      </c>
      <c r="AC107" s="40">
        <f t="shared" si="21"/>
        <v>745.82585885415619</v>
      </c>
      <c r="AD107" s="40">
        <f t="shared" si="22"/>
        <v>-454.17414114584381</v>
      </c>
    </row>
    <row r="108" spans="1:30" ht="14.4" customHeight="1" x14ac:dyDescent="0.25">
      <c r="A108" s="172">
        <v>42949</v>
      </c>
      <c r="B108" s="160" t="s">
        <v>213</v>
      </c>
      <c r="C108" s="46" t="s">
        <v>63</v>
      </c>
      <c r="D108" s="46">
        <v>500</v>
      </c>
      <c r="E108" s="46">
        <v>11.81</v>
      </c>
      <c r="F108" s="102">
        <f t="shared" si="24"/>
        <v>1700</v>
      </c>
      <c r="G108" s="32">
        <f t="shared" si="23"/>
        <v>6.6797720588236036</v>
      </c>
      <c r="H108" s="31">
        <f t="shared" si="25"/>
        <v>11355.612500000127</v>
      </c>
      <c r="I108" s="31">
        <f t="shared" si="26"/>
        <v>8721.3874999998734</v>
      </c>
      <c r="J108" s="108">
        <f t="shared" si="27"/>
        <v>0.76802440203025402</v>
      </c>
      <c r="K108" s="31">
        <f t="shared" si="28"/>
        <v>20077</v>
      </c>
      <c r="L108" s="31">
        <f t="shared" si="29"/>
        <v>-233</v>
      </c>
      <c r="M108" s="31">
        <f t="shared" si="30"/>
        <v>5</v>
      </c>
      <c r="N108" s="31">
        <f t="shared" si="31"/>
        <v>0</v>
      </c>
      <c r="O108" s="125"/>
      <c r="P108" s="32">
        <f t="shared" si="32"/>
        <v>5.1302279411763969</v>
      </c>
      <c r="Q108" s="31">
        <f t="shared" si="33"/>
        <v>-5909.9999999999991</v>
      </c>
      <c r="R108" s="34"/>
      <c r="S108" s="34">
        <f t="shared" si="34"/>
        <v>133362.83200000002</v>
      </c>
      <c r="T108" s="34">
        <f t="shared" si="35"/>
        <v>11292.365114309909</v>
      </c>
      <c r="U108" s="34">
        <f t="shared" si="20"/>
        <v>12992.365114309909</v>
      </c>
      <c r="V108" s="31">
        <f>H108+S108-SUM(AB$15:AB108)</f>
        <v>144718.44450000016</v>
      </c>
      <c r="W108" s="32">
        <f t="shared" si="36"/>
        <v>11.138729802213298</v>
      </c>
      <c r="X108" s="32">
        <f t="shared" si="37"/>
        <v>4.4589577433896945</v>
      </c>
      <c r="Y108" s="32">
        <f t="shared" si="38"/>
        <v>0.67127019778670238</v>
      </c>
      <c r="Z108" s="38">
        <f t="shared" si="39"/>
        <v>0.13084607652594404</v>
      </c>
      <c r="AA108" s="31">
        <f>SUM(L$2:L108)-SUM(AB$2:AB108)</f>
        <v>5439.8340000000062</v>
      </c>
      <c r="AC108" s="40">
        <f t="shared" si="21"/>
        <v>738.10557207873603</v>
      </c>
      <c r="AD108" s="40">
        <f t="shared" si="22"/>
        <v>-961.89442792126397</v>
      </c>
    </row>
    <row r="109" spans="1:30" s="1" customFormat="1" ht="14.4" customHeight="1" x14ac:dyDescent="0.25">
      <c r="A109" s="172">
        <v>42949</v>
      </c>
      <c r="B109" s="159" t="s">
        <v>214</v>
      </c>
      <c r="C109" s="46" t="s">
        <v>63</v>
      </c>
      <c r="D109" s="46">
        <v>500</v>
      </c>
      <c r="E109" s="46">
        <v>11.73</v>
      </c>
      <c r="F109" s="102">
        <f t="shared" si="24"/>
        <v>2200</v>
      </c>
      <c r="G109" s="32">
        <f t="shared" si="23"/>
        <v>7.8298238636364212</v>
      </c>
      <c r="H109" s="31">
        <f t="shared" si="25"/>
        <v>17225.612500000127</v>
      </c>
      <c r="I109" s="31">
        <f t="shared" si="26"/>
        <v>8580.3874999998734</v>
      </c>
      <c r="J109" s="108">
        <f t="shared" si="27"/>
        <v>0.49811799145022051</v>
      </c>
      <c r="K109" s="31">
        <f t="shared" si="28"/>
        <v>25806</v>
      </c>
      <c r="L109" s="31">
        <f t="shared" si="29"/>
        <v>-141</v>
      </c>
      <c r="M109" s="31">
        <f t="shared" si="30"/>
        <v>5</v>
      </c>
      <c r="N109" s="31">
        <f t="shared" si="31"/>
        <v>0</v>
      </c>
      <c r="O109" s="125"/>
      <c r="P109" s="32">
        <f t="shared" si="32"/>
        <v>3.9001761363635792</v>
      </c>
      <c r="Q109" s="31">
        <f t="shared" si="33"/>
        <v>-5870</v>
      </c>
      <c r="R109" s="34"/>
      <c r="S109" s="34">
        <f t="shared" si="34"/>
        <v>127492.83200000002</v>
      </c>
      <c r="T109" s="34">
        <f t="shared" si="35"/>
        <v>10868.954134697358</v>
      </c>
      <c r="U109" s="34">
        <f t="shared" si="20"/>
        <v>13068.954134697358</v>
      </c>
      <c r="V109" s="31">
        <f>H109+S109-SUM(AB$15:AB109)</f>
        <v>144718.44450000016</v>
      </c>
      <c r="W109" s="32">
        <f t="shared" si="36"/>
        <v>11.073452627382064</v>
      </c>
      <c r="X109" s="32">
        <f t="shared" si="37"/>
        <v>3.2436287637456429</v>
      </c>
      <c r="Y109" s="32">
        <f t="shared" si="38"/>
        <v>0.65654737261793628</v>
      </c>
      <c r="Z109" s="38">
        <f t="shared" si="39"/>
        <v>0.16833787748624202</v>
      </c>
      <c r="AA109" s="31">
        <f>SUM(L$2:L109)-SUM(AB$2:AB109)</f>
        <v>5298.8340000000062</v>
      </c>
      <c r="AB109"/>
      <c r="AC109" s="40">
        <f t="shared" si="21"/>
        <v>731.12509004687763</v>
      </c>
      <c r="AD109" s="40">
        <f t="shared" si="22"/>
        <v>-1468.8749099531224</v>
      </c>
    </row>
    <row r="110" spans="1:30" s="1" customFormat="1" ht="14.4" customHeight="1" x14ac:dyDescent="0.25">
      <c r="A110" s="172">
        <v>42950</v>
      </c>
      <c r="B110" s="159" t="s">
        <v>215</v>
      </c>
      <c r="C110" s="46" t="s">
        <v>63</v>
      </c>
      <c r="D110" s="46">
        <v>500</v>
      </c>
      <c r="E110" s="46">
        <v>11.6</v>
      </c>
      <c r="F110" s="102">
        <f t="shared" si="24"/>
        <v>2700</v>
      </c>
      <c r="G110" s="32">
        <f t="shared" si="23"/>
        <v>8.529856481481529</v>
      </c>
      <c r="H110" s="31">
        <f t="shared" si="25"/>
        <v>23030.612500000127</v>
      </c>
      <c r="I110" s="31">
        <f t="shared" si="26"/>
        <v>8289.3874999998734</v>
      </c>
      <c r="J110" s="108">
        <f t="shared" si="27"/>
        <v>0.35992909437383935</v>
      </c>
      <c r="K110" s="31">
        <f t="shared" si="28"/>
        <v>31320</v>
      </c>
      <c r="L110" s="31">
        <f t="shared" si="29"/>
        <v>-291</v>
      </c>
      <c r="M110" s="31">
        <f t="shared" si="30"/>
        <v>5</v>
      </c>
      <c r="N110" s="31">
        <f t="shared" si="31"/>
        <v>0</v>
      </c>
      <c r="O110" s="125"/>
      <c r="P110" s="32">
        <f t="shared" si="32"/>
        <v>3.0701435185184707</v>
      </c>
      <c r="Q110" s="31">
        <f t="shared" si="33"/>
        <v>-5805</v>
      </c>
      <c r="R110" s="34"/>
      <c r="S110" s="34">
        <f t="shared" si="34"/>
        <v>121687.83200000002</v>
      </c>
      <c r="T110" s="34">
        <f t="shared" si="35"/>
        <v>10490.330344827589</v>
      </c>
      <c r="U110" s="34">
        <f t="shared" si="20"/>
        <v>13190.330344827589</v>
      </c>
      <c r="V110" s="31">
        <f>H110+S110-SUM(AB$15:AB110)</f>
        <v>144718.44450000016</v>
      </c>
      <c r="W110" s="32">
        <f t="shared" si="36"/>
        <v>10.971555731866076</v>
      </c>
      <c r="X110" s="32">
        <f t="shared" si="37"/>
        <v>2.4416992503845467</v>
      </c>
      <c r="Y110" s="32">
        <f t="shared" si="38"/>
        <v>0.62844426813392396</v>
      </c>
      <c r="Z110" s="38">
        <f t="shared" si="39"/>
        <v>0.20469540408885731</v>
      </c>
      <c r="AA110" s="31">
        <f>SUM(L$2:L110)-SUM(AB$2:AB110)</f>
        <v>5007.8340000000062</v>
      </c>
      <c r="AB110"/>
      <c r="AC110" s="40">
        <f t="shared" si="21"/>
        <v>714.24506950429952</v>
      </c>
      <c r="AD110" s="40">
        <f t="shared" si="22"/>
        <v>-1985.7549304957006</v>
      </c>
    </row>
    <row r="111" spans="1:30" s="1" customFormat="1" ht="14.4" customHeight="1" x14ac:dyDescent="0.25">
      <c r="A111" s="172">
        <v>42950</v>
      </c>
      <c r="B111" s="159" t="s">
        <v>216</v>
      </c>
      <c r="C111" s="46" t="s">
        <v>63</v>
      </c>
      <c r="D111" s="46">
        <v>500</v>
      </c>
      <c r="E111" s="46">
        <v>11.55</v>
      </c>
      <c r="F111" s="102">
        <f t="shared" si="24"/>
        <v>3200</v>
      </c>
      <c r="G111" s="32">
        <f t="shared" si="23"/>
        <v>9.0033164062500397</v>
      </c>
      <c r="H111" s="31">
        <f t="shared" si="25"/>
        <v>28810.612500000127</v>
      </c>
      <c r="I111" s="31">
        <f t="shared" si="26"/>
        <v>8149.3874999998734</v>
      </c>
      <c r="J111" s="108">
        <f t="shared" si="27"/>
        <v>0.28286061256073053</v>
      </c>
      <c r="K111" s="31">
        <f t="shared" si="28"/>
        <v>36960</v>
      </c>
      <c r="L111" s="31">
        <f t="shared" si="29"/>
        <v>-140</v>
      </c>
      <c r="M111" s="31">
        <f t="shared" si="30"/>
        <v>5</v>
      </c>
      <c r="N111" s="31">
        <f t="shared" si="31"/>
        <v>0</v>
      </c>
      <c r="O111" s="125"/>
      <c r="P111" s="32">
        <f t="shared" si="32"/>
        <v>2.546683593749961</v>
      </c>
      <c r="Q111" s="31">
        <f t="shared" si="33"/>
        <v>-5780</v>
      </c>
      <c r="R111" s="34"/>
      <c r="S111" s="34">
        <f t="shared" si="34"/>
        <v>115907.83200000002</v>
      </c>
      <c r="T111" s="34">
        <f t="shared" si="35"/>
        <v>10035.310129870131</v>
      </c>
      <c r="U111" s="34">
        <f t="shared" si="20"/>
        <v>13235.310129870131</v>
      </c>
      <c r="V111" s="31">
        <f>H111+S111-SUM(AB$15:AB111)</f>
        <v>144718.44450000016</v>
      </c>
      <c r="W111" s="32">
        <f t="shared" si="36"/>
        <v>10.934269244918719</v>
      </c>
      <c r="X111" s="32">
        <f t="shared" si="37"/>
        <v>1.930952838668679</v>
      </c>
      <c r="Y111" s="32">
        <f t="shared" si="38"/>
        <v>0.61573075508128206</v>
      </c>
      <c r="Z111" s="38">
        <f t="shared" si="39"/>
        <v>0.24177748527237566</v>
      </c>
      <c r="AA111" s="31">
        <f>SUM(L$2:L111)-SUM(AB$2:AB111)</f>
        <v>4867.8340000000062</v>
      </c>
      <c r="AB111"/>
      <c r="AC111" s="40">
        <f t="shared" si="21"/>
        <v>705.22188798700199</v>
      </c>
      <c r="AD111" s="40">
        <f t="shared" si="22"/>
        <v>-2494.778112012998</v>
      </c>
    </row>
    <row r="112" spans="1:30" s="1" customFormat="1" ht="14.4" customHeight="1" x14ac:dyDescent="0.25">
      <c r="A112" s="172">
        <v>42954</v>
      </c>
      <c r="B112" s="159" t="s">
        <v>217</v>
      </c>
      <c r="C112" s="46" t="s">
        <v>63</v>
      </c>
      <c r="D112" s="46">
        <v>500</v>
      </c>
      <c r="E112" s="46">
        <v>11.42</v>
      </c>
      <c r="F112" s="102">
        <f t="shared" si="24"/>
        <v>3700</v>
      </c>
      <c r="G112" s="32">
        <f t="shared" si="23"/>
        <v>9.3312466216216556</v>
      </c>
      <c r="H112" s="31">
        <f t="shared" si="25"/>
        <v>34525.612500000127</v>
      </c>
      <c r="I112" s="31">
        <f t="shared" si="26"/>
        <v>7728.3874999998734</v>
      </c>
      <c r="J112" s="108">
        <f t="shared" si="27"/>
        <v>0.22384505126447346</v>
      </c>
      <c r="K112" s="31">
        <f t="shared" si="28"/>
        <v>42254</v>
      </c>
      <c r="L112" s="31">
        <f t="shared" si="29"/>
        <v>-421</v>
      </c>
      <c r="M112" s="31">
        <f t="shared" si="30"/>
        <v>5</v>
      </c>
      <c r="N112" s="31">
        <f t="shared" si="31"/>
        <v>0</v>
      </c>
      <c r="O112" s="125"/>
      <c r="P112" s="32">
        <f t="shared" si="32"/>
        <v>2.0887533783783443</v>
      </c>
      <c r="Q112" s="31">
        <f t="shared" si="33"/>
        <v>-5715</v>
      </c>
      <c r="R112" s="34"/>
      <c r="S112" s="34">
        <f t="shared" si="34"/>
        <v>110192.83200000002</v>
      </c>
      <c r="T112" s="34">
        <f t="shared" si="35"/>
        <v>9649.1096322241701</v>
      </c>
      <c r="U112" s="34">
        <f t="shared" si="20"/>
        <v>13349.10963222417</v>
      </c>
      <c r="V112" s="31">
        <f>H112+S112-SUM(AB$15:AB112)</f>
        <v>144718.44450000016</v>
      </c>
      <c r="W112" s="32">
        <f t="shared" si="36"/>
        <v>10.841055957069685</v>
      </c>
      <c r="X112" s="32">
        <f t="shared" si="37"/>
        <v>1.5098093354480291</v>
      </c>
      <c r="Y112" s="32">
        <f t="shared" si="38"/>
        <v>0.57894404293031521</v>
      </c>
      <c r="Z112" s="38">
        <f t="shared" si="39"/>
        <v>0.27717204382443311</v>
      </c>
      <c r="AA112" s="31">
        <f>SUM(L$2:L112)-SUM(AB$2:AB112)</f>
        <v>4446.8340000000062</v>
      </c>
      <c r="AB112"/>
      <c r="AC112" s="40">
        <f t="shared" si="21"/>
        <v>676.4030916155757</v>
      </c>
      <c r="AD112" s="40">
        <f t="shared" si="22"/>
        <v>-3023.5969083844243</v>
      </c>
    </row>
    <row r="113" spans="1:30" s="1" customFormat="1" ht="14.4" customHeight="1" x14ac:dyDescent="0.25">
      <c r="A113" s="172">
        <v>42954</v>
      </c>
      <c r="B113" s="159" t="s">
        <v>218</v>
      </c>
      <c r="C113" s="46" t="s">
        <v>63</v>
      </c>
      <c r="D113" s="46">
        <v>500</v>
      </c>
      <c r="E113" s="46">
        <v>11.38</v>
      </c>
      <c r="F113" s="102">
        <f t="shared" si="24"/>
        <v>4200</v>
      </c>
      <c r="G113" s="32">
        <f t="shared" si="23"/>
        <v>9.576336309523839</v>
      </c>
      <c r="H113" s="31">
        <f t="shared" si="25"/>
        <v>40220.612500000127</v>
      </c>
      <c r="I113" s="31">
        <f t="shared" si="26"/>
        <v>7575.3874999998734</v>
      </c>
      <c r="J113" s="108">
        <f t="shared" si="27"/>
        <v>0.18834590099789894</v>
      </c>
      <c r="K113" s="31">
        <f t="shared" si="28"/>
        <v>47796</v>
      </c>
      <c r="L113" s="31">
        <f t="shared" si="29"/>
        <v>-153</v>
      </c>
      <c r="M113" s="31">
        <f t="shared" si="30"/>
        <v>5</v>
      </c>
      <c r="N113" s="31">
        <f t="shared" si="31"/>
        <v>0</v>
      </c>
      <c r="O113" s="125"/>
      <c r="P113" s="32">
        <f t="shared" si="32"/>
        <v>1.8036636904761618</v>
      </c>
      <c r="Q113" s="31">
        <f t="shared" si="33"/>
        <v>-5695</v>
      </c>
      <c r="R113" s="34"/>
      <c r="S113" s="34">
        <f t="shared" si="34"/>
        <v>104497.83200000002</v>
      </c>
      <c r="T113" s="34">
        <f t="shared" si="35"/>
        <v>9182.5862917398954</v>
      </c>
      <c r="U113" s="34">
        <f t="shared" si="20"/>
        <v>13382.586291739895</v>
      </c>
      <c r="V113" s="31">
        <f>H113+S113-SUM(AB$15:AB113)</f>
        <v>144718.44450000016</v>
      </c>
      <c r="W113" s="32">
        <f t="shared" si="36"/>
        <v>10.813936958458052</v>
      </c>
      <c r="X113" s="32">
        <f t="shared" si="37"/>
        <v>1.2376006489342135</v>
      </c>
      <c r="Y113" s="32">
        <f t="shared" si="38"/>
        <v>0.56606304154194831</v>
      </c>
      <c r="Z113" s="38">
        <f t="shared" si="39"/>
        <v>0.31384068134814547</v>
      </c>
      <c r="AA113" s="31">
        <f>SUM(L$2:L113)-SUM(AB$2:AB113)</f>
        <v>4293.8340000000062</v>
      </c>
      <c r="AB113"/>
      <c r="AC113" s="40">
        <f t="shared" si="21"/>
        <v>665.34268947714179</v>
      </c>
      <c r="AD113" s="40">
        <f t="shared" si="22"/>
        <v>-3534.6573105228581</v>
      </c>
    </row>
    <row r="114" spans="1:30" s="1" customFormat="1" x14ac:dyDescent="0.25">
      <c r="A114" s="172">
        <v>42954</v>
      </c>
      <c r="B114" s="160"/>
      <c r="C114" s="163" t="s">
        <v>69</v>
      </c>
      <c r="D114" s="163">
        <v>400</v>
      </c>
      <c r="E114" s="163">
        <v>11.52</v>
      </c>
      <c r="F114" s="102">
        <f t="shared" si="24"/>
        <v>3800</v>
      </c>
      <c r="G114" s="32">
        <f t="shared" si="23"/>
        <v>9.3742685526316123</v>
      </c>
      <c r="H114" s="31">
        <f t="shared" si="25"/>
        <v>35622.220500000127</v>
      </c>
      <c r="I114" s="31">
        <f t="shared" si="26"/>
        <v>8153.7794999998732</v>
      </c>
      <c r="J114" s="108">
        <f t="shared" si="27"/>
        <v>0.22889587975010831</v>
      </c>
      <c r="K114" s="31">
        <f t="shared" si="28"/>
        <v>43776</v>
      </c>
      <c r="L114" s="31">
        <f t="shared" si="29"/>
        <v>578.39199999999983</v>
      </c>
      <c r="M114" s="31">
        <f t="shared" si="30"/>
        <v>5</v>
      </c>
      <c r="N114" s="31">
        <f t="shared" si="31"/>
        <v>4.6079999999999997</v>
      </c>
      <c r="O114" s="125"/>
      <c r="P114" s="32">
        <f t="shared" si="32"/>
        <v>2.1457314473683873</v>
      </c>
      <c r="Q114" s="31">
        <f t="shared" si="33"/>
        <v>4598.3919999999998</v>
      </c>
      <c r="R114" s="34"/>
      <c r="S114" s="34">
        <f t="shared" si="34"/>
        <v>109096.22400000002</v>
      </c>
      <c r="T114" s="34">
        <f t="shared" si="35"/>
        <v>9470.1583333333347</v>
      </c>
      <c r="U114" s="34">
        <f t="shared" si="20"/>
        <v>13270.158333333335</v>
      </c>
      <c r="V114" s="31">
        <f>H114+S114-SUM(AB$15:AB114)</f>
        <v>144718.44450000016</v>
      </c>
      <c r="W114" s="32">
        <f t="shared" si="36"/>
        <v>10.90555522133309</v>
      </c>
      <c r="X114" s="32">
        <f t="shared" si="37"/>
        <v>1.5312866687014779</v>
      </c>
      <c r="Y114" s="32">
        <f t="shared" si="38"/>
        <v>0.61444477866690939</v>
      </c>
      <c r="Z114" s="38">
        <f t="shared" si="39"/>
        <v>0.28635679428592598</v>
      </c>
      <c r="AA114" s="31">
        <f>SUM(L$2:L114)-SUM(AB$2:AB114)</f>
        <v>4872.226000000006</v>
      </c>
      <c r="AB114"/>
      <c r="AC114" s="40">
        <f t="shared" si="21"/>
        <v>707.43946269530159</v>
      </c>
      <c r="AD114" s="40">
        <f t="shared" si="22"/>
        <v>-3092.5605373046983</v>
      </c>
    </row>
    <row r="115" spans="1:30" s="1" customFormat="1" ht="14.4" customHeight="1" x14ac:dyDescent="0.25">
      <c r="A115" s="172">
        <v>42955</v>
      </c>
      <c r="B115" s="159" t="s">
        <v>219</v>
      </c>
      <c r="C115" s="46" t="s">
        <v>63</v>
      </c>
      <c r="D115" s="46">
        <v>500</v>
      </c>
      <c r="E115" s="46">
        <v>11.43</v>
      </c>
      <c r="F115" s="102">
        <f t="shared" si="24"/>
        <v>4300</v>
      </c>
      <c r="G115" s="32">
        <f t="shared" si="23"/>
        <v>9.6144698837209592</v>
      </c>
      <c r="H115" s="31">
        <f t="shared" si="25"/>
        <v>41342.220500000127</v>
      </c>
      <c r="I115" s="31">
        <f t="shared" si="26"/>
        <v>7806.7794999998732</v>
      </c>
      <c r="J115" s="108">
        <f t="shared" si="27"/>
        <v>0.18883309618069138</v>
      </c>
      <c r="K115" s="31">
        <f t="shared" si="28"/>
        <v>49149</v>
      </c>
      <c r="L115" s="31">
        <f t="shared" si="29"/>
        <v>-347</v>
      </c>
      <c r="M115" s="31">
        <f t="shared" si="30"/>
        <v>5</v>
      </c>
      <c r="N115" s="31">
        <f t="shared" si="31"/>
        <v>0</v>
      </c>
      <c r="O115" s="125"/>
      <c r="P115" s="32">
        <f t="shared" si="32"/>
        <v>1.8155301162790405</v>
      </c>
      <c r="Q115" s="31">
        <f t="shared" si="33"/>
        <v>-5720</v>
      </c>
      <c r="R115" s="34"/>
      <c r="S115" s="34">
        <f t="shared" si="34"/>
        <v>103376.22400000002</v>
      </c>
      <c r="T115" s="34">
        <f t="shared" si="35"/>
        <v>9044.2890638670178</v>
      </c>
      <c r="U115" s="34">
        <f t="shared" si="20"/>
        <v>13344.289063867018</v>
      </c>
      <c r="V115" s="31">
        <f>H115+S115-SUM(AB$15:AB115)</f>
        <v>144718.44450000016</v>
      </c>
      <c r="W115" s="32">
        <f t="shared" si="36"/>
        <v>10.844972242984555</v>
      </c>
      <c r="X115" s="32">
        <f t="shared" si="37"/>
        <v>1.2305023592635962</v>
      </c>
      <c r="Y115" s="32">
        <f t="shared" si="38"/>
        <v>0.58502775701544429</v>
      </c>
      <c r="Z115" s="38">
        <f t="shared" si="39"/>
        <v>0.32223522582730313</v>
      </c>
      <c r="AA115" s="31">
        <f>SUM(L$2:L115)-SUM(AB$2:AB115)</f>
        <v>4525.226000000006</v>
      </c>
      <c r="AB115"/>
      <c r="AC115" s="40">
        <f t="shared" si="21"/>
        <v>682.66632635606948</v>
      </c>
      <c r="AD115" s="40">
        <f t="shared" si="22"/>
        <v>-3617.3336736439305</v>
      </c>
    </row>
    <row r="116" spans="1:30" s="1" customFormat="1" ht="14.4" customHeight="1" x14ac:dyDescent="0.25">
      <c r="A116" s="172">
        <v>42956</v>
      </c>
      <c r="B116" s="159" t="s">
        <v>197</v>
      </c>
      <c r="C116" s="46" t="s">
        <v>63</v>
      </c>
      <c r="D116" s="46">
        <v>1000</v>
      </c>
      <c r="E116" s="46">
        <v>11.38</v>
      </c>
      <c r="F116" s="102">
        <f t="shared" si="24"/>
        <v>5300</v>
      </c>
      <c r="G116" s="32">
        <f t="shared" si="23"/>
        <v>9.9486623584905907</v>
      </c>
      <c r="H116" s="31">
        <f t="shared" si="25"/>
        <v>52727.910500000129</v>
      </c>
      <c r="I116" s="31">
        <f t="shared" si="26"/>
        <v>7586.0894999998782</v>
      </c>
      <c r="J116" s="108">
        <f t="shared" si="27"/>
        <v>0.14387237097134459</v>
      </c>
      <c r="K116" s="31">
        <f t="shared" si="28"/>
        <v>60314.000000000007</v>
      </c>
      <c r="L116" s="31">
        <f t="shared" si="29"/>
        <v>-220.68999999999505</v>
      </c>
      <c r="M116" s="31">
        <f t="shared" si="30"/>
        <v>5.69</v>
      </c>
      <c r="N116" s="31">
        <f t="shared" si="31"/>
        <v>0</v>
      </c>
      <c r="O116" s="125"/>
      <c r="P116" s="32">
        <f t="shared" si="32"/>
        <v>1.4313376415094101</v>
      </c>
      <c r="Q116" s="31">
        <f t="shared" si="33"/>
        <v>-11385.690000000002</v>
      </c>
      <c r="R116" s="34"/>
      <c r="S116" s="34">
        <f t="shared" si="34"/>
        <v>91990.534000000014</v>
      </c>
      <c r="T116" s="34">
        <f t="shared" si="35"/>
        <v>8083.5267135325139</v>
      </c>
      <c r="U116" s="34">
        <f t="shared" si="20"/>
        <v>13383.526713532514</v>
      </c>
      <c r="V116" s="31">
        <f>H116+S116-SUM(AB$15:AB116)</f>
        <v>144718.44450000016</v>
      </c>
      <c r="W116" s="32">
        <f t="shared" si="36"/>
        <v>10.813177094320789</v>
      </c>
      <c r="X116" s="32">
        <f t="shared" si="37"/>
        <v>0.86451473583019833</v>
      </c>
      <c r="Y116" s="32">
        <f t="shared" si="38"/>
        <v>0.56682290567921179</v>
      </c>
      <c r="Z116" s="38">
        <f t="shared" si="39"/>
        <v>0.39600922189223858</v>
      </c>
      <c r="AA116" s="31">
        <f>SUM(L$2:L116)-SUM(AB$2:AB116)</f>
        <v>4304.536000000011</v>
      </c>
      <c r="AB116"/>
      <c r="AC116" s="40">
        <f t="shared" si="21"/>
        <v>666.28264105886456</v>
      </c>
      <c r="AD116" s="40">
        <f t="shared" si="22"/>
        <v>-4633.7173589411359</v>
      </c>
    </row>
    <row r="117" spans="1:30" s="1" customFormat="1" x14ac:dyDescent="0.25">
      <c r="A117" s="172">
        <v>42956</v>
      </c>
      <c r="B117" s="160"/>
      <c r="C117" s="163" t="s">
        <v>69</v>
      </c>
      <c r="D117" s="163">
        <v>400</v>
      </c>
      <c r="E117" s="163">
        <v>11.46</v>
      </c>
      <c r="F117" s="102">
        <f t="shared" si="24"/>
        <v>4900</v>
      </c>
      <c r="G117" s="32">
        <f t="shared" si="23"/>
        <v>9.8272437755102313</v>
      </c>
      <c r="H117" s="31">
        <f t="shared" si="25"/>
        <v>48153.494500000132</v>
      </c>
      <c r="I117" s="31">
        <f t="shared" si="26"/>
        <v>8000.5054999998756</v>
      </c>
      <c r="J117" s="108">
        <f t="shared" si="27"/>
        <v>0.16614589622358245</v>
      </c>
      <c r="K117" s="31">
        <f t="shared" si="28"/>
        <v>56154.000000000007</v>
      </c>
      <c r="L117" s="31">
        <f t="shared" si="29"/>
        <v>414.41599999999744</v>
      </c>
      <c r="M117" s="31">
        <f t="shared" si="30"/>
        <v>5</v>
      </c>
      <c r="N117" s="31">
        <f t="shared" si="31"/>
        <v>4.5839999999999996</v>
      </c>
      <c r="O117" s="125"/>
      <c r="P117" s="32">
        <f t="shared" si="32"/>
        <v>1.6327562244897695</v>
      </c>
      <c r="Q117" s="31">
        <f t="shared" si="33"/>
        <v>4574.4159999999974</v>
      </c>
      <c r="R117" s="34"/>
      <c r="S117" s="34">
        <f t="shared" si="34"/>
        <v>96564.950000000012</v>
      </c>
      <c r="T117" s="34">
        <f t="shared" si="35"/>
        <v>8426.2609075043638</v>
      </c>
      <c r="U117" s="34">
        <f t="shared" si="20"/>
        <v>13326.260907504364</v>
      </c>
      <c r="V117" s="31">
        <f>H117+S117-SUM(AB$15:AB117)</f>
        <v>144718.44450000016</v>
      </c>
      <c r="W117" s="32">
        <f t="shared" si="36"/>
        <v>10.859643639312617</v>
      </c>
      <c r="X117" s="32">
        <f t="shared" si="37"/>
        <v>1.0323998638023859</v>
      </c>
      <c r="Y117" s="32">
        <f t="shared" si="38"/>
        <v>0.60035636068738363</v>
      </c>
      <c r="Z117" s="38">
        <f t="shared" si="39"/>
        <v>0.36769503719086594</v>
      </c>
      <c r="AA117" s="31">
        <f>SUM(L$2:L117)-SUM(AB$2:AB117)</f>
        <v>4718.9520000000084</v>
      </c>
      <c r="AB117"/>
      <c r="AC117" s="40">
        <f t="shared" si="21"/>
        <v>697.77532698515495</v>
      </c>
      <c r="AD117" s="40">
        <f t="shared" si="22"/>
        <v>-4202.2246730148454</v>
      </c>
    </row>
    <row r="118" spans="1:30" s="1" customFormat="1" x14ac:dyDescent="0.25">
      <c r="A118" s="172">
        <v>42957</v>
      </c>
      <c r="B118" s="160"/>
      <c r="C118" s="163" t="s">
        <v>69</v>
      </c>
      <c r="D118" s="163">
        <v>400</v>
      </c>
      <c r="E118" s="163">
        <v>11.5</v>
      </c>
      <c r="F118" s="102">
        <f t="shared" si="24"/>
        <v>4500</v>
      </c>
      <c r="G118" s="32">
        <f t="shared" si="23"/>
        <v>9.6806876666666959</v>
      </c>
      <c r="H118" s="31">
        <f t="shared" si="25"/>
        <v>43563.09450000013</v>
      </c>
      <c r="I118" s="31">
        <f t="shared" si="26"/>
        <v>8186.9054999998698</v>
      </c>
      <c r="J118" s="108">
        <f t="shared" si="27"/>
        <v>0.18793213829196279</v>
      </c>
      <c r="K118" s="31">
        <f t="shared" si="28"/>
        <v>51750</v>
      </c>
      <c r="L118" s="31">
        <f t="shared" si="29"/>
        <v>186.39999999999418</v>
      </c>
      <c r="M118" s="31">
        <f t="shared" si="30"/>
        <v>5</v>
      </c>
      <c r="N118" s="31">
        <f t="shared" si="31"/>
        <v>4.5999999999999996</v>
      </c>
      <c r="O118" s="125"/>
      <c r="P118" s="32">
        <f t="shared" si="32"/>
        <v>1.8193123333333041</v>
      </c>
      <c r="Q118" s="31">
        <f t="shared" si="33"/>
        <v>4590.4000000000015</v>
      </c>
      <c r="R118" s="34"/>
      <c r="S118" s="34">
        <f t="shared" si="34"/>
        <v>101155.35</v>
      </c>
      <c r="T118" s="34">
        <f t="shared" si="35"/>
        <v>8796.1173913043476</v>
      </c>
      <c r="U118" s="34">
        <f t="shared" si="20"/>
        <v>13296.117391304348</v>
      </c>
      <c r="V118" s="31">
        <f>H118+S118-SUM(AB$15:AB118)</f>
        <v>144718.44450000013</v>
      </c>
      <c r="W118" s="32">
        <f t="shared" si="36"/>
        <v>10.884263446308461</v>
      </c>
      <c r="X118" s="32">
        <f t="shared" si="37"/>
        <v>1.2035757796417652</v>
      </c>
      <c r="Y118" s="32">
        <f t="shared" si="38"/>
        <v>0.6157365536915389</v>
      </c>
      <c r="Z118" s="38">
        <f t="shared" si="39"/>
        <v>0.33844466527822603</v>
      </c>
      <c r="AA118" s="31">
        <f>SUM(L$2:L118)-SUM(AB$2:AB118)</f>
        <v>4905.3520000000026</v>
      </c>
      <c r="AB118"/>
      <c r="AC118" s="40">
        <f t="shared" si="21"/>
        <v>711.54887367390177</v>
      </c>
      <c r="AD118" s="40">
        <f t="shared" si="22"/>
        <v>-3788.4511263260983</v>
      </c>
    </row>
    <row r="119" spans="1:30" s="1" customFormat="1" ht="14.4" customHeight="1" x14ac:dyDescent="0.25">
      <c r="A119" s="172">
        <v>42957</v>
      </c>
      <c r="B119" s="159" t="s">
        <v>220</v>
      </c>
      <c r="C119" s="46" t="s">
        <v>63</v>
      </c>
      <c r="D119" s="163">
        <v>1000</v>
      </c>
      <c r="E119" s="163">
        <v>11.37</v>
      </c>
      <c r="F119" s="102">
        <f t="shared" si="24"/>
        <v>5500</v>
      </c>
      <c r="G119" s="32">
        <f t="shared" si="23"/>
        <v>9.9888690000000224</v>
      </c>
      <c r="H119" s="31">
        <f t="shared" si="25"/>
        <v>54938.779500000128</v>
      </c>
      <c r="I119" s="31">
        <f t="shared" si="26"/>
        <v>7596.2204999998648</v>
      </c>
      <c r="J119" s="108">
        <f t="shared" si="27"/>
        <v>0.1382670050032665</v>
      </c>
      <c r="K119" s="31">
        <f t="shared" si="28"/>
        <v>62534.999999999993</v>
      </c>
      <c r="L119" s="31">
        <f t="shared" si="29"/>
        <v>-590.68500000000495</v>
      </c>
      <c r="M119" s="31">
        <f t="shared" si="30"/>
        <v>5.6849999999999996</v>
      </c>
      <c r="N119" s="31">
        <f t="shared" si="31"/>
        <v>0</v>
      </c>
      <c r="O119" s="125"/>
      <c r="P119" s="32">
        <f t="shared" si="32"/>
        <v>1.3811309999999768</v>
      </c>
      <c r="Q119" s="31">
        <f t="shared" si="33"/>
        <v>-11375.684999999998</v>
      </c>
      <c r="R119" s="34"/>
      <c r="S119" s="34">
        <f t="shared" si="34"/>
        <v>89779.665000000008</v>
      </c>
      <c r="T119" s="34">
        <f t="shared" si="35"/>
        <v>7896.1886543535629</v>
      </c>
      <c r="U119" s="34">
        <f t="shared" si="20"/>
        <v>13396.188654353562</v>
      </c>
      <c r="V119" s="31">
        <f>H119+S119-SUM(AB$15:AB119)</f>
        <v>144718.44450000013</v>
      </c>
      <c r="W119" s="32">
        <f t="shared" si="36"/>
        <v>10.802956589669165</v>
      </c>
      <c r="X119" s="32">
        <f t="shared" si="37"/>
        <v>0.81408758966914263</v>
      </c>
      <c r="Y119" s="32">
        <f t="shared" si="38"/>
        <v>0.56704341033083416</v>
      </c>
      <c r="Z119" s="38">
        <f t="shared" si="39"/>
        <v>0.41056453756439015</v>
      </c>
      <c r="AA119" s="31">
        <f>SUM(L$2:L119)-SUM(AB$2:AB119)</f>
        <v>4314.6669999999976</v>
      </c>
      <c r="AB119"/>
      <c r="AC119" s="40">
        <f t="shared" si="21"/>
        <v>667.75922513191438</v>
      </c>
      <c r="AD119" s="40">
        <f t="shared" si="22"/>
        <v>-4832.2407748680853</v>
      </c>
    </row>
    <row r="120" spans="1:30" s="1" customFormat="1" ht="14.4" customHeight="1" x14ac:dyDescent="0.25">
      <c r="A120" s="172">
        <v>42957</v>
      </c>
      <c r="B120" s="159" t="s">
        <v>221</v>
      </c>
      <c r="C120" s="46" t="s">
        <v>63</v>
      </c>
      <c r="D120" s="163">
        <v>1000</v>
      </c>
      <c r="E120" s="163">
        <v>11.26</v>
      </c>
      <c r="F120" s="102">
        <f t="shared" si="24"/>
        <v>6500</v>
      </c>
      <c r="G120" s="32">
        <f t="shared" si="23"/>
        <v>10.185293769230789</v>
      </c>
      <c r="H120" s="31">
        <f t="shared" si="25"/>
        <v>66204.409500000125</v>
      </c>
      <c r="I120" s="31">
        <f t="shared" si="26"/>
        <v>6985.5904999998747</v>
      </c>
      <c r="J120" s="108">
        <f t="shared" si="27"/>
        <v>0.10551548684985788</v>
      </c>
      <c r="K120" s="31">
        <f t="shared" si="28"/>
        <v>73190</v>
      </c>
      <c r="L120" s="31">
        <f t="shared" si="29"/>
        <v>-610.6299999999901</v>
      </c>
      <c r="M120" s="31">
        <f t="shared" si="30"/>
        <v>5.63</v>
      </c>
      <c r="N120" s="31">
        <f t="shared" si="31"/>
        <v>0</v>
      </c>
      <c r="O120" s="125"/>
      <c r="P120" s="32">
        <f t="shared" si="32"/>
        <v>1.0747062307692108</v>
      </c>
      <c r="Q120" s="31">
        <f t="shared" si="33"/>
        <v>-11265.629999999997</v>
      </c>
      <c r="R120" s="34"/>
      <c r="S120" s="34">
        <f t="shared" si="34"/>
        <v>78514.035000000003</v>
      </c>
      <c r="T120" s="34">
        <f t="shared" si="35"/>
        <v>6972.8272646536416</v>
      </c>
      <c r="U120" s="34">
        <f t="shared" si="20"/>
        <v>13472.827264653642</v>
      </c>
      <c r="V120" s="31">
        <f>H120+S120-SUM(AB$15:AB120)</f>
        <v>144718.44450000013</v>
      </c>
      <c r="W120" s="32">
        <f t="shared" si="36"/>
        <v>10.741505228058049</v>
      </c>
      <c r="X120" s="32">
        <f t="shared" si="37"/>
        <v>0.55621145882725997</v>
      </c>
      <c r="Y120" s="32">
        <f t="shared" si="38"/>
        <v>0.51849477194195082</v>
      </c>
      <c r="Z120" s="38">
        <f t="shared" si="39"/>
        <v>0.48245255968306971</v>
      </c>
      <c r="AA120" s="31">
        <f>SUM(L$2:L120)-SUM(AB$2:AB120)</f>
        <v>3704.0370000000075</v>
      </c>
      <c r="AB120"/>
      <c r="AC120" s="40">
        <f t="shared" si="21"/>
        <v>620.07972511100138</v>
      </c>
      <c r="AD120" s="40">
        <f t="shared" si="22"/>
        <v>-5879.9202748889984</v>
      </c>
    </row>
    <row r="121" spans="1:30" s="1" customFormat="1" ht="14.4" customHeight="1" x14ac:dyDescent="0.25">
      <c r="A121" s="172">
        <v>42957</v>
      </c>
      <c r="B121" s="159"/>
      <c r="C121" s="46" t="s">
        <v>69</v>
      </c>
      <c r="D121" s="163">
        <v>400</v>
      </c>
      <c r="E121" s="163">
        <v>11.34</v>
      </c>
      <c r="F121" s="102">
        <f t="shared" si="24"/>
        <v>6100</v>
      </c>
      <c r="G121" s="32">
        <f t="shared" si="23"/>
        <v>10.111138606557397</v>
      </c>
      <c r="H121" s="31">
        <f t="shared" si="25"/>
        <v>61677.945500000125</v>
      </c>
      <c r="I121" s="31">
        <f t="shared" si="26"/>
        <v>7496.0544999998747</v>
      </c>
      <c r="J121" s="108">
        <f t="shared" si="27"/>
        <v>0.1215354117137359</v>
      </c>
      <c r="K121" s="31">
        <f t="shared" si="28"/>
        <v>69174</v>
      </c>
      <c r="L121" s="31">
        <f t="shared" si="29"/>
        <v>510.46399999999994</v>
      </c>
      <c r="M121" s="31">
        <f t="shared" si="30"/>
        <v>5</v>
      </c>
      <c r="N121" s="31">
        <f t="shared" si="31"/>
        <v>4.5359999999999996</v>
      </c>
      <c r="O121" s="125"/>
      <c r="P121" s="32">
        <f t="shared" si="32"/>
        <v>1.2288613934426031</v>
      </c>
      <c r="Q121" s="31">
        <f t="shared" si="33"/>
        <v>4526.4639999999999</v>
      </c>
      <c r="R121" s="34"/>
      <c r="S121" s="34">
        <f t="shared" si="34"/>
        <v>83040.499000000011</v>
      </c>
      <c r="T121" s="34">
        <f t="shared" si="35"/>
        <v>7322.7953262786605</v>
      </c>
      <c r="U121" s="34">
        <f t="shared" si="20"/>
        <v>13422.795326278661</v>
      </c>
      <c r="V121" s="31">
        <f>H121+S121-SUM(AB$15:AB121)</f>
        <v>144718.44450000013</v>
      </c>
      <c r="W121" s="32">
        <f t="shared" si="36"/>
        <v>10.781542963459751</v>
      </c>
      <c r="X121" s="32">
        <f t="shared" si="37"/>
        <v>0.67040435690235434</v>
      </c>
      <c r="Y121" s="32">
        <f t="shared" si="38"/>
        <v>0.55845703654024881</v>
      </c>
      <c r="Z121" s="38">
        <f t="shared" si="39"/>
        <v>0.4544507944673522</v>
      </c>
      <c r="AA121" s="31">
        <f>SUM(L$2:L121)-SUM(AB$2:AB121)</f>
        <v>4214.5010000000075</v>
      </c>
      <c r="AB121"/>
      <c r="AC121" s="40">
        <f t="shared" si="21"/>
        <v>660.69721981921293</v>
      </c>
      <c r="AD121" s="40">
        <f t="shared" si="22"/>
        <v>-5439.3027801807875</v>
      </c>
    </row>
    <row r="122" spans="1:30" s="1" customFormat="1" ht="14.4" customHeight="1" x14ac:dyDescent="0.25">
      <c r="A122" s="172">
        <v>42958</v>
      </c>
      <c r="B122" s="159" t="s">
        <v>222</v>
      </c>
      <c r="C122" s="46" t="s">
        <v>63</v>
      </c>
      <c r="D122" s="163">
        <v>500</v>
      </c>
      <c r="E122" s="163">
        <v>11.2</v>
      </c>
      <c r="F122" s="102">
        <f t="shared" si="24"/>
        <v>6600</v>
      </c>
      <c r="G122" s="32">
        <f t="shared" si="23"/>
        <v>10.194385681818199</v>
      </c>
      <c r="H122" s="31">
        <f t="shared" si="25"/>
        <v>67282.945500000118</v>
      </c>
      <c r="I122" s="31">
        <f t="shared" si="26"/>
        <v>6637.054499999882</v>
      </c>
      <c r="J122" s="108">
        <f t="shared" si="27"/>
        <v>9.8643934962684893E-2</v>
      </c>
      <c r="K122" s="31">
        <f t="shared" si="28"/>
        <v>73920</v>
      </c>
      <c r="L122" s="31">
        <f t="shared" si="29"/>
        <v>-858.99999999999272</v>
      </c>
      <c r="M122" s="31">
        <f t="shared" si="30"/>
        <v>5</v>
      </c>
      <c r="N122" s="31">
        <f t="shared" si="31"/>
        <v>0</v>
      </c>
      <c r="O122" s="125"/>
      <c r="P122" s="32">
        <f t="shared" si="32"/>
        <v>1.0056143181818005</v>
      </c>
      <c r="Q122" s="31">
        <f t="shared" si="33"/>
        <v>-5604.9999999999927</v>
      </c>
      <c r="R122" s="34"/>
      <c r="S122" s="34">
        <f t="shared" si="34"/>
        <v>77435.499000000011</v>
      </c>
      <c r="T122" s="34">
        <f t="shared" si="35"/>
        <v>6913.883839285716</v>
      </c>
      <c r="U122" s="34">
        <f t="shared" si="20"/>
        <v>13513.883839285716</v>
      </c>
      <c r="V122" s="31">
        <f>H122+S122-SUM(AB$15:AB122)</f>
        <v>144718.44450000013</v>
      </c>
      <c r="W122" s="32">
        <f t="shared" si="36"/>
        <v>10.708871425940073</v>
      </c>
      <c r="X122" s="32">
        <f t="shared" si="37"/>
        <v>0.51448574412187398</v>
      </c>
      <c r="Y122" s="32">
        <f t="shared" si="38"/>
        <v>0.49112857405992649</v>
      </c>
      <c r="Z122" s="38">
        <f t="shared" si="39"/>
        <v>0.48838661620084245</v>
      </c>
      <c r="AA122" s="31">
        <f>SUM(L$2:L122)-SUM(AB$2:AB122)</f>
        <v>3355.5010000000148</v>
      </c>
      <c r="AB122"/>
      <c r="AC122" s="40">
        <f t="shared" si="21"/>
        <v>592.29785470981096</v>
      </c>
      <c r="AD122" s="40">
        <f t="shared" si="22"/>
        <v>-6007.702145290189</v>
      </c>
    </row>
    <row r="123" spans="1:30" s="1" customFormat="1" ht="14.4" customHeight="1" x14ac:dyDescent="0.25">
      <c r="A123" s="172">
        <v>42958</v>
      </c>
      <c r="B123" s="159" t="s">
        <v>223</v>
      </c>
      <c r="C123" s="46" t="s">
        <v>63</v>
      </c>
      <c r="D123" s="163">
        <v>500</v>
      </c>
      <c r="E123" s="163">
        <v>11.12</v>
      </c>
      <c r="F123" s="102">
        <f t="shared" si="24"/>
        <v>7100</v>
      </c>
      <c r="G123" s="32">
        <f t="shared" si="23"/>
        <v>10.260274014084525</v>
      </c>
      <c r="H123" s="31">
        <f t="shared" si="25"/>
        <v>72847.945500000118</v>
      </c>
      <c r="I123" s="31">
        <f t="shared" si="26"/>
        <v>6104.054499999882</v>
      </c>
      <c r="J123" s="108">
        <f t="shared" si="27"/>
        <v>8.3791717914678321E-2</v>
      </c>
      <c r="K123" s="31">
        <f t="shared" si="28"/>
        <v>78952</v>
      </c>
      <c r="L123" s="31">
        <f t="shared" si="29"/>
        <v>-533</v>
      </c>
      <c r="M123" s="31">
        <f t="shared" si="30"/>
        <v>5</v>
      </c>
      <c r="N123" s="31">
        <f t="shared" si="31"/>
        <v>0</v>
      </c>
      <c r="O123" s="125"/>
      <c r="P123" s="32">
        <f t="shared" si="32"/>
        <v>0.85972598591547467</v>
      </c>
      <c r="Q123" s="31">
        <f t="shared" si="33"/>
        <v>-5565</v>
      </c>
      <c r="R123" s="34"/>
      <c r="S123" s="34">
        <f t="shared" si="34"/>
        <v>71870.499000000011</v>
      </c>
      <c r="T123" s="34">
        <f t="shared" si="35"/>
        <v>6463.1743705035988</v>
      </c>
      <c r="U123" s="34">
        <f t="shared" si="20"/>
        <v>13563.174370503599</v>
      </c>
      <c r="V123" s="31">
        <f>H123+S123-SUM(AB$15:AB123)</f>
        <v>144718.44450000013</v>
      </c>
      <c r="W123" s="32">
        <f t="shared" si="36"/>
        <v>10.669953843159709</v>
      </c>
      <c r="X123" s="32">
        <f t="shared" si="37"/>
        <v>0.40967982907518419</v>
      </c>
      <c r="Y123" s="32">
        <f t="shared" si="38"/>
        <v>0.45004615684029048</v>
      </c>
      <c r="Z123" s="38">
        <f t="shared" si="39"/>
        <v>0.52347627524723606</v>
      </c>
      <c r="AA123" s="31">
        <f>SUM(L$2:L123)-SUM(AB$2:AB123)</f>
        <v>2822.5010000000148</v>
      </c>
      <c r="AB123"/>
      <c r="AC123" s="40">
        <f t="shared" si="21"/>
        <v>548.65130150628443</v>
      </c>
      <c r="AD123" s="40">
        <f t="shared" si="22"/>
        <v>-6551.3486984937153</v>
      </c>
    </row>
    <row r="124" spans="1:30" s="1" customFormat="1" ht="14.4" customHeight="1" x14ac:dyDescent="0.25">
      <c r="A124" s="174">
        <v>42958</v>
      </c>
      <c r="B124" s="160"/>
      <c r="C124" s="64" t="s">
        <v>63</v>
      </c>
      <c r="D124" s="104">
        <v>500</v>
      </c>
      <c r="E124" s="104">
        <v>11.07</v>
      </c>
      <c r="F124" s="102">
        <f t="shared" si="24"/>
        <v>7600</v>
      </c>
      <c r="G124" s="32">
        <f t="shared" si="23"/>
        <v>10.314203355263173</v>
      </c>
      <c r="H124" s="31">
        <f t="shared" si="25"/>
        <v>78387.945500000118</v>
      </c>
      <c r="I124" s="31">
        <f t="shared" si="26"/>
        <v>5744.054499999882</v>
      </c>
      <c r="J124" s="108">
        <f t="shared" si="27"/>
        <v>7.3277268122812086E-2</v>
      </c>
      <c r="K124" s="31">
        <f t="shared" si="28"/>
        <v>84132</v>
      </c>
      <c r="L124" s="31">
        <f t="shared" si="29"/>
        <v>-360</v>
      </c>
      <c r="M124" s="31">
        <f t="shared" si="30"/>
        <v>5</v>
      </c>
      <c r="N124" s="31">
        <f t="shared" si="31"/>
        <v>0</v>
      </c>
      <c r="O124" s="125"/>
      <c r="P124" s="32">
        <f t="shared" si="32"/>
        <v>0.75579664473682762</v>
      </c>
      <c r="Q124" s="31">
        <f t="shared" si="33"/>
        <v>-5540</v>
      </c>
      <c r="R124" s="34"/>
      <c r="S124" s="34">
        <f t="shared" si="34"/>
        <v>66330.499000000011</v>
      </c>
      <c r="T124" s="34">
        <f t="shared" si="35"/>
        <v>5991.9149954832892</v>
      </c>
      <c r="U124" s="34">
        <f t="shared" si="20"/>
        <v>13591.91499548329</v>
      </c>
      <c r="V124" s="31">
        <f>H124+S124-SUM(AB$15:AB124)</f>
        <v>144718.44450000013</v>
      </c>
      <c r="W124" s="32">
        <f t="shared" si="36"/>
        <v>10.647391816980264</v>
      </c>
      <c r="X124" s="32">
        <f t="shared" si="37"/>
        <v>0.33318846171709104</v>
      </c>
      <c r="Y124" s="32">
        <f t="shared" si="38"/>
        <v>0.42260818301973657</v>
      </c>
      <c r="Z124" s="38">
        <f t="shared" si="39"/>
        <v>0.55915593958066578</v>
      </c>
      <c r="AA124" s="31">
        <f>SUM(L$2:L124)-SUM(AB$2:AB124)</f>
        <v>2462.5010000000148</v>
      </c>
      <c r="AC124" s="40">
        <f t="shared" si="21"/>
        <v>518.62533629176892</v>
      </c>
      <c r="AD124" s="40">
        <f t="shared" si="22"/>
        <v>-7081.3746637082313</v>
      </c>
    </row>
    <row r="125" spans="1:30" s="1" customFormat="1" ht="14.4" customHeight="1" x14ac:dyDescent="0.25">
      <c r="A125" s="174">
        <v>42961</v>
      </c>
      <c r="B125" s="159" t="s">
        <v>224</v>
      </c>
      <c r="C125" s="64" t="s">
        <v>69</v>
      </c>
      <c r="D125" s="104">
        <v>400</v>
      </c>
      <c r="E125" s="104">
        <v>11.21</v>
      </c>
      <c r="F125" s="102">
        <f t="shared" si="24"/>
        <v>7200</v>
      </c>
      <c r="G125" s="32">
        <f t="shared" si="23"/>
        <v>10.265754097222239</v>
      </c>
      <c r="H125" s="31">
        <f t="shared" si="25"/>
        <v>73913.429500000115</v>
      </c>
      <c r="I125" s="31">
        <f t="shared" si="26"/>
        <v>6798.5704999998852</v>
      </c>
      <c r="J125" s="108">
        <f t="shared" si="27"/>
        <v>9.1980179325867675E-2</v>
      </c>
      <c r="K125" s="31">
        <f t="shared" si="28"/>
        <v>80712</v>
      </c>
      <c r="L125" s="31">
        <f t="shared" si="29"/>
        <v>1054.5160000000033</v>
      </c>
      <c r="M125" s="31">
        <f t="shared" si="30"/>
        <v>5</v>
      </c>
      <c r="N125" s="31">
        <f t="shared" si="31"/>
        <v>4.484</v>
      </c>
      <c r="O125" s="125"/>
      <c r="P125" s="32">
        <f t="shared" si="32"/>
        <v>0.94424590277776232</v>
      </c>
      <c r="Q125" s="31">
        <f t="shared" si="33"/>
        <v>4474.5160000000033</v>
      </c>
      <c r="R125" s="34"/>
      <c r="S125" s="34">
        <f t="shared" si="34"/>
        <v>70805.015000000014</v>
      </c>
      <c r="T125" s="34">
        <f t="shared" si="35"/>
        <v>6316.2368421052643</v>
      </c>
      <c r="U125" s="34">
        <f t="shared" si="20"/>
        <v>13516.236842105263</v>
      </c>
      <c r="V125" s="31">
        <f>H125+S125-SUM(AB$15:AB125)</f>
        <v>144718.44450000013</v>
      </c>
      <c r="W125" s="32">
        <f t="shared" si="36"/>
        <v>10.70700714929608</v>
      </c>
      <c r="X125" s="32">
        <f t="shared" si="37"/>
        <v>0.4412530520738418</v>
      </c>
      <c r="Y125" s="32">
        <f t="shared" si="38"/>
        <v>0.50299285070392052</v>
      </c>
      <c r="Z125" s="38">
        <f t="shared" si="39"/>
        <v>0.53269264841311714</v>
      </c>
      <c r="AA125" s="31">
        <f>SUM(L$2:L125)-SUM(AB$2:AB125)</f>
        <v>3517.017000000018</v>
      </c>
      <c r="AC125" s="40">
        <f t="shared" si="21"/>
        <v>606.17049194914239</v>
      </c>
      <c r="AD125" s="40">
        <f t="shared" si="22"/>
        <v>-6593.8295080508578</v>
      </c>
    </row>
    <row r="126" spans="1:30" s="1" customFormat="1" x14ac:dyDescent="0.25">
      <c r="A126" s="174">
        <v>42963</v>
      </c>
      <c r="B126" s="160"/>
      <c r="C126" s="104" t="s">
        <v>69</v>
      </c>
      <c r="D126" s="104">
        <v>400</v>
      </c>
      <c r="E126" s="104">
        <v>11.32</v>
      </c>
      <c r="F126" s="102">
        <f t="shared" si="24"/>
        <v>6800</v>
      </c>
      <c r="G126" s="32">
        <f t="shared" si="23"/>
        <v>10.205140808823547</v>
      </c>
      <c r="H126" s="31">
        <f t="shared" si="25"/>
        <v>69394.95750000012</v>
      </c>
      <c r="I126" s="31">
        <f t="shared" si="26"/>
        <v>7581.0424999998795</v>
      </c>
      <c r="J126" s="108">
        <f t="shared" si="27"/>
        <v>0.10924486119902689</v>
      </c>
      <c r="K126" s="31">
        <f t="shared" si="28"/>
        <v>76976</v>
      </c>
      <c r="L126" s="31">
        <f t="shared" si="29"/>
        <v>782.4719999999943</v>
      </c>
      <c r="M126" s="31">
        <f t="shared" si="30"/>
        <v>5</v>
      </c>
      <c r="N126" s="31">
        <f t="shared" si="31"/>
        <v>4.5279999999999996</v>
      </c>
      <c r="O126" s="125"/>
      <c r="P126" s="32">
        <f t="shared" si="32"/>
        <v>1.1148591911764534</v>
      </c>
      <c r="Q126" s="31">
        <f t="shared" si="33"/>
        <v>4518.4719999999943</v>
      </c>
      <c r="R126" s="34"/>
      <c r="S126" s="34">
        <f t="shared" si="34"/>
        <v>75323.487000000008</v>
      </c>
      <c r="T126" s="34">
        <f t="shared" si="35"/>
        <v>6654.0182862190823</v>
      </c>
      <c r="U126" s="34">
        <f t="shared" si="20"/>
        <v>13454.018286219081</v>
      </c>
      <c r="V126" s="31">
        <f>H126+S126-SUM(AB$15:AB126)</f>
        <v>144718.44450000013</v>
      </c>
      <c r="W126" s="32">
        <f t="shared" si="36"/>
        <v>10.756522060642276</v>
      </c>
      <c r="X126" s="32">
        <f t="shared" si="37"/>
        <v>0.55138125181872866</v>
      </c>
      <c r="Y126" s="32">
        <f t="shared" si="38"/>
        <v>0.56347793935772472</v>
      </c>
      <c r="Z126" s="38">
        <f t="shared" si="39"/>
        <v>0.50542520868766949</v>
      </c>
      <c r="AA126" s="31">
        <f>SUM(L$2:L126)-SUM(AB$2:AB126)</f>
        <v>4299.4890000000123</v>
      </c>
      <c r="AC126" s="40">
        <f t="shared" si="21"/>
        <v>669.36854935953011</v>
      </c>
      <c r="AD126" s="40">
        <f t="shared" si="22"/>
        <v>-6130.6314506404697</v>
      </c>
    </row>
    <row r="127" spans="1:30" s="1" customFormat="1" x14ac:dyDescent="0.25">
      <c r="A127" s="174">
        <v>42965</v>
      </c>
      <c r="B127" s="160"/>
      <c r="C127" s="104" t="s">
        <v>69</v>
      </c>
      <c r="D127" s="104">
        <v>400</v>
      </c>
      <c r="E127" s="104">
        <v>11.52</v>
      </c>
      <c r="F127" s="102">
        <f t="shared" si="24"/>
        <v>6400</v>
      </c>
      <c r="G127" s="32">
        <f t="shared" si="23"/>
        <v>10.124463359375019</v>
      </c>
      <c r="H127" s="31">
        <f t="shared" si="25"/>
        <v>64796.565500000121</v>
      </c>
      <c r="I127" s="31">
        <f t="shared" si="26"/>
        <v>8931.4344999998793</v>
      </c>
      <c r="J127" s="108">
        <f t="shared" si="27"/>
        <v>0.13783808495220104</v>
      </c>
      <c r="K127" s="31">
        <f t="shared" si="28"/>
        <v>73728</v>
      </c>
      <c r="L127" s="31">
        <f t="shared" si="29"/>
        <v>1350.3919999999998</v>
      </c>
      <c r="M127" s="31">
        <f t="shared" si="30"/>
        <v>5</v>
      </c>
      <c r="N127" s="31">
        <f t="shared" si="31"/>
        <v>4.6079999999999997</v>
      </c>
      <c r="O127" s="125"/>
      <c r="P127" s="32">
        <f t="shared" si="32"/>
        <v>1.3955366406249805</v>
      </c>
      <c r="Q127" s="31">
        <f t="shared" si="33"/>
        <v>4598.3919999999998</v>
      </c>
      <c r="R127" s="34"/>
      <c r="S127" s="34">
        <f t="shared" si="34"/>
        <v>79921.879000000015</v>
      </c>
      <c r="T127" s="34">
        <f t="shared" si="35"/>
        <v>6937.6631076388903</v>
      </c>
      <c r="U127" s="34">
        <f t="shared" si="20"/>
        <v>13337.663107638891</v>
      </c>
      <c r="V127" s="31">
        <f>H127+S127-SUM(AB$15:AB127)</f>
        <v>144718.44450000013</v>
      </c>
      <c r="W127" s="32">
        <f t="shared" si="36"/>
        <v>10.850359866798211</v>
      </c>
      <c r="X127" s="32">
        <f t="shared" si="37"/>
        <v>0.72589650742319201</v>
      </c>
      <c r="Y127" s="32">
        <f t="shared" si="38"/>
        <v>0.6696401332017885</v>
      </c>
      <c r="Z127" s="38">
        <f t="shared" si="39"/>
        <v>0.47984417872532126</v>
      </c>
      <c r="AA127" s="31">
        <f>SUM(L$2:L127)-SUM(AB$2:AB127)</f>
        <v>5649.8810000000121</v>
      </c>
      <c r="AC127" s="40">
        <f t="shared" si="21"/>
        <v>774.91048461370485</v>
      </c>
      <c r="AD127" s="40">
        <f t="shared" si="22"/>
        <v>-5625.0895153862948</v>
      </c>
    </row>
    <row r="128" spans="1:30" s="1" customFormat="1" ht="15" customHeight="1" x14ac:dyDescent="0.25">
      <c r="A128" s="174">
        <v>42965</v>
      </c>
      <c r="B128" s="159"/>
      <c r="C128" s="64" t="s">
        <v>69</v>
      </c>
      <c r="D128" s="104">
        <v>400</v>
      </c>
      <c r="E128" s="104">
        <v>11.71</v>
      </c>
      <c r="F128" s="102">
        <f t="shared" si="24"/>
        <v>6000</v>
      </c>
      <c r="G128" s="32">
        <f t="shared" si="23"/>
        <v>10.020374916666688</v>
      </c>
      <c r="H128" s="31">
        <f t="shared" si="25"/>
        <v>60122.249500000122</v>
      </c>
      <c r="I128" s="31">
        <f t="shared" si="26"/>
        <v>10137.750499999878</v>
      </c>
      <c r="J128" s="108">
        <f t="shared" si="27"/>
        <v>0.16861894863065391</v>
      </c>
      <c r="K128" s="31">
        <f t="shared" si="28"/>
        <v>70260</v>
      </c>
      <c r="L128" s="31">
        <f t="shared" si="29"/>
        <v>1206.3159999999989</v>
      </c>
      <c r="M128" s="31">
        <f t="shared" si="30"/>
        <v>5</v>
      </c>
      <c r="N128" s="31">
        <f t="shared" si="31"/>
        <v>4.6840000000000002</v>
      </c>
      <c r="O128" s="125"/>
      <c r="P128" s="32">
        <f t="shared" si="32"/>
        <v>1.6896250833333131</v>
      </c>
      <c r="Q128" s="31">
        <f t="shared" si="33"/>
        <v>4674.3159999999989</v>
      </c>
      <c r="R128" s="34"/>
      <c r="S128" s="34">
        <f t="shared" si="34"/>
        <v>84596.195000000007</v>
      </c>
      <c r="T128" s="34">
        <f t="shared" si="35"/>
        <v>7224.2694278394538</v>
      </c>
      <c r="U128" s="34">
        <f t="shared" si="20"/>
        <v>13224.269427839454</v>
      </c>
      <c r="V128" s="31">
        <f>H128+S128-SUM(AB$15:AB128)</f>
        <v>144718.44450000013</v>
      </c>
      <c r="W128" s="32">
        <f t="shared" si="36"/>
        <v>10.943398067445745</v>
      </c>
      <c r="X128" s="32">
        <f t="shared" si="37"/>
        <v>0.92302315077905739</v>
      </c>
      <c r="Y128" s="32">
        <f t="shared" si="38"/>
        <v>0.76660193255425568</v>
      </c>
      <c r="Z128" s="38">
        <f t="shared" si="39"/>
        <v>0.45371126418287622</v>
      </c>
      <c r="AA128" s="31">
        <f>SUM(L$2:L128)-SUM(AB$2:AB128)</f>
        <v>6856.197000000011</v>
      </c>
      <c r="AC128" s="40">
        <f t="shared" si="21"/>
        <v>865.30159049956251</v>
      </c>
      <c r="AD128" s="40">
        <f t="shared" si="22"/>
        <v>-5134.6984095004373</v>
      </c>
    </row>
    <row r="129" spans="1:30" s="1" customFormat="1" ht="14.4" customHeight="1" x14ac:dyDescent="0.25">
      <c r="A129" s="174">
        <v>42968</v>
      </c>
      <c r="B129" s="159"/>
      <c r="C129" s="64" t="s">
        <v>69</v>
      </c>
      <c r="D129" s="104">
        <v>400</v>
      </c>
      <c r="E129" s="104">
        <v>11.88</v>
      </c>
      <c r="F129" s="102">
        <f t="shared" si="24"/>
        <v>5600</v>
      </c>
      <c r="G129" s="32">
        <f t="shared" si="23"/>
        <v>9.8892859821428782</v>
      </c>
      <c r="H129" s="31">
        <f t="shared" si="25"/>
        <v>55380.001500000122</v>
      </c>
      <c r="I129" s="31">
        <f t="shared" si="26"/>
        <v>11147.998499999878</v>
      </c>
      <c r="J129" s="108">
        <f t="shared" si="27"/>
        <v>0.20130007580443751</v>
      </c>
      <c r="K129" s="31">
        <f t="shared" si="28"/>
        <v>66528</v>
      </c>
      <c r="L129" s="31">
        <f t="shared" si="29"/>
        <v>1010.2479999999996</v>
      </c>
      <c r="M129" s="31">
        <f t="shared" si="30"/>
        <v>5</v>
      </c>
      <c r="N129" s="31">
        <f t="shared" si="31"/>
        <v>4.7519999999999998</v>
      </c>
      <c r="O129" s="125"/>
      <c r="P129" s="32">
        <f t="shared" si="32"/>
        <v>1.9907140178571225</v>
      </c>
      <c r="Q129" s="31">
        <f t="shared" si="33"/>
        <v>4742.2479999999996</v>
      </c>
      <c r="R129" s="34"/>
      <c r="S129" s="34">
        <f t="shared" si="34"/>
        <v>89338.442999999999</v>
      </c>
      <c r="T129" s="34">
        <f t="shared" si="35"/>
        <v>7520.0709595959588</v>
      </c>
      <c r="U129" s="34">
        <f t="shared" si="20"/>
        <v>13120.07095959596</v>
      </c>
      <c r="V129" s="31">
        <f>H129+S129-SUM(AB$15:AB129)</f>
        <v>144718.44450000013</v>
      </c>
      <c r="W129" s="32">
        <f t="shared" si="36"/>
        <v>11.030309587933571</v>
      </c>
      <c r="X129" s="32">
        <f t="shared" si="37"/>
        <v>1.1410236057906928</v>
      </c>
      <c r="Y129" s="32">
        <f t="shared" si="38"/>
        <v>0.8496904120664297</v>
      </c>
      <c r="Z129" s="38">
        <f t="shared" si="39"/>
        <v>0.42682695979659968</v>
      </c>
      <c r="AA129" s="31">
        <f>SUM(L$2:L129)-SUM(AB$2:AB129)</f>
        <v>7866.4450000000106</v>
      </c>
      <c r="AC129" s="40">
        <f t="shared" si="21"/>
        <v>937.91452026514128</v>
      </c>
      <c r="AD129" s="40">
        <f t="shared" si="22"/>
        <v>-4662.0854797348584</v>
      </c>
    </row>
    <row r="130" spans="1:30" s="1" customFormat="1" ht="14.4" customHeight="1" x14ac:dyDescent="0.25">
      <c r="A130" s="174">
        <v>42968</v>
      </c>
      <c r="B130" s="160"/>
      <c r="C130" s="104" t="s">
        <v>69</v>
      </c>
      <c r="D130" s="104">
        <v>400</v>
      </c>
      <c r="E130" s="104">
        <v>12.04</v>
      </c>
      <c r="F130" s="102">
        <f t="shared" si="24"/>
        <v>5200</v>
      </c>
      <c r="G130" s="32">
        <f t="shared" si="23"/>
        <v>9.7257341346154078</v>
      </c>
      <c r="H130" s="31">
        <f t="shared" si="25"/>
        <v>50573.817500000121</v>
      </c>
      <c r="I130" s="31">
        <f t="shared" si="26"/>
        <v>12034.182499999872</v>
      </c>
      <c r="J130" s="108">
        <f t="shared" si="27"/>
        <v>0.23795282015244046</v>
      </c>
      <c r="K130" s="31">
        <f t="shared" si="28"/>
        <v>62607.999999999993</v>
      </c>
      <c r="L130" s="31">
        <f t="shared" si="29"/>
        <v>886.18399999999383</v>
      </c>
      <c r="M130" s="31">
        <f t="shared" si="30"/>
        <v>5</v>
      </c>
      <c r="N130" s="31">
        <f t="shared" si="31"/>
        <v>4.8159999999999998</v>
      </c>
      <c r="O130" s="125"/>
      <c r="P130" s="32">
        <f t="shared" si="32"/>
        <v>2.3142658653845913</v>
      </c>
      <c r="Q130" s="31">
        <f t="shared" si="33"/>
        <v>4806.1840000000011</v>
      </c>
      <c r="R130" s="34"/>
      <c r="S130" s="34">
        <f t="shared" si="34"/>
        <v>94144.627000000008</v>
      </c>
      <c r="T130" s="34">
        <f t="shared" si="35"/>
        <v>7819.3211794019944</v>
      </c>
      <c r="U130" s="34">
        <f t="shared" ref="U130:U193" si="40">F130+T130</f>
        <v>13019.321179401995</v>
      </c>
      <c r="V130" s="31">
        <f>H130+S130-SUM(AB$15:AB130)</f>
        <v>144718.44450000013</v>
      </c>
      <c r="W130" s="32">
        <f t="shared" si="36"/>
        <v>11.115667438096596</v>
      </c>
      <c r="X130" s="32">
        <f t="shared" si="37"/>
        <v>1.3899333034811878</v>
      </c>
      <c r="Y130" s="32">
        <f t="shared" si="38"/>
        <v>0.92433256190340352</v>
      </c>
      <c r="Z130" s="38">
        <f t="shared" si="39"/>
        <v>0.3994063844301633</v>
      </c>
      <c r="AA130" s="31">
        <f>SUM(L$2:L130)-SUM(AB$2:AB130)</f>
        <v>8752.6290000000045</v>
      </c>
      <c r="AC130" s="40">
        <f t="shared" si="21"/>
        <v>999.01706052739803</v>
      </c>
      <c r="AD130" s="40">
        <f t="shared" si="22"/>
        <v>-4200.9829394726021</v>
      </c>
    </row>
    <row r="131" spans="1:30" s="1" customFormat="1" ht="14.4" customHeight="1" x14ac:dyDescent="0.25">
      <c r="A131" s="174">
        <v>42968</v>
      </c>
      <c r="B131" s="160"/>
      <c r="C131" s="104" t="s">
        <v>69</v>
      </c>
      <c r="D131" s="104">
        <v>400</v>
      </c>
      <c r="E131" s="104">
        <v>12.12</v>
      </c>
      <c r="F131" s="102">
        <f t="shared" si="24"/>
        <v>4800</v>
      </c>
      <c r="G131" s="32">
        <f t="shared" si="23"/>
        <v>9.5282636458333574</v>
      </c>
      <c r="H131" s="31">
        <f t="shared" si="25"/>
        <v>45735.665500000119</v>
      </c>
      <c r="I131" s="31">
        <f t="shared" si="26"/>
        <v>12440.334499999874</v>
      </c>
      <c r="J131" s="108">
        <f t="shared" si="27"/>
        <v>0.27200510507494091</v>
      </c>
      <c r="K131" s="31">
        <f t="shared" si="28"/>
        <v>58175.999999999993</v>
      </c>
      <c r="L131" s="31">
        <f t="shared" si="29"/>
        <v>406.15200000000186</v>
      </c>
      <c r="M131" s="31">
        <f t="shared" si="30"/>
        <v>5</v>
      </c>
      <c r="N131" s="31">
        <f t="shared" si="31"/>
        <v>4.8479999999999999</v>
      </c>
      <c r="O131" s="125"/>
      <c r="P131" s="32">
        <f t="shared" si="32"/>
        <v>2.5917363541666418</v>
      </c>
      <c r="Q131" s="31">
        <f t="shared" si="33"/>
        <v>4838.1520000000019</v>
      </c>
      <c r="R131" s="34"/>
      <c r="S131" s="34">
        <f t="shared" si="34"/>
        <v>98982.77900000001</v>
      </c>
      <c r="T131" s="34">
        <f t="shared" si="35"/>
        <v>8166.8959570957113</v>
      </c>
      <c r="U131" s="34">
        <f t="shared" si="40"/>
        <v>12966.895957095712</v>
      </c>
      <c r="V131" s="31">
        <f>H131+S131-SUM(AB$15:AB131)</f>
        <v>144718.44450000013</v>
      </c>
      <c r="W131" s="32">
        <f t="shared" si="36"/>
        <v>11.160608134655979</v>
      </c>
      <c r="X131" s="32">
        <f t="shared" si="37"/>
        <v>1.6323444888226213</v>
      </c>
      <c r="Y131" s="32">
        <f t="shared" si="38"/>
        <v>0.95939186534402054</v>
      </c>
      <c r="Z131" s="38">
        <f t="shared" si="39"/>
        <v>0.37017340278521754</v>
      </c>
      <c r="AA131" s="31">
        <f>SUM(L$2:L131)-SUM(AB$2:AB131)</f>
        <v>9158.7810000000063</v>
      </c>
      <c r="AC131" s="40">
        <f t="shared" ref="AC131:AC194" si="41">I131/E131*(1-0.0005)</f>
        <v>1025.9170241542802</v>
      </c>
      <c r="AD131" s="40">
        <f t="shared" ref="AD131:AD194" si="42">AC131-F131</f>
        <v>-3774.0829758457198</v>
      </c>
    </row>
    <row r="132" spans="1:30" s="1" customFormat="1" x14ac:dyDescent="0.25">
      <c r="A132" s="174">
        <v>42968</v>
      </c>
      <c r="B132" s="159"/>
      <c r="C132" s="104" t="s">
        <v>69</v>
      </c>
      <c r="D132" s="104">
        <v>400</v>
      </c>
      <c r="E132" s="104">
        <v>12.15</v>
      </c>
      <c r="F132" s="102">
        <f t="shared" si="24"/>
        <v>4400</v>
      </c>
      <c r="G132" s="32">
        <f t="shared" si="23"/>
        <v>9.292164886363663</v>
      </c>
      <c r="H132" s="31">
        <f t="shared" si="25"/>
        <v>40885.52550000012</v>
      </c>
      <c r="I132" s="31">
        <f t="shared" si="26"/>
        <v>12574.47449999988</v>
      </c>
      <c r="J132" s="108">
        <f t="shared" si="27"/>
        <v>0.3075532073080447</v>
      </c>
      <c r="K132" s="31">
        <f t="shared" si="28"/>
        <v>53460</v>
      </c>
      <c r="L132" s="31">
        <f t="shared" si="29"/>
        <v>134.14000000000669</v>
      </c>
      <c r="M132" s="31">
        <f t="shared" si="30"/>
        <v>5</v>
      </c>
      <c r="N132" s="31">
        <f t="shared" si="31"/>
        <v>4.8600000000000003</v>
      </c>
      <c r="O132" s="125"/>
      <c r="P132" s="32">
        <f t="shared" si="32"/>
        <v>2.8578351136363374</v>
      </c>
      <c r="Q132" s="31">
        <f t="shared" si="33"/>
        <v>4850.1399999999994</v>
      </c>
      <c r="R132" s="34"/>
      <c r="S132" s="34">
        <f t="shared" si="34"/>
        <v>103832.91900000001</v>
      </c>
      <c r="T132" s="34">
        <f t="shared" si="35"/>
        <v>8545.919259259259</v>
      </c>
      <c r="U132" s="34">
        <f t="shared" si="40"/>
        <v>12945.919259259259</v>
      </c>
      <c r="V132" s="31">
        <f>H132+S132-SUM(AB$15:AB132)</f>
        <v>144718.44450000013</v>
      </c>
      <c r="W132" s="32">
        <f t="shared" si="36"/>
        <v>11.178692034286691</v>
      </c>
      <c r="X132" s="32">
        <f t="shared" si="37"/>
        <v>1.8865271479230277</v>
      </c>
      <c r="Y132" s="32">
        <f t="shared" si="38"/>
        <v>0.97130796571330968</v>
      </c>
      <c r="Z132" s="38">
        <f t="shared" si="39"/>
        <v>0.33987543965663197</v>
      </c>
      <c r="AA132" s="31">
        <f>SUM(L$2:L132)-SUM(AB$2:AB132)</f>
        <v>9292.921000000013</v>
      </c>
      <c r="AB132" s="165"/>
      <c r="AC132" s="40">
        <f t="shared" si="41"/>
        <v>1034.4187047530766</v>
      </c>
      <c r="AD132" s="40">
        <f t="shared" si="42"/>
        <v>-3365.5812952469232</v>
      </c>
    </row>
    <row r="133" spans="1:30" s="1" customFormat="1" ht="14.4" customHeight="1" x14ac:dyDescent="0.25">
      <c r="A133" s="174">
        <v>42969</v>
      </c>
      <c r="B133" s="159" t="s">
        <v>225</v>
      </c>
      <c r="C133" s="64" t="s">
        <v>63</v>
      </c>
      <c r="D133" s="104">
        <v>500</v>
      </c>
      <c r="E133" s="104">
        <v>12</v>
      </c>
      <c r="F133" s="102">
        <f t="shared" si="24"/>
        <v>4900</v>
      </c>
      <c r="G133" s="32">
        <f t="shared" si="23"/>
        <v>9.5694950000000247</v>
      </c>
      <c r="H133" s="31">
        <f t="shared" si="25"/>
        <v>46890.52550000012</v>
      </c>
      <c r="I133" s="31">
        <f t="shared" si="26"/>
        <v>11909.47449999988</v>
      </c>
      <c r="J133" s="108">
        <f t="shared" si="27"/>
        <v>0.25398466690248223</v>
      </c>
      <c r="K133" s="31">
        <f t="shared" si="28"/>
        <v>58800</v>
      </c>
      <c r="L133" s="31">
        <f t="shared" si="29"/>
        <v>-665</v>
      </c>
      <c r="M133" s="31">
        <f t="shared" si="30"/>
        <v>5</v>
      </c>
      <c r="N133" s="31">
        <f t="shared" si="31"/>
        <v>0</v>
      </c>
      <c r="O133" s="125"/>
      <c r="P133" s="32">
        <f t="shared" si="32"/>
        <v>2.4305049999999753</v>
      </c>
      <c r="Q133" s="31">
        <f t="shared" si="33"/>
        <v>-6005</v>
      </c>
      <c r="R133" s="34"/>
      <c r="S133" s="34">
        <f t="shared" si="34"/>
        <v>97827.919000000009</v>
      </c>
      <c r="T133" s="34">
        <f t="shared" si="35"/>
        <v>8152.3265833333344</v>
      </c>
      <c r="U133" s="34">
        <f t="shared" si="40"/>
        <v>13052.326583333335</v>
      </c>
      <c r="V133" s="31">
        <f>H133+S133-SUM(AB$15:AB133)</f>
        <v>144718.44450000013</v>
      </c>
      <c r="W133" s="32">
        <f t="shared" si="36"/>
        <v>11.08755926202404</v>
      </c>
      <c r="X133" s="32">
        <f t="shared" si="37"/>
        <v>1.5180642620240157</v>
      </c>
      <c r="Y133" s="32">
        <f t="shared" si="38"/>
        <v>0.91244073797595959</v>
      </c>
      <c r="Z133" s="38">
        <f t="shared" si="39"/>
        <v>0.37541199790824004</v>
      </c>
      <c r="AA133" s="31">
        <f>SUM(L$2:L133)-SUM(AB$2:AB133)</f>
        <v>8627.921000000013</v>
      </c>
      <c r="AC133" s="40">
        <f t="shared" si="41"/>
        <v>991.95998022915683</v>
      </c>
      <c r="AD133" s="40">
        <f t="shared" si="42"/>
        <v>-3908.0400197708432</v>
      </c>
    </row>
    <row r="134" spans="1:30" s="1" customFormat="1" ht="14.4" customHeight="1" x14ac:dyDescent="0.25">
      <c r="A134" s="174">
        <v>42969</v>
      </c>
      <c r="B134" s="159" t="s">
        <v>226</v>
      </c>
      <c r="C134" s="64" t="s">
        <v>63</v>
      </c>
      <c r="D134" s="104">
        <v>500</v>
      </c>
      <c r="E134" s="104">
        <v>11.93</v>
      </c>
      <c r="F134" s="102">
        <f t="shared" si="24"/>
        <v>5400</v>
      </c>
      <c r="G134" s="32">
        <f t="shared" si="23"/>
        <v>9.7889862037037254</v>
      </c>
      <c r="H134" s="31">
        <f t="shared" si="25"/>
        <v>52860.52550000012</v>
      </c>
      <c r="I134" s="31">
        <f t="shared" si="26"/>
        <v>11561.47449999988</v>
      </c>
      <c r="J134" s="108">
        <f t="shared" si="27"/>
        <v>0.21871660167282778</v>
      </c>
      <c r="K134" s="31">
        <f t="shared" si="28"/>
        <v>64422</v>
      </c>
      <c r="L134" s="31">
        <f t="shared" si="29"/>
        <v>-348</v>
      </c>
      <c r="M134" s="31">
        <f t="shared" si="30"/>
        <v>5</v>
      </c>
      <c r="N134" s="31">
        <f t="shared" si="31"/>
        <v>0</v>
      </c>
      <c r="O134" s="125"/>
      <c r="P134" s="32">
        <f t="shared" si="32"/>
        <v>2.1410137962962743</v>
      </c>
      <c r="Q134" s="31">
        <f t="shared" si="33"/>
        <v>-5970</v>
      </c>
      <c r="R134" s="34"/>
      <c r="S134" s="34">
        <f t="shared" si="34"/>
        <v>91857.919000000009</v>
      </c>
      <c r="T134" s="34">
        <f t="shared" si="35"/>
        <v>7699.7417435037733</v>
      </c>
      <c r="U134" s="34">
        <f t="shared" si="40"/>
        <v>13099.741743503773</v>
      </c>
      <c r="V134" s="31">
        <f>H134+S134-SUM(AB$15:AB134)</f>
        <v>144218.44450000013</v>
      </c>
      <c r="W134" s="32">
        <f t="shared" si="36"/>
        <v>11.009258604011698</v>
      </c>
      <c r="X134" s="32">
        <f t="shared" si="37"/>
        <v>1.220272400307973</v>
      </c>
      <c r="Y134" s="32">
        <f t="shared" si="38"/>
        <v>0.92074139598830129</v>
      </c>
      <c r="Z134" s="38">
        <f t="shared" si="39"/>
        <v>0.41222186709733316</v>
      </c>
      <c r="AA134" s="31">
        <f>SUM(L$2:L134)-SUM(AB$2:AB134)</f>
        <v>7779.921000000013</v>
      </c>
      <c r="AB134" s="1">
        <v>500</v>
      </c>
      <c r="AC134" s="40">
        <f t="shared" si="41"/>
        <v>968.6247915129826</v>
      </c>
      <c r="AD134" s="40">
        <f t="shared" si="42"/>
        <v>-4431.3752084870175</v>
      </c>
    </row>
    <row r="135" spans="1:30" s="1" customFormat="1" ht="14.4" customHeight="1" x14ac:dyDescent="0.25">
      <c r="A135" s="174">
        <v>42969</v>
      </c>
      <c r="B135" s="160"/>
      <c r="C135" s="104" t="s">
        <v>69</v>
      </c>
      <c r="D135" s="104">
        <v>400</v>
      </c>
      <c r="E135" s="104">
        <v>12.02</v>
      </c>
      <c r="F135" s="102">
        <f t="shared" si="24"/>
        <v>5000</v>
      </c>
      <c r="G135" s="32">
        <f t="shared" si="23"/>
        <v>9.6124667000000237</v>
      </c>
      <c r="H135" s="31">
        <f t="shared" si="25"/>
        <v>48062.333500000117</v>
      </c>
      <c r="I135" s="31">
        <f t="shared" si="26"/>
        <v>12037.666499999883</v>
      </c>
      <c r="J135" s="108">
        <f t="shared" si="27"/>
        <v>0.25045946843175748</v>
      </c>
      <c r="K135" s="31">
        <f t="shared" si="28"/>
        <v>60100</v>
      </c>
      <c r="L135" s="31">
        <f t="shared" si="29"/>
        <v>476.19200000000274</v>
      </c>
      <c r="M135" s="31">
        <f t="shared" si="30"/>
        <v>5</v>
      </c>
      <c r="N135" s="31">
        <f t="shared" si="31"/>
        <v>4.8079999999999998</v>
      </c>
      <c r="O135" s="125"/>
      <c r="P135" s="32">
        <f t="shared" si="32"/>
        <v>2.4075332999999759</v>
      </c>
      <c r="Q135" s="31">
        <f t="shared" si="33"/>
        <v>4798.1920000000027</v>
      </c>
      <c r="R135" s="34"/>
      <c r="S135" s="34">
        <f t="shared" si="34"/>
        <v>96656.111000000004</v>
      </c>
      <c r="T135" s="34">
        <f t="shared" si="35"/>
        <v>8041.2737936772055</v>
      </c>
      <c r="U135" s="34">
        <f t="shared" si="40"/>
        <v>13041.273793677206</v>
      </c>
      <c r="V135" s="31">
        <f>H135+S135-SUM(AB$15:AB135)</f>
        <v>144218.44450000013</v>
      </c>
      <c r="W135" s="32">
        <f t="shared" si="36"/>
        <v>11.058616419043474</v>
      </c>
      <c r="X135" s="32">
        <f t="shared" si="37"/>
        <v>1.4461497190434507</v>
      </c>
      <c r="Y135" s="32">
        <f t="shared" si="38"/>
        <v>0.96138358095652521</v>
      </c>
      <c r="Z135" s="38">
        <f t="shared" si="39"/>
        <v>0.38339813112612875</v>
      </c>
      <c r="AA135" s="31">
        <f>SUM(L$2:L135)-SUM(AB$2:AB135)</f>
        <v>8256.1130000000157</v>
      </c>
      <c r="AC135" s="40">
        <f t="shared" si="41"/>
        <v>1000.9690238560636</v>
      </c>
      <c r="AD135" s="40">
        <f t="shared" si="42"/>
        <v>-3999.0309761439366</v>
      </c>
    </row>
    <row r="136" spans="1:30" s="1" customFormat="1" ht="14.4" customHeight="1" x14ac:dyDescent="0.25">
      <c r="A136" s="174">
        <v>42970</v>
      </c>
      <c r="B136" s="159" t="s">
        <v>227</v>
      </c>
      <c r="C136" s="64" t="s">
        <v>63</v>
      </c>
      <c r="D136" s="104">
        <v>500</v>
      </c>
      <c r="E136" s="104">
        <v>11.86</v>
      </c>
      <c r="F136" s="102">
        <f t="shared" si="24"/>
        <v>5500</v>
      </c>
      <c r="G136" s="32">
        <f t="shared" si="23"/>
        <v>9.8176970000000221</v>
      </c>
      <c r="H136" s="31">
        <f t="shared" si="25"/>
        <v>53997.333500000117</v>
      </c>
      <c r="I136" s="31">
        <f t="shared" si="26"/>
        <v>11232.666499999883</v>
      </c>
      <c r="J136" s="175">
        <f t="shared" si="27"/>
        <v>0.20802261467225691</v>
      </c>
      <c r="K136" s="31">
        <f t="shared" si="28"/>
        <v>65230</v>
      </c>
      <c r="L136" s="31">
        <f t="shared" si="29"/>
        <v>-805</v>
      </c>
      <c r="M136" s="31">
        <f t="shared" si="30"/>
        <v>5</v>
      </c>
      <c r="N136" s="31">
        <f t="shared" si="31"/>
        <v>0</v>
      </c>
      <c r="O136" s="125"/>
      <c r="P136" s="32">
        <f t="shared" si="32"/>
        <v>2.0423029999999773</v>
      </c>
      <c r="Q136" s="31">
        <f t="shared" si="33"/>
        <v>-5935</v>
      </c>
      <c r="R136" s="34"/>
      <c r="S136" s="34">
        <f t="shared" si="34"/>
        <v>90721.111000000004</v>
      </c>
      <c r="T136" s="34">
        <f t="shared" si="35"/>
        <v>7649.3348229342337</v>
      </c>
      <c r="U136" s="34">
        <f t="shared" si="40"/>
        <v>13149.334822934234</v>
      </c>
      <c r="V136" s="31">
        <f>H136+S136-SUM(AB$15:AB136)</f>
        <v>144218.44450000013</v>
      </c>
      <c r="W136" s="32">
        <f t="shared" si="36"/>
        <v>10.967736881143486</v>
      </c>
      <c r="X136" s="32">
        <f t="shared" si="37"/>
        <v>1.1500398811434636</v>
      </c>
      <c r="Y136" s="32">
        <f t="shared" si="38"/>
        <v>0.89226311885651377</v>
      </c>
      <c r="Z136" s="38">
        <f t="shared" si="39"/>
        <v>0.41827210836606349</v>
      </c>
      <c r="AA136" s="31">
        <f>SUM(L$2:L136)-SUM(AB$2:AB136)</f>
        <v>7451.1130000000157</v>
      </c>
      <c r="AC136" s="40">
        <f t="shared" si="41"/>
        <v>946.63154862983845</v>
      </c>
      <c r="AD136" s="40">
        <f t="shared" si="42"/>
        <v>-4553.3684513701619</v>
      </c>
    </row>
    <row r="137" spans="1:30" s="1" customFormat="1" ht="14.4" customHeight="1" x14ac:dyDescent="0.25">
      <c r="A137" s="174">
        <v>42972</v>
      </c>
      <c r="B137" s="159"/>
      <c r="C137" s="104" t="s">
        <v>69</v>
      </c>
      <c r="D137" s="104">
        <v>400</v>
      </c>
      <c r="E137" s="104">
        <v>12.03</v>
      </c>
      <c r="F137" s="102">
        <f t="shared" si="24"/>
        <v>5100</v>
      </c>
      <c r="G137" s="32">
        <f t="shared" si="23"/>
        <v>9.646106960784337</v>
      </c>
      <c r="H137" s="31">
        <f t="shared" si="25"/>
        <v>49195.145500000115</v>
      </c>
      <c r="I137" s="31">
        <f t="shared" si="26"/>
        <v>12157.854499999885</v>
      </c>
      <c r="J137" s="175">
        <f t="shared" si="27"/>
        <v>0.24713524833461156</v>
      </c>
      <c r="K137" s="31">
        <f t="shared" si="28"/>
        <v>61353</v>
      </c>
      <c r="L137" s="31">
        <f t="shared" si="29"/>
        <v>925.18800000000192</v>
      </c>
      <c r="M137" s="31">
        <f t="shared" si="30"/>
        <v>5</v>
      </c>
      <c r="N137" s="31">
        <f t="shared" si="31"/>
        <v>4.8120000000000003</v>
      </c>
      <c r="O137" s="125"/>
      <c r="P137" s="32">
        <f t="shared" si="32"/>
        <v>2.3838930392156623</v>
      </c>
      <c r="Q137" s="31">
        <f t="shared" si="33"/>
        <v>4802.1880000000019</v>
      </c>
      <c r="R137" s="34"/>
      <c r="S137" s="34">
        <f t="shared" si="34"/>
        <v>95523.298999999999</v>
      </c>
      <c r="T137" s="34">
        <f t="shared" si="35"/>
        <v>7940.4238570241068</v>
      </c>
      <c r="U137" s="34">
        <f t="shared" si="40"/>
        <v>13040.423857024107</v>
      </c>
      <c r="V137" s="31">
        <f>H137+S137-SUM(AB$15:AB137)</f>
        <v>144218.4445000001</v>
      </c>
      <c r="W137" s="32">
        <f t="shared" si="36"/>
        <v>11.059337187289211</v>
      </c>
      <c r="X137" s="32">
        <f t="shared" si="37"/>
        <v>1.413230226504874</v>
      </c>
      <c r="Y137" s="32">
        <f t="shared" si="38"/>
        <v>0.97066281271078836</v>
      </c>
      <c r="Z137" s="38">
        <f t="shared" si="39"/>
        <v>0.39109158229185403</v>
      </c>
      <c r="AA137" s="31">
        <f>SUM(L$2:L137)-SUM(AB$2:AB137)</f>
        <v>8376.3010000000177</v>
      </c>
      <c r="AC137" s="40">
        <f t="shared" si="41"/>
        <v>1010.1226577514452</v>
      </c>
      <c r="AD137" s="40">
        <f t="shared" si="42"/>
        <v>-4089.8773422485547</v>
      </c>
    </row>
    <row r="138" spans="1:30" s="1" customFormat="1" x14ac:dyDescent="0.25">
      <c r="A138" s="174">
        <v>42972</v>
      </c>
      <c r="B138" s="159"/>
      <c r="C138" s="104" t="s">
        <v>69</v>
      </c>
      <c r="D138" s="104">
        <v>400</v>
      </c>
      <c r="E138" s="104">
        <v>12.06</v>
      </c>
      <c r="F138" s="102">
        <f t="shared" si="24"/>
        <v>4700</v>
      </c>
      <c r="G138" s="32">
        <f t="shared" si="23"/>
        <v>9.4427594680851303</v>
      </c>
      <c r="H138" s="31">
        <f t="shared" si="25"/>
        <v>44380.969500000116</v>
      </c>
      <c r="I138" s="31">
        <f t="shared" si="26"/>
        <v>12301.030499999884</v>
      </c>
      <c r="J138" s="175">
        <f t="shared" si="27"/>
        <v>0.27716903525507386</v>
      </c>
      <c r="K138" s="31">
        <f t="shared" si="28"/>
        <v>56682</v>
      </c>
      <c r="L138" s="31">
        <f t="shared" si="29"/>
        <v>143.17599999999948</v>
      </c>
      <c r="M138" s="31">
        <f t="shared" si="30"/>
        <v>5</v>
      </c>
      <c r="N138" s="31">
        <f t="shared" si="31"/>
        <v>4.8239999999999998</v>
      </c>
      <c r="O138" s="125"/>
      <c r="P138" s="32">
        <f t="shared" si="32"/>
        <v>2.6172405319148702</v>
      </c>
      <c r="Q138" s="31">
        <f t="shared" si="33"/>
        <v>4814.1759999999995</v>
      </c>
      <c r="R138" s="34"/>
      <c r="S138" s="34">
        <f t="shared" si="34"/>
        <v>100337.47500000001</v>
      </c>
      <c r="T138" s="34">
        <f t="shared" si="35"/>
        <v>8319.8569651741291</v>
      </c>
      <c r="U138" s="34">
        <f t="shared" si="40"/>
        <v>13019.856965174129</v>
      </c>
      <c r="V138" s="31">
        <f>H138+S138-SUM(AB$15:AB138)</f>
        <v>144218.44450000013</v>
      </c>
      <c r="W138" s="32">
        <f t="shared" si="36"/>
        <v>11.076807132809492</v>
      </c>
      <c r="X138" s="32">
        <f t="shared" si="37"/>
        <v>1.6340476647243616</v>
      </c>
      <c r="Y138" s="32">
        <f t="shared" si="38"/>
        <v>0.98319286719050858</v>
      </c>
      <c r="Z138" s="38">
        <f t="shared" si="39"/>
        <v>0.36098706864228147</v>
      </c>
      <c r="AA138" s="31">
        <f>SUM(L$2:L138)-SUM(AB$2:AB138)</f>
        <v>8519.4770000000171</v>
      </c>
      <c r="AC138" s="40">
        <f t="shared" si="41"/>
        <v>1019.4759523009855</v>
      </c>
      <c r="AD138" s="40">
        <f t="shared" si="42"/>
        <v>-3680.5240476990148</v>
      </c>
    </row>
    <row r="139" spans="1:30" s="1" customFormat="1" ht="14.4" customHeight="1" x14ac:dyDescent="0.25">
      <c r="A139" s="174">
        <v>42975</v>
      </c>
      <c r="B139" s="159"/>
      <c r="C139" s="64" t="s">
        <v>69</v>
      </c>
      <c r="D139" s="104">
        <v>400</v>
      </c>
      <c r="E139" s="104">
        <v>12.18</v>
      </c>
      <c r="F139" s="102">
        <f t="shared" si="24"/>
        <v>4300</v>
      </c>
      <c r="G139" s="32">
        <f t="shared" ref="G139:G202" si="43">H139/F139</f>
        <v>9.1904282558139805</v>
      </c>
      <c r="H139" s="31">
        <f t="shared" si="25"/>
        <v>39518.841500000119</v>
      </c>
      <c r="I139" s="31">
        <f t="shared" si="26"/>
        <v>12855.158499999881</v>
      </c>
      <c r="J139" s="175">
        <f t="shared" si="27"/>
        <v>0.3252918864030932</v>
      </c>
      <c r="K139" s="31">
        <f t="shared" si="28"/>
        <v>52374</v>
      </c>
      <c r="L139" s="31">
        <f t="shared" si="29"/>
        <v>554.12799999999697</v>
      </c>
      <c r="M139" s="31">
        <f t="shared" si="30"/>
        <v>5</v>
      </c>
      <c r="N139" s="31">
        <f t="shared" si="31"/>
        <v>4.8719999999999999</v>
      </c>
      <c r="O139" s="125"/>
      <c r="P139" s="32">
        <f t="shared" si="32"/>
        <v>2.9895717441860192</v>
      </c>
      <c r="Q139" s="31">
        <f t="shared" si="33"/>
        <v>4862.127999999997</v>
      </c>
      <c r="R139" s="34"/>
      <c r="S139" s="34">
        <f t="shared" si="34"/>
        <v>105199.603</v>
      </c>
      <c r="T139" s="34">
        <f t="shared" si="35"/>
        <v>8637.0774220032854</v>
      </c>
      <c r="U139" s="34">
        <f t="shared" si="40"/>
        <v>12937.077422003285</v>
      </c>
      <c r="V139" s="31">
        <f>H139+S139-SUM(AB$15:AB139)</f>
        <v>144218.44450000013</v>
      </c>
      <c r="W139" s="32">
        <f t="shared" si="36"/>
        <v>11.147683498802788</v>
      </c>
      <c r="X139" s="32">
        <f t="shared" si="37"/>
        <v>1.9572552429888077</v>
      </c>
      <c r="Y139" s="32">
        <f t="shared" si="38"/>
        <v>1.0323165011972115</v>
      </c>
      <c r="Z139" s="38">
        <f t="shared" si="39"/>
        <v>0.33237800623242708</v>
      </c>
      <c r="AA139" s="31">
        <f>SUM(L$2:L139)-SUM(AB$2:AB139)</f>
        <v>9073.6050000000141</v>
      </c>
      <c r="AC139" s="40">
        <f t="shared" si="41"/>
        <v>1054.9040164819278</v>
      </c>
      <c r="AD139" s="40">
        <f t="shared" si="42"/>
        <v>-3245.095983518072</v>
      </c>
    </row>
    <row r="140" spans="1:30" s="1" customFormat="1" ht="14.4" customHeight="1" x14ac:dyDescent="0.25">
      <c r="A140" s="174">
        <v>42975</v>
      </c>
      <c r="B140" s="159" t="s">
        <v>228</v>
      </c>
      <c r="C140" s="64" t="s">
        <v>63</v>
      </c>
      <c r="D140" s="104">
        <v>500</v>
      </c>
      <c r="E140" s="104">
        <v>12</v>
      </c>
      <c r="F140" s="102">
        <f t="shared" ref="F140:F203" si="44">IF(C140="买",F139+D140,F139-D140)</f>
        <v>4800</v>
      </c>
      <c r="G140" s="32">
        <f t="shared" si="43"/>
        <v>9.4841336458333583</v>
      </c>
      <c r="H140" s="31">
        <f t="shared" ref="H140:H203" si="45">IF(C140="买",H139+D140*E140+M140+N140,H139+-1*D140*E140+M140+N140)+O139</f>
        <v>45523.841500000119</v>
      </c>
      <c r="I140" s="31">
        <f t="shared" ref="I140:I203" si="46">-H140+K140</f>
        <v>12076.158499999881</v>
      </c>
      <c r="J140" s="175">
        <f t="shared" ref="J140:J203" si="47">(E140-G140)/G140</f>
        <v>0.26527107779337666</v>
      </c>
      <c r="K140" s="31">
        <f t="shared" ref="K140:K203" si="48">F140*E140</f>
        <v>57600</v>
      </c>
      <c r="L140" s="31">
        <f t="shared" ref="L140:L203" si="49">I140-I139</f>
        <v>-779</v>
      </c>
      <c r="M140" s="31">
        <f t="shared" ref="M140:M203" si="50">IF(D140*E140*5/10000&gt;5,D140*E140*5/10000,5)</f>
        <v>5</v>
      </c>
      <c r="N140" s="31">
        <f t="shared" ref="N140:N203" si="51">IF(C140="卖",D140*E140/1000,0)</f>
        <v>0</v>
      </c>
      <c r="O140" s="125"/>
      <c r="P140" s="32">
        <f t="shared" ref="P140:P203" si="52">E140-G140</f>
        <v>2.5158663541666417</v>
      </c>
      <c r="Q140" s="31">
        <f t="shared" ref="Q140:Q203" si="53">(H140-H139)*-1</f>
        <v>-6005</v>
      </c>
      <c r="R140" s="34"/>
      <c r="S140" s="34">
        <f t="shared" ref="S140:S203" si="54">S139+Q140+O140+R140</f>
        <v>99194.603000000003</v>
      </c>
      <c r="T140" s="34">
        <f t="shared" ref="T140:T203" si="55">S140/E140</f>
        <v>8266.2169166666663</v>
      </c>
      <c r="U140" s="34">
        <f t="shared" si="40"/>
        <v>13066.216916666666</v>
      </c>
      <c r="V140" s="31">
        <f>H140+S140-SUM(AB$15:AB140)</f>
        <v>144218.44450000013</v>
      </c>
      <c r="W140" s="32">
        <f t="shared" ref="W140:W203" si="56">V140/U140</f>
        <v>11.037505761598196</v>
      </c>
      <c r="X140" s="32">
        <f t="shared" ref="X140:X203" si="57">W140-G140</f>
        <v>1.5533721157648372</v>
      </c>
      <c r="Y140" s="32">
        <f t="shared" ref="Y140:Y203" si="58">(X140-P140)*-1</f>
        <v>0.96249423840180448</v>
      </c>
      <c r="Z140" s="38">
        <f t="shared" ref="Z140:Z203" si="59">F140/U140</f>
        <v>0.36735958316116279</v>
      </c>
      <c r="AA140" s="31">
        <f>SUM(L$2:L140)-SUM(AB$2:AB140)</f>
        <v>8294.6050000000141</v>
      </c>
      <c r="AB140" s="176"/>
      <c r="AC140" s="40">
        <f t="shared" si="41"/>
        <v>1005.8433683958235</v>
      </c>
      <c r="AD140" s="40">
        <f t="shared" si="42"/>
        <v>-3794.1566316041763</v>
      </c>
    </row>
    <row r="141" spans="1:30" s="1" customFormat="1" ht="14.4" customHeight="1" x14ac:dyDescent="0.25">
      <c r="A141" s="174">
        <v>42975</v>
      </c>
      <c r="B141" s="159" t="s">
        <v>229</v>
      </c>
      <c r="C141" s="64" t="s">
        <v>63</v>
      </c>
      <c r="D141" s="104">
        <v>500</v>
      </c>
      <c r="E141" s="104">
        <v>11.85</v>
      </c>
      <c r="F141" s="102">
        <f t="shared" si="44"/>
        <v>5300</v>
      </c>
      <c r="G141" s="32">
        <f t="shared" si="43"/>
        <v>9.7082719811320981</v>
      </c>
      <c r="H141" s="31">
        <f t="shared" si="45"/>
        <v>51453.841500000119</v>
      </c>
      <c r="I141" s="31">
        <f t="shared" si="46"/>
        <v>11351.158499999881</v>
      </c>
      <c r="J141" s="175">
        <f t="shared" si="47"/>
        <v>0.22060857205384465</v>
      </c>
      <c r="K141" s="31">
        <f t="shared" si="48"/>
        <v>62805</v>
      </c>
      <c r="L141" s="31">
        <f t="shared" si="49"/>
        <v>-725</v>
      </c>
      <c r="M141" s="31">
        <f t="shared" si="50"/>
        <v>5</v>
      </c>
      <c r="N141" s="31">
        <f t="shared" si="51"/>
        <v>0</v>
      </c>
      <c r="O141" s="125"/>
      <c r="P141" s="32">
        <f t="shared" si="52"/>
        <v>2.1417280188679015</v>
      </c>
      <c r="Q141" s="31">
        <f t="shared" si="53"/>
        <v>-5930</v>
      </c>
      <c r="R141" s="34"/>
      <c r="S141" s="34">
        <f t="shared" si="54"/>
        <v>93264.603000000003</v>
      </c>
      <c r="T141" s="34">
        <f t="shared" si="55"/>
        <v>7870.4306329113933</v>
      </c>
      <c r="U141" s="34">
        <f t="shared" si="40"/>
        <v>13170.430632911393</v>
      </c>
      <c r="V141" s="31">
        <f>H141+S141-SUM(AB$15:AB141)</f>
        <v>144218.44450000013</v>
      </c>
      <c r="W141" s="32">
        <f t="shared" si="56"/>
        <v>10.95016924804378</v>
      </c>
      <c r="X141" s="32">
        <f t="shared" si="57"/>
        <v>1.2418972669116819</v>
      </c>
      <c r="Y141" s="32">
        <f t="shared" si="58"/>
        <v>0.89983075195621964</v>
      </c>
      <c r="Z141" s="38">
        <f t="shared" si="59"/>
        <v>0.40241660639067556</v>
      </c>
      <c r="AA141" s="31">
        <f>SUM(L$2:L141)-SUM(AB$2:AB141)</f>
        <v>7569.6050000000141</v>
      </c>
      <c r="AB141" s="176"/>
      <c r="AC141" s="40">
        <f t="shared" si="41"/>
        <v>957.42471905062291</v>
      </c>
      <c r="AD141" s="40">
        <f t="shared" si="42"/>
        <v>-4342.575280949377</v>
      </c>
    </row>
    <row r="142" spans="1:30" s="1" customFormat="1" ht="14.4" customHeight="1" x14ac:dyDescent="0.25">
      <c r="A142" s="174">
        <v>42977</v>
      </c>
      <c r="B142" s="159"/>
      <c r="C142" s="64" t="s">
        <v>69</v>
      </c>
      <c r="D142" s="104">
        <v>400</v>
      </c>
      <c r="E142" s="104">
        <v>11.94</v>
      </c>
      <c r="F142" s="102">
        <f t="shared" si="44"/>
        <v>4900</v>
      </c>
      <c r="G142" s="32">
        <f t="shared" si="43"/>
        <v>9.5280852040816573</v>
      </c>
      <c r="H142" s="31">
        <f t="shared" si="45"/>
        <v>46687.617500000117</v>
      </c>
      <c r="I142" s="31">
        <f t="shared" si="46"/>
        <v>11818.382499999883</v>
      </c>
      <c r="J142" s="175">
        <f t="shared" si="47"/>
        <v>0.2531374084359701</v>
      </c>
      <c r="K142" s="31">
        <f t="shared" si="48"/>
        <v>58506</v>
      </c>
      <c r="L142" s="31">
        <f t="shared" si="49"/>
        <v>467.22400000000198</v>
      </c>
      <c r="M142" s="31">
        <f t="shared" si="50"/>
        <v>5</v>
      </c>
      <c r="N142" s="31">
        <f t="shared" si="51"/>
        <v>4.7759999999999998</v>
      </c>
      <c r="O142" s="125"/>
      <c r="P142" s="32">
        <f t="shared" si="52"/>
        <v>2.4119147959183422</v>
      </c>
      <c r="Q142" s="31">
        <f t="shared" si="53"/>
        <v>4766.224000000002</v>
      </c>
      <c r="R142" s="34"/>
      <c r="S142" s="34">
        <f t="shared" si="54"/>
        <v>98030.827000000005</v>
      </c>
      <c r="T142" s="34">
        <f t="shared" si="55"/>
        <v>8210.2870184254607</v>
      </c>
      <c r="U142" s="34">
        <f t="shared" si="40"/>
        <v>13110.287018425461</v>
      </c>
      <c r="V142" s="31">
        <f>H142+S142-SUM(AB$15:AB142)</f>
        <v>144218.44450000013</v>
      </c>
      <c r="W142" s="32">
        <f t="shared" si="56"/>
        <v>11.000403293788507</v>
      </c>
      <c r="X142" s="32">
        <f t="shared" si="57"/>
        <v>1.4723180897068495</v>
      </c>
      <c r="Y142" s="32">
        <f t="shared" si="58"/>
        <v>0.93959670621149272</v>
      </c>
      <c r="Z142" s="38">
        <f t="shared" si="59"/>
        <v>0.37375230558365669</v>
      </c>
      <c r="AA142" s="31">
        <f>SUM(L$2:L142)-SUM(AB$2:AB142)</f>
        <v>8036.8290000000161</v>
      </c>
      <c r="AB142" s="176"/>
      <c r="AC142" s="40">
        <f t="shared" si="41"/>
        <v>989.31937259211759</v>
      </c>
      <c r="AD142" s="40">
        <f t="shared" si="42"/>
        <v>-3910.6806274078826</v>
      </c>
    </row>
    <row r="143" spans="1:30" s="1" customFormat="1" ht="14.4" customHeight="1" x14ac:dyDescent="0.25">
      <c r="A143" s="174">
        <v>42977</v>
      </c>
      <c r="B143" s="159"/>
      <c r="C143" s="64" t="s">
        <v>69</v>
      </c>
      <c r="D143" s="104">
        <v>400</v>
      </c>
      <c r="E143" s="104">
        <v>12.01</v>
      </c>
      <c r="F143" s="102">
        <f t="shared" si="44"/>
        <v>4500</v>
      </c>
      <c r="G143" s="32">
        <f t="shared" si="43"/>
        <v>9.309649222222248</v>
      </c>
      <c r="H143" s="31">
        <f t="shared" si="45"/>
        <v>41893.421500000113</v>
      </c>
      <c r="I143" s="31">
        <f t="shared" si="46"/>
        <v>12151.578499999887</v>
      </c>
      <c r="J143" s="175">
        <f t="shared" si="47"/>
        <v>0.29005934738464484</v>
      </c>
      <c r="K143" s="31">
        <f t="shared" si="48"/>
        <v>54045</v>
      </c>
      <c r="L143" s="31">
        <f t="shared" si="49"/>
        <v>333.19600000000355</v>
      </c>
      <c r="M143" s="31">
        <f t="shared" si="50"/>
        <v>5</v>
      </c>
      <c r="N143" s="31">
        <f t="shared" si="51"/>
        <v>4.8040000000000003</v>
      </c>
      <c r="O143" s="125"/>
      <c r="P143" s="32">
        <f t="shared" si="52"/>
        <v>2.7003507777777518</v>
      </c>
      <c r="Q143" s="31">
        <f t="shared" si="53"/>
        <v>4794.1960000000036</v>
      </c>
      <c r="R143" s="34"/>
      <c r="S143" s="34">
        <f t="shared" si="54"/>
        <v>102825.02300000002</v>
      </c>
      <c r="T143" s="34">
        <f t="shared" si="55"/>
        <v>8561.6172356369698</v>
      </c>
      <c r="U143" s="34">
        <f t="shared" si="40"/>
        <v>13061.61723563697</v>
      </c>
      <c r="V143" s="31">
        <f>H143+S143-SUM(AB$15:AB143)</f>
        <v>144218.44450000013</v>
      </c>
      <c r="W143" s="32">
        <f t="shared" si="56"/>
        <v>11.041392646732776</v>
      </c>
      <c r="X143" s="32">
        <f t="shared" si="57"/>
        <v>1.7317434245105279</v>
      </c>
      <c r="Y143" s="32">
        <f t="shared" si="58"/>
        <v>0.96860735326722391</v>
      </c>
      <c r="Z143" s="38">
        <f t="shared" si="59"/>
        <v>0.34452089039344375</v>
      </c>
      <c r="AA143" s="31">
        <f>SUM(L$2:L143)-SUM(AB$2:AB143)</f>
        <v>8370.0250000000196</v>
      </c>
      <c r="AB143" s="176"/>
      <c r="AC143" s="40">
        <f t="shared" si="41"/>
        <v>1011.2824904870848</v>
      </c>
      <c r="AD143" s="40">
        <f t="shared" si="42"/>
        <v>-3488.7175095129151</v>
      </c>
    </row>
    <row r="144" spans="1:30" s="1" customFormat="1" ht="14.4" customHeight="1" x14ac:dyDescent="0.25">
      <c r="A144" s="174">
        <v>42977</v>
      </c>
      <c r="B144" s="159"/>
      <c r="C144" s="64" t="s">
        <v>69</v>
      </c>
      <c r="D144" s="104">
        <v>400</v>
      </c>
      <c r="E144" s="104">
        <v>12.05</v>
      </c>
      <c r="F144" s="102">
        <f t="shared" si="44"/>
        <v>4100</v>
      </c>
      <c r="G144" s="32">
        <f t="shared" si="43"/>
        <v>9.0446930487805162</v>
      </c>
      <c r="H144" s="31">
        <f t="shared" si="45"/>
        <v>37083.241500000113</v>
      </c>
      <c r="I144" s="31">
        <f t="shared" si="46"/>
        <v>12321.758499999887</v>
      </c>
      <c r="J144" s="175">
        <f t="shared" si="47"/>
        <v>0.33227296216809549</v>
      </c>
      <c r="K144" s="31">
        <f t="shared" si="48"/>
        <v>49405</v>
      </c>
      <c r="L144" s="31">
        <f t="shared" si="49"/>
        <v>170.18000000000029</v>
      </c>
      <c r="M144" s="31">
        <f t="shared" si="50"/>
        <v>5</v>
      </c>
      <c r="N144" s="31">
        <f t="shared" si="51"/>
        <v>4.82</v>
      </c>
      <c r="O144" s="125"/>
      <c r="P144" s="32">
        <f t="shared" si="52"/>
        <v>3.0053069512194845</v>
      </c>
      <c r="Q144" s="31">
        <f t="shared" si="53"/>
        <v>4810.18</v>
      </c>
      <c r="R144" s="34"/>
      <c r="S144" s="34">
        <f t="shared" si="54"/>
        <v>107635.20300000001</v>
      </c>
      <c r="T144" s="34">
        <f t="shared" si="55"/>
        <v>8932.3819917012443</v>
      </c>
      <c r="U144" s="34">
        <f t="shared" si="40"/>
        <v>13032.381991701244</v>
      </c>
      <c r="V144" s="31">
        <f>H144+S144-SUM(AB$15:AB144)</f>
        <v>144218.44450000013</v>
      </c>
      <c r="W144" s="32">
        <f t="shared" si="56"/>
        <v>11.066161549886697</v>
      </c>
      <c r="X144" s="32">
        <f t="shared" si="57"/>
        <v>2.021468501106181</v>
      </c>
      <c r="Y144" s="32">
        <f t="shared" si="58"/>
        <v>0.98383845011330351</v>
      </c>
      <c r="Z144" s="38">
        <f t="shared" si="59"/>
        <v>0.31460096877230859</v>
      </c>
      <c r="AA144" s="31">
        <f>SUM(L$2:L144)-SUM(AB$2:AB144)</f>
        <v>8540.2050000000199</v>
      </c>
      <c r="AB144" s="176"/>
      <c r="AC144" s="40">
        <f t="shared" si="41"/>
        <v>1022.0412963277915</v>
      </c>
      <c r="AD144" s="40">
        <f t="shared" si="42"/>
        <v>-3077.9587036722087</v>
      </c>
    </row>
    <row r="145" spans="1:30" x14ac:dyDescent="0.25">
      <c r="A145" s="174">
        <v>42977</v>
      </c>
      <c r="B145" s="159"/>
      <c r="C145" s="64" t="s">
        <v>69</v>
      </c>
      <c r="D145" s="104">
        <v>400</v>
      </c>
      <c r="E145" s="104">
        <v>12.12</v>
      </c>
      <c r="F145" s="102">
        <f t="shared" si="44"/>
        <v>3700</v>
      </c>
      <c r="G145" s="32">
        <f t="shared" si="43"/>
        <v>8.7148890540540851</v>
      </c>
      <c r="H145" s="31">
        <f t="shared" si="45"/>
        <v>32245.089500000115</v>
      </c>
      <c r="I145" s="31">
        <f t="shared" si="46"/>
        <v>12598.910499999885</v>
      </c>
      <c r="J145" s="175">
        <f t="shared" si="47"/>
        <v>0.3907233844086504</v>
      </c>
      <c r="K145" s="31">
        <f t="shared" si="48"/>
        <v>44844</v>
      </c>
      <c r="L145" s="31">
        <f t="shared" si="49"/>
        <v>277.15199999999822</v>
      </c>
      <c r="M145" s="31">
        <f t="shared" si="50"/>
        <v>5</v>
      </c>
      <c r="N145" s="31">
        <f t="shared" si="51"/>
        <v>4.8479999999999999</v>
      </c>
      <c r="O145" s="125"/>
      <c r="P145" s="32">
        <f t="shared" si="52"/>
        <v>3.4051109459459141</v>
      </c>
      <c r="Q145" s="31">
        <f t="shared" si="53"/>
        <v>4838.1519999999982</v>
      </c>
      <c r="R145" s="34"/>
      <c r="S145" s="34">
        <f t="shared" si="54"/>
        <v>112473.35500000001</v>
      </c>
      <c r="T145" s="34">
        <f t="shared" si="55"/>
        <v>9279.9797854785502</v>
      </c>
      <c r="U145" s="34">
        <f t="shared" si="40"/>
        <v>12979.97978547855</v>
      </c>
      <c r="V145" s="31">
        <f>H145+S145-SUM(AB$15:AB145)</f>
        <v>144218.44450000013</v>
      </c>
      <c r="W145" s="32">
        <f t="shared" si="56"/>
        <v>11.110837372901427</v>
      </c>
      <c r="X145" s="32">
        <f t="shared" si="57"/>
        <v>2.3959483188473421</v>
      </c>
      <c r="Y145" s="32">
        <f t="shared" si="58"/>
        <v>1.0091626270985721</v>
      </c>
      <c r="Z145" s="38">
        <f t="shared" si="59"/>
        <v>0.28505437305375486</v>
      </c>
      <c r="AA145" s="31">
        <f>SUM(L$2:L145)-SUM(AB$2:AB145)</f>
        <v>8817.3570000000182</v>
      </c>
      <c r="AB145" s="176"/>
      <c r="AC145" s="40">
        <f t="shared" si="41"/>
        <v>1038.994310622928</v>
      </c>
      <c r="AD145" s="40">
        <f t="shared" si="42"/>
        <v>-2661.005689377072</v>
      </c>
    </row>
    <row r="146" spans="1:30" x14ac:dyDescent="0.25">
      <c r="A146" s="174">
        <v>42977</v>
      </c>
      <c r="B146" s="159"/>
      <c r="C146" s="64" t="s">
        <v>69</v>
      </c>
      <c r="D146" s="104">
        <v>400</v>
      </c>
      <c r="E146" s="104">
        <v>12.16</v>
      </c>
      <c r="F146" s="102">
        <f t="shared" si="44"/>
        <v>3300</v>
      </c>
      <c r="G146" s="32">
        <f t="shared" si="43"/>
        <v>8.3002889393939743</v>
      </c>
      <c r="H146" s="31">
        <f t="shared" si="45"/>
        <v>27390.953500000116</v>
      </c>
      <c r="I146" s="31">
        <f t="shared" si="46"/>
        <v>12737.046499999884</v>
      </c>
      <c r="J146" s="175">
        <f t="shared" si="47"/>
        <v>0.46500924109851932</v>
      </c>
      <c r="K146" s="31">
        <f t="shared" si="48"/>
        <v>40128</v>
      </c>
      <c r="L146" s="31">
        <f t="shared" si="49"/>
        <v>138.1359999999986</v>
      </c>
      <c r="M146" s="31">
        <f t="shared" si="50"/>
        <v>5</v>
      </c>
      <c r="N146" s="31">
        <f t="shared" si="51"/>
        <v>4.8639999999999999</v>
      </c>
      <c r="O146" s="125"/>
      <c r="P146" s="32">
        <f t="shared" si="52"/>
        <v>3.8597110606060259</v>
      </c>
      <c r="Q146" s="31">
        <f t="shared" si="53"/>
        <v>4854.1359999999986</v>
      </c>
      <c r="R146" s="34"/>
      <c r="S146" s="34">
        <f t="shared" si="54"/>
        <v>117327.49100000001</v>
      </c>
      <c r="T146" s="34">
        <f t="shared" si="55"/>
        <v>9648.6423519736854</v>
      </c>
      <c r="U146" s="34">
        <f t="shared" si="40"/>
        <v>12948.642351973685</v>
      </c>
      <c r="V146" s="31">
        <f>H146+S146-SUM(AB$15:AB146)</f>
        <v>144218.44450000013</v>
      </c>
      <c r="W146" s="32">
        <f t="shared" si="56"/>
        <v>11.137727074376857</v>
      </c>
      <c r="X146" s="32">
        <f t="shared" si="57"/>
        <v>2.8374381349828823</v>
      </c>
      <c r="Y146" s="32">
        <f t="shared" si="58"/>
        <v>1.0222729256231435</v>
      </c>
      <c r="Z146" s="38">
        <f t="shared" si="59"/>
        <v>0.25485297302207133</v>
      </c>
      <c r="AA146" s="31">
        <f>SUM(L$2:L146)-SUM(AB$2:AB146)</f>
        <v>8955.4930000000168</v>
      </c>
      <c r="AB146" s="176"/>
      <c r="AC146" s="40">
        <f t="shared" si="41"/>
        <v>1046.9307546669313</v>
      </c>
      <c r="AD146" s="40">
        <f t="shared" si="42"/>
        <v>-2253.0692453330685</v>
      </c>
    </row>
    <row r="147" spans="1:30" ht="14.4" customHeight="1" x14ac:dyDescent="0.25">
      <c r="A147" s="174">
        <v>42978</v>
      </c>
      <c r="B147" s="159" t="s">
        <v>230</v>
      </c>
      <c r="C147" s="64" t="s">
        <v>63</v>
      </c>
      <c r="D147" s="104">
        <v>500</v>
      </c>
      <c r="E147" s="104">
        <v>11.91</v>
      </c>
      <c r="F147" s="102">
        <f t="shared" si="44"/>
        <v>3800</v>
      </c>
      <c r="G147" s="32">
        <f t="shared" si="43"/>
        <v>8.7765667105263478</v>
      </c>
      <c r="H147" s="31">
        <f t="shared" si="45"/>
        <v>33350.95350000012</v>
      </c>
      <c r="I147" s="31">
        <f t="shared" si="46"/>
        <v>11907.04649999988</v>
      </c>
      <c r="J147" s="175">
        <f t="shared" si="47"/>
        <v>0.35702267103097474</v>
      </c>
      <c r="K147" s="31">
        <f t="shared" si="48"/>
        <v>45258</v>
      </c>
      <c r="L147" s="31">
        <f t="shared" si="49"/>
        <v>-830.00000000000364</v>
      </c>
      <c r="M147" s="31">
        <f t="shared" si="50"/>
        <v>5</v>
      </c>
      <c r="N147" s="31">
        <f t="shared" si="51"/>
        <v>0</v>
      </c>
      <c r="O147" s="125"/>
      <c r="P147" s="32">
        <f t="shared" si="52"/>
        <v>3.1334332894736523</v>
      </c>
      <c r="Q147" s="31">
        <f t="shared" si="53"/>
        <v>-5960.0000000000036</v>
      </c>
      <c r="R147" s="34"/>
      <c r="S147" s="34">
        <f t="shared" si="54"/>
        <v>111367.49100000001</v>
      </c>
      <c r="T147" s="34">
        <f t="shared" si="55"/>
        <v>9350.7549118387924</v>
      </c>
      <c r="U147" s="34">
        <f t="shared" si="40"/>
        <v>13150.754911838792</v>
      </c>
      <c r="V147" s="31">
        <f>H147+S147-SUM(AB$15:AB147)</f>
        <v>144218.44450000013</v>
      </c>
      <c r="W147" s="32">
        <f t="shared" si="56"/>
        <v>10.966552526210446</v>
      </c>
      <c r="X147" s="32">
        <f t="shared" si="57"/>
        <v>2.1899858156840981</v>
      </c>
      <c r="Y147" s="32">
        <f t="shared" si="58"/>
        <v>0.94344747378955418</v>
      </c>
      <c r="Z147" s="38">
        <f t="shared" si="59"/>
        <v>0.28895679567255111</v>
      </c>
      <c r="AA147" s="31">
        <f>SUM(L$2:L147)-SUM(AB$2:AB147)</f>
        <v>8125.4930000000131</v>
      </c>
      <c r="AB147" s="176"/>
      <c r="AC147" s="40">
        <f t="shared" si="41"/>
        <v>999.2521391057835</v>
      </c>
      <c r="AD147" s="40">
        <f t="shared" si="42"/>
        <v>-2800.7478608942165</v>
      </c>
    </row>
    <row r="148" spans="1:30" ht="14.4" customHeight="1" x14ac:dyDescent="0.25">
      <c r="A148" s="174">
        <v>42978</v>
      </c>
      <c r="B148" s="159" t="s">
        <v>231</v>
      </c>
      <c r="C148" s="64" t="s">
        <v>63</v>
      </c>
      <c r="D148" s="104">
        <v>1000</v>
      </c>
      <c r="E148" s="104">
        <v>11.84</v>
      </c>
      <c r="F148" s="102">
        <f t="shared" si="44"/>
        <v>4800</v>
      </c>
      <c r="G148" s="32">
        <f t="shared" si="43"/>
        <v>9.4160153125000239</v>
      </c>
      <c r="H148" s="31">
        <f t="shared" si="45"/>
        <v>45196.873500000118</v>
      </c>
      <c r="I148" s="31">
        <f t="shared" si="46"/>
        <v>11635.126499999882</v>
      </c>
      <c r="J148" s="175">
        <f t="shared" si="47"/>
        <v>0.25743210976750097</v>
      </c>
      <c r="K148" s="31">
        <f t="shared" si="48"/>
        <v>56832</v>
      </c>
      <c r="L148" s="31">
        <f t="shared" si="49"/>
        <v>-271.91999999999825</v>
      </c>
      <c r="M148" s="31">
        <f t="shared" si="50"/>
        <v>5.92</v>
      </c>
      <c r="N148" s="31">
        <f t="shared" si="51"/>
        <v>0</v>
      </c>
      <c r="O148" s="125"/>
      <c r="P148" s="32">
        <f t="shared" si="52"/>
        <v>2.423984687499976</v>
      </c>
      <c r="Q148" s="31">
        <f t="shared" si="53"/>
        <v>-11845.919999999998</v>
      </c>
      <c r="R148" s="34"/>
      <c r="S148" s="34">
        <f t="shared" si="54"/>
        <v>99521.571000000011</v>
      </c>
      <c r="T148" s="34">
        <f t="shared" si="55"/>
        <v>8405.5380912162163</v>
      </c>
      <c r="U148" s="34">
        <f t="shared" si="40"/>
        <v>13205.538091216216</v>
      </c>
      <c r="V148" s="31">
        <f>H148+S148-SUM(AB$15:AB148)</f>
        <v>144218.44450000013</v>
      </c>
      <c r="W148" s="32">
        <f t="shared" si="56"/>
        <v>10.921057779230393</v>
      </c>
      <c r="X148" s="32">
        <f t="shared" si="57"/>
        <v>1.5050424667303695</v>
      </c>
      <c r="Y148" s="32">
        <f t="shared" si="58"/>
        <v>0.91894222076960652</v>
      </c>
      <c r="Z148" s="38">
        <f t="shared" si="59"/>
        <v>0.36348386312200059</v>
      </c>
      <c r="AA148" s="31">
        <f>SUM(L$2:L148)-SUM(AB$2:AB148)</f>
        <v>7853.5730000000149</v>
      </c>
      <c r="AB148" s="176"/>
      <c r="AC148" s="40">
        <f t="shared" si="41"/>
        <v>982.20514668495639</v>
      </c>
      <c r="AD148" s="40">
        <f t="shared" si="42"/>
        <v>-3817.7948533150438</v>
      </c>
    </row>
    <row r="149" spans="1:30" ht="14.4" customHeight="1" x14ac:dyDescent="0.25">
      <c r="A149" s="174">
        <v>42978</v>
      </c>
      <c r="B149" s="159"/>
      <c r="C149" s="64" t="s">
        <v>69</v>
      </c>
      <c r="D149" s="104">
        <v>400</v>
      </c>
      <c r="E149" s="104">
        <v>11.99</v>
      </c>
      <c r="F149" s="102">
        <f t="shared" si="44"/>
        <v>4400</v>
      </c>
      <c r="G149" s="32">
        <f t="shared" si="43"/>
        <v>9.1842430681818463</v>
      </c>
      <c r="H149" s="31">
        <f t="shared" si="45"/>
        <v>40410.66950000012</v>
      </c>
      <c r="I149" s="31">
        <f t="shared" si="46"/>
        <v>12345.33049999988</v>
      </c>
      <c r="J149" s="175">
        <f t="shared" si="47"/>
        <v>0.30549680697568843</v>
      </c>
      <c r="K149" s="31">
        <f t="shared" si="48"/>
        <v>52756</v>
      </c>
      <c r="L149" s="31">
        <f t="shared" si="49"/>
        <v>710.2039999999979</v>
      </c>
      <c r="M149" s="31">
        <f t="shared" si="50"/>
        <v>5</v>
      </c>
      <c r="N149" s="31">
        <f t="shared" si="51"/>
        <v>4.7960000000000003</v>
      </c>
      <c r="O149" s="125"/>
      <c r="P149" s="32">
        <f t="shared" si="52"/>
        <v>2.8057569318181539</v>
      </c>
      <c r="Q149" s="31">
        <f t="shared" si="53"/>
        <v>4786.2039999999979</v>
      </c>
      <c r="R149" s="34"/>
      <c r="S149" s="34">
        <f t="shared" si="54"/>
        <v>104307.77500000001</v>
      </c>
      <c r="T149" s="34">
        <f t="shared" si="55"/>
        <v>8699.5642201834871</v>
      </c>
      <c r="U149" s="34">
        <f t="shared" si="40"/>
        <v>13099.564220183487</v>
      </c>
      <c r="V149" s="31">
        <f>H149+S149-SUM(AB$15:AB149)</f>
        <v>144218.44450000013</v>
      </c>
      <c r="W149" s="32">
        <f t="shared" si="56"/>
        <v>11.00940779982527</v>
      </c>
      <c r="X149" s="32">
        <f t="shared" si="57"/>
        <v>1.8251647316434241</v>
      </c>
      <c r="Y149" s="32">
        <f t="shared" si="58"/>
        <v>0.98059220017472981</v>
      </c>
      <c r="Z149" s="38">
        <f t="shared" si="59"/>
        <v>0.3358890361574462</v>
      </c>
      <c r="AA149" s="31">
        <f>SUM(L$2:L149)-SUM(AB$2:AB149)</f>
        <v>8563.7770000000128</v>
      </c>
      <c r="AB149" s="176"/>
      <c r="AC149" s="40">
        <f t="shared" si="41"/>
        <v>1029.1207535237597</v>
      </c>
      <c r="AD149" s="40">
        <f t="shared" si="42"/>
        <v>-3370.87924647624</v>
      </c>
    </row>
    <row r="150" spans="1:30" ht="14.4" customHeight="1" x14ac:dyDescent="0.25">
      <c r="A150" s="174">
        <v>42978</v>
      </c>
      <c r="B150" s="159" t="s">
        <v>232</v>
      </c>
      <c r="C150" s="64" t="s">
        <v>63</v>
      </c>
      <c r="D150" s="104">
        <v>500</v>
      </c>
      <c r="E150" s="104">
        <v>11.88</v>
      </c>
      <c r="F150" s="102">
        <f t="shared" si="44"/>
        <v>4900</v>
      </c>
      <c r="G150" s="32">
        <f t="shared" si="43"/>
        <v>9.4603407142857385</v>
      </c>
      <c r="H150" s="31">
        <f t="shared" si="45"/>
        <v>46355.66950000012</v>
      </c>
      <c r="I150" s="31">
        <f t="shared" si="46"/>
        <v>11856.330499999887</v>
      </c>
      <c r="J150" s="175">
        <f t="shared" si="47"/>
        <v>0.25576872533358308</v>
      </c>
      <c r="K150" s="31">
        <f t="shared" si="48"/>
        <v>58212.000000000007</v>
      </c>
      <c r="L150" s="31">
        <f t="shared" si="49"/>
        <v>-488.99999999999272</v>
      </c>
      <c r="M150" s="31">
        <f t="shared" si="50"/>
        <v>5</v>
      </c>
      <c r="N150" s="31">
        <f t="shared" si="51"/>
        <v>0</v>
      </c>
      <c r="O150" s="125"/>
      <c r="P150" s="32">
        <f t="shared" si="52"/>
        <v>2.4196592857142623</v>
      </c>
      <c r="Q150" s="31">
        <f t="shared" si="53"/>
        <v>-5945</v>
      </c>
      <c r="R150" s="34"/>
      <c r="S150" s="34">
        <f t="shared" si="54"/>
        <v>98362.775000000009</v>
      </c>
      <c r="T150" s="34">
        <f t="shared" si="55"/>
        <v>8279.6948653198651</v>
      </c>
      <c r="U150" s="34">
        <f t="shared" si="40"/>
        <v>13179.694865319865</v>
      </c>
      <c r="V150" s="31">
        <f>H150+S150-SUM(AB$15:AB150)</f>
        <v>144218.44450000013</v>
      </c>
      <c r="W150" s="32">
        <f t="shared" si="56"/>
        <v>10.942472187234511</v>
      </c>
      <c r="X150" s="32">
        <f t="shared" si="57"/>
        <v>1.4821314729487725</v>
      </c>
      <c r="Y150" s="32">
        <f t="shared" si="58"/>
        <v>0.9375278127654898</v>
      </c>
      <c r="Z150" s="38">
        <f t="shared" si="59"/>
        <v>0.37178402459783194</v>
      </c>
      <c r="AA150" s="31">
        <f>SUM(L$2:L150)-SUM(AB$2:AB150)</f>
        <v>8074.7770000000201</v>
      </c>
      <c r="AB150" s="176"/>
      <c r="AC150" s="40">
        <f t="shared" si="41"/>
        <v>997.5086140361858</v>
      </c>
      <c r="AD150" s="40">
        <f t="shared" si="42"/>
        <v>-3902.4913859638141</v>
      </c>
    </row>
    <row r="151" spans="1:30" ht="14.4" customHeight="1" x14ac:dyDescent="0.25">
      <c r="A151" s="174">
        <v>42978</v>
      </c>
      <c r="B151" s="159" t="s">
        <v>233</v>
      </c>
      <c r="C151" s="64" t="s">
        <v>63</v>
      </c>
      <c r="D151" s="104">
        <v>500</v>
      </c>
      <c r="E151" s="104">
        <v>11.83</v>
      </c>
      <c r="F151" s="102">
        <f t="shared" si="44"/>
        <v>5400</v>
      </c>
      <c r="G151" s="32">
        <f t="shared" si="43"/>
        <v>9.6806795370370597</v>
      </c>
      <c r="H151" s="31">
        <f t="shared" si="45"/>
        <v>52275.66950000012</v>
      </c>
      <c r="I151" s="31">
        <f t="shared" si="46"/>
        <v>11606.33049999988</v>
      </c>
      <c r="J151" s="175">
        <f t="shared" si="47"/>
        <v>0.22202165196564055</v>
      </c>
      <c r="K151" s="31">
        <f t="shared" si="48"/>
        <v>63882</v>
      </c>
      <c r="L151" s="31">
        <f t="shared" si="49"/>
        <v>-250.00000000000728</v>
      </c>
      <c r="M151" s="31">
        <f t="shared" si="50"/>
        <v>5</v>
      </c>
      <c r="N151" s="31">
        <f t="shared" si="51"/>
        <v>0</v>
      </c>
      <c r="O151" s="125"/>
      <c r="P151" s="32">
        <f t="shared" si="52"/>
        <v>2.1493204629629403</v>
      </c>
      <c r="Q151" s="31">
        <f t="shared" si="53"/>
        <v>-5920</v>
      </c>
      <c r="R151" s="34"/>
      <c r="S151" s="34">
        <f t="shared" si="54"/>
        <v>92442.775000000009</v>
      </c>
      <c r="T151" s="34">
        <f t="shared" si="55"/>
        <v>7814.266694843619</v>
      </c>
      <c r="U151" s="34">
        <f t="shared" si="40"/>
        <v>13214.26669484362</v>
      </c>
      <c r="V151" s="31">
        <f>H151+S151-SUM(AB$15:AB151)</f>
        <v>144218.44450000013</v>
      </c>
      <c r="W151" s="32">
        <f t="shared" si="56"/>
        <v>10.913843940827686</v>
      </c>
      <c r="X151" s="32">
        <f t="shared" si="57"/>
        <v>1.2331644037906262</v>
      </c>
      <c r="Y151" s="32">
        <f t="shared" si="58"/>
        <v>0.91615605917231413</v>
      </c>
      <c r="Z151" s="38">
        <f t="shared" si="59"/>
        <v>0.40864923682122678</v>
      </c>
      <c r="AA151" s="31">
        <f>SUM(L$2:L151)-SUM(AB$2:AB151)</f>
        <v>7824.7770000000128</v>
      </c>
      <c r="AB151" s="176"/>
      <c r="AC151" s="40">
        <f t="shared" si="41"/>
        <v>980.60247969145223</v>
      </c>
      <c r="AD151" s="40">
        <f t="shared" si="42"/>
        <v>-4419.3975203085474</v>
      </c>
    </row>
    <row r="152" spans="1:30" ht="14.4" customHeight="1" x14ac:dyDescent="0.25">
      <c r="A152" s="174">
        <v>42978</v>
      </c>
      <c r="B152" s="159" t="s">
        <v>234</v>
      </c>
      <c r="C152" s="64" t="s">
        <v>63</v>
      </c>
      <c r="D152" s="104">
        <v>500</v>
      </c>
      <c r="E152" s="104">
        <v>11.78</v>
      </c>
      <c r="F152" s="102">
        <f t="shared" si="44"/>
        <v>5900</v>
      </c>
      <c r="G152" s="32">
        <f t="shared" si="43"/>
        <v>9.859435508474597</v>
      </c>
      <c r="H152" s="31">
        <f t="shared" si="45"/>
        <v>58170.66950000012</v>
      </c>
      <c r="I152" s="31">
        <f t="shared" si="46"/>
        <v>11331.33049999988</v>
      </c>
      <c r="J152" s="175">
        <f t="shared" si="47"/>
        <v>0.19479456910840351</v>
      </c>
      <c r="K152" s="31">
        <f t="shared" si="48"/>
        <v>69502</v>
      </c>
      <c r="L152" s="31">
        <f t="shared" si="49"/>
        <v>-275</v>
      </c>
      <c r="M152" s="31">
        <f t="shared" si="50"/>
        <v>5</v>
      </c>
      <c r="N152" s="31">
        <f t="shared" si="51"/>
        <v>0</v>
      </c>
      <c r="O152" s="125"/>
      <c r="P152" s="32">
        <f t="shared" si="52"/>
        <v>1.9205644915254023</v>
      </c>
      <c r="Q152" s="31">
        <f t="shared" si="53"/>
        <v>-5895</v>
      </c>
      <c r="R152" s="34"/>
      <c r="S152" s="34">
        <f t="shared" si="54"/>
        <v>86547.775000000009</v>
      </c>
      <c r="T152" s="34">
        <f t="shared" si="55"/>
        <v>7347.0097623089996</v>
      </c>
      <c r="U152" s="34">
        <f t="shared" si="40"/>
        <v>13247.009762309001</v>
      </c>
      <c r="V152" s="31">
        <f>H152+S152-SUM(AB$15:AB152)</f>
        <v>144218.44450000013</v>
      </c>
      <c r="W152" s="32">
        <f t="shared" si="56"/>
        <v>10.88686783566334</v>
      </c>
      <c r="X152" s="32">
        <f t="shared" si="57"/>
        <v>1.0274323271887429</v>
      </c>
      <c r="Y152" s="32">
        <f t="shared" si="58"/>
        <v>0.89313216433665943</v>
      </c>
      <c r="Z152" s="38">
        <f t="shared" si="59"/>
        <v>0.44538353227359662</v>
      </c>
      <c r="AA152" s="31">
        <f>SUM(L$2:L152)-SUM(AB$2:AB152)</f>
        <v>7549.7770000000128</v>
      </c>
      <c r="AB152" s="176"/>
      <c r="AC152" s="40">
        <f t="shared" si="41"/>
        <v>961.43164980898814</v>
      </c>
      <c r="AD152" s="40">
        <f t="shared" si="42"/>
        <v>-4938.5683501910116</v>
      </c>
    </row>
    <row r="153" spans="1:30" ht="14.4" customHeight="1" x14ac:dyDescent="0.25">
      <c r="A153" s="174">
        <v>42979</v>
      </c>
      <c r="B153" s="159" t="s">
        <v>235</v>
      </c>
      <c r="C153" s="64" t="s">
        <v>63</v>
      </c>
      <c r="D153" s="104">
        <v>1000</v>
      </c>
      <c r="E153" s="104">
        <v>11.75</v>
      </c>
      <c r="F153" s="102">
        <f t="shared" si="44"/>
        <v>6900</v>
      </c>
      <c r="G153" s="32">
        <f t="shared" si="43"/>
        <v>10.134281811594221</v>
      </c>
      <c r="H153" s="31">
        <f t="shared" si="45"/>
        <v>69926.54450000012</v>
      </c>
      <c r="I153" s="31">
        <f t="shared" si="46"/>
        <v>11148.45549999988</v>
      </c>
      <c r="J153" s="175">
        <f t="shared" si="47"/>
        <v>0.1594309511461682</v>
      </c>
      <c r="K153" s="31">
        <f t="shared" si="48"/>
        <v>81075</v>
      </c>
      <c r="L153" s="31">
        <f t="shared" si="49"/>
        <v>-182.875</v>
      </c>
      <c r="M153" s="31">
        <f t="shared" si="50"/>
        <v>5.875</v>
      </c>
      <c r="N153" s="31">
        <f t="shared" si="51"/>
        <v>0</v>
      </c>
      <c r="O153" s="125"/>
      <c r="P153" s="32">
        <f t="shared" si="52"/>
        <v>1.6157181884057792</v>
      </c>
      <c r="Q153" s="31">
        <f t="shared" si="53"/>
        <v>-11755.875</v>
      </c>
      <c r="R153" s="34"/>
      <c r="S153" s="34">
        <f t="shared" si="54"/>
        <v>74791.900000000009</v>
      </c>
      <c r="T153" s="34">
        <f t="shared" si="55"/>
        <v>6365.2680851063833</v>
      </c>
      <c r="U153" s="34">
        <f t="shared" si="40"/>
        <v>13265.268085106383</v>
      </c>
      <c r="V153" s="31">
        <f>H153+S153-SUM(AB$15:AB153)</f>
        <v>144218.44450000013</v>
      </c>
      <c r="W153" s="32">
        <f t="shared" si="56"/>
        <v>10.871883144368699</v>
      </c>
      <c r="X153" s="32">
        <f t="shared" si="57"/>
        <v>0.73760133277447792</v>
      </c>
      <c r="Y153" s="32">
        <f t="shared" si="58"/>
        <v>0.87811685563130126</v>
      </c>
      <c r="Z153" s="38">
        <f t="shared" si="59"/>
        <v>0.52015533766309585</v>
      </c>
      <c r="AA153" s="31">
        <f>SUM(L$2:L153)-SUM(AB$2:AB153)</f>
        <v>7366.9020000000128</v>
      </c>
      <c r="AB153" s="176"/>
      <c r="AC153" s="40">
        <f t="shared" si="41"/>
        <v>948.33032104254301</v>
      </c>
      <c r="AD153" s="40">
        <f t="shared" si="42"/>
        <v>-5951.6696789574571</v>
      </c>
    </row>
    <row r="154" spans="1:30" ht="14.4" customHeight="1" x14ac:dyDescent="0.25">
      <c r="A154" s="174">
        <v>42979</v>
      </c>
      <c r="B154" s="159"/>
      <c r="C154" s="64" t="s">
        <v>69</v>
      </c>
      <c r="D154" s="104">
        <v>400</v>
      </c>
      <c r="E154" s="104">
        <v>11.84</v>
      </c>
      <c r="F154" s="102">
        <f t="shared" si="44"/>
        <v>6500</v>
      </c>
      <c r="G154" s="32">
        <f t="shared" si="43"/>
        <v>10.030812384615402</v>
      </c>
      <c r="H154" s="31">
        <f t="shared" si="45"/>
        <v>65200.280500000117</v>
      </c>
      <c r="I154" s="31">
        <f t="shared" si="46"/>
        <v>11759.719499999883</v>
      </c>
      <c r="J154" s="175">
        <f t="shared" si="47"/>
        <v>0.18036302006399907</v>
      </c>
      <c r="K154" s="31">
        <f t="shared" si="48"/>
        <v>76960</v>
      </c>
      <c r="L154" s="31">
        <f t="shared" si="49"/>
        <v>611.26400000000285</v>
      </c>
      <c r="M154" s="31">
        <f t="shared" si="50"/>
        <v>5</v>
      </c>
      <c r="N154" s="31">
        <f t="shared" si="51"/>
        <v>4.7359999999999998</v>
      </c>
      <c r="O154" s="125"/>
      <c r="P154" s="32">
        <f t="shared" si="52"/>
        <v>1.809187615384598</v>
      </c>
      <c r="Q154" s="31">
        <f t="shared" si="53"/>
        <v>4726.2640000000029</v>
      </c>
      <c r="R154" s="34"/>
      <c r="S154" s="34">
        <f t="shared" si="54"/>
        <v>79518.164000000019</v>
      </c>
      <c r="T154" s="34">
        <f t="shared" si="55"/>
        <v>6716.0611486486505</v>
      </c>
      <c r="U154" s="34">
        <f t="shared" si="40"/>
        <v>13216.06114864865</v>
      </c>
      <c r="V154" s="31">
        <f>H154+S154-SUM(AB$15:AB154)</f>
        <v>144218.44450000013</v>
      </c>
      <c r="W154" s="32">
        <f t="shared" si="56"/>
        <v>10.912362078072448</v>
      </c>
      <c r="X154" s="32">
        <f t="shared" si="57"/>
        <v>0.88154969345704615</v>
      </c>
      <c r="Y154" s="32">
        <f t="shared" si="58"/>
        <v>0.9276379219275519</v>
      </c>
      <c r="Z154" s="38">
        <f t="shared" si="59"/>
        <v>0.4918258115554065</v>
      </c>
      <c r="AA154" s="31">
        <f>SUM(L$2:L154)-SUM(AB$2:AB154)</f>
        <v>7978.1660000000156</v>
      </c>
      <c r="AB154" s="176"/>
      <c r="AC154" s="40">
        <f t="shared" si="41"/>
        <v>992.72294258867259</v>
      </c>
      <c r="AD154" s="40">
        <f t="shared" si="42"/>
        <v>-5507.2770574113274</v>
      </c>
    </row>
    <row r="155" spans="1:30" ht="14.4" customHeight="1" x14ac:dyDescent="0.25">
      <c r="A155" s="174">
        <v>42982</v>
      </c>
      <c r="B155" s="159" t="s">
        <v>236</v>
      </c>
      <c r="C155" s="64" t="s">
        <v>63</v>
      </c>
      <c r="D155" s="104">
        <v>500</v>
      </c>
      <c r="E155" s="104">
        <v>11.73</v>
      </c>
      <c r="F155" s="102">
        <f t="shared" si="44"/>
        <v>7000</v>
      </c>
      <c r="G155" s="32">
        <f t="shared" si="43"/>
        <v>10.15289721428573</v>
      </c>
      <c r="H155" s="31">
        <f t="shared" si="45"/>
        <v>71070.28050000011</v>
      </c>
      <c r="I155" s="31">
        <f t="shared" si="46"/>
        <v>11039.71949999989</v>
      </c>
      <c r="J155" s="175">
        <f t="shared" si="47"/>
        <v>0.15533524593307152</v>
      </c>
      <c r="K155" s="31">
        <f t="shared" si="48"/>
        <v>82110</v>
      </c>
      <c r="L155" s="31">
        <f t="shared" si="49"/>
        <v>-719.99999999999272</v>
      </c>
      <c r="M155" s="31">
        <f t="shared" si="50"/>
        <v>5</v>
      </c>
      <c r="N155" s="31">
        <f t="shared" si="51"/>
        <v>0</v>
      </c>
      <c r="O155" s="125"/>
      <c r="P155" s="32">
        <f t="shared" si="52"/>
        <v>1.5771027857142705</v>
      </c>
      <c r="Q155" s="31">
        <f t="shared" si="53"/>
        <v>-5869.9999999999927</v>
      </c>
      <c r="R155" s="34"/>
      <c r="S155" s="34">
        <f t="shared" si="54"/>
        <v>73648.164000000019</v>
      </c>
      <c r="T155" s="34">
        <f t="shared" si="55"/>
        <v>6278.6158567774946</v>
      </c>
      <c r="U155" s="34">
        <f t="shared" si="40"/>
        <v>13278.615856777495</v>
      </c>
      <c r="V155" s="31">
        <f>H155+S155-SUM(AB$15:AB155)</f>
        <v>144218.44450000013</v>
      </c>
      <c r="W155" s="32">
        <f t="shared" si="56"/>
        <v>10.860954639815871</v>
      </c>
      <c r="X155" s="32">
        <f t="shared" si="57"/>
        <v>0.70805742553014106</v>
      </c>
      <c r="Y155" s="32">
        <f t="shared" si="58"/>
        <v>0.86904536018412948</v>
      </c>
      <c r="Z155" s="38">
        <f t="shared" si="59"/>
        <v>0.5271633787362825</v>
      </c>
      <c r="AA155" s="31">
        <f>SUM(L$2:L155)-SUM(AB$2:AB155)</f>
        <v>7258.1660000000229</v>
      </c>
      <c r="AB155" s="176"/>
      <c r="AC155" s="40">
        <f t="shared" si="41"/>
        <v>940.68198126597531</v>
      </c>
      <c r="AD155" s="40">
        <f t="shared" si="42"/>
        <v>-6059.3180187340249</v>
      </c>
    </row>
    <row r="156" spans="1:30" ht="14.4" customHeight="1" x14ac:dyDescent="0.25">
      <c r="A156" s="174">
        <v>42983</v>
      </c>
      <c r="B156" s="159"/>
      <c r="C156" s="64" t="s">
        <v>69</v>
      </c>
      <c r="D156" s="104">
        <v>400</v>
      </c>
      <c r="E156" s="104">
        <v>11.84</v>
      </c>
      <c r="F156" s="102">
        <f t="shared" si="44"/>
        <v>6600</v>
      </c>
      <c r="G156" s="32">
        <f t="shared" si="43"/>
        <v>10.052123712121229</v>
      </c>
      <c r="H156" s="31">
        <f t="shared" si="45"/>
        <v>66344.016500000114</v>
      </c>
      <c r="I156" s="31">
        <f t="shared" si="46"/>
        <v>11799.983499999886</v>
      </c>
      <c r="J156" s="175">
        <f t="shared" si="47"/>
        <v>0.17786055355873523</v>
      </c>
      <c r="K156" s="31">
        <f t="shared" si="48"/>
        <v>78144</v>
      </c>
      <c r="L156" s="31">
        <f t="shared" si="49"/>
        <v>760.26399999999558</v>
      </c>
      <c r="M156" s="31">
        <f t="shared" si="50"/>
        <v>5</v>
      </c>
      <c r="N156" s="31">
        <f t="shared" si="51"/>
        <v>4.7359999999999998</v>
      </c>
      <c r="O156" s="125"/>
      <c r="P156" s="32">
        <f t="shared" si="52"/>
        <v>1.7878762878787704</v>
      </c>
      <c r="Q156" s="31">
        <f t="shared" si="53"/>
        <v>4726.2639999999956</v>
      </c>
      <c r="R156" s="34"/>
      <c r="S156" s="34">
        <f t="shared" si="54"/>
        <v>78374.428000000014</v>
      </c>
      <c r="T156" s="34">
        <f t="shared" si="55"/>
        <v>6619.4618243243258</v>
      </c>
      <c r="U156" s="34">
        <f t="shared" si="40"/>
        <v>13219.461824324326</v>
      </c>
      <c r="V156" s="31">
        <f>H156+S156-SUM(AB$15:AB156)</f>
        <v>144218.44450000013</v>
      </c>
      <c r="W156" s="32">
        <f t="shared" si="56"/>
        <v>10.909554898417465</v>
      </c>
      <c r="X156" s="32">
        <f t="shared" si="57"/>
        <v>0.85743118629623538</v>
      </c>
      <c r="Y156" s="32">
        <f t="shared" si="58"/>
        <v>0.93044510158253502</v>
      </c>
      <c r="Z156" s="38">
        <f t="shared" si="59"/>
        <v>0.4992638949836628</v>
      </c>
      <c r="AA156" s="31">
        <f>SUM(L$2:L156)-SUM(AB$2:AB156)</f>
        <v>8018.4300000000185</v>
      </c>
      <c r="AB156" s="176"/>
      <c r="AC156" s="40">
        <f t="shared" si="41"/>
        <v>996.12191792651072</v>
      </c>
      <c r="AD156" s="40">
        <f t="shared" si="42"/>
        <v>-5603.8780820734892</v>
      </c>
    </row>
    <row r="157" spans="1:30" ht="14.4" customHeight="1" x14ac:dyDescent="0.25">
      <c r="A157" s="174">
        <v>42983</v>
      </c>
      <c r="B157" s="159"/>
      <c r="C157" s="64" t="s">
        <v>69</v>
      </c>
      <c r="D157" s="104">
        <v>400</v>
      </c>
      <c r="E157" s="104">
        <v>11.94</v>
      </c>
      <c r="F157" s="102">
        <f t="shared" si="44"/>
        <v>6200</v>
      </c>
      <c r="G157" s="32">
        <f t="shared" si="43"/>
        <v>9.931902016129051</v>
      </c>
      <c r="H157" s="31">
        <f t="shared" si="45"/>
        <v>61577.792500000112</v>
      </c>
      <c r="I157" s="31">
        <f t="shared" si="46"/>
        <v>12450.207499999888</v>
      </c>
      <c r="J157" s="175">
        <f t="shared" si="47"/>
        <v>0.20218664870131317</v>
      </c>
      <c r="K157" s="31">
        <f t="shared" si="48"/>
        <v>74028</v>
      </c>
      <c r="L157" s="31">
        <f t="shared" si="49"/>
        <v>650.22400000000198</v>
      </c>
      <c r="M157" s="31">
        <f t="shared" si="50"/>
        <v>5</v>
      </c>
      <c r="N157" s="31">
        <f t="shared" si="51"/>
        <v>4.7759999999999998</v>
      </c>
      <c r="O157" s="125"/>
      <c r="P157" s="32">
        <f t="shared" si="52"/>
        <v>2.0080979838709485</v>
      </c>
      <c r="Q157" s="31">
        <f t="shared" si="53"/>
        <v>4766.224000000002</v>
      </c>
      <c r="R157" s="34"/>
      <c r="S157" s="34">
        <f t="shared" si="54"/>
        <v>83140.652000000016</v>
      </c>
      <c r="T157" s="34">
        <f t="shared" si="55"/>
        <v>6963.2036850921286</v>
      </c>
      <c r="U157" s="34">
        <f t="shared" si="40"/>
        <v>13163.203685092129</v>
      </c>
      <c r="V157" s="31">
        <f>H157+S157-SUM(AB$15:AB157)</f>
        <v>144218.44450000013</v>
      </c>
      <c r="W157" s="32">
        <f t="shared" si="56"/>
        <v>10.956181181282902</v>
      </c>
      <c r="X157" s="32">
        <f t="shared" si="57"/>
        <v>1.0242791651538514</v>
      </c>
      <c r="Y157" s="32">
        <f t="shared" si="58"/>
        <v>0.98381881871709709</v>
      </c>
      <c r="Z157" s="38">
        <f t="shared" si="59"/>
        <v>0.47100995687104319</v>
      </c>
      <c r="AA157" s="31">
        <f>SUM(L$2:L157)-SUM(AB$2:AB157)</f>
        <v>8668.6540000000205</v>
      </c>
      <c r="AB157" s="176"/>
      <c r="AC157" s="40">
        <f t="shared" si="41"/>
        <v>1042.2095809254513</v>
      </c>
      <c r="AD157" s="40">
        <f t="shared" si="42"/>
        <v>-5157.7904190745485</v>
      </c>
    </row>
    <row r="158" spans="1:30" ht="14.4" customHeight="1" x14ac:dyDescent="0.25">
      <c r="A158" s="174">
        <v>42984</v>
      </c>
      <c r="B158" s="159" t="s">
        <v>237</v>
      </c>
      <c r="C158" s="64" t="s">
        <v>63</v>
      </c>
      <c r="D158" s="104">
        <v>500</v>
      </c>
      <c r="E158" s="104">
        <v>11.73</v>
      </c>
      <c r="F158" s="102">
        <f t="shared" si="44"/>
        <v>6700</v>
      </c>
      <c r="G158" s="32">
        <f t="shared" si="43"/>
        <v>10.066834701492555</v>
      </c>
      <c r="H158" s="31">
        <f t="shared" si="45"/>
        <v>67447.792500000112</v>
      </c>
      <c r="I158" s="31">
        <f t="shared" si="46"/>
        <v>11143.207499999888</v>
      </c>
      <c r="J158" s="175">
        <f t="shared" si="47"/>
        <v>0.16521233812062666</v>
      </c>
      <c r="K158" s="31">
        <f t="shared" si="48"/>
        <v>78591</v>
      </c>
      <c r="L158" s="31">
        <f t="shared" si="49"/>
        <v>-1307</v>
      </c>
      <c r="M158" s="31">
        <f t="shared" si="50"/>
        <v>5</v>
      </c>
      <c r="N158" s="31">
        <f t="shared" si="51"/>
        <v>0</v>
      </c>
      <c r="O158" s="125"/>
      <c r="P158" s="32">
        <f t="shared" si="52"/>
        <v>1.6631652985074457</v>
      </c>
      <c r="Q158" s="31">
        <f t="shared" si="53"/>
        <v>-5870</v>
      </c>
      <c r="R158" s="34"/>
      <c r="S158" s="34">
        <f t="shared" si="54"/>
        <v>77270.652000000016</v>
      </c>
      <c r="T158" s="34">
        <f t="shared" si="55"/>
        <v>6587.4383631713563</v>
      </c>
      <c r="U158" s="34">
        <f t="shared" si="40"/>
        <v>13287.438363171357</v>
      </c>
      <c r="V158" s="31">
        <f>H158+S158-SUM(AB$15:AB158)</f>
        <v>144218.44450000013</v>
      </c>
      <c r="W158" s="32">
        <f t="shared" si="56"/>
        <v>10.853743254209839</v>
      </c>
      <c r="X158" s="32">
        <f t="shared" si="57"/>
        <v>0.78690855271728388</v>
      </c>
      <c r="Y158" s="32">
        <f t="shared" si="58"/>
        <v>0.87625674579016177</v>
      </c>
      <c r="Z158" s="38">
        <f t="shared" si="59"/>
        <v>0.50423564097729434</v>
      </c>
      <c r="AA158" s="31">
        <f>SUM(L$2:L158)-SUM(AB$2:AB158)</f>
        <v>7361.6540000000205</v>
      </c>
      <c r="AB158" s="176"/>
      <c r="AC158" s="40">
        <f t="shared" si="41"/>
        <v>949.50007640664001</v>
      </c>
      <c r="AD158" s="40">
        <f t="shared" si="42"/>
        <v>-5750.4999235933601</v>
      </c>
    </row>
    <row r="159" spans="1:30" ht="14.4" customHeight="1" x14ac:dyDescent="0.25">
      <c r="A159" s="174">
        <v>42985</v>
      </c>
      <c r="B159" s="159"/>
      <c r="C159" s="64" t="s">
        <v>69</v>
      </c>
      <c r="D159" s="104">
        <v>400</v>
      </c>
      <c r="E159" s="104">
        <v>11.89</v>
      </c>
      <c r="F159" s="102">
        <f t="shared" si="44"/>
        <v>6300</v>
      </c>
      <c r="G159" s="32">
        <f t="shared" si="43"/>
        <v>9.9526267460317648</v>
      </c>
      <c r="H159" s="31">
        <f t="shared" si="45"/>
        <v>62701.548500000114</v>
      </c>
      <c r="I159" s="31">
        <f t="shared" si="46"/>
        <v>12205.451499999886</v>
      </c>
      <c r="J159" s="175">
        <f t="shared" si="47"/>
        <v>0.19465949074606767</v>
      </c>
      <c r="K159" s="31">
        <f t="shared" si="48"/>
        <v>74907</v>
      </c>
      <c r="L159" s="31">
        <f t="shared" si="49"/>
        <v>1062.2439999999988</v>
      </c>
      <c r="M159" s="31">
        <f t="shared" si="50"/>
        <v>5</v>
      </c>
      <c r="N159" s="31">
        <f t="shared" si="51"/>
        <v>4.7560000000000002</v>
      </c>
      <c r="O159" s="125"/>
      <c r="P159" s="32">
        <f t="shared" si="52"/>
        <v>1.9373732539682358</v>
      </c>
      <c r="Q159" s="31">
        <f t="shared" si="53"/>
        <v>4746.2439999999988</v>
      </c>
      <c r="R159" s="34"/>
      <c r="S159" s="34">
        <f t="shared" si="54"/>
        <v>82016.896000000008</v>
      </c>
      <c r="T159" s="34">
        <f t="shared" si="55"/>
        <v>6897.9727502102614</v>
      </c>
      <c r="U159" s="34">
        <f t="shared" si="40"/>
        <v>13197.972750210261</v>
      </c>
      <c r="V159" s="31">
        <f>H159+S159-SUM(AB$15:AB159)</f>
        <v>144218.44450000013</v>
      </c>
      <c r="W159" s="32">
        <f t="shared" si="56"/>
        <v>10.927317947197803</v>
      </c>
      <c r="X159" s="32">
        <f t="shared" si="57"/>
        <v>0.97469120116603847</v>
      </c>
      <c r="Y159" s="32">
        <f t="shared" si="58"/>
        <v>0.96268205280219732</v>
      </c>
      <c r="Z159" s="38">
        <f t="shared" si="59"/>
        <v>0.47734603785264162</v>
      </c>
      <c r="AA159" s="31">
        <f>SUM(L$2:L159)-SUM(AB$2:AB159)</f>
        <v>8423.8980000000192</v>
      </c>
      <c r="AB159" s="176"/>
      <c r="AC159" s="40">
        <f t="shared" si="41"/>
        <v>1026.0175588099148</v>
      </c>
      <c r="AD159" s="40">
        <f t="shared" si="42"/>
        <v>-5273.9824411900854</v>
      </c>
    </row>
    <row r="160" spans="1:30" ht="14.4" customHeight="1" x14ac:dyDescent="0.25">
      <c r="A160" s="174">
        <v>42985</v>
      </c>
      <c r="B160" s="159"/>
      <c r="C160" s="64" t="s">
        <v>69</v>
      </c>
      <c r="D160" s="104">
        <v>400</v>
      </c>
      <c r="E160" s="104">
        <v>12</v>
      </c>
      <c r="F160" s="102">
        <f t="shared" si="44"/>
        <v>5900</v>
      </c>
      <c r="G160" s="32">
        <f t="shared" si="43"/>
        <v>9.8154827966101887</v>
      </c>
      <c r="H160" s="31">
        <f t="shared" si="45"/>
        <v>57911.348500000116</v>
      </c>
      <c r="I160" s="31">
        <f t="shared" si="46"/>
        <v>12888.651499999884</v>
      </c>
      <c r="J160" s="175">
        <f t="shared" si="47"/>
        <v>0.2225583039220691</v>
      </c>
      <c r="K160" s="31">
        <f t="shared" si="48"/>
        <v>70800</v>
      </c>
      <c r="L160" s="31">
        <f t="shared" si="49"/>
        <v>683.19999999999709</v>
      </c>
      <c r="M160" s="31">
        <f t="shared" si="50"/>
        <v>5</v>
      </c>
      <c r="N160" s="31">
        <f t="shared" si="51"/>
        <v>4.8</v>
      </c>
      <c r="O160" s="125"/>
      <c r="P160" s="32">
        <f t="shared" si="52"/>
        <v>2.1845172033898113</v>
      </c>
      <c r="Q160" s="31">
        <f t="shared" si="53"/>
        <v>4790.1999999999971</v>
      </c>
      <c r="R160" s="34"/>
      <c r="S160" s="34">
        <f t="shared" si="54"/>
        <v>86807.096000000005</v>
      </c>
      <c r="T160" s="34">
        <f t="shared" si="55"/>
        <v>7233.9246666666668</v>
      </c>
      <c r="U160" s="34">
        <f t="shared" si="40"/>
        <v>13133.924666666666</v>
      </c>
      <c r="V160" s="31">
        <f>H160+S160-SUM(AB$15:AB160)</f>
        <v>144218.44450000013</v>
      </c>
      <c r="W160" s="32">
        <f t="shared" si="56"/>
        <v>10.980605429085513</v>
      </c>
      <c r="X160" s="32">
        <f t="shared" si="57"/>
        <v>1.1651226324753239</v>
      </c>
      <c r="Y160" s="32">
        <f t="shared" si="58"/>
        <v>1.0193945709144874</v>
      </c>
      <c r="Z160" s="38">
        <f t="shared" si="59"/>
        <v>0.44921835245286168</v>
      </c>
      <c r="AA160" s="31">
        <f>SUM(L$2:L160)-SUM(AB$2:AB160)</f>
        <v>9107.0980000000163</v>
      </c>
      <c r="AB160" s="176"/>
      <c r="AC160" s="40">
        <f t="shared" si="41"/>
        <v>1073.5172645208238</v>
      </c>
      <c r="AD160" s="40">
        <f t="shared" si="42"/>
        <v>-4826.482735479176</v>
      </c>
    </row>
    <row r="161" spans="1:30" x14ac:dyDescent="0.25">
      <c r="A161" s="174">
        <v>42985</v>
      </c>
      <c r="B161" s="159"/>
      <c r="C161" s="64" t="s">
        <v>69</v>
      </c>
      <c r="D161" s="104">
        <v>400</v>
      </c>
      <c r="E161" s="104">
        <v>12.07</v>
      </c>
      <c r="F161" s="102">
        <f t="shared" si="44"/>
        <v>5500</v>
      </c>
      <c r="G161" s="32">
        <f t="shared" si="43"/>
        <v>9.6533048181818391</v>
      </c>
      <c r="H161" s="31">
        <f t="shared" si="45"/>
        <v>53093.176500000118</v>
      </c>
      <c r="I161" s="31">
        <f t="shared" si="46"/>
        <v>13291.823499999882</v>
      </c>
      <c r="J161" s="175">
        <f t="shared" si="47"/>
        <v>0.25034899729534654</v>
      </c>
      <c r="K161" s="31">
        <f t="shared" si="48"/>
        <v>66385</v>
      </c>
      <c r="L161" s="31">
        <f t="shared" si="49"/>
        <v>403.17199999999866</v>
      </c>
      <c r="M161" s="31">
        <f t="shared" si="50"/>
        <v>5</v>
      </c>
      <c r="N161" s="31">
        <f t="shared" si="51"/>
        <v>4.8280000000000003</v>
      </c>
      <c r="O161" s="125"/>
      <c r="P161" s="32">
        <f t="shared" si="52"/>
        <v>2.4166951818181612</v>
      </c>
      <c r="Q161" s="31">
        <f t="shared" si="53"/>
        <v>4818.1719999999987</v>
      </c>
      <c r="R161" s="34"/>
      <c r="S161" s="34">
        <f t="shared" si="54"/>
        <v>91625.268000000011</v>
      </c>
      <c r="T161" s="34">
        <f t="shared" si="55"/>
        <v>7591.1572493786252</v>
      </c>
      <c r="U161" s="34">
        <f t="shared" si="40"/>
        <v>13091.157249378626</v>
      </c>
      <c r="V161" s="31">
        <f>H161+S161-SUM(AB$15:AB161)</f>
        <v>144218.44450000013</v>
      </c>
      <c r="W161" s="32">
        <f t="shared" si="56"/>
        <v>11.016477898227484</v>
      </c>
      <c r="X161" s="32">
        <f t="shared" si="57"/>
        <v>1.3631730800456445</v>
      </c>
      <c r="Y161" s="32">
        <f t="shared" si="58"/>
        <v>1.0535221017725167</v>
      </c>
      <c r="Z161" s="38">
        <f t="shared" si="59"/>
        <v>0.42013092465611152</v>
      </c>
      <c r="AA161" s="31">
        <f>SUM(L$2:L161)-SUM(AB$2:AB161)</f>
        <v>9510.270000000015</v>
      </c>
      <c r="AB161" s="176"/>
      <c r="AC161" s="40">
        <f t="shared" si="41"/>
        <v>1100.6775135252597</v>
      </c>
      <c r="AD161" s="40">
        <f t="shared" si="42"/>
        <v>-4399.3224864747408</v>
      </c>
    </row>
    <row r="162" spans="1:30" x14ac:dyDescent="0.25">
      <c r="A162" s="174">
        <v>42985</v>
      </c>
      <c r="B162" s="159"/>
      <c r="C162" s="64" t="s">
        <v>69</v>
      </c>
      <c r="D162" s="104">
        <v>400</v>
      </c>
      <c r="E162" s="104">
        <v>12.12</v>
      </c>
      <c r="F162" s="102">
        <f t="shared" si="44"/>
        <v>5100</v>
      </c>
      <c r="G162" s="32">
        <f t="shared" si="43"/>
        <v>9.4617695098039452</v>
      </c>
      <c r="H162" s="31">
        <f t="shared" si="45"/>
        <v>48255.024500000116</v>
      </c>
      <c r="I162" s="31">
        <f t="shared" si="46"/>
        <v>13556.975499999877</v>
      </c>
      <c r="J162" s="175">
        <f t="shared" si="47"/>
        <v>0.2809443294345409</v>
      </c>
      <c r="K162" s="31">
        <f t="shared" si="48"/>
        <v>61811.999999999993</v>
      </c>
      <c r="L162" s="31">
        <f t="shared" si="49"/>
        <v>265.15199999999459</v>
      </c>
      <c r="M162" s="31">
        <f t="shared" si="50"/>
        <v>5</v>
      </c>
      <c r="N162" s="31">
        <f t="shared" si="51"/>
        <v>4.8479999999999999</v>
      </c>
      <c r="O162" s="125"/>
      <c r="P162" s="32">
        <f t="shared" si="52"/>
        <v>2.6582304901960541</v>
      </c>
      <c r="Q162" s="31">
        <f t="shared" si="53"/>
        <v>4838.1520000000019</v>
      </c>
      <c r="R162" s="34"/>
      <c r="S162" s="34">
        <f t="shared" si="54"/>
        <v>96463.420000000013</v>
      </c>
      <c r="T162" s="34">
        <f t="shared" si="55"/>
        <v>7959.0280528052817</v>
      </c>
      <c r="U162" s="34">
        <f t="shared" si="40"/>
        <v>13059.028052805283</v>
      </c>
      <c r="V162" s="31">
        <f>H162+S162-SUM(AB$15:AB162)</f>
        <v>144218.44450000013</v>
      </c>
      <c r="W162" s="32">
        <f t="shared" si="56"/>
        <v>11.04358179772956</v>
      </c>
      <c r="X162" s="32">
        <f t="shared" si="57"/>
        <v>1.5818122879256151</v>
      </c>
      <c r="Y162" s="32">
        <f t="shared" si="58"/>
        <v>1.0764182022704389</v>
      </c>
      <c r="Z162" s="38">
        <f t="shared" si="59"/>
        <v>0.3905344241070407</v>
      </c>
      <c r="AA162" s="31">
        <f>SUM(L$2:L162)-SUM(AB$2:AB162)</f>
        <v>9775.4220000000096</v>
      </c>
      <c r="AB162" s="176"/>
      <c r="AC162" s="40">
        <f t="shared" si="41"/>
        <v>1118.0030538159965</v>
      </c>
      <c r="AD162" s="40">
        <f t="shared" si="42"/>
        <v>-3981.9969461840037</v>
      </c>
    </row>
    <row r="163" spans="1:30" ht="14.4" customHeight="1" x14ac:dyDescent="0.25">
      <c r="A163" s="174">
        <v>42985</v>
      </c>
      <c r="B163" s="159"/>
      <c r="C163" s="64" t="s">
        <v>69</v>
      </c>
      <c r="D163" s="104">
        <v>400</v>
      </c>
      <c r="E163" s="104">
        <v>12.17</v>
      </c>
      <c r="F163" s="102">
        <f t="shared" si="44"/>
        <v>4700</v>
      </c>
      <c r="G163" s="32">
        <f t="shared" si="43"/>
        <v>9.2333813829787488</v>
      </c>
      <c r="H163" s="31">
        <f t="shared" si="45"/>
        <v>43396.892500000118</v>
      </c>
      <c r="I163" s="31">
        <f t="shared" si="46"/>
        <v>13802.107499999882</v>
      </c>
      <c r="J163" s="175">
        <f t="shared" si="47"/>
        <v>0.31804368250560433</v>
      </c>
      <c r="K163" s="31">
        <f t="shared" si="48"/>
        <v>57199</v>
      </c>
      <c r="L163" s="31">
        <f t="shared" si="49"/>
        <v>245.13200000000506</v>
      </c>
      <c r="M163" s="31">
        <f t="shared" si="50"/>
        <v>5</v>
      </c>
      <c r="N163" s="31">
        <f t="shared" si="51"/>
        <v>4.8680000000000003</v>
      </c>
      <c r="O163" s="125"/>
      <c r="P163" s="32">
        <f t="shared" si="52"/>
        <v>2.9366186170212512</v>
      </c>
      <c r="Q163" s="31">
        <f t="shared" si="53"/>
        <v>4858.1319999999978</v>
      </c>
      <c r="R163" s="34"/>
      <c r="S163" s="34">
        <f t="shared" si="54"/>
        <v>101321.55200000001</v>
      </c>
      <c r="T163" s="34">
        <f t="shared" si="55"/>
        <v>8325.5178307313072</v>
      </c>
      <c r="U163" s="34">
        <f t="shared" si="40"/>
        <v>13025.517830731307</v>
      </c>
      <c r="V163" s="31">
        <f>H163+S163-SUM(AB$15:AB163)</f>
        <v>144218.44450000013</v>
      </c>
      <c r="W163" s="32">
        <f t="shared" si="56"/>
        <v>11.071993173257443</v>
      </c>
      <c r="X163" s="32">
        <f t="shared" si="57"/>
        <v>1.8386117902786943</v>
      </c>
      <c r="Y163" s="32">
        <f t="shared" si="58"/>
        <v>1.0980068267425569</v>
      </c>
      <c r="Z163" s="38">
        <f t="shared" si="59"/>
        <v>0.36083018434101843</v>
      </c>
      <c r="AA163" s="31">
        <f>SUM(L$2:L163)-SUM(AB$2:AB163)</f>
        <v>10020.554000000015</v>
      </c>
      <c r="AB163" s="176"/>
      <c r="AC163" s="40">
        <f t="shared" si="41"/>
        <v>1133.5420251643288</v>
      </c>
      <c r="AD163" s="40">
        <f t="shared" si="42"/>
        <v>-3566.4579748356709</v>
      </c>
    </row>
    <row r="164" spans="1:30" s="1" customFormat="1" ht="14.4" customHeight="1" x14ac:dyDescent="0.25">
      <c r="A164" s="174">
        <v>42985</v>
      </c>
      <c r="B164" s="159" t="s">
        <v>238</v>
      </c>
      <c r="C164" s="64" t="s">
        <v>63</v>
      </c>
      <c r="D164" s="104">
        <v>500</v>
      </c>
      <c r="E164" s="104">
        <v>12.02</v>
      </c>
      <c r="F164" s="102">
        <f t="shared" si="44"/>
        <v>5200</v>
      </c>
      <c r="G164" s="32">
        <f t="shared" si="43"/>
        <v>9.502287019230792</v>
      </c>
      <c r="H164" s="31">
        <f t="shared" si="45"/>
        <v>49411.892500000118</v>
      </c>
      <c r="I164" s="31">
        <f t="shared" si="46"/>
        <v>13092.107499999882</v>
      </c>
      <c r="J164" s="175">
        <f t="shared" si="47"/>
        <v>0.26495863318734147</v>
      </c>
      <c r="K164" s="31">
        <f t="shared" si="48"/>
        <v>62504</v>
      </c>
      <c r="L164" s="31">
        <f t="shared" si="49"/>
        <v>-710</v>
      </c>
      <c r="M164" s="31">
        <f t="shared" si="50"/>
        <v>5</v>
      </c>
      <c r="N164" s="31">
        <f t="shared" si="51"/>
        <v>0</v>
      </c>
      <c r="O164" s="125"/>
      <c r="P164" s="32">
        <f t="shared" si="52"/>
        <v>2.5177129807692076</v>
      </c>
      <c r="Q164" s="31">
        <f t="shared" si="53"/>
        <v>-6015</v>
      </c>
      <c r="R164" s="34"/>
      <c r="S164" s="34">
        <f t="shared" si="54"/>
        <v>95306.552000000011</v>
      </c>
      <c r="T164" s="34">
        <f t="shared" si="55"/>
        <v>7928.9976705490863</v>
      </c>
      <c r="U164" s="34">
        <f t="shared" si="40"/>
        <v>13128.997670549086</v>
      </c>
      <c r="V164" s="31">
        <f>H164+S164-SUM(AB$15:AB164)</f>
        <v>144218.44450000013</v>
      </c>
      <c r="W164" s="32">
        <f t="shared" si="56"/>
        <v>10.984726185420106</v>
      </c>
      <c r="X164" s="32">
        <f t="shared" si="57"/>
        <v>1.4824391661893142</v>
      </c>
      <c r="Y164" s="32">
        <f t="shared" si="58"/>
        <v>1.0352738145798934</v>
      </c>
      <c r="Z164" s="38">
        <f t="shared" si="59"/>
        <v>0.3960698394870325</v>
      </c>
      <c r="AA164" s="31">
        <f>SUM(L$2:L164)-SUM(AB$2:AB164)</f>
        <v>9310.5540000000146</v>
      </c>
      <c r="AB164" s="176"/>
      <c r="AC164" s="40">
        <f t="shared" si="41"/>
        <v>1088.6490387895078</v>
      </c>
      <c r="AD164" s="40">
        <f t="shared" si="42"/>
        <v>-4111.3509612104917</v>
      </c>
    </row>
    <row r="165" spans="1:30" s="1" customFormat="1" ht="14.4" customHeight="1" x14ac:dyDescent="0.25">
      <c r="A165" s="174">
        <v>42986</v>
      </c>
      <c r="B165" s="159" t="s">
        <v>239</v>
      </c>
      <c r="C165" s="64" t="s">
        <v>63</v>
      </c>
      <c r="D165" s="104">
        <v>500</v>
      </c>
      <c r="E165" s="104">
        <v>11.92</v>
      </c>
      <c r="F165" s="102">
        <f t="shared" si="44"/>
        <v>5700</v>
      </c>
      <c r="G165" s="32">
        <f t="shared" si="43"/>
        <v>9.7152442982456346</v>
      </c>
      <c r="H165" s="31">
        <f t="shared" si="45"/>
        <v>55376.892500000118</v>
      </c>
      <c r="I165" s="31">
        <f t="shared" si="46"/>
        <v>12567.107499999882</v>
      </c>
      <c r="J165" s="175">
        <f t="shared" si="47"/>
        <v>0.2269377520596674</v>
      </c>
      <c r="K165" s="31">
        <f t="shared" si="48"/>
        <v>67944</v>
      </c>
      <c r="L165" s="31">
        <f t="shared" si="49"/>
        <v>-525</v>
      </c>
      <c r="M165" s="31">
        <f t="shared" si="50"/>
        <v>5</v>
      </c>
      <c r="N165" s="31">
        <f t="shared" si="51"/>
        <v>0</v>
      </c>
      <c r="O165" s="125"/>
      <c r="P165" s="32">
        <f t="shared" si="52"/>
        <v>2.2047557017543653</v>
      </c>
      <c r="Q165" s="31">
        <f t="shared" si="53"/>
        <v>-5965</v>
      </c>
      <c r="R165" s="34"/>
      <c r="S165" s="34">
        <f t="shared" si="54"/>
        <v>89341.552000000011</v>
      </c>
      <c r="T165" s="34">
        <f t="shared" si="55"/>
        <v>7495.0966442953031</v>
      </c>
      <c r="U165" s="34">
        <f t="shared" si="40"/>
        <v>13195.096644295303</v>
      </c>
      <c r="V165" s="31">
        <f>H165+S165-SUM(AB$15:AB165)</f>
        <v>144218.44450000013</v>
      </c>
      <c r="W165" s="32">
        <f t="shared" si="56"/>
        <v>10.929699750425909</v>
      </c>
      <c r="X165" s="32">
        <f t="shared" si="57"/>
        <v>1.2144554521802746</v>
      </c>
      <c r="Y165" s="32">
        <f t="shared" si="58"/>
        <v>0.99030024957409069</v>
      </c>
      <c r="Z165" s="38">
        <f t="shared" si="59"/>
        <v>0.43197864734581592</v>
      </c>
      <c r="AA165" s="31">
        <f>SUM(L$2:L165)-SUM(AB$2:AB165)</f>
        <v>8785.5540000000146</v>
      </c>
      <c r="AB165" s="176"/>
      <c r="AC165" s="40">
        <f t="shared" si="41"/>
        <v>1053.7603981753259</v>
      </c>
      <c r="AD165" s="40">
        <f t="shared" si="42"/>
        <v>-4646.2396018246745</v>
      </c>
    </row>
    <row r="166" spans="1:30" s="1" customFormat="1" ht="14.4" customHeight="1" x14ac:dyDescent="0.25">
      <c r="A166" s="174">
        <v>42986</v>
      </c>
      <c r="B166" s="159"/>
      <c r="C166" s="64" t="s">
        <v>69</v>
      </c>
      <c r="D166" s="104">
        <v>400</v>
      </c>
      <c r="E166" s="104">
        <v>12.04</v>
      </c>
      <c r="F166" s="102">
        <f t="shared" si="44"/>
        <v>5300</v>
      </c>
      <c r="G166" s="32">
        <f t="shared" si="43"/>
        <v>9.5416431132075701</v>
      </c>
      <c r="H166" s="31">
        <f t="shared" si="45"/>
        <v>50570.708500000117</v>
      </c>
      <c r="I166" s="31">
        <f t="shared" si="46"/>
        <v>13241.291499999876</v>
      </c>
      <c r="J166" s="175">
        <f t="shared" si="47"/>
        <v>0.26183717596125516</v>
      </c>
      <c r="K166" s="31">
        <f t="shared" si="48"/>
        <v>63811.999999999993</v>
      </c>
      <c r="L166" s="31">
        <f t="shared" si="49"/>
        <v>674.18399999999383</v>
      </c>
      <c r="M166" s="31">
        <f t="shared" si="50"/>
        <v>5</v>
      </c>
      <c r="N166" s="31">
        <f t="shared" si="51"/>
        <v>4.8159999999999998</v>
      </c>
      <c r="O166" s="125"/>
      <c r="P166" s="32">
        <f t="shared" si="52"/>
        <v>2.4983568867924291</v>
      </c>
      <c r="Q166" s="31">
        <f t="shared" si="53"/>
        <v>4806.1840000000011</v>
      </c>
      <c r="R166" s="34"/>
      <c r="S166" s="34">
        <f t="shared" si="54"/>
        <v>94147.736000000004</v>
      </c>
      <c r="T166" s="34">
        <f t="shared" si="55"/>
        <v>7819.5794019933564</v>
      </c>
      <c r="U166" s="34">
        <f t="shared" si="40"/>
        <v>13119.579401993356</v>
      </c>
      <c r="V166" s="31">
        <f>H166+S166-SUM(AB$15:AB166)</f>
        <v>144218.44450000013</v>
      </c>
      <c r="W166" s="32">
        <f t="shared" si="56"/>
        <v>10.99261188800671</v>
      </c>
      <c r="X166" s="32">
        <f t="shared" si="57"/>
        <v>1.45096877479914</v>
      </c>
      <c r="Y166" s="32">
        <f t="shared" si="58"/>
        <v>1.0473881119932891</v>
      </c>
      <c r="Z166" s="38">
        <f t="shared" si="59"/>
        <v>0.40397636521752606</v>
      </c>
      <c r="AA166" s="31">
        <f>SUM(L$2:L166)-SUM(AB$2:AB166)</f>
        <v>9459.7380000000085</v>
      </c>
      <c r="AB166" s="176"/>
      <c r="AC166" s="40">
        <f t="shared" si="41"/>
        <v>1099.2251540074649</v>
      </c>
      <c r="AD166" s="40">
        <f t="shared" si="42"/>
        <v>-4200.7748459925351</v>
      </c>
    </row>
    <row r="167" spans="1:30" s="1" customFormat="1" ht="14.4" customHeight="1" x14ac:dyDescent="0.25">
      <c r="A167" s="174">
        <v>42986</v>
      </c>
      <c r="B167" s="159"/>
      <c r="C167" s="64" t="s">
        <v>69</v>
      </c>
      <c r="D167" s="104">
        <v>400</v>
      </c>
      <c r="E167" s="104">
        <v>12.1</v>
      </c>
      <c r="F167" s="102">
        <f t="shared" si="44"/>
        <v>4900</v>
      </c>
      <c r="G167" s="32">
        <f t="shared" si="43"/>
        <v>9.3348058163265542</v>
      </c>
      <c r="H167" s="31">
        <f t="shared" si="45"/>
        <v>45740.548500000114</v>
      </c>
      <c r="I167" s="31">
        <f t="shared" si="46"/>
        <v>13549.451499999886</v>
      </c>
      <c r="J167" s="175">
        <f t="shared" si="47"/>
        <v>0.296224071296387</v>
      </c>
      <c r="K167" s="31">
        <f t="shared" si="48"/>
        <v>59290</v>
      </c>
      <c r="L167" s="31">
        <f t="shared" si="49"/>
        <v>308.16000000001077</v>
      </c>
      <c r="M167" s="31">
        <f t="shared" si="50"/>
        <v>5</v>
      </c>
      <c r="N167" s="31">
        <f t="shared" si="51"/>
        <v>4.84</v>
      </c>
      <c r="O167" s="125"/>
      <c r="P167" s="32">
        <f t="shared" si="52"/>
        <v>2.7651941836734455</v>
      </c>
      <c r="Q167" s="31">
        <f t="shared" si="53"/>
        <v>4830.1600000000035</v>
      </c>
      <c r="R167" s="34"/>
      <c r="S167" s="34">
        <f t="shared" si="54"/>
        <v>98977.896000000008</v>
      </c>
      <c r="T167" s="34">
        <f t="shared" si="55"/>
        <v>8179.9914049586787</v>
      </c>
      <c r="U167" s="34">
        <f t="shared" si="40"/>
        <v>13079.991404958679</v>
      </c>
      <c r="V167" s="31">
        <f>H167+S167-SUM(AB$15:AB167)</f>
        <v>144218.44450000013</v>
      </c>
      <c r="W167" s="32">
        <f t="shared" si="56"/>
        <v>11.025882207027012</v>
      </c>
      <c r="X167" s="32">
        <f t="shared" si="57"/>
        <v>1.6910763907004576</v>
      </c>
      <c r="Y167" s="32">
        <f t="shared" si="58"/>
        <v>1.0741177929729879</v>
      </c>
      <c r="Z167" s="38">
        <f t="shared" si="59"/>
        <v>0.37461798316949885</v>
      </c>
      <c r="AA167" s="31">
        <f>SUM(L$2:L167)-SUM(AB$2:AB167)</f>
        <v>9767.8980000000192</v>
      </c>
      <c r="AB167" s="176"/>
      <c r="AC167" s="40">
        <f t="shared" si="41"/>
        <v>1119.2294854751974</v>
      </c>
      <c r="AD167" s="40">
        <f t="shared" si="42"/>
        <v>-3780.7705145248028</v>
      </c>
    </row>
    <row r="168" spans="1:30" s="1" customFormat="1" x14ac:dyDescent="0.25">
      <c r="A168" s="174">
        <v>42986</v>
      </c>
      <c r="B168" s="159"/>
      <c r="C168" s="64" t="s">
        <v>69</v>
      </c>
      <c r="D168" s="104">
        <v>400</v>
      </c>
      <c r="E168" s="104">
        <v>12.18</v>
      </c>
      <c r="F168" s="102">
        <f t="shared" si="44"/>
        <v>4500</v>
      </c>
      <c r="G168" s="32">
        <f t="shared" si="43"/>
        <v>9.0840934444444699</v>
      </c>
      <c r="H168" s="31">
        <f t="shared" si="45"/>
        <v>40878.420500000117</v>
      </c>
      <c r="I168" s="31">
        <f t="shared" si="46"/>
        <v>13931.579499999883</v>
      </c>
      <c r="J168" s="175">
        <f t="shared" si="47"/>
        <v>0.34080522998680551</v>
      </c>
      <c r="K168" s="31">
        <f t="shared" si="48"/>
        <v>54810</v>
      </c>
      <c r="L168" s="31">
        <f t="shared" si="49"/>
        <v>382.12799999999697</v>
      </c>
      <c r="M168" s="31">
        <f t="shared" si="50"/>
        <v>5</v>
      </c>
      <c r="N168" s="31">
        <f t="shared" si="51"/>
        <v>4.8719999999999999</v>
      </c>
      <c r="O168" s="125"/>
      <c r="P168" s="32">
        <f t="shared" si="52"/>
        <v>3.0959065555555298</v>
      </c>
      <c r="Q168" s="31">
        <f t="shared" si="53"/>
        <v>4862.127999999997</v>
      </c>
      <c r="R168" s="34"/>
      <c r="S168" s="34">
        <f t="shared" si="54"/>
        <v>103840.024</v>
      </c>
      <c r="T168" s="34">
        <f t="shared" si="55"/>
        <v>8525.4535303776684</v>
      </c>
      <c r="U168" s="34">
        <f t="shared" si="40"/>
        <v>13025.453530377668</v>
      </c>
      <c r="V168" s="31">
        <f>H168+S168-SUM(AB$15:AB168)</f>
        <v>144218.44450000013</v>
      </c>
      <c r="W168" s="32">
        <f t="shared" si="56"/>
        <v>11.072047830323692</v>
      </c>
      <c r="X168" s="32">
        <f t="shared" si="57"/>
        <v>1.9879543858792221</v>
      </c>
      <c r="Y168" s="32">
        <f t="shared" si="58"/>
        <v>1.1079521696763077</v>
      </c>
      <c r="Z168" s="38">
        <f t="shared" si="59"/>
        <v>0.34547741385781322</v>
      </c>
      <c r="AA168" s="31">
        <f>SUM(L$2:L168)-SUM(AB$2:AB168)</f>
        <v>10150.026000000016</v>
      </c>
      <c r="AB168" s="176"/>
      <c r="AC168" s="40">
        <f t="shared" si="41"/>
        <v>1143.2359368021253</v>
      </c>
      <c r="AD168" s="40">
        <f t="shared" si="42"/>
        <v>-3356.7640631978747</v>
      </c>
    </row>
    <row r="169" spans="1:30" s="1" customFormat="1" ht="14.4" customHeight="1" x14ac:dyDescent="0.25">
      <c r="A169" s="174">
        <v>42986</v>
      </c>
      <c r="B169" s="159"/>
      <c r="C169" s="64" t="s">
        <v>69</v>
      </c>
      <c r="D169" s="104">
        <v>400</v>
      </c>
      <c r="E169" s="104">
        <v>12.2</v>
      </c>
      <c r="F169" s="102">
        <f t="shared" si="44"/>
        <v>4100</v>
      </c>
      <c r="G169" s="32">
        <f t="shared" si="43"/>
        <v>8.7825123170731985</v>
      </c>
      <c r="H169" s="31">
        <f t="shared" si="45"/>
        <v>36008.300500000114</v>
      </c>
      <c r="I169" s="31">
        <f t="shared" si="46"/>
        <v>14011.699499999886</v>
      </c>
      <c r="J169" s="175">
        <f t="shared" si="47"/>
        <v>0.38912415485978957</v>
      </c>
      <c r="K169" s="31">
        <f t="shared" si="48"/>
        <v>50020</v>
      </c>
      <c r="L169" s="31">
        <f t="shared" si="49"/>
        <v>80.120000000002619</v>
      </c>
      <c r="M169" s="31">
        <f t="shared" si="50"/>
        <v>5</v>
      </c>
      <c r="N169" s="31">
        <f t="shared" si="51"/>
        <v>4.88</v>
      </c>
      <c r="O169" s="125"/>
      <c r="P169" s="32">
        <f t="shared" si="52"/>
        <v>3.4174876829268008</v>
      </c>
      <c r="Q169" s="31">
        <f t="shared" si="53"/>
        <v>4870.1200000000026</v>
      </c>
      <c r="R169" s="34"/>
      <c r="S169" s="34">
        <f t="shared" si="54"/>
        <v>108710.144</v>
      </c>
      <c r="T169" s="34">
        <f t="shared" si="55"/>
        <v>8910.667540983608</v>
      </c>
      <c r="U169" s="34">
        <f t="shared" si="40"/>
        <v>13010.667540983608</v>
      </c>
      <c r="V169" s="31">
        <f>H169+S169-SUM(AB$15:AB169)</f>
        <v>144218.4445000001</v>
      </c>
      <c r="W169" s="32">
        <f t="shared" si="56"/>
        <v>11.084630672923733</v>
      </c>
      <c r="X169" s="32">
        <f t="shared" si="57"/>
        <v>2.3021183558505349</v>
      </c>
      <c r="Y169" s="32">
        <f t="shared" si="58"/>
        <v>1.1153693270762659</v>
      </c>
      <c r="Z169" s="38">
        <f t="shared" si="59"/>
        <v>0.31512602924369548</v>
      </c>
      <c r="AA169" s="31">
        <f>SUM(L$2:L169)-SUM(AB$2:AB169)</f>
        <v>10230.146000000019</v>
      </c>
      <c r="AB169" s="176"/>
      <c r="AC169" s="40">
        <f t="shared" si="41"/>
        <v>1147.925709036876</v>
      </c>
      <c r="AD169" s="40">
        <f t="shared" si="42"/>
        <v>-2952.074290963124</v>
      </c>
    </row>
    <row r="170" spans="1:30" s="1" customFormat="1" ht="14.4" customHeight="1" x14ac:dyDescent="0.25">
      <c r="A170" s="174">
        <v>42989</v>
      </c>
      <c r="B170" s="159"/>
      <c r="C170" s="64" t="s">
        <v>69</v>
      </c>
      <c r="D170" s="104">
        <v>400</v>
      </c>
      <c r="E170" s="104">
        <v>12.29</v>
      </c>
      <c r="F170" s="102">
        <f t="shared" si="44"/>
        <v>3700</v>
      </c>
      <c r="G170" s="32">
        <f t="shared" si="43"/>
        <v>8.4060044594594903</v>
      </c>
      <c r="H170" s="31">
        <f t="shared" si="45"/>
        <v>31102.216500000115</v>
      </c>
      <c r="I170" s="31">
        <f t="shared" si="46"/>
        <v>14370.783499999885</v>
      </c>
      <c r="J170" s="175">
        <f t="shared" si="47"/>
        <v>0.46205014038146863</v>
      </c>
      <c r="K170" s="31">
        <f t="shared" si="48"/>
        <v>45473</v>
      </c>
      <c r="L170" s="31">
        <f t="shared" si="49"/>
        <v>359.08399999999892</v>
      </c>
      <c r="M170" s="31">
        <f t="shared" si="50"/>
        <v>5</v>
      </c>
      <c r="N170" s="31">
        <f t="shared" si="51"/>
        <v>4.9160000000000004</v>
      </c>
      <c r="O170" s="125"/>
      <c r="P170" s="32">
        <f t="shared" si="52"/>
        <v>3.8839955405405089</v>
      </c>
      <c r="Q170" s="31">
        <f t="shared" si="53"/>
        <v>4906.0839999999989</v>
      </c>
      <c r="R170" s="34"/>
      <c r="S170" s="34">
        <f t="shared" si="54"/>
        <v>113616.228</v>
      </c>
      <c r="T170" s="34">
        <f t="shared" si="55"/>
        <v>9244.6076484947116</v>
      </c>
      <c r="U170" s="34">
        <f t="shared" si="40"/>
        <v>12944.607648494712</v>
      </c>
      <c r="V170" s="31">
        <f>H170+S170-SUM(AB$15:AB170)</f>
        <v>144218.44450000013</v>
      </c>
      <c r="W170" s="32">
        <f t="shared" si="56"/>
        <v>11.141198591428211</v>
      </c>
      <c r="X170" s="32">
        <f t="shared" si="57"/>
        <v>2.7351941319687203</v>
      </c>
      <c r="Y170" s="32">
        <f t="shared" si="58"/>
        <v>1.1488014085717886</v>
      </c>
      <c r="Z170" s="38">
        <f t="shared" si="59"/>
        <v>0.28583330607399765</v>
      </c>
      <c r="AA170" s="31">
        <f>SUM(L$2:L170)-SUM(AB$2:AB170)</f>
        <v>10589.230000000018</v>
      </c>
      <c r="AB170" s="176"/>
      <c r="AC170" s="40">
        <f t="shared" si="41"/>
        <v>1168.7223847233431</v>
      </c>
      <c r="AD170" s="40">
        <f t="shared" si="42"/>
        <v>-2531.2776152766569</v>
      </c>
    </row>
    <row r="171" spans="1:30" s="1" customFormat="1" ht="14.4" customHeight="1" x14ac:dyDescent="0.25">
      <c r="A171" s="174">
        <v>42989</v>
      </c>
      <c r="B171" s="159" t="s">
        <v>240</v>
      </c>
      <c r="C171" s="64" t="s">
        <v>63</v>
      </c>
      <c r="D171" s="104">
        <v>500</v>
      </c>
      <c r="E171" s="104">
        <v>12.16</v>
      </c>
      <c r="F171" s="102">
        <f t="shared" si="44"/>
        <v>4200</v>
      </c>
      <c r="G171" s="32">
        <f t="shared" si="43"/>
        <v>8.8540991666666926</v>
      </c>
      <c r="H171" s="31">
        <f t="shared" si="45"/>
        <v>37187.216500000111</v>
      </c>
      <c r="I171" s="31">
        <f t="shared" si="46"/>
        <v>13884.783499999889</v>
      </c>
      <c r="J171" s="175">
        <f t="shared" si="47"/>
        <v>0.37337517584839541</v>
      </c>
      <c r="K171" s="31">
        <f t="shared" si="48"/>
        <v>51072</v>
      </c>
      <c r="L171" s="31">
        <f t="shared" si="49"/>
        <v>-485.99999999999636</v>
      </c>
      <c r="M171" s="31">
        <f t="shared" si="50"/>
        <v>5</v>
      </c>
      <c r="N171" s="31">
        <f t="shared" si="51"/>
        <v>0</v>
      </c>
      <c r="O171" s="125"/>
      <c r="P171" s="32">
        <f t="shared" si="52"/>
        <v>3.3059008333333075</v>
      </c>
      <c r="Q171" s="31">
        <f t="shared" si="53"/>
        <v>-6084.9999999999964</v>
      </c>
      <c r="R171" s="34"/>
      <c r="S171" s="34">
        <f t="shared" si="54"/>
        <v>107531.228</v>
      </c>
      <c r="T171" s="34">
        <f t="shared" si="55"/>
        <v>8843.0286184210527</v>
      </c>
      <c r="U171" s="34">
        <f t="shared" si="40"/>
        <v>13043.028618421053</v>
      </c>
      <c r="V171" s="31">
        <f>H171+S171-SUM(AB$15:AB171)</f>
        <v>144218.4445000001</v>
      </c>
      <c r="W171" s="32">
        <f t="shared" si="56"/>
        <v>11.057128579501555</v>
      </c>
      <c r="X171" s="32">
        <f t="shared" si="57"/>
        <v>2.2030294128348622</v>
      </c>
      <c r="Y171" s="32">
        <f t="shared" si="58"/>
        <v>1.1028714204984453</v>
      </c>
      <c r="Z171" s="38">
        <f t="shared" si="59"/>
        <v>0.32201110055591048</v>
      </c>
      <c r="AA171" s="31">
        <f>SUM(L$2:L171)-SUM(AB$2:AB171)</f>
        <v>10103.230000000021</v>
      </c>
      <c r="AB171" s="176"/>
      <c r="AC171" s="40">
        <f t="shared" si="41"/>
        <v>1141.2698279810763</v>
      </c>
      <c r="AD171" s="40">
        <f t="shared" si="42"/>
        <v>-3058.7301720189234</v>
      </c>
    </row>
    <row r="172" spans="1:30" s="1" customFormat="1" ht="14.4" customHeight="1" x14ac:dyDescent="0.25">
      <c r="A172" s="174">
        <v>42989</v>
      </c>
      <c r="B172" s="159" t="s">
        <v>241</v>
      </c>
      <c r="C172" s="64" t="s">
        <v>63</v>
      </c>
      <c r="D172" s="104">
        <v>500</v>
      </c>
      <c r="E172" s="104">
        <v>12.04</v>
      </c>
      <c r="F172" s="102">
        <f t="shared" si="44"/>
        <v>4700</v>
      </c>
      <c r="G172" s="32">
        <f t="shared" si="43"/>
        <v>9.1940886170213005</v>
      </c>
      <c r="H172" s="31">
        <f t="shared" si="45"/>
        <v>43212.216500000111</v>
      </c>
      <c r="I172" s="31">
        <f t="shared" si="46"/>
        <v>13375.783499999881</v>
      </c>
      <c r="J172" s="175">
        <f t="shared" si="47"/>
        <v>0.30953708426411891</v>
      </c>
      <c r="K172" s="31">
        <f t="shared" si="48"/>
        <v>56587.999999999993</v>
      </c>
      <c r="L172" s="31">
        <f t="shared" si="49"/>
        <v>-509.00000000000728</v>
      </c>
      <c r="M172" s="31">
        <f t="shared" si="50"/>
        <v>5</v>
      </c>
      <c r="N172" s="31">
        <f t="shared" si="51"/>
        <v>0</v>
      </c>
      <c r="O172" s="125"/>
      <c r="P172" s="32">
        <f t="shared" si="52"/>
        <v>2.8459113829786986</v>
      </c>
      <c r="Q172" s="31">
        <f t="shared" si="53"/>
        <v>-6025</v>
      </c>
      <c r="R172" s="34"/>
      <c r="S172" s="34">
        <f t="shared" si="54"/>
        <v>101506.228</v>
      </c>
      <c r="T172" s="34">
        <f t="shared" si="55"/>
        <v>8430.7498338870446</v>
      </c>
      <c r="U172" s="34">
        <f t="shared" si="40"/>
        <v>13130.749833887045</v>
      </c>
      <c r="V172" s="31">
        <f>H172+S172-SUM(AB$15:AB172)</f>
        <v>144218.4445000001</v>
      </c>
      <c r="W172" s="32">
        <f t="shared" si="56"/>
        <v>10.983260386837152</v>
      </c>
      <c r="X172" s="32">
        <f t="shared" si="57"/>
        <v>1.7891717698158516</v>
      </c>
      <c r="Y172" s="32">
        <f t="shared" si="58"/>
        <v>1.056739613162847</v>
      </c>
      <c r="Z172" s="38">
        <f t="shared" si="59"/>
        <v>0.35793843150301474</v>
      </c>
      <c r="AA172" s="31">
        <f>SUM(L$2:L172)-SUM(AB$2:AB172)</f>
        <v>9594.2300000000141</v>
      </c>
      <c r="AB172" s="176"/>
      <c r="AC172" s="40">
        <f t="shared" si="41"/>
        <v>1110.3900006852061</v>
      </c>
      <c r="AD172" s="40">
        <f t="shared" si="42"/>
        <v>-3589.6099993147936</v>
      </c>
    </row>
    <row r="173" spans="1:30" s="1" customFormat="1" ht="14.4" customHeight="1" x14ac:dyDescent="0.25">
      <c r="A173" s="174">
        <v>42989</v>
      </c>
      <c r="B173" s="159" t="s">
        <v>242</v>
      </c>
      <c r="C173" s="64" t="s">
        <v>63</v>
      </c>
      <c r="D173" s="104">
        <v>500</v>
      </c>
      <c r="E173" s="104">
        <v>12</v>
      </c>
      <c r="F173" s="102">
        <f t="shared" si="44"/>
        <v>5200</v>
      </c>
      <c r="G173" s="32">
        <f t="shared" si="43"/>
        <v>9.4648493269230975</v>
      </c>
      <c r="H173" s="31">
        <f t="shared" si="45"/>
        <v>49217.216500000111</v>
      </c>
      <c r="I173" s="31">
        <f t="shared" si="46"/>
        <v>13182.783499999889</v>
      </c>
      <c r="J173" s="175">
        <f t="shared" si="47"/>
        <v>0.26784902596025245</v>
      </c>
      <c r="K173" s="31">
        <f t="shared" si="48"/>
        <v>62400</v>
      </c>
      <c r="L173" s="31">
        <f t="shared" si="49"/>
        <v>-192.99999999999272</v>
      </c>
      <c r="M173" s="31">
        <f t="shared" si="50"/>
        <v>5</v>
      </c>
      <c r="N173" s="31">
        <f t="shared" si="51"/>
        <v>0</v>
      </c>
      <c r="O173" s="125"/>
      <c r="P173" s="32">
        <f t="shared" si="52"/>
        <v>2.5351506730769025</v>
      </c>
      <c r="Q173" s="31">
        <f t="shared" si="53"/>
        <v>-6005</v>
      </c>
      <c r="R173" s="34"/>
      <c r="S173" s="34">
        <f t="shared" si="54"/>
        <v>95501.228000000003</v>
      </c>
      <c r="T173" s="34">
        <f t="shared" si="55"/>
        <v>7958.4356666666672</v>
      </c>
      <c r="U173" s="34">
        <f t="shared" si="40"/>
        <v>13158.435666666668</v>
      </c>
      <c r="V173" s="31">
        <f>H173+S173-SUM(AB$15:AB173)</f>
        <v>144218.4445000001</v>
      </c>
      <c r="W173" s="32">
        <f t="shared" si="56"/>
        <v>10.960151202877288</v>
      </c>
      <c r="X173" s="32">
        <f t="shared" si="57"/>
        <v>1.4953018759541905</v>
      </c>
      <c r="Y173" s="32">
        <f t="shared" si="58"/>
        <v>1.0398487971227119</v>
      </c>
      <c r="Z173" s="38">
        <f t="shared" si="59"/>
        <v>0.3951837537324282</v>
      </c>
      <c r="AA173" s="31">
        <f>SUM(L$2:L173)-SUM(AB$2:AB173)</f>
        <v>9401.2300000000214</v>
      </c>
      <c r="AB173" s="176"/>
      <c r="AC173" s="40">
        <f t="shared" si="41"/>
        <v>1098.0160090208242</v>
      </c>
      <c r="AD173" s="40">
        <f t="shared" si="42"/>
        <v>-4101.9839909791754</v>
      </c>
    </row>
    <row r="174" spans="1:30" s="1" customFormat="1" ht="14.4" customHeight="1" x14ac:dyDescent="0.25">
      <c r="A174" s="174">
        <v>42990</v>
      </c>
      <c r="B174" s="159" t="s">
        <v>243</v>
      </c>
      <c r="C174" s="64" t="s">
        <v>63</v>
      </c>
      <c r="D174" s="104">
        <v>1000</v>
      </c>
      <c r="E174" s="104">
        <v>11.89</v>
      </c>
      <c r="F174" s="102">
        <f t="shared" si="44"/>
        <v>6200</v>
      </c>
      <c r="G174" s="32">
        <f t="shared" si="43"/>
        <v>9.856961532258083</v>
      </c>
      <c r="H174" s="31">
        <f t="shared" si="45"/>
        <v>61113.161500000111</v>
      </c>
      <c r="I174" s="31">
        <f t="shared" si="46"/>
        <v>12604.838499999889</v>
      </c>
      <c r="J174" s="175">
        <f t="shared" si="47"/>
        <v>0.20625407343719021</v>
      </c>
      <c r="K174" s="31">
        <f t="shared" si="48"/>
        <v>73718</v>
      </c>
      <c r="L174" s="31">
        <f t="shared" si="49"/>
        <v>-577.94499999999971</v>
      </c>
      <c r="M174" s="31">
        <f t="shared" si="50"/>
        <v>5.9450000000000003</v>
      </c>
      <c r="N174" s="31">
        <f t="shared" si="51"/>
        <v>0</v>
      </c>
      <c r="O174" s="125"/>
      <c r="P174" s="32">
        <f t="shared" si="52"/>
        <v>2.0330384677419175</v>
      </c>
      <c r="Q174" s="31">
        <f t="shared" si="53"/>
        <v>-11895.945</v>
      </c>
      <c r="R174" s="34"/>
      <c r="S174" s="34">
        <f t="shared" si="54"/>
        <v>83605.282999999996</v>
      </c>
      <c r="T174" s="34">
        <f t="shared" si="55"/>
        <v>7031.5629100084097</v>
      </c>
      <c r="U174" s="34">
        <f t="shared" si="40"/>
        <v>13231.56291000841</v>
      </c>
      <c r="V174" s="31">
        <f>H174+S174-SUM(AB$15:AB174)</f>
        <v>144218.4445000001</v>
      </c>
      <c r="W174" s="32">
        <f t="shared" si="56"/>
        <v>10.899577433208036</v>
      </c>
      <c r="X174" s="32">
        <f t="shared" si="57"/>
        <v>1.0426159009499525</v>
      </c>
      <c r="Y174" s="32">
        <f t="shared" si="58"/>
        <v>0.99042256679196505</v>
      </c>
      <c r="Z174" s="38">
        <f t="shared" si="59"/>
        <v>0.46857654248163638</v>
      </c>
      <c r="AA174" s="31">
        <f>SUM(L$2:L174)-SUM(AB$2:AB174)</f>
        <v>8823.2850000000217</v>
      </c>
      <c r="AB174" s="176"/>
      <c r="AC174" s="40">
        <f t="shared" si="41"/>
        <v>1059.5909235281656</v>
      </c>
      <c r="AD174" s="40">
        <f t="shared" si="42"/>
        <v>-5140.4090764718349</v>
      </c>
    </row>
    <row r="175" spans="1:30" s="1" customFormat="1" ht="14.4" customHeight="1" x14ac:dyDescent="0.25">
      <c r="A175" s="174">
        <v>42990</v>
      </c>
      <c r="B175" s="159" t="s">
        <v>244</v>
      </c>
      <c r="C175" s="64" t="s">
        <v>63</v>
      </c>
      <c r="D175" s="104">
        <v>1000</v>
      </c>
      <c r="E175" s="104">
        <v>11.82</v>
      </c>
      <c r="F175" s="102">
        <f t="shared" si="44"/>
        <v>7200</v>
      </c>
      <c r="G175" s="32">
        <f t="shared" si="43"/>
        <v>10.130426597222238</v>
      </c>
      <c r="H175" s="31">
        <f t="shared" si="45"/>
        <v>72939.071500000107</v>
      </c>
      <c r="I175" s="31">
        <f t="shared" si="46"/>
        <v>12164.928499999893</v>
      </c>
      <c r="J175" s="175">
        <f t="shared" si="47"/>
        <v>0.16678205863917353</v>
      </c>
      <c r="K175" s="31">
        <f t="shared" si="48"/>
        <v>85104</v>
      </c>
      <c r="L175" s="31">
        <f t="shared" si="49"/>
        <v>-439.90999999999622</v>
      </c>
      <c r="M175" s="31">
        <f t="shared" si="50"/>
        <v>5.91</v>
      </c>
      <c r="N175" s="31">
        <f t="shared" si="51"/>
        <v>0</v>
      </c>
      <c r="O175" s="125"/>
      <c r="P175" s="32">
        <f t="shared" si="52"/>
        <v>1.6895734027777625</v>
      </c>
      <c r="Q175" s="31">
        <f t="shared" si="53"/>
        <v>-11825.909999999996</v>
      </c>
      <c r="R175" s="34"/>
      <c r="S175" s="34">
        <f t="shared" si="54"/>
        <v>71779.372999999992</v>
      </c>
      <c r="T175" s="34">
        <f t="shared" si="55"/>
        <v>6072.704991539762</v>
      </c>
      <c r="U175" s="34">
        <f t="shared" si="40"/>
        <v>13272.704991539762</v>
      </c>
      <c r="V175" s="31">
        <f>H175+S175-SUM(AB$15:AB175)</f>
        <v>144218.4445000001</v>
      </c>
      <c r="W175" s="32">
        <f t="shared" si="56"/>
        <v>10.865791456370594</v>
      </c>
      <c r="X175" s="32">
        <f t="shared" si="57"/>
        <v>0.73536485914835659</v>
      </c>
      <c r="Y175" s="32">
        <f t="shared" si="58"/>
        <v>0.95420854362940588</v>
      </c>
      <c r="Z175" s="38">
        <f t="shared" si="59"/>
        <v>0.54246666407408262</v>
      </c>
      <c r="AA175" s="31">
        <f>SUM(L$2:L175)-SUM(AB$2:AB175)</f>
        <v>8383.3750000000255</v>
      </c>
      <c r="AB175" s="176"/>
      <c r="AC175" s="40">
        <f t="shared" si="41"/>
        <v>1028.6671773054054</v>
      </c>
      <c r="AD175" s="40">
        <f t="shared" si="42"/>
        <v>-6171.3328226945941</v>
      </c>
    </row>
    <row r="176" spans="1:30" s="1" customFormat="1" ht="14.4" customHeight="1" x14ac:dyDescent="0.25">
      <c r="A176" s="174">
        <v>42990</v>
      </c>
      <c r="B176" s="159"/>
      <c r="C176" s="64" t="s">
        <v>69</v>
      </c>
      <c r="D176" s="64">
        <v>400</v>
      </c>
      <c r="E176" s="104">
        <v>11.92</v>
      </c>
      <c r="F176" s="102">
        <f t="shared" si="44"/>
        <v>6800</v>
      </c>
      <c r="G176" s="32">
        <f t="shared" si="43"/>
        <v>10.026594044117662</v>
      </c>
      <c r="H176" s="31">
        <f t="shared" si="45"/>
        <v>68180.839500000104</v>
      </c>
      <c r="I176" s="31">
        <f t="shared" si="46"/>
        <v>12875.160499999896</v>
      </c>
      <c r="J176" s="175">
        <f t="shared" si="47"/>
        <v>0.18883839791969531</v>
      </c>
      <c r="K176" s="31">
        <f t="shared" si="48"/>
        <v>81056</v>
      </c>
      <c r="L176" s="31">
        <f t="shared" si="49"/>
        <v>710.23200000000361</v>
      </c>
      <c r="M176" s="31">
        <f t="shared" si="50"/>
        <v>5</v>
      </c>
      <c r="N176" s="31">
        <f t="shared" si="51"/>
        <v>4.7679999999999998</v>
      </c>
      <c r="O176" s="125"/>
      <c r="P176" s="32">
        <f t="shared" si="52"/>
        <v>1.8934059558823382</v>
      </c>
      <c r="Q176" s="31">
        <f t="shared" si="53"/>
        <v>4758.2320000000036</v>
      </c>
      <c r="R176" s="34"/>
      <c r="S176" s="34">
        <f t="shared" si="54"/>
        <v>76537.604999999996</v>
      </c>
      <c r="T176" s="34">
        <f t="shared" si="55"/>
        <v>6420.9400167785234</v>
      </c>
      <c r="U176" s="34">
        <f t="shared" si="40"/>
        <v>13220.940016778524</v>
      </c>
      <c r="V176" s="31">
        <f>H176+S176-SUM(AB$15:AB176)</f>
        <v>144218.4445000001</v>
      </c>
      <c r="W176" s="32">
        <f t="shared" si="56"/>
        <v>10.908335134791802</v>
      </c>
      <c r="X176" s="32">
        <f t="shared" si="57"/>
        <v>0.88174109067414008</v>
      </c>
      <c r="Y176" s="32">
        <f t="shared" si="58"/>
        <v>1.0116648652081981</v>
      </c>
      <c r="Z176" s="38">
        <f t="shared" si="59"/>
        <v>0.51433559121894568</v>
      </c>
      <c r="AA176" s="31">
        <f>SUM(L$2:L176)-SUM(AB$2:AB176)</f>
        <v>9093.6070000000291</v>
      </c>
      <c r="AB176" s="176"/>
      <c r="AC176" s="40">
        <f t="shared" si="41"/>
        <v>1079.5908489723067</v>
      </c>
      <c r="AD176" s="40">
        <f t="shared" si="42"/>
        <v>-5720.409151027693</v>
      </c>
    </row>
    <row r="177" spans="1:30" s="1" customFormat="1" ht="14.4" customHeight="1" x14ac:dyDescent="0.25">
      <c r="A177" s="174">
        <v>42991</v>
      </c>
      <c r="B177" s="159" t="s">
        <v>245</v>
      </c>
      <c r="C177" s="64" t="s">
        <v>63</v>
      </c>
      <c r="D177" s="64">
        <v>500</v>
      </c>
      <c r="E177" s="104">
        <v>11.82</v>
      </c>
      <c r="F177" s="102">
        <f t="shared" si="44"/>
        <v>7300</v>
      </c>
      <c r="G177" s="32">
        <f t="shared" si="43"/>
        <v>10.150115000000014</v>
      </c>
      <c r="H177" s="31">
        <f t="shared" si="45"/>
        <v>74095.839500000104</v>
      </c>
      <c r="I177" s="31">
        <f t="shared" si="46"/>
        <v>12190.160499999896</v>
      </c>
      <c r="J177" s="175">
        <f t="shared" si="47"/>
        <v>0.16451882564877188</v>
      </c>
      <c r="K177" s="31">
        <f t="shared" si="48"/>
        <v>86286</v>
      </c>
      <c r="L177" s="31">
        <f t="shared" si="49"/>
        <v>-685</v>
      </c>
      <c r="M177" s="31">
        <f t="shared" si="50"/>
        <v>5</v>
      </c>
      <c r="N177" s="31">
        <f t="shared" si="51"/>
        <v>0</v>
      </c>
      <c r="O177" s="125"/>
      <c r="P177" s="32">
        <f t="shared" si="52"/>
        <v>1.6698849999999865</v>
      </c>
      <c r="Q177" s="31">
        <f t="shared" si="53"/>
        <v>-5915</v>
      </c>
      <c r="R177" s="34"/>
      <c r="S177" s="34">
        <f t="shared" si="54"/>
        <v>70622.604999999996</v>
      </c>
      <c r="T177" s="34">
        <f t="shared" si="55"/>
        <v>5974.8396785109981</v>
      </c>
      <c r="U177" s="34">
        <f t="shared" si="40"/>
        <v>13274.839678510998</v>
      </c>
      <c r="V177" s="31">
        <f>H177+S177-SUM(AB$15:AB177)</f>
        <v>144218.4445000001</v>
      </c>
      <c r="W177" s="32">
        <f t="shared" si="56"/>
        <v>10.864044161185431</v>
      </c>
      <c r="X177" s="32">
        <f t="shared" si="57"/>
        <v>0.71392916118541727</v>
      </c>
      <c r="Y177" s="32">
        <f t="shared" si="58"/>
        <v>0.95595583881456925</v>
      </c>
      <c r="Z177" s="38">
        <f t="shared" si="59"/>
        <v>0.5499124793060266</v>
      </c>
      <c r="AA177" s="31">
        <f>SUM(L$2:L177)-SUM(AB$2:AB177)</f>
        <v>8408.6070000000291</v>
      </c>
      <c r="AB177" s="176"/>
      <c r="AC177" s="40">
        <f t="shared" si="41"/>
        <v>1030.8007969331554</v>
      </c>
      <c r="AD177" s="40">
        <f t="shared" si="42"/>
        <v>-6269.1992030668443</v>
      </c>
    </row>
    <row r="178" spans="1:30" s="1" customFormat="1" x14ac:dyDescent="0.25">
      <c r="A178" s="174">
        <v>42991</v>
      </c>
      <c r="B178" s="159"/>
      <c r="C178" s="64" t="s">
        <v>69</v>
      </c>
      <c r="D178" s="64">
        <v>400</v>
      </c>
      <c r="E178" s="104">
        <v>11.9</v>
      </c>
      <c r="F178" s="102">
        <f t="shared" si="44"/>
        <v>6900</v>
      </c>
      <c r="G178" s="32">
        <f t="shared" si="43"/>
        <v>10.050086884057984</v>
      </c>
      <c r="H178" s="31">
        <f t="shared" si="45"/>
        <v>69345.599500000098</v>
      </c>
      <c r="I178" s="31">
        <f t="shared" si="46"/>
        <v>12764.400499999902</v>
      </c>
      <c r="J178" s="175">
        <f t="shared" si="47"/>
        <v>0.18406936549737224</v>
      </c>
      <c r="K178" s="31">
        <f t="shared" si="48"/>
        <v>82110</v>
      </c>
      <c r="L178" s="31">
        <f t="shared" si="49"/>
        <v>574.24000000000524</v>
      </c>
      <c r="M178" s="31">
        <f t="shared" si="50"/>
        <v>5</v>
      </c>
      <c r="N178" s="31">
        <f t="shared" si="51"/>
        <v>4.76</v>
      </c>
      <c r="O178" s="125"/>
      <c r="P178" s="32">
        <f t="shared" si="52"/>
        <v>1.8499131159420159</v>
      </c>
      <c r="Q178" s="31">
        <f t="shared" si="53"/>
        <v>4750.2400000000052</v>
      </c>
      <c r="R178" s="34"/>
      <c r="S178" s="34">
        <f t="shared" si="54"/>
        <v>75372.845000000001</v>
      </c>
      <c r="T178" s="34">
        <f t="shared" si="55"/>
        <v>6333.8525210084035</v>
      </c>
      <c r="U178" s="34">
        <f t="shared" si="40"/>
        <v>13233.852521008404</v>
      </c>
      <c r="V178" s="31">
        <f>H178+S178-SUM(AB$15:AB178)</f>
        <v>144218.4445000001</v>
      </c>
      <c r="W178" s="32">
        <f t="shared" si="56"/>
        <v>10.897691679052414</v>
      </c>
      <c r="X178" s="32">
        <f t="shared" si="57"/>
        <v>0.84760479499442987</v>
      </c>
      <c r="Y178" s="32">
        <f t="shared" si="58"/>
        <v>1.002308320947586</v>
      </c>
      <c r="Z178" s="38">
        <f t="shared" si="59"/>
        <v>0.52139012347662372</v>
      </c>
      <c r="AA178" s="31">
        <f>SUM(L$2:L178)-SUM(AB$2:AB178)</f>
        <v>8982.8470000000343</v>
      </c>
      <c r="AB178" s="176"/>
      <c r="AC178" s="40">
        <f t="shared" si="41"/>
        <v>1072.1023781302438</v>
      </c>
      <c r="AD178" s="40">
        <f t="shared" si="42"/>
        <v>-5827.8976218697562</v>
      </c>
    </row>
    <row r="179" spans="1:30" s="1" customFormat="1" x14ac:dyDescent="0.25">
      <c r="A179" s="174">
        <v>42992</v>
      </c>
      <c r="B179" s="159"/>
      <c r="C179" s="64" t="s">
        <v>69</v>
      </c>
      <c r="D179" s="64">
        <v>400</v>
      </c>
      <c r="E179" s="104">
        <v>12.02</v>
      </c>
      <c r="F179" s="102">
        <f t="shared" si="44"/>
        <v>6500</v>
      </c>
      <c r="G179" s="32">
        <f t="shared" si="43"/>
        <v>9.930370384615399</v>
      </c>
      <c r="H179" s="31">
        <f t="shared" si="45"/>
        <v>64547.407500000096</v>
      </c>
      <c r="I179" s="31">
        <f t="shared" si="46"/>
        <v>13582.592499999904</v>
      </c>
      <c r="J179" s="175">
        <f t="shared" si="47"/>
        <v>0.21042816475626669</v>
      </c>
      <c r="K179" s="31">
        <f t="shared" si="48"/>
        <v>78130</v>
      </c>
      <c r="L179" s="31">
        <f t="shared" si="49"/>
        <v>818.19200000000274</v>
      </c>
      <c r="M179" s="31">
        <f t="shared" si="50"/>
        <v>5</v>
      </c>
      <c r="N179" s="31">
        <f t="shared" si="51"/>
        <v>4.8079999999999998</v>
      </c>
      <c r="O179" s="125"/>
      <c r="P179" s="32">
        <f t="shared" si="52"/>
        <v>2.0896296153846006</v>
      </c>
      <c r="Q179" s="31">
        <f t="shared" si="53"/>
        <v>4798.1920000000027</v>
      </c>
      <c r="R179" s="34"/>
      <c r="S179" s="34">
        <f t="shared" si="54"/>
        <v>80171.037000000011</v>
      </c>
      <c r="T179" s="34">
        <f t="shared" si="55"/>
        <v>6669.8034109816981</v>
      </c>
      <c r="U179" s="34">
        <f t="shared" si="40"/>
        <v>13169.803410981698</v>
      </c>
      <c r="V179" s="31">
        <f>H179+S179-SUM(AB$15:AB179)</f>
        <v>144218.4445000001</v>
      </c>
      <c r="W179" s="32">
        <f t="shared" si="56"/>
        <v>10.950690758203947</v>
      </c>
      <c r="X179" s="32">
        <f t="shared" si="57"/>
        <v>1.0203203735885484</v>
      </c>
      <c r="Y179" s="32">
        <f t="shared" si="58"/>
        <v>1.0693092417960521</v>
      </c>
      <c r="Z179" s="38">
        <f t="shared" si="59"/>
        <v>0.49355330502351663</v>
      </c>
      <c r="AA179" s="31">
        <f>SUM(L$2:L179)-SUM(AB$2:AB179)</f>
        <v>9801.039000000037</v>
      </c>
      <c r="AB179" s="176"/>
      <c r="AC179" s="40">
        <f t="shared" si="41"/>
        <v>1129.4343763519055</v>
      </c>
      <c r="AD179" s="40">
        <f t="shared" si="42"/>
        <v>-5370.5656236480945</v>
      </c>
    </row>
    <row r="180" spans="1:30" s="1" customFormat="1" x14ac:dyDescent="0.25">
      <c r="A180" s="174">
        <v>42992</v>
      </c>
      <c r="B180" s="159"/>
      <c r="C180" s="64" t="s">
        <v>69</v>
      </c>
      <c r="D180" s="64">
        <v>400</v>
      </c>
      <c r="E180" s="104">
        <v>12.06</v>
      </c>
      <c r="F180" s="102">
        <f t="shared" si="44"/>
        <v>6100</v>
      </c>
      <c r="G180" s="32">
        <f t="shared" si="43"/>
        <v>9.7923330327869014</v>
      </c>
      <c r="H180" s="31">
        <f t="shared" si="45"/>
        <v>59733.231500000096</v>
      </c>
      <c r="I180" s="31">
        <f t="shared" si="46"/>
        <v>13832.768499999904</v>
      </c>
      <c r="J180" s="175">
        <f t="shared" si="47"/>
        <v>0.23157576030354027</v>
      </c>
      <c r="K180" s="31">
        <f t="shared" si="48"/>
        <v>73566</v>
      </c>
      <c r="L180" s="31">
        <f t="shared" si="49"/>
        <v>250.17599999999948</v>
      </c>
      <c r="M180" s="31">
        <f t="shared" si="50"/>
        <v>5</v>
      </c>
      <c r="N180" s="31">
        <f t="shared" si="51"/>
        <v>4.8239999999999998</v>
      </c>
      <c r="O180" s="125"/>
      <c r="P180" s="32">
        <f t="shared" si="52"/>
        <v>2.2676669672130991</v>
      </c>
      <c r="Q180" s="31">
        <f t="shared" si="53"/>
        <v>4814.1759999999995</v>
      </c>
      <c r="R180" s="34"/>
      <c r="S180" s="34">
        <f t="shared" si="54"/>
        <v>84985.213000000018</v>
      </c>
      <c r="T180" s="34">
        <f t="shared" si="55"/>
        <v>7046.8667495854079</v>
      </c>
      <c r="U180" s="34">
        <f t="shared" si="40"/>
        <v>13146.866749585408</v>
      </c>
      <c r="V180" s="31">
        <f>H180+S180-SUM(AB$15:AB180)</f>
        <v>144218.4445000001</v>
      </c>
      <c r="W180" s="32">
        <f t="shared" si="56"/>
        <v>10.969795864444134</v>
      </c>
      <c r="X180" s="32">
        <f t="shared" si="57"/>
        <v>1.1774628316572322</v>
      </c>
      <c r="Y180" s="32">
        <f t="shared" si="58"/>
        <v>1.0902041355558669</v>
      </c>
      <c r="Z180" s="38">
        <f t="shared" si="59"/>
        <v>0.4639888816240087</v>
      </c>
      <c r="AA180" s="31">
        <f>SUM(L$2:L180)-SUM(AB$2:AB180)</f>
        <v>10051.215000000037</v>
      </c>
      <c r="AB180" s="176"/>
      <c r="AC180" s="40">
        <f t="shared" si="41"/>
        <v>1146.4222318200582</v>
      </c>
      <c r="AD180" s="40">
        <f t="shared" si="42"/>
        <v>-4953.5777681799418</v>
      </c>
    </row>
    <row r="181" spans="1:30" s="1" customFormat="1" ht="14.4" customHeight="1" x14ac:dyDescent="0.25">
      <c r="A181" s="174">
        <v>42992</v>
      </c>
      <c r="B181" s="159" t="s">
        <v>246</v>
      </c>
      <c r="C181" s="64" t="s">
        <v>63</v>
      </c>
      <c r="D181" s="64">
        <v>500</v>
      </c>
      <c r="E181" s="104">
        <v>11.96</v>
      </c>
      <c r="F181" s="102">
        <f t="shared" si="44"/>
        <v>6600</v>
      </c>
      <c r="G181" s="32">
        <f t="shared" si="43"/>
        <v>9.9573078030303179</v>
      </c>
      <c r="H181" s="31">
        <f t="shared" si="45"/>
        <v>65718.231500000096</v>
      </c>
      <c r="I181" s="31">
        <f t="shared" si="46"/>
        <v>13217.768499999904</v>
      </c>
      <c r="J181" s="175">
        <f t="shared" si="47"/>
        <v>0.20112787879874533</v>
      </c>
      <c r="K181" s="31">
        <f t="shared" si="48"/>
        <v>78936</v>
      </c>
      <c r="L181" s="31">
        <f t="shared" si="49"/>
        <v>-615</v>
      </c>
      <c r="M181" s="31">
        <f t="shared" si="50"/>
        <v>5</v>
      </c>
      <c r="N181" s="31">
        <f t="shared" si="51"/>
        <v>0</v>
      </c>
      <c r="O181" s="125"/>
      <c r="P181" s="32">
        <f t="shared" si="52"/>
        <v>2.0026921969696829</v>
      </c>
      <c r="Q181" s="31">
        <f t="shared" si="53"/>
        <v>-5985</v>
      </c>
      <c r="R181" s="34"/>
      <c r="S181" s="34">
        <f t="shared" si="54"/>
        <v>79000.213000000018</v>
      </c>
      <c r="T181" s="34">
        <f t="shared" si="55"/>
        <v>6605.3689799331114</v>
      </c>
      <c r="U181" s="34">
        <f t="shared" si="40"/>
        <v>13205.368979933111</v>
      </c>
      <c r="V181" s="31">
        <f>H181+S181-SUM(AB$15:AB181)</f>
        <v>144218.4445000001</v>
      </c>
      <c r="W181" s="32">
        <f t="shared" si="56"/>
        <v>10.921197637048579</v>
      </c>
      <c r="X181" s="32">
        <f t="shared" si="57"/>
        <v>0.96388983401826067</v>
      </c>
      <c r="Y181" s="32">
        <f t="shared" si="58"/>
        <v>1.0388023629514223</v>
      </c>
      <c r="Z181" s="38">
        <f t="shared" si="59"/>
        <v>0.49979671223343813</v>
      </c>
      <c r="AA181" s="31">
        <f>SUM(L$2:L181)-SUM(AB$2:AB181)</f>
        <v>9436.2150000000365</v>
      </c>
      <c r="AB181" s="176"/>
      <c r="AC181" s="40">
        <f t="shared" si="41"/>
        <v>1104.6120080058449</v>
      </c>
      <c r="AD181" s="40">
        <f t="shared" si="42"/>
        <v>-5495.3879919941555</v>
      </c>
    </row>
    <row r="182" spans="1:30" s="1" customFormat="1" x14ac:dyDescent="0.25">
      <c r="A182" s="174">
        <v>42992</v>
      </c>
      <c r="B182" s="159"/>
      <c r="C182" s="64" t="s">
        <v>69</v>
      </c>
      <c r="D182" s="64">
        <v>400</v>
      </c>
      <c r="E182" s="104">
        <v>12.02</v>
      </c>
      <c r="F182" s="102">
        <f t="shared" si="44"/>
        <v>6200</v>
      </c>
      <c r="G182" s="32">
        <f t="shared" si="43"/>
        <v>9.8258128225806605</v>
      </c>
      <c r="H182" s="31">
        <f t="shared" si="45"/>
        <v>60920.039500000094</v>
      </c>
      <c r="I182" s="31">
        <f t="shared" si="46"/>
        <v>13603.960499999906</v>
      </c>
      <c r="J182" s="175">
        <f t="shared" si="47"/>
        <v>0.2233084648607275</v>
      </c>
      <c r="K182" s="31">
        <f t="shared" si="48"/>
        <v>74524</v>
      </c>
      <c r="L182" s="31">
        <f t="shared" si="49"/>
        <v>386.19200000000274</v>
      </c>
      <c r="M182" s="31">
        <f t="shared" si="50"/>
        <v>5</v>
      </c>
      <c r="N182" s="31">
        <f t="shared" si="51"/>
        <v>4.8079999999999998</v>
      </c>
      <c r="O182" s="125"/>
      <c r="P182" s="32">
        <f t="shared" si="52"/>
        <v>2.1941871774193391</v>
      </c>
      <c r="Q182" s="31">
        <f t="shared" si="53"/>
        <v>4798.1920000000027</v>
      </c>
      <c r="R182" s="34"/>
      <c r="S182" s="34">
        <f t="shared" si="54"/>
        <v>83798.405000000028</v>
      </c>
      <c r="T182" s="34">
        <f t="shared" si="55"/>
        <v>6971.581114808655</v>
      </c>
      <c r="U182" s="34">
        <f t="shared" si="40"/>
        <v>13171.581114808654</v>
      </c>
      <c r="V182" s="31">
        <f>H182+S182-SUM(AB$15:AB182)</f>
        <v>144218.44450000013</v>
      </c>
      <c r="W182" s="32">
        <f t="shared" si="56"/>
        <v>10.94921279707696</v>
      </c>
      <c r="X182" s="32">
        <f t="shared" si="57"/>
        <v>1.1233999744962997</v>
      </c>
      <c r="Y182" s="32">
        <f t="shared" si="58"/>
        <v>1.0707872029230394</v>
      </c>
      <c r="Z182" s="38">
        <f t="shared" si="59"/>
        <v>0.47071038366300705</v>
      </c>
      <c r="AA182" s="31">
        <f>SUM(L$2:L182)-SUM(AB$2:AB182)</f>
        <v>9822.4070000000393</v>
      </c>
      <c r="AB182" s="176"/>
      <c r="AC182" s="40">
        <f t="shared" si="41"/>
        <v>1131.2111913269473</v>
      </c>
      <c r="AD182" s="40">
        <f t="shared" si="42"/>
        <v>-5068.7888086730527</v>
      </c>
    </row>
    <row r="183" spans="1:30" s="1" customFormat="1" x14ac:dyDescent="0.25">
      <c r="A183" s="174">
        <v>42992</v>
      </c>
      <c r="B183" s="159"/>
      <c r="C183" s="64" t="s">
        <v>69</v>
      </c>
      <c r="D183" s="64">
        <v>400</v>
      </c>
      <c r="E183" s="104">
        <v>12.06</v>
      </c>
      <c r="F183" s="102">
        <f t="shared" si="44"/>
        <v>5800</v>
      </c>
      <c r="G183" s="32">
        <f t="shared" si="43"/>
        <v>9.6734247413793266</v>
      </c>
      <c r="H183" s="31">
        <f t="shared" si="45"/>
        <v>56105.863500000094</v>
      </c>
      <c r="I183" s="31">
        <f t="shared" si="46"/>
        <v>13842.136499999906</v>
      </c>
      <c r="J183" s="175">
        <f t="shared" si="47"/>
        <v>0.24671461477461951</v>
      </c>
      <c r="K183" s="31">
        <f t="shared" si="48"/>
        <v>69948</v>
      </c>
      <c r="L183" s="31">
        <f t="shared" si="49"/>
        <v>238.17599999999948</v>
      </c>
      <c r="M183" s="31">
        <f t="shared" si="50"/>
        <v>5</v>
      </c>
      <c r="N183" s="31">
        <f t="shared" si="51"/>
        <v>4.8239999999999998</v>
      </c>
      <c r="O183" s="125"/>
      <c r="P183" s="32">
        <f t="shared" si="52"/>
        <v>2.3865752586206739</v>
      </c>
      <c r="Q183" s="31">
        <f t="shared" si="53"/>
        <v>4814.1759999999995</v>
      </c>
      <c r="R183" s="34"/>
      <c r="S183" s="34">
        <f t="shared" si="54"/>
        <v>88612.581000000035</v>
      </c>
      <c r="T183" s="34">
        <f t="shared" si="55"/>
        <v>7347.6435323383112</v>
      </c>
      <c r="U183" s="34">
        <f t="shared" si="40"/>
        <v>13147.643532338312</v>
      </c>
      <c r="V183" s="31">
        <f>H183+S183-SUM(AB$15:AB183)</f>
        <v>144218.44450000013</v>
      </c>
      <c r="W183" s="32">
        <f t="shared" si="56"/>
        <v>10.969147752239891</v>
      </c>
      <c r="X183" s="32">
        <f t="shared" si="57"/>
        <v>1.2957230108605646</v>
      </c>
      <c r="Y183" s="32">
        <f t="shared" si="58"/>
        <v>1.0908522477601093</v>
      </c>
      <c r="Z183" s="38">
        <f t="shared" si="59"/>
        <v>0.44114369131884035</v>
      </c>
      <c r="AA183" s="31">
        <f>SUM(L$2:L183)-SUM(AB$2:AB183)</f>
        <v>10060.583000000039</v>
      </c>
      <c r="AB183" s="176"/>
      <c r="AC183" s="40">
        <f t="shared" si="41"/>
        <v>1147.1986261815841</v>
      </c>
      <c r="AD183" s="40">
        <f t="shared" si="42"/>
        <v>-4652.8013738184163</v>
      </c>
    </row>
    <row r="184" spans="1:30" s="1" customFormat="1" x14ac:dyDescent="0.25">
      <c r="A184" s="174">
        <v>42992</v>
      </c>
      <c r="B184" s="159"/>
      <c r="C184" s="64" t="s">
        <v>69</v>
      </c>
      <c r="D184" s="64">
        <v>400</v>
      </c>
      <c r="E184" s="104">
        <v>12.14</v>
      </c>
      <c r="F184" s="102">
        <f t="shared" si="44"/>
        <v>5400</v>
      </c>
      <c r="G184" s="32">
        <f t="shared" si="43"/>
        <v>9.4925406481481662</v>
      </c>
      <c r="H184" s="31">
        <f t="shared" si="45"/>
        <v>51259.719500000094</v>
      </c>
      <c r="I184" s="31">
        <f t="shared" si="46"/>
        <v>14296.280499999906</v>
      </c>
      <c r="J184" s="175">
        <f t="shared" si="47"/>
        <v>0.27889892179374642</v>
      </c>
      <c r="K184" s="31">
        <f t="shared" si="48"/>
        <v>65556</v>
      </c>
      <c r="L184" s="31">
        <f t="shared" si="49"/>
        <v>454.14400000000023</v>
      </c>
      <c r="M184" s="31">
        <f t="shared" si="50"/>
        <v>5</v>
      </c>
      <c r="N184" s="31">
        <f t="shared" si="51"/>
        <v>4.8559999999999999</v>
      </c>
      <c r="O184" s="125"/>
      <c r="P184" s="32">
        <f t="shared" si="52"/>
        <v>2.6474593518518343</v>
      </c>
      <c r="Q184" s="31">
        <f t="shared" si="53"/>
        <v>4846.1440000000002</v>
      </c>
      <c r="R184" s="34"/>
      <c r="S184" s="34">
        <f t="shared" si="54"/>
        <v>93458.725000000035</v>
      </c>
      <c r="T184" s="34">
        <f t="shared" si="55"/>
        <v>7698.4122734761149</v>
      </c>
      <c r="U184" s="34">
        <f t="shared" si="40"/>
        <v>13098.412273476115</v>
      </c>
      <c r="V184" s="31">
        <f>H184+S184-SUM(AB$15:AB184)</f>
        <v>144218.44450000013</v>
      </c>
      <c r="W184" s="32">
        <f t="shared" si="56"/>
        <v>11.010376027943332</v>
      </c>
      <c r="X184" s="32">
        <f t="shared" si="57"/>
        <v>1.5178353797951658</v>
      </c>
      <c r="Y184" s="32">
        <f t="shared" si="58"/>
        <v>1.1296239720566685</v>
      </c>
      <c r="Z184" s="38">
        <f t="shared" si="59"/>
        <v>0.41226370702461668</v>
      </c>
      <c r="AA184" s="31">
        <f>SUM(L$2:L184)-SUM(AB$2:AB184)</f>
        <v>10514.727000000039</v>
      </c>
      <c r="AB184" s="176"/>
      <c r="AC184" s="40">
        <f t="shared" si="41"/>
        <v>1177.0290246910961</v>
      </c>
      <c r="AD184" s="40">
        <f t="shared" si="42"/>
        <v>-4222.9709753089037</v>
      </c>
    </row>
    <row r="185" spans="1:30" s="1" customFormat="1" ht="14.4" customHeight="1" x14ac:dyDescent="0.25">
      <c r="A185" s="174">
        <v>42993</v>
      </c>
      <c r="B185" s="159"/>
      <c r="C185" s="64" t="s">
        <v>69</v>
      </c>
      <c r="D185" s="64">
        <v>400</v>
      </c>
      <c r="E185" s="104">
        <v>12.18</v>
      </c>
      <c r="F185" s="102">
        <f t="shared" si="44"/>
        <v>5000</v>
      </c>
      <c r="G185" s="32">
        <f t="shared" si="43"/>
        <v>9.279518300000019</v>
      </c>
      <c r="H185" s="31">
        <f t="shared" si="45"/>
        <v>46397.591500000097</v>
      </c>
      <c r="I185" s="31">
        <f t="shared" si="46"/>
        <v>14502.408499999903</v>
      </c>
      <c r="J185" s="175">
        <f t="shared" si="47"/>
        <v>0.31256813190399924</v>
      </c>
      <c r="K185" s="31">
        <f t="shared" si="48"/>
        <v>60900</v>
      </c>
      <c r="L185" s="31">
        <f t="shared" si="49"/>
        <v>206.12799999999697</v>
      </c>
      <c r="M185" s="31">
        <f t="shared" si="50"/>
        <v>5</v>
      </c>
      <c r="N185" s="31">
        <f t="shared" si="51"/>
        <v>4.8719999999999999</v>
      </c>
      <c r="O185" s="125"/>
      <c r="P185" s="32">
        <f t="shared" si="52"/>
        <v>2.9004816999999807</v>
      </c>
      <c r="Q185" s="31">
        <f t="shared" si="53"/>
        <v>4862.127999999997</v>
      </c>
      <c r="R185" s="34"/>
      <c r="S185" s="34">
        <f t="shared" si="54"/>
        <v>98320.853000000032</v>
      </c>
      <c r="T185" s="34">
        <f t="shared" si="55"/>
        <v>8072.3196223316945</v>
      </c>
      <c r="U185" s="34">
        <f t="shared" si="40"/>
        <v>13072.319622331695</v>
      </c>
      <c r="V185" s="31">
        <f>H185+S185-SUM(AB$15:AB185)</f>
        <v>144218.44450000013</v>
      </c>
      <c r="W185" s="32">
        <f t="shared" si="56"/>
        <v>11.032352992167434</v>
      </c>
      <c r="X185" s="32">
        <f t="shared" si="57"/>
        <v>1.7528346921674149</v>
      </c>
      <c r="Y185" s="32">
        <f t="shared" si="58"/>
        <v>1.1476470078325658</v>
      </c>
      <c r="Z185" s="38">
        <f t="shared" si="59"/>
        <v>0.38248758785383458</v>
      </c>
      <c r="AA185" s="31">
        <f>SUM(L$2:L185)-SUM(AB$2:AB185)</f>
        <v>10720.855000000036</v>
      </c>
      <c r="AB185" s="176"/>
      <c r="AC185" s="40">
        <f t="shared" si="41"/>
        <v>1190.0785957101727</v>
      </c>
      <c r="AD185" s="40">
        <f t="shared" si="42"/>
        <v>-3809.9214042898275</v>
      </c>
    </row>
    <row r="186" spans="1:30" s="1" customFormat="1" x14ac:dyDescent="0.25">
      <c r="A186" s="174">
        <v>42993</v>
      </c>
      <c r="B186" s="159"/>
      <c r="C186" s="64" t="s">
        <v>69</v>
      </c>
      <c r="D186" s="64">
        <v>400</v>
      </c>
      <c r="E186" s="104">
        <v>12.26</v>
      </c>
      <c r="F186" s="102">
        <f t="shared" si="44"/>
        <v>4600</v>
      </c>
      <c r="G186" s="32">
        <f t="shared" si="43"/>
        <v>9.0224990217391525</v>
      </c>
      <c r="H186" s="31">
        <f t="shared" si="45"/>
        <v>41503.495500000099</v>
      </c>
      <c r="I186" s="31">
        <f t="shared" si="46"/>
        <v>14892.504499999901</v>
      </c>
      <c r="J186" s="175">
        <f t="shared" si="47"/>
        <v>0.35882530665398682</v>
      </c>
      <c r="K186" s="31">
        <f t="shared" si="48"/>
        <v>56396</v>
      </c>
      <c r="L186" s="31">
        <f t="shared" si="49"/>
        <v>390.09599999999773</v>
      </c>
      <c r="M186" s="31">
        <f t="shared" si="50"/>
        <v>5</v>
      </c>
      <c r="N186" s="31">
        <f t="shared" si="51"/>
        <v>4.9039999999999999</v>
      </c>
      <c r="O186" s="125"/>
      <c r="P186" s="32">
        <f t="shared" si="52"/>
        <v>3.2375009782608473</v>
      </c>
      <c r="Q186" s="31">
        <f t="shared" si="53"/>
        <v>4894.0959999999977</v>
      </c>
      <c r="R186" s="34"/>
      <c r="S186" s="34">
        <f t="shared" si="54"/>
        <v>103214.94900000002</v>
      </c>
      <c r="T186" s="34">
        <f t="shared" si="55"/>
        <v>8418.837601957588</v>
      </c>
      <c r="U186" s="34">
        <f t="shared" si="40"/>
        <v>13018.837601957588</v>
      </c>
      <c r="V186" s="31">
        <f>H186+S186-SUM(AB$15:AB186)</f>
        <v>144218.44450000013</v>
      </c>
      <c r="W186" s="32">
        <f t="shared" si="56"/>
        <v>11.077674436795695</v>
      </c>
      <c r="X186" s="32">
        <f t="shared" si="57"/>
        <v>2.0551754150565422</v>
      </c>
      <c r="Y186" s="32">
        <f t="shared" si="58"/>
        <v>1.182325563204305</v>
      </c>
      <c r="Z186" s="38">
        <f t="shared" si="59"/>
        <v>0.353334156292749</v>
      </c>
      <c r="AA186" s="31">
        <f>SUM(L$2:L186)-SUM(AB$2:AB186)</f>
        <v>11110.951000000034</v>
      </c>
      <c r="AB186" s="176"/>
      <c r="AC186" s="40">
        <f t="shared" si="41"/>
        <v>1214.1156808931405</v>
      </c>
      <c r="AD186" s="40">
        <f t="shared" si="42"/>
        <v>-3385.8843191068595</v>
      </c>
    </row>
    <row r="187" spans="1:30" s="1" customFormat="1" ht="14.4" customHeight="1" x14ac:dyDescent="0.25">
      <c r="A187" s="174">
        <v>42993</v>
      </c>
      <c r="B187" s="159"/>
      <c r="C187" s="64" t="s">
        <v>69</v>
      </c>
      <c r="D187" s="64">
        <v>400</v>
      </c>
      <c r="E187" s="104">
        <v>12.32</v>
      </c>
      <c r="F187" s="102">
        <f t="shared" si="44"/>
        <v>4200</v>
      </c>
      <c r="G187" s="32">
        <f t="shared" si="43"/>
        <v>8.7108151190476431</v>
      </c>
      <c r="H187" s="31">
        <f t="shared" si="45"/>
        <v>36585.423500000099</v>
      </c>
      <c r="I187" s="31">
        <f t="shared" si="46"/>
        <v>15158.576499999901</v>
      </c>
      <c r="J187" s="175">
        <f t="shared" si="47"/>
        <v>0.41433377148141687</v>
      </c>
      <c r="K187" s="31">
        <f t="shared" si="48"/>
        <v>51744</v>
      </c>
      <c r="L187" s="31">
        <f t="shared" si="49"/>
        <v>266.07200000000012</v>
      </c>
      <c r="M187" s="31">
        <f t="shared" si="50"/>
        <v>5</v>
      </c>
      <c r="N187" s="31">
        <f t="shared" si="51"/>
        <v>4.9279999999999999</v>
      </c>
      <c r="O187" s="125"/>
      <c r="P187" s="32">
        <f t="shared" si="52"/>
        <v>3.6091848809523572</v>
      </c>
      <c r="Q187" s="31">
        <f t="shared" si="53"/>
        <v>4918.0720000000001</v>
      </c>
      <c r="R187" s="34"/>
      <c r="S187" s="34">
        <f t="shared" si="54"/>
        <v>108133.02100000002</v>
      </c>
      <c r="T187" s="34">
        <f t="shared" si="55"/>
        <v>8777.0309253246778</v>
      </c>
      <c r="U187" s="34">
        <f t="shared" si="40"/>
        <v>12977.030925324678</v>
      </c>
      <c r="V187" s="31">
        <f>H187+S187-SUM(AB$15:AB187)</f>
        <v>144218.44450000013</v>
      </c>
      <c r="W187" s="32">
        <f t="shared" si="56"/>
        <v>11.113362165035594</v>
      </c>
      <c r="X187" s="32">
        <f t="shared" si="57"/>
        <v>2.4025470459879514</v>
      </c>
      <c r="Y187" s="32">
        <f t="shared" si="58"/>
        <v>1.2066378349644058</v>
      </c>
      <c r="Z187" s="38">
        <f t="shared" si="59"/>
        <v>0.32364876250727731</v>
      </c>
      <c r="AA187" s="31">
        <f>SUM(L$2:L187)-SUM(AB$2:AB187)</f>
        <v>11377.023000000034</v>
      </c>
      <c r="AB187" s="176"/>
      <c r="AC187" s="40">
        <f t="shared" si="41"/>
        <v>1229.7887347199596</v>
      </c>
      <c r="AD187" s="40">
        <f t="shared" si="42"/>
        <v>-2970.2112652800406</v>
      </c>
    </row>
    <row r="188" spans="1:30" s="1" customFormat="1" x14ac:dyDescent="0.25">
      <c r="A188" s="174">
        <v>42993</v>
      </c>
      <c r="B188" s="159"/>
      <c r="C188" s="64" t="s">
        <v>69</v>
      </c>
      <c r="D188" s="64">
        <v>400</v>
      </c>
      <c r="E188" s="104">
        <v>12.44</v>
      </c>
      <c r="F188" s="102">
        <f t="shared" si="44"/>
        <v>3800</v>
      </c>
      <c r="G188" s="32">
        <f t="shared" si="43"/>
        <v>8.3208946052631845</v>
      </c>
      <c r="H188" s="31">
        <f t="shared" si="45"/>
        <v>31619.399500000098</v>
      </c>
      <c r="I188" s="31">
        <f t="shared" si="46"/>
        <v>15652.600499999902</v>
      </c>
      <c r="J188" s="175">
        <f t="shared" si="47"/>
        <v>0.4950315549161472</v>
      </c>
      <c r="K188" s="31">
        <f t="shared" si="48"/>
        <v>47272</v>
      </c>
      <c r="L188" s="31">
        <f t="shared" si="49"/>
        <v>494.02400000000125</v>
      </c>
      <c r="M188" s="31">
        <f t="shared" si="50"/>
        <v>5</v>
      </c>
      <c r="N188" s="31">
        <f t="shared" si="51"/>
        <v>4.976</v>
      </c>
      <c r="O188" s="125"/>
      <c r="P188" s="32">
        <f t="shared" si="52"/>
        <v>4.119105394736815</v>
      </c>
      <c r="Q188" s="31">
        <f t="shared" si="53"/>
        <v>4966.0240000000013</v>
      </c>
      <c r="R188" s="34"/>
      <c r="S188" s="34">
        <f t="shared" si="54"/>
        <v>113099.04500000003</v>
      </c>
      <c r="T188" s="34">
        <f t="shared" si="55"/>
        <v>9091.5631028938933</v>
      </c>
      <c r="U188" s="34">
        <f t="shared" si="40"/>
        <v>12891.563102893893</v>
      </c>
      <c r="V188" s="31">
        <f>H188+S188-SUM(AB$15:AB188)</f>
        <v>144218.44450000013</v>
      </c>
      <c r="W188" s="32">
        <f t="shared" si="56"/>
        <v>11.18704096228843</v>
      </c>
      <c r="X188" s="32">
        <f t="shared" si="57"/>
        <v>2.8661463570252455</v>
      </c>
      <c r="Y188" s="32">
        <f t="shared" si="58"/>
        <v>1.2529590377115696</v>
      </c>
      <c r="Z188" s="38">
        <f t="shared" si="59"/>
        <v>0.29476642744330805</v>
      </c>
      <c r="AA188" s="31">
        <f>SUM(L$2:L188)-SUM(AB$2:AB188)</f>
        <v>11871.047000000035</v>
      </c>
      <c r="AB188" s="176"/>
      <c r="AC188" s="40">
        <f t="shared" si="41"/>
        <v>1257.618504803047</v>
      </c>
      <c r="AD188" s="40">
        <f t="shared" si="42"/>
        <v>-2542.381495196953</v>
      </c>
    </row>
    <row r="189" spans="1:30" s="1" customFormat="1" x14ac:dyDescent="0.25">
      <c r="A189" s="174">
        <v>42993</v>
      </c>
      <c r="B189" s="159"/>
      <c r="C189" s="64" t="s">
        <v>69</v>
      </c>
      <c r="D189" s="64">
        <v>400</v>
      </c>
      <c r="E189" s="104">
        <v>12.55</v>
      </c>
      <c r="F189" s="102">
        <f t="shared" si="44"/>
        <v>3400</v>
      </c>
      <c r="G189" s="32">
        <f t="shared" si="43"/>
        <v>7.8262998529412053</v>
      </c>
      <c r="H189" s="31">
        <f t="shared" si="45"/>
        <v>26609.419500000098</v>
      </c>
      <c r="I189" s="31">
        <f t="shared" si="46"/>
        <v>16060.580499999902</v>
      </c>
      <c r="J189" s="175">
        <f t="shared" si="47"/>
        <v>0.60356748857297859</v>
      </c>
      <c r="K189" s="31">
        <f t="shared" si="48"/>
        <v>42670</v>
      </c>
      <c r="L189" s="31">
        <f t="shared" si="49"/>
        <v>407.97999999999956</v>
      </c>
      <c r="M189" s="31">
        <f t="shared" si="50"/>
        <v>5</v>
      </c>
      <c r="N189" s="31">
        <f t="shared" si="51"/>
        <v>5.0199999999999996</v>
      </c>
      <c r="O189" s="125"/>
      <c r="P189" s="32">
        <f t="shared" si="52"/>
        <v>4.7237001470587954</v>
      </c>
      <c r="Q189" s="31">
        <f t="shared" si="53"/>
        <v>5009.9799999999996</v>
      </c>
      <c r="R189" s="34"/>
      <c r="S189" s="34">
        <f t="shared" si="54"/>
        <v>118109.02500000002</v>
      </c>
      <c r="T189" s="34">
        <f t="shared" si="55"/>
        <v>9411.0776892430295</v>
      </c>
      <c r="U189" s="34">
        <f t="shared" si="40"/>
        <v>12811.077689243029</v>
      </c>
      <c r="V189" s="31">
        <f>H189+S189-SUM(AB$15:AB189)</f>
        <v>144218.44450000013</v>
      </c>
      <c r="W189" s="32">
        <f t="shared" si="56"/>
        <v>11.257323388265362</v>
      </c>
      <c r="X189" s="32">
        <f t="shared" si="57"/>
        <v>3.4310235353241572</v>
      </c>
      <c r="Y189" s="32">
        <f t="shared" si="58"/>
        <v>1.2926766117346382</v>
      </c>
      <c r="Z189" s="38">
        <f t="shared" si="59"/>
        <v>0.26539531509162961</v>
      </c>
      <c r="AA189" s="31">
        <f>SUM(L$2:L189)-SUM(AB$2:AB189)</f>
        <v>12279.027000000035</v>
      </c>
      <c r="AB189" s="176"/>
      <c r="AC189" s="40">
        <f t="shared" si="41"/>
        <v>1279.0876661155301</v>
      </c>
      <c r="AD189" s="40">
        <f t="shared" si="42"/>
        <v>-2120.9123338844702</v>
      </c>
    </row>
    <row r="190" spans="1:30" s="1" customFormat="1" ht="14.4" customHeight="1" x14ac:dyDescent="0.25">
      <c r="A190" s="174">
        <v>42993</v>
      </c>
      <c r="B190" s="159" t="s">
        <v>247</v>
      </c>
      <c r="C190" s="64" t="s">
        <v>63</v>
      </c>
      <c r="D190" s="64">
        <v>500</v>
      </c>
      <c r="E190" s="104">
        <v>12.31</v>
      </c>
      <c r="F190" s="102">
        <f t="shared" si="44"/>
        <v>3900</v>
      </c>
      <c r="G190" s="32">
        <f t="shared" si="43"/>
        <v>8.402415256410281</v>
      </c>
      <c r="H190" s="31">
        <f t="shared" si="45"/>
        <v>32769.419500000098</v>
      </c>
      <c r="I190" s="31">
        <f t="shared" si="46"/>
        <v>15239.580499999902</v>
      </c>
      <c r="J190" s="175">
        <f t="shared" si="47"/>
        <v>0.46505494245938234</v>
      </c>
      <c r="K190" s="31">
        <f t="shared" si="48"/>
        <v>48009</v>
      </c>
      <c r="L190" s="31">
        <f t="shared" si="49"/>
        <v>-821</v>
      </c>
      <c r="M190" s="31">
        <f t="shared" si="50"/>
        <v>5</v>
      </c>
      <c r="N190" s="31">
        <f t="shared" si="51"/>
        <v>0</v>
      </c>
      <c r="O190" s="125"/>
      <c r="P190" s="32">
        <f t="shared" si="52"/>
        <v>3.9075847435897195</v>
      </c>
      <c r="Q190" s="31">
        <f t="shared" si="53"/>
        <v>-6160</v>
      </c>
      <c r="R190" s="34"/>
      <c r="S190" s="34">
        <f t="shared" si="54"/>
        <v>111949.02500000002</v>
      </c>
      <c r="T190" s="34">
        <f t="shared" si="55"/>
        <v>9094.1531275385878</v>
      </c>
      <c r="U190" s="34">
        <f t="shared" si="40"/>
        <v>12994.153127538588</v>
      </c>
      <c r="V190" s="31">
        <f>H190+S190-SUM(AB$15:AB190)</f>
        <v>144218.44450000013</v>
      </c>
      <c r="W190" s="32">
        <f t="shared" si="56"/>
        <v>11.098718253085467</v>
      </c>
      <c r="X190" s="32">
        <f t="shared" si="57"/>
        <v>2.6963029966751861</v>
      </c>
      <c r="Y190" s="32">
        <f t="shared" si="58"/>
        <v>1.2112817469145334</v>
      </c>
      <c r="Z190" s="38">
        <f t="shared" si="59"/>
        <v>0.30013498853839932</v>
      </c>
      <c r="AA190" s="31">
        <f>SUM(L$2:L190)-SUM(AB$2:AB190)</f>
        <v>11458.027000000035</v>
      </c>
      <c r="AB190" s="176"/>
      <c r="AC190" s="40">
        <f t="shared" si="41"/>
        <v>1237.3648017668481</v>
      </c>
      <c r="AD190" s="40">
        <f t="shared" si="42"/>
        <v>-2662.6351982331516</v>
      </c>
    </row>
    <row r="191" spans="1:30" s="1" customFormat="1" x14ac:dyDescent="0.25">
      <c r="A191" s="174">
        <v>42996</v>
      </c>
      <c r="B191" s="159"/>
      <c r="C191" s="64" t="s">
        <v>69</v>
      </c>
      <c r="D191" s="64">
        <v>400</v>
      </c>
      <c r="E191" s="104">
        <v>12.45</v>
      </c>
      <c r="F191" s="102">
        <f t="shared" si="44"/>
        <v>3500</v>
      </c>
      <c r="G191" s="32">
        <f t="shared" si="43"/>
        <v>7.9426855714285995</v>
      </c>
      <c r="H191" s="31">
        <f t="shared" si="45"/>
        <v>27799.399500000098</v>
      </c>
      <c r="I191" s="31">
        <f t="shared" si="46"/>
        <v>15775.600499999902</v>
      </c>
      <c r="J191" s="175">
        <f t="shared" si="47"/>
        <v>0.56747990185902553</v>
      </c>
      <c r="K191" s="31">
        <f t="shared" si="48"/>
        <v>43575</v>
      </c>
      <c r="L191" s="31">
        <f t="shared" si="49"/>
        <v>536.02000000000044</v>
      </c>
      <c r="M191" s="31">
        <f t="shared" si="50"/>
        <v>5</v>
      </c>
      <c r="N191" s="31">
        <f t="shared" si="51"/>
        <v>4.9800000000000004</v>
      </c>
      <c r="O191" s="125"/>
      <c r="P191" s="32">
        <f t="shared" si="52"/>
        <v>4.5073144285713997</v>
      </c>
      <c r="Q191" s="31">
        <f t="shared" si="53"/>
        <v>4970.0200000000004</v>
      </c>
      <c r="R191" s="34"/>
      <c r="S191" s="34">
        <f t="shared" si="54"/>
        <v>116919.04500000003</v>
      </c>
      <c r="T191" s="34">
        <f t="shared" si="55"/>
        <v>9391.0879518072325</v>
      </c>
      <c r="U191" s="34">
        <f t="shared" si="40"/>
        <v>12891.087951807232</v>
      </c>
      <c r="V191" s="31">
        <f>H191+S191-SUM(AB$15:AB191)</f>
        <v>144218.44450000013</v>
      </c>
      <c r="W191" s="32">
        <f t="shared" si="56"/>
        <v>11.18745330410858</v>
      </c>
      <c r="X191" s="32">
        <f t="shared" si="57"/>
        <v>3.2447677326799802</v>
      </c>
      <c r="Y191" s="32">
        <f t="shared" si="58"/>
        <v>1.2625466958914195</v>
      </c>
      <c r="Z191" s="38">
        <f t="shared" si="59"/>
        <v>0.27150540071440027</v>
      </c>
      <c r="AA191" s="31">
        <f>SUM(L$2:L191)-SUM(AB$2:AB191)</f>
        <v>11994.047000000035</v>
      </c>
      <c r="AB191" s="176"/>
      <c r="AC191" s="40">
        <f t="shared" si="41"/>
        <v>1266.4829477710766</v>
      </c>
      <c r="AD191" s="40">
        <f t="shared" si="42"/>
        <v>-2233.5170522289236</v>
      </c>
    </row>
    <row r="192" spans="1:30" s="1" customFormat="1" ht="14.4" customHeight="1" x14ac:dyDescent="0.25">
      <c r="A192" s="174">
        <v>42996</v>
      </c>
      <c r="B192" s="159"/>
      <c r="C192" s="64" t="s">
        <v>69</v>
      </c>
      <c r="D192" s="64">
        <v>400</v>
      </c>
      <c r="E192" s="104">
        <v>12.54</v>
      </c>
      <c r="F192" s="102">
        <f t="shared" si="44"/>
        <v>3100</v>
      </c>
      <c r="G192" s="32">
        <f t="shared" si="43"/>
        <v>7.3527146774193861</v>
      </c>
      <c r="H192" s="31">
        <f t="shared" si="45"/>
        <v>22793.415500000097</v>
      </c>
      <c r="I192" s="31">
        <f t="shared" si="46"/>
        <v>16080.584499999903</v>
      </c>
      <c r="J192" s="175">
        <f t="shared" si="47"/>
        <v>0.70549253577200099</v>
      </c>
      <c r="K192" s="31">
        <f t="shared" si="48"/>
        <v>38874</v>
      </c>
      <c r="L192" s="31">
        <f t="shared" si="49"/>
        <v>304.98400000000038</v>
      </c>
      <c r="M192" s="31">
        <f t="shared" si="50"/>
        <v>5</v>
      </c>
      <c r="N192" s="31">
        <f t="shared" si="51"/>
        <v>5.016</v>
      </c>
      <c r="O192" s="125"/>
      <c r="P192" s="32">
        <f t="shared" si="52"/>
        <v>5.187285322580613</v>
      </c>
      <c r="Q192" s="31">
        <f t="shared" si="53"/>
        <v>5005.9840000000004</v>
      </c>
      <c r="R192" s="34"/>
      <c r="S192" s="34">
        <f t="shared" si="54"/>
        <v>121925.02900000002</v>
      </c>
      <c r="T192" s="34">
        <f t="shared" si="55"/>
        <v>9722.8890749601305</v>
      </c>
      <c r="U192" s="34">
        <f t="shared" si="40"/>
        <v>12822.889074960131</v>
      </c>
      <c r="V192" s="31">
        <f>H192+S192-SUM(AB$15:AB192)</f>
        <v>144218.44450000013</v>
      </c>
      <c r="W192" s="32">
        <f t="shared" si="56"/>
        <v>11.246954072278641</v>
      </c>
      <c r="X192" s="32">
        <f t="shared" si="57"/>
        <v>3.8942393948592544</v>
      </c>
      <c r="Y192" s="32">
        <f t="shared" si="58"/>
        <v>1.2930459277213586</v>
      </c>
      <c r="Z192" s="38">
        <f t="shared" si="59"/>
        <v>0.24175519119583733</v>
      </c>
      <c r="AA192" s="31">
        <f>SUM(L$2:L192)-SUM(AB$2:AB192)</f>
        <v>12299.031000000035</v>
      </c>
      <c r="AB192" s="176"/>
      <c r="AC192" s="40">
        <f t="shared" si="41"/>
        <v>1281.7020899322092</v>
      </c>
      <c r="AD192" s="40">
        <f t="shared" si="42"/>
        <v>-1818.2979100677908</v>
      </c>
    </row>
    <row r="193" spans="1:30" s="1" customFormat="1" ht="14.4" customHeight="1" x14ac:dyDescent="0.25">
      <c r="A193" s="174">
        <v>42997</v>
      </c>
      <c r="B193" s="159"/>
      <c r="C193" s="64" t="s">
        <v>69</v>
      </c>
      <c r="D193" s="64">
        <v>400</v>
      </c>
      <c r="E193" s="104">
        <v>12.76</v>
      </c>
      <c r="F193" s="102">
        <f t="shared" si="44"/>
        <v>2700</v>
      </c>
      <c r="G193" s="32">
        <f t="shared" si="43"/>
        <v>6.5553775925926283</v>
      </c>
      <c r="H193" s="31">
        <f t="shared" si="45"/>
        <v>17699.519500000097</v>
      </c>
      <c r="I193" s="31">
        <f t="shared" si="46"/>
        <v>16752.480499999903</v>
      </c>
      <c r="J193" s="175">
        <f t="shared" si="47"/>
        <v>0.94649351921671165</v>
      </c>
      <c r="K193" s="31">
        <f t="shared" si="48"/>
        <v>34452</v>
      </c>
      <c r="L193" s="31">
        <f t="shared" si="49"/>
        <v>671.89600000000064</v>
      </c>
      <c r="M193" s="31">
        <f t="shared" si="50"/>
        <v>5</v>
      </c>
      <c r="N193" s="31">
        <f t="shared" si="51"/>
        <v>5.1040000000000001</v>
      </c>
      <c r="O193" s="125"/>
      <c r="P193" s="32">
        <f t="shared" si="52"/>
        <v>6.2046224074073715</v>
      </c>
      <c r="Q193" s="31">
        <f t="shared" si="53"/>
        <v>5093.8960000000006</v>
      </c>
      <c r="R193" s="34"/>
      <c r="S193" s="34">
        <f t="shared" si="54"/>
        <v>127018.92500000002</v>
      </c>
      <c r="T193" s="34">
        <f t="shared" si="55"/>
        <v>9954.4612068965525</v>
      </c>
      <c r="U193" s="34">
        <f t="shared" si="40"/>
        <v>12654.461206896553</v>
      </c>
      <c r="V193" s="31">
        <f>H193+S193-SUM(AB$15:AB193)</f>
        <v>144218.4445000001</v>
      </c>
      <c r="W193" s="32">
        <f t="shared" si="56"/>
        <v>11.396648355237955</v>
      </c>
      <c r="X193" s="32">
        <f t="shared" si="57"/>
        <v>4.8412707626453271</v>
      </c>
      <c r="Y193" s="32">
        <f t="shared" si="58"/>
        <v>1.3633516447620444</v>
      </c>
      <c r="Z193" s="38">
        <f t="shared" si="59"/>
        <v>0.21336348943315955</v>
      </c>
      <c r="AA193" s="31">
        <f>SUM(L$2:L193)-SUM(AB$2:AB193)</f>
        <v>12970.927000000036</v>
      </c>
      <c r="AB193" s="176"/>
      <c r="AC193" s="40">
        <f t="shared" si="41"/>
        <v>1312.2338761559486</v>
      </c>
      <c r="AD193" s="40">
        <f t="shared" si="42"/>
        <v>-1387.7661238440514</v>
      </c>
    </row>
    <row r="194" spans="1:30" s="1" customFormat="1" ht="14.4" customHeight="1" x14ac:dyDescent="0.25">
      <c r="A194" s="174">
        <v>42997</v>
      </c>
      <c r="B194" s="159"/>
      <c r="C194" s="64" t="s">
        <v>69</v>
      </c>
      <c r="D194" s="64">
        <v>400</v>
      </c>
      <c r="E194" s="104">
        <v>12.95</v>
      </c>
      <c r="F194" s="102">
        <f t="shared" si="44"/>
        <v>2300</v>
      </c>
      <c r="G194" s="32">
        <f t="shared" si="43"/>
        <v>5.4476954347826512</v>
      </c>
      <c r="H194" s="31">
        <f t="shared" si="45"/>
        <v>12529.699500000097</v>
      </c>
      <c r="I194" s="31">
        <f t="shared" si="46"/>
        <v>17255.300499999903</v>
      </c>
      <c r="J194" s="175">
        <f t="shared" si="47"/>
        <v>1.3771519819768836</v>
      </c>
      <c r="K194" s="31">
        <f t="shared" si="48"/>
        <v>29785</v>
      </c>
      <c r="L194" s="31">
        <f t="shared" si="49"/>
        <v>502.81999999999971</v>
      </c>
      <c r="M194" s="31">
        <f t="shared" si="50"/>
        <v>5</v>
      </c>
      <c r="N194" s="31">
        <f t="shared" si="51"/>
        <v>5.18</v>
      </c>
      <c r="O194" s="125"/>
      <c r="P194" s="32">
        <f t="shared" si="52"/>
        <v>7.5023045652173481</v>
      </c>
      <c r="Q194" s="31">
        <f t="shared" si="53"/>
        <v>5169.82</v>
      </c>
      <c r="R194" s="34"/>
      <c r="S194" s="34">
        <f t="shared" si="54"/>
        <v>132188.74500000002</v>
      </c>
      <c r="T194" s="34">
        <f t="shared" si="55"/>
        <v>10207.625096525098</v>
      </c>
      <c r="U194" s="34">
        <f t="shared" ref="U194:U257" si="60">F194+T194</f>
        <v>12507.625096525098</v>
      </c>
      <c r="V194" s="31">
        <f>H194+S194-SUM(AB$15:AB194)</f>
        <v>144218.44450000013</v>
      </c>
      <c r="W194" s="32">
        <f t="shared" si="56"/>
        <v>11.530441901401993</v>
      </c>
      <c r="X194" s="32">
        <f t="shared" si="57"/>
        <v>6.0827464666193416</v>
      </c>
      <c r="Y194" s="32">
        <f t="shared" si="58"/>
        <v>1.4195580985980065</v>
      </c>
      <c r="Z194" s="38">
        <f t="shared" si="59"/>
        <v>0.18388782700554338</v>
      </c>
      <c r="AA194" s="31">
        <f>SUM(L$2:L194)-SUM(AB$2:AB194)</f>
        <v>13473.747000000036</v>
      </c>
      <c r="AB194" s="176"/>
      <c r="AC194" s="40">
        <f t="shared" si="41"/>
        <v>1331.789409247097</v>
      </c>
      <c r="AD194" s="40">
        <f t="shared" si="42"/>
        <v>-968.21059075290304</v>
      </c>
    </row>
    <row r="195" spans="1:30" s="1" customFormat="1" ht="14.4" customHeight="1" x14ac:dyDescent="0.25">
      <c r="A195" s="174">
        <v>42997</v>
      </c>
      <c r="B195" s="159"/>
      <c r="C195" s="64" t="s">
        <v>69</v>
      </c>
      <c r="D195" s="64">
        <v>400</v>
      </c>
      <c r="E195" s="104">
        <v>13.02</v>
      </c>
      <c r="F195" s="102">
        <f t="shared" si="44"/>
        <v>1900</v>
      </c>
      <c r="G195" s="32">
        <f t="shared" si="43"/>
        <v>3.858898684210577</v>
      </c>
      <c r="H195" s="31">
        <f t="shared" si="45"/>
        <v>7331.9075000000967</v>
      </c>
      <c r="I195" s="31">
        <f t="shared" si="46"/>
        <v>17406.092499999904</v>
      </c>
      <c r="J195" s="175">
        <f t="shared" si="47"/>
        <v>2.3740196531393334</v>
      </c>
      <c r="K195" s="31">
        <f t="shared" si="48"/>
        <v>24738</v>
      </c>
      <c r="L195" s="31">
        <f t="shared" si="49"/>
        <v>150.79200000000128</v>
      </c>
      <c r="M195" s="31">
        <f t="shared" si="50"/>
        <v>5</v>
      </c>
      <c r="N195" s="31">
        <f t="shared" si="51"/>
        <v>5.2080000000000002</v>
      </c>
      <c r="O195" s="125"/>
      <c r="P195" s="32">
        <f t="shared" si="52"/>
        <v>9.1611013157894234</v>
      </c>
      <c r="Q195" s="31">
        <f t="shared" si="53"/>
        <v>5197.7920000000004</v>
      </c>
      <c r="R195" s="34"/>
      <c r="S195" s="34">
        <f t="shared" si="54"/>
        <v>137386.53700000001</v>
      </c>
      <c r="T195" s="34">
        <f t="shared" si="55"/>
        <v>10551.961367127496</v>
      </c>
      <c r="U195" s="34">
        <f t="shared" si="60"/>
        <v>12451.961367127496</v>
      </c>
      <c r="V195" s="31">
        <f>H195+S195-SUM(AB$15:AB195)</f>
        <v>144218.4445000001</v>
      </c>
      <c r="W195" s="32">
        <f t="shared" si="56"/>
        <v>11.581986182572729</v>
      </c>
      <c r="X195" s="32">
        <f t="shared" si="57"/>
        <v>7.723087498362152</v>
      </c>
      <c r="Y195" s="32">
        <f t="shared" si="58"/>
        <v>1.4380138174272714</v>
      </c>
      <c r="Z195" s="38">
        <f t="shared" si="59"/>
        <v>0.15258640337705329</v>
      </c>
      <c r="AA195" s="31">
        <f>SUM(L$2:L195)-SUM(AB$2:AB195)</f>
        <v>13624.539000000037</v>
      </c>
      <c r="AB195" s="176"/>
      <c r="AC195" s="40">
        <f t="shared" ref="AC195:AC258" si="61">I195/E195*(1-0.0005)</f>
        <v>1336.2050271697317</v>
      </c>
      <c r="AD195" s="40">
        <f t="shared" ref="AD195:AD258" si="62">AC195-F195</f>
        <v>-563.79497283026831</v>
      </c>
    </row>
    <row r="196" spans="1:30" s="1" customFormat="1" x14ac:dyDescent="0.25">
      <c r="A196" s="174">
        <v>42997</v>
      </c>
      <c r="B196" s="159"/>
      <c r="C196" s="64" t="s">
        <v>69</v>
      </c>
      <c r="D196" s="64">
        <v>400</v>
      </c>
      <c r="E196" s="104">
        <v>13.29</v>
      </c>
      <c r="F196" s="102">
        <f t="shared" si="44"/>
        <v>1500</v>
      </c>
      <c r="G196" s="32">
        <f t="shared" si="43"/>
        <v>1.350815666666731</v>
      </c>
      <c r="H196" s="31">
        <f t="shared" si="45"/>
        <v>2026.2235000000967</v>
      </c>
      <c r="I196" s="31">
        <f t="shared" si="46"/>
        <v>17908.776499999902</v>
      </c>
      <c r="J196" s="175">
        <f t="shared" si="47"/>
        <v>8.8385000470081643</v>
      </c>
      <c r="K196" s="31">
        <f t="shared" si="48"/>
        <v>19935</v>
      </c>
      <c r="L196" s="31">
        <f t="shared" si="49"/>
        <v>502.68399999999747</v>
      </c>
      <c r="M196" s="31">
        <f t="shared" si="50"/>
        <v>5</v>
      </c>
      <c r="N196" s="31">
        <f t="shared" si="51"/>
        <v>5.3159999999999998</v>
      </c>
      <c r="O196" s="125"/>
      <c r="P196" s="32">
        <f t="shared" si="52"/>
        <v>11.939184333333268</v>
      </c>
      <c r="Q196" s="31">
        <f t="shared" si="53"/>
        <v>5305.6840000000002</v>
      </c>
      <c r="R196" s="34"/>
      <c r="S196" s="34">
        <f t="shared" si="54"/>
        <v>142692.22100000002</v>
      </c>
      <c r="T196" s="34">
        <f t="shared" si="55"/>
        <v>10736.811211437172</v>
      </c>
      <c r="U196" s="34">
        <f t="shared" si="60"/>
        <v>12236.811211437172</v>
      </c>
      <c r="V196" s="31">
        <f>H196+S196-SUM(AB$15:AB196)</f>
        <v>144218.44450000013</v>
      </c>
      <c r="W196" s="32">
        <f t="shared" si="56"/>
        <v>11.785623068631306</v>
      </c>
      <c r="X196" s="32">
        <f t="shared" si="57"/>
        <v>10.434807401964575</v>
      </c>
      <c r="Y196" s="32">
        <f t="shared" si="58"/>
        <v>1.504376931368693</v>
      </c>
      <c r="Z196" s="38">
        <f t="shared" si="59"/>
        <v>0.12258095463612452</v>
      </c>
      <c r="AA196" s="31">
        <f>SUM(L$2:L196)-SUM(AB$2:AB196)</f>
        <v>14127.223000000035</v>
      </c>
      <c r="AB196" s="176"/>
      <c r="AC196" s="40">
        <f t="shared" si="61"/>
        <v>1346.8639662716255</v>
      </c>
      <c r="AD196" s="40">
        <f t="shared" si="62"/>
        <v>-153.13603372837451</v>
      </c>
    </row>
    <row r="197" spans="1:30" s="1" customFormat="1" ht="14.4" customHeight="1" x14ac:dyDescent="0.25">
      <c r="A197" s="174">
        <v>42997</v>
      </c>
      <c r="B197" s="159" t="s">
        <v>248</v>
      </c>
      <c r="C197" s="64" t="s">
        <v>63</v>
      </c>
      <c r="D197" s="64">
        <v>500</v>
      </c>
      <c r="E197" s="104">
        <v>13.03</v>
      </c>
      <c r="F197" s="102">
        <f t="shared" si="44"/>
        <v>2000</v>
      </c>
      <c r="G197" s="32">
        <f t="shared" si="43"/>
        <v>4.2731117500000479</v>
      </c>
      <c r="H197" s="31">
        <f t="shared" si="45"/>
        <v>8546.2235000000965</v>
      </c>
      <c r="I197" s="31">
        <f t="shared" si="46"/>
        <v>17513.776499999905</v>
      </c>
      <c r="J197" s="175">
        <f t="shared" si="47"/>
        <v>2.0493000797369394</v>
      </c>
      <c r="K197" s="31">
        <f t="shared" si="48"/>
        <v>26060</v>
      </c>
      <c r="L197" s="31">
        <f t="shared" si="49"/>
        <v>-394.99999999999636</v>
      </c>
      <c r="M197" s="31">
        <f t="shared" si="50"/>
        <v>5</v>
      </c>
      <c r="N197" s="31">
        <f t="shared" si="51"/>
        <v>0</v>
      </c>
      <c r="O197" s="125"/>
      <c r="P197" s="32">
        <f t="shared" si="52"/>
        <v>8.7568882499999514</v>
      </c>
      <c r="Q197" s="31">
        <f t="shared" si="53"/>
        <v>-6520</v>
      </c>
      <c r="R197" s="34"/>
      <c r="S197" s="34">
        <f t="shared" si="54"/>
        <v>136172.22100000002</v>
      </c>
      <c r="T197" s="34">
        <f t="shared" si="55"/>
        <v>10450.669301611668</v>
      </c>
      <c r="U197" s="34">
        <f t="shared" si="60"/>
        <v>12450.669301611668</v>
      </c>
      <c r="V197" s="31">
        <f>H197+S197-SUM(AB$15:AB197)</f>
        <v>144218.44450000013</v>
      </c>
      <c r="W197" s="32">
        <f t="shared" si="56"/>
        <v>11.58318810068563</v>
      </c>
      <c r="X197" s="32">
        <f t="shared" si="57"/>
        <v>7.3100763506855824</v>
      </c>
      <c r="Y197" s="32">
        <f t="shared" si="58"/>
        <v>1.446811899314369</v>
      </c>
      <c r="Z197" s="38">
        <f t="shared" si="59"/>
        <v>0.16063393473482679</v>
      </c>
      <c r="AA197" s="31">
        <f>SUM(L$2:L197)-SUM(AB$2:AB197)</f>
        <v>13732.223000000038</v>
      </c>
      <c r="AB197" s="176"/>
      <c r="AC197" s="40">
        <f t="shared" si="61"/>
        <v>1343.439724616263</v>
      </c>
      <c r="AD197" s="40">
        <f t="shared" si="62"/>
        <v>-656.56027538373701</v>
      </c>
    </row>
    <row r="198" spans="1:30" s="1" customFormat="1" ht="14.4" customHeight="1" x14ac:dyDescent="0.25">
      <c r="A198" s="174">
        <v>42998</v>
      </c>
      <c r="B198" s="159" t="s">
        <v>249</v>
      </c>
      <c r="C198" s="64" t="s">
        <v>63</v>
      </c>
      <c r="D198" s="64">
        <v>500</v>
      </c>
      <c r="E198" s="104">
        <v>12.87</v>
      </c>
      <c r="F198" s="102">
        <f t="shared" si="44"/>
        <v>2500</v>
      </c>
      <c r="G198" s="32">
        <f t="shared" si="43"/>
        <v>5.9944894000000382</v>
      </c>
      <c r="H198" s="31">
        <f t="shared" si="45"/>
        <v>14986.223500000096</v>
      </c>
      <c r="I198" s="31">
        <f t="shared" si="46"/>
        <v>17188.776499999898</v>
      </c>
      <c r="J198" s="175">
        <f t="shared" si="47"/>
        <v>1.1469718505132258</v>
      </c>
      <c r="K198" s="31">
        <f t="shared" si="48"/>
        <v>32174.999999999996</v>
      </c>
      <c r="L198" s="31">
        <f t="shared" si="49"/>
        <v>-325.00000000000728</v>
      </c>
      <c r="M198" s="31">
        <f t="shared" si="50"/>
        <v>5</v>
      </c>
      <c r="N198" s="31">
        <f t="shared" si="51"/>
        <v>0</v>
      </c>
      <c r="O198" s="125"/>
      <c r="P198" s="32">
        <f t="shared" si="52"/>
        <v>6.8755105999999611</v>
      </c>
      <c r="Q198" s="31">
        <f t="shared" si="53"/>
        <v>-6440</v>
      </c>
      <c r="R198" s="34"/>
      <c r="S198" s="34">
        <f t="shared" si="54"/>
        <v>129732.22100000002</v>
      </c>
      <c r="T198" s="34">
        <f t="shared" si="55"/>
        <v>10080.203651903654</v>
      </c>
      <c r="U198" s="34">
        <f t="shared" si="60"/>
        <v>12580.203651903654</v>
      </c>
      <c r="V198" s="31">
        <f>H198+S198-SUM(AB$15:AB198)</f>
        <v>144218.44450000013</v>
      </c>
      <c r="W198" s="32">
        <f t="shared" si="56"/>
        <v>11.463919701981677</v>
      </c>
      <c r="X198" s="32">
        <f t="shared" si="57"/>
        <v>5.4694303019816388</v>
      </c>
      <c r="Y198" s="32">
        <f t="shared" si="58"/>
        <v>1.4060802980183222</v>
      </c>
      <c r="Z198" s="38">
        <f t="shared" si="59"/>
        <v>0.19872492283713519</v>
      </c>
      <c r="AA198" s="31">
        <f>SUM(L$2:L198)-SUM(AB$2:AB198)</f>
        <v>13407.223000000031</v>
      </c>
      <c r="AB198" s="176"/>
      <c r="AC198" s="40">
        <f t="shared" si="61"/>
        <v>1334.9014849844523</v>
      </c>
      <c r="AD198" s="40">
        <f t="shared" si="62"/>
        <v>-1165.0985150155477</v>
      </c>
    </row>
    <row r="199" spans="1:30" s="1" customFormat="1" ht="14.4" customHeight="1" x14ac:dyDescent="0.25">
      <c r="A199" s="174">
        <v>42998</v>
      </c>
      <c r="B199" s="159"/>
      <c r="C199" s="64" t="s">
        <v>69</v>
      </c>
      <c r="D199" s="64">
        <v>400</v>
      </c>
      <c r="E199" s="104">
        <v>13.07</v>
      </c>
      <c r="F199" s="102">
        <f t="shared" si="44"/>
        <v>2100</v>
      </c>
      <c r="G199" s="32">
        <f t="shared" si="43"/>
        <v>4.6516435714286173</v>
      </c>
      <c r="H199" s="31">
        <f t="shared" si="45"/>
        <v>9768.4515000000956</v>
      </c>
      <c r="I199" s="31">
        <f t="shared" si="46"/>
        <v>17678.548499999903</v>
      </c>
      <c r="J199" s="175">
        <f t="shared" si="47"/>
        <v>1.8097595611750468</v>
      </c>
      <c r="K199" s="31">
        <f t="shared" si="48"/>
        <v>27447</v>
      </c>
      <c r="L199" s="31">
        <f t="shared" si="49"/>
        <v>489.77200000000448</v>
      </c>
      <c r="M199" s="31">
        <f t="shared" si="50"/>
        <v>5</v>
      </c>
      <c r="N199" s="31">
        <f t="shared" si="51"/>
        <v>5.2279999999999998</v>
      </c>
      <c r="O199" s="125"/>
      <c r="P199" s="32">
        <f t="shared" si="52"/>
        <v>8.4183564285713821</v>
      </c>
      <c r="Q199" s="31">
        <f t="shared" si="53"/>
        <v>5217.7720000000008</v>
      </c>
      <c r="R199" s="34"/>
      <c r="S199" s="34">
        <f t="shared" si="54"/>
        <v>134949.99300000002</v>
      </c>
      <c r="T199" s="34">
        <f t="shared" si="55"/>
        <v>10325.171614384086</v>
      </c>
      <c r="U199" s="34">
        <f t="shared" si="60"/>
        <v>12425.171614384086</v>
      </c>
      <c r="V199" s="31">
        <f>H199+S199-SUM(AB$15:AB199)</f>
        <v>144218.4445000001</v>
      </c>
      <c r="W199" s="32">
        <f t="shared" si="56"/>
        <v>11.60695795404907</v>
      </c>
      <c r="X199" s="32">
        <f t="shared" si="57"/>
        <v>6.9553143826204531</v>
      </c>
      <c r="Y199" s="32">
        <f t="shared" si="58"/>
        <v>1.463042045950929</v>
      </c>
      <c r="Z199" s="38">
        <f t="shared" si="59"/>
        <v>0.16901175011288541</v>
      </c>
      <c r="AA199" s="31">
        <f>SUM(L$2:L199)-SUM(AB$2:AB199)</f>
        <v>13896.995000000035</v>
      </c>
      <c r="AB199" s="176"/>
      <c r="AC199" s="40">
        <f t="shared" si="61"/>
        <v>1351.9287854437569</v>
      </c>
      <c r="AD199" s="40">
        <f t="shared" si="62"/>
        <v>-748.07121455624315</v>
      </c>
    </row>
    <row r="200" spans="1:30" s="1" customFormat="1" x14ac:dyDescent="0.25">
      <c r="A200" s="174">
        <v>42998</v>
      </c>
      <c r="B200" s="268" t="s">
        <v>627</v>
      </c>
      <c r="C200" s="64" t="s">
        <v>69</v>
      </c>
      <c r="D200" s="64">
        <v>400</v>
      </c>
      <c r="E200" s="104">
        <v>13.19</v>
      </c>
      <c r="F200" s="102">
        <f t="shared" si="44"/>
        <v>1700</v>
      </c>
      <c r="G200" s="32">
        <f t="shared" si="43"/>
        <v>2.6486632352941739</v>
      </c>
      <c r="H200" s="31">
        <f t="shared" si="45"/>
        <v>4502.7275000000955</v>
      </c>
      <c r="I200" s="31">
        <f t="shared" si="46"/>
        <v>17920.272499999905</v>
      </c>
      <c r="J200" s="175">
        <f t="shared" si="47"/>
        <v>3.9798705340262144</v>
      </c>
      <c r="K200" s="31">
        <f t="shared" si="48"/>
        <v>22423</v>
      </c>
      <c r="L200" s="31">
        <f t="shared" si="49"/>
        <v>241.72400000000198</v>
      </c>
      <c r="M200" s="31">
        <f t="shared" si="50"/>
        <v>5</v>
      </c>
      <c r="N200" s="31">
        <f t="shared" si="51"/>
        <v>5.2759999999999998</v>
      </c>
      <c r="O200" s="125"/>
      <c r="P200" s="32">
        <f t="shared" si="52"/>
        <v>10.541336764705825</v>
      </c>
      <c r="Q200" s="31">
        <f t="shared" si="53"/>
        <v>5265.7240000000002</v>
      </c>
      <c r="R200" s="34"/>
      <c r="S200" s="34">
        <f t="shared" si="54"/>
        <v>140215.717</v>
      </c>
      <c r="T200" s="34">
        <f t="shared" si="55"/>
        <v>10630.456178923427</v>
      </c>
      <c r="U200" s="34">
        <f t="shared" si="60"/>
        <v>12330.456178923427</v>
      </c>
      <c r="V200" s="31">
        <f>H200+S200-SUM(AB$15:AB200)</f>
        <v>144218.4445000001</v>
      </c>
      <c r="W200" s="32">
        <f t="shared" si="56"/>
        <v>11.69611589443983</v>
      </c>
      <c r="X200" s="32">
        <f t="shared" si="57"/>
        <v>9.0474526591456552</v>
      </c>
      <c r="Y200" s="32">
        <f t="shared" si="58"/>
        <v>1.4938841055601699</v>
      </c>
      <c r="Z200" s="38">
        <f t="shared" si="59"/>
        <v>0.13787000053621917</v>
      </c>
      <c r="AA200" s="31">
        <f>SUM(L$2:L200)-SUM(AB$2:AB200)</f>
        <v>14138.719000000037</v>
      </c>
      <c r="AB200" s="176"/>
      <c r="AC200" s="40">
        <f t="shared" si="61"/>
        <v>1357.9463505496517</v>
      </c>
      <c r="AD200" s="40">
        <f t="shared" si="62"/>
        <v>-342.0536494503483</v>
      </c>
    </row>
    <row r="201" spans="1:30" s="1" customFormat="1" ht="14.4" customHeight="1" x14ac:dyDescent="0.25">
      <c r="A201" s="174">
        <v>42999</v>
      </c>
      <c r="B201" s="159" t="s">
        <v>250</v>
      </c>
      <c r="C201" s="64" t="s">
        <v>63</v>
      </c>
      <c r="D201" s="64">
        <v>400</v>
      </c>
      <c r="E201" s="104">
        <v>12.92</v>
      </c>
      <c r="F201" s="102">
        <f t="shared" si="44"/>
        <v>2100</v>
      </c>
      <c r="G201" s="32">
        <f t="shared" si="43"/>
        <v>4.6074892857143315</v>
      </c>
      <c r="H201" s="31">
        <f t="shared" si="45"/>
        <v>9675.7275000000955</v>
      </c>
      <c r="I201" s="31">
        <f t="shared" si="46"/>
        <v>17456.272499999905</v>
      </c>
      <c r="J201" s="175">
        <f t="shared" si="47"/>
        <v>1.8041302320677934</v>
      </c>
      <c r="K201" s="31">
        <f t="shared" si="48"/>
        <v>27132</v>
      </c>
      <c r="L201" s="31">
        <f t="shared" si="49"/>
        <v>-464</v>
      </c>
      <c r="M201" s="31">
        <f t="shared" si="50"/>
        <v>5</v>
      </c>
      <c r="N201" s="31">
        <f t="shared" si="51"/>
        <v>0</v>
      </c>
      <c r="O201" s="125"/>
      <c r="P201" s="32">
        <f t="shared" si="52"/>
        <v>8.3125107142856685</v>
      </c>
      <c r="Q201" s="31">
        <f t="shared" si="53"/>
        <v>-5173</v>
      </c>
      <c r="R201" s="34"/>
      <c r="S201" s="34">
        <f t="shared" si="54"/>
        <v>135042.717</v>
      </c>
      <c r="T201" s="34">
        <f t="shared" si="55"/>
        <v>10452.222678018576</v>
      </c>
      <c r="U201" s="34">
        <f t="shared" si="60"/>
        <v>12552.222678018576</v>
      </c>
      <c r="V201" s="31">
        <f>H201+S201-SUM(AB$15:AB201)</f>
        <v>144218.4445000001</v>
      </c>
      <c r="W201" s="32">
        <f t="shared" si="56"/>
        <v>11.489474669100249</v>
      </c>
      <c r="X201" s="32">
        <f t="shared" si="57"/>
        <v>6.881985383385917</v>
      </c>
      <c r="Y201" s="32">
        <f t="shared" si="58"/>
        <v>1.4305253308997514</v>
      </c>
      <c r="Z201" s="38">
        <f t="shared" si="59"/>
        <v>0.16730104730196632</v>
      </c>
      <c r="AA201" s="31">
        <f>SUM(L$2:L201)-SUM(AB$2:AB201)</f>
        <v>13674.719000000037</v>
      </c>
      <c r="AB201" s="176"/>
      <c r="AC201" s="40">
        <f t="shared" si="61"/>
        <v>1350.4291303212001</v>
      </c>
      <c r="AD201" s="40">
        <f t="shared" si="62"/>
        <v>-749.57086967879991</v>
      </c>
    </row>
    <row r="202" spans="1:30" s="1" customFormat="1" ht="14.4" customHeight="1" x14ac:dyDescent="0.25">
      <c r="A202" s="174">
        <v>42999</v>
      </c>
      <c r="B202" s="159" t="s">
        <v>251</v>
      </c>
      <c r="C202" s="64" t="s">
        <v>63</v>
      </c>
      <c r="D202" s="64">
        <v>500</v>
      </c>
      <c r="E202" s="104">
        <v>12.73</v>
      </c>
      <c r="F202" s="102">
        <f t="shared" si="44"/>
        <v>2600</v>
      </c>
      <c r="G202" s="32">
        <f t="shared" si="43"/>
        <v>6.1714336538461909</v>
      </c>
      <c r="H202" s="31">
        <f t="shared" si="45"/>
        <v>16045.727500000095</v>
      </c>
      <c r="I202" s="31">
        <f t="shared" si="46"/>
        <v>17052.272499999905</v>
      </c>
      <c r="J202" s="175">
        <f t="shared" si="47"/>
        <v>1.062729782741219</v>
      </c>
      <c r="K202" s="31">
        <f t="shared" si="48"/>
        <v>33098</v>
      </c>
      <c r="L202" s="31">
        <f t="shared" si="49"/>
        <v>-404</v>
      </c>
      <c r="M202" s="31">
        <f t="shared" si="50"/>
        <v>5</v>
      </c>
      <c r="N202" s="31">
        <f t="shared" si="51"/>
        <v>0</v>
      </c>
      <c r="O202" s="125"/>
      <c r="P202" s="32">
        <f t="shared" si="52"/>
        <v>6.5585663461538095</v>
      </c>
      <c r="Q202" s="31">
        <f t="shared" si="53"/>
        <v>-6370</v>
      </c>
      <c r="R202" s="34"/>
      <c r="S202" s="34">
        <f t="shared" si="54"/>
        <v>128672.717</v>
      </c>
      <c r="T202" s="34">
        <f t="shared" si="55"/>
        <v>10107.833228593872</v>
      </c>
      <c r="U202" s="34">
        <f t="shared" si="60"/>
        <v>12707.833228593872</v>
      </c>
      <c r="V202" s="31">
        <f>H202+S202-SUM(AB$15:AB202)</f>
        <v>144218.4445000001</v>
      </c>
      <c r="W202" s="32">
        <f t="shared" si="56"/>
        <v>11.348783219431496</v>
      </c>
      <c r="X202" s="32">
        <f t="shared" si="57"/>
        <v>5.1773495655853052</v>
      </c>
      <c r="Y202" s="32">
        <f t="shared" si="58"/>
        <v>1.3812167805685043</v>
      </c>
      <c r="Z202" s="38">
        <f t="shared" si="59"/>
        <v>0.20459821538653378</v>
      </c>
      <c r="AA202" s="31">
        <f>SUM(L$2:L202)-SUM(AB$2:AB202)</f>
        <v>13270.719000000037</v>
      </c>
      <c r="AB202" s="176"/>
      <c r="AC202" s="40">
        <f t="shared" si="61"/>
        <v>1338.8646004516816</v>
      </c>
      <c r="AD202" s="40">
        <f t="shared" si="62"/>
        <v>-1261.1353995483184</v>
      </c>
    </row>
    <row r="203" spans="1:30" s="1" customFormat="1" ht="14.4" customHeight="1" x14ac:dyDescent="0.25">
      <c r="A203" s="174">
        <v>43000</v>
      </c>
      <c r="B203" s="159"/>
      <c r="C203" s="64" t="s">
        <v>69</v>
      </c>
      <c r="D203" s="64">
        <v>400</v>
      </c>
      <c r="E203" s="104">
        <v>12.87</v>
      </c>
      <c r="F203" s="102">
        <f t="shared" si="44"/>
        <v>2200</v>
      </c>
      <c r="G203" s="32">
        <f t="shared" ref="G203:G266" si="63">H203/F203</f>
        <v>4.9581252272727703</v>
      </c>
      <c r="H203" s="31">
        <f t="shared" si="45"/>
        <v>10907.875500000095</v>
      </c>
      <c r="I203" s="31">
        <f t="shared" si="46"/>
        <v>17406.124499999903</v>
      </c>
      <c r="J203" s="175">
        <f t="shared" si="47"/>
        <v>1.5957391977933515</v>
      </c>
      <c r="K203" s="31">
        <f t="shared" si="48"/>
        <v>28314</v>
      </c>
      <c r="L203" s="31">
        <f t="shared" si="49"/>
        <v>353.85199999999895</v>
      </c>
      <c r="M203" s="31">
        <f t="shared" si="50"/>
        <v>5</v>
      </c>
      <c r="N203" s="31">
        <f t="shared" si="51"/>
        <v>5.1479999999999997</v>
      </c>
      <c r="O203" s="125"/>
      <c r="P203" s="32">
        <f t="shared" si="52"/>
        <v>7.9118747727272289</v>
      </c>
      <c r="Q203" s="31">
        <f t="shared" si="53"/>
        <v>5137.8520000000008</v>
      </c>
      <c r="R203" s="34"/>
      <c r="S203" s="34">
        <f t="shared" si="54"/>
        <v>133810.56900000002</v>
      </c>
      <c r="T203" s="34">
        <f t="shared" si="55"/>
        <v>10397.091608391611</v>
      </c>
      <c r="U203" s="34">
        <f t="shared" si="60"/>
        <v>12597.091608391611</v>
      </c>
      <c r="V203" s="31">
        <f>H203+S203-SUM(AB$15:AB203)</f>
        <v>144218.4445000001</v>
      </c>
      <c r="W203" s="32">
        <f t="shared" si="56"/>
        <v>11.448550902331164</v>
      </c>
      <c r="X203" s="32">
        <f t="shared" si="57"/>
        <v>6.4904256750583933</v>
      </c>
      <c r="Y203" s="32">
        <f t="shared" si="58"/>
        <v>1.4214490976688356</v>
      </c>
      <c r="Z203" s="38">
        <f t="shared" si="59"/>
        <v>0.17464348663896831</v>
      </c>
      <c r="AA203" s="31">
        <f>SUM(L$2:L203)-SUM(AB$2:AB203)</f>
        <v>13624.571000000036</v>
      </c>
      <c r="AB203" s="176"/>
      <c r="AC203" s="40">
        <f t="shared" si="61"/>
        <v>1351.7809974941651</v>
      </c>
      <c r="AD203" s="40">
        <f t="shared" si="62"/>
        <v>-848.21900250583485</v>
      </c>
    </row>
    <row r="204" spans="1:30" s="1" customFormat="1" x14ac:dyDescent="0.25">
      <c r="A204" s="174">
        <v>43000</v>
      </c>
      <c r="B204" s="159"/>
      <c r="C204" s="64" t="s">
        <v>69</v>
      </c>
      <c r="D204" s="64">
        <v>400</v>
      </c>
      <c r="E204" s="104">
        <v>13.03</v>
      </c>
      <c r="F204" s="102">
        <f t="shared" ref="F204:F267" si="64">IF(C204="买",F203+D204,F203-D204)</f>
        <v>1800</v>
      </c>
      <c r="G204" s="32">
        <f t="shared" si="63"/>
        <v>3.1700486111111639</v>
      </c>
      <c r="H204" s="31">
        <f t="shared" ref="H204:H267" si="65">IF(C204="买",H203+D204*E204+M204+N204,H203+-1*D204*E204+M204+N204)+O203</f>
        <v>5706.0875000000951</v>
      </c>
      <c r="I204" s="31">
        <f t="shared" ref="I204:I267" si="66">-H204+K204</f>
        <v>17747.912499999904</v>
      </c>
      <c r="J204" s="175">
        <f t="shared" ref="J204:J267" si="67">(E204-G204)/G204</f>
        <v>3.110347063552672</v>
      </c>
      <c r="K204" s="31">
        <f t="shared" ref="K204:K267" si="68">F204*E204</f>
        <v>23454</v>
      </c>
      <c r="L204" s="31">
        <f t="shared" ref="L204:L267" si="69">I204-I203</f>
        <v>341.78800000000047</v>
      </c>
      <c r="M204" s="31">
        <f t="shared" ref="M204:M231" si="70">IF(D204*E204*5/10000&gt;5,D204*E204*5/10000,5)</f>
        <v>5</v>
      </c>
      <c r="N204" s="31">
        <f t="shared" ref="N204:N267" si="71">IF(C204="卖",D204*E204/1000,0)</f>
        <v>5.2119999999999997</v>
      </c>
      <c r="O204" s="125"/>
      <c r="P204" s="32">
        <f t="shared" ref="P204:P267" si="72">E204-G204</f>
        <v>9.8599513888888346</v>
      </c>
      <c r="Q204" s="31">
        <f t="shared" ref="Q204:Q267" si="73">(H204-H203)*-1</f>
        <v>5201.7879999999996</v>
      </c>
      <c r="R204" s="34"/>
      <c r="S204" s="34">
        <f t="shared" ref="S204:S267" si="74">S203+Q204+O204+R204</f>
        <v>139012.35700000002</v>
      </c>
      <c r="T204" s="34">
        <f t="shared" ref="T204:T267" si="75">S204/E204</f>
        <v>10668.638296239449</v>
      </c>
      <c r="U204" s="34">
        <f t="shared" si="60"/>
        <v>12468.638296239449</v>
      </c>
      <c r="V204" s="31">
        <f>H204+S204-SUM(AB$15:AB204)</f>
        <v>144218.4445000001</v>
      </c>
      <c r="W204" s="32">
        <f t="shared" ref="W204:W267" si="76">V204/U204</f>
        <v>11.566495159579414</v>
      </c>
      <c r="X204" s="32">
        <f t="shared" ref="X204:X267" si="77">W204-G204</f>
        <v>8.3964465484682513</v>
      </c>
      <c r="Y204" s="32">
        <f t="shared" ref="Y204:Y267" si="78">(X204-P204)*-1</f>
        <v>1.4635048404205833</v>
      </c>
      <c r="Z204" s="38">
        <f t="shared" ref="Z204:Z267" si="79">F204/U204</f>
        <v>0.1443621955528922</v>
      </c>
      <c r="AA204" s="31">
        <f>SUM(L$2:L204)-SUM(AB$2:AB204)</f>
        <v>13966.359000000037</v>
      </c>
      <c r="AB204" s="176"/>
      <c r="AC204" s="40">
        <f t="shared" si="61"/>
        <v>1361.3997347467312</v>
      </c>
      <c r="AD204" s="40">
        <f t="shared" si="62"/>
        <v>-438.60026525326884</v>
      </c>
    </row>
    <row r="205" spans="1:30" s="1" customFormat="1" x14ac:dyDescent="0.25">
      <c r="A205" s="174">
        <v>43000</v>
      </c>
      <c r="B205" s="268" t="s">
        <v>627</v>
      </c>
      <c r="C205" s="64" t="s">
        <v>69</v>
      </c>
      <c r="D205" s="64">
        <v>400</v>
      </c>
      <c r="E205" s="104">
        <v>12.98</v>
      </c>
      <c r="F205" s="102">
        <f t="shared" si="64"/>
        <v>1400</v>
      </c>
      <c r="G205" s="32">
        <f t="shared" si="63"/>
        <v>0.37448535714292508</v>
      </c>
      <c r="H205" s="31">
        <f t="shared" si="65"/>
        <v>524.27950000009514</v>
      </c>
      <c r="I205" s="31">
        <f t="shared" si="66"/>
        <v>17647.720499999905</v>
      </c>
      <c r="J205" s="175">
        <f t="shared" si="67"/>
        <v>33.660901294055371</v>
      </c>
      <c r="K205" s="31">
        <f t="shared" si="68"/>
        <v>18172</v>
      </c>
      <c r="L205" s="31">
        <f t="shared" si="69"/>
        <v>-100.1919999999991</v>
      </c>
      <c r="M205" s="31">
        <f t="shared" si="70"/>
        <v>5</v>
      </c>
      <c r="N205" s="31">
        <f t="shared" si="71"/>
        <v>5.1920000000000002</v>
      </c>
      <c r="O205" s="125"/>
      <c r="P205" s="32">
        <f t="shared" si="72"/>
        <v>12.605514642857075</v>
      </c>
      <c r="Q205" s="31">
        <f t="shared" si="73"/>
        <v>5181.808</v>
      </c>
      <c r="R205" s="34"/>
      <c r="S205" s="34">
        <f t="shared" si="74"/>
        <v>144194.16500000001</v>
      </c>
      <c r="T205" s="34">
        <f t="shared" si="75"/>
        <v>11108.949537750386</v>
      </c>
      <c r="U205" s="34">
        <f t="shared" si="60"/>
        <v>12508.949537750386</v>
      </c>
      <c r="V205" s="31">
        <f>H205+S205-SUM(AB$15:AB205)</f>
        <v>144218.4445000001</v>
      </c>
      <c r="W205" s="32">
        <f t="shared" si="76"/>
        <v>11.529221064068373</v>
      </c>
      <c r="X205" s="32">
        <f t="shared" si="77"/>
        <v>11.154735706925448</v>
      </c>
      <c r="Y205" s="32">
        <f t="shared" si="78"/>
        <v>1.450778935931627</v>
      </c>
      <c r="Z205" s="38">
        <f t="shared" si="79"/>
        <v>0.11191986951222256</v>
      </c>
      <c r="AA205" s="31">
        <f>SUM(L$2:L205)-SUM(AB$2:AB205)</f>
        <v>13866.167000000038</v>
      </c>
      <c r="AB205" s="176"/>
      <c r="AC205" s="40">
        <f t="shared" si="61"/>
        <v>1358.92886284668</v>
      </c>
      <c r="AD205" s="40">
        <f t="shared" si="62"/>
        <v>-41.071137153320024</v>
      </c>
    </row>
    <row r="206" spans="1:30" s="1" customFormat="1" ht="14.4" customHeight="1" x14ac:dyDescent="0.25">
      <c r="A206" s="174">
        <v>43003</v>
      </c>
      <c r="B206" s="159" t="s">
        <v>252</v>
      </c>
      <c r="C206" s="64" t="s">
        <v>63</v>
      </c>
      <c r="D206" s="64">
        <v>500</v>
      </c>
      <c r="E206" s="104">
        <v>12.7</v>
      </c>
      <c r="F206" s="102">
        <f t="shared" si="64"/>
        <v>1900</v>
      </c>
      <c r="G206" s="32">
        <f t="shared" si="63"/>
        <v>3.6206734210526816</v>
      </c>
      <c r="H206" s="31">
        <f t="shared" si="65"/>
        <v>6879.2795000000951</v>
      </c>
      <c r="I206" s="31">
        <f t="shared" si="66"/>
        <v>17250.720499999905</v>
      </c>
      <c r="J206" s="175">
        <f t="shared" si="67"/>
        <v>2.5076347748335657</v>
      </c>
      <c r="K206" s="31">
        <f t="shared" si="68"/>
        <v>24130</v>
      </c>
      <c r="L206" s="31">
        <f t="shared" si="69"/>
        <v>-397</v>
      </c>
      <c r="M206" s="31">
        <f t="shared" si="70"/>
        <v>5</v>
      </c>
      <c r="N206" s="31">
        <f t="shared" si="71"/>
        <v>0</v>
      </c>
      <c r="O206" s="125"/>
      <c r="P206" s="32">
        <f t="shared" si="72"/>
        <v>9.0793265789473168</v>
      </c>
      <c r="Q206" s="31">
        <f t="shared" si="73"/>
        <v>-6355</v>
      </c>
      <c r="R206" s="34"/>
      <c r="S206" s="34">
        <f t="shared" si="74"/>
        <v>137839.16500000001</v>
      </c>
      <c r="T206" s="34">
        <f t="shared" si="75"/>
        <v>10853.47755905512</v>
      </c>
      <c r="U206" s="34">
        <f t="shared" si="60"/>
        <v>12753.47755905512</v>
      </c>
      <c r="V206" s="31">
        <f>H206+S206-SUM(AB$15:AB206)</f>
        <v>144218.4445000001</v>
      </c>
      <c r="W206" s="32">
        <f t="shared" si="76"/>
        <v>11.308166249730318</v>
      </c>
      <c r="X206" s="32">
        <f t="shared" si="77"/>
        <v>7.6874928286776365</v>
      </c>
      <c r="Y206" s="32">
        <f t="shared" si="78"/>
        <v>1.3918337502696803</v>
      </c>
      <c r="Z206" s="38">
        <f t="shared" si="79"/>
        <v>0.14897897386826681</v>
      </c>
      <c r="AA206" s="31">
        <f>SUM(L$2:L206)-SUM(AB$2:AB206)</f>
        <v>13469.167000000038</v>
      </c>
      <c r="AB206" s="176"/>
      <c r="AC206" s="40">
        <f t="shared" si="61"/>
        <v>1357.6452865944809</v>
      </c>
      <c r="AD206" s="40">
        <f t="shared" si="62"/>
        <v>-542.35471340551908</v>
      </c>
    </row>
    <row r="207" spans="1:30" s="1" customFormat="1" ht="14.4" customHeight="1" x14ac:dyDescent="0.25">
      <c r="A207" s="174">
        <v>43003</v>
      </c>
      <c r="B207" s="159" t="s">
        <v>253</v>
      </c>
      <c r="C207" s="64" t="s">
        <v>63</v>
      </c>
      <c r="D207" s="64">
        <v>500</v>
      </c>
      <c r="E207" s="104">
        <v>12.53</v>
      </c>
      <c r="F207" s="102">
        <f t="shared" si="64"/>
        <v>2400</v>
      </c>
      <c r="G207" s="32">
        <f t="shared" si="63"/>
        <v>5.478866458333373</v>
      </c>
      <c r="H207" s="31">
        <f t="shared" si="65"/>
        <v>13149.279500000095</v>
      </c>
      <c r="I207" s="31">
        <f t="shared" si="66"/>
        <v>16922.720499999905</v>
      </c>
      <c r="J207" s="175">
        <f t="shared" si="67"/>
        <v>1.28696941151793</v>
      </c>
      <c r="K207" s="31">
        <f t="shared" si="68"/>
        <v>30072</v>
      </c>
      <c r="L207" s="31">
        <f t="shared" si="69"/>
        <v>-328</v>
      </c>
      <c r="M207" s="31">
        <f t="shared" si="70"/>
        <v>5</v>
      </c>
      <c r="N207" s="31">
        <f t="shared" si="71"/>
        <v>0</v>
      </c>
      <c r="O207" s="125"/>
      <c r="P207" s="32">
        <f t="shared" si="72"/>
        <v>7.0511335416666263</v>
      </c>
      <c r="Q207" s="31">
        <f t="shared" si="73"/>
        <v>-6270</v>
      </c>
      <c r="R207" s="34"/>
      <c r="S207" s="34">
        <f t="shared" si="74"/>
        <v>131569.16500000001</v>
      </c>
      <c r="T207" s="34">
        <f t="shared" si="75"/>
        <v>10500.332402234639</v>
      </c>
      <c r="U207" s="34">
        <f t="shared" si="60"/>
        <v>12900.332402234639</v>
      </c>
      <c r="V207" s="31">
        <f>H207+S207-SUM(AB$15:AB207)</f>
        <v>144218.4445000001</v>
      </c>
      <c r="W207" s="32">
        <f t="shared" si="76"/>
        <v>11.179436312433166</v>
      </c>
      <c r="X207" s="32">
        <f t="shared" si="77"/>
        <v>5.7005698540997933</v>
      </c>
      <c r="Y207" s="32">
        <f t="shared" si="78"/>
        <v>1.350563687566833</v>
      </c>
      <c r="Z207" s="38">
        <f t="shared" si="79"/>
        <v>0.18604171777653294</v>
      </c>
      <c r="AA207" s="31">
        <f>SUM(L$2:L207)-SUM(AB$2:AB207)</f>
        <v>13141.167000000038</v>
      </c>
      <c r="AB207" s="176"/>
      <c r="AC207" s="40">
        <f t="shared" si="61"/>
        <v>1349.9009688547412</v>
      </c>
      <c r="AD207" s="40">
        <f t="shared" si="62"/>
        <v>-1050.0990311452588</v>
      </c>
    </row>
    <row r="208" spans="1:30" s="1" customFormat="1" ht="14.4" customHeight="1" x14ac:dyDescent="0.25">
      <c r="A208" s="174">
        <v>43003</v>
      </c>
      <c r="B208" s="159" t="s">
        <v>254</v>
      </c>
      <c r="C208" s="64" t="s">
        <v>63</v>
      </c>
      <c r="D208" s="64">
        <v>500</v>
      </c>
      <c r="E208" s="104">
        <v>12.33</v>
      </c>
      <c r="F208" s="102">
        <f t="shared" si="64"/>
        <v>2900</v>
      </c>
      <c r="G208" s="32">
        <f t="shared" si="63"/>
        <v>6.661820517241412</v>
      </c>
      <c r="H208" s="31">
        <f t="shared" si="65"/>
        <v>19319.279500000095</v>
      </c>
      <c r="I208" s="31">
        <f t="shared" si="66"/>
        <v>16437.720499999905</v>
      </c>
      <c r="J208" s="175">
        <f t="shared" si="67"/>
        <v>0.85084542102099747</v>
      </c>
      <c r="K208" s="31">
        <f t="shared" si="68"/>
        <v>35757</v>
      </c>
      <c r="L208" s="31">
        <f t="shared" si="69"/>
        <v>-485</v>
      </c>
      <c r="M208" s="31">
        <f t="shared" si="70"/>
        <v>5</v>
      </c>
      <c r="N208" s="31">
        <f t="shared" si="71"/>
        <v>0</v>
      </c>
      <c r="O208" s="125">
        <v>-3.2</v>
      </c>
      <c r="P208" s="32">
        <f t="shared" si="72"/>
        <v>5.6681794827585881</v>
      </c>
      <c r="Q208" s="31">
        <f t="shared" si="73"/>
        <v>-6170</v>
      </c>
      <c r="R208" s="34"/>
      <c r="S208" s="34">
        <f t="shared" si="74"/>
        <v>125395.96500000001</v>
      </c>
      <c r="T208" s="34">
        <f t="shared" si="75"/>
        <v>10169.989051094892</v>
      </c>
      <c r="U208" s="34">
        <f t="shared" si="60"/>
        <v>13069.989051094892</v>
      </c>
      <c r="V208" s="31">
        <f>H208+S208-SUM(AB$15:AB208)</f>
        <v>144215.24450000012</v>
      </c>
      <c r="W208" s="32">
        <f t="shared" si="76"/>
        <v>11.034075387226052</v>
      </c>
      <c r="X208" s="32">
        <f t="shared" si="77"/>
        <v>4.3722548699846397</v>
      </c>
      <c r="Y208" s="32">
        <f t="shared" si="78"/>
        <v>1.2959246127739483</v>
      </c>
      <c r="Z208" s="38">
        <f t="shared" si="79"/>
        <v>0.22188235878874457</v>
      </c>
      <c r="AA208" s="31">
        <f>SUM(L$2:L208)-SUM(AB$2:AB208)</f>
        <v>12656.167000000038</v>
      </c>
      <c r="AB208" s="176"/>
      <c r="AC208" s="40">
        <f t="shared" si="61"/>
        <v>1332.4818848134555</v>
      </c>
      <c r="AD208" s="40">
        <f t="shared" si="62"/>
        <v>-1567.5181151865445</v>
      </c>
    </row>
    <row r="209" spans="1:30" s="1" customFormat="1" ht="14.4" customHeight="1" x14ac:dyDescent="0.25">
      <c r="A209" s="174">
        <v>43003</v>
      </c>
      <c r="B209" s="159" t="s">
        <v>255</v>
      </c>
      <c r="C209" s="64" t="s">
        <v>63</v>
      </c>
      <c r="D209" s="64">
        <v>500</v>
      </c>
      <c r="E209" s="104">
        <v>12.19</v>
      </c>
      <c r="F209" s="102">
        <f t="shared" si="64"/>
        <v>3400</v>
      </c>
      <c r="G209" s="32">
        <f t="shared" si="63"/>
        <v>7.4753175000000276</v>
      </c>
      <c r="H209" s="31">
        <f t="shared" si="65"/>
        <v>25416.079500000094</v>
      </c>
      <c r="I209" s="31">
        <f t="shared" si="66"/>
        <v>16029.920499999906</v>
      </c>
      <c r="J209" s="175">
        <f t="shared" si="67"/>
        <v>0.63069996692447572</v>
      </c>
      <c r="K209" s="31">
        <f t="shared" si="68"/>
        <v>41446</v>
      </c>
      <c r="L209" s="31">
        <f t="shared" si="69"/>
        <v>-407.79999999999927</v>
      </c>
      <c r="M209" s="31">
        <f t="shared" si="70"/>
        <v>5</v>
      </c>
      <c r="N209" s="31">
        <f t="shared" si="71"/>
        <v>0</v>
      </c>
      <c r="O209" s="125"/>
      <c r="P209" s="32">
        <f t="shared" si="72"/>
        <v>4.7146824999999719</v>
      </c>
      <c r="Q209" s="31">
        <f t="shared" si="73"/>
        <v>-6096.7999999999993</v>
      </c>
      <c r="R209" s="34"/>
      <c r="S209" s="34">
        <f t="shared" si="74"/>
        <v>119299.16500000001</v>
      </c>
      <c r="T209" s="34">
        <f t="shared" si="75"/>
        <v>9786.6419196062361</v>
      </c>
      <c r="U209" s="34">
        <f t="shared" si="60"/>
        <v>13186.641919606236</v>
      </c>
      <c r="V209" s="31">
        <f>H209+S209-SUM(AB$15:AB209)</f>
        <v>144215.24450000009</v>
      </c>
      <c r="W209" s="32">
        <f t="shared" si="76"/>
        <v>10.936464748131</v>
      </c>
      <c r="X209" s="32">
        <f t="shared" si="77"/>
        <v>3.4611472481309722</v>
      </c>
      <c r="Y209" s="32">
        <f t="shared" si="78"/>
        <v>1.2535352518689997</v>
      </c>
      <c r="Z209" s="38">
        <f t="shared" si="79"/>
        <v>0.25783668205510252</v>
      </c>
      <c r="AA209" s="31">
        <f>SUM(L$2:L209)-SUM(AB$2:AB209)</f>
        <v>12248.367000000038</v>
      </c>
      <c r="AB209" s="176"/>
      <c r="AC209" s="40">
        <f t="shared" si="61"/>
        <v>1314.348280537318</v>
      </c>
      <c r="AD209" s="40">
        <f t="shared" si="62"/>
        <v>-2085.6517194626822</v>
      </c>
    </row>
    <row r="210" spans="1:30" s="1" customFormat="1" x14ac:dyDescent="0.25">
      <c r="A210" s="174">
        <v>43003</v>
      </c>
      <c r="B210" s="159"/>
      <c r="C210" s="64" t="s">
        <v>69</v>
      </c>
      <c r="D210" s="64">
        <v>400</v>
      </c>
      <c r="E210" s="104">
        <v>12.32</v>
      </c>
      <c r="F210" s="102">
        <f t="shared" si="64"/>
        <v>3000</v>
      </c>
      <c r="G210" s="32">
        <f t="shared" si="63"/>
        <v>6.8326691666666983</v>
      </c>
      <c r="H210" s="31">
        <f t="shared" si="65"/>
        <v>20498.007500000094</v>
      </c>
      <c r="I210" s="31">
        <f t="shared" si="66"/>
        <v>16461.992499999906</v>
      </c>
      <c r="J210" s="175">
        <f t="shared" si="67"/>
        <v>0.80310208199503441</v>
      </c>
      <c r="K210" s="31">
        <f t="shared" si="68"/>
        <v>36960</v>
      </c>
      <c r="L210" s="31">
        <f t="shared" si="69"/>
        <v>432.07200000000012</v>
      </c>
      <c r="M210" s="31">
        <f t="shared" si="70"/>
        <v>5</v>
      </c>
      <c r="N210" s="31">
        <f t="shared" si="71"/>
        <v>4.9279999999999999</v>
      </c>
      <c r="O210" s="125"/>
      <c r="P210" s="32">
        <f t="shared" si="72"/>
        <v>5.487330833333302</v>
      </c>
      <c r="Q210" s="31">
        <f t="shared" si="73"/>
        <v>4918.0720000000001</v>
      </c>
      <c r="R210" s="34"/>
      <c r="S210" s="34">
        <f t="shared" si="74"/>
        <v>124217.23700000001</v>
      </c>
      <c r="T210" s="34">
        <f t="shared" si="75"/>
        <v>10082.567938311689</v>
      </c>
      <c r="U210" s="34">
        <f t="shared" si="60"/>
        <v>13082.567938311689</v>
      </c>
      <c r="V210" s="31">
        <f>H210+S210-SUM(AB$15:AB210)</f>
        <v>144215.24450000009</v>
      </c>
      <c r="W210" s="32">
        <f t="shared" si="76"/>
        <v>11.023466125306522</v>
      </c>
      <c r="X210" s="32">
        <f t="shared" si="77"/>
        <v>4.1907969586398233</v>
      </c>
      <c r="Y210" s="32">
        <f t="shared" si="78"/>
        <v>1.2965338746934787</v>
      </c>
      <c r="Z210" s="38">
        <f t="shared" si="79"/>
        <v>0.22931277820577106</v>
      </c>
      <c r="AA210" s="31">
        <f>SUM(L$2:L210)-SUM(AB$2:AB210)</f>
        <v>12680.439000000039</v>
      </c>
      <c r="AB210" s="176"/>
      <c r="AC210" s="40">
        <f t="shared" si="61"/>
        <v>1335.5325895900899</v>
      </c>
      <c r="AD210" s="40">
        <f t="shared" si="62"/>
        <v>-1664.4674104099101</v>
      </c>
    </row>
    <row r="211" spans="1:30" s="1" customFormat="1" ht="14.4" customHeight="1" x14ac:dyDescent="0.25">
      <c r="A211" s="174">
        <v>43003</v>
      </c>
      <c r="B211" s="159" t="s">
        <v>256</v>
      </c>
      <c r="C211" s="64" t="s">
        <v>63</v>
      </c>
      <c r="D211" s="64">
        <v>500</v>
      </c>
      <c r="E211" s="104">
        <v>12.21</v>
      </c>
      <c r="F211" s="102">
        <f t="shared" si="64"/>
        <v>3500</v>
      </c>
      <c r="G211" s="32">
        <f t="shared" si="63"/>
        <v>7.6022878571428842</v>
      </c>
      <c r="H211" s="31">
        <f t="shared" si="65"/>
        <v>26608.007500000094</v>
      </c>
      <c r="I211" s="31">
        <f t="shared" si="66"/>
        <v>16126.992499999906</v>
      </c>
      <c r="J211" s="175">
        <f t="shared" si="67"/>
        <v>0.60609545829389333</v>
      </c>
      <c r="K211" s="31">
        <f t="shared" si="68"/>
        <v>42735</v>
      </c>
      <c r="L211" s="31">
        <f t="shared" si="69"/>
        <v>-335</v>
      </c>
      <c r="M211" s="31">
        <f t="shared" si="70"/>
        <v>5</v>
      </c>
      <c r="N211" s="31">
        <f t="shared" si="71"/>
        <v>0</v>
      </c>
      <c r="O211" s="125"/>
      <c r="P211" s="32">
        <f t="shared" si="72"/>
        <v>4.6077121428571166</v>
      </c>
      <c r="Q211" s="31">
        <f t="shared" si="73"/>
        <v>-6110</v>
      </c>
      <c r="R211" s="34"/>
      <c r="S211" s="34">
        <f t="shared" si="74"/>
        <v>118107.23700000001</v>
      </c>
      <c r="T211" s="34">
        <f t="shared" si="75"/>
        <v>9672.9923832923832</v>
      </c>
      <c r="U211" s="34">
        <f t="shared" si="60"/>
        <v>13172.992383292383</v>
      </c>
      <c r="V211" s="31">
        <f>H211+S211-SUM(AB$15:AB211)</f>
        <v>144215.24450000009</v>
      </c>
      <c r="W211" s="32">
        <f t="shared" si="76"/>
        <v>10.947796848566593</v>
      </c>
      <c r="X211" s="32">
        <f t="shared" si="77"/>
        <v>3.3455089914237091</v>
      </c>
      <c r="Y211" s="32">
        <f t="shared" si="78"/>
        <v>1.2622031514334076</v>
      </c>
      <c r="Z211" s="38">
        <f t="shared" si="79"/>
        <v>0.26569513578700105</v>
      </c>
      <c r="AA211" s="31">
        <f>SUM(L$2:L211)-SUM(AB$2:AB211)</f>
        <v>12345.439000000039</v>
      </c>
      <c r="AB211" s="176"/>
      <c r="AC211" s="40">
        <f t="shared" si="61"/>
        <v>1320.141605548723</v>
      </c>
      <c r="AD211" s="40">
        <f t="shared" si="62"/>
        <v>-2179.858394451277</v>
      </c>
    </row>
    <row r="212" spans="1:30" s="1" customFormat="1" ht="14.4" customHeight="1" x14ac:dyDescent="0.25">
      <c r="A212" s="174">
        <v>43003</v>
      </c>
      <c r="B212" s="159" t="s">
        <v>257</v>
      </c>
      <c r="C212" s="64" t="s">
        <v>63</v>
      </c>
      <c r="D212" s="64">
        <v>500</v>
      </c>
      <c r="E212" s="104">
        <v>12.09</v>
      </c>
      <c r="F212" s="102">
        <f t="shared" si="64"/>
        <v>4000</v>
      </c>
      <c r="G212" s="32">
        <f t="shared" si="63"/>
        <v>8.164501875000024</v>
      </c>
      <c r="H212" s="31">
        <f t="shared" si="65"/>
        <v>32658.007500000094</v>
      </c>
      <c r="I212" s="31">
        <f t="shared" si="66"/>
        <v>15701.992499999906</v>
      </c>
      <c r="J212" s="175">
        <f t="shared" si="67"/>
        <v>0.48080068877441029</v>
      </c>
      <c r="K212" s="31">
        <f t="shared" si="68"/>
        <v>48360</v>
      </c>
      <c r="L212" s="31">
        <f t="shared" si="69"/>
        <v>-425</v>
      </c>
      <c r="M212" s="31">
        <f t="shared" si="70"/>
        <v>5</v>
      </c>
      <c r="N212" s="31">
        <f t="shared" si="71"/>
        <v>0</v>
      </c>
      <c r="O212" s="125"/>
      <c r="P212" s="32">
        <f t="shared" si="72"/>
        <v>3.9254981249999759</v>
      </c>
      <c r="Q212" s="31">
        <f t="shared" si="73"/>
        <v>-6050</v>
      </c>
      <c r="R212" s="34"/>
      <c r="S212" s="34">
        <f t="shared" si="74"/>
        <v>112057.23700000001</v>
      </c>
      <c r="T212" s="34">
        <f t="shared" si="75"/>
        <v>9268.5886683209264</v>
      </c>
      <c r="U212" s="34">
        <f t="shared" si="60"/>
        <v>13268.588668320926</v>
      </c>
      <c r="V212" s="31">
        <f>H212+S212-SUM(AB$15:AB212)</f>
        <v>144215.24450000009</v>
      </c>
      <c r="W212" s="32">
        <f t="shared" si="76"/>
        <v>10.868921187097875</v>
      </c>
      <c r="X212" s="32">
        <f t="shared" si="77"/>
        <v>2.7044193120978512</v>
      </c>
      <c r="Y212" s="32">
        <f t="shared" si="78"/>
        <v>1.2210788129021246</v>
      </c>
      <c r="Z212" s="38">
        <f t="shared" si="79"/>
        <v>0.30146386326302327</v>
      </c>
      <c r="AA212" s="31">
        <f>SUM(L$2:L212)-SUM(AB$2:AB212)</f>
        <v>11920.439000000039</v>
      </c>
      <c r="AB212" s="176"/>
      <c r="AC212" s="40">
        <f t="shared" si="61"/>
        <v>1298.109305521084</v>
      </c>
      <c r="AD212" s="40">
        <f t="shared" si="62"/>
        <v>-2701.890694478916</v>
      </c>
    </row>
    <row r="213" spans="1:30" s="1" customFormat="1" ht="14.4" customHeight="1" x14ac:dyDescent="0.25">
      <c r="A213" s="174">
        <v>43003</v>
      </c>
      <c r="B213" s="159" t="s">
        <v>258</v>
      </c>
      <c r="C213" s="64" t="s">
        <v>63</v>
      </c>
      <c r="D213" s="64">
        <v>500</v>
      </c>
      <c r="E213" s="104">
        <v>12.03</v>
      </c>
      <c r="F213" s="102">
        <f t="shared" si="64"/>
        <v>4500</v>
      </c>
      <c r="G213" s="32">
        <f t="shared" si="63"/>
        <v>8.595112777777798</v>
      </c>
      <c r="H213" s="31">
        <f t="shared" si="65"/>
        <v>38678.007500000094</v>
      </c>
      <c r="I213" s="31">
        <f t="shared" si="66"/>
        <v>15456.992499999906</v>
      </c>
      <c r="J213" s="175">
        <f t="shared" si="67"/>
        <v>0.39963259482794894</v>
      </c>
      <c r="K213" s="31">
        <f t="shared" si="68"/>
        <v>54135</v>
      </c>
      <c r="L213" s="31">
        <f t="shared" si="69"/>
        <v>-245</v>
      </c>
      <c r="M213" s="31">
        <f t="shared" si="70"/>
        <v>5</v>
      </c>
      <c r="N213" s="31">
        <f t="shared" si="71"/>
        <v>0</v>
      </c>
      <c r="O213" s="125"/>
      <c r="P213" s="32">
        <f t="shared" si="72"/>
        <v>3.4348872222222013</v>
      </c>
      <c r="Q213" s="31">
        <f t="shared" si="73"/>
        <v>-6020</v>
      </c>
      <c r="R213" s="34"/>
      <c r="S213" s="34">
        <f t="shared" si="74"/>
        <v>106037.23700000001</v>
      </c>
      <c r="T213" s="34">
        <f t="shared" si="75"/>
        <v>8814.4004156275987</v>
      </c>
      <c r="U213" s="34">
        <f t="shared" si="60"/>
        <v>13314.400415627599</v>
      </c>
      <c r="V213" s="31">
        <f>H213+S213-SUM(AB$15:AB213)</f>
        <v>144215.24450000009</v>
      </c>
      <c r="W213" s="32">
        <f t="shared" si="76"/>
        <v>10.831523763603307</v>
      </c>
      <c r="X213" s="32">
        <f t="shared" si="77"/>
        <v>2.2364109858255095</v>
      </c>
      <c r="Y213" s="32">
        <f t="shared" si="78"/>
        <v>1.1984762363966919</v>
      </c>
      <c r="Z213" s="38">
        <f t="shared" si="79"/>
        <v>0.3379799209522184</v>
      </c>
      <c r="AA213" s="31">
        <f>SUM(L$2:L213)-SUM(AB$2:AB213)</f>
        <v>11675.439000000039</v>
      </c>
      <c r="AB213" s="176"/>
      <c r="AC213" s="40">
        <f t="shared" si="61"/>
        <v>1284.2280967373158</v>
      </c>
      <c r="AD213" s="40">
        <f t="shared" si="62"/>
        <v>-3215.7719032626842</v>
      </c>
    </row>
    <row r="214" spans="1:30" s="1" customFormat="1" ht="14.4" customHeight="1" x14ac:dyDescent="0.25">
      <c r="A214" s="174">
        <v>43004</v>
      </c>
      <c r="B214" s="159" t="s">
        <v>259</v>
      </c>
      <c r="C214" s="64" t="s">
        <v>63</v>
      </c>
      <c r="D214" s="64">
        <v>500</v>
      </c>
      <c r="E214" s="104">
        <v>11.94</v>
      </c>
      <c r="F214" s="102">
        <f t="shared" si="64"/>
        <v>5000</v>
      </c>
      <c r="G214" s="32">
        <f t="shared" si="63"/>
        <v>8.9306015000000194</v>
      </c>
      <c r="H214" s="31">
        <f t="shared" si="65"/>
        <v>44653.007500000094</v>
      </c>
      <c r="I214" s="31">
        <f t="shared" si="66"/>
        <v>15046.992499999906</v>
      </c>
      <c r="J214" s="175">
        <f t="shared" si="67"/>
        <v>0.33697601443754638</v>
      </c>
      <c r="K214" s="31">
        <f t="shared" si="68"/>
        <v>59700</v>
      </c>
      <c r="L214" s="31">
        <f t="shared" si="69"/>
        <v>-410</v>
      </c>
      <c r="M214" s="31">
        <f t="shared" si="70"/>
        <v>5</v>
      </c>
      <c r="N214" s="31">
        <f t="shared" si="71"/>
        <v>0</v>
      </c>
      <c r="O214" s="125"/>
      <c r="P214" s="32">
        <f t="shared" si="72"/>
        <v>3.0093984999999801</v>
      </c>
      <c r="Q214" s="31">
        <f t="shared" si="73"/>
        <v>-5975</v>
      </c>
      <c r="R214" s="34"/>
      <c r="S214" s="34">
        <f t="shared" si="74"/>
        <v>100062.23700000001</v>
      </c>
      <c r="T214" s="34">
        <f t="shared" si="75"/>
        <v>8380.4218592964826</v>
      </c>
      <c r="U214" s="34">
        <f t="shared" si="60"/>
        <v>13380.421859296483</v>
      </c>
      <c r="V214" s="31">
        <f>H214+S214-SUM(AB$15:AB214)</f>
        <v>144215.24450000009</v>
      </c>
      <c r="W214" s="32">
        <f t="shared" si="76"/>
        <v>10.778079048367362</v>
      </c>
      <c r="X214" s="32">
        <f t="shared" si="77"/>
        <v>1.8474775483673422</v>
      </c>
      <c r="Y214" s="32">
        <f t="shared" si="78"/>
        <v>1.1619209516326379</v>
      </c>
      <c r="Z214" s="38">
        <f t="shared" si="79"/>
        <v>0.37368029592625196</v>
      </c>
      <c r="AA214" s="31">
        <f>SUM(L$2:L214)-SUM(AB$2:AB214)</f>
        <v>11265.439000000039</v>
      </c>
      <c r="AB214" s="176"/>
      <c r="AC214" s="40">
        <f t="shared" si="61"/>
        <v>1259.5870187395233</v>
      </c>
      <c r="AD214" s="40">
        <f t="shared" si="62"/>
        <v>-3740.412981260477</v>
      </c>
    </row>
    <row r="215" spans="1:30" s="1" customFormat="1" x14ac:dyDescent="0.25">
      <c r="A215" s="174">
        <v>43004</v>
      </c>
      <c r="B215" s="159"/>
      <c r="C215" s="64" t="s">
        <v>69</v>
      </c>
      <c r="D215" s="64">
        <v>400</v>
      </c>
      <c r="E215" s="104">
        <v>12.08</v>
      </c>
      <c r="F215" s="102">
        <f t="shared" si="64"/>
        <v>4600</v>
      </c>
      <c r="G215" s="32">
        <f t="shared" si="63"/>
        <v>8.6588781521739335</v>
      </c>
      <c r="H215" s="31">
        <f t="shared" si="65"/>
        <v>39830.839500000096</v>
      </c>
      <c r="I215" s="31">
        <f t="shared" si="66"/>
        <v>15737.160499999904</v>
      </c>
      <c r="J215" s="175">
        <f t="shared" si="67"/>
        <v>0.39509989489425318</v>
      </c>
      <c r="K215" s="31">
        <f t="shared" si="68"/>
        <v>55568</v>
      </c>
      <c r="L215" s="31">
        <f t="shared" si="69"/>
        <v>690.16799999999785</v>
      </c>
      <c r="M215" s="31">
        <f t="shared" si="70"/>
        <v>5</v>
      </c>
      <c r="N215" s="31">
        <f t="shared" si="71"/>
        <v>4.8319999999999999</v>
      </c>
      <c r="O215" s="125"/>
      <c r="P215" s="32">
        <f t="shared" si="72"/>
        <v>3.4211218478260665</v>
      </c>
      <c r="Q215" s="31">
        <f t="shared" si="73"/>
        <v>4822.1679999999978</v>
      </c>
      <c r="R215" s="34"/>
      <c r="S215" s="34">
        <f t="shared" si="74"/>
        <v>104884.405</v>
      </c>
      <c r="T215" s="34">
        <f t="shared" si="75"/>
        <v>8682.4838576158945</v>
      </c>
      <c r="U215" s="34">
        <f t="shared" si="60"/>
        <v>13282.483857615895</v>
      </c>
      <c r="V215" s="31">
        <f>H215+S215-SUM(AB$15:AB215)</f>
        <v>144215.24450000009</v>
      </c>
      <c r="W215" s="32">
        <f t="shared" si="76"/>
        <v>10.857550895295095</v>
      </c>
      <c r="X215" s="32">
        <f t="shared" si="77"/>
        <v>2.1986727431211612</v>
      </c>
      <c r="Y215" s="32">
        <f t="shared" si="78"/>
        <v>1.2224491047049053</v>
      </c>
      <c r="Z215" s="38">
        <f t="shared" si="79"/>
        <v>0.34632076720819482</v>
      </c>
      <c r="AA215" s="31">
        <f>SUM(L$2:L215)-SUM(AB$2:AB215)</f>
        <v>11955.607000000036</v>
      </c>
      <c r="AB215" s="176"/>
      <c r="AC215" s="40">
        <f t="shared" si="61"/>
        <v>1302.0937019660516</v>
      </c>
      <c r="AD215" s="40">
        <f t="shared" si="62"/>
        <v>-3297.9062980339486</v>
      </c>
    </row>
    <row r="216" spans="1:30" s="1" customFormat="1" x14ac:dyDescent="0.25">
      <c r="A216" s="174">
        <v>43004</v>
      </c>
      <c r="B216" s="159"/>
      <c r="C216" s="64" t="s">
        <v>69</v>
      </c>
      <c r="D216" s="64">
        <v>400</v>
      </c>
      <c r="E216" s="104">
        <v>12.15</v>
      </c>
      <c r="F216" s="102">
        <f t="shared" si="64"/>
        <v>4200</v>
      </c>
      <c r="G216" s="32">
        <f t="shared" si="63"/>
        <v>8.3287379761904994</v>
      </c>
      <c r="H216" s="31">
        <f t="shared" si="65"/>
        <v>34980.699500000097</v>
      </c>
      <c r="I216" s="31">
        <f t="shared" si="66"/>
        <v>16049.300499999903</v>
      </c>
      <c r="J216" s="175">
        <f t="shared" si="67"/>
        <v>0.45880444729242364</v>
      </c>
      <c r="K216" s="31">
        <f t="shared" si="68"/>
        <v>51030</v>
      </c>
      <c r="L216" s="31">
        <f t="shared" si="69"/>
        <v>312.13999999999942</v>
      </c>
      <c r="M216" s="31">
        <f t="shared" si="70"/>
        <v>5</v>
      </c>
      <c r="N216" s="31">
        <f t="shared" si="71"/>
        <v>4.8600000000000003</v>
      </c>
      <c r="O216" s="125"/>
      <c r="P216" s="32">
        <f t="shared" si="72"/>
        <v>3.821262023809501</v>
      </c>
      <c r="Q216" s="31">
        <f t="shared" si="73"/>
        <v>4850.1399999999994</v>
      </c>
      <c r="R216" s="34"/>
      <c r="S216" s="34">
        <f t="shared" si="74"/>
        <v>109734.545</v>
      </c>
      <c r="T216" s="34">
        <f t="shared" si="75"/>
        <v>9031.6497942386832</v>
      </c>
      <c r="U216" s="34">
        <f t="shared" si="60"/>
        <v>13231.649794238683</v>
      </c>
      <c r="V216" s="31">
        <f>H216+S216-SUM(AB$15:AB216)</f>
        <v>144215.24450000009</v>
      </c>
      <c r="W216" s="32">
        <f t="shared" si="76"/>
        <v>10.899264017915151</v>
      </c>
      <c r="X216" s="32">
        <f t="shared" si="77"/>
        <v>2.5705260417246514</v>
      </c>
      <c r="Y216" s="32">
        <f t="shared" si="78"/>
        <v>1.2507359820848496</v>
      </c>
      <c r="Z216" s="38">
        <f t="shared" si="79"/>
        <v>0.31742073477706167</v>
      </c>
      <c r="AA216" s="31">
        <f>SUM(L$2:L216)-SUM(AB$2:AB216)</f>
        <v>12267.747000000036</v>
      </c>
      <c r="AB216" s="176"/>
      <c r="AC216" s="40">
        <f t="shared" si="61"/>
        <v>1320.2696172633664</v>
      </c>
      <c r="AD216" s="40">
        <f t="shared" si="62"/>
        <v>-2879.7303827366336</v>
      </c>
    </row>
    <row r="217" spans="1:30" s="1" customFormat="1" x14ac:dyDescent="0.25">
      <c r="A217" s="174">
        <v>43004</v>
      </c>
      <c r="B217" s="159"/>
      <c r="C217" s="64" t="s">
        <v>69</v>
      </c>
      <c r="D217" s="64">
        <v>400</v>
      </c>
      <c r="E217" s="104">
        <v>12.2</v>
      </c>
      <c r="F217" s="102">
        <f t="shared" si="64"/>
        <v>3800</v>
      </c>
      <c r="G217" s="32">
        <f t="shared" si="63"/>
        <v>7.9238367105263414</v>
      </c>
      <c r="H217" s="31">
        <f t="shared" si="65"/>
        <v>30110.579500000098</v>
      </c>
      <c r="I217" s="31">
        <f t="shared" si="66"/>
        <v>16249.420499999902</v>
      </c>
      <c r="J217" s="175">
        <f t="shared" si="67"/>
        <v>0.53965817894670032</v>
      </c>
      <c r="K217" s="31">
        <f t="shared" si="68"/>
        <v>46360</v>
      </c>
      <c r="L217" s="31">
        <f t="shared" si="69"/>
        <v>200.11999999999898</v>
      </c>
      <c r="M217" s="31">
        <f t="shared" si="70"/>
        <v>5</v>
      </c>
      <c r="N217" s="31">
        <f t="shared" si="71"/>
        <v>4.88</v>
      </c>
      <c r="O217" s="125"/>
      <c r="P217" s="32">
        <f t="shared" si="72"/>
        <v>4.2761632894736579</v>
      </c>
      <c r="Q217" s="31">
        <f t="shared" si="73"/>
        <v>4870.119999999999</v>
      </c>
      <c r="R217" s="34"/>
      <c r="S217" s="34">
        <f t="shared" si="74"/>
        <v>114604.66499999999</v>
      </c>
      <c r="T217" s="34">
        <f t="shared" si="75"/>
        <v>9393.8250000000007</v>
      </c>
      <c r="U217" s="34">
        <f t="shared" si="60"/>
        <v>13193.825000000001</v>
      </c>
      <c r="V217" s="31">
        <f>H217+S217-SUM(AB$15:AB217)</f>
        <v>144215.24450000009</v>
      </c>
      <c r="W217" s="32">
        <f t="shared" si="76"/>
        <v>10.93051063660463</v>
      </c>
      <c r="X217" s="32">
        <f t="shared" si="77"/>
        <v>3.0066739260782889</v>
      </c>
      <c r="Y217" s="32">
        <f t="shared" si="78"/>
        <v>1.269489363395369</v>
      </c>
      <c r="Z217" s="38">
        <f t="shared" si="79"/>
        <v>0.28801352147690301</v>
      </c>
      <c r="AA217" s="31">
        <f>SUM(L$2:L217)-SUM(AB$2:AB217)</f>
        <v>12467.867000000035</v>
      </c>
      <c r="AB217" s="176"/>
      <c r="AC217" s="40">
        <f t="shared" si="61"/>
        <v>1331.2537532581889</v>
      </c>
      <c r="AD217" s="40">
        <f t="shared" si="62"/>
        <v>-2468.7462467418109</v>
      </c>
    </row>
    <row r="218" spans="1:30" s="1" customFormat="1" x14ac:dyDescent="0.25">
      <c r="A218" s="174">
        <v>43004</v>
      </c>
      <c r="B218" s="159" t="s">
        <v>260</v>
      </c>
      <c r="C218" s="64" t="s">
        <v>63</v>
      </c>
      <c r="D218" s="64">
        <v>500</v>
      </c>
      <c r="E218" s="104">
        <v>12.07</v>
      </c>
      <c r="F218" s="102">
        <f t="shared" si="64"/>
        <v>4300</v>
      </c>
      <c r="G218" s="32">
        <f t="shared" si="63"/>
        <v>8.4071115116279298</v>
      </c>
      <c r="H218" s="31">
        <f t="shared" si="65"/>
        <v>36150.579500000094</v>
      </c>
      <c r="I218" s="31">
        <f t="shared" si="66"/>
        <v>15750.420499999906</v>
      </c>
      <c r="J218" s="175">
        <f t="shared" si="67"/>
        <v>0.43568929510521015</v>
      </c>
      <c r="K218" s="31">
        <f t="shared" si="68"/>
        <v>51901</v>
      </c>
      <c r="L218" s="31">
        <f t="shared" si="69"/>
        <v>-498.99999999999636</v>
      </c>
      <c r="M218" s="31">
        <f t="shared" si="70"/>
        <v>5</v>
      </c>
      <c r="N218" s="31">
        <f t="shared" si="71"/>
        <v>0</v>
      </c>
      <c r="O218" s="125"/>
      <c r="P218" s="32">
        <f t="shared" si="72"/>
        <v>3.6628884883720705</v>
      </c>
      <c r="Q218" s="31">
        <f t="shared" si="73"/>
        <v>-6039.9999999999964</v>
      </c>
      <c r="R218" s="34"/>
      <c r="S218" s="34">
        <f t="shared" si="74"/>
        <v>108564.66499999999</v>
      </c>
      <c r="T218" s="34">
        <f t="shared" si="75"/>
        <v>8994.5869925434963</v>
      </c>
      <c r="U218" s="34">
        <f t="shared" si="60"/>
        <v>13294.586992543496</v>
      </c>
      <c r="V218" s="31">
        <f>H218+S218-SUM(AB$15:AB218)</f>
        <v>144215.24450000009</v>
      </c>
      <c r="W218" s="32">
        <f t="shared" si="76"/>
        <v>10.847666390906747</v>
      </c>
      <c r="X218" s="32">
        <f t="shared" si="77"/>
        <v>2.4405548792788174</v>
      </c>
      <c r="Y218" s="32">
        <f t="shared" si="78"/>
        <v>1.2223336090932531</v>
      </c>
      <c r="Z218" s="38">
        <f t="shared" si="79"/>
        <v>0.3234399084688927</v>
      </c>
      <c r="AA218" s="31">
        <f>SUM(L$2:L218)-SUM(AB$2:AB218)</f>
        <v>11968.867000000038</v>
      </c>
      <c r="AB218" s="176"/>
      <c r="AC218" s="40">
        <f t="shared" si="61"/>
        <v>1304.2705293910444</v>
      </c>
      <c r="AD218" s="40">
        <f t="shared" si="62"/>
        <v>-2995.7294706089556</v>
      </c>
    </row>
    <row r="219" spans="1:30" s="1" customFormat="1" x14ac:dyDescent="0.25">
      <c r="A219" s="174">
        <v>43004</v>
      </c>
      <c r="B219" s="159"/>
      <c r="C219" s="64" t="s">
        <v>69</v>
      </c>
      <c r="D219" s="64">
        <v>400</v>
      </c>
      <c r="E219" s="104">
        <v>12.14</v>
      </c>
      <c r="F219" s="102">
        <f t="shared" si="64"/>
        <v>3900</v>
      </c>
      <c r="G219" s="32">
        <f t="shared" si="63"/>
        <v>8.0267783333333576</v>
      </c>
      <c r="H219" s="31">
        <f t="shared" si="65"/>
        <v>31304.435500000094</v>
      </c>
      <c r="I219" s="31">
        <f t="shared" si="66"/>
        <v>16041.564499999906</v>
      </c>
      <c r="J219" s="175">
        <f t="shared" si="67"/>
        <v>0.51243743079155224</v>
      </c>
      <c r="K219" s="31">
        <f t="shared" si="68"/>
        <v>47346</v>
      </c>
      <c r="L219" s="31">
        <f t="shared" si="69"/>
        <v>291.14400000000023</v>
      </c>
      <c r="M219" s="31">
        <f t="shared" si="70"/>
        <v>5</v>
      </c>
      <c r="N219" s="31">
        <f t="shared" si="71"/>
        <v>4.8559999999999999</v>
      </c>
      <c r="O219" s="125"/>
      <c r="P219" s="32">
        <f t="shared" si="72"/>
        <v>4.113221666666643</v>
      </c>
      <c r="Q219" s="31">
        <f t="shared" si="73"/>
        <v>4846.1440000000002</v>
      </c>
      <c r="R219" s="34"/>
      <c r="S219" s="34">
        <f t="shared" si="74"/>
        <v>113410.80899999999</v>
      </c>
      <c r="T219" s="34">
        <f t="shared" si="75"/>
        <v>9341.911779242173</v>
      </c>
      <c r="U219" s="34">
        <f t="shared" si="60"/>
        <v>13241.911779242173</v>
      </c>
      <c r="V219" s="31">
        <f>H219+S219-SUM(AB$15:AB219)</f>
        <v>144215.24450000009</v>
      </c>
      <c r="W219" s="32">
        <f t="shared" si="76"/>
        <v>10.890817497067893</v>
      </c>
      <c r="X219" s="32">
        <f t="shared" si="77"/>
        <v>2.8640391637345353</v>
      </c>
      <c r="Y219" s="32">
        <f t="shared" si="78"/>
        <v>1.2491825029321078</v>
      </c>
      <c r="Z219" s="38">
        <f t="shared" si="79"/>
        <v>0.2945194066398768</v>
      </c>
      <c r="AA219" s="31">
        <f>SUM(L$2:L219)-SUM(AB$2:AB219)</f>
        <v>12260.011000000039</v>
      </c>
      <c r="AB219" s="176"/>
      <c r="AC219" s="40">
        <f t="shared" si="61"/>
        <v>1320.7202403418373</v>
      </c>
      <c r="AD219" s="40">
        <f t="shared" si="62"/>
        <v>-2579.2797596581627</v>
      </c>
    </row>
    <row r="220" spans="1:30" s="1" customFormat="1" x14ac:dyDescent="0.25">
      <c r="A220" s="174">
        <v>43005</v>
      </c>
      <c r="B220" s="159"/>
      <c r="C220" s="64" t="s">
        <v>69</v>
      </c>
      <c r="D220" s="64">
        <v>400</v>
      </c>
      <c r="E220" s="104">
        <v>12.25</v>
      </c>
      <c r="F220" s="102">
        <f t="shared" si="64"/>
        <v>3500</v>
      </c>
      <c r="G220" s="32">
        <f t="shared" si="63"/>
        <v>7.5469530000000269</v>
      </c>
      <c r="H220" s="31">
        <f t="shared" si="65"/>
        <v>26414.335500000096</v>
      </c>
      <c r="I220" s="31">
        <f t="shared" si="66"/>
        <v>16460.664499999904</v>
      </c>
      <c r="J220" s="175">
        <f t="shared" si="67"/>
        <v>0.62317162966298534</v>
      </c>
      <c r="K220" s="31">
        <f t="shared" si="68"/>
        <v>42875</v>
      </c>
      <c r="L220" s="31">
        <f t="shared" si="69"/>
        <v>419.09999999999854</v>
      </c>
      <c r="M220" s="31">
        <f t="shared" si="70"/>
        <v>5</v>
      </c>
      <c r="N220" s="31">
        <f t="shared" si="71"/>
        <v>4.9000000000000004</v>
      </c>
      <c r="O220" s="125"/>
      <c r="P220" s="32">
        <f t="shared" si="72"/>
        <v>4.7030469999999731</v>
      </c>
      <c r="Q220" s="31">
        <f t="shared" si="73"/>
        <v>4890.0999999999985</v>
      </c>
      <c r="R220" s="34"/>
      <c r="S220" s="34">
        <f t="shared" si="74"/>
        <v>118300.90899999999</v>
      </c>
      <c r="T220" s="34">
        <f t="shared" si="75"/>
        <v>9657.2170612244881</v>
      </c>
      <c r="U220" s="34">
        <f t="shared" si="60"/>
        <v>13157.217061224488</v>
      </c>
      <c r="V220" s="31">
        <f>H220+S220-SUM(AB$15:AB220)</f>
        <v>144215.24450000009</v>
      </c>
      <c r="W220" s="32">
        <f t="shared" si="76"/>
        <v>10.960923106225517</v>
      </c>
      <c r="X220" s="32">
        <f t="shared" si="77"/>
        <v>3.4139701062254897</v>
      </c>
      <c r="Y220" s="32">
        <f t="shared" si="78"/>
        <v>1.2890768937744834</v>
      </c>
      <c r="Z220" s="38">
        <f t="shared" si="79"/>
        <v>0.26601370059591228</v>
      </c>
      <c r="AA220" s="31">
        <f>SUM(L$2:L220)-SUM(AB$2:AB220)</f>
        <v>12679.111000000037</v>
      </c>
      <c r="AB220" s="176"/>
      <c r="AC220" s="40">
        <f t="shared" si="61"/>
        <v>1343.0558504285636</v>
      </c>
      <c r="AD220" s="40">
        <f t="shared" si="62"/>
        <v>-2156.9441495714364</v>
      </c>
    </row>
    <row r="221" spans="1:30" s="1" customFormat="1" x14ac:dyDescent="0.25">
      <c r="A221" s="174">
        <v>43005</v>
      </c>
      <c r="B221" s="159"/>
      <c r="C221" s="64" t="s">
        <v>69</v>
      </c>
      <c r="D221" s="64">
        <v>400</v>
      </c>
      <c r="E221" s="104">
        <v>12.3</v>
      </c>
      <c r="F221" s="102">
        <f t="shared" si="64"/>
        <v>3100</v>
      </c>
      <c r="G221" s="32">
        <f t="shared" si="63"/>
        <v>6.9368566129032558</v>
      </c>
      <c r="H221" s="31">
        <f t="shared" si="65"/>
        <v>21504.255500000094</v>
      </c>
      <c r="I221" s="31">
        <f t="shared" si="66"/>
        <v>16625.744499999906</v>
      </c>
      <c r="J221" s="175">
        <f t="shared" si="67"/>
        <v>0.77313741459218788</v>
      </c>
      <c r="K221" s="31">
        <f t="shared" si="68"/>
        <v>38130</v>
      </c>
      <c r="L221" s="31">
        <f t="shared" si="69"/>
        <v>165.08000000000175</v>
      </c>
      <c r="M221" s="31">
        <f t="shared" si="70"/>
        <v>5</v>
      </c>
      <c r="N221" s="31">
        <f t="shared" si="71"/>
        <v>4.92</v>
      </c>
      <c r="O221" s="125"/>
      <c r="P221" s="32">
        <f t="shared" si="72"/>
        <v>5.3631433870967449</v>
      </c>
      <c r="Q221" s="31">
        <f t="shared" si="73"/>
        <v>4910.0800000000017</v>
      </c>
      <c r="R221" s="34"/>
      <c r="S221" s="34">
        <f t="shared" si="74"/>
        <v>123210.98899999999</v>
      </c>
      <c r="T221" s="34">
        <f t="shared" si="75"/>
        <v>10017.153577235771</v>
      </c>
      <c r="U221" s="34">
        <f t="shared" si="60"/>
        <v>13117.153577235771</v>
      </c>
      <c r="V221" s="31">
        <f>H221+S221-SUM(AB$15:AB221)</f>
        <v>144215.24450000009</v>
      </c>
      <c r="W221" s="32">
        <f t="shared" si="76"/>
        <v>10.994400854639618</v>
      </c>
      <c r="X221" s="32">
        <f t="shared" si="77"/>
        <v>4.0575442417363625</v>
      </c>
      <c r="Y221" s="32">
        <f t="shared" si="78"/>
        <v>1.3055991453603824</v>
      </c>
      <c r="Z221" s="38">
        <f t="shared" si="79"/>
        <v>0.23633176067862088</v>
      </c>
      <c r="AA221" s="31">
        <f>SUM(L$2:L221)-SUM(AB$2:AB221)</f>
        <v>12844.191000000039</v>
      </c>
      <c r="AB221" s="176"/>
      <c r="AC221" s="40">
        <f t="shared" si="61"/>
        <v>1351.0107014430816</v>
      </c>
      <c r="AD221" s="40">
        <f t="shared" si="62"/>
        <v>-1748.9892985569184</v>
      </c>
    </row>
    <row r="222" spans="1:30" s="1" customFormat="1" x14ac:dyDescent="0.25">
      <c r="A222" s="174">
        <v>43005</v>
      </c>
      <c r="B222" s="159"/>
      <c r="C222" s="64" t="s">
        <v>69</v>
      </c>
      <c r="D222" s="64">
        <v>400</v>
      </c>
      <c r="E222" s="104">
        <v>12.34</v>
      </c>
      <c r="F222" s="102">
        <f t="shared" si="64"/>
        <v>2700</v>
      </c>
      <c r="G222" s="32">
        <f t="shared" si="63"/>
        <v>6.1400709259259614</v>
      </c>
      <c r="H222" s="31">
        <f t="shared" si="65"/>
        <v>16578.191500000095</v>
      </c>
      <c r="I222" s="31">
        <f t="shared" si="66"/>
        <v>16739.808499999905</v>
      </c>
      <c r="J222" s="175">
        <f t="shared" si="67"/>
        <v>1.0097487714507223</v>
      </c>
      <c r="K222" s="31">
        <f t="shared" si="68"/>
        <v>33318</v>
      </c>
      <c r="L222" s="31">
        <f t="shared" si="69"/>
        <v>114.06399999999849</v>
      </c>
      <c r="M222" s="31">
        <f t="shared" si="70"/>
        <v>5</v>
      </c>
      <c r="N222" s="31">
        <f t="shared" si="71"/>
        <v>4.9359999999999999</v>
      </c>
      <c r="O222" s="125"/>
      <c r="P222" s="32">
        <f t="shared" si="72"/>
        <v>6.1999290740740385</v>
      </c>
      <c r="Q222" s="31">
        <f t="shared" si="73"/>
        <v>4926.0639999999985</v>
      </c>
      <c r="R222" s="34"/>
      <c r="S222" s="34">
        <f t="shared" si="74"/>
        <v>128137.05299999999</v>
      </c>
      <c r="T222" s="34">
        <f t="shared" si="75"/>
        <v>10383.877876823337</v>
      </c>
      <c r="U222" s="34">
        <f t="shared" si="60"/>
        <v>13083.877876823337</v>
      </c>
      <c r="V222" s="31">
        <f>H222+S222-SUM(AB$15:AB222)</f>
        <v>144215.24450000009</v>
      </c>
      <c r="W222" s="32">
        <f t="shared" si="76"/>
        <v>11.022362472173612</v>
      </c>
      <c r="X222" s="32">
        <f t="shared" si="77"/>
        <v>4.8822915462476502</v>
      </c>
      <c r="Y222" s="32">
        <f t="shared" si="78"/>
        <v>1.3176375278263883</v>
      </c>
      <c r="Z222" s="38">
        <f t="shared" si="79"/>
        <v>0.20636083777446101</v>
      </c>
      <c r="AA222" s="31">
        <f>SUM(L$2:L222)-SUM(AB$2:AB222)</f>
        <v>12958.255000000037</v>
      </c>
      <c r="AB222" s="176"/>
      <c r="AC222" s="40">
        <f t="shared" si="61"/>
        <v>1355.87022655996</v>
      </c>
      <c r="AD222" s="40">
        <f t="shared" si="62"/>
        <v>-1344.12977344004</v>
      </c>
    </row>
    <row r="223" spans="1:30" s="1" customFormat="1" x14ac:dyDescent="0.25">
      <c r="A223" s="174">
        <v>43005</v>
      </c>
      <c r="B223" s="268" t="s">
        <v>627</v>
      </c>
      <c r="C223" s="64" t="s">
        <v>69</v>
      </c>
      <c r="D223" s="64">
        <v>400</v>
      </c>
      <c r="E223" s="104">
        <v>12.57</v>
      </c>
      <c r="F223" s="102">
        <f t="shared" si="64"/>
        <v>2300</v>
      </c>
      <c r="G223" s="32">
        <f t="shared" si="63"/>
        <v>5.0261823913043893</v>
      </c>
      <c r="H223" s="31">
        <f t="shared" si="65"/>
        <v>11560.219500000096</v>
      </c>
      <c r="I223" s="31">
        <f t="shared" si="66"/>
        <v>17350.780499999906</v>
      </c>
      <c r="J223" s="175">
        <f t="shared" si="67"/>
        <v>1.5009040702038368</v>
      </c>
      <c r="K223" s="31">
        <f t="shared" si="68"/>
        <v>28911</v>
      </c>
      <c r="L223" s="31">
        <f t="shared" si="69"/>
        <v>610.97200000000157</v>
      </c>
      <c r="M223" s="31">
        <f t="shared" si="70"/>
        <v>5</v>
      </c>
      <c r="N223" s="31">
        <f t="shared" si="71"/>
        <v>5.0279999999999996</v>
      </c>
      <c r="O223" s="125"/>
      <c r="P223" s="32">
        <f t="shared" si="72"/>
        <v>7.543817608695611</v>
      </c>
      <c r="Q223" s="31">
        <f t="shared" si="73"/>
        <v>5017.9719999999998</v>
      </c>
      <c r="R223" s="34"/>
      <c r="S223" s="34">
        <f t="shared" si="74"/>
        <v>133155.02499999999</v>
      </c>
      <c r="T223" s="34">
        <f t="shared" si="75"/>
        <v>10593.080747812252</v>
      </c>
      <c r="U223" s="34">
        <f t="shared" si="60"/>
        <v>12893.080747812252</v>
      </c>
      <c r="V223" s="31">
        <f>H223+S223-SUM(AB$15:AB223)</f>
        <v>144215.24450000009</v>
      </c>
      <c r="W223" s="32">
        <f t="shared" si="76"/>
        <v>11.185475940222517</v>
      </c>
      <c r="X223" s="32">
        <f t="shared" si="77"/>
        <v>6.1592935489181277</v>
      </c>
      <c r="Y223" s="32">
        <f t="shared" si="78"/>
        <v>1.3845240597774833</v>
      </c>
      <c r="Z223" s="38">
        <f t="shared" si="79"/>
        <v>0.17839025792111579</v>
      </c>
      <c r="AA223" s="31">
        <f>SUM(L$2:L223)-SUM(AB$2:AB223)</f>
        <v>13569.227000000039</v>
      </c>
      <c r="AB223" s="176"/>
      <c r="AC223" s="40">
        <f t="shared" si="61"/>
        <v>1379.642411276842</v>
      </c>
      <c r="AD223" s="40">
        <f t="shared" si="62"/>
        <v>-920.35758872315796</v>
      </c>
    </row>
    <row r="224" spans="1:30" s="1" customFormat="1" x14ac:dyDescent="0.25">
      <c r="A224" s="174">
        <v>43005</v>
      </c>
      <c r="B224" s="268" t="s">
        <v>627</v>
      </c>
      <c r="C224" s="64" t="s">
        <v>69</v>
      </c>
      <c r="D224" s="64">
        <v>400</v>
      </c>
      <c r="E224" s="104">
        <v>12.77</v>
      </c>
      <c r="F224" s="102">
        <f t="shared" si="64"/>
        <v>1900</v>
      </c>
      <c r="G224" s="32">
        <f t="shared" si="63"/>
        <v>3.4012250000000503</v>
      </c>
      <c r="H224" s="31">
        <f t="shared" si="65"/>
        <v>6462.3275000000958</v>
      </c>
      <c r="I224" s="31">
        <f t="shared" si="66"/>
        <v>17800.672499999906</v>
      </c>
      <c r="J224" s="175">
        <f t="shared" si="67"/>
        <v>2.7545296180052219</v>
      </c>
      <c r="K224" s="31">
        <f t="shared" si="68"/>
        <v>24263</v>
      </c>
      <c r="L224" s="31">
        <f t="shared" si="69"/>
        <v>449.89199999999983</v>
      </c>
      <c r="M224" s="31">
        <f t="shared" si="70"/>
        <v>5</v>
      </c>
      <c r="N224" s="31">
        <f t="shared" si="71"/>
        <v>5.1079999999999997</v>
      </c>
      <c r="O224" s="125"/>
      <c r="P224" s="32">
        <f t="shared" si="72"/>
        <v>9.3687749999999497</v>
      </c>
      <c r="Q224" s="31">
        <f t="shared" si="73"/>
        <v>5097.8919999999998</v>
      </c>
      <c r="R224" s="34"/>
      <c r="S224" s="34">
        <f t="shared" si="74"/>
        <v>138252.91699999999</v>
      </c>
      <c r="T224" s="34">
        <f t="shared" si="75"/>
        <v>10826.383476898982</v>
      </c>
      <c r="U224" s="34">
        <f t="shared" si="60"/>
        <v>12726.383476898982</v>
      </c>
      <c r="V224" s="31">
        <f>H224+S224-SUM(AB$15:AB224)</f>
        <v>144215.24450000009</v>
      </c>
      <c r="W224" s="32">
        <f t="shared" si="76"/>
        <v>11.331989544537974</v>
      </c>
      <c r="X224" s="32">
        <f t="shared" si="77"/>
        <v>7.930764544537924</v>
      </c>
      <c r="Y224" s="32">
        <f t="shared" si="78"/>
        <v>1.4380104554620257</v>
      </c>
      <c r="Z224" s="38">
        <f t="shared" si="79"/>
        <v>0.1492961455584686</v>
      </c>
      <c r="AA224" s="31">
        <f>SUM(L$2:L224)-SUM(AB$2:AB224)</f>
        <v>14019.119000000039</v>
      </c>
      <c r="AB224" s="176"/>
      <c r="AC224" s="40">
        <f t="shared" si="61"/>
        <v>1393.2476244126788</v>
      </c>
      <c r="AD224" s="40">
        <f t="shared" si="62"/>
        <v>-506.75237558732124</v>
      </c>
    </row>
    <row r="225" spans="1:30" s="1" customFormat="1" x14ac:dyDescent="0.25">
      <c r="A225" s="174">
        <v>43006</v>
      </c>
      <c r="B225" s="159" t="s">
        <v>261</v>
      </c>
      <c r="C225" s="64" t="s">
        <v>63</v>
      </c>
      <c r="D225" s="64">
        <v>400</v>
      </c>
      <c r="E225" s="104">
        <v>12.49</v>
      </c>
      <c r="F225" s="102">
        <f t="shared" si="64"/>
        <v>2300</v>
      </c>
      <c r="G225" s="32">
        <f t="shared" si="63"/>
        <v>4.9840554347826505</v>
      </c>
      <c r="H225" s="31">
        <f t="shared" si="65"/>
        <v>11463.327500000096</v>
      </c>
      <c r="I225" s="31">
        <f t="shared" si="66"/>
        <v>17263.672499999906</v>
      </c>
      <c r="J225" s="175">
        <f t="shared" si="67"/>
        <v>1.5059913886260128</v>
      </c>
      <c r="K225" s="31">
        <f t="shared" si="68"/>
        <v>28727</v>
      </c>
      <c r="L225" s="31">
        <f t="shared" si="69"/>
        <v>-537</v>
      </c>
      <c r="M225" s="31">
        <f t="shared" si="70"/>
        <v>5</v>
      </c>
      <c r="N225" s="31">
        <f t="shared" si="71"/>
        <v>0</v>
      </c>
      <c r="O225" s="125"/>
      <c r="P225" s="32">
        <f t="shared" si="72"/>
        <v>7.5059445652173498</v>
      </c>
      <c r="Q225" s="31">
        <f t="shared" si="73"/>
        <v>-5001</v>
      </c>
      <c r="R225" s="34"/>
      <c r="S225" s="34">
        <f t="shared" si="74"/>
        <v>133251.91699999999</v>
      </c>
      <c r="T225" s="34">
        <f t="shared" si="75"/>
        <v>10668.688310648518</v>
      </c>
      <c r="U225" s="34">
        <f t="shared" si="60"/>
        <v>12968.688310648518</v>
      </c>
      <c r="V225" s="31">
        <f>H225+S225-SUM(AB$15:AB225)</f>
        <v>144215.24450000009</v>
      </c>
      <c r="W225" s="32">
        <f t="shared" si="76"/>
        <v>11.120264520628949</v>
      </c>
      <c r="X225" s="32">
        <f t="shared" si="77"/>
        <v>6.1362090858462981</v>
      </c>
      <c r="Y225" s="32">
        <f t="shared" si="78"/>
        <v>1.3697354793710517</v>
      </c>
      <c r="Z225" s="38">
        <f t="shared" si="79"/>
        <v>0.17735024120453899</v>
      </c>
      <c r="AA225" s="31">
        <f>SUM(L$2:L225)-SUM(AB$2:AB225)</f>
        <v>13482.119000000039</v>
      </c>
      <c r="AB225" s="176"/>
      <c r="AC225" s="40">
        <f t="shared" si="61"/>
        <v>1381.5084598678868</v>
      </c>
      <c r="AD225" s="40">
        <f t="shared" si="62"/>
        <v>-918.49154013211319</v>
      </c>
    </row>
    <row r="226" spans="1:30" s="1" customFormat="1" x14ac:dyDescent="0.25">
      <c r="A226" s="174">
        <v>43006</v>
      </c>
      <c r="B226" s="159" t="s">
        <v>262</v>
      </c>
      <c r="C226" s="64" t="s">
        <v>63</v>
      </c>
      <c r="D226" s="64">
        <v>400</v>
      </c>
      <c r="E226" s="104">
        <v>12.3</v>
      </c>
      <c r="F226" s="102">
        <f t="shared" si="64"/>
        <v>2700</v>
      </c>
      <c r="G226" s="32">
        <f t="shared" si="63"/>
        <v>6.0697509259259608</v>
      </c>
      <c r="H226" s="31">
        <f t="shared" si="65"/>
        <v>16388.327500000094</v>
      </c>
      <c r="I226" s="31">
        <f t="shared" si="66"/>
        <v>16821.672499999906</v>
      </c>
      <c r="J226" s="175">
        <f t="shared" si="67"/>
        <v>1.0264422955911645</v>
      </c>
      <c r="K226" s="31">
        <f t="shared" si="68"/>
        <v>33210</v>
      </c>
      <c r="L226" s="31">
        <f t="shared" si="69"/>
        <v>-442</v>
      </c>
      <c r="M226" s="31">
        <f t="shared" si="70"/>
        <v>5</v>
      </c>
      <c r="N226" s="31">
        <f t="shared" si="71"/>
        <v>0</v>
      </c>
      <c r="O226" s="125"/>
      <c r="P226" s="32">
        <f t="shared" si="72"/>
        <v>6.2302490740740399</v>
      </c>
      <c r="Q226" s="31">
        <f t="shared" si="73"/>
        <v>-4924.9999999999982</v>
      </c>
      <c r="R226" s="34"/>
      <c r="S226" s="34">
        <f t="shared" si="74"/>
        <v>128326.91699999999</v>
      </c>
      <c r="T226" s="34">
        <f t="shared" si="75"/>
        <v>10433.082682926828</v>
      </c>
      <c r="U226" s="34">
        <f t="shared" si="60"/>
        <v>13133.082682926828</v>
      </c>
      <c r="V226" s="31">
        <f>H226+S226-SUM(AB$15:AB226)</f>
        <v>144215.24450000009</v>
      </c>
      <c r="W226" s="32">
        <f t="shared" si="76"/>
        <v>10.981065754461572</v>
      </c>
      <c r="X226" s="32">
        <f t="shared" si="77"/>
        <v>4.9113148285356107</v>
      </c>
      <c r="Y226" s="32">
        <f t="shared" si="78"/>
        <v>1.3189342455384292</v>
      </c>
      <c r="Z226" s="38">
        <f t="shared" si="79"/>
        <v>0.20558767999763178</v>
      </c>
      <c r="AA226" s="31">
        <f>SUM(L$2:L226)-SUM(AB$2:AB226)</f>
        <v>13040.119000000039</v>
      </c>
      <c r="AB226" s="176"/>
      <c r="AC226" s="40">
        <f t="shared" si="61"/>
        <v>1366.9318425812933</v>
      </c>
      <c r="AD226" s="40">
        <f t="shared" si="62"/>
        <v>-1333.0681574187067</v>
      </c>
    </row>
    <row r="227" spans="1:30" s="1" customFormat="1" x14ac:dyDescent="0.25">
      <c r="A227" s="174">
        <v>43006</v>
      </c>
      <c r="B227" s="159" t="s">
        <v>263</v>
      </c>
      <c r="C227" s="64" t="s">
        <v>63</v>
      </c>
      <c r="D227" s="64">
        <v>400</v>
      </c>
      <c r="E227" s="104">
        <v>12.18</v>
      </c>
      <c r="F227" s="102">
        <f t="shared" si="64"/>
        <v>3100</v>
      </c>
      <c r="G227" s="32">
        <f t="shared" si="63"/>
        <v>6.8597830645161597</v>
      </c>
      <c r="H227" s="31">
        <f t="shared" si="65"/>
        <v>21265.327500000094</v>
      </c>
      <c r="I227" s="31">
        <f t="shared" si="66"/>
        <v>16492.672499999906</v>
      </c>
      <c r="J227" s="175">
        <f t="shared" si="67"/>
        <v>0.77556635325742485</v>
      </c>
      <c r="K227" s="31">
        <f t="shared" si="68"/>
        <v>37758</v>
      </c>
      <c r="L227" s="31">
        <f t="shared" si="69"/>
        <v>-329</v>
      </c>
      <c r="M227" s="31">
        <f t="shared" si="70"/>
        <v>5</v>
      </c>
      <c r="N227" s="31">
        <f t="shared" si="71"/>
        <v>0</v>
      </c>
      <c r="O227" s="125"/>
      <c r="P227" s="32">
        <f t="shared" si="72"/>
        <v>5.32021693548384</v>
      </c>
      <c r="Q227" s="31">
        <f t="shared" si="73"/>
        <v>-4877</v>
      </c>
      <c r="R227" s="34"/>
      <c r="S227" s="34">
        <f t="shared" si="74"/>
        <v>123449.91699999999</v>
      </c>
      <c r="T227" s="34">
        <f t="shared" si="75"/>
        <v>10135.461165845647</v>
      </c>
      <c r="U227" s="34">
        <f t="shared" si="60"/>
        <v>13235.461165845647</v>
      </c>
      <c r="V227" s="31">
        <f>H227+S227-SUM(AB$15:AB227)</f>
        <v>144215.24450000009</v>
      </c>
      <c r="W227" s="32">
        <f t="shared" si="76"/>
        <v>10.896125393208829</v>
      </c>
      <c r="X227" s="32">
        <f t="shared" si="77"/>
        <v>4.036342328692669</v>
      </c>
      <c r="Y227" s="32">
        <f t="shared" si="78"/>
        <v>1.283874606791171</v>
      </c>
      <c r="Z227" s="38">
        <f t="shared" si="79"/>
        <v>0.2342192660426225</v>
      </c>
      <c r="AA227" s="31">
        <f>SUM(L$2:L227)-SUM(AB$2:AB227)</f>
        <v>12711.119000000039</v>
      </c>
      <c r="AB227" s="176"/>
      <c r="AC227" s="40">
        <f t="shared" si="61"/>
        <v>1353.4011628694504</v>
      </c>
      <c r="AD227" s="40">
        <f t="shared" si="62"/>
        <v>-1746.5988371305496</v>
      </c>
    </row>
    <row r="228" spans="1:30" s="1" customFormat="1" x14ac:dyDescent="0.25">
      <c r="A228" s="174">
        <v>43006</v>
      </c>
      <c r="B228" s="159"/>
      <c r="C228" s="64" t="s">
        <v>69</v>
      </c>
      <c r="D228" s="64">
        <v>400</v>
      </c>
      <c r="E228" s="104">
        <v>12.32</v>
      </c>
      <c r="F228" s="102">
        <f t="shared" si="64"/>
        <v>2700</v>
      </c>
      <c r="G228" s="32">
        <f t="shared" si="63"/>
        <v>6.0545390740741087</v>
      </c>
      <c r="H228" s="31">
        <f t="shared" si="65"/>
        <v>16347.255500000094</v>
      </c>
      <c r="I228" s="31">
        <f t="shared" si="66"/>
        <v>16916.744499999906</v>
      </c>
      <c r="J228" s="175">
        <f t="shared" si="67"/>
        <v>1.0348369792103518</v>
      </c>
      <c r="K228" s="31">
        <f t="shared" si="68"/>
        <v>33264</v>
      </c>
      <c r="L228" s="31">
        <f t="shared" si="69"/>
        <v>424.07200000000012</v>
      </c>
      <c r="M228" s="31">
        <f t="shared" si="70"/>
        <v>5</v>
      </c>
      <c r="N228" s="31">
        <f t="shared" si="71"/>
        <v>4.9279999999999999</v>
      </c>
      <c r="O228" s="125"/>
      <c r="P228" s="32">
        <f t="shared" si="72"/>
        <v>6.2654609259258915</v>
      </c>
      <c r="Q228" s="31">
        <f t="shared" si="73"/>
        <v>4918.0720000000001</v>
      </c>
      <c r="R228" s="34"/>
      <c r="S228" s="34">
        <f t="shared" si="74"/>
        <v>128367.98899999999</v>
      </c>
      <c r="T228" s="34">
        <f t="shared" si="75"/>
        <v>10419.479626623375</v>
      </c>
      <c r="U228" s="34">
        <f t="shared" si="60"/>
        <v>13119.479626623375</v>
      </c>
      <c r="V228" s="31">
        <f>H228+S228-SUM(AB$15:AB228)</f>
        <v>144215.24450000009</v>
      </c>
      <c r="W228" s="32">
        <f t="shared" si="76"/>
        <v>10.992451576154281</v>
      </c>
      <c r="X228" s="32">
        <f t="shared" si="77"/>
        <v>4.937912502080172</v>
      </c>
      <c r="Y228" s="32">
        <f t="shared" si="78"/>
        <v>1.3275484238457196</v>
      </c>
      <c r="Z228" s="38">
        <f t="shared" si="79"/>
        <v>0.20580084552445868</v>
      </c>
      <c r="AA228" s="31">
        <f>SUM(L$2:L228)-SUM(AB$2:AB228)</f>
        <v>13135.191000000039</v>
      </c>
      <c r="AB228" s="176"/>
      <c r="AC228" s="40">
        <f t="shared" si="61"/>
        <v>1372.4258220576221</v>
      </c>
      <c r="AD228" s="40">
        <f t="shared" si="62"/>
        <v>-1327.5741779423779</v>
      </c>
    </row>
    <row r="229" spans="1:30" s="1" customFormat="1" x14ac:dyDescent="0.25">
      <c r="A229" s="174">
        <v>43007</v>
      </c>
      <c r="B229" s="159" t="s">
        <v>264</v>
      </c>
      <c r="C229" s="64" t="s">
        <v>63</v>
      </c>
      <c r="D229" s="64">
        <v>1600</v>
      </c>
      <c r="E229" s="104">
        <v>12.22</v>
      </c>
      <c r="F229" s="102">
        <f t="shared" si="64"/>
        <v>4300</v>
      </c>
      <c r="G229" s="32">
        <f t="shared" si="63"/>
        <v>8.350937558139556</v>
      </c>
      <c r="H229" s="31">
        <f t="shared" si="65"/>
        <v>35909.031500000092</v>
      </c>
      <c r="I229" s="31">
        <f t="shared" si="66"/>
        <v>16636.968499999908</v>
      </c>
      <c r="J229" s="175">
        <f t="shared" si="67"/>
        <v>0.46330875005637145</v>
      </c>
      <c r="K229" s="31">
        <f t="shared" si="68"/>
        <v>52546</v>
      </c>
      <c r="L229" s="31">
        <f t="shared" si="69"/>
        <v>-279.77599999999802</v>
      </c>
      <c r="M229" s="31">
        <f t="shared" si="70"/>
        <v>9.7759999999999998</v>
      </c>
      <c r="N229" s="31">
        <f t="shared" si="71"/>
        <v>0</v>
      </c>
      <c r="O229" s="125"/>
      <c r="P229" s="32">
        <f t="shared" si="72"/>
        <v>3.8690624418604447</v>
      </c>
      <c r="Q229" s="31">
        <f t="shared" si="73"/>
        <v>-19561.775999999998</v>
      </c>
      <c r="R229" s="34"/>
      <c r="S229" s="34">
        <f t="shared" si="74"/>
        <v>108806.21299999999</v>
      </c>
      <c r="T229" s="34">
        <f t="shared" si="75"/>
        <v>8903.9454173486083</v>
      </c>
      <c r="U229" s="34">
        <f t="shared" si="60"/>
        <v>13203.945417348608</v>
      </c>
      <c r="V229" s="31">
        <f>H229+S229-SUM(AB$15:AB229)</f>
        <v>144215.24450000009</v>
      </c>
      <c r="W229" s="32">
        <f t="shared" si="76"/>
        <v>10.922132736970896</v>
      </c>
      <c r="X229" s="32">
        <f t="shared" si="77"/>
        <v>2.5711951788313403</v>
      </c>
      <c r="Y229" s="32">
        <f t="shared" si="78"/>
        <v>1.2978672630291044</v>
      </c>
      <c r="Z229" s="38">
        <f t="shared" si="79"/>
        <v>0.32566023745828637</v>
      </c>
      <c r="AA229" s="31">
        <f>SUM(L$2:L229)-SUM(AB$2:AB229)</f>
        <v>12855.415000000041</v>
      </c>
      <c r="AB229" s="176"/>
      <c r="AC229" s="40">
        <f t="shared" si="61"/>
        <v>1360.7733237111217</v>
      </c>
      <c r="AD229" s="40">
        <f t="shared" si="62"/>
        <v>-2939.2266762888785</v>
      </c>
    </row>
    <row r="230" spans="1:30" s="1" customFormat="1" x14ac:dyDescent="0.25">
      <c r="A230" s="174">
        <v>43007</v>
      </c>
      <c r="B230" s="159"/>
      <c r="C230" s="64" t="s">
        <v>69</v>
      </c>
      <c r="D230" s="64">
        <v>500</v>
      </c>
      <c r="E230" s="104">
        <v>12.33</v>
      </c>
      <c r="F230" s="102">
        <f t="shared" si="64"/>
        <v>3800</v>
      </c>
      <c r="G230" s="32">
        <f t="shared" si="63"/>
        <v>7.8303148684210768</v>
      </c>
      <c r="H230" s="31">
        <f t="shared" si="65"/>
        <v>29755.196500000093</v>
      </c>
      <c r="I230" s="31">
        <f t="shared" si="66"/>
        <v>17098.803499999907</v>
      </c>
      <c r="J230" s="175">
        <f t="shared" si="67"/>
        <v>0.57464932217805575</v>
      </c>
      <c r="K230" s="31">
        <f t="shared" si="68"/>
        <v>46854</v>
      </c>
      <c r="L230" s="31">
        <f t="shared" si="69"/>
        <v>461.83499999999913</v>
      </c>
      <c r="M230" s="31">
        <f t="shared" si="70"/>
        <v>5</v>
      </c>
      <c r="N230" s="31">
        <f t="shared" si="71"/>
        <v>6.165</v>
      </c>
      <c r="O230" s="125"/>
      <c r="P230" s="32">
        <f t="shared" si="72"/>
        <v>4.4996851315789232</v>
      </c>
      <c r="Q230" s="31">
        <f t="shared" si="73"/>
        <v>6153.8349999999991</v>
      </c>
      <c r="R230" s="34"/>
      <c r="S230" s="34">
        <f t="shared" si="74"/>
        <v>114960.04799999998</v>
      </c>
      <c r="T230" s="34">
        <f t="shared" si="75"/>
        <v>9323.6048661800469</v>
      </c>
      <c r="U230" s="34">
        <f t="shared" si="60"/>
        <v>13123.604866180047</v>
      </c>
      <c r="V230" s="31">
        <f>H230+S230-SUM(AB$15:AB230)</f>
        <v>144215.24450000009</v>
      </c>
      <c r="W230" s="32">
        <f t="shared" si="76"/>
        <v>10.988996237737043</v>
      </c>
      <c r="X230" s="32">
        <f t="shared" si="77"/>
        <v>3.1586813693159659</v>
      </c>
      <c r="Y230" s="32">
        <f t="shared" si="78"/>
        <v>1.3410037622629574</v>
      </c>
      <c r="Z230" s="38">
        <f t="shared" si="79"/>
        <v>0.28955458799226136</v>
      </c>
      <c r="AA230" s="31">
        <f>SUM(L$2:L230)-SUM(AB$2:AB230)</f>
        <v>13317.25000000004</v>
      </c>
      <c r="AB230" s="176"/>
      <c r="AC230" s="40">
        <f t="shared" si="61"/>
        <v>1386.0708919910712</v>
      </c>
      <c r="AD230" s="40">
        <f t="shared" si="62"/>
        <v>-2413.9291080089288</v>
      </c>
    </row>
    <row r="231" spans="1:30" s="1" customFormat="1" x14ac:dyDescent="0.25">
      <c r="A231" s="174">
        <v>43007</v>
      </c>
      <c r="B231" s="159"/>
      <c r="C231" s="64" t="s">
        <v>69</v>
      </c>
      <c r="D231" s="64">
        <v>500</v>
      </c>
      <c r="E231" s="104">
        <v>12.37</v>
      </c>
      <c r="F231" s="102">
        <f t="shared" si="64"/>
        <v>3300</v>
      </c>
      <c r="G231" s="32">
        <f t="shared" si="63"/>
        <v>7.1458731818182102</v>
      </c>
      <c r="H231" s="31">
        <f t="shared" si="65"/>
        <v>23581.381500000094</v>
      </c>
      <c r="I231" s="31">
        <f t="shared" si="66"/>
        <v>17239.618499999906</v>
      </c>
      <c r="J231" s="175">
        <f t="shared" si="67"/>
        <v>0.73106906395623328</v>
      </c>
      <c r="K231" s="31">
        <f t="shared" si="68"/>
        <v>40821</v>
      </c>
      <c r="L231" s="31">
        <f t="shared" si="69"/>
        <v>140.81499999999869</v>
      </c>
      <c r="M231" s="31">
        <f t="shared" si="70"/>
        <v>5</v>
      </c>
      <c r="N231" s="31">
        <f t="shared" si="71"/>
        <v>6.1849999999999996</v>
      </c>
      <c r="O231" s="125"/>
      <c r="P231" s="32">
        <f t="shared" si="72"/>
        <v>5.224126818181789</v>
      </c>
      <c r="Q231" s="31">
        <f t="shared" si="73"/>
        <v>6173.8149999999987</v>
      </c>
      <c r="R231" s="34"/>
      <c r="S231" s="34">
        <f t="shared" si="74"/>
        <v>121133.86299999998</v>
      </c>
      <c r="T231" s="34">
        <f t="shared" si="75"/>
        <v>9792.5515763945023</v>
      </c>
      <c r="U231" s="34">
        <f t="shared" si="60"/>
        <v>13092.551576394502</v>
      </c>
      <c r="V231" s="31">
        <f>H231+S231-SUM(AB$15:AB231)</f>
        <v>144215.24450000009</v>
      </c>
      <c r="W231" s="32">
        <f t="shared" si="76"/>
        <v>11.015060254566121</v>
      </c>
      <c r="X231" s="32">
        <f t="shared" si="77"/>
        <v>3.869187072747911</v>
      </c>
      <c r="Y231" s="32">
        <f t="shared" si="78"/>
        <v>1.3549397454338781</v>
      </c>
      <c r="Z231" s="38">
        <f t="shared" si="79"/>
        <v>0.2520517089999329</v>
      </c>
      <c r="AA231" s="31">
        <f>SUM(L$2:L231)-SUM(AB$2:AB231)</f>
        <v>13458.065000000039</v>
      </c>
      <c r="AB231" s="176"/>
      <c r="AC231" s="40">
        <f t="shared" si="61"/>
        <v>1392.9667494543176</v>
      </c>
      <c r="AD231" s="40">
        <f t="shared" si="62"/>
        <v>-1907.0332505456824</v>
      </c>
    </row>
    <row r="232" spans="1:30" s="1" customFormat="1" x14ac:dyDescent="0.25">
      <c r="A232" s="174">
        <v>43007</v>
      </c>
      <c r="B232" s="159"/>
      <c r="C232" s="64" t="s">
        <v>69</v>
      </c>
      <c r="D232" s="64">
        <v>500</v>
      </c>
      <c r="E232" s="104">
        <v>12.44</v>
      </c>
      <c r="F232" s="102">
        <f t="shared" si="64"/>
        <v>2800</v>
      </c>
      <c r="G232" s="32">
        <f t="shared" si="63"/>
        <v>6.2045005357143195</v>
      </c>
      <c r="H232" s="31">
        <f t="shared" si="65"/>
        <v>17372.601500000095</v>
      </c>
      <c r="I232" s="31">
        <f t="shared" si="66"/>
        <v>17459.398499999905</v>
      </c>
      <c r="J232" s="175">
        <f t="shared" si="67"/>
        <v>1.0049962004826858</v>
      </c>
      <c r="K232" s="31">
        <f t="shared" si="68"/>
        <v>34832</v>
      </c>
      <c r="L232" s="31">
        <f t="shared" si="69"/>
        <v>219.77999999999884</v>
      </c>
      <c r="M232" s="31">
        <f>IF(D232*E232*2.5/10000&gt;5,D232*E232*2.5/10000,5)</f>
        <v>5</v>
      </c>
      <c r="N232" s="31">
        <f t="shared" si="71"/>
        <v>6.22</v>
      </c>
      <c r="O232" s="125"/>
      <c r="P232" s="32">
        <f t="shared" si="72"/>
        <v>6.23549946428568</v>
      </c>
      <c r="Q232" s="31">
        <f t="shared" si="73"/>
        <v>6208.7799999999988</v>
      </c>
      <c r="R232" s="34"/>
      <c r="S232" s="34">
        <f t="shared" si="74"/>
        <v>127342.64299999998</v>
      </c>
      <c r="T232" s="34">
        <f t="shared" si="75"/>
        <v>10236.546864951768</v>
      </c>
      <c r="U232" s="34">
        <f t="shared" si="60"/>
        <v>13036.546864951768</v>
      </c>
      <c r="V232" s="31">
        <f>H232+S232-SUM(AB$15:AB232)</f>
        <v>144215.24450000009</v>
      </c>
      <c r="W232" s="32">
        <f t="shared" si="76"/>
        <v>11.062380705101976</v>
      </c>
      <c r="X232" s="32">
        <f t="shared" si="77"/>
        <v>4.8578801693876565</v>
      </c>
      <c r="Y232" s="32">
        <f t="shared" si="78"/>
        <v>1.3776192948980235</v>
      </c>
      <c r="Z232" s="38">
        <f t="shared" si="79"/>
        <v>0.21478080269305727</v>
      </c>
      <c r="AA232" s="31">
        <f>SUM(L$2:L232)-SUM(AB$2:AB232)</f>
        <v>13677.845000000038</v>
      </c>
      <c r="AB232" s="176"/>
      <c r="AC232" s="40">
        <f t="shared" si="61"/>
        <v>1402.7868810892207</v>
      </c>
      <c r="AD232" s="40">
        <f t="shared" si="62"/>
        <v>-1397.2131189107793</v>
      </c>
    </row>
    <row r="233" spans="1:30" s="1" customFormat="1" x14ac:dyDescent="0.25">
      <c r="A233" s="174">
        <v>43007</v>
      </c>
      <c r="B233" s="159" t="s">
        <v>265</v>
      </c>
      <c r="C233" s="64" t="s">
        <v>63</v>
      </c>
      <c r="D233" s="64">
        <v>400</v>
      </c>
      <c r="E233" s="104">
        <v>12.31</v>
      </c>
      <c r="F233" s="102">
        <f t="shared" si="64"/>
        <v>3200</v>
      </c>
      <c r="G233" s="32">
        <f t="shared" si="63"/>
        <v>6.9692504687500296</v>
      </c>
      <c r="H233" s="31">
        <f t="shared" si="65"/>
        <v>22301.601500000095</v>
      </c>
      <c r="I233" s="31">
        <f t="shared" si="66"/>
        <v>17090.398499999905</v>
      </c>
      <c r="J233" s="175">
        <f t="shared" si="67"/>
        <v>0.76633054805502798</v>
      </c>
      <c r="K233" s="31">
        <f t="shared" si="68"/>
        <v>39392</v>
      </c>
      <c r="L233" s="31">
        <f t="shared" si="69"/>
        <v>-369</v>
      </c>
      <c r="M233" s="31">
        <f>IF(D233*E233*5/10000&gt;5,D233*E233*5/10000,5)</f>
        <v>5</v>
      </c>
      <c r="N233" s="31">
        <f t="shared" si="71"/>
        <v>0</v>
      </c>
      <c r="O233" s="125"/>
      <c r="P233" s="32">
        <f t="shared" si="72"/>
        <v>5.3407495312499709</v>
      </c>
      <c r="Q233" s="31">
        <f t="shared" si="73"/>
        <v>-4929</v>
      </c>
      <c r="R233" s="34"/>
      <c r="S233" s="34">
        <f t="shared" si="74"/>
        <v>122413.64299999998</v>
      </c>
      <c r="T233" s="34">
        <f t="shared" si="75"/>
        <v>9944.2439480097455</v>
      </c>
      <c r="U233" s="34">
        <f t="shared" si="60"/>
        <v>13144.243948009746</v>
      </c>
      <c r="V233" s="31">
        <f>H233+S233-SUM(AB$15:AB233)</f>
        <v>144215.24450000009</v>
      </c>
      <c r="W233" s="32">
        <f t="shared" si="76"/>
        <v>10.971741324219462</v>
      </c>
      <c r="X233" s="32">
        <f t="shared" si="77"/>
        <v>4.0024908554694321</v>
      </c>
      <c r="Y233" s="32">
        <f t="shared" si="78"/>
        <v>1.3382586757805388</v>
      </c>
      <c r="Z233" s="38">
        <f t="shared" si="79"/>
        <v>0.24345257229378586</v>
      </c>
      <c r="AA233" s="31">
        <f>SUM(L$2:L233)-SUM(AB$2:AB233)</f>
        <v>13308.845000000038</v>
      </c>
      <c r="AB233" s="176"/>
      <c r="AC233" s="40">
        <f t="shared" si="61"/>
        <v>1387.640398111284</v>
      </c>
      <c r="AD233" s="40">
        <f t="shared" si="62"/>
        <v>-1812.359601888716</v>
      </c>
    </row>
    <row r="234" spans="1:30" s="1" customFormat="1" x14ac:dyDescent="0.25">
      <c r="A234" s="174">
        <v>43007</v>
      </c>
      <c r="B234" s="159" t="s">
        <v>266</v>
      </c>
      <c r="C234" s="64" t="s">
        <v>63</v>
      </c>
      <c r="D234" s="64">
        <v>400</v>
      </c>
      <c r="E234" s="104">
        <v>12.21</v>
      </c>
      <c r="F234" s="102">
        <f t="shared" si="64"/>
        <v>3600</v>
      </c>
      <c r="G234" s="32">
        <f t="shared" si="63"/>
        <v>7.5529448611111372</v>
      </c>
      <c r="H234" s="31">
        <f t="shared" si="65"/>
        <v>27190.601500000095</v>
      </c>
      <c r="I234" s="31">
        <f t="shared" si="66"/>
        <v>16765.398499999905</v>
      </c>
      <c r="J234" s="175">
        <f t="shared" si="67"/>
        <v>0.61658799640750317</v>
      </c>
      <c r="K234" s="31">
        <f t="shared" si="68"/>
        <v>43956</v>
      </c>
      <c r="L234" s="31">
        <f t="shared" si="69"/>
        <v>-325</v>
      </c>
      <c r="M234" s="31">
        <f>IF(D234*E234*5/10000&gt;5,D234*E234*5/10000,5)</f>
        <v>5</v>
      </c>
      <c r="N234" s="31">
        <f t="shared" si="71"/>
        <v>0</v>
      </c>
      <c r="O234" s="125"/>
      <c r="P234" s="32">
        <f t="shared" si="72"/>
        <v>4.6570551388888637</v>
      </c>
      <c r="Q234" s="31">
        <f t="shared" si="73"/>
        <v>-4889</v>
      </c>
      <c r="R234" s="34"/>
      <c r="S234" s="34">
        <f t="shared" si="74"/>
        <v>117524.64299999998</v>
      </c>
      <c r="T234" s="34">
        <f t="shared" si="75"/>
        <v>9625.2778869778849</v>
      </c>
      <c r="U234" s="34">
        <f t="shared" si="60"/>
        <v>13225.277886977885</v>
      </c>
      <c r="V234" s="31">
        <f>H234+S234-SUM(AB$15:AB234)</f>
        <v>144215.24450000009</v>
      </c>
      <c r="W234" s="32">
        <f t="shared" si="76"/>
        <v>10.904515257255952</v>
      </c>
      <c r="X234" s="32">
        <f t="shared" si="77"/>
        <v>3.3515703961448144</v>
      </c>
      <c r="Y234" s="32">
        <f t="shared" si="78"/>
        <v>1.3054847427440492</v>
      </c>
      <c r="Z234" s="38">
        <f t="shared" si="79"/>
        <v>0.27220600056689154</v>
      </c>
      <c r="AA234" s="31">
        <f>SUM(L$2:L234)-SUM(AB$2:AB234)</f>
        <v>12983.845000000038</v>
      </c>
      <c r="AB234" s="176"/>
      <c r="AC234" s="40">
        <f t="shared" si="61"/>
        <v>1372.4009664823836</v>
      </c>
      <c r="AD234" s="40">
        <f t="shared" si="62"/>
        <v>-2227.5990335176166</v>
      </c>
    </row>
    <row r="235" spans="1:30" s="1" customFormat="1" x14ac:dyDescent="0.25">
      <c r="A235" s="174">
        <v>43018</v>
      </c>
      <c r="B235" s="159" t="s">
        <v>267</v>
      </c>
      <c r="C235" s="64" t="s">
        <v>63</v>
      </c>
      <c r="D235" s="64">
        <v>1600</v>
      </c>
      <c r="E235" s="104">
        <v>12.06</v>
      </c>
      <c r="F235" s="102">
        <f t="shared" si="64"/>
        <v>5200</v>
      </c>
      <c r="G235" s="32">
        <f t="shared" si="63"/>
        <v>8.9406925961538644</v>
      </c>
      <c r="H235" s="31">
        <f t="shared" si="65"/>
        <v>46491.601500000092</v>
      </c>
      <c r="I235" s="31">
        <f t="shared" si="66"/>
        <v>16220.398499999908</v>
      </c>
      <c r="J235" s="175">
        <f t="shared" si="67"/>
        <v>0.3488887880104512</v>
      </c>
      <c r="K235" s="31">
        <f t="shared" si="68"/>
        <v>62712</v>
      </c>
      <c r="L235" s="31">
        <f t="shared" si="69"/>
        <v>-544.99999999999636</v>
      </c>
      <c r="M235" s="31">
        <f t="shared" ref="M235:M266" si="80">IF(D235*E235*2.5/10000&gt;5,D235*E235*2.5/10000,5)</f>
        <v>5</v>
      </c>
      <c r="N235" s="31">
        <f t="shared" si="71"/>
        <v>0</v>
      </c>
      <c r="O235" s="125"/>
      <c r="P235" s="32">
        <f t="shared" si="72"/>
        <v>3.1193074038461361</v>
      </c>
      <c r="Q235" s="31">
        <f t="shared" si="73"/>
        <v>-19300.999999999996</v>
      </c>
      <c r="R235" s="34"/>
      <c r="S235" s="34">
        <f t="shared" si="74"/>
        <v>98223.642999999982</v>
      </c>
      <c r="T235" s="34">
        <f t="shared" si="75"/>
        <v>8144.5806799336633</v>
      </c>
      <c r="U235" s="34">
        <f t="shared" si="60"/>
        <v>13344.580679933664</v>
      </c>
      <c r="V235" s="31">
        <f>H235+S235-SUM(AB$15:AB235)</f>
        <v>144215.24450000009</v>
      </c>
      <c r="W235" s="32">
        <f t="shared" si="76"/>
        <v>10.807027059071068</v>
      </c>
      <c r="X235" s="32">
        <f t="shared" si="77"/>
        <v>1.8663344629172034</v>
      </c>
      <c r="Y235" s="32">
        <f t="shared" si="78"/>
        <v>1.2529729409289327</v>
      </c>
      <c r="Z235" s="38">
        <f t="shared" si="79"/>
        <v>0.38967129239356879</v>
      </c>
      <c r="AA235" s="31">
        <f>SUM(L$2:L235)-SUM(AB$2:AB235)</f>
        <v>12438.845000000041</v>
      </c>
      <c r="AB235" s="176"/>
      <c r="AC235" s="40">
        <f t="shared" si="61"/>
        <v>1344.3025124999924</v>
      </c>
      <c r="AD235" s="40">
        <f t="shared" si="62"/>
        <v>-3855.6974875000078</v>
      </c>
    </row>
    <row r="236" spans="1:30" s="1" customFormat="1" x14ac:dyDescent="0.25">
      <c r="A236" s="174">
        <v>43018</v>
      </c>
      <c r="B236" s="159"/>
      <c r="C236" s="64" t="s">
        <v>69</v>
      </c>
      <c r="D236" s="64">
        <v>500</v>
      </c>
      <c r="E236" s="104">
        <v>12.13</v>
      </c>
      <c r="F236" s="102">
        <f t="shared" si="64"/>
        <v>4700</v>
      </c>
      <c r="G236" s="32">
        <f t="shared" si="63"/>
        <v>8.6037588297872531</v>
      </c>
      <c r="H236" s="31">
        <f t="shared" si="65"/>
        <v>40437.666500000094</v>
      </c>
      <c r="I236" s="31">
        <f t="shared" si="66"/>
        <v>16573.333499999913</v>
      </c>
      <c r="J236" s="175">
        <f t="shared" si="67"/>
        <v>0.40984890906105764</v>
      </c>
      <c r="K236" s="31">
        <f t="shared" si="68"/>
        <v>57011.000000000007</v>
      </c>
      <c r="L236" s="31">
        <f t="shared" si="69"/>
        <v>352.93500000000495</v>
      </c>
      <c r="M236" s="31">
        <f t="shared" si="80"/>
        <v>5</v>
      </c>
      <c r="N236" s="31">
        <f t="shared" si="71"/>
        <v>6.0650000000000004</v>
      </c>
      <c r="O236" s="125"/>
      <c r="P236" s="32">
        <f t="shared" si="72"/>
        <v>3.5262411702127476</v>
      </c>
      <c r="Q236" s="31">
        <f t="shared" si="73"/>
        <v>6053.9349999999977</v>
      </c>
      <c r="R236" s="34"/>
      <c r="S236" s="34">
        <f t="shared" si="74"/>
        <v>104277.57799999998</v>
      </c>
      <c r="T236" s="34">
        <f t="shared" si="75"/>
        <v>8596.6676009892799</v>
      </c>
      <c r="U236" s="34">
        <f t="shared" si="60"/>
        <v>13296.66760098928</v>
      </c>
      <c r="V236" s="31">
        <f>H236+S236-SUM(AB$15:AB236)</f>
        <v>144215.24450000009</v>
      </c>
      <c r="W236" s="32">
        <f t="shared" si="76"/>
        <v>10.845968992206016</v>
      </c>
      <c r="X236" s="32">
        <f t="shared" si="77"/>
        <v>2.2422101624187629</v>
      </c>
      <c r="Y236" s="32">
        <f t="shared" si="78"/>
        <v>1.2840310077939847</v>
      </c>
      <c r="Z236" s="38">
        <f t="shared" si="79"/>
        <v>0.35347202329479283</v>
      </c>
      <c r="AA236" s="31">
        <f>SUM(L$2:L236)-SUM(AB$2:AB236)</f>
        <v>12791.780000000046</v>
      </c>
      <c r="AB236" s="176"/>
      <c r="AC236" s="40">
        <f t="shared" si="61"/>
        <v>1365.6262846867198</v>
      </c>
      <c r="AD236" s="40">
        <f t="shared" si="62"/>
        <v>-3334.3737153132802</v>
      </c>
    </row>
    <row r="237" spans="1:30" s="1" customFormat="1" x14ac:dyDescent="0.25">
      <c r="A237" s="174">
        <v>43020</v>
      </c>
      <c r="B237" s="159" t="s">
        <v>268</v>
      </c>
      <c r="C237" s="64" t="s">
        <v>63</v>
      </c>
      <c r="D237" s="64">
        <v>1600</v>
      </c>
      <c r="E237" s="104">
        <v>11.99</v>
      </c>
      <c r="F237" s="102">
        <f t="shared" si="64"/>
        <v>6300</v>
      </c>
      <c r="G237" s="32">
        <f t="shared" si="63"/>
        <v>9.4645502380952529</v>
      </c>
      <c r="H237" s="31">
        <f t="shared" si="65"/>
        <v>59626.666500000094</v>
      </c>
      <c r="I237" s="31">
        <f t="shared" si="66"/>
        <v>15910.333499999906</v>
      </c>
      <c r="J237" s="175">
        <f t="shared" si="67"/>
        <v>0.26683251695782595</v>
      </c>
      <c r="K237" s="31">
        <f t="shared" si="68"/>
        <v>75537</v>
      </c>
      <c r="L237" s="31">
        <f t="shared" si="69"/>
        <v>-663.00000000000728</v>
      </c>
      <c r="M237" s="31">
        <f t="shared" si="80"/>
        <v>5</v>
      </c>
      <c r="N237" s="31">
        <f t="shared" si="71"/>
        <v>0</v>
      </c>
      <c r="O237" s="125"/>
      <c r="P237" s="32">
        <f t="shared" si="72"/>
        <v>2.5254497619047473</v>
      </c>
      <c r="Q237" s="31">
        <f t="shared" si="73"/>
        <v>-19189</v>
      </c>
      <c r="R237" s="34"/>
      <c r="S237" s="34">
        <f t="shared" si="74"/>
        <v>85088.57799999998</v>
      </c>
      <c r="T237" s="34">
        <f t="shared" si="75"/>
        <v>7096.6286905754778</v>
      </c>
      <c r="U237" s="34">
        <f t="shared" si="60"/>
        <v>13396.628690575479</v>
      </c>
      <c r="V237" s="31">
        <f>H237+S237-SUM(AB$15:AB237)</f>
        <v>143715.24450000009</v>
      </c>
      <c r="W237" s="32">
        <f t="shared" si="76"/>
        <v>10.727717235389504</v>
      </c>
      <c r="X237" s="32">
        <f t="shared" si="77"/>
        <v>1.2631669972942507</v>
      </c>
      <c r="Y237" s="32">
        <f t="shared" si="78"/>
        <v>1.2622827646104966</v>
      </c>
      <c r="Z237" s="38">
        <f t="shared" si="79"/>
        <v>0.47026756846907658</v>
      </c>
      <c r="AA237" s="31">
        <f>SUM(L$2:L237)-SUM(AB$2:AB237)</f>
        <v>11628.780000000039</v>
      </c>
      <c r="AB237" s="176">
        <v>500</v>
      </c>
      <c r="AC237" s="40">
        <f t="shared" si="61"/>
        <v>1326.3034473102507</v>
      </c>
      <c r="AD237" s="40">
        <f t="shared" si="62"/>
        <v>-4973.6965526897493</v>
      </c>
    </row>
    <row r="238" spans="1:30" s="1" customFormat="1" x14ac:dyDescent="0.25">
      <c r="A238" s="174">
        <v>43021</v>
      </c>
      <c r="B238" s="159"/>
      <c r="C238" s="64" t="s">
        <v>69</v>
      </c>
      <c r="D238" s="64">
        <v>500</v>
      </c>
      <c r="E238" s="104">
        <v>12.08</v>
      </c>
      <c r="F238" s="102">
        <f t="shared" si="64"/>
        <v>5800</v>
      </c>
      <c r="G238" s="32">
        <f t="shared" si="63"/>
        <v>9.2409838793103614</v>
      </c>
      <c r="H238" s="31">
        <f t="shared" si="65"/>
        <v>53597.706500000095</v>
      </c>
      <c r="I238" s="31">
        <f t="shared" si="66"/>
        <v>16466.293499999905</v>
      </c>
      <c r="J238" s="175">
        <f t="shared" si="67"/>
        <v>0.30722011398006133</v>
      </c>
      <c r="K238" s="31">
        <f t="shared" si="68"/>
        <v>70064</v>
      </c>
      <c r="L238" s="31">
        <f t="shared" si="69"/>
        <v>555.95999999999913</v>
      </c>
      <c r="M238" s="31">
        <f t="shared" si="80"/>
        <v>5</v>
      </c>
      <c r="N238" s="31">
        <f t="shared" si="71"/>
        <v>6.04</v>
      </c>
      <c r="O238" s="125"/>
      <c r="P238" s="32">
        <f t="shared" si="72"/>
        <v>2.8390161206896387</v>
      </c>
      <c r="Q238" s="31">
        <f t="shared" si="73"/>
        <v>6028.9599999999991</v>
      </c>
      <c r="R238" s="34"/>
      <c r="S238" s="34">
        <f t="shared" si="74"/>
        <v>91117.537999999971</v>
      </c>
      <c r="T238" s="34">
        <f t="shared" si="75"/>
        <v>7542.8425496688715</v>
      </c>
      <c r="U238" s="34">
        <f t="shared" si="60"/>
        <v>13342.842549668872</v>
      </c>
      <c r="V238" s="31">
        <f>H238+S238-SUM(AB$15:AB238)</f>
        <v>143715.24450000006</v>
      </c>
      <c r="W238" s="32">
        <f t="shared" si="76"/>
        <v>10.770961582212976</v>
      </c>
      <c r="X238" s="32">
        <f t="shared" si="77"/>
        <v>1.5299777029026149</v>
      </c>
      <c r="Y238" s="32">
        <f t="shared" si="78"/>
        <v>1.3090384177870238</v>
      </c>
      <c r="Z238" s="38">
        <f t="shared" si="79"/>
        <v>0.43468998291851518</v>
      </c>
      <c r="AA238" s="31">
        <f>SUM(L$2:L238)-SUM(AB$2:AB238)</f>
        <v>12184.740000000038</v>
      </c>
      <c r="AB238" s="176"/>
      <c r="AC238" s="40">
        <f t="shared" si="61"/>
        <v>1362.4222146730056</v>
      </c>
      <c r="AD238" s="40">
        <f t="shared" si="62"/>
        <v>-4437.5777853269947</v>
      </c>
    </row>
    <row r="239" spans="1:30" s="1" customFormat="1" x14ac:dyDescent="0.25">
      <c r="A239" s="174">
        <v>43024</v>
      </c>
      <c r="B239" s="159" t="s">
        <v>269</v>
      </c>
      <c r="C239" s="64" t="s">
        <v>63</v>
      </c>
      <c r="D239" s="64">
        <v>1600</v>
      </c>
      <c r="E239" s="104">
        <v>11.93</v>
      </c>
      <c r="F239" s="102">
        <f t="shared" si="64"/>
        <v>7400</v>
      </c>
      <c r="G239" s="32">
        <f t="shared" si="63"/>
        <v>9.8230684459459585</v>
      </c>
      <c r="H239" s="31">
        <f t="shared" si="65"/>
        <v>72690.706500000088</v>
      </c>
      <c r="I239" s="31">
        <f t="shared" si="66"/>
        <v>15591.293499999912</v>
      </c>
      <c r="J239" s="175">
        <f t="shared" si="67"/>
        <v>0.21448812717207372</v>
      </c>
      <c r="K239" s="31">
        <f t="shared" si="68"/>
        <v>88282</v>
      </c>
      <c r="L239" s="31">
        <f t="shared" si="69"/>
        <v>-874.99999999999272</v>
      </c>
      <c r="M239" s="31">
        <f t="shared" si="80"/>
        <v>5</v>
      </c>
      <c r="N239" s="31">
        <f t="shared" si="71"/>
        <v>0</v>
      </c>
      <c r="O239" s="125"/>
      <c r="P239" s="32">
        <f t="shared" si="72"/>
        <v>2.1069315540540412</v>
      </c>
      <c r="Q239" s="31">
        <f t="shared" si="73"/>
        <v>-19092.999999999993</v>
      </c>
      <c r="R239" s="34"/>
      <c r="S239" s="34">
        <f t="shared" si="74"/>
        <v>72024.537999999971</v>
      </c>
      <c r="T239" s="34">
        <f t="shared" si="75"/>
        <v>6037.2621961441719</v>
      </c>
      <c r="U239" s="34">
        <f t="shared" si="60"/>
        <v>13437.262196144173</v>
      </c>
      <c r="V239" s="31">
        <f>H239+S239-SUM(AB$15:AB239)</f>
        <v>143715.24450000006</v>
      </c>
      <c r="W239" s="32">
        <f t="shared" si="76"/>
        <v>10.695277237444932</v>
      </c>
      <c r="X239" s="32">
        <f t="shared" si="77"/>
        <v>0.87220879149897357</v>
      </c>
      <c r="Y239" s="32">
        <f t="shared" si="78"/>
        <v>1.2347227625550676</v>
      </c>
      <c r="Z239" s="38">
        <f t="shared" si="79"/>
        <v>0.550707420304966</v>
      </c>
      <c r="AA239" s="31">
        <f>SUM(L$2:L239)-SUM(AB$2:AB239)</f>
        <v>11309.740000000045</v>
      </c>
      <c r="AB239" s="176"/>
      <c r="AC239" s="40">
        <f t="shared" si="61"/>
        <v>1306.2445811609316</v>
      </c>
      <c r="AD239" s="40">
        <f t="shared" si="62"/>
        <v>-6093.7554188390686</v>
      </c>
    </row>
    <row r="240" spans="1:30" s="1" customFormat="1" x14ac:dyDescent="0.25">
      <c r="A240" s="174">
        <v>43024</v>
      </c>
      <c r="B240" s="159" t="s">
        <v>270</v>
      </c>
      <c r="C240" s="64" t="s">
        <v>63</v>
      </c>
      <c r="D240" s="64">
        <v>1600</v>
      </c>
      <c r="E240" s="104">
        <v>11.86</v>
      </c>
      <c r="F240" s="102">
        <f t="shared" si="64"/>
        <v>9000</v>
      </c>
      <c r="G240" s="32">
        <f t="shared" si="63"/>
        <v>10.185745166666676</v>
      </c>
      <c r="H240" s="31">
        <f t="shared" si="65"/>
        <v>91671.706500000088</v>
      </c>
      <c r="I240" s="31">
        <f t="shared" si="66"/>
        <v>15068.293499999912</v>
      </c>
      <c r="J240" s="175">
        <f t="shared" si="67"/>
        <v>0.16437234644475499</v>
      </c>
      <c r="K240" s="31">
        <f t="shared" si="68"/>
        <v>106740</v>
      </c>
      <c r="L240" s="31">
        <f t="shared" si="69"/>
        <v>-523</v>
      </c>
      <c r="M240" s="31">
        <f t="shared" si="80"/>
        <v>5</v>
      </c>
      <c r="N240" s="31">
        <f t="shared" si="71"/>
        <v>0</v>
      </c>
      <c r="O240" s="125"/>
      <c r="P240" s="32">
        <f t="shared" si="72"/>
        <v>1.6742548333333236</v>
      </c>
      <c r="Q240" s="31">
        <f t="shared" si="73"/>
        <v>-18981</v>
      </c>
      <c r="R240" s="34"/>
      <c r="S240" s="34">
        <f t="shared" si="74"/>
        <v>53043.537999999971</v>
      </c>
      <c r="T240" s="34">
        <f t="shared" si="75"/>
        <v>4472.4736930860008</v>
      </c>
      <c r="U240" s="34">
        <f t="shared" si="60"/>
        <v>13472.473693086002</v>
      </c>
      <c r="V240" s="31">
        <f>H240+S240-SUM(AB$15:AB240)</f>
        <v>143715.24450000006</v>
      </c>
      <c r="W240" s="32">
        <f t="shared" si="76"/>
        <v>10.667324188115055</v>
      </c>
      <c r="X240" s="32">
        <f t="shared" si="77"/>
        <v>0.48157902144837905</v>
      </c>
      <c r="Y240" s="32">
        <f t="shared" si="78"/>
        <v>1.1926758118849445</v>
      </c>
      <c r="Z240" s="38">
        <f t="shared" si="79"/>
        <v>0.66802876776955589</v>
      </c>
      <c r="AA240" s="31">
        <f>SUM(L$2:L240)-SUM(AB$2:AB240)</f>
        <v>10786.740000000045</v>
      </c>
      <c r="AB240" s="176"/>
      <c r="AC240" s="40">
        <f t="shared" si="61"/>
        <v>1269.878528941814</v>
      </c>
      <c r="AD240" s="40">
        <f t="shared" si="62"/>
        <v>-7730.1214710581862</v>
      </c>
    </row>
    <row r="241" spans="1:30" s="1" customFormat="1" x14ac:dyDescent="0.25">
      <c r="A241" s="174">
        <v>43024</v>
      </c>
      <c r="B241" s="159"/>
      <c r="C241" s="64" t="s">
        <v>63</v>
      </c>
      <c r="D241" s="64">
        <v>500</v>
      </c>
      <c r="E241" s="104">
        <v>11.75</v>
      </c>
      <c r="F241" s="102">
        <f t="shared" si="64"/>
        <v>9500</v>
      </c>
      <c r="G241" s="32">
        <f t="shared" si="63"/>
        <v>10.268600684210536</v>
      </c>
      <c r="H241" s="31">
        <f t="shared" si="65"/>
        <v>97551.706500000088</v>
      </c>
      <c r="I241" s="31">
        <f t="shared" si="66"/>
        <v>14073.293499999912</v>
      </c>
      <c r="J241" s="175">
        <f t="shared" si="67"/>
        <v>0.14426496475486966</v>
      </c>
      <c r="K241" s="31">
        <f t="shared" si="68"/>
        <v>111625</v>
      </c>
      <c r="L241" s="31">
        <f t="shared" si="69"/>
        <v>-995</v>
      </c>
      <c r="M241" s="31">
        <f t="shared" si="80"/>
        <v>5</v>
      </c>
      <c r="N241" s="31">
        <f t="shared" si="71"/>
        <v>0</v>
      </c>
      <c r="O241" s="125"/>
      <c r="P241" s="32">
        <f t="shared" si="72"/>
        <v>1.4813993157894636</v>
      </c>
      <c r="Q241" s="31">
        <f t="shared" si="73"/>
        <v>-5880</v>
      </c>
      <c r="R241" s="34"/>
      <c r="S241" s="34">
        <f t="shared" si="74"/>
        <v>47163.537999999971</v>
      </c>
      <c r="T241" s="34">
        <f t="shared" si="75"/>
        <v>4013.9181276595718</v>
      </c>
      <c r="U241" s="34">
        <f t="shared" si="60"/>
        <v>13513.918127659572</v>
      </c>
      <c r="V241" s="31">
        <f>H241+S241-SUM(AB$15:AB241)</f>
        <v>143715.24450000006</v>
      </c>
      <c r="W241" s="32">
        <f t="shared" si="76"/>
        <v>10.634609677400022</v>
      </c>
      <c r="X241" s="32">
        <f t="shared" si="77"/>
        <v>0.36600899318948521</v>
      </c>
      <c r="Y241" s="32">
        <f t="shared" si="78"/>
        <v>1.1153903225999784</v>
      </c>
      <c r="Z241" s="38">
        <f t="shared" si="79"/>
        <v>0.70297895179310754</v>
      </c>
      <c r="AA241" s="31">
        <f>SUM(L$2:L241)-SUM(AB$2:AB241)</f>
        <v>9791.7400000000453</v>
      </c>
      <c r="AB241" s="176"/>
      <c r="AC241" s="40">
        <f t="shared" si="61"/>
        <v>1197.1282428297798</v>
      </c>
      <c r="AD241" s="40">
        <f t="shared" si="62"/>
        <v>-8302.87175717022</v>
      </c>
    </row>
    <row r="242" spans="1:30" s="1" customFormat="1" x14ac:dyDescent="0.25">
      <c r="A242" s="174">
        <v>43025</v>
      </c>
      <c r="B242" s="159"/>
      <c r="C242" s="64" t="s">
        <v>63</v>
      </c>
      <c r="D242" s="64">
        <v>500</v>
      </c>
      <c r="E242" s="104">
        <v>11.64</v>
      </c>
      <c r="F242" s="102">
        <f t="shared" si="64"/>
        <v>10000</v>
      </c>
      <c r="G242" s="32">
        <f t="shared" si="63"/>
        <v>10.337670650000009</v>
      </c>
      <c r="H242" s="31">
        <f t="shared" si="65"/>
        <v>103376.70650000009</v>
      </c>
      <c r="I242" s="31">
        <f t="shared" si="66"/>
        <v>13023.293499999912</v>
      </c>
      <c r="J242" s="175">
        <f t="shared" si="67"/>
        <v>0.12597899411701521</v>
      </c>
      <c r="K242" s="31">
        <f t="shared" si="68"/>
        <v>116400</v>
      </c>
      <c r="L242" s="31">
        <f t="shared" si="69"/>
        <v>-1050</v>
      </c>
      <c r="M242" s="31">
        <f t="shared" si="80"/>
        <v>5</v>
      </c>
      <c r="N242" s="31">
        <f t="shared" si="71"/>
        <v>0</v>
      </c>
      <c r="O242" s="125"/>
      <c r="P242" s="32">
        <f t="shared" si="72"/>
        <v>1.3023293499999919</v>
      </c>
      <c r="Q242" s="31">
        <f t="shared" si="73"/>
        <v>-5825</v>
      </c>
      <c r="R242" s="34"/>
      <c r="S242" s="34">
        <f t="shared" si="74"/>
        <v>41338.537999999971</v>
      </c>
      <c r="T242" s="34">
        <f t="shared" si="75"/>
        <v>3551.4207903780043</v>
      </c>
      <c r="U242" s="34">
        <f t="shared" si="60"/>
        <v>13551.420790378004</v>
      </c>
      <c r="V242" s="31">
        <f>H242+S242-SUM(AB$15:AB242)</f>
        <v>143715.24450000006</v>
      </c>
      <c r="W242" s="32">
        <f t="shared" si="76"/>
        <v>10.605179096943329</v>
      </c>
      <c r="X242" s="32">
        <f t="shared" si="77"/>
        <v>0.26750844694332088</v>
      </c>
      <c r="Y242" s="32">
        <f t="shared" si="78"/>
        <v>1.0348209030566711</v>
      </c>
      <c r="Z242" s="38">
        <f t="shared" si="79"/>
        <v>0.73793000414394627</v>
      </c>
      <c r="AA242" s="31">
        <f>SUM(L$2:L242)-SUM(AB$2:AB242)</f>
        <v>8741.7400000000453</v>
      </c>
      <c r="AB242" s="176"/>
      <c r="AC242" s="40">
        <f t="shared" si="61"/>
        <v>1118.2802279424325</v>
      </c>
      <c r="AD242" s="40">
        <f t="shared" si="62"/>
        <v>-8881.7197720575678</v>
      </c>
    </row>
    <row r="243" spans="1:30" s="1" customFormat="1" x14ac:dyDescent="0.25">
      <c r="A243" s="174">
        <v>43025</v>
      </c>
      <c r="B243" s="159" t="s">
        <v>271</v>
      </c>
      <c r="C243" s="64" t="s">
        <v>63</v>
      </c>
      <c r="D243" s="64">
        <v>1600</v>
      </c>
      <c r="E243" s="104">
        <v>11.59</v>
      </c>
      <c r="F243" s="102">
        <f t="shared" si="64"/>
        <v>11600</v>
      </c>
      <c r="G243" s="32">
        <f t="shared" si="63"/>
        <v>10.510836767241386</v>
      </c>
      <c r="H243" s="31">
        <f t="shared" si="65"/>
        <v>121925.70650000009</v>
      </c>
      <c r="I243" s="31">
        <f t="shared" si="66"/>
        <v>12518.293499999912</v>
      </c>
      <c r="J243" s="175">
        <f t="shared" si="67"/>
        <v>0.10267148626282439</v>
      </c>
      <c r="K243" s="31">
        <f t="shared" si="68"/>
        <v>134444</v>
      </c>
      <c r="L243" s="31">
        <f t="shared" si="69"/>
        <v>-505</v>
      </c>
      <c r="M243" s="31">
        <f t="shared" si="80"/>
        <v>5</v>
      </c>
      <c r="N243" s="31">
        <f t="shared" si="71"/>
        <v>0</v>
      </c>
      <c r="O243" s="125"/>
      <c r="P243" s="32">
        <f t="shared" si="72"/>
        <v>1.0791632327586136</v>
      </c>
      <c r="Q243" s="31">
        <f t="shared" si="73"/>
        <v>-18549</v>
      </c>
      <c r="R243" s="34"/>
      <c r="S243" s="34">
        <f t="shared" si="74"/>
        <v>22789.537999999971</v>
      </c>
      <c r="T243" s="34">
        <f t="shared" si="75"/>
        <v>1966.3104400345101</v>
      </c>
      <c r="U243" s="34">
        <f t="shared" si="60"/>
        <v>13566.310440034511</v>
      </c>
      <c r="V243" s="31">
        <f>H243+S243-SUM(AB$15:AB243)</f>
        <v>143715.24450000006</v>
      </c>
      <c r="W243" s="32">
        <f t="shared" si="76"/>
        <v>10.593539425125707</v>
      </c>
      <c r="X243" s="32">
        <f t="shared" si="77"/>
        <v>8.2702657884320629E-2</v>
      </c>
      <c r="Y243" s="32">
        <f t="shared" si="78"/>
        <v>0.99646057487429296</v>
      </c>
      <c r="Z243" s="38">
        <f t="shared" si="79"/>
        <v>0.85505930674917474</v>
      </c>
      <c r="AA243" s="31">
        <f>SUM(L$2:L243)-SUM(AB$2:AB243)</f>
        <v>8236.7400000000453</v>
      </c>
      <c r="AB243" s="176"/>
      <c r="AC243" s="40">
        <f t="shared" si="61"/>
        <v>1079.5543014020634</v>
      </c>
      <c r="AD243" s="40">
        <f t="shared" si="62"/>
        <v>-10520.445698597936</v>
      </c>
    </row>
    <row r="244" spans="1:30" s="1" customFormat="1" x14ac:dyDescent="0.25">
      <c r="A244" s="174">
        <v>43026</v>
      </c>
      <c r="B244" s="159"/>
      <c r="C244" s="64" t="s">
        <v>69</v>
      </c>
      <c r="D244" s="64">
        <v>500</v>
      </c>
      <c r="E244" s="104">
        <v>11.68</v>
      </c>
      <c r="F244" s="102">
        <f t="shared" si="64"/>
        <v>11100</v>
      </c>
      <c r="G244" s="32">
        <f t="shared" si="63"/>
        <v>10.45914833333334</v>
      </c>
      <c r="H244" s="31">
        <f t="shared" si="65"/>
        <v>116096.54650000008</v>
      </c>
      <c r="I244" s="31">
        <f t="shared" si="66"/>
        <v>13551.453499999916</v>
      </c>
      <c r="J244" s="175">
        <f t="shared" si="67"/>
        <v>0.11672572448139024</v>
      </c>
      <c r="K244" s="31">
        <f t="shared" si="68"/>
        <v>129648</v>
      </c>
      <c r="L244" s="31">
        <f t="shared" si="69"/>
        <v>1033.1600000000035</v>
      </c>
      <c r="M244" s="31">
        <f t="shared" si="80"/>
        <v>5</v>
      </c>
      <c r="N244" s="31">
        <f t="shared" si="71"/>
        <v>5.84</v>
      </c>
      <c r="O244" s="125"/>
      <c r="P244" s="32">
        <f t="shared" si="72"/>
        <v>1.2208516666666593</v>
      </c>
      <c r="Q244" s="31">
        <f t="shared" si="73"/>
        <v>5829.1600000000035</v>
      </c>
      <c r="R244" s="34"/>
      <c r="S244" s="34">
        <f t="shared" si="74"/>
        <v>28618.697999999975</v>
      </c>
      <c r="T244" s="34">
        <f t="shared" si="75"/>
        <v>2450.2309931506829</v>
      </c>
      <c r="U244" s="34">
        <f t="shared" si="60"/>
        <v>13550.230993150682</v>
      </c>
      <c r="V244" s="31">
        <f>H244+S244-SUM(AB$15:AB244)</f>
        <v>143715.24450000006</v>
      </c>
      <c r="W244" s="32">
        <f t="shared" si="76"/>
        <v>10.606110299717006</v>
      </c>
      <c r="X244" s="32">
        <f t="shared" si="77"/>
        <v>0.14696196638366565</v>
      </c>
      <c r="Y244" s="32">
        <f t="shared" si="78"/>
        <v>1.0738897002829937</v>
      </c>
      <c r="Z244" s="38">
        <f t="shared" si="79"/>
        <v>0.81917422703795861</v>
      </c>
      <c r="AA244" s="31">
        <f>SUM(L$2:L244)-SUM(AB$2:AB244)</f>
        <v>9269.9000000000487</v>
      </c>
      <c r="AB244" s="176"/>
      <c r="AC244" s="40">
        <f t="shared" si="61"/>
        <v>1159.6470696275615</v>
      </c>
      <c r="AD244" s="40">
        <f t="shared" si="62"/>
        <v>-9940.352930372439</v>
      </c>
    </row>
    <row r="245" spans="1:30" s="1" customFormat="1" x14ac:dyDescent="0.25">
      <c r="A245" s="174">
        <v>43027</v>
      </c>
      <c r="B245" s="159" t="s">
        <v>272</v>
      </c>
      <c r="C245" s="64" t="s">
        <v>69</v>
      </c>
      <c r="D245" s="64">
        <v>500</v>
      </c>
      <c r="E245" s="104">
        <v>11.75</v>
      </c>
      <c r="F245" s="102">
        <f t="shared" si="64"/>
        <v>10600</v>
      </c>
      <c r="G245" s="32">
        <f t="shared" si="63"/>
        <v>10.399285047169819</v>
      </c>
      <c r="H245" s="31">
        <f t="shared" si="65"/>
        <v>110232.42150000008</v>
      </c>
      <c r="I245" s="31">
        <f t="shared" si="66"/>
        <v>14317.578499999916</v>
      </c>
      <c r="J245" s="175">
        <f t="shared" si="67"/>
        <v>0.12988536680199761</v>
      </c>
      <c r="K245" s="31">
        <f t="shared" si="68"/>
        <v>124550</v>
      </c>
      <c r="L245" s="31">
        <f t="shared" si="69"/>
        <v>766.125</v>
      </c>
      <c r="M245" s="31">
        <f t="shared" si="80"/>
        <v>5</v>
      </c>
      <c r="N245" s="31">
        <f t="shared" si="71"/>
        <v>5.875</v>
      </c>
      <c r="O245" s="125"/>
      <c r="P245" s="32">
        <f t="shared" si="72"/>
        <v>1.3507149528301809</v>
      </c>
      <c r="Q245" s="31">
        <f t="shared" si="73"/>
        <v>5864.125</v>
      </c>
      <c r="R245" s="34"/>
      <c r="S245" s="34">
        <f t="shared" si="74"/>
        <v>34482.822999999975</v>
      </c>
      <c r="T245" s="34">
        <f t="shared" si="75"/>
        <v>2934.70834042553</v>
      </c>
      <c r="U245" s="34">
        <f t="shared" si="60"/>
        <v>13534.70834042553</v>
      </c>
      <c r="V245" s="31">
        <f>H245+S245-SUM(AB$15:AB245)</f>
        <v>143715.24450000006</v>
      </c>
      <c r="W245" s="32">
        <f t="shared" si="76"/>
        <v>10.618274209186369</v>
      </c>
      <c r="X245" s="32">
        <f t="shared" si="77"/>
        <v>0.21898916201655005</v>
      </c>
      <c r="Y245" s="32">
        <f t="shared" si="78"/>
        <v>1.1317257908136309</v>
      </c>
      <c r="Z245" s="38">
        <f t="shared" si="79"/>
        <v>0.78317166010440509</v>
      </c>
      <c r="AA245" s="31">
        <f>SUM(L$2:L245)-SUM(AB$2:AB245)</f>
        <v>10036.025000000049</v>
      </c>
      <c r="AB245" s="176"/>
      <c r="AC245" s="40">
        <f t="shared" si="61"/>
        <v>1217.9080604893547</v>
      </c>
      <c r="AD245" s="40">
        <f t="shared" si="62"/>
        <v>-9382.0919395106448</v>
      </c>
    </row>
    <row r="246" spans="1:30" s="1" customFormat="1" x14ac:dyDescent="0.25">
      <c r="A246" s="174">
        <v>43028</v>
      </c>
      <c r="B246" s="159" t="s">
        <v>273</v>
      </c>
      <c r="C246" s="64" t="s">
        <v>63</v>
      </c>
      <c r="D246" s="64">
        <v>800</v>
      </c>
      <c r="E246" s="104">
        <v>11.71</v>
      </c>
      <c r="F246" s="102">
        <f t="shared" si="64"/>
        <v>11400</v>
      </c>
      <c r="G246" s="32">
        <f t="shared" si="63"/>
        <v>10.491703640350885</v>
      </c>
      <c r="H246" s="31">
        <f t="shared" si="65"/>
        <v>119605.42150000008</v>
      </c>
      <c r="I246" s="31">
        <f t="shared" si="66"/>
        <v>13888.578499999916</v>
      </c>
      <c r="J246" s="175">
        <f t="shared" si="67"/>
        <v>0.11611997454479868</v>
      </c>
      <c r="K246" s="31">
        <f t="shared" si="68"/>
        <v>133494</v>
      </c>
      <c r="L246" s="31">
        <f t="shared" si="69"/>
        <v>-429</v>
      </c>
      <c r="M246" s="31">
        <f t="shared" si="80"/>
        <v>5</v>
      </c>
      <c r="N246" s="31">
        <f t="shared" si="71"/>
        <v>0</v>
      </c>
      <c r="O246" s="125"/>
      <c r="P246" s="32">
        <f t="shared" si="72"/>
        <v>1.2182963596491163</v>
      </c>
      <c r="Q246" s="31">
        <f t="shared" si="73"/>
        <v>-9373</v>
      </c>
      <c r="R246" s="34"/>
      <c r="S246" s="34">
        <f t="shared" si="74"/>
        <v>25109.822999999975</v>
      </c>
      <c r="T246" s="34">
        <f t="shared" si="75"/>
        <v>2144.3059777967528</v>
      </c>
      <c r="U246" s="34">
        <f t="shared" si="60"/>
        <v>13544.305977796754</v>
      </c>
      <c r="V246" s="31">
        <f>H246+S246-SUM(AB$15:AB246)</f>
        <v>143715.24450000006</v>
      </c>
      <c r="W246" s="32">
        <f t="shared" si="76"/>
        <v>10.610749988636787</v>
      </c>
      <c r="X246" s="32">
        <f t="shared" si="77"/>
        <v>0.11904634828590233</v>
      </c>
      <c r="Y246" s="32">
        <f t="shared" si="78"/>
        <v>1.099250011363214</v>
      </c>
      <c r="Z246" s="38">
        <f t="shared" si="79"/>
        <v>0.84168210749875816</v>
      </c>
      <c r="AA246" s="31">
        <f>SUM(L$2:L246)-SUM(AB$2:AB246)</f>
        <v>9607.0250000000487</v>
      </c>
      <c r="AB246" s="176"/>
      <c r="AC246" s="40">
        <f t="shared" si="61"/>
        <v>1185.45125625533</v>
      </c>
      <c r="AD246" s="40">
        <f t="shared" si="62"/>
        <v>-10214.54874374467</v>
      </c>
    </row>
    <row r="247" spans="1:30" s="1" customFormat="1" x14ac:dyDescent="0.25">
      <c r="A247" s="174">
        <v>43031</v>
      </c>
      <c r="B247" s="159"/>
      <c r="C247" s="64" t="s">
        <v>69</v>
      </c>
      <c r="D247" s="64">
        <v>400</v>
      </c>
      <c r="E247" s="104">
        <v>11.81</v>
      </c>
      <c r="F247" s="102">
        <f t="shared" si="64"/>
        <v>11000</v>
      </c>
      <c r="G247" s="32">
        <f t="shared" si="63"/>
        <v>10.4446495909091</v>
      </c>
      <c r="H247" s="31">
        <f t="shared" si="65"/>
        <v>114891.14550000009</v>
      </c>
      <c r="I247" s="31">
        <f t="shared" si="66"/>
        <v>15018.854499999914</v>
      </c>
      <c r="J247" s="175">
        <f t="shared" si="67"/>
        <v>0.13072247155895839</v>
      </c>
      <c r="K247" s="31">
        <f t="shared" si="68"/>
        <v>129910</v>
      </c>
      <c r="L247" s="31">
        <f t="shared" si="69"/>
        <v>1130.275999999998</v>
      </c>
      <c r="M247" s="31">
        <f t="shared" si="80"/>
        <v>5</v>
      </c>
      <c r="N247" s="31">
        <f t="shared" si="71"/>
        <v>4.7240000000000002</v>
      </c>
      <c r="O247" s="125"/>
      <c r="P247" s="32">
        <f t="shared" si="72"/>
        <v>1.365350409090901</v>
      </c>
      <c r="Q247" s="31">
        <f t="shared" si="73"/>
        <v>4714.275999999998</v>
      </c>
      <c r="R247" s="34"/>
      <c r="S247" s="34">
        <f t="shared" si="74"/>
        <v>29824.098999999973</v>
      </c>
      <c r="T247" s="34">
        <f t="shared" si="75"/>
        <v>2525.3259102455522</v>
      </c>
      <c r="U247" s="34">
        <f t="shared" si="60"/>
        <v>13525.325910245552</v>
      </c>
      <c r="V247" s="31">
        <f>H247+S247-SUM(AB$15:AB247)</f>
        <v>143715.24450000006</v>
      </c>
      <c r="W247" s="32">
        <f t="shared" si="76"/>
        <v>10.625640036602334</v>
      </c>
      <c r="X247" s="32">
        <f t="shared" si="77"/>
        <v>0.18099044569323475</v>
      </c>
      <c r="Y247" s="32">
        <f t="shared" si="78"/>
        <v>1.1843599633976662</v>
      </c>
      <c r="Z247" s="38">
        <f t="shared" si="79"/>
        <v>0.81328908988931681</v>
      </c>
      <c r="AA247" s="31">
        <f>SUM(L$2:L247)-SUM(AB$2:AB247)</f>
        <v>10737.301000000047</v>
      </c>
      <c r="AB247" s="176"/>
      <c r="AC247" s="40">
        <f t="shared" si="61"/>
        <v>1271.0707089542689</v>
      </c>
      <c r="AD247" s="40">
        <f t="shared" si="62"/>
        <v>-9728.9292910457316</v>
      </c>
    </row>
    <row r="248" spans="1:30" s="1" customFormat="1" x14ac:dyDescent="0.25">
      <c r="A248" s="174">
        <v>43031</v>
      </c>
      <c r="B248" s="177"/>
      <c r="C248" s="64" t="s">
        <v>69</v>
      </c>
      <c r="D248" s="64">
        <v>400</v>
      </c>
      <c r="E248" s="104">
        <v>11.84</v>
      </c>
      <c r="F248" s="102">
        <f t="shared" si="64"/>
        <v>10600</v>
      </c>
      <c r="G248" s="32">
        <f t="shared" si="63"/>
        <v>10.392913349056613</v>
      </c>
      <c r="H248" s="31">
        <f t="shared" si="65"/>
        <v>110164.88150000009</v>
      </c>
      <c r="I248" s="31">
        <f t="shared" si="66"/>
        <v>15339.11849999991</v>
      </c>
      <c r="J248" s="175">
        <f t="shared" si="67"/>
        <v>0.13923782507767585</v>
      </c>
      <c r="K248" s="31">
        <f t="shared" si="68"/>
        <v>125504</v>
      </c>
      <c r="L248" s="31">
        <f t="shared" si="69"/>
        <v>320.26399999999558</v>
      </c>
      <c r="M248" s="31">
        <f t="shared" si="80"/>
        <v>5</v>
      </c>
      <c r="N248" s="31">
        <f t="shared" si="71"/>
        <v>4.7359999999999998</v>
      </c>
      <c r="O248" s="125"/>
      <c r="P248" s="32">
        <f t="shared" si="72"/>
        <v>1.4470866509433868</v>
      </c>
      <c r="Q248" s="31">
        <f t="shared" si="73"/>
        <v>4726.2639999999956</v>
      </c>
      <c r="R248" s="34"/>
      <c r="S248" s="34">
        <f t="shared" si="74"/>
        <v>34550.362999999968</v>
      </c>
      <c r="T248" s="34">
        <f t="shared" si="75"/>
        <v>2918.1049831081054</v>
      </c>
      <c r="U248" s="34">
        <f t="shared" si="60"/>
        <v>13518.104983108105</v>
      </c>
      <c r="V248" s="31">
        <f>H248+S248-SUM(AB$15:AB248)</f>
        <v>143715.24450000006</v>
      </c>
      <c r="W248" s="32">
        <f t="shared" si="76"/>
        <v>10.631315904084421</v>
      </c>
      <c r="X248" s="32">
        <f t="shared" si="77"/>
        <v>0.23840255502780749</v>
      </c>
      <c r="Y248" s="32">
        <f t="shared" si="78"/>
        <v>1.2086840959155793</v>
      </c>
      <c r="Z248" s="38">
        <f t="shared" si="79"/>
        <v>0.78413357591507848</v>
      </c>
      <c r="AA248" s="31">
        <f>SUM(L$2:L248)-SUM(AB$2:AB248)</f>
        <v>11057.565000000042</v>
      </c>
      <c r="AB248" s="176"/>
      <c r="AC248" s="40">
        <f t="shared" si="61"/>
        <v>1294.8858902660397</v>
      </c>
      <c r="AD248" s="40">
        <f t="shared" si="62"/>
        <v>-9305.1141097339605</v>
      </c>
    </row>
    <row r="249" spans="1:30" s="1" customFormat="1" x14ac:dyDescent="0.25">
      <c r="A249" s="174">
        <v>43031</v>
      </c>
      <c r="B249" s="159" t="s">
        <v>274</v>
      </c>
      <c r="C249" s="64" t="s">
        <v>69</v>
      </c>
      <c r="D249" s="64">
        <v>500</v>
      </c>
      <c r="E249" s="104">
        <v>11.88</v>
      </c>
      <c r="F249" s="102">
        <f t="shared" si="64"/>
        <v>10100</v>
      </c>
      <c r="G249" s="32">
        <f t="shared" si="63"/>
        <v>10.320378366336643</v>
      </c>
      <c r="H249" s="31">
        <f t="shared" si="65"/>
        <v>104235.82150000009</v>
      </c>
      <c r="I249" s="31">
        <f t="shared" si="66"/>
        <v>15752.178499999922</v>
      </c>
      <c r="J249" s="175">
        <f t="shared" si="67"/>
        <v>0.15112058669773043</v>
      </c>
      <c r="K249" s="31">
        <f t="shared" si="68"/>
        <v>119988.00000000001</v>
      </c>
      <c r="L249" s="31">
        <f t="shared" si="69"/>
        <v>413.06000000001222</v>
      </c>
      <c r="M249" s="31">
        <f t="shared" si="80"/>
        <v>5</v>
      </c>
      <c r="N249" s="31">
        <f t="shared" si="71"/>
        <v>5.94</v>
      </c>
      <c r="O249" s="125"/>
      <c r="P249" s="32">
        <f t="shared" si="72"/>
        <v>1.5596216336633582</v>
      </c>
      <c r="Q249" s="31">
        <f t="shared" si="73"/>
        <v>5929.0599999999977</v>
      </c>
      <c r="R249" s="34"/>
      <c r="S249" s="34">
        <f t="shared" si="74"/>
        <v>40479.422999999966</v>
      </c>
      <c r="T249" s="34">
        <f t="shared" si="75"/>
        <v>3407.3588383838355</v>
      </c>
      <c r="U249" s="34">
        <f t="shared" si="60"/>
        <v>13507.358838383836</v>
      </c>
      <c r="V249" s="31">
        <f>H249+S249-SUM(AB$15:AB249)</f>
        <v>143715.24450000006</v>
      </c>
      <c r="W249" s="32">
        <f t="shared" si="76"/>
        <v>10.639773935049739</v>
      </c>
      <c r="X249" s="32">
        <f t="shared" si="77"/>
        <v>0.31939556871309627</v>
      </c>
      <c r="Y249" s="32">
        <f t="shared" si="78"/>
        <v>1.2402260649502619</v>
      </c>
      <c r="Z249" s="38">
        <f t="shared" si="79"/>
        <v>0.74774055541478979</v>
      </c>
      <c r="AA249" s="31">
        <f>SUM(L$2:L249)-SUM(AB$2:AB249)</f>
        <v>11470.625000000055</v>
      </c>
      <c r="AB249" s="176"/>
      <c r="AC249" s="40">
        <f t="shared" si="61"/>
        <v>1325.2779807028553</v>
      </c>
      <c r="AD249" s="40">
        <f t="shared" si="62"/>
        <v>-8774.7220192971454</v>
      </c>
    </row>
    <row r="250" spans="1:30" s="1" customFormat="1" x14ac:dyDescent="0.25">
      <c r="A250" s="174">
        <v>43032</v>
      </c>
      <c r="B250" s="159"/>
      <c r="C250" s="64" t="s">
        <v>69</v>
      </c>
      <c r="D250" s="64">
        <v>500</v>
      </c>
      <c r="E250" s="104">
        <v>11.93</v>
      </c>
      <c r="F250" s="102">
        <f t="shared" si="64"/>
        <v>9600</v>
      </c>
      <c r="G250" s="32">
        <f t="shared" si="63"/>
        <v>10.237686093750009</v>
      </c>
      <c r="H250" s="31">
        <f t="shared" si="65"/>
        <v>98281.786500000089</v>
      </c>
      <c r="I250" s="31">
        <f t="shared" si="66"/>
        <v>16246.213499999911</v>
      </c>
      <c r="J250" s="175">
        <f t="shared" si="67"/>
        <v>0.16530238285808835</v>
      </c>
      <c r="K250" s="31">
        <f t="shared" si="68"/>
        <v>114528</v>
      </c>
      <c r="L250" s="31">
        <f t="shared" si="69"/>
        <v>494.03499999998894</v>
      </c>
      <c r="M250" s="31">
        <f t="shared" si="80"/>
        <v>5</v>
      </c>
      <c r="N250" s="31">
        <f t="shared" si="71"/>
        <v>5.9649999999999999</v>
      </c>
      <c r="O250" s="125"/>
      <c r="P250" s="32">
        <f t="shared" si="72"/>
        <v>1.692313906249991</v>
      </c>
      <c r="Q250" s="31">
        <f t="shared" si="73"/>
        <v>5954.0350000000035</v>
      </c>
      <c r="R250" s="34"/>
      <c r="S250" s="34">
        <f t="shared" si="74"/>
        <v>46433.45799999997</v>
      </c>
      <c r="T250" s="34">
        <f t="shared" si="75"/>
        <v>3892.159094719193</v>
      </c>
      <c r="U250" s="34">
        <f t="shared" si="60"/>
        <v>13492.159094719193</v>
      </c>
      <c r="V250" s="31">
        <f>H250+S250-SUM(AB$15:AB250)</f>
        <v>143715.24450000006</v>
      </c>
      <c r="W250" s="32">
        <f t="shared" si="76"/>
        <v>10.651760292112916</v>
      </c>
      <c r="X250" s="32">
        <f t="shared" si="77"/>
        <v>0.41407419836290771</v>
      </c>
      <c r="Y250" s="32">
        <f t="shared" si="78"/>
        <v>1.2782397078870833</v>
      </c>
      <c r="Z250" s="38">
        <f t="shared" si="79"/>
        <v>0.71152437001409385</v>
      </c>
      <c r="AA250" s="31">
        <f>SUM(L$2:L250)-SUM(AB$2:AB250)</f>
        <v>11964.660000000044</v>
      </c>
      <c r="AB250" s="176"/>
      <c r="AC250" s="40">
        <f t="shared" si="61"/>
        <v>1361.1140312866648</v>
      </c>
      <c r="AD250" s="40">
        <f t="shared" si="62"/>
        <v>-8238.8859687133354</v>
      </c>
    </row>
    <row r="251" spans="1:30" s="1" customFormat="1" x14ac:dyDescent="0.25">
      <c r="A251" s="174">
        <v>43032</v>
      </c>
      <c r="B251" s="159"/>
      <c r="C251" s="64" t="s">
        <v>69</v>
      </c>
      <c r="D251" s="64">
        <v>500</v>
      </c>
      <c r="E251" s="104">
        <v>11.97</v>
      </c>
      <c r="F251" s="102">
        <f t="shared" si="64"/>
        <v>9100</v>
      </c>
      <c r="G251" s="32">
        <f t="shared" si="63"/>
        <v>10.143711153846164</v>
      </c>
      <c r="H251" s="31">
        <f t="shared" si="65"/>
        <v>92307.77150000009</v>
      </c>
      <c r="I251" s="31">
        <f t="shared" si="66"/>
        <v>16619.22849999991</v>
      </c>
      <c r="J251" s="175">
        <f t="shared" si="67"/>
        <v>0.1800414876227393</v>
      </c>
      <c r="K251" s="31">
        <f t="shared" si="68"/>
        <v>108927</v>
      </c>
      <c r="L251" s="31">
        <f t="shared" si="69"/>
        <v>373.01499999999942</v>
      </c>
      <c r="M251" s="31">
        <f t="shared" si="80"/>
        <v>5</v>
      </c>
      <c r="N251" s="31">
        <f t="shared" si="71"/>
        <v>5.9850000000000003</v>
      </c>
      <c r="O251" s="125"/>
      <c r="P251" s="32">
        <f t="shared" si="72"/>
        <v>1.8262888461538367</v>
      </c>
      <c r="Q251" s="31">
        <f t="shared" si="73"/>
        <v>5974.0149999999994</v>
      </c>
      <c r="R251" s="34"/>
      <c r="S251" s="34">
        <f t="shared" si="74"/>
        <v>52407.472999999969</v>
      </c>
      <c r="T251" s="34">
        <f t="shared" si="75"/>
        <v>4378.2350041771069</v>
      </c>
      <c r="U251" s="34">
        <f t="shared" si="60"/>
        <v>13478.235004177106</v>
      </c>
      <c r="V251" s="31">
        <f>H251+S251-SUM(AB$15:AB251)</f>
        <v>143715.24450000006</v>
      </c>
      <c r="W251" s="32">
        <f t="shared" si="76"/>
        <v>10.662764409098116</v>
      </c>
      <c r="X251" s="32">
        <f t="shared" si="77"/>
        <v>0.51905325525195245</v>
      </c>
      <c r="Y251" s="32">
        <f t="shared" si="78"/>
        <v>1.3072355909018842</v>
      </c>
      <c r="Z251" s="38">
        <f t="shared" si="79"/>
        <v>0.67516258598991441</v>
      </c>
      <c r="AA251" s="31">
        <f>SUM(L$2:L251)-SUM(AB$2:AB251)</f>
        <v>12337.675000000043</v>
      </c>
      <c r="AB251" s="176"/>
      <c r="AC251" s="40">
        <f t="shared" si="61"/>
        <v>1387.7125217836183</v>
      </c>
      <c r="AD251" s="40">
        <f t="shared" si="62"/>
        <v>-7712.2874782163817</v>
      </c>
    </row>
    <row r="252" spans="1:30" s="1" customFormat="1" x14ac:dyDescent="0.25">
      <c r="A252" s="174">
        <v>43032</v>
      </c>
      <c r="B252" s="159"/>
      <c r="C252" s="64" t="s">
        <v>69</v>
      </c>
      <c r="D252" s="64">
        <v>500</v>
      </c>
      <c r="E252" s="104">
        <v>12.06</v>
      </c>
      <c r="F252" s="102">
        <f t="shared" si="64"/>
        <v>8600</v>
      </c>
      <c r="G252" s="32">
        <f t="shared" si="63"/>
        <v>10.033581569767453</v>
      </c>
      <c r="H252" s="31">
        <f t="shared" si="65"/>
        <v>86288.801500000089</v>
      </c>
      <c r="I252" s="31">
        <f t="shared" si="66"/>
        <v>17427.198499999911</v>
      </c>
      <c r="J252" s="175">
        <f t="shared" si="67"/>
        <v>0.20196361749212491</v>
      </c>
      <c r="K252" s="31">
        <f t="shared" si="68"/>
        <v>103716</v>
      </c>
      <c r="L252" s="31">
        <f t="shared" si="69"/>
        <v>807.97000000000116</v>
      </c>
      <c r="M252" s="31">
        <f t="shared" si="80"/>
        <v>5</v>
      </c>
      <c r="N252" s="31">
        <f t="shared" si="71"/>
        <v>6.03</v>
      </c>
      <c r="O252" s="125"/>
      <c r="P252" s="32">
        <f t="shared" si="72"/>
        <v>2.0264184302325479</v>
      </c>
      <c r="Q252" s="31">
        <f t="shared" si="73"/>
        <v>6018.9700000000012</v>
      </c>
      <c r="R252" s="34"/>
      <c r="S252" s="34">
        <f t="shared" si="74"/>
        <v>58426.44299999997</v>
      </c>
      <c r="T252" s="34">
        <f t="shared" si="75"/>
        <v>4844.6470149253701</v>
      </c>
      <c r="U252" s="34">
        <f t="shared" si="60"/>
        <v>13444.647014925369</v>
      </c>
      <c r="V252" s="31">
        <f>H252+S252-SUM(AB$15:AB252)</f>
        <v>143715.24450000006</v>
      </c>
      <c r="W252" s="32">
        <f t="shared" si="76"/>
        <v>10.689402580852944</v>
      </c>
      <c r="X252" s="32">
        <f t="shared" si="77"/>
        <v>0.65582101108549118</v>
      </c>
      <c r="Y252" s="32">
        <f t="shared" si="78"/>
        <v>1.3705974191470567</v>
      </c>
      <c r="Z252" s="38">
        <f t="shared" si="79"/>
        <v>0.6396597835891743</v>
      </c>
      <c r="AA252" s="31">
        <f>SUM(L$2:L252)-SUM(AB$2:AB252)</f>
        <v>13145.645000000044</v>
      </c>
      <c r="AB252" s="176"/>
      <c r="AC252" s="40">
        <f t="shared" si="61"/>
        <v>1444.3188143242051</v>
      </c>
      <c r="AD252" s="40">
        <f t="shared" si="62"/>
        <v>-7155.6811856757949</v>
      </c>
    </row>
    <row r="253" spans="1:30" s="1" customFormat="1" x14ac:dyDescent="0.25">
      <c r="A253" s="174">
        <v>43034</v>
      </c>
      <c r="B253" s="159" t="s">
        <v>275</v>
      </c>
      <c r="C253" s="64" t="s">
        <v>63</v>
      </c>
      <c r="D253" s="64">
        <v>400</v>
      </c>
      <c r="E253" s="104">
        <v>11.87</v>
      </c>
      <c r="F253" s="102">
        <f t="shared" si="64"/>
        <v>9000</v>
      </c>
      <c r="G253" s="32">
        <f t="shared" si="63"/>
        <v>10.115755722222232</v>
      </c>
      <c r="H253" s="31">
        <f t="shared" si="65"/>
        <v>91041.801500000089</v>
      </c>
      <c r="I253" s="31">
        <f t="shared" si="66"/>
        <v>15788.198499999911</v>
      </c>
      <c r="J253" s="175">
        <f t="shared" si="67"/>
        <v>0.17341702646338655</v>
      </c>
      <c r="K253" s="31">
        <f t="shared" si="68"/>
        <v>106830</v>
      </c>
      <c r="L253" s="31">
        <f t="shared" si="69"/>
        <v>-1639</v>
      </c>
      <c r="M253" s="31">
        <f t="shared" si="80"/>
        <v>5</v>
      </c>
      <c r="N253" s="31">
        <f t="shared" si="71"/>
        <v>0</v>
      </c>
      <c r="O253" s="125"/>
      <c r="P253" s="32">
        <f t="shared" si="72"/>
        <v>1.7542442777777669</v>
      </c>
      <c r="Q253" s="31">
        <f t="shared" si="73"/>
        <v>-4753</v>
      </c>
      <c r="R253" s="34"/>
      <c r="S253" s="34">
        <f t="shared" si="74"/>
        <v>53673.44299999997</v>
      </c>
      <c r="T253" s="34">
        <f t="shared" si="75"/>
        <v>4521.772788542542</v>
      </c>
      <c r="U253" s="34">
        <f t="shared" si="60"/>
        <v>13521.772788542541</v>
      </c>
      <c r="V253" s="31">
        <f>H253+S253-SUM(AB$15:AB253)</f>
        <v>143715.24450000006</v>
      </c>
      <c r="W253" s="32">
        <f t="shared" si="76"/>
        <v>10.628432140331103</v>
      </c>
      <c r="X253" s="32">
        <f t="shared" si="77"/>
        <v>0.51267641810887099</v>
      </c>
      <c r="Y253" s="32">
        <f t="shared" si="78"/>
        <v>1.2415678596688959</v>
      </c>
      <c r="Z253" s="38">
        <f t="shared" si="79"/>
        <v>0.66559319852098142</v>
      </c>
      <c r="AA253" s="31">
        <f>SUM(L$2:L253)-SUM(AB$2:AB253)</f>
        <v>11506.645000000044</v>
      </c>
      <c r="AB253" s="176"/>
      <c r="AC253" s="40">
        <f t="shared" si="61"/>
        <v>1329.4274979570273</v>
      </c>
      <c r="AD253" s="40">
        <f t="shared" si="62"/>
        <v>-7670.5725020429727</v>
      </c>
    </row>
    <row r="254" spans="1:30" s="1" customFormat="1" x14ac:dyDescent="0.25">
      <c r="A254" s="174">
        <v>43035</v>
      </c>
      <c r="B254" s="159"/>
      <c r="C254" s="64" t="s">
        <v>69</v>
      </c>
      <c r="D254" s="64">
        <v>400</v>
      </c>
      <c r="E254" s="104">
        <v>12</v>
      </c>
      <c r="F254" s="102">
        <f t="shared" si="64"/>
        <v>8600</v>
      </c>
      <c r="G254" s="32">
        <f t="shared" si="63"/>
        <v>10.029255988372103</v>
      </c>
      <c r="H254" s="31">
        <f t="shared" si="65"/>
        <v>86251.601500000092</v>
      </c>
      <c r="I254" s="31">
        <f t="shared" si="66"/>
        <v>16948.398499999908</v>
      </c>
      <c r="J254" s="175">
        <f t="shared" si="67"/>
        <v>0.19649952238857726</v>
      </c>
      <c r="K254" s="31">
        <f t="shared" si="68"/>
        <v>103200</v>
      </c>
      <c r="L254" s="31">
        <f t="shared" si="69"/>
        <v>1160.1999999999971</v>
      </c>
      <c r="M254" s="31">
        <f t="shared" si="80"/>
        <v>5</v>
      </c>
      <c r="N254" s="31">
        <f t="shared" si="71"/>
        <v>4.8</v>
      </c>
      <c r="O254" s="125"/>
      <c r="P254" s="32">
        <f t="shared" si="72"/>
        <v>1.9707440116278967</v>
      </c>
      <c r="Q254" s="31">
        <f t="shared" si="73"/>
        <v>4790.1999999999971</v>
      </c>
      <c r="R254" s="34"/>
      <c r="S254" s="34">
        <f t="shared" si="74"/>
        <v>58463.642999999967</v>
      </c>
      <c r="T254" s="34">
        <f t="shared" si="75"/>
        <v>4871.9702499999976</v>
      </c>
      <c r="U254" s="34">
        <f t="shared" si="60"/>
        <v>13471.970249999998</v>
      </c>
      <c r="V254" s="31">
        <f>H254+S254-SUM(AB$15:AB254)</f>
        <v>143715.24450000006</v>
      </c>
      <c r="W254" s="32">
        <f t="shared" si="76"/>
        <v>10.667722822502528</v>
      </c>
      <c r="X254" s="32">
        <f t="shared" si="77"/>
        <v>0.63846683413042449</v>
      </c>
      <c r="Y254" s="32">
        <f t="shared" si="78"/>
        <v>1.3322771774974722</v>
      </c>
      <c r="Z254" s="38">
        <f t="shared" si="79"/>
        <v>0.63836245481613951</v>
      </c>
      <c r="AA254" s="31">
        <f>SUM(L$2:L254)-SUM(AB$2:AB254)</f>
        <v>12666.845000000041</v>
      </c>
      <c r="AB254" s="176"/>
      <c r="AC254" s="40">
        <f t="shared" si="61"/>
        <v>1411.6603583958258</v>
      </c>
      <c r="AD254" s="40">
        <f t="shared" si="62"/>
        <v>-7188.3396416041742</v>
      </c>
    </row>
    <row r="255" spans="1:30" s="1" customFormat="1" x14ac:dyDescent="0.25">
      <c r="A255" s="174">
        <v>43035</v>
      </c>
      <c r="B255" s="159" t="s">
        <v>276</v>
      </c>
      <c r="C255" s="64" t="s">
        <v>63</v>
      </c>
      <c r="D255" s="64">
        <v>500</v>
      </c>
      <c r="E255" s="104">
        <v>11.84</v>
      </c>
      <c r="F255" s="102">
        <f t="shared" si="64"/>
        <v>9100</v>
      </c>
      <c r="G255" s="32">
        <f t="shared" si="63"/>
        <v>10.129296868131878</v>
      </c>
      <c r="H255" s="31">
        <f t="shared" si="65"/>
        <v>92176.601500000092</v>
      </c>
      <c r="I255" s="31">
        <f t="shared" si="66"/>
        <v>15567.398499999908</v>
      </c>
      <c r="J255" s="175">
        <f t="shared" si="67"/>
        <v>0.16888666154609636</v>
      </c>
      <c r="K255" s="31">
        <f t="shared" si="68"/>
        <v>107744</v>
      </c>
      <c r="L255" s="31">
        <f t="shared" si="69"/>
        <v>-1381</v>
      </c>
      <c r="M255" s="31">
        <f t="shared" si="80"/>
        <v>5</v>
      </c>
      <c r="N255" s="31">
        <f t="shared" si="71"/>
        <v>0</v>
      </c>
      <c r="O255" s="125"/>
      <c r="P255" s="32">
        <f t="shared" si="72"/>
        <v>1.7107031318681223</v>
      </c>
      <c r="Q255" s="31">
        <f t="shared" si="73"/>
        <v>-5925</v>
      </c>
      <c r="R255" s="34"/>
      <c r="S255" s="34">
        <f t="shared" si="74"/>
        <v>52538.642999999967</v>
      </c>
      <c r="T255" s="34">
        <f t="shared" si="75"/>
        <v>4437.3853885135104</v>
      </c>
      <c r="U255" s="34">
        <f t="shared" si="60"/>
        <v>13537.38538851351</v>
      </c>
      <c r="V255" s="31">
        <f>H255+S255-SUM(AB$15:AB255)</f>
        <v>143715.24450000006</v>
      </c>
      <c r="W255" s="32">
        <f t="shared" si="76"/>
        <v>10.616174421830573</v>
      </c>
      <c r="X255" s="32">
        <f t="shared" si="77"/>
        <v>0.48687755369869556</v>
      </c>
      <c r="Y255" s="32">
        <f t="shared" si="78"/>
        <v>1.2238255781694267</v>
      </c>
      <c r="Z255" s="38">
        <f t="shared" si="79"/>
        <v>0.67221252397241804</v>
      </c>
      <c r="AA255" s="31">
        <f>SUM(L$2:L255)-SUM(AB$2:AB255)</f>
        <v>11285.845000000041</v>
      </c>
      <c r="AB255" s="176"/>
      <c r="AC255" s="40">
        <f t="shared" si="61"/>
        <v>1314.1566554687424</v>
      </c>
      <c r="AD255" s="40">
        <f t="shared" si="62"/>
        <v>-7785.8433445312576</v>
      </c>
    </row>
    <row r="256" spans="1:30" s="1" customFormat="1" x14ac:dyDescent="0.25">
      <c r="A256" s="174">
        <v>43038</v>
      </c>
      <c r="B256" s="159" t="s">
        <v>277</v>
      </c>
      <c r="C256" s="64" t="s">
        <v>63</v>
      </c>
      <c r="D256" s="64">
        <v>500</v>
      </c>
      <c r="E256" s="104">
        <v>11.71</v>
      </c>
      <c r="F256" s="102">
        <f t="shared" si="64"/>
        <v>9600</v>
      </c>
      <c r="G256" s="32">
        <f t="shared" si="63"/>
        <v>10.212145989583343</v>
      </c>
      <c r="H256" s="31">
        <f t="shared" si="65"/>
        <v>98036.601500000092</v>
      </c>
      <c r="I256" s="31">
        <f t="shared" si="66"/>
        <v>14379.398499999923</v>
      </c>
      <c r="J256" s="175">
        <f t="shared" si="67"/>
        <v>0.14667377571222626</v>
      </c>
      <c r="K256" s="31">
        <f t="shared" si="68"/>
        <v>112416.00000000001</v>
      </c>
      <c r="L256" s="31">
        <f t="shared" si="69"/>
        <v>-1187.9999999999854</v>
      </c>
      <c r="M256" s="31">
        <f t="shared" si="80"/>
        <v>5</v>
      </c>
      <c r="N256" s="31">
        <f t="shared" si="71"/>
        <v>0</v>
      </c>
      <c r="O256" s="125"/>
      <c r="P256" s="32">
        <f t="shared" si="72"/>
        <v>1.497854010416658</v>
      </c>
      <c r="Q256" s="31">
        <f t="shared" si="73"/>
        <v>-5860</v>
      </c>
      <c r="R256" s="34"/>
      <c r="S256" s="34">
        <f t="shared" si="74"/>
        <v>46678.642999999967</v>
      </c>
      <c r="T256" s="34">
        <f t="shared" si="75"/>
        <v>3986.2205807002533</v>
      </c>
      <c r="U256" s="34">
        <f t="shared" si="60"/>
        <v>13586.220580700254</v>
      </c>
      <c r="V256" s="31">
        <f>H256+S256-SUM(AB$15:AB256)</f>
        <v>143715.24450000006</v>
      </c>
      <c r="W256" s="32">
        <f t="shared" si="76"/>
        <v>10.578014956135267</v>
      </c>
      <c r="X256" s="32">
        <f t="shared" si="77"/>
        <v>0.36586896655192369</v>
      </c>
      <c r="Y256" s="32">
        <f t="shared" si="78"/>
        <v>1.1319850438647343</v>
      </c>
      <c r="Z256" s="38">
        <f t="shared" si="79"/>
        <v>0.70659827307950285</v>
      </c>
      <c r="AA256" s="31">
        <f>SUM(L$2:L256)-SUM(AB$2:AB256)</f>
        <v>10097.845000000056</v>
      </c>
      <c r="AB256" s="176"/>
      <c r="AC256" s="40">
        <f t="shared" si="61"/>
        <v>1227.3449018573801</v>
      </c>
      <c r="AD256" s="40">
        <f t="shared" si="62"/>
        <v>-8372.655098142619</v>
      </c>
    </row>
    <row r="257" spans="1:30" s="1" customFormat="1" x14ac:dyDescent="0.25">
      <c r="A257" s="174">
        <v>43038</v>
      </c>
      <c r="B257" s="159" t="s">
        <v>278</v>
      </c>
      <c r="C257" s="64" t="s">
        <v>63</v>
      </c>
      <c r="D257" s="64">
        <v>500</v>
      </c>
      <c r="E257" s="104">
        <v>11.47</v>
      </c>
      <c r="F257" s="102">
        <f t="shared" si="64"/>
        <v>10100</v>
      </c>
      <c r="G257" s="32">
        <f t="shared" si="63"/>
        <v>10.274911039603969</v>
      </c>
      <c r="H257" s="31">
        <f t="shared" si="65"/>
        <v>103776.60150000009</v>
      </c>
      <c r="I257" s="31">
        <f t="shared" si="66"/>
        <v>12070.398499999908</v>
      </c>
      <c r="J257" s="175">
        <f t="shared" si="67"/>
        <v>0.1163113681266572</v>
      </c>
      <c r="K257" s="31">
        <f t="shared" si="68"/>
        <v>115847</v>
      </c>
      <c r="L257" s="31">
        <f t="shared" si="69"/>
        <v>-2309.0000000000146</v>
      </c>
      <c r="M257" s="31">
        <f t="shared" si="80"/>
        <v>5</v>
      </c>
      <c r="N257" s="31">
        <f t="shared" si="71"/>
        <v>0</v>
      </c>
      <c r="O257" s="125"/>
      <c r="P257" s="32">
        <f t="shared" si="72"/>
        <v>1.1950889603960313</v>
      </c>
      <c r="Q257" s="31">
        <f t="shared" si="73"/>
        <v>-5740</v>
      </c>
      <c r="R257" s="34"/>
      <c r="S257" s="34">
        <f t="shared" si="74"/>
        <v>40938.642999999967</v>
      </c>
      <c r="T257" s="34">
        <f t="shared" si="75"/>
        <v>3569.1929380993865</v>
      </c>
      <c r="U257" s="34">
        <f t="shared" si="60"/>
        <v>13669.192938099386</v>
      </c>
      <c r="V257" s="31">
        <f>H257+S257-SUM(AB$15:AB257)</f>
        <v>143715.24450000006</v>
      </c>
      <c r="W257" s="32">
        <f t="shared" si="76"/>
        <v>10.513806129653091</v>
      </c>
      <c r="X257" s="32">
        <f t="shared" si="77"/>
        <v>0.23889509004912135</v>
      </c>
      <c r="Y257" s="32">
        <f t="shared" si="78"/>
        <v>0.95619387034690995</v>
      </c>
      <c r="Z257" s="38">
        <f t="shared" si="79"/>
        <v>0.73888780747609673</v>
      </c>
      <c r="AA257" s="31">
        <f>SUM(L$2:L257)-SUM(AB$2:AB257)</f>
        <v>7788.8450000000412</v>
      </c>
      <c r="AB257" s="176"/>
      <c r="AC257" s="40">
        <f t="shared" si="61"/>
        <v>1051.8189451394865</v>
      </c>
      <c r="AD257" s="40">
        <f t="shared" si="62"/>
        <v>-9048.1810548605135</v>
      </c>
    </row>
    <row r="258" spans="1:30" s="1" customFormat="1" x14ac:dyDescent="0.25">
      <c r="A258" s="174">
        <v>43041</v>
      </c>
      <c r="B258" s="159" t="s">
        <v>279</v>
      </c>
      <c r="C258" s="64" t="s">
        <v>63</v>
      </c>
      <c r="D258" s="64">
        <v>400</v>
      </c>
      <c r="E258" s="104">
        <v>11.34</v>
      </c>
      <c r="F258" s="102">
        <f t="shared" si="64"/>
        <v>10500</v>
      </c>
      <c r="G258" s="32">
        <f t="shared" si="63"/>
        <v>10.315962047619056</v>
      </c>
      <c r="H258" s="31">
        <f t="shared" si="65"/>
        <v>108317.60150000009</v>
      </c>
      <c r="I258" s="31">
        <f t="shared" si="66"/>
        <v>10752.398499999908</v>
      </c>
      <c r="J258" s="175">
        <f t="shared" si="67"/>
        <v>9.9267324526198089E-2</v>
      </c>
      <c r="K258" s="31">
        <f t="shared" si="68"/>
        <v>119070</v>
      </c>
      <c r="L258" s="31">
        <f t="shared" si="69"/>
        <v>-1318</v>
      </c>
      <c r="M258" s="31">
        <f t="shared" si="80"/>
        <v>5</v>
      </c>
      <c r="N258" s="31">
        <f t="shared" si="71"/>
        <v>0</v>
      </c>
      <c r="O258" s="125"/>
      <c r="P258" s="32">
        <f t="shared" si="72"/>
        <v>1.0240379523809438</v>
      </c>
      <c r="Q258" s="31">
        <f t="shared" si="73"/>
        <v>-4541</v>
      </c>
      <c r="R258" s="34"/>
      <c r="S258" s="34">
        <f t="shared" si="74"/>
        <v>36397.642999999967</v>
      </c>
      <c r="T258" s="34">
        <f t="shared" si="75"/>
        <v>3209.6686948853585</v>
      </c>
      <c r="U258" s="34">
        <f t="shared" ref="U258:U321" si="81">F258+T258</f>
        <v>13709.668694885358</v>
      </c>
      <c r="V258" s="31">
        <f>H258+S258-SUM(AB$15:AB258)</f>
        <v>143715.24450000006</v>
      </c>
      <c r="W258" s="32">
        <f t="shared" si="76"/>
        <v>10.482765681537996</v>
      </c>
      <c r="X258" s="32">
        <f t="shared" si="77"/>
        <v>0.16680363391894026</v>
      </c>
      <c r="Y258" s="32">
        <f t="shared" si="78"/>
        <v>0.85723431846200349</v>
      </c>
      <c r="Z258" s="38">
        <f t="shared" si="79"/>
        <v>0.76588284032838927</v>
      </c>
      <c r="AA258" s="31">
        <f>SUM(L$2:L258)-SUM(AB$2:AB258)</f>
        <v>6470.8450000000412</v>
      </c>
      <c r="AB258" s="176"/>
      <c r="AC258" s="40">
        <f t="shared" si="61"/>
        <v>947.7091975969937</v>
      </c>
      <c r="AD258" s="40">
        <f t="shared" si="62"/>
        <v>-9552.2908024030057</v>
      </c>
    </row>
    <row r="259" spans="1:30" s="1" customFormat="1" x14ac:dyDescent="0.25">
      <c r="A259" s="174">
        <v>43041</v>
      </c>
      <c r="B259" s="159"/>
      <c r="C259" s="64" t="s">
        <v>63</v>
      </c>
      <c r="D259" s="64">
        <v>400</v>
      </c>
      <c r="E259" s="104">
        <v>11.28</v>
      </c>
      <c r="F259" s="102">
        <f t="shared" si="64"/>
        <v>10900</v>
      </c>
      <c r="G259" s="32">
        <f t="shared" si="63"/>
        <v>10.351798302752302</v>
      </c>
      <c r="H259" s="31">
        <f t="shared" si="65"/>
        <v>112834.60150000009</v>
      </c>
      <c r="I259" s="31">
        <f t="shared" si="66"/>
        <v>10117.398499999908</v>
      </c>
      <c r="J259" s="175">
        <f t="shared" si="67"/>
        <v>8.966574406699078E-2</v>
      </c>
      <c r="K259" s="31">
        <f t="shared" si="68"/>
        <v>122952</v>
      </c>
      <c r="L259" s="31">
        <f t="shared" si="69"/>
        <v>-635</v>
      </c>
      <c r="M259" s="31">
        <f t="shared" si="80"/>
        <v>5</v>
      </c>
      <c r="N259" s="31">
        <f t="shared" si="71"/>
        <v>0</v>
      </c>
      <c r="O259" s="125"/>
      <c r="P259" s="32">
        <f t="shared" si="72"/>
        <v>0.92820169724769741</v>
      </c>
      <c r="Q259" s="31">
        <f t="shared" si="73"/>
        <v>-4517</v>
      </c>
      <c r="R259" s="34"/>
      <c r="S259" s="34">
        <f t="shared" si="74"/>
        <v>31880.642999999967</v>
      </c>
      <c r="T259" s="34">
        <f t="shared" si="75"/>
        <v>2826.2981382978696</v>
      </c>
      <c r="U259" s="34">
        <f t="shared" si="81"/>
        <v>13726.298138297869</v>
      </c>
      <c r="V259" s="31">
        <f>H259+S259-SUM(AB$15:AB259)</f>
        <v>143715.24450000006</v>
      </c>
      <c r="W259" s="32">
        <f t="shared" si="76"/>
        <v>10.470065785546275</v>
      </c>
      <c r="X259" s="32">
        <f t="shared" si="77"/>
        <v>0.11826748279397314</v>
      </c>
      <c r="Y259" s="32">
        <f t="shared" si="78"/>
        <v>0.80993421445372427</v>
      </c>
      <c r="Z259" s="38">
        <f t="shared" si="79"/>
        <v>0.79409611318202478</v>
      </c>
      <c r="AA259" s="31">
        <f>SUM(L$2:L259)-SUM(AB$2:AB259)</f>
        <v>5835.8450000000412</v>
      </c>
      <c r="AB259" s="176"/>
      <c r="AC259" s="40">
        <f t="shared" ref="AC259:AC322" si="82">I259/E259*(1-0.0005)</f>
        <v>896.48402488917634</v>
      </c>
      <c r="AD259" s="40">
        <f t="shared" ref="AD259:AD322" si="83">AC259-F259</f>
        <v>-10003.515975110824</v>
      </c>
    </row>
    <row r="260" spans="1:30" s="1" customFormat="1" x14ac:dyDescent="0.25">
      <c r="A260" s="174">
        <v>43042</v>
      </c>
      <c r="B260" s="159" t="s">
        <v>280</v>
      </c>
      <c r="C260" s="64" t="s">
        <v>63</v>
      </c>
      <c r="D260" s="64">
        <v>400</v>
      </c>
      <c r="E260" s="104">
        <v>11.28</v>
      </c>
      <c r="F260" s="102">
        <f t="shared" si="64"/>
        <v>11300</v>
      </c>
      <c r="G260" s="32">
        <f t="shared" si="63"/>
        <v>10.385097477876114</v>
      </c>
      <c r="H260" s="31">
        <f t="shared" si="65"/>
        <v>117351.60150000009</v>
      </c>
      <c r="I260" s="31">
        <f t="shared" si="66"/>
        <v>10112.398499999908</v>
      </c>
      <c r="J260" s="175">
        <f t="shared" si="67"/>
        <v>8.6171798004818015E-2</v>
      </c>
      <c r="K260" s="31">
        <f t="shared" si="68"/>
        <v>127464</v>
      </c>
      <c r="L260" s="31">
        <f t="shared" si="69"/>
        <v>-5</v>
      </c>
      <c r="M260" s="31">
        <f t="shared" si="80"/>
        <v>5</v>
      </c>
      <c r="N260" s="31">
        <f t="shared" si="71"/>
        <v>0</v>
      </c>
      <c r="O260" s="125"/>
      <c r="P260" s="32">
        <f t="shared" si="72"/>
        <v>0.89490252212388555</v>
      </c>
      <c r="Q260" s="31">
        <f t="shared" si="73"/>
        <v>-4517</v>
      </c>
      <c r="R260" s="34"/>
      <c r="S260" s="34">
        <f t="shared" si="74"/>
        <v>27363.642999999967</v>
      </c>
      <c r="T260" s="34">
        <f t="shared" si="75"/>
        <v>2425.8548758865222</v>
      </c>
      <c r="U260" s="34">
        <f t="shared" si="81"/>
        <v>13725.854875886522</v>
      </c>
      <c r="V260" s="31">
        <f>H260+S260-SUM(AB$15:AB260)</f>
        <v>143715.24450000006</v>
      </c>
      <c r="W260" s="32">
        <f t="shared" si="76"/>
        <v>10.470403905586814</v>
      </c>
      <c r="X260" s="32">
        <f t="shared" si="77"/>
        <v>8.530642771069985E-2</v>
      </c>
      <c r="Y260" s="32">
        <f t="shared" si="78"/>
        <v>0.8095960944131857</v>
      </c>
      <c r="Z260" s="38">
        <f t="shared" si="79"/>
        <v>0.82326384055333079</v>
      </c>
      <c r="AA260" s="31">
        <f>SUM(L$2:L260)-SUM(AB$2:AB260)</f>
        <v>5830.8450000000412</v>
      </c>
      <c r="AB260" s="176"/>
      <c r="AC260" s="40">
        <f t="shared" si="82"/>
        <v>896.04098410903453</v>
      </c>
      <c r="AD260" s="40">
        <f t="shared" si="83"/>
        <v>-10403.959015890965</v>
      </c>
    </row>
    <row r="261" spans="1:30" s="1" customFormat="1" x14ac:dyDescent="0.25">
      <c r="A261" s="174">
        <v>43042</v>
      </c>
      <c r="B261" s="159"/>
      <c r="C261" s="64" t="s">
        <v>63</v>
      </c>
      <c r="D261" s="64">
        <v>400</v>
      </c>
      <c r="E261" s="104">
        <v>11.16</v>
      </c>
      <c r="F261" s="102">
        <f t="shared" si="64"/>
        <v>11700</v>
      </c>
      <c r="G261" s="32">
        <f t="shared" si="63"/>
        <v>10.41201722222223</v>
      </c>
      <c r="H261" s="31">
        <f t="shared" si="65"/>
        <v>121820.60150000009</v>
      </c>
      <c r="I261" s="31">
        <f t="shared" si="66"/>
        <v>8751.3984999999084</v>
      </c>
      <c r="J261" s="175">
        <f t="shared" si="67"/>
        <v>7.1838411502178456E-2</v>
      </c>
      <c r="K261" s="31">
        <f t="shared" si="68"/>
        <v>130572</v>
      </c>
      <c r="L261" s="31">
        <f t="shared" si="69"/>
        <v>-1361</v>
      </c>
      <c r="M261" s="31">
        <f t="shared" si="80"/>
        <v>5</v>
      </c>
      <c r="N261" s="31">
        <f t="shared" si="71"/>
        <v>0</v>
      </c>
      <c r="O261" s="125"/>
      <c r="P261" s="32">
        <f t="shared" si="72"/>
        <v>0.74798277777776967</v>
      </c>
      <c r="Q261" s="31">
        <f t="shared" si="73"/>
        <v>-4469</v>
      </c>
      <c r="R261" s="34"/>
      <c r="S261" s="34">
        <f t="shared" si="74"/>
        <v>22894.642999999967</v>
      </c>
      <c r="T261" s="34">
        <f t="shared" si="75"/>
        <v>2051.4913082437247</v>
      </c>
      <c r="U261" s="34">
        <f t="shared" si="81"/>
        <v>13751.491308243725</v>
      </c>
      <c r="V261" s="31">
        <f>H261+S261-SUM(AB$15:AB261)</f>
        <v>143715.24450000006</v>
      </c>
      <c r="W261" s="32">
        <f t="shared" si="76"/>
        <v>10.45088429164376</v>
      </c>
      <c r="X261" s="32">
        <f t="shared" si="77"/>
        <v>3.8867069421529621E-2</v>
      </c>
      <c r="Y261" s="32">
        <f t="shared" si="78"/>
        <v>0.70911570835624005</v>
      </c>
      <c r="Z261" s="38">
        <f t="shared" si="79"/>
        <v>0.85081681235446083</v>
      </c>
      <c r="AA261" s="31">
        <f>SUM(L$2:L261)-SUM(AB$2:AB261)</f>
        <v>4469.8450000000412</v>
      </c>
      <c r="AB261" s="176"/>
      <c r="AC261" s="40">
        <f t="shared" si="82"/>
        <v>783.78340508511724</v>
      </c>
      <c r="AD261" s="40">
        <f t="shared" si="83"/>
        <v>-10916.216594914882</v>
      </c>
    </row>
    <row r="262" spans="1:30" s="1" customFormat="1" x14ac:dyDescent="0.25">
      <c r="A262" s="174">
        <v>43045</v>
      </c>
      <c r="B262" s="159"/>
      <c r="C262" s="64" t="s">
        <v>63</v>
      </c>
      <c r="D262" s="64">
        <v>500</v>
      </c>
      <c r="E262" s="104">
        <v>11.02</v>
      </c>
      <c r="F262" s="102">
        <f t="shared" si="64"/>
        <v>12200</v>
      </c>
      <c r="G262" s="32">
        <f t="shared" si="63"/>
        <v>10.437344385245909</v>
      </c>
      <c r="H262" s="31">
        <f t="shared" si="65"/>
        <v>127335.60150000009</v>
      </c>
      <c r="I262" s="31">
        <f t="shared" si="66"/>
        <v>7108.3984999999084</v>
      </c>
      <c r="J262" s="175">
        <f t="shared" si="67"/>
        <v>5.5824124724458114E-2</v>
      </c>
      <c r="K262" s="31">
        <f t="shared" si="68"/>
        <v>134444</v>
      </c>
      <c r="L262" s="31">
        <f t="shared" si="69"/>
        <v>-1643</v>
      </c>
      <c r="M262" s="31">
        <f t="shared" si="80"/>
        <v>5</v>
      </c>
      <c r="N262" s="31">
        <f t="shared" si="71"/>
        <v>0</v>
      </c>
      <c r="O262" s="125"/>
      <c r="P262" s="32">
        <f t="shared" si="72"/>
        <v>0.58265561475409022</v>
      </c>
      <c r="Q262" s="31">
        <f t="shared" si="73"/>
        <v>-5515</v>
      </c>
      <c r="R262" s="34"/>
      <c r="S262" s="34">
        <f t="shared" si="74"/>
        <v>17379.642999999967</v>
      </c>
      <c r="T262" s="34">
        <f t="shared" si="75"/>
        <v>1577.1000907440987</v>
      </c>
      <c r="U262" s="34">
        <f t="shared" si="81"/>
        <v>13777.100090744099</v>
      </c>
      <c r="V262" s="31">
        <f>H262+S262-SUM(AB$15:AB262)</f>
        <v>143715.24450000006</v>
      </c>
      <c r="W262" s="32">
        <f t="shared" si="76"/>
        <v>10.431458257064751</v>
      </c>
      <c r="X262" s="32">
        <f t="shared" si="77"/>
        <v>-5.8861281811584121E-3</v>
      </c>
      <c r="Y262" s="32">
        <f t="shared" si="78"/>
        <v>0.58854174293524864</v>
      </c>
      <c r="Z262" s="38">
        <f t="shared" si="79"/>
        <v>0.88552742737176993</v>
      </c>
      <c r="AA262" s="31">
        <f>SUM(L$2:L262)-SUM(AB$2:AB262)</f>
        <v>2826.8450000000412</v>
      </c>
      <c r="AB262" s="176"/>
      <c r="AC262" s="40">
        <f t="shared" si="82"/>
        <v>644.72271331668867</v>
      </c>
      <c r="AD262" s="40">
        <f t="shared" si="83"/>
        <v>-11555.277286683311</v>
      </c>
    </row>
    <row r="263" spans="1:30" s="1" customFormat="1" x14ac:dyDescent="0.25">
      <c r="A263" s="174">
        <v>43045</v>
      </c>
      <c r="B263" s="159" t="s">
        <v>281</v>
      </c>
      <c r="C263" s="64" t="s">
        <v>69</v>
      </c>
      <c r="D263" s="64">
        <v>400</v>
      </c>
      <c r="E263" s="104">
        <v>11.2</v>
      </c>
      <c r="F263" s="102">
        <f t="shared" si="64"/>
        <v>11800</v>
      </c>
      <c r="G263" s="32">
        <f t="shared" si="63"/>
        <v>10.412295042372889</v>
      </c>
      <c r="H263" s="31">
        <f t="shared" si="65"/>
        <v>122865.08150000009</v>
      </c>
      <c r="I263" s="31">
        <f t="shared" si="66"/>
        <v>9294.9184999999125</v>
      </c>
      <c r="J263" s="175">
        <f t="shared" si="67"/>
        <v>7.5651425014517965E-2</v>
      </c>
      <c r="K263" s="31">
        <f t="shared" si="68"/>
        <v>132160</v>
      </c>
      <c r="L263" s="31">
        <f t="shared" si="69"/>
        <v>2186.5200000000041</v>
      </c>
      <c r="M263" s="31">
        <f t="shared" si="80"/>
        <v>5</v>
      </c>
      <c r="N263" s="31">
        <f t="shared" si="71"/>
        <v>4.4800000000000004</v>
      </c>
      <c r="O263" s="125"/>
      <c r="P263" s="32">
        <f t="shared" si="72"/>
        <v>0.78770495762710979</v>
      </c>
      <c r="Q263" s="31">
        <f t="shared" si="73"/>
        <v>4470.5200000000041</v>
      </c>
      <c r="R263" s="34"/>
      <c r="S263" s="34">
        <f t="shared" si="74"/>
        <v>21850.162999999971</v>
      </c>
      <c r="T263" s="34">
        <f t="shared" si="75"/>
        <v>1950.9074107142833</v>
      </c>
      <c r="U263" s="34">
        <f t="shared" si="81"/>
        <v>13750.907410714284</v>
      </c>
      <c r="V263" s="31">
        <f>H263+S263-SUM(AB$15:AB263)</f>
        <v>143715.24450000006</v>
      </c>
      <c r="W263" s="32">
        <f t="shared" si="76"/>
        <v>10.451328062031859</v>
      </c>
      <c r="X263" s="32">
        <f t="shared" si="77"/>
        <v>3.9033019658969437E-2</v>
      </c>
      <c r="Y263" s="32">
        <f t="shared" si="78"/>
        <v>0.74867193796814036</v>
      </c>
      <c r="Z263" s="38">
        <f t="shared" si="79"/>
        <v>0.85812518749168532</v>
      </c>
      <c r="AA263" s="31">
        <f>SUM(L$2:L263)-SUM(AB$2:AB263)</f>
        <v>5013.3650000000453</v>
      </c>
      <c r="AB263" s="176"/>
      <c r="AC263" s="40">
        <f t="shared" si="82"/>
        <v>829.48848578124228</v>
      </c>
      <c r="AD263" s="40">
        <f t="shared" si="83"/>
        <v>-10970.511514218757</v>
      </c>
    </row>
    <row r="264" spans="1:30" s="1" customFormat="1" x14ac:dyDescent="0.25">
      <c r="A264" s="174">
        <v>43047</v>
      </c>
      <c r="B264" s="159" t="s">
        <v>282</v>
      </c>
      <c r="C264" s="64" t="s">
        <v>69</v>
      </c>
      <c r="D264" s="64">
        <v>400</v>
      </c>
      <c r="E264" s="104">
        <v>11.34</v>
      </c>
      <c r="F264" s="102">
        <f t="shared" si="64"/>
        <v>11400</v>
      </c>
      <c r="G264" s="32">
        <f t="shared" si="63"/>
        <v>10.380580482456148</v>
      </c>
      <c r="H264" s="31">
        <f t="shared" si="65"/>
        <v>118338.61750000008</v>
      </c>
      <c r="I264" s="31">
        <f t="shared" si="66"/>
        <v>10937.38249999992</v>
      </c>
      <c r="J264" s="175">
        <f t="shared" si="67"/>
        <v>9.2424457299409485E-2</v>
      </c>
      <c r="K264" s="31">
        <f t="shared" si="68"/>
        <v>129276</v>
      </c>
      <c r="L264" s="31">
        <f t="shared" si="69"/>
        <v>1642.4640000000072</v>
      </c>
      <c r="M264" s="31">
        <f t="shared" si="80"/>
        <v>5</v>
      </c>
      <c r="N264" s="31">
        <f t="shared" si="71"/>
        <v>4.5359999999999996</v>
      </c>
      <c r="O264" s="125"/>
      <c r="P264" s="32">
        <f t="shared" si="72"/>
        <v>0.9594195175438518</v>
      </c>
      <c r="Q264" s="31">
        <f t="shared" si="73"/>
        <v>4526.4640000000072</v>
      </c>
      <c r="R264" s="34"/>
      <c r="S264" s="34">
        <f t="shared" si="74"/>
        <v>26376.626999999979</v>
      </c>
      <c r="T264" s="34">
        <f t="shared" si="75"/>
        <v>2325.9812169312149</v>
      </c>
      <c r="U264" s="34">
        <f t="shared" si="81"/>
        <v>13725.981216931215</v>
      </c>
      <c r="V264" s="31">
        <f>H264+S264-SUM(AB$15:AB264)</f>
        <v>143715.24450000006</v>
      </c>
      <c r="W264" s="32">
        <f t="shared" si="76"/>
        <v>10.470307530562918</v>
      </c>
      <c r="X264" s="32">
        <f t="shared" si="77"/>
        <v>8.9727048106770013E-2</v>
      </c>
      <c r="Y264" s="32">
        <f t="shared" si="78"/>
        <v>0.86969246943708178</v>
      </c>
      <c r="Z264" s="38">
        <f t="shared" si="79"/>
        <v>0.83054171645943387</v>
      </c>
      <c r="AA264" s="31">
        <f>SUM(L$2:L264)-SUM(AB$2:AB264)</f>
        <v>6655.8290000000525</v>
      </c>
      <c r="AB264" s="176"/>
      <c r="AC264" s="40">
        <f t="shared" si="82"/>
        <v>964.01356338182723</v>
      </c>
      <c r="AD264" s="40">
        <f t="shared" si="83"/>
        <v>-10435.986436618172</v>
      </c>
    </row>
    <row r="265" spans="1:30" s="1" customFormat="1" x14ac:dyDescent="0.25">
      <c r="A265" s="174">
        <v>43048</v>
      </c>
      <c r="B265" s="160"/>
      <c r="C265" s="64" t="s">
        <v>63</v>
      </c>
      <c r="D265" s="64">
        <v>400</v>
      </c>
      <c r="E265" s="104">
        <v>11.16</v>
      </c>
      <c r="F265" s="102">
        <f t="shared" si="64"/>
        <v>11800</v>
      </c>
      <c r="G265" s="32">
        <f t="shared" si="63"/>
        <v>10.407425211864414</v>
      </c>
      <c r="H265" s="31">
        <f t="shared" si="65"/>
        <v>122807.61750000008</v>
      </c>
      <c r="I265" s="31">
        <f t="shared" si="66"/>
        <v>8880.3824999999197</v>
      </c>
      <c r="J265" s="175">
        <f t="shared" si="67"/>
        <v>7.2311332804741627E-2</v>
      </c>
      <c r="K265" s="31">
        <f t="shared" si="68"/>
        <v>131688</v>
      </c>
      <c r="L265" s="31">
        <f t="shared" si="69"/>
        <v>-2057</v>
      </c>
      <c r="M265" s="31">
        <f t="shared" si="80"/>
        <v>5</v>
      </c>
      <c r="N265" s="31">
        <f t="shared" si="71"/>
        <v>0</v>
      </c>
      <c r="O265" s="125"/>
      <c r="P265" s="32">
        <f t="shared" si="72"/>
        <v>0.7525747881355862</v>
      </c>
      <c r="Q265" s="31">
        <f t="shared" si="73"/>
        <v>-4469</v>
      </c>
      <c r="R265" s="34"/>
      <c r="S265" s="34">
        <f t="shared" si="74"/>
        <v>21907.626999999979</v>
      </c>
      <c r="T265" s="34">
        <f t="shared" si="75"/>
        <v>1963.0490143369157</v>
      </c>
      <c r="U265" s="34">
        <f t="shared" si="81"/>
        <v>13763.049014336915</v>
      </c>
      <c r="V265" s="31">
        <f>H265+S265-SUM(AB$15:AB265)</f>
        <v>143715.24450000006</v>
      </c>
      <c r="W265" s="32">
        <f t="shared" si="76"/>
        <v>10.442108020562337</v>
      </c>
      <c r="X265" s="32">
        <f t="shared" si="77"/>
        <v>3.4682808697922951E-2</v>
      </c>
      <c r="Y265" s="32">
        <f t="shared" si="78"/>
        <v>0.71789197943766325</v>
      </c>
      <c r="Z265" s="38">
        <f t="shared" si="79"/>
        <v>0.85736815931615051</v>
      </c>
      <c r="AA265" s="31">
        <f>SUM(L$2:L265)-SUM(AB$2:AB265)</f>
        <v>4598.8290000000525</v>
      </c>
      <c r="AB265" s="176"/>
      <c r="AC265" s="40">
        <f t="shared" si="82"/>
        <v>795.33533232526167</v>
      </c>
      <c r="AD265" s="40">
        <f t="shared" si="83"/>
        <v>-11004.664667674739</v>
      </c>
    </row>
    <row r="266" spans="1:30" x14ac:dyDescent="0.25">
      <c r="A266" s="174">
        <v>43053</v>
      </c>
      <c r="B266" s="159" t="s">
        <v>283</v>
      </c>
      <c r="C266" s="64" t="s">
        <v>69</v>
      </c>
      <c r="D266" s="64">
        <v>500</v>
      </c>
      <c r="E266" s="104">
        <v>11.25</v>
      </c>
      <c r="F266" s="102">
        <f t="shared" si="64"/>
        <v>11300</v>
      </c>
      <c r="G266" s="32">
        <f t="shared" si="63"/>
        <v>10.371083407079652</v>
      </c>
      <c r="H266" s="31">
        <f t="shared" si="65"/>
        <v>117193.24250000008</v>
      </c>
      <c r="I266" s="31">
        <f t="shared" si="66"/>
        <v>9931.7574999999197</v>
      </c>
      <c r="J266" s="175">
        <f t="shared" si="67"/>
        <v>8.4746844511960004E-2</v>
      </c>
      <c r="K266" s="31">
        <f t="shared" si="68"/>
        <v>127125</v>
      </c>
      <c r="L266" s="31">
        <f t="shared" si="69"/>
        <v>1051.375</v>
      </c>
      <c r="M266" s="31">
        <f t="shared" si="80"/>
        <v>5</v>
      </c>
      <c r="N266" s="31">
        <f t="shared" si="71"/>
        <v>5.625</v>
      </c>
      <c r="O266" s="125"/>
      <c r="P266" s="32">
        <f t="shared" si="72"/>
        <v>0.87891659292034774</v>
      </c>
      <c r="Q266" s="31">
        <f t="shared" si="73"/>
        <v>5614.375</v>
      </c>
      <c r="R266" s="34"/>
      <c r="S266" s="34">
        <f t="shared" si="74"/>
        <v>27522.001999999979</v>
      </c>
      <c r="T266" s="34">
        <f t="shared" si="75"/>
        <v>2446.4001777777758</v>
      </c>
      <c r="U266" s="34">
        <f t="shared" si="81"/>
        <v>13746.400177777776</v>
      </c>
      <c r="V266" s="31">
        <f>H266+S266-SUM(AB$15:AB266)</f>
        <v>143715.24450000006</v>
      </c>
      <c r="W266" s="32">
        <f t="shared" si="76"/>
        <v>10.454754891562663</v>
      </c>
      <c r="X266" s="32">
        <f t="shared" si="77"/>
        <v>8.3671484483010872E-2</v>
      </c>
      <c r="Y266" s="32">
        <f t="shared" si="78"/>
        <v>0.79524510843733687</v>
      </c>
      <c r="Z266" s="38">
        <f t="shared" si="79"/>
        <v>0.82203339447860757</v>
      </c>
      <c r="AA266" s="31">
        <f>SUM(L$2:L266)-SUM(AB$2:AB266)</f>
        <v>5650.2040000000525</v>
      </c>
      <c r="AB266" s="176"/>
      <c r="AC266" s="40">
        <f t="shared" si="82"/>
        <v>882.38147744443734</v>
      </c>
      <c r="AD266" s="40">
        <f t="shared" si="83"/>
        <v>-10417.618522555562</v>
      </c>
    </row>
    <row r="267" spans="1:30" x14ac:dyDescent="0.25">
      <c r="A267" s="174">
        <v>43053</v>
      </c>
      <c r="B267" s="159"/>
      <c r="C267" s="64" t="s">
        <v>63</v>
      </c>
      <c r="D267" s="64">
        <v>400</v>
      </c>
      <c r="E267" s="104">
        <v>11.1</v>
      </c>
      <c r="F267" s="102">
        <f t="shared" si="64"/>
        <v>11700</v>
      </c>
      <c r="G267" s="32">
        <f t="shared" ref="G267:G330" si="84">H267/F267</f>
        <v>10.39643098290599</v>
      </c>
      <c r="H267" s="31">
        <f t="shared" si="65"/>
        <v>121638.24250000008</v>
      </c>
      <c r="I267" s="31">
        <f t="shared" si="66"/>
        <v>8231.7574999999197</v>
      </c>
      <c r="J267" s="175">
        <f t="shared" si="67"/>
        <v>6.767409106556195E-2</v>
      </c>
      <c r="K267" s="31">
        <f t="shared" si="68"/>
        <v>129870</v>
      </c>
      <c r="L267" s="31">
        <f t="shared" si="69"/>
        <v>-1700</v>
      </c>
      <c r="M267" s="31">
        <f t="shared" ref="M267:M298" si="85">IF(D267*E267*2.5/10000&gt;5,D267*E267*2.5/10000,5)</f>
        <v>5</v>
      </c>
      <c r="N267" s="31">
        <f t="shared" si="71"/>
        <v>0</v>
      </c>
      <c r="O267" s="125"/>
      <c r="P267" s="32">
        <f t="shared" si="72"/>
        <v>0.70356901709400965</v>
      </c>
      <c r="Q267" s="31">
        <f t="shared" si="73"/>
        <v>-4445</v>
      </c>
      <c r="R267" s="34"/>
      <c r="S267" s="34">
        <f t="shared" si="74"/>
        <v>23077.001999999979</v>
      </c>
      <c r="T267" s="34">
        <f t="shared" si="75"/>
        <v>2079.0091891891875</v>
      </c>
      <c r="U267" s="34">
        <f t="shared" si="81"/>
        <v>13779.009189189188</v>
      </c>
      <c r="V267" s="31">
        <f>H267+S267-SUM(AB$15:AB267)</f>
        <v>143715.24450000006</v>
      </c>
      <c r="W267" s="32">
        <f t="shared" si="76"/>
        <v>10.430012965863828</v>
      </c>
      <c r="X267" s="32">
        <f t="shared" si="77"/>
        <v>3.3581982957837653E-2</v>
      </c>
      <c r="Y267" s="32">
        <f t="shared" si="78"/>
        <v>0.669987034136172</v>
      </c>
      <c r="Z267" s="38">
        <f t="shared" si="79"/>
        <v>0.84911765710844078</v>
      </c>
      <c r="AA267" s="31">
        <f>SUM(L$2:L267)-SUM(AB$2:AB267)</f>
        <v>3950.2040000000525</v>
      </c>
      <c r="AB267" s="176"/>
      <c r="AC267" s="40">
        <f t="shared" si="82"/>
        <v>741.22897488738022</v>
      </c>
      <c r="AD267" s="40">
        <f t="shared" si="83"/>
        <v>-10958.771025112619</v>
      </c>
    </row>
    <row r="268" spans="1:30" x14ac:dyDescent="0.25">
      <c r="A268" s="174">
        <v>43055</v>
      </c>
      <c r="B268" s="159" t="s">
        <v>284</v>
      </c>
      <c r="C268" s="64" t="s">
        <v>69</v>
      </c>
      <c r="D268" s="64">
        <v>400</v>
      </c>
      <c r="E268" s="104">
        <v>11.28</v>
      </c>
      <c r="F268" s="102">
        <f t="shared" ref="F268:F331" si="86">IF(C268="买",F267+D268,F267-D268)</f>
        <v>11300</v>
      </c>
      <c r="G268" s="32">
        <f t="shared" si="84"/>
        <v>10.365995973451335</v>
      </c>
      <c r="H268" s="31">
        <f t="shared" ref="H268:H331" si="87">IF(C268="买",H267+D268*E268+M268+N268,H267+-1*D268*E268+M268+N268)+O267</f>
        <v>117135.75450000008</v>
      </c>
      <c r="I268" s="31">
        <f t="shared" ref="I268:I331" si="88">-H268+K268</f>
        <v>10328.245499999917</v>
      </c>
      <c r="J268" s="175">
        <f t="shared" ref="J268:J331" si="89">(E268-G268)/G268</f>
        <v>8.8173295541455657E-2</v>
      </c>
      <c r="K268" s="31">
        <f t="shared" ref="K268:K331" si="90">F268*E268</f>
        <v>127464</v>
      </c>
      <c r="L268" s="31">
        <f t="shared" ref="L268:L331" si="91">I268-I267</f>
        <v>2096.4879999999976</v>
      </c>
      <c r="M268" s="31">
        <f t="shared" si="85"/>
        <v>5</v>
      </c>
      <c r="N268" s="31">
        <f t="shared" ref="N268:N331" si="92">IF(C268="卖",D268*E268/1000,0)</f>
        <v>4.5119999999999996</v>
      </c>
      <c r="O268" s="125"/>
      <c r="P268" s="32">
        <f t="shared" ref="P268:P331" si="93">E268-G268</f>
        <v>0.91400402654866397</v>
      </c>
      <c r="Q268" s="31">
        <f t="shared" ref="Q268:Q331" si="94">(H268-H267)*-1</f>
        <v>4502.4879999999976</v>
      </c>
      <c r="R268" s="34"/>
      <c r="S268" s="34">
        <f t="shared" ref="S268:S331" si="95">S267+Q268+O268+R268</f>
        <v>27579.489999999976</v>
      </c>
      <c r="T268" s="34">
        <f t="shared" ref="T268:T331" si="96">S268/E268</f>
        <v>2444.9902482269486</v>
      </c>
      <c r="U268" s="34">
        <f t="shared" si="81"/>
        <v>13744.990248226948</v>
      </c>
      <c r="V268" s="31">
        <f>H268+S268-SUM(AB$15:AB268)</f>
        <v>143715.24450000006</v>
      </c>
      <c r="W268" s="32">
        <f t="shared" ref="W268:W331" si="97">V268/U268</f>
        <v>10.45582731632267</v>
      </c>
      <c r="X268" s="32">
        <f t="shared" ref="X268:X331" si="98">W268-G268</f>
        <v>8.9831342871335096E-2</v>
      </c>
      <c r="Y268" s="32">
        <f t="shared" ref="Y268:Y331" si="99">(X268-P268)*-1</f>
        <v>0.82417268367732888</v>
      </c>
      <c r="Z268" s="38">
        <f t="shared" ref="Z268:Z331" si="100">F268/U268</f>
        <v>0.82211771677740242</v>
      </c>
      <c r="AA268" s="31">
        <f>SUM(L$2:L268)-SUM(AB$2:AB268)</f>
        <v>6046.69200000005</v>
      </c>
      <c r="AB268" s="176"/>
      <c r="AC268" s="40">
        <f t="shared" si="82"/>
        <v>915.1667887632907</v>
      </c>
      <c r="AD268" s="40">
        <f t="shared" si="83"/>
        <v>-10384.83321123671</v>
      </c>
    </row>
    <row r="269" spans="1:30" x14ac:dyDescent="0.25">
      <c r="A269" s="174">
        <v>43055</v>
      </c>
      <c r="B269" s="159"/>
      <c r="C269" s="64" t="s">
        <v>69</v>
      </c>
      <c r="D269" s="64">
        <v>400</v>
      </c>
      <c r="E269" s="104">
        <v>11.36</v>
      </c>
      <c r="F269" s="102">
        <f t="shared" si="86"/>
        <v>10900</v>
      </c>
      <c r="G269" s="32">
        <f t="shared" si="84"/>
        <v>10.330394357798172</v>
      </c>
      <c r="H269" s="31">
        <f t="shared" si="87"/>
        <v>112601.29850000008</v>
      </c>
      <c r="I269" s="31">
        <f t="shared" si="88"/>
        <v>11222.701499999923</v>
      </c>
      <c r="J269" s="175">
        <f t="shared" si="89"/>
        <v>9.966760285628426E-2</v>
      </c>
      <c r="K269" s="31">
        <f t="shared" si="90"/>
        <v>123824</v>
      </c>
      <c r="L269" s="31">
        <f t="shared" si="91"/>
        <v>894.45600000000559</v>
      </c>
      <c r="M269" s="31">
        <f t="shared" si="85"/>
        <v>5</v>
      </c>
      <c r="N269" s="31">
        <f t="shared" si="92"/>
        <v>4.5439999999999996</v>
      </c>
      <c r="O269" s="125"/>
      <c r="P269" s="32">
        <f t="shared" si="93"/>
        <v>1.0296056422018278</v>
      </c>
      <c r="Q269" s="31">
        <f t="shared" si="94"/>
        <v>4534.4560000000056</v>
      </c>
      <c r="R269" s="34"/>
      <c r="S269" s="34">
        <f t="shared" si="95"/>
        <v>32113.945999999982</v>
      </c>
      <c r="T269" s="34">
        <f t="shared" si="96"/>
        <v>2826.9318661971815</v>
      </c>
      <c r="U269" s="34">
        <f t="shared" si="81"/>
        <v>13726.931866197181</v>
      </c>
      <c r="V269" s="31">
        <f>H269+S269-SUM(AB$15:AB269)</f>
        <v>143715.24450000006</v>
      </c>
      <c r="W269" s="32">
        <f t="shared" si="97"/>
        <v>10.469582416585126</v>
      </c>
      <c r="X269" s="32">
        <f t="shared" si="98"/>
        <v>0.13918805878695473</v>
      </c>
      <c r="Y269" s="32">
        <f t="shared" si="99"/>
        <v>0.89041758341487309</v>
      </c>
      <c r="Z269" s="38">
        <f t="shared" si="100"/>
        <v>0.79405945234138209</v>
      </c>
      <c r="AA269" s="31">
        <f>SUM(L$2:L269)-SUM(AB$2:AB269)</f>
        <v>6941.1480000000556</v>
      </c>
      <c r="AB269" s="176"/>
      <c r="AC269" s="40">
        <f t="shared" si="82"/>
        <v>987.4199075043947</v>
      </c>
      <c r="AD269" s="40">
        <f t="shared" si="83"/>
        <v>-9912.5800924956056</v>
      </c>
    </row>
    <row r="270" spans="1:30" x14ac:dyDescent="0.25">
      <c r="A270" s="174">
        <v>43056</v>
      </c>
      <c r="B270" s="159"/>
      <c r="C270" s="64" t="s">
        <v>63</v>
      </c>
      <c r="D270" s="64">
        <v>500</v>
      </c>
      <c r="E270" s="104">
        <v>11.15</v>
      </c>
      <c r="F270" s="102">
        <f t="shared" si="86"/>
        <v>11400</v>
      </c>
      <c r="G270" s="32">
        <f t="shared" si="84"/>
        <v>10.366780570175445</v>
      </c>
      <c r="H270" s="31">
        <f t="shared" si="87"/>
        <v>118181.29850000008</v>
      </c>
      <c r="I270" s="31">
        <f t="shared" si="88"/>
        <v>8928.7014999999228</v>
      </c>
      <c r="J270" s="175">
        <f t="shared" si="89"/>
        <v>7.5550883374326153E-2</v>
      </c>
      <c r="K270" s="31">
        <f t="shared" si="90"/>
        <v>127110</v>
      </c>
      <c r="L270" s="31">
        <f t="shared" si="91"/>
        <v>-2294</v>
      </c>
      <c r="M270" s="31">
        <f t="shared" si="85"/>
        <v>5</v>
      </c>
      <c r="N270" s="31">
        <f t="shared" si="92"/>
        <v>0</v>
      </c>
      <c r="O270" s="125"/>
      <c r="P270" s="32">
        <f t="shared" si="93"/>
        <v>0.78321942982455539</v>
      </c>
      <c r="Q270" s="31">
        <f t="shared" si="94"/>
        <v>-5580</v>
      </c>
      <c r="R270" s="34"/>
      <c r="S270" s="34">
        <f t="shared" si="95"/>
        <v>26533.945999999982</v>
      </c>
      <c r="T270" s="34">
        <f t="shared" si="96"/>
        <v>2379.7260986547067</v>
      </c>
      <c r="U270" s="34">
        <f t="shared" si="81"/>
        <v>13779.726098654706</v>
      </c>
      <c r="V270" s="31">
        <f>H270+S270-SUM(AB$15:AB270)</f>
        <v>143715.24450000006</v>
      </c>
      <c r="W270" s="32">
        <f t="shared" si="97"/>
        <v>10.429470329895073</v>
      </c>
      <c r="X270" s="32">
        <f t="shared" si="98"/>
        <v>6.2689759719628313E-2</v>
      </c>
      <c r="Y270" s="32">
        <f t="shared" si="99"/>
        <v>0.72052967010492708</v>
      </c>
      <c r="Z270" s="38">
        <f t="shared" si="100"/>
        <v>0.82730236569164928</v>
      </c>
      <c r="AA270" s="31">
        <f>SUM(L$2:L270)-SUM(AB$2:AB270)</f>
        <v>4647.1480000000556</v>
      </c>
      <c r="AB270" s="176"/>
      <c r="AC270" s="40">
        <f t="shared" si="82"/>
        <v>800.38001338564334</v>
      </c>
      <c r="AD270" s="40">
        <f t="shared" si="83"/>
        <v>-10599.619986614356</v>
      </c>
    </row>
    <row r="271" spans="1:30" x14ac:dyDescent="0.25">
      <c r="A271" s="174">
        <v>43056</v>
      </c>
      <c r="B271" s="159"/>
      <c r="C271" s="64" t="s">
        <v>63</v>
      </c>
      <c r="D271" s="64">
        <v>500</v>
      </c>
      <c r="E271" s="104">
        <v>11.06</v>
      </c>
      <c r="F271" s="102">
        <f t="shared" si="86"/>
        <v>11900</v>
      </c>
      <c r="G271" s="32">
        <f t="shared" si="84"/>
        <v>10.396327605042023</v>
      </c>
      <c r="H271" s="31">
        <f t="shared" si="87"/>
        <v>123716.29850000008</v>
      </c>
      <c r="I271" s="31">
        <f t="shared" si="88"/>
        <v>7897.7014999999228</v>
      </c>
      <c r="J271" s="175">
        <f t="shared" si="89"/>
        <v>6.3837195226140134E-2</v>
      </c>
      <c r="K271" s="31">
        <f t="shared" si="90"/>
        <v>131614</v>
      </c>
      <c r="L271" s="31">
        <f t="shared" si="91"/>
        <v>-1031</v>
      </c>
      <c r="M271" s="31">
        <f t="shared" si="85"/>
        <v>5</v>
      </c>
      <c r="N271" s="31">
        <f t="shared" si="92"/>
        <v>0</v>
      </c>
      <c r="O271" s="125"/>
      <c r="P271" s="32">
        <f t="shared" si="93"/>
        <v>0.66367239495797747</v>
      </c>
      <c r="Q271" s="31">
        <f t="shared" si="94"/>
        <v>-5535</v>
      </c>
      <c r="R271" s="34"/>
      <c r="S271" s="34">
        <f t="shared" si="95"/>
        <v>20998.945999999982</v>
      </c>
      <c r="T271" s="34">
        <f t="shared" si="96"/>
        <v>1898.6388788426746</v>
      </c>
      <c r="U271" s="34">
        <f t="shared" si="81"/>
        <v>13798.638878842674</v>
      </c>
      <c r="V271" s="31">
        <f>H271+S271-SUM(AB$15:AB271)</f>
        <v>143715.24450000006</v>
      </c>
      <c r="W271" s="32">
        <f t="shared" si="97"/>
        <v>10.415175421421987</v>
      </c>
      <c r="X271" s="32">
        <f t="shared" si="98"/>
        <v>1.8847816379963689E-2</v>
      </c>
      <c r="Y271" s="32">
        <f t="shared" si="99"/>
        <v>0.64482457857801379</v>
      </c>
      <c r="Z271" s="38">
        <f t="shared" si="100"/>
        <v>0.86240390117362664</v>
      </c>
      <c r="AA271" s="31">
        <f>SUM(L$2:L271)-SUM(AB$2:AB271)</f>
        <v>3616.1480000000556</v>
      </c>
      <c r="AB271" s="176"/>
      <c r="AC271" s="40">
        <f t="shared" si="82"/>
        <v>713.72085436256077</v>
      </c>
      <c r="AD271" s="40">
        <f t="shared" si="83"/>
        <v>-11186.27914563744</v>
      </c>
    </row>
    <row r="272" spans="1:30" x14ac:dyDescent="0.25">
      <c r="A272" s="174">
        <v>43056</v>
      </c>
      <c r="B272" s="159"/>
      <c r="C272" s="64" t="s">
        <v>63</v>
      </c>
      <c r="D272" s="64">
        <v>400</v>
      </c>
      <c r="E272" s="104">
        <v>10.98</v>
      </c>
      <c r="F272" s="102">
        <f t="shared" si="86"/>
        <v>12300</v>
      </c>
      <c r="G272" s="32">
        <f t="shared" si="84"/>
        <v>10.415715325203259</v>
      </c>
      <c r="H272" s="31">
        <f t="shared" si="87"/>
        <v>128113.29850000008</v>
      </c>
      <c r="I272" s="31">
        <f t="shared" si="88"/>
        <v>6940.7014999999228</v>
      </c>
      <c r="J272" s="175">
        <f t="shared" si="89"/>
        <v>5.4176276633763509E-2</v>
      </c>
      <c r="K272" s="31">
        <f t="shared" si="90"/>
        <v>135054</v>
      </c>
      <c r="L272" s="31">
        <f t="shared" si="91"/>
        <v>-957</v>
      </c>
      <c r="M272" s="31">
        <f t="shared" si="85"/>
        <v>5</v>
      </c>
      <c r="N272" s="31">
        <f t="shared" si="92"/>
        <v>0</v>
      </c>
      <c r="O272" s="125"/>
      <c r="P272" s="32">
        <f t="shared" si="93"/>
        <v>0.56428467479674183</v>
      </c>
      <c r="Q272" s="31">
        <f t="shared" si="94"/>
        <v>-4397</v>
      </c>
      <c r="R272" s="34"/>
      <c r="S272" s="34">
        <f t="shared" si="95"/>
        <v>16601.945999999982</v>
      </c>
      <c r="T272" s="34">
        <f t="shared" si="96"/>
        <v>1512.0169398907087</v>
      </c>
      <c r="U272" s="34">
        <f t="shared" si="81"/>
        <v>13812.016939890709</v>
      </c>
      <c r="V272" s="31">
        <f>H272+S272-SUM(AB$15:AB272)</f>
        <v>143715.24450000006</v>
      </c>
      <c r="W272" s="32">
        <f t="shared" si="97"/>
        <v>10.405087477480116</v>
      </c>
      <c r="X272" s="32">
        <f t="shared" si="98"/>
        <v>-1.0627847723142736E-2</v>
      </c>
      <c r="Y272" s="32">
        <f t="shared" si="99"/>
        <v>0.57491252251988456</v>
      </c>
      <c r="Z272" s="38">
        <f t="shared" si="100"/>
        <v>0.89052888173603173</v>
      </c>
      <c r="AA272" s="31">
        <f>SUM(L$2:L272)-SUM(AB$2:AB272)</f>
        <v>2659.1480000000556</v>
      </c>
      <c r="AB272" s="176"/>
      <c r="AC272" s="40">
        <f t="shared" si="82"/>
        <v>631.80611559653221</v>
      </c>
      <c r="AD272" s="40">
        <f t="shared" si="83"/>
        <v>-11668.193884403468</v>
      </c>
    </row>
    <row r="273" spans="1:30" x14ac:dyDescent="0.25">
      <c r="A273" s="174">
        <v>43056</v>
      </c>
      <c r="B273" s="159" t="s">
        <v>285</v>
      </c>
      <c r="C273" s="64" t="s">
        <v>69</v>
      </c>
      <c r="D273" s="64">
        <v>400</v>
      </c>
      <c r="E273" s="104">
        <v>11.14</v>
      </c>
      <c r="F273" s="102">
        <f t="shared" si="86"/>
        <v>11900</v>
      </c>
      <c r="G273" s="32">
        <f t="shared" si="84"/>
        <v>10.392164243697486</v>
      </c>
      <c r="H273" s="31">
        <f t="shared" si="87"/>
        <v>123666.75450000008</v>
      </c>
      <c r="I273" s="31">
        <f t="shared" si="88"/>
        <v>8899.2454999999172</v>
      </c>
      <c r="J273" s="175">
        <f t="shared" si="89"/>
        <v>7.1961502798231131E-2</v>
      </c>
      <c r="K273" s="31">
        <f t="shared" si="90"/>
        <v>132566</v>
      </c>
      <c r="L273" s="31">
        <f t="shared" si="91"/>
        <v>1958.5439999999944</v>
      </c>
      <c r="M273" s="31">
        <f t="shared" si="85"/>
        <v>5</v>
      </c>
      <c r="N273" s="31">
        <f t="shared" si="92"/>
        <v>4.4560000000000004</v>
      </c>
      <c r="O273" s="125"/>
      <c r="P273" s="32">
        <f t="shared" si="93"/>
        <v>0.7478357563025142</v>
      </c>
      <c r="Q273" s="31">
        <f t="shared" si="94"/>
        <v>4446.5439999999944</v>
      </c>
      <c r="R273" s="34"/>
      <c r="S273" s="34">
        <f t="shared" si="95"/>
        <v>21048.489999999976</v>
      </c>
      <c r="T273" s="34">
        <f t="shared" si="96"/>
        <v>1889.4515260323137</v>
      </c>
      <c r="U273" s="34">
        <f t="shared" si="81"/>
        <v>13789.451526032313</v>
      </c>
      <c r="V273" s="31">
        <f>H273+S273-SUM(AB$15:AB273)</f>
        <v>143715.24450000006</v>
      </c>
      <c r="W273" s="32">
        <f t="shared" si="97"/>
        <v>10.422114630787766</v>
      </c>
      <c r="X273" s="32">
        <f t="shared" si="98"/>
        <v>2.9950387090279307E-2</v>
      </c>
      <c r="Y273" s="32">
        <f t="shared" si="99"/>
        <v>0.71788536921223489</v>
      </c>
      <c r="Z273" s="38">
        <f t="shared" si="100"/>
        <v>0.86297848594881921</v>
      </c>
      <c r="AA273" s="31">
        <f>SUM(L$2:L273)-SUM(AB$2:AB273)</f>
        <v>4617.69200000005</v>
      </c>
      <c r="AB273" s="176"/>
      <c r="AC273" s="40">
        <f t="shared" si="82"/>
        <v>798.45564427737133</v>
      </c>
      <c r="AD273" s="40">
        <f t="shared" si="83"/>
        <v>-11101.544355722628</v>
      </c>
    </row>
    <row r="274" spans="1:30" x14ac:dyDescent="0.25">
      <c r="A274" s="174">
        <v>43059</v>
      </c>
      <c r="B274" s="159"/>
      <c r="C274" s="64" t="s">
        <v>63</v>
      </c>
      <c r="D274" s="64">
        <v>500</v>
      </c>
      <c r="E274" s="104">
        <v>10.91</v>
      </c>
      <c r="F274" s="102">
        <f t="shared" si="86"/>
        <v>12400</v>
      </c>
      <c r="G274" s="32">
        <f t="shared" si="84"/>
        <v>10.413447943548395</v>
      </c>
      <c r="H274" s="31">
        <f t="shared" si="87"/>
        <v>129126.75450000008</v>
      </c>
      <c r="I274" s="31">
        <f t="shared" si="88"/>
        <v>6157.2454999999172</v>
      </c>
      <c r="J274" s="175">
        <f t="shared" si="89"/>
        <v>4.768373156935423E-2</v>
      </c>
      <c r="K274" s="31">
        <f t="shared" si="90"/>
        <v>135284</v>
      </c>
      <c r="L274" s="31">
        <f t="shared" si="91"/>
        <v>-2742</v>
      </c>
      <c r="M274" s="31">
        <f t="shared" si="85"/>
        <v>5</v>
      </c>
      <c r="N274" s="31">
        <f t="shared" si="92"/>
        <v>0</v>
      </c>
      <c r="O274" s="125"/>
      <c r="P274" s="32">
        <f t="shared" si="93"/>
        <v>0.49655205645160549</v>
      </c>
      <c r="Q274" s="31">
        <f t="shared" si="94"/>
        <v>-5460</v>
      </c>
      <c r="R274" s="34"/>
      <c r="S274" s="34">
        <f t="shared" si="95"/>
        <v>15588.489999999976</v>
      </c>
      <c r="T274" s="34">
        <f t="shared" si="96"/>
        <v>1428.8258478460107</v>
      </c>
      <c r="U274" s="34">
        <f t="shared" si="81"/>
        <v>13828.82584784601</v>
      </c>
      <c r="V274" s="31">
        <f>H274+S274-SUM(AB$15:AB274)</f>
        <v>143715.24450000006</v>
      </c>
      <c r="W274" s="32">
        <f t="shared" si="97"/>
        <v>10.392440116120579</v>
      </c>
      <c r="X274" s="32">
        <f t="shared" si="98"/>
        <v>-2.1007827427816039E-2</v>
      </c>
      <c r="Y274" s="32">
        <f t="shared" si="99"/>
        <v>0.51755988387942153</v>
      </c>
      <c r="Z274" s="38">
        <f t="shared" si="100"/>
        <v>0.8966777177204408</v>
      </c>
      <c r="AA274" s="31">
        <f>SUM(L$2:L274)-SUM(AB$2:AB274)</f>
        <v>1875.69200000005</v>
      </c>
      <c r="AB274" s="176"/>
      <c r="AC274" s="40">
        <f t="shared" si="82"/>
        <v>564.08495666818669</v>
      </c>
      <c r="AD274" s="40">
        <f t="shared" si="83"/>
        <v>-11835.915043331814</v>
      </c>
    </row>
    <row r="275" spans="1:30" x14ac:dyDescent="0.25">
      <c r="A275" s="174">
        <v>43059</v>
      </c>
      <c r="B275" s="159"/>
      <c r="C275" s="64" t="s">
        <v>63</v>
      </c>
      <c r="D275" s="64">
        <v>500</v>
      </c>
      <c r="E275" s="104">
        <v>10.81</v>
      </c>
      <c r="F275" s="102">
        <f t="shared" si="86"/>
        <v>12900</v>
      </c>
      <c r="G275" s="32">
        <f t="shared" si="84"/>
        <v>10.429205775193806</v>
      </c>
      <c r="H275" s="31">
        <f t="shared" si="87"/>
        <v>134536.7545000001</v>
      </c>
      <c r="I275" s="31">
        <f t="shared" si="88"/>
        <v>4912.2454999999027</v>
      </c>
      <c r="J275" s="175">
        <f t="shared" si="89"/>
        <v>3.6512293746463982E-2</v>
      </c>
      <c r="K275" s="31">
        <f t="shared" si="90"/>
        <v>139449</v>
      </c>
      <c r="L275" s="31">
        <f t="shared" si="91"/>
        <v>-1245.0000000000146</v>
      </c>
      <c r="M275" s="31">
        <f t="shared" si="85"/>
        <v>5</v>
      </c>
      <c r="N275" s="31">
        <f t="shared" si="92"/>
        <v>0</v>
      </c>
      <c r="O275" s="125"/>
      <c r="P275" s="32">
        <f t="shared" si="93"/>
        <v>0.38079422480619485</v>
      </c>
      <c r="Q275" s="31">
        <f t="shared" si="94"/>
        <v>-5410.0000000000146</v>
      </c>
      <c r="R275" s="34"/>
      <c r="S275" s="34">
        <f t="shared" si="95"/>
        <v>10178.489999999962</v>
      </c>
      <c r="T275" s="34">
        <f t="shared" si="96"/>
        <v>941.58094357076425</v>
      </c>
      <c r="U275" s="34">
        <f t="shared" si="81"/>
        <v>13841.580943570763</v>
      </c>
      <c r="V275" s="31">
        <f>H275+S275-SUM(AB$15:AB275)</f>
        <v>143715.24450000006</v>
      </c>
      <c r="W275" s="32">
        <f t="shared" si="97"/>
        <v>10.382863423325494</v>
      </c>
      <c r="X275" s="32">
        <f t="shared" si="98"/>
        <v>-4.6342351868311482E-2</v>
      </c>
      <c r="Y275" s="32">
        <f t="shared" si="99"/>
        <v>0.42713657667450633</v>
      </c>
      <c r="Z275" s="38">
        <f t="shared" si="100"/>
        <v>0.93197446538734319</v>
      </c>
      <c r="AA275" s="31">
        <f>SUM(L$2:L275)-SUM(AB$2:AB275)</f>
        <v>630.69200000003548</v>
      </c>
      <c r="AB275" s="176"/>
      <c r="AC275" s="40">
        <f t="shared" si="82"/>
        <v>454.18958161423706</v>
      </c>
      <c r="AD275" s="40">
        <f t="shared" si="83"/>
        <v>-12445.810418385763</v>
      </c>
    </row>
    <row r="276" spans="1:30" x14ac:dyDescent="0.25">
      <c r="A276" s="174">
        <v>43059</v>
      </c>
      <c r="B276" s="159"/>
      <c r="C276" s="64" t="s">
        <v>63</v>
      </c>
      <c r="D276" s="64">
        <v>500</v>
      </c>
      <c r="E276" s="104">
        <v>10.75</v>
      </c>
      <c r="F276" s="102">
        <f t="shared" si="86"/>
        <v>13400</v>
      </c>
      <c r="G276" s="32">
        <f t="shared" si="84"/>
        <v>10.44154884328359</v>
      </c>
      <c r="H276" s="31">
        <f t="shared" si="87"/>
        <v>139916.7545000001</v>
      </c>
      <c r="I276" s="31">
        <f t="shared" si="88"/>
        <v>4133.2454999999027</v>
      </c>
      <c r="J276" s="175">
        <f t="shared" si="89"/>
        <v>2.9540747387761166E-2</v>
      </c>
      <c r="K276" s="31">
        <f t="shared" si="90"/>
        <v>144050</v>
      </c>
      <c r="L276" s="31">
        <f t="shared" si="91"/>
        <v>-779</v>
      </c>
      <c r="M276" s="31">
        <f t="shared" si="85"/>
        <v>5</v>
      </c>
      <c r="N276" s="31">
        <f t="shared" si="92"/>
        <v>0</v>
      </c>
      <c r="O276" s="125"/>
      <c r="P276" s="32">
        <f t="shared" si="93"/>
        <v>0.30845115671641032</v>
      </c>
      <c r="Q276" s="31">
        <f t="shared" si="94"/>
        <v>-5380</v>
      </c>
      <c r="R276" s="34"/>
      <c r="S276" s="34">
        <f t="shared" si="95"/>
        <v>4798.4899999999616</v>
      </c>
      <c r="T276" s="34">
        <f t="shared" si="96"/>
        <v>446.37116279069409</v>
      </c>
      <c r="U276" s="34">
        <f t="shared" si="81"/>
        <v>13846.371162790694</v>
      </c>
      <c r="V276" s="31">
        <f>H276+S276-SUM(AB$15:AB276)</f>
        <v>143715.24450000006</v>
      </c>
      <c r="W276" s="32">
        <f t="shared" si="97"/>
        <v>10.379271421396354</v>
      </c>
      <c r="X276" s="32">
        <f t="shared" si="98"/>
        <v>-6.2277421887236173E-2</v>
      </c>
      <c r="Y276" s="32">
        <f t="shared" si="99"/>
        <v>0.3707285786036465</v>
      </c>
      <c r="Z276" s="38">
        <f t="shared" si="100"/>
        <v>0.96776258865642528</v>
      </c>
      <c r="AA276" s="31">
        <f>SUM(L$2:L276)-SUM(AB$2:AB276)</f>
        <v>-148.30799999996452</v>
      </c>
      <c r="AB276" s="176"/>
      <c r="AC276" s="40">
        <f t="shared" si="82"/>
        <v>384.29570951161884</v>
      </c>
      <c r="AD276" s="40">
        <f t="shared" si="83"/>
        <v>-13015.704290488382</v>
      </c>
    </row>
    <row r="277" spans="1:30" x14ac:dyDescent="0.25">
      <c r="A277" s="174">
        <v>43059</v>
      </c>
      <c r="B277" s="159" t="s">
        <v>286</v>
      </c>
      <c r="C277" s="64" t="s">
        <v>69</v>
      </c>
      <c r="D277" s="64">
        <v>400</v>
      </c>
      <c r="E277" s="104">
        <v>10.88</v>
      </c>
      <c r="F277" s="102">
        <f t="shared" si="86"/>
        <v>13000</v>
      </c>
      <c r="G277" s="32">
        <f t="shared" si="84"/>
        <v>10.428777423076932</v>
      </c>
      <c r="H277" s="31">
        <f t="shared" si="87"/>
        <v>135574.10650000011</v>
      </c>
      <c r="I277" s="31">
        <f t="shared" si="88"/>
        <v>5865.8934999998892</v>
      </c>
      <c r="J277" s="175">
        <f t="shared" si="89"/>
        <v>4.3267063685202237E-2</v>
      </c>
      <c r="K277" s="31">
        <f t="shared" si="90"/>
        <v>141440</v>
      </c>
      <c r="L277" s="31">
        <f t="shared" si="91"/>
        <v>1732.6479999999865</v>
      </c>
      <c r="M277" s="31">
        <f t="shared" si="85"/>
        <v>5</v>
      </c>
      <c r="N277" s="31">
        <f t="shared" si="92"/>
        <v>4.3520000000000003</v>
      </c>
      <c r="O277" s="125"/>
      <c r="P277" s="32">
        <f t="shared" si="93"/>
        <v>0.45122257692306889</v>
      </c>
      <c r="Q277" s="31">
        <f t="shared" si="94"/>
        <v>4342.6479999999865</v>
      </c>
      <c r="R277" s="34"/>
      <c r="S277" s="34">
        <f t="shared" si="95"/>
        <v>9141.1379999999481</v>
      </c>
      <c r="T277" s="34">
        <f t="shared" si="96"/>
        <v>840.17812499999513</v>
      </c>
      <c r="U277" s="34">
        <f t="shared" si="81"/>
        <v>13840.178124999995</v>
      </c>
      <c r="V277" s="31">
        <f>H277+S277-SUM(AB$15:AB277)</f>
        <v>143715.24450000006</v>
      </c>
      <c r="W277" s="32">
        <f t="shared" si="97"/>
        <v>10.38391581394478</v>
      </c>
      <c r="X277" s="32">
        <f t="shared" si="98"/>
        <v>-4.486160913215187E-2</v>
      </c>
      <c r="Y277" s="32">
        <f t="shared" si="99"/>
        <v>0.49608418605522075</v>
      </c>
      <c r="Z277" s="38">
        <f t="shared" si="100"/>
        <v>0.93929426937921034</v>
      </c>
      <c r="AA277" s="31">
        <f>SUM(L$2:L277)-SUM(AB$2:AB277)</f>
        <v>1584.340000000022</v>
      </c>
      <c r="AB277" s="176"/>
      <c r="AC277" s="40">
        <f t="shared" si="82"/>
        <v>538.87505085017358</v>
      </c>
      <c r="AD277" s="40">
        <f t="shared" si="83"/>
        <v>-12461.124949149826</v>
      </c>
    </row>
    <row r="278" spans="1:30" x14ac:dyDescent="0.25">
      <c r="A278" s="174">
        <v>43060</v>
      </c>
      <c r="B278" s="159" t="s">
        <v>287</v>
      </c>
      <c r="C278" s="64" t="s">
        <v>69</v>
      </c>
      <c r="D278" s="64">
        <v>400</v>
      </c>
      <c r="E278" s="104">
        <f>E277+0.22</f>
        <v>11.100000000000001</v>
      </c>
      <c r="F278" s="102">
        <f t="shared" si="86"/>
        <v>12600</v>
      </c>
      <c r="G278" s="32">
        <f t="shared" si="84"/>
        <v>10.408217976190485</v>
      </c>
      <c r="H278" s="31">
        <f t="shared" si="87"/>
        <v>131143.54650000011</v>
      </c>
      <c r="I278" s="31">
        <f t="shared" si="88"/>
        <v>8716.4534999999159</v>
      </c>
      <c r="J278" s="175">
        <f t="shared" si="89"/>
        <v>6.6464982323776747E-2</v>
      </c>
      <c r="K278" s="31">
        <f t="shared" si="90"/>
        <v>139860.00000000003</v>
      </c>
      <c r="L278" s="31">
        <f t="shared" si="91"/>
        <v>2850.5600000000268</v>
      </c>
      <c r="M278" s="31">
        <f t="shared" si="85"/>
        <v>5</v>
      </c>
      <c r="N278" s="31">
        <f t="shared" si="92"/>
        <v>4.4400000000000013</v>
      </c>
      <c r="O278" s="125"/>
      <c r="P278" s="32">
        <f t="shared" si="93"/>
        <v>0.69178202380951603</v>
      </c>
      <c r="Q278" s="31">
        <f t="shared" si="94"/>
        <v>4430.5599999999977</v>
      </c>
      <c r="R278" s="34"/>
      <c r="S278" s="34">
        <f t="shared" si="95"/>
        <v>13571.697999999946</v>
      </c>
      <c r="T278" s="34">
        <f t="shared" si="96"/>
        <v>1222.6754954954904</v>
      </c>
      <c r="U278" s="34">
        <f t="shared" si="81"/>
        <v>13822.67549549549</v>
      </c>
      <c r="V278" s="31">
        <f>H278+S278-SUM(AB$15:AB278)</f>
        <v>143715.24450000006</v>
      </c>
      <c r="W278" s="32">
        <f t="shared" si="97"/>
        <v>10.397064196930163</v>
      </c>
      <c r="X278" s="32">
        <f t="shared" si="98"/>
        <v>-1.1153779260322239E-2</v>
      </c>
      <c r="Y278" s="32">
        <f t="shared" si="99"/>
        <v>0.70293580306983827</v>
      </c>
      <c r="Z278" s="38">
        <f t="shared" si="100"/>
        <v>0.91154567030862199</v>
      </c>
      <c r="AA278" s="31">
        <f>SUM(L$2:L278)-SUM(AB$2:AB278)</f>
        <v>4434.9000000000487</v>
      </c>
      <c r="AB278" s="176"/>
      <c r="AC278" s="40">
        <f t="shared" si="82"/>
        <v>784.87344804053282</v>
      </c>
      <c r="AD278" s="40">
        <f t="shared" si="83"/>
        <v>-11815.126551959467</v>
      </c>
    </row>
    <row r="279" spans="1:30" x14ac:dyDescent="0.25">
      <c r="A279" s="174">
        <v>43068</v>
      </c>
      <c r="B279" s="159" t="s">
        <v>288</v>
      </c>
      <c r="C279" s="64" t="s">
        <v>69</v>
      </c>
      <c r="D279" s="64">
        <v>400</v>
      </c>
      <c r="E279" s="104">
        <v>11.41</v>
      </c>
      <c r="F279" s="102">
        <f t="shared" si="86"/>
        <v>12200</v>
      </c>
      <c r="G279" s="32">
        <f t="shared" si="84"/>
        <v>10.376156598360664</v>
      </c>
      <c r="H279" s="31">
        <f t="shared" si="87"/>
        <v>126589.11050000011</v>
      </c>
      <c r="I279" s="31">
        <f t="shared" si="88"/>
        <v>12612.889499999888</v>
      </c>
      <c r="J279" s="175">
        <f t="shared" si="89"/>
        <v>9.9636449376898736E-2</v>
      </c>
      <c r="K279" s="31">
        <f t="shared" si="90"/>
        <v>139202</v>
      </c>
      <c r="L279" s="31">
        <f t="shared" si="91"/>
        <v>3896.4359999999724</v>
      </c>
      <c r="M279" s="31">
        <f t="shared" si="85"/>
        <v>5</v>
      </c>
      <c r="N279" s="31">
        <f t="shared" si="92"/>
        <v>4.5640000000000001</v>
      </c>
      <c r="O279" s="125"/>
      <c r="P279" s="32">
        <f t="shared" si="93"/>
        <v>1.0338434016393361</v>
      </c>
      <c r="Q279" s="31">
        <f t="shared" si="94"/>
        <v>4554.4360000000015</v>
      </c>
      <c r="R279" s="34"/>
      <c r="S279" s="34">
        <f t="shared" si="95"/>
        <v>18126.133999999947</v>
      </c>
      <c r="T279" s="34">
        <f t="shared" si="96"/>
        <v>1588.6182296231329</v>
      </c>
      <c r="U279" s="34">
        <f t="shared" si="81"/>
        <v>13788.618229623133</v>
      </c>
      <c r="V279" s="31">
        <f>H279+S279-SUM(AB$15:AB279)</f>
        <v>143715.24450000006</v>
      </c>
      <c r="W279" s="32">
        <f t="shared" si="97"/>
        <v>10.422744477125759</v>
      </c>
      <c r="X279" s="32">
        <f t="shared" si="98"/>
        <v>4.658787876509507E-2</v>
      </c>
      <c r="Y279" s="32">
        <f t="shared" si="99"/>
        <v>0.98725552287424101</v>
      </c>
      <c r="Z279" s="38">
        <f t="shared" si="100"/>
        <v>0.88478771381093257</v>
      </c>
      <c r="AA279" s="31">
        <f>SUM(L$2:L279)-SUM(AB$2:AB279)</f>
        <v>8331.3360000000212</v>
      </c>
      <c r="AB279" s="176"/>
      <c r="AC279" s="40">
        <f t="shared" si="82"/>
        <v>1104.8714334136625</v>
      </c>
      <c r="AD279" s="40">
        <f t="shared" si="83"/>
        <v>-11095.128566586338</v>
      </c>
    </row>
    <row r="280" spans="1:30" x14ac:dyDescent="0.25">
      <c r="A280" s="174">
        <v>43073</v>
      </c>
      <c r="B280" s="159" t="s">
        <v>289</v>
      </c>
      <c r="C280" s="64" t="s">
        <v>63</v>
      </c>
      <c r="D280" s="64">
        <v>400</v>
      </c>
      <c r="E280" s="104">
        <v>11.08</v>
      </c>
      <c r="F280" s="102">
        <f t="shared" si="86"/>
        <v>12600</v>
      </c>
      <c r="G280" s="32">
        <f t="shared" si="84"/>
        <v>10.398897658730167</v>
      </c>
      <c r="H280" s="31">
        <f t="shared" si="87"/>
        <v>131026.11050000011</v>
      </c>
      <c r="I280" s="31">
        <f t="shared" si="88"/>
        <v>8581.8894999998884</v>
      </c>
      <c r="J280" s="175">
        <f t="shared" si="89"/>
        <v>6.5497552108134113E-2</v>
      </c>
      <c r="K280" s="31">
        <f t="shared" si="90"/>
        <v>139608</v>
      </c>
      <c r="L280" s="31">
        <f t="shared" si="91"/>
        <v>-4031</v>
      </c>
      <c r="M280" s="31">
        <f t="shared" si="85"/>
        <v>5</v>
      </c>
      <c r="N280" s="31">
        <f t="shared" si="92"/>
        <v>0</v>
      </c>
      <c r="O280" s="125"/>
      <c r="P280" s="32">
        <f t="shared" si="93"/>
        <v>0.68110234126983293</v>
      </c>
      <c r="Q280" s="31">
        <f t="shared" si="94"/>
        <v>-4437</v>
      </c>
      <c r="R280" s="34"/>
      <c r="S280" s="34">
        <f t="shared" si="95"/>
        <v>13689.133999999947</v>
      </c>
      <c r="T280" s="34">
        <f t="shared" si="96"/>
        <v>1235.4814079422335</v>
      </c>
      <c r="U280" s="34">
        <f t="shared" si="81"/>
        <v>13835.481407942234</v>
      </c>
      <c r="V280" s="31">
        <f>H280+S280-SUM(AB$15:AB280)</f>
        <v>143715.24450000006</v>
      </c>
      <c r="W280" s="32">
        <f t="shared" si="97"/>
        <v>10.387440831477001</v>
      </c>
      <c r="X280" s="32">
        <f t="shared" si="98"/>
        <v>-1.1456827253166324E-2</v>
      </c>
      <c r="Y280" s="32">
        <f t="shared" si="99"/>
        <v>0.69255916852299926</v>
      </c>
      <c r="Z280" s="38">
        <f t="shared" si="100"/>
        <v>0.91070195741559035</v>
      </c>
      <c r="AA280" s="31">
        <f>SUM(L$2:L280)-SUM(AB$2:AB280)</f>
        <v>4300.3360000000212</v>
      </c>
      <c r="AB280" s="176"/>
      <c r="AC280" s="40">
        <f t="shared" si="82"/>
        <v>774.15149415612723</v>
      </c>
      <c r="AD280" s="40">
        <f t="shared" si="83"/>
        <v>-11825.848505843873</v>
      </c>
    </row>
    <row r="281" spans="1:30" x14ac:dyDescent="0.25">
      <c r="A281" s="174">
        <v>43074</v>
      </c>
      <c r="B281" s="159" t="s">
        <v>290</v>
      </c>
      <c r="C281" s="64" t="s">
        <v>69</v>
      </c>
      <c r="D281" s="64">
        <v>400</v>
      </c>
      <c r="E281" s="104">
        <v>11.21</v>
      </c>
      <c r="F281" s="102">
        <f t="shared" si="86"/>
        <v>12200</v>
      </c>
      <c r="G281" s="32">
        <f t="shared" si="84"/>
        <v>10.373081516393452</v>
      </c>
      <c r="H281" s="31">
        <f t="shared" si="87"/>
        <v>126551.59450000011</v>
      </c>
      <c r="I281" s="31">
        <f t="shared" si="88"/>
        <v>10210.405499999892</v>
      </c>
      <c r="J281" s="175">
        <f t="shared" si="89"/>
        <v>8.0681760987214524E-2</v>
      </c>
      <c r="K281" s="31">
        <f t="shared" si="90"/>
        <v>136762</v>
      </c>
      <c r="L281" s="31">
        <f t="shared" si="91"/>
        <v>1628.5160000000033</v>
      </c>
      <c r="M281" s="31">
        <f t="shared" si="85"/>
        <v>5</v>
      </c>
      <c r="N281" s="31">
        <f t="shared" si="92"/>
        <v>4.484</v>
      </c>
      <c r="O281" s="125"/>
      <c r="P281" s="32">
        <f t="shared" si="93"/>
        <v>0.8369184836065493</v>
      </c>
      <c r="Q281" s="31">
        <f t="shared" si="94"/>
        <v>4474.5160000000033</v>
      </c>
      <c r="R281" s="34"/>
      <c r="S281" s="34">
        <f t="shared" si="95"/>
        <v>18163.649999999951</v>
      </c>
      <c r="T281" s="34">
        <f t="shared" si="96"/>
        <v>1620.3077609277386</v>
      </c>
      <c r="U281" s="34">
        <f t="shared" si="81"/>
        <v>13820.307760927739</v>
      </c>
      <c r="V281" s="31">
        <f>H281+S281-SUM(AB$15:AB281)</f>
        <v>143715.24450000006</v>
      </c>
      <c r="W281" s="32">
        <f t="shared" si="97"/>
        <v>10.398845451640844</v>
      </c>
      <c r="X281" s="32">
        <f t="shared" si="98"/>
        <v>2.5763935247391956E-2</v>
      </c>
      <c r="Y281" s="32">
        <f t="shared" si="99"/>
        <v>0.81115454835915735</v>
      </c>
      <c r="Z281" s="38">
        <f t="shared" si="100"/>
        <v>0.88275892339325379</v>
      </c>
      <c r="AA281" s="31">
        <f>SUM(L$2:L281)-SUM(AB$2:AB281)</f>
        <v>5928.8520000000244</v>
      </c>
      <c r="AB281" s="176"/>
      <c r="AC281" s="40">
        <f t="shared" si="82"/>
        <v>910.37469199374596</v>
      </c>
      <c r="AD281" s="40">
        <f t="shared" si="83"/>
        <v>-11289.625308006254</v>
      </c>
    </row>
    <row r="282" spans="1:30" x14ac:dyDescent="0.25">
      <c r="A282" s="174">
        <v>43082</v>
      </c>
      <c r="B282" s="159" t="s">
        <v>291</v>
      </c>
      <c r="C282" s="64" t="s">
        <v>63</v>
      </c>
      <c r="D282" s="64">
        <v>500</v>
      </c>
      <c r="E282" s="104">
        <v>11.05</v>
      </c>
      <c r="F282" s="102">
        <f t="shared" si="86"/>
        <v>12700</v>
      </c>
      <c r="G282" s="32">
        <f t="shared" si="84"/>
        <v>10.400125551181112</v>
      </c>
      <c r="H282" s="31">
        <f t="shared" si="87"/>
        <v>132081.59450000012</v>
      </c>
      <c r="I282" s="31">
        <f t="shared" si="88"/>
        <v>8253.4054999998771</v>
      </c>
      <c r="J282" s="175">
        <f t="shared" si="89"/>
        <v>6.24871734115829E-2</v>
      </c>
      <c r="K282" s="31">
        <f t="shared" si="90"/>
        <v>140335</v>
      </c>
      <c r="L282" s="31">
        <f t="shared" si="91"/>
        <v>-1957.0000000000146</v>
      </c>
      <c r="M282" s="31">
        <f t="shared" si="85"/>
        <v>5</v>
      </c>
      <c r="N282" s="31">
        <f t="shared" si="92"/>
        <v>0</v>
      </c>
      <c r="O282" s="125"/>
      <c r="P282" s="32">
        <f t="shared" si="93"/>
        <v>0.64987444881888834</v>
      </c>
      <c r="Q282" s="31">
        <f t="shared" si="94"/>
        <v>-5530.0000000000146</v>
      </c>
      <c r="R282" s="34"/>
      <c r="S282" s="34">
        <f t="shared" si="95"/>
        <v>12633.649999999936</v>
      </c>
      <c r="T282" s="34">
        <f t="shared" si="96"/>
        <v>1143.316742081442</v>
      </c>
      <c r="U282" s="34">
        <f t="shared" si="81"/>
        <v>13843.316742081442</v>
      </c>
      <c r="V282" s="31">
        <f>H282+S282-SUM(AB$15:AB282)</f>
        <v>143715.24450000006</v>
      </c>
      <c r="W282" s="32">
        <f t="shared" si="97"/>
        <v>10.381561527312957</v>
      </c>
      <c r="X282" s="32">
        <f t="shared" si="98"/>
        <v>-1.8564023868155033E-2</v>
      </c>
      <c r="Y282" s="32">
        <f t="shared" si="99"/>
        <v>0.66843847268704337</v>
      </c>
      <c r="Z282" s="38">
        <f t="shared" si="100"/>
        <v>0.91741020137132712</v>
      </c>
      <c r="AA282" s="31">
        <f>SUM(L$2:L282)-SUM(AB$2:AB282)</f>
        <v>3971.8520000000099</v>
      </c>
      <c r="AB282" s="176"/>
      <c r="AC282" s="40">
        <f t="shared" si="82"/>
        <v>746.54106762442325</v>
      </c>
      <c r="AD282" s="40">
        <f t="shared" si="83"/>
        <v>-11953.458932375577</v>
      </c>
    </row>
    <row r="283" spans="1:30" x14ac:dyDescent="0.25">
      <c r="A283" s="174">
        <v>43083</v>
      </c>
      <c r="B283" s="159"/>
      <c r="C283" s="64" t="s">
        <v>63</v>
      </c>
      <c r="D283" s="64">
        <v>500</v>
      </c>
      <c r="E283" s="104">
        <v>10.86</v>
      </c>
      <c r="F283" s="102">
        <f t="shared" si="86"/>
        <v>13200</v>
      </c>
      <c r="G283" s="32">
        <f t="shared" si="84"/>
        <v>10.417923825757585</v>
      </c>
      <c r="H283" s="31">
        <f t="shared" si="87"/>
        <v>137516.59450000012</v>
      </c>
      <c r="I283" s="31">
        <f t="shared" si="88"/>
        <v>5835.4054999998771</v>
      </c>
      <c r="J283" s="175">
        <f t="shared" si="89"/>
        <v>4.2434191460434E-2</v>
      </c>
      <c r="K283" s="31">
        <f t="shared" si="90"/>
        <v>143352</v>
      </c>
      <c r="L283" s="31">
        <f t="shared" si="91"/>
        <v>-2418</v>
      </c>
      <c r="M283" s="31">
        <f t="shared" si="85"/>
        <v>5</v>
      </c>
      <c r="N283" s="31">
        <f t="shared" si="92"/>
        <v>0</v>
      </c>
      <c r="O283" s="125"/>
      <c r="P283" s="32">
        <f t="shared" si="93"/>
        <v>0.44207617424241441</v>
      </c>
      <c r="Q283" s="31">
        <f t="shared" si="94"/>
        <v>-5435</v>
      </c>
      <c r="R283" s="34"/>
      <c r="S283" s="34">
        <f t="shared" si="95"/>
        <v>7198.649999999936</v>
      </c>
      <c r="T283" s="34">
        <f t="shared" si="96"/>
        <v>662.85911602209353</v>
      </c>
      <c r="U283" s="34">
        <f t="shared" si="81"/>
        <v>13862.859116022093</v>
      </c>
      <c r="V283" s="31">
        <f>H283+S283-SUM(AB$15:AB283)</f>
        <v>143715.24450000006</v>
      </c>
      <c r="W283" s="32">
        <f t="shared" si="97"/>
        <v>10.366926713833527</v>
      </c>
      <c r="X283" s="32">
        <f t="shared" si="98"/>
        <v>-5.0997111924058203E-2</v>
      </c>
      <c r="Y283" s="32">
        <f t="shared" si="99"/>
        <v>0.49307328616647261</v>
      </c>
      <c r="Z283" s="38">
        <f t="shared" si="100"/>
        <v>0.95218453058821106</v>
      </c>
      <c r="AA283" s="31">
        <f>SUM(L$2:L283)-SUM(AB$2:AB283)</f>
        <v>1553.8520000000099</v>
      </c>
      <c r="AB283" s="176"/>
      <c r="AC283" s="40">
        <f t="shared" si="82"/>
        <v>537.06149145947302</v>
      </c>
      <c r="AD283" s="40">
        <f t="shared" si="83"/>
        <v>-12662.938508540527</v>
      </c>
    </row>
    <row r="284" spans="1:30" x14ac:dyDescent="0.25">
      <c r="A284" s="174">
        <v>43084</v>
      </c>
      <c r="B284" s="159"/>
      <c r="C284" s="64" t="s">
        <v>63</v>
      </c>
      <c r="D284" s="64">
        <v>500</v>
      </c>
      <c r="E284" s="104">
        <v>10.73</v>
      </c>
      <c r="F284" s="102">
        <f t="shared" si="86"/>
        <v>13700</v>
      </c>
      <c r="G284" s="32">
        <f t="shared" si="84"/>
        <v>10.429678430656944</v>
      </c>
      <c r="H284" s="31">
        <f t="shared" si="87"/>
        <v>142886.59450000012</v>
      </c>
      <c r="I284" s="31">
        <f t="shared" si="88"/>
        <v>4114.4054999998771</v>
      </c>
      <c r="J284" s="175">
        <f t="shared" si="89"/>
        <v>2.8794902099789851E-2</v>
      </c>
      <c r="K284" s="31">
        <f t="shared" si="90"/>
        <v>147001</v>
      </c>
      <c r="L284" s="31">
        <f t="shared" si="91"/>
        <v>-1721</v>
      </c>
      <c r="M284" s="31">
        <f t="shared" si="85"/>
        <v>5</v>
      </c>
      <c r="N284" s="31">
        <f t="shared" si="92"/>
        <v>0</v>
      </c>
      <c r="O284" s="125"/>
      <c r="P284" s="32">
        <f t="shared" si="93"/>
        <v>0.30032156934305654</v>
      </c>
      <c r="Q284" s="31">
        <f t="shared" si="94"/>
        <v>-5370</v>
      </c>
      <c r="R284" s="34"/>
      <c r="S284" s="34">
        <f t="shared" si="95"/>
        <v>1828.649999999936</v>
      </c>
      <c r="T284" s="34">
        <f t="shared" si="96"/>
        <v>170.42404473438359</v>
      </c>
      <c r="U284" s="34">
        <f t="shared" si="81"/>
        <v>13870.424044734384</v>
      </c>
      <c r="V284" s="31">
        <f>H284+S284-SUM(AB$15:AB284)</f>
        <v>143715.24450000006</v>
      </c>
      <c r="W284" s="32">
        <f t="shared" si="97"/>
        <v>10.361272592423628</v>
      </c>
      <c r="X284" s="32">
        <f t="shared" si="98"/>
        <v>-6.8405838233315919E-2</v>
      </c>
      <c r="Y284" s="32">
        <f t="shared" si="99"/>
        <v>0.36872740757637246</v>
      </c>
      <c r="Z284" s="38">
        <f t="shared" si="100"/>
        <v>0.98771313377408376</v>
      </c>
      <c r="AA284" s="31">
        <f>SUM(L$2:L284)-SUM(AB$2:AB284)</f>
        <v>-167.14799999999013</v>
      </c>
      <c r="AB284" s="176"/>
      <c r="AC284" s="40">
        <f t="shared" si="82"/>
        <v>383.25706404938273</v>
      </c>
      <c r="AD284" s="40">
        <f t="shared" si="83"/>
        <v>-13316.742935950617</v>
      </c>
    </row>
    <row r="285" spans="1:30" x14ac:dyDescent="0.25">
      <c r="A285" s="174">
        <v>43088</v>
      </c>
      <c r="B285" s="159"/>
      <c r="C285" s="64" t="s">
        <v>63</v>
      </c>
      <c r="D285" s="64">
        <v>500</v>
      </c>
      <c r="E285" s="104">
        <v>10.55</v>
      </c>
      <c r="F285" s="102">
        <f t="shared" si="86"/>
        <v>14200</v>
      </c>
      <c r="G285" s="32">
        <f t="shared" si="84"/>
        <v>10.434267218309868</v>
      </c>
      <c r="H285" s="31">
        <f t="shared" si="87"/>
        <v>148166.59450000012</v>
      </c>
      <c r="I285" s="31">
        <f t="shared" si="88"/>
        <v>1643.4054999998771</v>
      </c>
      <c r="J285" s="175">
        <f t="shared" si="89"/>
        <v>1.1091606077238152E-2</v>
      </c>
      <c r="K285" s="31">
        <f t="shared" si="90"/>
        <v>149810</v>
      </c>
      <c r="L285" s="31">
        <f t="shared" si="91"/>
        <v>-2471</v>
      </c>
      <c r="M285" s="31">
        <f t="shared" si="85"/>
        <v>5</v>
      </c>
      <c r="N285" s="31">
        <f t="shared" si="92"/>
        <v>0</v>
      </c>
      <c r="O285" s="125"/>
      <c r="P285" s="32">
        <f t="shared" si="93"/>
        <v>0.11573278169013257</v>
      </c>
      <c r="Q285" s="31">
        <f t="shared" si="94"/>
        <v>-5280</v>
      </c>
      <c r="R285" s="34"/>
      <c r="S285" s="34">
        <f t="shared" si="95"/>
        <v>-3451.350000000064</v>
      </c>
      <c r="T285" s="34">
        <f t="shared" si="96"/>
        <v>-327.14218009479276</v>
      </c>
      <c r="U285" s="34">
        <f t="shared" si="81"/>
        <v>13872.857819905208</v>
      </c>
      <c r="V285" s="31">
        <f>H285+S285-SUM(AB$15:AB285)</f>
        <v>143715.24450000006</v>
      </c>
      <c r="W285" s="32">
        <f t="shared" si="97"/>
        <v>10.359454869766845</v>
      </c>
      <c r="X285" s="32">
        <f t="shared" si="98"/>
        <v>-7.4812348543023433E-2</v>
      </c>
      <c r="Y285" s="32">
        <f t="shared" si="99"/>
        <v>0.190545130233156</v>
      </c>
      <c r="Z285" s="38">
        <f t="shared" si="100"/>
        <v>1.0235814555545577</v>
      </c>
      <c r="AA285" s="31">
        <f>SUM(L$2:L285)-SUM(AB$2:AB285)</f>
        <v>-2638.1479999999901</v>
      </c>
      <c r="AB285" s="176"/>
      <c r="AC285" s="40">
        <f t="shared" si="82"/>
        <v>155.69514665875613</v>
      </c>
      <c r="AD285" s="40">
        <f t="shared" si="83"/>
        <v>-14044.304853341244</v>
      </c>
    </row>
    <row r="286" spans="1:30" x14ac:dyDescent="0.25">
      <c r="A286" s="174">
        <v>43088</v>
      </c>
      <c r="B286" s="159" t="s">
        <v>292</v>
      </c>
      <c r="C286" s="64" t="s">
        <v>69</v>
      </c>
      <c r="D286" s="64">
        <v>400</v>
      </c>
      <c r="E286" s="104">
        <v>10.69</v>
      </c>
      <c r="F286" s="102">
        <f t="shared" si="86"/>
        <v>13800</v>
      </c>
      <c r="G286" s="32">
        <f t="shared" si="84"/>
        <v>10.427526847826098</v>
      </c>
      <c r="H286" s="31">
        <f t="shared" si="87"/>
        <v>143899.87050000014</v>
      </c>
      <c r="I286" s="31">
        <f t="shared" si="88"/>
        <v>3622.1294999998645</v>
      </c>
      <c r="J286" s="175">
        <f t="shared" si="89"/>
        <v>2.5171179705820806E-2</v>
      </c>
      <c r="K286" s="31">
        <f t="shared" si="90"/>
        <v>147522</v>
      </c>
      <c r="L286" s="31">
        <f t="shared" si="91"/>
        <v>1978.7239999999874</v>
      </c>
      <c r="M286" s="31">
        <f t="shared" si="85"/>
        <v>5</v>
      </c>
      <c r="N286" s="31">
        <f t="shared" si="92"/>
        <v>4.2759999999999998</v>
      </c>
      <c r="O286" s="125"/>
      <c r="P286" s="32">
        <f t="shared" si="93"/>
        <v>0.26247315217390188</v>
      </c>
      <c r="Q286" s="31">
        <f t="shared" si="94"/>
        <v>4266.7239999999874</v>
      </c>
      <c r="R286" s="34"/>
      <c r="S286" s="34">
        <f t="shared" si="95"/>
        <v>815.3739999999234</v>
      </c>
      <c r="T286" s="34">
        <f t="shared" si="96"/>
        <v>76.274462114118194</v>
      </c>
      <c r="U286" s="34">
        <f t="shared" si="81"/>
        <v>13876.274462114117</v>
      </c>
      <c r="V286" s="31">
        <f>H286+S286-SUM(AB$15:AB286)</f>
        <v>143715.24450000006</v>
      </c>
      <c r="W286" s="32">
        <f t="shared" si="97"/>
        <v>10.356904145444839</v>
      </c>
      <c r="X286" s="32">
        <f t="shared" si="98"/>
        <v>-7.0622702381259117E-2</v>
      </c>
      <c r="Y286" s="32">
        <f t="shared" si="99"/>
        <v>0.333095854555161</v>
      </c>
      <c r="Z286" s="38">
        <f t="shared" si="100"/>
        <v>0.9945032463632536</v>
      </c>
      <c r="AA286" s="31">
        <f>SUM(L$2:L286)-SUM(AB$2:AB286)</f>
        <v>-659.42400000000271</v>
      </c>
      <c r="AB286" s="176"/>
      <c r="AC286" s="40">
        <f t="shared" si="82"/>
        <v>338.66402574835035</v>
      </c>
      <c r="AD286" s="40">
        <f t="shared" si="83"/>
        <v>-13461.33597425165</v>
      </c>
    </row>
    <row r="287" spans="1:30" x14ac:dyDescent="0.25">
      <c r="A287" s="174">
        <v>43089</v>
      </c>
      <c r="B287" s="159"/>
      <c r="C287" s="64" t="s">
        <v>63</v>
      </c>
      <c r="D287" s="64">
        <v>500</v>
      </c>
      <c r="E287" s="104">
        <v>10.52</v>
      </c>
      <c r="F287" s="102">
        <f t="shared" si="86"/>
        <v>14300</v>
      </c>
      <c r="G287" s="32">
        <f t="shared" si="84"/>
        <v>10.431109825174834</v>
      </c>
      <c r="H287" s="31">
        <f t="shared" si="87"/>
        <v>149164.87050000014</v>
      </c>
      <c r="I287" s="31">
        <f t="shared" si="88"/>
        <v>1271.1294999998645</v>
      </c>
      <c r="J287" s="175">
        <f t="shared" si="89"/>
        <v>8.5216411594703223E-3</v>
      </c>
      <c r="K287" s="31">
        <f t="shared" si="90"/>
        <v>150436</v>
      </c>
      <c r="L287" s="31">
        <f t="shared" si="91"/>
        <v>-2351</v>
      </c>
      <c r="M287" s="31">
        <f t="shared" si="85"/>
        <v>5</v>
      </c>
      <c r="N287" s="31">
        <f t="shared" si="92"/>
        <v>0</v>
      </c>
      <c r="O287" s="125"/>
      <c r="P287" s="32">
        <f t="shared" si="93"/>
        <v>8.8890174825165147E-2</v>
      </c>
      <c r="Q287" s="31">
        <f t="shared" si="94"/>
        <v>-5265</v>
      </c>
      <c r="R287" s="34"/>
      <c r="S287" s="34">
        <f t="shared" si="95"/>
        <v>-4449.6260000000766</v>
      </c>
      <c r="T287" s="34">
        <f t="shared" si="96"/>
        <v>-422.96825095057761</v>
      </c>
      <c r="U287" s="34">
        <f t="shared" si="81"/>
        <v>13877.031749049422</v>
      </c>
      <c r="V287" s="31">
        <f>H287+S287-SUM(AB$15:AB287)</f>
        <v>143715.24450000006</v>
      </c>
      <c r="W287" s="32">
        <f t="shared" si="97"/>
        <v>10.356338956264517</v>
      </c>
      <c r="X287" s="32">
        <f t="shared" si="98"/>
        <v>-7.4770868910317034E-2</v>
      </c>
      <c r="Y287" s="32">
        <f t="shared" si="99"/>
        <v>0.16366104373548218</v>
      </c>
      <c r="Z287" s="38">
        <f t="shared" si="100"/>
        <v>1.0304797350470536</v>
      </c>
      <c r="AA287" s="31">
        <f>SUM(L$2:L287)-SUM(AB$2:AB287)</f>
        <v>-3010.4240000000027</v>
      </c>
      <c r="AB287" s="176"/>
      <c r="AC287" s="40">
        <f t="shared" si="82"/>
        <v>120.76938548002516</v>
      </c>
      <c r="AD287" s="40">
        <f t="shared" si="83"/>
        <v>-14179.230614519975</v>
      </c>
    </row>
    <row r="288" spans="1:30" x14ac:dyDescent="0.25">
      <c r="A288" s="174">
        <v>43090</v>
      </c>
      <c r="B288" s="159" t="s">
        <v>293</v>
      </c>
      <c r="C288" s="64" t="s">
        <v>69</v>
      </c>
      <c r="D288" s="64">
        <v>400</v>
      </c>
      <c r="E288" s="104">
        <v>10.73</v>
      </c>
      <c r="F288" s="102">
        <f t="shared" si="86"/>
        <v>13900</v>
      </c>
      <c r="G288" s="32">
        <f t="shared" si="84"/>
        <v>10.42317715827339</v>
      </c>
      <c r="H288" s="31">
        <f t="shared" si="87"/>
        <v>144882.16250000012</v>
      </c>
      <c r="I288" s="31">
        <f t="shared" si="88"/>
        <v>4264.8374999998778</v>
      </c>
      <c r="J288" s="175">
        <f t="shared" si="89"/>
        <v>2.9436594722279101E-2</v>
      </c>
      <c r="K288" s="31">
        <f t="shared" si="90"/>
        <v>149147</v>
      </c>
      <c r="L288" s="31">
        <f t="shared" si="91"/>
        <v>2993.7080000000133</v>
      </c>
      <c r="M288" s="31">
        <f t="shared" si="85"/>
        <v>5</v>
      </c>
      <c r="N288" s="31">
        <f t="shared" si="92"/>
        <v>4.2919999999999998</v>
      </c>
      <c r="O288" s="125"/>
      <c r="P288" s="32">
        <f t="shared" si="93"/>
        <v>0.30682284172661056</v>
      </c>
      <c r="Q288" s="31">
        <f t="shared" si="94"/>
        <v>4282.7080000000133</v>
      </c>
      <c r="R288" s="34"/>
      <c r="S288" s="34">
        <f t="shared" si="95"/>
        <v>-166.91800000006333</v>
      </c>
      <c r="T288" s="34">
        <f t="shared" si="96"/>
        <v>-15.556197576893133</v>
      </c>
      <c r="U288" s="34">
        <f t="shared" si="81"/>
        <v>13884.443802423108</v>
      </c>
      <c r="V288" s="31">
        <f>H288+S288-SUM(AB$15:AB288)</f>
        <v>143715.24450000006</v>
      </c>
      <c r="W288" s="32">
        <f t="shared" si="97"/>
        <v>10.350810341781132</v>
      </c>
      <c r="X288" s="32">
        <f t="shared" si="98"/>
        <v>-7.2366816492257513E-2</v>
      </c>
      <c r="Y288" s="32">
        <f t="shared" si="99"/>
        <v>0.37918965821886808</v>
      </c>
      <c r="Z288" s="38">
        <f t="shared" si="100"/>
        <v>1.0011204048068658</v>
      </c>
      <c r="AA288" s="31">
        <f>SUM(L$2:L288)-SUM(AB$2:AB288)</f>
        <v>-16.715999999989435</v>
      </c>
      <c r="AB288" s="176"/>
      <c r="AC288" s="40">
        <f t="shared" si="82"/>
        <v>397.26981185926172</v>
      </c>
      <c r="AD288" s="40">
        <f t="shared" si="83"/>
        <v>-13502.730188140738</v>
      </c>
    </row>
    <row r="289" spans="1:30" x14ac:dyDescent="0.25">
      <c r="A289" s="174">
        <v>43090</v>
      </c>
      <c r="B289" s="159" t="s">
        <v>294</v>
      </c>
      <c r="C289" s="64" t="s">
        <v>69</v>
      </c>
      <c r="D289" s="64">
        <v>300</v>
      </c>
      <c r="E289" s="104">
        <v>10.85</v>
      </c>
      <c r="F289" s="102">
        <f t="shared" si="86"/>
        <v>13600</v>
      </c>
      <c r="G289" s="32">
        <f t="shared" si="84"/>
        <v>10.414368933823539</v>
      </c>
      <c r="H289" s="31">
        <f t="shared" si="87"/>
        <v>141635.41750000013</v>
      </c>
      <c r="I289" s="31">
        <f t="shared" si="88"/>
        <v>5924.5824999998731</v>
      </c>
      <c r="J289" s="175">
        <f t="shared" si="89"/>
        <v>4.1829809270692193E-2</v>
      </c>
      <c r="K289" s="31">
        <f t="shared" si="90"/>
        <v>147560</v>
      </c>
      <c r="L289" s="31">
        <f t="shared" si="91"/>
        <v>1659.7449999999953</v>
      </c>
      <c r="M289" s="31">
        <f t="shared" si="85"/>
        <v>5</v>
      </c>
      <c r="N289" s="31">
        <f t="shared" si="92"/>
        <v>3.2549999999999999</v>
      </c>
      <c r="O289" s="125"/>
      <c r="P289" s="32">
        <f t="shared" si="93"/>
        <v>0.43563106617646064</v>
      </c>
      <c r="Q289" s="31">
        <f t="shared" si="94"/>
        <v>3246.7449999999953</v>
      </c>
      <c r="R289" s="34"/>
      <c r="S289" s="34">
        <f t="shared" si="95"/>
        <v>3079.826999999932</v>
      </c>
      <c r="T289" s="34">
        <f t="shared" si="96"/>
        <v>283.85502304146837</v>
      </c>
      <c r="U289" s="34">
        <f t="shared" si="81"/>
        <v>13883.855023041468</v>
      </c>
      <c r="V289" s="31">
        <f>H289+S289-SUM(AB$15:AB289)</f>
        <v>143715.24450000006</v>
      </c>
      <c r="W289" s="32">
        <f t="shared" si="97"/>
        <v>10.351249293621411</v>
      </c>
      <c r="X289" s="32">
        <f t="shared" si="98"/>
        <v>-6.3119640202128124E-2</v>
      </c>
      <c r="Y289" s="32">
        <f t="shared" si="99"/>
        <v>0.49875070637858876</v>
      </c>
      <c r="Z289" s="38">
        <f t="shared" si="100"/>
        <v>0.97955502829938912</v>
      </c>
      <c r="AA289" s="31">
        <f>SUM(L$2:L289)-SUM(AB$2:AB289)</f>
        <v>1643.0290000000059</v>
      </c>
      <c r="AB289" s="176"/>
      <c r="AC289" s="40">
        <f t="shared" si="82"/>
        <v>545.77144781104835</v>
      </c>
      <c r="AD289" s="40">
        <f t="shared" si="83"/>
        <v>-13054.228552188952</v>
      </c>
    </row>
    <row r="290" spans="1:30" x14ac:dyDescent="0.25">
      <c r="A290" s="174">
        <v>43094</v>
      </c>
      <c r="B290" s="159" t="s">
        <v>295</v>
      </c>
      <c r="C290" s="64" t="s">
        <v>69</v>
      </c>
      <c r="D290" s="64">
        <v>400</v>
      </c>
      <c r="E290" s="104">
        <v>11.01</v>
      </c>
      <c r="F290" s="102">
        <f t="shared" si="86"/>
        <v>13200</v>
      </c>
      <c r="G290" s="32">
        <f t="shared" si="84"/>
        <v>10.397031931818193</v>
      </c>
      <c r="H290" s="31">
        <f t="shared" si="87"/>
        <v>137240.82150000014</v>
      </c>
      <c r="I290" s="31">
        <f t="shared" si="88"/>
        <v>8091.1784999998636</v>
      </c>
      <c r="J290" s="175">
        <f t="shared" si="89"/>
        <v>5.8956062865011691E-2</v>
      </c>
      <c r="K290" s="31">
        <f t="shared" si="90"/>
        <v>145332</v>
      </c>
      <c r="L290" s="31">
        <f t="shared" si="91"/>
        <v>2166.5959999999905</v>
      </c>
      <c r="M290" s="31">
        <f t="shared" si="85"/>
        <v>5</v>
      </c>
      <c r="N290" s="31">
        <f t="shared" si="92"/>
        <v>4.4039999999999999</v>
      </c>
      <c r="O290" s="125"/>
      <c r="P290" s="32">
        <f t="shared" si="93"/>
        <v>0.61296806818180727</v>
      </c>
      <c r="Q290" s="31">
        <f t="shared" si="94"/>
        <v>4394.5959999999905</v>
      </c>
      <c r="R290" s="34"/>
      <c r="S290" s="34">
        <f t="shared" si="95"/>
        <v>7474.4229999999225</v>
      </c>
      <c r="T290" s="34">
        <f t="shared" si="96"/>
        <v>678.87584014531535</v>
      </c>
      <c r="U290" s="34">
        <f t="shared" si="81"/>
        <v>13878.875840145316</v>
      </c>
      <c r="V290" s="31">
        <f>H290+S290-SUM(AB$15:AB290)</f>
        <v>143715.24450000006</v>
      </c>
      <c r="W290" s="32">
        <f t="shared" si="97"/>
        <v>10.354962905878645</v>
      </c>
      <c r="X290" s="32">
        <f t="shared" si="98"/>
        <v>-4.2069025939547089E-2</v>
      </c>
      <c r="Y290" s="32">
        <f t="shared" si="99"/>
        <v>0.65503709412135436</v>
      </c>
      <c r="Z290" s="38">
        <f t="shared" si="100"/>
        <v>0.95108567524023557</v>
      </c>
      <c r="AA290" s="31">
        <f>SUM(L$2:L290)-SUM(AB$2:AB290)</f>
        <v>3809.6249999999964</v>
      </c>
      <c r="AB290" s="176"/>
      <c r="AC290" s="40">
        <f t="shared" si="82"/>
        <v>734.52614993186774</v>
      </c>
      <c r="AD290" s="40">
        <f t="shared" si="83"/>
        <v>-12465.473850068132</v>
      </c>
    </row>
    <row r="291" spans="1:30" x14ac:dyDescent="0.25">
      <c r="A291" s="174">
        <v>43096</v>
      </c>
      <c r="B291" s="159" t="s">
        <v>296</v>
      </c>
      <c r="C291" s="64" t="s">
        <v>69</v>
      </c>
      <c r="D291" s="64">
        <v>400</v>
      </c>
      <c r="E291" s="104">
        <v>11.04</v>
      </c>
      <c r="F291" s="102">
        <f t="shared" si="86"/>
        <v>12800</v>
      </c>
      <c r="G291" s="32">
        <f t="shared" si="84"/>
        <v>10.37767480468751</v>
      </c>
      <c r="H291" s="31">
        <f t="shared" si="87"/>
        <v>132834.23750000013</v>
      </c>
      <c r="I291" s="31">
        <f t="shared" si="88"/>
        <v>8477.7624999998661</v>
      </c>
      <c r="J291" s="175">
        <f t="shared" si="89"/>
        <v>6.3822118902138084E-2</v>
      </c>
      <c r="K291" s="31">
        <f t="shared" si="90"/>
        <v>141312</v>
      </c>
      <c r="L291" s="31">
        <f t="shared" si="91"/>
        <v>386.58400000000256</v>
      </c>
      <c r="M291" s="31">
        <f t="shared" si="85"/>
        <v>5</v>
      </c>
      <c r="N291" s="31">
        <f t="shared" si="92"/>
        <v>4.4160000000000004</v>
      </c>
      <c r="O291" s="125"/>
      <c r="P291" s="32">
        <f t="shared" si="93"/>
        <v>0.6623251953124889</v>
      </c>
      <c r="Q291" s="31">
        <f t="shared" si="94"/>
        <v>4406.5840000000026</v>
      </c>
      <c r="R291" s="34"/>
      <c r="S291" s="34">
        <f t="shared" si="95"/>
        <v>11881.006999999925</v>
      </c>
      <c r="T291" s="34">
        <f t="shared" si="96"/>
        <v>1076.1781702898484</v>
      </c>
      <c r="U291" s="34">
        <f t="shared" si="81"/>
        <v>13876.178170289848</v>
      </c>
      <c r="V291" s="31">
        <f>H291+S291-SUM(AB$15:AB291)</f>
        <v>143715.24450000006</v>
      </c>
      <c r="W291" s="32">
        <f t="shared" si="97"/>
        <v>10.356976015752478</v>
      </c>
      <c r="X291" s="32">
        <f t="shared" si="98"/>
        <v>-2.0698788935032297E-2</v>
      </c>
      <c r="Y291" s="32">
        <f t="shared" si="99"/>
        <v>0.6830239842475212</v>
      </c>
      <c r="Z291" s="38">
        <f t="shared" si="100"/>
        <v>0.92244419485805951</v>
      </c>
      <c r="AA291" s="31">
        <f>SUM(L$2:L291)-SUM(AB$2:AB291)</f>
        <v>4196.2089999999989</v>
      </c>
      <c r="AB291" s="176"/>
      <c r="AC291" s="40">
        <f t="shared" si="82"/>
        <v>767.52931329256046</v>
      </c>
      <c r="AD291" s="40">
        <f t="shared" si="83"/>
        <v>-12032.47068670744</v>
      </c>
    </row>
    <row r="292" spans="1:30" x14ac:dyDescent="0.25">
      <c r="A292" s="174">
        <v>43097</v>
      </c>
      <c r="B292" s="159" t="s">
        <v>297</v>
      </c>
      <c r="C292" s="64" t="s">
        <v>69</v>
      </c>
      <c r="D292" s="64">
        <v>400</v>
      </c>
      <c r="E292" s="104">
        <v>11.14</v>
      </c>
      <c r="F292" s="102">
        <f t="shared" si="86"/>
        <v>12400</v>
      </c>
      <c r="G292" s="32">
        <f t="shared" si="84"/>
        <v>10.353846250000011</v>
      </c>
      <c r="H292" s="31">
        <f t="shared" si="87"/>
        <v>128387.69350000014</v>
      </c>
      <c r="I292" s="31">
        <f t="shared" si="88"/>
        <v>9748.3064999998605</v>
      </c>
      <c r="J292" s="175">
        <f t="shared" si="89"/>
        <v>7.5928667571240879E-2</v>
      </c>
      <c r="K292" s="31">
        <f t="shared" si="90"/>
        <v>138136</v>
      </c>
      <c r="L292" s="31">
        <f t="shared" si="91"/>
        <v>1270.5439999999944</v>
      </c>
      <c r="M292" s="31">
        <f t="shared" si="85"/>
        <v>5</v>
      </c>
      <c r="N292" s="31">
        <f t="shared" si="92"/>
        <v>4.4560000000000004</v>
      </c>
      <c r="O292" s="125"/>
      <c r="P292" s="32">
        <f t="shared" si="93"/>
        <v>0.78615374999998977</v>
      </c>
      <c r="Q292" s="31">
        <f t="shared" si="94"/>
        <v>4446.5439999999944</v>
      </c>
      <c r="R292" s="34"/>
      <c r="S292" s="34">
        <f t="shared" si="95"/>
        <v>16327.550999999919</v>
      </c>
      <c r="T292" s="34">
        <f t="shared" si="96"/>
        <v>1465.6688509874255</v>
      </c>
      <c r="U292" s="34">
        <f t="shared" si="81"/>
        <v>13865.668850987426</v>
      </c>
      <c r="V292" s="31">
        <f>H292+S292-SUM(AB$15:AB292)</f>
        <v>143715.24450000006</v>
      </c>
      <c r="W292" s="32">
        <f t="shared" si="97"/>
        <v>10.364825962922486</v>
      </c>
      <c r="X292" s="32">
        <f t="shared" si="98"/>
        <v>1.0979712922475571E-2</v>
      </c>
      <c r="Y292" s="32">
        <f t="shared" si="99"/>
        <v>0.7751740370775142</v>
      </c>
      <c r="Z292" s="38">
        <f t="shared" si="100"/>
        <v>0.89429512079519702</v>
      </c>
      <c r="AA292" s="31">
        <f>SUM(L$2:L292)-SUM(AB$2:AB292)</f>
        <v>5466.7529999999933</v>
      </c>
      <c r="AB292" s="176"/>
      <c r="AC292" s="40">
        <f t="shared" si="82"/>
        <v>874.63486057000546</v>
      </c>
      <c r="AD292" s="40">
        <f t="shared" si="83"/>
        <v>-11525.365139429994</v>
      </c>
    </row>
    <row r="293" spans="1:30" x14ac:dyDescent="0.25">
      <c r="A293" s="174">
        <v>43102</v>
      </c>
      <c r="B293" s="159"/>
      <c r="C293" s="64" t="s">
        <v>69</v>
      </c>
      <c r="D293" s="64">
        <v>400</v>
      </c>
      <c r="E293" s="104">
        <v>11.42</v>
      </c>
      <c r="F293" s="102">
        <f t="shared" si="86"/>
        <v>12000</v>
      </c>
      <c r="G293" s="32">
        <f t="shared" si="84"/>
        <v>10.319105125000011</v>
      </c>
      <c r="H293" s="31">
        <f t="shared" si="87"/>
        <v>123829.26150000014</v>
      </c>
      <c r="I293" s="31">
        <f t="shared" si="88"/>
        <v>13210.738499999861</v>
      </c>
      <c r="J293" s="175">
        <f t="shared" si="89"/>
        <v>0.10668511093397627</v>
      </c>
      <c r="K293" s="31">
        <f t="shared" si="90"/>
        <v>137040</v>
      </c>
      <c r="L293" s="31">
        <f t="shared" si="91"/>
        <v>3462.4320000000007</v>
      </c>
      <c r="M293" s="31">
        <f t="shared" si="85"/>
        <v>5</v>
      </c>
      <c r="N293" s="31">
        <f t="shared" si="92"/>
        <v>4.5679999999999996</v>
      </c>
      <c r="O293" s="125"/>
      <c r="P293" s="32">
        <f t="shared" si="93"/>
        <v>1.1008948749999892</v>
      </c>
      <c r="Q293" s="31">
        <f t="shared" si="94"/>
        <v>4558.4320000000007</v>
      </c>
      <c r="R293" s="34"/>
      <c r="S293" s="34">
        <f t="shared" si="95"/>
        <v>20885.98299999992</v>
      </c>
      <c r="T293" s="34">
        <f t="shared" si="96"/>
        <v>1828.8951838879088</v>
      </c>
      <c r="U293" s="34">
        <f t="shared" si="81"/>
        <v>13828.895183887909</v>
      </c>
      <c r="V293" s="31">
        <f>H293+S293-SUM(AB$15:AB293)</f>
        <v>143715.24450000006</v>
      </c>
      <c r="W293" s="32">
        <f t="shared" si="97"/>
        <v>10.392388009957813</v>
      </c>
      <c r="X293" s="32">
        <f t="shared" si="98"/>
        <v>7.3282884957801997E-2</v>
      </c>
      <c r="Y293" s="32">
        <f t="shared" si="99"/>
        <v>1.0276119900421872</v>
      </c>
      <c r="Z293" s="38">
        <f t="shared" si="100"/>
        <v>0.86774827926827003</v>
      </c>
      <c r="AA293" s="31">
        <f>SUM(L$2:L293)-SUM(AB$2:AB293)</f>
        <v>8929.184999999994</v>
      </c>
      <c r="AB293" s="176"/>
      <c r="AC293" s="40">
        <f t="shared" si="82"/>
        <v>1156.2288205560299</v>
      </c>
      <c r="AD293" s="40">
        <f t="shared" si="83"/>
        <v>-10843.771179443971</v>
      </c>
    </row>
    <row r="294" spans="1:30" x14ac:dyDescent="0.25">
      <c r="A294" s="174">
        <v>43104</v>
      </c>
      <c r="B294" s="159" t="s">
        <v>298</v>
      </c>
      <c r="C294" s="64" t="s">
        <v>63</v>
      </c>
      <c r="D294" s="64">
        <v>500</v>
      </c>
      <c r="E294" s="104">
        <v>11.12</v>
      </c>
      <c r="F294" s="102">
        <f t="shared" si="86"/>
        <v>12500</v>
      </c>
      <c r="G294" s="32">
        <f t="shared" si="84"/>
        <v>10.35154092000001</v>
      </c>
      <c r="H294" s="31">
        <f t="shared" si="87"/>
        <v>129394.26150000014</v>
      </c>
      <c r="I294" s="31">
        <f t="shared" si="88"/>
        <v>9605.7384999998612</v>
      </c>
      <c r="J294" s="175">
        <f t="shared" si="89"/>
        <v>7.4236201734493856E-2</v>
      </c>
      <c r="K294" s="31">
        <f t="shared" si="90"/>
        <v>139000</v>
      </c>
      <c r="L294" s="31">
        <f t="shared" si="91"/>
        <v>-3605</v>
      </c>
      <c r="M294" s="31">
        <f t="shared" si="85"/>
        <v>5</v>
      </c>
      <c r="N294" s="31">
        <f t="shared" si="92"/>
        <v>0</v>
      </c>
      <c r="O294" s="125"/>
      <c r="P294" s="32">
        <f t="shared" si="93"/>
        <v>0.76845907999998886</v>
      </c>
      <c r="Q294" s="31">
        <f t="shared" si="94"/>
        <v>-5565</v>
      </c>
      <c r="R294" s="34"/>
      <c r="S294" s="34">
        <f t="shared" si="95"/>
        <v>15320.98299999992</v>
      </c>
      <c r="T294" s="34">
        <f t="shared" si="96"/>
        <v>1377.7862410071871</v>
      </c>
      <c r="U294" s="34">
        <f t="shared" si="81"/>
        <v>13877.786241007187</v>
      </c>
      <c r="V294" s="31">
        <f>H294+S294-SUM(AB$15:AB294)</f>
        <v>143715.24450000006</v>
      </c>
      <c r="W294" s="32">
        <f t="shared" si="97"/>
        <v>10.355775914413412</v>
      </c>
      <c r="X294" s="32">
        <f t="shared" si="98"/>
        <v>4.2349944134016937E-3</v>
      </c>
      <c r="Y294" s="32">
        <f t="shared" si="99"/>
        <v>0.76422408558658717</v>
      </c>
      <c r="Z294" s="38">
        <f t="shared" si="100"/>
        <v>0.90072002716571653</v>
      </c>
      <c r="AA294" s="31">
        <f>SUM(L$2:L294)-SUM(AB$2:AB294)</f>
        <v>5324.184999999994</v>
      </c>
      <c r="AB294" s="176"/>
      <c r="AC294" s="40">
        <f t="shared" si="82"/>
        <v>863.39349197390845</v>
      </c>
      <c r="AD294" s="40">
        <f t="shared" si="83"/>
        <v>-11636.606508026092</v>
      </c>
    </row>
    <row r="295" spans="1:30" x14ac:dyDescent="0.25">
      <c r="A295" s="174">
        <v>43105</v>
      </c>
      <c r="B295" s="159" t="s">
        <v>299</v>
      </c>
      <c r="C295" s="64" t="s">
        <v>69</v>
      </c>
      <c r="D295" s="64">
        <v>400</v>
      </c>
      <c r="E295" s="104">
        <v>11.3</v>
      </c>
      <c r="F295" s="102">
        <f t="shared" si="86"/>
        <v>12100</v>
      </c>
      <c r="G295" s="32">
        <f t="shared" si="84"/>
        <v>10.320973677685963</v>
      </c>
      <c r="H295" s="31">
        <f t="shared" si="87"/>
        <v>124883.78150000014</v>
      </c>
      <c r="I295" s="31">
        <f t="shared" si="88"/>
        <v>11846.218499999857</v>
      </c>
      <c r="J295" s="175">
        <f t="shared" si="89"/>
        <v>9.4857941981840485E-2</v>
      </c>
      <c r="K295" s="31">
        <f t="shared" si="90"/>
        <v>136730</v>
      </c>
      <c r="L295" s="31">
        <f t="shared" si="91"/>
        <v>2240.4799999999959</v>
      </c>
      <c r="M295" s="31">
        <f t="shared" si="85"/>
        <v>5</v>
      </c>
      <c r="N295" s="31">
        <f t="shared" si="92"/>
        <v>4.5199999999999996</v>
      </c>
      <c r="O295" s="125"/>
      <c r="P295" s="32">
        <f t="shared" si="93"/>
        <v>0.97902632231403786</v>
      </c>
      <c r="Q295" s="31">
        <f t="shared" si="94"/>
        <v>4510.4799999999959</v>
      </c>
      <c r="R295" s="34"/>
      <c r="S295" s="34">
        <f t="shared" si="95"/>
        <v>19831.462999999916</v>
      </c>
      <c r="T295" s="34">
        <f t="shared" si="96"/>
        <v>1754.9967256637092</v>
      </c>
      <c r="U295" s="34">
        <f t="shared" si="81"/>
        <v>13854.99672566371</v>
      </c>
      <c r="V295" s="31">
        <f>H295+S295-SUM(AB$15:AB295)</f>
        <v>143715.24450000006</v>
      </c>
      <c r="W295" s="32">
        <f t="shared" si="97"/>
        <v>10.372809705093273</v>
      </c>
      <c r="X295" s="32">
        <f t="shared" si="98"/>
        <v>5.183602740730997E-2</v>
      </c>
      <c r="Y295" s="32">
        <f t="shared" si="99"/>
        <v>0.92719029490672789</v>
      </c>
      <c r="Z295" s="38">
        <f t="shared" si="100"/>
        <v>0.87333113385635686</v>
      </c>
      <c r="AA295" s="31">
        <f>SUM(L$2:L295)-SUM(AB$2:AB295)</f>
        <v>7564.66499999999</v>
      </c>
      <c r="AB295" s="176"/>
      <c r="AC295" s="40">
        <f t="shared" si="82"/>
        <v>1047.8137513937927</v>
      </c>
      <c r="AD295" s="40">
        <f t="shared" si="83"/>
        <v>-11052.186248606207</v>
      </c>
    </row>
    <row r="296" spans="1:30" x14ac:dyDescent="0.25">
      <c r="A296" s="174">
        <v>43105</v>
      </c>
      <c r="B296" s="159" t="s">
        <v>300</v>
      </c>
      <c r="C296" s="64" t="s">
        <v>69</v>
      </c>
      <c r="D296" s="64">
        <v>400</v>
      </c>
      <c r="E296" s="104">
        <v>11.46</v>
      </c>
      <c r="F296" s="102">
        <f t="shared" si="86"/>
        <v>11700</v>
      </c>
      <c r="G296" s="32">
        <f t="shared" si="84"/>
        <v>10.282851752136764</v>
      </c>
      <c r="H296" s="31">
        <f t="shared" si="87"/>
        <v>120309.36550000015</v>
      </c>
      <c r="I296" s="31">
        <f t="shared" si="88"/>
        <v>13772.634499999855</v>
      </c>
      <c r="J296" s="175">
        <f t="shared" si="89"/>
        <v>0.11447682765810821</v>
      </c>
      <c r="K296" s="31">
        <f t="shared" si="90"/>
        <v>134082</v>
      </c>
      <c r="L296" s="31">
        <f t="shared" si="91"/>
        <v>1926.4159999999974</v>
      </c>
      <c r="M296" s="31">
        <f t="shared" si="85"/>
        <v>5</v>
      </c>
      <c r="N296" s="31">
        <f t="shared" si="92"/>
        <v>4.5839999999999996</v>
      </c>
      <c r="O296" s="125"/>
      <c r="P296" s="32">
        <f t="shared" si="93"/>
        <v>1.1771482478632365</v>
      </c>
      <c r="Q296" s="31">
        <f t="shared" si="94"/>
        <v>4574.4159999999974</v>
      </c>
      <c r="R296" s="34"/>
      <c r="S296" s="34">
        <f t="shared" si="95"/>
        <v>24405.878999999914</v>
      </c>
      <c r="T296" s="34">
        <f t="shared" si="96"/>
        <v>2129.6578534031337</v>
      </c>
      <c r="U296" s="34">
        <f t="shared" si="81"/>
        <v>13829.657853403134</v>
      </c>
      <c r="V296" s="31">
        <f>H296+S296-SUM(AB$15:AB296)</f>
        <v>143715.24450000006</v>
      </c>
      <c r="W296" s="32">
        <f t="shared" si="97"/>
        <v>10.391814896898213</v>
      </c>
      <c r="X296" s="32">
        <f t="shared" si="98"/>
        <v>0.10896314476144831</v>
      </c>
      <c r="Y296" s="32">
        <f t="shared" si="99"/>
        <v>1.0681851031017882</v>
      </c>
      <c r="Z296" s="38">
        <f t="shared" si="100"/>
        <v>0.84600791458632663</v>
      </c>
      <c r="AA296" s="31">
        <f>SUM(L$2:L296)-SUM(AB$2:AB296)</f>
        <v>9491.0809999999874</v>
      </c>
      <c r="AB296" s="176"/>
      <c r="AC296" s="40">
        <f t="shared" si="82"/>
        <v>1201.1996669066189</v>
      </c>
      <c r="AD296" s="40">
        <f t="shared" si="83"/>
        <v>-10498.800333093381</v>
      </c>
    </row>
    <row r="297" spans="1:30" x14ac:dyDescent="0.25">
      <c r="A297" s="174">
        <v>43105</v>
      </c>
      <c r="B297" s="159"/>
      <c r="C297" s="64" t="s">
        <v>69</v>
      </c>
      <c r="D297" s="64">
        <v>400</v>
      </c>
      <c r="E297" s="104">
        <v>11.55</v>
      </c>
      <c r="F297" s="102">
        <f t="shared" si="86"/>
        <v>11300</v>
      </c>
      <c r="G297" s="32">
        <f t="shared" si="84"/>
        <v>10.238848274336295</v>
      </c>
      <c r="H297" s="31">
        <f t="shared" si="87"/>
        <v>115698.98550000014</v>
      </c>
      <c r="I297" s="31">
        <f t="shared" si="88"/>
        <v>14816.014499999874</v>
      </c>
      <c r="J297" s="175">
        <f t="shared" si="89"/>
        <v>0.12805656364203694</v>
      </c>
      <c r="K297" s="31">
        <f t="shared" si="90"/>
        <v>130515.00000000001</v>
      </c>
      <c r="L297" s="31">
        <f t="shared" si="91"/>
        <v>1043.3800000000192</v>
      </c>
      <c r="M297" s="31">
        <f t="shared" si="85"/>
        <v>5</v>
      </c>
      <c r="N297" s="31">
        <f t="shared" si="92"/>
        <v>4.62</v>
      </c>
      <c r="O297" s="125"/>
      <c r="P297" s="32">
        <f t="shared" si="93"/>
        <v>1.3111517256637057</v>
      </c>
      <c r="Q297" s="31">
        <f t="shared" si="94"/>
        <v>4610.3800000000047</v>
      </c>
      <c r="R297" s="34"/>
      <c r="S297" s="34">
        <f t="shared" si="95"/>
        <v>29016.258999999918</v>
      </c>
      <c r="T297" s="34">
        <f t="shared" si="96"/>
        <v>2512.2302164502094</v>
      </c>
      <c r="U297" s="34">
        <f t="shared" si="81"/>
        <v>13812.230216450209</v>
      </c>
      <c r="V297" s="31">
        <f>H297+S297-SUM(AB$15:AB297)</f>
        <v>143715.24450000006</v>
      </c>
      <c r="W297" s="32">
        <f t="shared" si="97"/>
        <v>10.404926811083472</v>
      </c>
      <c r="X297" s="32">
        <f t="shared" si="98"/>
        <v>0.1660785367471771</v>
      </c>
      <c r="Y297" s="32">
        <f t="shared" si="99"/>
        <v>1.1450731889165287</v>
      </c>
      <c r="Z297" s="38">
        <f t="shared" si="100"/>
        <v>0.81811552681346333</v>
      </c>
      <c r="AA297" s="31">
        <f>SUM(L$2:L297)-SUM(AB$2:AB297)</f>
        <v>10534.461000000007</v>
      </c>
      <c r="AB297" s="176"/>
      <c r="AC297" s="40">
        <f t="shared" si="82"/>
        <v>1282.1304322727165</v>
      </c>
      <c r="AD297" s="40">
        <f t="shared" si="83"/>
        <v>-10017.869567727284</v>
      </c>
    </row>
    <row r="298" spans="1:30" x14ac:dyDescent="0.25">
      <c r="A298" s="174">
        <v>43105</v>
      </c>
      <c r="B298" s="159"/>
      <c r="C298" s="64" t="s">
        <v>69</v>
      </c>
      <c r="D298" s="64">
        <v>400</v>
      </c>
      <c r="E298" s="104">
        <v>11.72</v>
      </c>
      <c r="F298" s="102">
        <f t="shared" si="86"/>
        <v>10900</v>
      </c>
      <c r="G298" s="32">
        <f t="shared" si="84"/>
        <v>10.185382889908269</v>
      </c>
      <c r="H298" s="31">
        <f t="shared" si="87"/>
        <v>111020.67350000014</v>
      </c>
      <c r="I298" s="31">
        <f t="shared" si="88"/>
        <v>16727.326499999865</v>
      </c>
      <c r="J298" s="175">
        <f t="shared" si="89"/>
        <v>0.15066857345267196</v>
      </c>
      <c r="K298" s="31">
        <f t="shared" si="90"/>
        <v>127748</v>
      </c>
      <c r="L298" s="31">
        <f t="shared" si="91"/>
        <v>1911.3119999999908</v>
      </c>
      <c r="M298" s="31">
        <f t="shared" si="85"/>
        <v>5</v>
      </c>
      <c r="N298" s="31">
        <f t="shared" si="92"/>
        <v>4.6879999999999997</v>
      </c>
      <c r="O298" s="125"/>
      <c r="P298" s="32">
        <f t="shared" si="93"/>
        <v>1.5346171100917321</v>
      </c>
      <c r="Q298" s="31">
        <f t="shared" si="94"/>
        <v>4678.3120000000054</v>
      </c>
      <c r="R298" s="34"/>
      <c r="S298" s="34">
        <f t="shared" si="95"/>
        <v>33694.570999999924</v>
      </c>
      <c r="T298" s="34">
        <f t="shared" si="96"/>
        <v>2874.9633959044304</v>
      </c>
      <c r="U298" s="34">
        <f t="shared" si="81"/>
        <v>13774.963395904429</v>
      </c>
      <c r="V298" s="31">
        <f>H298+S298-SUM(AB$15:AB298)</f>
        <v>143715.24450000006</v>
      </c>
      <c r="W298" s="32">
        <f t="shared" si="97"/>
        <v>10.433076326194048</v>
      </c>
      <c r="X298" s="32">
        <f t="shared" si="98"/>
        <v>0.247693436285779</v>
      </c>
      <c r="Y298" s="32">
        <f t="shared" si="99"/>
        <v>1.2869236738059531</v>
      </c>
      <c r="Z298" s="38">
        <f t="shared" si="100"/>
        <v>0.79129066892771471</v>
      </c>
      <c r="AA298" s="31">
        <f>SUM(L$2:L298)-SUM(AB$2:AB298)</f>
        <v>12445.772999999997</v>
      </c>
      <c r="AB298" s="176"/>
      <c r="AC298" s="40">
        <f t="shared" si="82"/>
        <v>1426.5326652516951</v>
      </c>
      <c r="AD298" s="40">
        <f t="shared" si="83"/>
        <v>-9473.467334748304</v>
      </c>
    </row>
    <row r="299" spans="1:30" x14ac:dyDescent="0.25">
      <c r="A299" s="174">
        <v>43105</v>
      </c>
      <c r="B299" s="159"/>
      <c r="C299" s="64" t="s">
        <v>69</v>
      </c>
      <c r="D299" s="64">
        <v>400</v>
      </c>
      <c r="E299" s="104">
        <v>11.84</v>
      </c>
      <c r="F299" s="102">
        <f t="shared" si="86"/>
        <v>10500</v>
      </c>
      <c r="G299" s="32">
        <f t="shared" si="84"/>
        <v>10.123277095238109</v>
      </c>
      <c r="H299" s="31">
        <f t="shared" si="87"/>
        <v>106294.40950000014</v>
      </c>
      <c r="I299" s="31">
        <f t="shared" si="88"/>
        <v>18025.59049999986</v>
      </c>
      <c r="J299" s="175">
        <f t="shared" si="89"/>
        <v>0.16958173609308994</v>
      </c>
      <c r="K299" s="31">
        <f t="shared" si="90"/>
        <v>124320</v>
      </c>
      <c r="L299" s="31">
        <f t="shared" si="91"/>
        <v>1298.2639999999956</v>
      </c>
      <c r="M299" s="31">
        <f t="shared" ref="M299:M330" si="101">IF(D299*E299*2.5/10000&gt;5,D299*E299*2.5/10000,5)</f>
        <v>5</v>
      </c>
      <c r="N299" s="31">
        <f t="shared" si="92"/>
        <v>4.7359999999999998</v>
      </c>
      <c r="O299" s="125"/>
      <c r="P299" s="32">
        <f t="shared" si="93"/>
        <v>1.716722904761891</v>
      </c>
      <c r="Q299" s="31">
        <f t="shared" si="94"/>
        <v>4726.2639999999956</v>
      </c>
      <c r="R299" s="34"/>
      <c r="S299" s="34">
        <f t="shared" si="95"/>
        <v>38420.834999999919</v>
      </c>
      <c r="T299" s="34">
        <f t="shared" si="96"/>
        <v>3245.0029560810744</v>
      </c>
      <c r="U299" s="34">
        <f t="shared" si="81"/>
        <v>13745.002956081074</v>
      </c>
      <c r="V299" s="31">
        <f>H299+S299-SUM(AB$15:AB299)</f>
        <v>143715.24450000006</v>
      </c>
      <c r="W299" s="32">
        <f t="shared" si="97"/>
        <v>10.455817649454739</v>
      </c>
      <c r="X299" s="32">
        <f t="shared" si="98"/>
        <v>0.33254055421662976</v>
      </c>
      <c r="Y299" s="32">
        <f t="shared" si="99"/>
        <v>1.3841823505452613</v>
      </c>
      <c r="Z299" s="38">
        <f t="shared" si="100"/>
        <v>0.76391398630835372</v>
      </c>
      <c r="AA299" s="31">
        <f>SUM(L$2:L299)-SUM(AB$2:AB299)</f>
        <v>13744.036999999993</v>
      </c>
      <c r="AB299" s="176"/>
      <c r="AC299" s="40">
        <f t="shared" si="82"/>
        <v>1521.6704142525221</v>
      </c>
      <c r="AD299" s="40">
        <f t="shared" si="83"/>
        <v>-8978.3295857474786</v>
      </c>
    </row>
    <row r="300" spans="1:30" x14ac:dyDescent="0.25">
      <c r="A300" s="174">
        <v>43105</v>
      </c>
      <c r="B300" s="159"/>
      <c r="C300" s="64" t="s">
        <v>69</v>
      </c>
      <c r="D300" s="64">
        <v>400</v>
      </c>
      <c r="E300" s="104">
        <v>11.96</v>
      </c>
      <c r="F300" s="102">
        <f t="shared" si="86"/>
        <v>10100</v>
      </c>
      <c r="G300" s="32">
        <f t="shared" si="84"/>
        <v>10.051504306930706</v>
      </c>
      <c r="H300" s="31">
        <f t="shared" si="87"/>
        <v>101520.19350000014</v>
      </c>
      <c r="I300" s="31">
        <f t="shared" si="88"/>
        <v>19275.806499999875</v>
      </c>
      <c r="J300" s="175">
        <f t="shared" si="89"/>
        <v>0.18987164854054234</v>
      </c>
      <c r="K300" s="31">
        <f t="shared" si="90"/>
        <v>120796.00000000001</v>
      </c>
      <c r="L300" s="31">
        <f t="shared" si="91"/>
        <v>1250.2160000000149</v>
      </c>
      <c r="M300" s="31">
        <f t="shared" si="101"/>
        <v>5</v>
      </c>
      <c r="N300" s="31">
        <f t="shared" si="92"/>
        <v>4.7839999999999998</v>
      </c>
      <c r="O300" s="125"/>
      <c r="P300" s="32">
        <f t="shared" si="93"/>
        <v>1.9084956930692947</v>
      </c>
      <c r="Q300" s="31">
        <f t="shared" si="94"/>
        <v>4774.2160000000003</v>
      </c>
      <c r="R300" s="34"/>
      <c r="S300" s="34">
        <f t="shared" si="95"/>
        <v>43195.050999999919</v>
      </c>
      <c r="T300" s="34">
        <f t="shared" si="96"/>
        <v>3611.6263377926352</v>
      </c>
      <c r="U300" s="34">
        <f t="shared" si="81"/>
        <v>13711.626337792635</v>
      </c>
      <c r="V300" s="31">
        <f>H300+S300-SUM(AB$15:AB300)</f>
        <v>143715.24450000006</v>
      </c>
      <c r="W300" s="32">
        <f t="shared" si="97"/>
        <v>10.481269031076589</v>
      </c>
      <c r="X300" s="32">
        <f t="shared" si="98"/>
        <v>0.42976472414588329</v>
      </c>
      <c r="Y300" s="32">
        <f t="shared" si="99"/>
        <v>1.4787309689234114</v>
      </c>
      <c r="Z300" s="38">
        <f t="shared" si="100"/>
        <v>0.73660116977968548</v>
      </c>
      <c r="AA300" s="31">
        <f>SUM(L$2:L300)-SUM(AB$2:AB300)</f>
        <v>14994.253000000008</v>
      </c>
      <c r="AB300" s="176"/>
      <c r="AC300" s="40">
        <f t="shared" si="82"/>
        <v>1610.8836619356082</v>
      </c>
      <c r="AD300" s="40">
        <f t="shared" si="83"/>
        <v>-8489.116338064392</v>
      </c>
    </row>
    <row r="301" spans="1:30" x14ac:dyDescent="0.25">
      <c r="A301" s="174">
        <v>43105</v>
      </c>
      <c r="B301" s="159" t="s">
        <v>301</v>
      </c>
      <c r="C301" s="46" t="s">
        <v>63</v>
      </c>
      <c r="D301" s="46">
        <v>500</v>
      </c>
      <c r="E301" s="46">
        <v>11.77</v>
      </c>
      <c r="F301" s="102">
        <f t="shared" si="86"/>
        <v>10600</v>
      </c>
      <c r="G301" s="32">
        <f t="shared" si="84"/>
        <v>10.133037122641523</v>
      </c>
      <c r="H301" s="31">
        <f t="shared" si="87"/>
        <v>107410.19350000014</v>
      </c>
      <c r="I301" s="31">
        <f t="shared" si="88"/>
        <v>17351.806499999861</v>
      </c>
      <c r="J301" s="175">
        <f t="shared" si="89"/>
        <v>0.16154711144803796</v>
      </c>
      <c r="K301" s="31">
        <f t="shared" si="90"/>
        <v>124762</v>
      </c>
      <c r="L301" s="31">
        <f t="shared" si="91"/>
        <v>-1924.0000000000146</v>
      </c>
      <c r="M301" s="31">
        <f t="shared" si="101"/>
        <v>5</v>
      </c>
      <c r="N301" s="31">
        <f t="shared" si="92"/>
        <v>0</v>
      </c>
      <c r="O301" s="125"/>
      <c r="P301" s="32">
        <f t="shared" si="93"/>
        <v>1.6369628773584761</v>
      </c>
      <c r="Q301" s="31">
        <f t="shared" si="94"/>
        <v>-5890</v>
      </c>
      <c r="R301" s="34"/>
      <c r="S301" s="34">
        <f t="shared" si="95"/>
        <v>37305.050999999919</v>
      </c>
      <c r="T301" s="34">
        <f t="shared" si="96"/>
        <v>3169.5030586236126</v>
      </c>
      <c r="U301" s="34">
        <f t="shared" si="81"/>
        <v>13769.503058623613</v>
      </c>
      <c r="V301" s="31">
        <f>H301+S301-SUM(AB$15:AB301)</f>
        <v>143715.24450000006</v>
      </c>
      <c r="W301" s="32">
        <f t="shared" si="97"/>
        <v>10.437213593557653</v>
      </c>
      <c r="X301" s="32">
        <f t="shared" si="98"/>
        <v>0.3041764709161292</v>
      </c>
      <c r="Y301" s="32">
        <f t="shared" si="99"/>
        <v>1.3327864064423469</v>
      </c>
      <c r="Z301" s="38">
        <f t="shared" si="100"/>
        <v>0.76981717894033908</v>
      </c>
      <c r="AA301" s="31">
        <f>SUM(L$2:L301)-SUM(AB$2:AB301)</f>
        <v>13070.252999999993</v>
      </c>
      <c r="AB301" s="176"/>
      <c r="AC301" s="40">
        <f t="shared" si="82"/>
        <v>1473.503024362775</v>
      </c>
      <c r="AD301" s="40">
        <f t="shared" si="83"/>
        <v>-9126.4969756372248</v>
      </c>
    </row>
    <row r="302" spans="1:30" x14ac:dyDescent="0.25">
      <c r="A302" s="174">
        <v>43108</v>
      </c>
      <c r="B302" s="159"/>
      <c r="C302" s="46" t="s">
        <v>69</v>
      </c>
      <c r="D302" s="46">
        <v>400</v>
      </c>
      <c r="E302" s="46">
        <v>12.02</v>
      </c>
      <c r="F302" s="102">
        <f t="shared" si="86"/>
        <v>10200</v>
      </c>
      <c r="G302" s="32">
        <f t="shared" si="84"/>
        <v>10.060000147058838</v>
      </c>
      <c r="H302" s="31">
        <f t="shared" si="87"/>
        <v>102612.00150000014</v>
      </c>
      <c r="I302" s="31">
        <f t="shared" si="88"/>
        <v>19991.998499999856</v>
      </c>
      <c r="J302" s="175">
        <f t="shared" si="89"/>
        <v>0.19483099645025259</v>
      </c>
      <c r="K302" s="31">
        <f t="shared" si="90"/>
        <v>122604</v>
      </c>
      <c r="L302" s="31">
        <f t="shared" si="91"/>
        <v>2640.1919999999955</v>
      </c>
      <c r="M302" s="31">
        <f t="shared" si="101"/>
        <v>5</v>
      </c>
      <c r="N302" s="31">
        <f t="shared" si="92"/>
        <v>4.8079999999999998</v>
      </c>
      <c r="O302" s="125"/>
      <c r="P302" s="32">
        <f t="shared" si="93"/>
        <v>1.9599998529411611</v>
      </c>
      <c r="Q302" s="31">
        <f t="shared" si="94"/>
        <v>4798.1919999999955</v>
      </c>
      <c r="R302" s="34"/>
      <c r="S302" s="34">
        <f t="shared" si="95"/>
        <v>42103.242999999915</v>
      </c>
      <c r="T302" s="34">
        <f t="shared" si="96"/>
        <v>3502.7656405989947</v>
      </c>
      <c r="U302" s="34">
        <f t="shared" si="81"/>
        <v>13702.765640598995</v>
      </c>
      <c r="V302" s="31">
        <f>H302+S302-SUM(AB$15:AB302)</f>
        <v>143715.24450000006</v>
      </c>
      <c r="W302" s="32">
        <f t="shared" si="97"/>
        <v>10.488046593615811</v>
      </c>
      <c r="X302" s="32">
        <f t="shared" si="98"/>
        <v>0.42804644655697288</v>
      </c>
      <c r="Y302" s="32">
        <f t="shared" si="99"/>
        <v>1.5319534063841882</v>
      </c>
      <c r="Z302" s="38">
        <f t="shared" si="100"/>
        <v>0.74437527923407754</v>
      </c>
      <c r="AA302" s="31">
        <f>SUM(L$2:L302)-SUM(AB$2:AB302)</f>
        <v>15710.444999999989</v>
      </c>
      <c r="AB302" s="176"/>
      <c r="AC302" s="40">
        <f t="shared" si="82"/>
        <v>1662.396214704647</v>
      </c>
      <c r="AD302" s="40">
        <f t="shared" si="83"/>
        <v>-8537.6037852953523</v>
      </c>
    </row>
    <row r="303" spans="1:30" ht="12.6" customHeight="1" x14ac:dyDescent="0.25">
      <c r="A303" s="174">
        <v>43108</v>
      </c>
      <c r="B303" s="159"/>
      <c r="C303" s="46" t="s">
        <v>69</v>
      </c>
      <c r="D303" s="46">
        <v>400</v>
      </c>
      <c r="E303" s="46">
        <v>12.13</v>
      </c>
      <c r="F303" s="102">
        <f t="shared" si="86"/>
        <v>9800</v>
      </c>
      <c r="G303" s="32">
        <f t="shared" si="84"/>
        <v>9.9765156632653209</v>
      </c>
      <c r="H303" s="31">
        <f t="shared" si="87"/>
        <v>97769.853500000143</v>
      </c>
      <c r="I303" s="31">
        <f t="shared" si="88"/>
        <v>21104.146499999872</v>
      </c>
      <c r="J303" s="175">
        <f t="shared" si="89"/>
        <v>0.21585535565929667</v>
      </c>
      <c r="K303" s="31">
        <f t="shared" si="90"/>
        <v>118874.00000000001</v>
      </c>
      <c r="L303" s="31">
        <f t="shared" si="91"/>
        <v>1112.1480000000156</v>
      </c>
      <c r="M303" s="31">
        <f t="shared" si="101"/>
        <v>5</v>
      </c>
      <c r="N303" s="31">
        <f t="shared" si="92"/>
        <v>4.8520000000000003</v>
      </c>
      <c r="O303" s="125"/>
      <c r="P303" s="32">
        <f t="shared" si="93"/>
        <v>2.1534843367346799</v>
      </c>
      <c r="Q303" s="31">
        <f t="shared" si="94"/>
        <v>4842.148000000001</v>
      </c>
      <c r="R303" s="34"/>
      <c r="S303" s="34">
        <f t="shared" si="95"/>
        <v>46945.390999999916</v>
      </c>
      <c r="T303" s="34">
        <f t="shared" si="96"/>
        <v>3870.1888705688302</v>
      </c>
      <c r="U303" s="34">
        <f t="shared" si="81"/>
        <v>13670.188870568831</v>
      </c>
      <c r="V303" s="31">
        <f>H303+S303-SUM(AB$15:AB303)</f>
        <v>143715.24450000006</v>
      </c>
      <c r="W303" s="32">
        <f t="shared" si="97"/>
        <v>10.513040153337686</v>
      </c>
      <c r="X303" s="32">
        <f t="shared" si="98"/>
        <v>0.53652449007236491</v>
      </c>
      <c r="Y303" s="32">
        <f t="shared" si="99"/>
        <v>1.616959846662315</v>
      </c>
      <c r="Z303" s="38">
        <f t="shared" si="100"/>
        <v>0.71688841264650438</v>
      </c>
      <c r="AA303" s="31">
        <f>SUM(L$2:L303)-SUM(AB$2:AB303)</f>
        <v>16822.593000000004</v>
      </c>
      <c r="AB303" s="176"/>
      <c r="AC303" s="40">
        <f t="shared" si="82"/>
        <v>1738.9607936314817</v>
      </c>
      <c r="AD303" s="40">
        <f t="shared" si="83"/>
        <v>-8061.0392063685185</v>
      </c>
    </row>
    <row r="304" spans="1:30" x14ac:dyDescent="0.25">
      <c r="A304" s="174">
        <v>43108</v>
      </c>
      <c r="B304" s="159" t="s">
        <v>302</v>
      </c>
      <c r="C304" s="46" t="s">
        <v>63</v>
      </c>
      <c r="D304" s="46">
        <v>500</v>
      </c>
      <c r="E304" s="46">
        <v>11.79</v>
      </c>
      <c r="F304" s="102">
        <f t="shared" si="86"/>
        <v>10300</v>
      </c>
      <c r="G304" s="32">
        <f t="shared" si="84"/>
        <v>10.065034320388364</v>
      </c>
      <c r="H304" s="31">
        <f t="shared" si="87"/>
        <v>103669.85350000014</v>
      </c>
      <c r="I304" s="31">
        <f t="shared" si="88"/>
        <v>17767.146499999842</v>
      </c>
      <c r="J304" s="175">
        <f t="shared" si="89"/>
        <v>0.17138199679234448</v>
      </c>
      <c r="K304" s="31">
        <f t="shared" si="90"/>
        <v>121436.99999999999</v>
      </c>
      <c r="L304" s="31">
        <f t="shared" si="91"/>
        <v>-3337.0000000000291</v>
      </c>
      <c r="M304" s="31">
        <f t="shared" si="101"/>
        <v>5</v>
      </c>
      <c r="N304" s="31">
        <f t="shared" si="92"/>
        <v>0</v>
      </c>
      <c r="O304" s="125"/>
      <c r="P304" s="32">
        <f t="shared" si="93"/>
        <v>1.7249656796116355</v>
      </c>
      <c r="Q304" s="31">
        <f t="shared" si="94"/>
        <v>-5900</v>
      </c>
      <c r="R304" s="34"/>
      <c r="S304" s="34">
        <f t="shared" si="95"/>
        <v>41045.390999999916</v>
      </c>
      <c r="T304" s="34">
        <f t="shared" si="96"/>
        <v>3481.3732824427411</v>
      </c>
      <c r="U304" s="34">
        <f t="shared" si="81"/>
        <v>13781.373282442741</v>
      </c>
      <c r="V304" s="31">
        <f>H304+S304-SUM(AB$15:AB304)</f>
        <v>143715.24450000006</v>
      </c>
      <c r="W304" s="32">
        <f t="shared" si="97"/>
        <v>10.42822377383037</v>
      </c>
      <c r="X304" s="32">
        <f t="shared" si="98"/>
        <v>0.36318945344200593</v>
      </c>
      <c r="Y304" s="32">
        <f t="shared" si="99"/>
        <v>1.3617762261696296</v>
      </c>
      <c r="Z304" s="38">
        <f t="shared" si="100"/>
        <v>0.74738560438835533</v>
      </c>
      <c r="AA304" s="31">
        <f>SUM(L$2:L304)-SUM(AB$2:AB304)</f>
        <v>13485.592999999975</v>
      </c>
      <c r="AB304" s="176"/>
      <c r="AC304" s="40">
        <f t="shared" si="82"/>
        <v>1506.213988698036</v>
      </c>
      <c r="AD304" s="40">
        <f t="shared" si="83"/>
        <v>-8793.7860113019633</v>
      </c>
    </row>
    <row r="305" spans="1:30" x14ac:dyDescent="0.25">
      <c r="A305" s="174">
        <v>43109</v>
      </c>
      <c r="B305" s="159"/>
      <c r="C305" s="46" t="s">
        <v>69</v>
      </c>
      <c r="D305" s="46">
        <v>400</v>
      </c>
      <c r="E305" s="46">
        <v>11.93</v>
      </c>
      <c r="F305" s="102">
        <f t="shared" si="86"/>
        <v>9900</v>
      </c>
      <c r="G305" s="32">
        <f t="shared" si="84"/>
        <v>9.9906692424242571</v>
      </c>
      <c r="H305" s="31">
        <f t="shared" si="87"/>
        <v>98907.62550000014</v>
      </c>
      <c r="I305" s="31">
        <f t="shared" si="88"/>
        <v>19199.37449999986</v>
      </c>
      <c r="J305" s="175">
        <f t="shared" si="89"/>
        <v>0.19411419901087226</v>
      </c>
      <c r="K305" s="31">
        <f t="shared" si="90"/>
        <v>118107</v>
      </c>
      <c r="L305" s="31">
        <f t="shared" si="91"/>
        <v>1432.2280000000173</v>
      </c>
      <c r="M305" s="31">
        <f t="shared" si="101"/>
        <v>5</v>
      </c>
      <c r="N305" s="31">
        <f t="shared" si="92"/>
        <v>4.7720000000000002</v>
      </c>
      <c r="O305" s="125"/>
      <c r="P305" s="32">
        <f t="shared" si="93"/>
        <v>1.9393307575757426</v>
      </c>
      <c r="Q305" s="31">
        <f t="shared" si="94"/>
        <v>4762.2280000000028</v>
      </c>
      <c r="R305" s="34"/>
      <c r="S305" s="34">
        <f t="shared" si="95"/>
        <v>45807.618999999919</v>
      </c>
      <c r="T305" s="34">
        <f t="shared" si="96"/>
        <v>3839.6998323553998</v>
      </c>
      <c r="U305" s="34">
        <f t="shared" si="81"/>
        <v>13739.6998323554</v>
      </c>
      <c r="V305" s="31">
        <f>H305+S305-SUM(AB$15:AB305)</f>
        <v>143715.24450000006</v>
      </c>
      <c r="W305" s="32">
        <f t="shared" si="97"/>
        <v>10.459853290358449</v>
      </c>
      <c r="X305" s="32">
        <f t="shared" si="98"/>
        <v>0.46918404793419199</v>
      </c>
      <c r="Y305" s="32">
        <f t="shared" si="99"/>
        <v>1.4701467096415506</v>
      </c>
      <c r="Z305" s="38">
        <f t="shared" si="100"/>
        <v>0.72053975856784358</v>
      </c>
      <c r="AA305" s="31">
        <f>SUM(L$2:L305)-SUM(AB$2:AB305)</f>
        <v>14917.820999999993</v>
      </c>
      <c r="AB305" s="176"/>
      <c r="AC305" s="40">
        <f t="shared" si="82"/>
        <v>1608.5309985540539</v>
      </c>
      <c r="AD305" s="40">
        <f t="shared" si="83"/>
        <v>-8291.4690014459466</v>
      </c>
    </row>
    <row r="306" spans="1:30" x14ac:dyDescent="0.25">
      <c r="A306" s="174">
        <v>43110</v>
      </c>
      <c r="B306" s="159" t="s">
        <v>303</v>
      </c>
      <c r="C306" s="46" t="s">
        <v>63</v>
      </c>
      <c r="D306" s="46">
        <v>500</v>
      </c>
      <c r="E306" s="46">
        <v>11.66</v>
      </c>
      <c r="F306" s="102">
        <f t="shared" si="86"/>
        <v>10400</v>
      </c>
      <c r="G306" s="32">
        <f t="shared" si="84"/>
        <v>10.071406298076937</v>
      </c>
      <c r="H306" s="31">
        <f t="shared" si="87"/>
        <v>104742.62550000014</v>
      </c>
      <c r="I306" s="31">
        <f t="shared" si="88"/>
        <v>16521.37449999986</v>
      </c>
      <c r="J306" s="175">
        <f t="shared" si="89"/>
        <v>0.15773305682508248</v>
      </c>
      <c r="K306" s="31">
        <f t="shared" si="90"/>
        <v>121264</v>
      </c>
      <c r="L306" s="31">
        <f t="shared" si="91"/>
        <v>-2678</v>
      </c>
      <c r="M306" s="31">
        <f t="shared" si="101"/>
        <v>5</v>
      </c>
      <c r="N306" s="31">
        <f t="shared" si="92"/>
        <v>0</v>
      </c>
      <c r="O306" s="125"/>
      <c r="P306" s="32">
        <f t="shared" si="93"/>
        <v>1.5885937019230632</v>
      </c>
      <c r="Q306" s="31">
        <f t="shared" si="94"/>
        <v>-5835</v>
      </c>
      <c r="R306" s="34"/>
      <c r="S306" s="34">
        <f t="shared" si="95"/>
        <v>39972.618999999919</v>
      </c>
      <c r="T306" s="34">
        <f t="shared" si="96"/>
        <v>3428.1834476843842</v>
      </c>
      <c r="U306" s="34">
        <f t="shared" si="81"/>
        <v>13828.183447684383</v>
      </c>
      <c r="V306" s="31">
        <f>H306+S306-SUM(AB$15:AB306)</f>
        <v>143715.24450000006</v>
      </c>
      <c r="W306" s="32">
        <f t="shared" si="97"/>
        <v>10.392922905869179</v>
      </c>
      <c r="X306" s="32">
        <f t="shared" si="98"/>
        <v>0.32151660779224223</v>
      </c>
      <c r="Y306" s="32">
        <f t="shared" si="99"/>
        <v>1.2670770941308209</v>
      </c>
      <c r="Z306" s="38">
        <f t="shared" si="100"/>
        <v>0.75208721661423616</v>
      </c>
      <c r="AA306" s="31">
        <f>SUM(L$2:L306)-SUM(AB$2:AB306)</f>
        <v>12239.820999999993</v>
      </c>
      <c r="AB306" s="176"/>
      <c r="AC306" s="40">
        <f t="shared" si="82"/>
        <v>1416.2190233919264</v>
      </c>
      <c r="AD306" s="40">
        <f t="shared" si="83"/>
        <v>-8983.7809766080736</v>
      </c>
    </row>
    <row r="307" spans="1:30" x14ac:dyDescent="0.25">
      <c r="A307" s="174">
        <v>43112</v>
      </c>
      <c r="B307" s="159"/>
      <c r="C307" s="46" t="s">
        <v>69</v>
      </c>
      <c r="D307" s="46">
        <v>400</v>
      </c>
      <c r="E307" s="46">
        <v>11.83</v>
      </c>
      <c r="F307" s="102">
        <f t="shared" si="86"/>
        <v>10000</v>
      </c>
      <c r="G307" s="32">
        <f t="shared" si="84"/>
        <v>10.002035750000015</v>
      </c>
      <c r="H307" s="31">
        <f t="shared" si="87"/>
        <v>100020.35750000014</v>
      </c>
      <c r="I307" s="31">
        <f t="shared" si="88"/>
        <v>18279.642499999856</v>
      </c>
      <c r="J307" s="175">
        <f t="shared" si="89"/>
        <v>0.18275921979182908</v>
      </c>
      <c r="K307" s="31">
        <f t="shared" si="90"/>
        <v>118300</v>
      </c>
      <c r="L307" s="31">
        <f t="shared" si="91"/>
        <v>1758.2679999999964</v>
      </c>
      <c r="M307" s="31">
        <f t="shared" si="101"/>
        <v>5</v>
      </c>
      <c r="N307" s="31">
        <f t="shared" si="92"/>
        <v>4.7320000000000002</v>
      </c>
      <c r="O307" s="125"/>
      <c r="P307" s="32">
        <f t="shared" si="93"/>
        <v>1.8279642499999849</v>
      </c>
      <c r="Q307" s="31">
        <f t="shared" si="94"/>
        <v>4722.2679999999964</v>
      </c>
      <c r="R307" s="34"/>
      <c r="S307" s="34">
        <f t="shared" si="95"/>
        <v>44694.886999999915</v>
      </c>
      <c r="T307" s="34">
        <f t="shared" si="96"/>
        <v>3778.0969568892574</v>
      </c>
      <c r="U307" s="34">
        <f t="shared" si="81"/>
        <v>13778.096956889258</v>
      </c>
      <c r="V307" s="31">
        <f>H307+S307-SUM(AB$15:AB307)</f>
        <v>143715.24450000006</v>
      </c>
      <c r="W307" s="32">
        <f t="shared" si="97"/>
        <v>10.430703525289118</v>
      </c>
      <c r="X307" s="32">
        <f t="shared" si="98"/>
        <v>0.42866777528910305</v>
      </c>
      <c r="Y307" s="32">
        <f t="shared" si="99"/>
        <v>1.3992964747108818</v>
      </c>
      <c r="Z307" s="38">
        <f t="shared" si="100"/>
        <v>0.72578963780624639</v>
      </c>
      <c r="AA307" s="31">
        <f>SUM(L$2:L307)-SUM(AB$2:AB307)</f>
        <v>13998.088999999989</v>
      </c>
      <c r="AB307" s="176"/>
      <c r="AC307" s="40">
        <f t="shared" si="82"/>
        <v>1544.4211900887453</v>
      </c>
      <c r="AD307" s="40">
        <f t="shared" si="83"/>
        <v>-8455.5788099112542</v>
      </c>
    </row>
    <row r="308" spans="1:30" x14ac:dyDescent="0.25">
      <c r="A308" s="174">
        <v>43112</v>
      </c>
      <c r="B308" s="159"/>
      <c r="C308" s="46" t="s">
        <v>69</v>
      </c>
      <c r="D308" s="46">
        <v>400</v>
      </c>
      <c r="E308" s="46">
        <v>11.98</v>
      </c>
      <c r="F308" s="102">
        <f t="shared" si="86"/>
        <v>9600</v>
      </c>
      <c r="G308" s="32">
        <f t="shared" si="84"/>
        <v>9.9206405729166818</v>
      </c>
      <c r="H308" s="31">
        <f t="shared" si="87"/>
        <v>95238.149500000145</v>
      </c>
      <c r="I308" s="31">
        <f t="shared" si="88"/>
        <v>19769.850499999855</v>
      </c>
      <c r="J308" s="175">
        <f t="shared" si="89"/>
        <v>0.20758331197940622</v>
      </c>
      <c r="K308" s="31">
        <f t="shared" si="90"/>
        <v>115008</v>
      </c>
      <c r="L308" s="31">
        <f t="shared" si="91"/>
        <v>1490.2079999999987</v>
      </c>
      <c r="M308" s="31">
        <f t="shared" si="101"/>
        <v>5</v>
      </c>
      <c r="N308" s="31">
        <f t="shared" si="92"/>
        <v>4.7919999999999998</v>
      </c>
      <c r="O308" s="125"/>
      <c r="P308" s="32">
        <f t="shared" si="93"/>
        <v>2.0593594270833186</v>
      </c>
      <c r="Q308" s="31">
        <f t="shared" si="94"/>
        <v>4782.2079999999987</v>
      </c>
      <c r="R308" s="34"/>
      <c r="S308" s="34">
        <f t="shared" si="95"/>
        <v>49477.094999999914</v>
      </c>
      <c r="T308" s="34">
        <f t="shared" si="96"/>
        <v>4129.9745409014949</v>
      </c>
      <c r="U308" s="34">
        <f t="shared" si="81"/>
        <v>13729.974540901494</v>
      </c>
      <c r="V308" s="31">
        <f>H308+S308-SUM(AB$15:AB308)</f>
        <v>143715.24450000006</v>
      </c>
      <c r="W308" s="32">
        <f t="shared" si="97"/>
        <v>10.467262271453846</v>
      </c>
      <c r="X308" s="32">
        <f t="shared" si="98"/>
        <v>0.54662169853716414</v>
      </c>
      <c r="Y308" s="32">
        <f t="shared" si="99"/>
        <v>1.5127377285461545</v>
      </c>
      <c r="Z308" s="38">
        <f t="shared" si="100"/>
        <v>0.69920013117297997</v>
      </c>
      <c r="AA308" s="31">
        <f>SUM(L$2:L308)-SUM(AB$2:AB308)</f>
        <v>15488.296999999988</v>
      </c>
      <c r="AB308" s="176"/>
      <c r="AC308" s="40">
        <f t="shared" si="82"/>
        <v>1649.4128192612568</v>
      </c>
      <c r="AD308" s="40">
        <f t="shared" si="83"/>
        <v>-7950.587180738743</v>
      </c>
    </row>
    <row r="309" spans="1:30" x14ac:dyDescent="0.25">
      <c r="A309" s="174">
        <v>43112</v>
      </c>
      <c r="B309" s="159" t="s">
        <v>304</v>
      </c>
      <c r="C309" s="46" t="s">
        <v>63</v>
      </c>
      <c r="D309" s="46">
        <v>500</v>
      </c>
      <c r="E309" s="46">
        <v>11.7</v>
      </c>
      <c r="F309" s="102">
        <f t="shared" si="86"/>
        <v>10100</v>
      </c>
      <c r="G309" s="32">
        <f t="shared" si="84"/>
        <v>10.009222722772291</v>
      </c>
      <c r="H309" s="31">
        <f t="shared" si="87"/>
        <v>101093.14950000015</v>
      </c>
      <c r="I309" s="31">
        <f t="shared" si="88"/>
        <v>17076.850499999855</v>
      </c>
      <c r="J309" s="175">
        <f t="shared" si="89"/>
        <v>0.16892193570445471</v>
      </c>
      <c r="K309" s="31">
        <f t="shared" si="90"/>
        <v>118170</v>
      </c>
      <c r="L309" s="31">
        <f t="shared" si="91"/>
        <v>-2693</v>
      </c>
      <c r="M309" s="31">
        <f t="shared" si="101"/>
        <v>5</v>
      </c>
      <c r="N309" s="31">
        <f t="shared" si="92"/>
        <v>0</v>
      </c>
      <c r="O309" s="125"/>
      <c r="P309" s="32">
        <f t="shared" si="93"/>
        <v>1.6907772772277081</v>
      </c>
      <c r="Q309" s="31">
        <f t="shared" si="94"/>
        <v>-5855</v>
      </c>
      <c r="R309" s="34"/>
      <c r="S309" s="34">
        <f t="shared" si="95"/>
        <v>43622.094999999914</v>
      </c>
      <c r="T309" s="34">
        <f t="shared" si="96"/>
        <v>3728.3841880341811</v>
      </c>
      <c r="U309" s="34">
        <f t="shared" si="81"/>
        <v>13828.384188034181</v>
      </c>
      <c r="V309" s="31">
        <f>H309+S309-SUM(AB$15:AB309)</f>
        <v>143715.24450000006</v>
      </c>
      <c r="W309" s="32">
        <f t="shared" si="97"/>
        <v>10.392772036544811</v>
      </c>
      <c r="X309" s="32">
        <f t="shared" si="98"/>
        <v>0.38354931377251944</v>
      </c>
      <c r="Y309" s="32">
        <f t="shared" si="99"/>
        <v>1.3072279634551887</v>
      </c>
      <c r="Z309" s="38">
        <f t="shared" si="100"/>
        <v>0.73038179028462458</v>
      </c>
      <c r="AA309" s="31">
        <f>SUM(L$2:L309)-SUM(AB$2:AB309)</f>
        <v>12795.296999999988</v>
      </c>
      <c r="AB309" s="176"/>
      <c r="AC309" s="40">
        <f t="shared" si="82"/>
        <v>1458.8300918589621</v>
      </c>
      <c r="AD309" s="40">
        <f t="shared" si="83"/>
        <v>-8641.169908141037</v>
      </c>
    </row>
    <row r="310" spans="1:30" x14ac:dyDescent="0.25">
      <c r="A310" s="174">
        <v>43115</v>
      </c>
      <c r="B310" s="159"/>
      <c r="C310" s="46" t="s">
        <v>69</v>
      </c>
      <c r="D310" s="46">
        <v>400</v>
      </c>
      <c r="E310" s="46">
        <v>11.86</v>
      </c>
      <c r="F310" s="102">
        <f t="shared" si="86"/>
        <v>9700</v>
      </c>
      <c r="G310" s="32">
        <f t="shared" si="84"/>
        <v>9.9339065463917677</v>
      </c>
      <c r="H310" s="31">
        <f t="shared" si="87"/>
        <v>96358.893500000151</v>
      </c>
      <c r="I310" s="31">
        <f t="shared" si="88"/>
        <v>18683.106499999849</v>
      </c>
      <c r="J310" s="175">
        <f t="shared" si="89"/>
        <v>0.19389083686395608</v>
      </c>
      <c r="K310" s="31">
        <f t="shared" si="90"/>
        <v>115042</v>
      </c>
      <c r="L310" s="31">
        <f t="shared" si="91"/>
        <v>1606.2559999999939</v>
      </c>
      <c r="M310" s="31">
        <f t="shared" si="101"/>
        <v>5</v>
      </c>
      <c r="N310" s="31">
        <f t="shared" si="92"/>
        <v>4.7439999999999998</v>
      </c>
      <c r="O310" s="125"/>
      <c r="P310" s="32">
        <f t="shared" si="93"/>
        <v>1.9260934536082317</v>
      </c>
      <c r="Q310" s="31">
        <f t="shared" si="94"/>
        <v>4734.2559999999939</v>
      </c>
      <c r="R310" s="34"/>
      <c r="S310" s="34">
        <f t="shared" si="95"/>
        <v>48356.350999999908</v>
      </c>
      <c r="T310" s="34">
        <f t="shared" si="96"/>
        <v>4077.2639966273109</v>
      </c>
      <c r="U310" s="34">
        <f t="shared" si="81"/>
        <v>13777.263996627311</v>
      </c>
      <c r="V310" s="31">
        <f>H310+S310-SUM(AB$15:AB310)</f>
        <v>143715.24450000006</v>
      </c>
      <c r="W310" s="32">
        <f t="shared" si="97"/>
        <v>10.431334155691705</v>
      </c>
      <c r="X310" s="32">
        <f t="shared" si="98"/>
        <v>0.49742760929993679</v>
      </c>
      <c r="Y310" s="32">
        <f t="shared" si="99"/>
        <v>1.4286658443082949</v>
      </c>
      <c r="Z310" s="38">
        <f t="shared" si="100"/>
        <v>0.70405851280592213</v>
      </c>
      <c r="AA310" s="31">
        <f>SUM(L$2:L310)-SUM(AB$2:AB310)</f>
        <v>14401.552999999982</v>
      </c>
      <c r="AB310" s="176"/>
      <c r="AC310" s="40">
        <f t="shared" si="82"/>
        <v>1574.5164373313532</v>
      </c>
      <c r="AD310" s="40">
        <f t="shared" si="83"/>
        <v>-8125.4835626686472</v>
      </c>
    </row>
    <row r="311" spans="1:30" x14ac:dyDescent="0.25">
      <c r="A311" s="174">
        <v>43116</v>
      </c>
      <c r="B311" s="159"/>
      <c r="C311" s="46" t="s">
        <v>69</v>
      </c>
      <c r="D311" s="46">
        <v>500</v>
      </c>
      <c r="E311" s="46">
        <v>12.01</v>
      </c>
      <c r="F311" s="102">
        <f t="shared" si="86"/>
        <v>9200</v>
      </c>
      <c r="G311" s="32">
        <f t="shared" si="84"/>
        <v>9.8222715760869743</v>
      </c>
      <c r="H311" s="31">
        <f t="shared" si="87"/>
        <v>90364.898500000156</v>
      </c>
      <c r="I311" s="31">
        <f t="shared" si="88"/>
        <v>20127.101499999844</v>
      </c>
      <c r="J311" s="175">
        <f t="shared" si="89"/>
        <v>0.222731412684537</v>
      </c>
      <c r="K311" s="31">
        <f t="shared" si="90"/>
        <v>110492</v>
      </c>
      <c r="L311" s="31">
        <f t="shared" si="91"/>
        <v>1443.9949999999953</v>
      </c>
      <c r="M311" s="31">
        <f t="shared" si="101"/>
        <v>5</v>
      </c>
      <c r="N311" s="31">
        <f t="shared" si="92"/>
        <v>6.0049999999999999</v>
      </c>
      <c r="O311" s="125"/>
      <c r="P311" s="32">
        <f t="shared" si="93"/>
        <v>2.1877284239130255</v>
      </c>
      <c r="Q311" s="31">
        <f t="shared" si="94"/>
        <v>5993.9949999999953</v>
      </c>
      <c r="R311" s="34"/>
      <c r="S311" s="34">
        <f t="shared" si="95"/>
        <v>54350.345999999903</v>
      </c>
      <c r="T311" s="34">
        <f t="shared" si="96"/>
        <v>4525.4243130724317</v>
      </c>
      <c r="U311" s="34">
        <f t="shared" si="81"/>
        <v>13725.424313072432</v>
      </c>
      <c r="V311" s="31">
        <f>H311+S311-SUM(AB$15:AB311)</f>
        <v>143715.24450000006</v>
      </c>
      <c r="W311" s="32">
        <f t="shared" si="97"/>
        <v>10.470732359299241</v>
      </c>
      <c r="X311" s="32">
        <f t="shared" si="98"/>
        <v>0.64846078321226663</v>
      </c>
      <c r="Y311" s="32">
        <f t="shared" si="99"/>
        <v>1.5392676407007588</v>
      </c>
      <c r="Z311" s="38">
        <f t="shared" si="100"/>
        <v>0.67028893170447879</v>
      </c>
      <c r="AA311" s="31">
        <f>SUM(L$2:L311)-SUM(AB$2:AB311)</f>
        <v>15845.547999999977</v>
      </c>
      <c r="AB311" s="176"/>
      <c r="AC311" s="40">
        <f t="shared" si="82"/>
        <v>1675.0239757909947</v>
      </c>
      <c r="AD311" s="40">
        <f t="shared" si="83"/>
        <v>-7524.9760242090051</v>
      </c>
    </row>
    <row r="312" spans="1:30" x14ac:dyDescent="0.25">
      <c r="A312" s="174">
        <v>43116</v>
      </c>
      <c r="B312" s="159"/>
      <c r="C312" s="46" t="s">
        <v>69</v>
      </c>
      <c r="D312" s="46">
        <v>500</v>
      </c>
      <c r="E312" s="46">
        <v>12.44</v>
      </c>
      <c r="F312" s="102">
        <f t="shared" si="86"/>
        <v>8700</v>
      </c>
      <c r="G312" s="32">
        <f t="shared" si="84"/>
        <v>9.673117068965535</v>
      </c>
      <c r="H312" s="31">
        <f t="shared" si="87"/>
        <v>84156.118500000157</v>
      </c>
      <c r="I312" s="31">
        <f t="shared" si="88"/>
        <v>24071.881499999843</v>
      </c>
      <c r="J312" s="175">
        <f t="shared" si="89"/>
        <v>0.28603840016694443</v>
      </c>
      <c r="K312" s="31">
        <f t="shared" si="90"/>
        <v>108228</v>
      </c>
      <c r="L312" s="31">
        <f t="shared" si="91"/>
        <v>3944.7799999999988</v>
      </c>
      <c r="M312" s="31">
        <f t="shared" si="101"/>
        <v>5</v>
      </c>
      <c r="N312" s="31">
        <f t="shared" si="92"/>
        <v>6.22</v>
      </c>
      <c r="O312" s="125"/>
      <c r="P312" s="32">
        <f t="shared" si="93"/>
        <v>2.7668829310344645</v>
      </c>
      <c r="Q312" s="31">
        <f t="shared" si="94"/>
        <v>6208.7799999999988</v>
      </c>
      <c r="R312" s="34"/>
      <c r="S312" s="34">
        <f t="shared" si="95"/>
        <v>60559.125999999902</v>
      </c>
      <c r="T312" s="34">
        <f t="shared" si="96"/>
        <v>4868.0969453376129</v>
      </c>
      <c r="U312" s="34">
        <f t="shared" si="81"/>
        <v>13568.096945337613</v>
      </c>
      <c r="V312" s="31">
        <f>H312+S312-SUM(AB$15:AB312)</f>
        <v>143715.24450000006</v>
      </c>
      <c r="W312" s="32">
        <f t="shared" si="97"/>
        <v>10.592144578491144</v>
      </c>
      <c r="X312" s="32">
        <f t="shared" si="98"/>
        <v>0.91902750952560908</v>
      </c>
      <c r="Y312" s="32">
        <f t="shared" si="99"/>
        <v>1.8478554215088554</v>
      </c>
      <c r="Z312" s="38">
        <f t="shared" si="100"/>
        <v>0.64121004110230573</v>
      </c>
      <c r="AA312" s="31">
        <f>SUM(L$2:L312)-SUM(AB$2:AB312)</f>
        <v>19790.327999999976</v>
      </c>
      <c r="AB312" s="176"/>
      <c r="AC312" s="40">
        <f t="shared" si="82"/>
        <v>1934.071186434875</v>
      </c>
      <c r="AD312" s="40">
        <f t="shared" si="83"/>
        <v>-6765.928813565125</v>
      </c>
    </row>
    <row r="313" spans="1:30" x14ac:dyDescent="0.25">
      <c r="A313" s="174">
        <v>43116</v>
      </c>
      <c r="B313" s="159"/>
      <c r="C313" s="46" t="s">
        <v>69</v>
      </c>
      <c r="D313" s="46">
        <v>500</v>
      </c>
      <c r="E313" s="46">
        <v>12.54</v>
      </c>
      <c r="F313" s="102">
        <f t="shared" si="86"/>
        <v>8200</v>
      </c>
      <c r="G313" s="32">
        <f t="shared" si="84"/>
        <v>9.4996815243902635</v>
      </c>
      <c r="H313" s="31">
        <f t="shared" si="87"/>
        <v>77897.388500000161</v>
      </c>
      <c r="I313" s="31">
        <f t="shared" si="88"/>
        <v>24930.611499999839</v>
      </c>
      <c r="J313" s="175">
        <f t="shared" si="89"/>
        <v>0.32004425283139987</v>
      </c>
      <c r="K313" s="31">
        <f t="shared" si="90"/>
        <v>102828</v>
      </c>
      <c r="L313" s="31">
        <f t="shared" si="91"/>
        <v>858.72999999999593</v>
      </c>
      <c r="M313" s="31">
        <f t="shared" si="101"/>
        <v>5</v>
      </c>
      <c r="N313" s="31">
        <f t="shared" si="92"/>
        <v>6.27</v>
      </c>
      <c r="O313" s="125"/>
      <c r="P313" s="32">
        <f t="shared" si="93"/>
        <v>3.0403184756097357</v>
      </c>
      <c r="Q313" s="31">
        <f t="shared" si="94"/>
        <v>6258.7299999999959</v>
      </c>
      <c r="R313" s="34"/>
      <c r="S313" s="34">
        <f t="shared" si="95"/>
        <v>66817.855999999898</v>
      </c>
      <c r="T313" s="34">
        <f t="shared" si="96"/>
        <v>5328.3776714513479</v>
      </c>
      <c r="U313" s="34">
        <f t="shared" si="81"/>
        <v>13528.377671451348</v>
      </c>
      <c r="V313" s="31">
        <f>H313+S313-SUM(AB$15:AB313)</f>
        <v>143715.24450000006</v>
      </c>
      <c r="W313" s="32">
        <f t="shared" si="97"/>
        <v>10.623243081339998</v>
      </c>
      <c r="X313" s="32">
        <f t="shared" si="98"/>
        <v>1.1235615569497348</v>
      </c>
      <c r="Y313" s="32">
        <f t="shared" si="99"/>
        <v>1.9167569186600009</v>
      </c>
      <c r="Z313" s="38">
        <f t="shared" si="100"/>
        <v>0.60613328509480391</v>
      </c>
      <c r="AA313" s="31">
        <f>SUM(L$2:L313)-SUM(AB$2:AB313)</f>
        <v>20649.057999999972</v>
      </c>
      <c r="AB313" s="176"/>
      <c r="AC313" s="40">
        <f t="shared" si="82"/>
        <v>1987.0929979465584</v>
      </c>
      <c r="AD313" s="40">
        <f t="shared" si="83"/>
        <v>-6212.9070020534418</v>
      </c>
    </row>
    <row r="314" spans="1:30" x14ac:dyDescent="0.25">
      <c r="A314" s="174">
        <v>43116</v>
      </c>
      <c r="B314" s="159"/>
      <c r="C314" s="46" t="s">
        <v>69</v>
      </c>
      <c r="D314" s="46">
        <v>500</v>
      </c>
      <c r="E314" s="46">
        <v>12.65</v>
      </c>
      <c r="F314" s="102">
        <f t="shared" si="86"/>
        <v>7700</v>
      </c>
      <c r="G314" s="32">
        <f t="shared" si="84"/>
        <v>9.2965861688311886</v>
      </c>
      <c r="H314" s="31">
        <f t="shared" si="87"/>
        <v>71583.713500000158</v>
      </c>
      <c r="I314" s="31">
        <f t="shared" si="88"/>
        <v>25821.286499999842</v>
      </c>
      <c r="J314" s="175">
        <f t="shared" si="89"/>
        <v>0.36071454298050348</v>
      </c>
      <c r="K314" s="31">
        <f t="shared" si="90"/>
        <v>97405</v>
      </c>
      <c r="L314" s="31">
        <f t="shared" si="91"/>
        <v>890.67500000000291</v>
      </c>
      <c r="M314" s="31">
        <f t="shared" si="101"/>
        <v>5</v>
      </c>
      <c r="N314" s="31">
        <f t="shared" si="92"/>
        <v>6.3250000000000002</v>
      </c>
      <c r="O314" s="125"/>
      <c r="P314" s="32">
        <f t="shared" si="93"/>
        <v>3.3534138311688118</v>
      </c>
      <c r="Q314" s="31">
        <f t="shared" si="94"/>
        <v>6313.6750000000029</v>
      </c>
      <c r="R314" s="34"/>
      <c r="S314" s="34">
        <f t="shared" si="95"/>
        <v>73131.530999999901</v>
      </c>
      <c r="T314" s="34">
        <f t="shared" si="96"/>
        <v>5781.1486956521658</v>
      </c>
      <c r="U314" s="34">
        <f t="shared" si="81"/>
        <v>13481.148695652166</v>
      </c>
      <c r="V314" s="31">
        <f>H314+S314-SUM(AB$15:AB314)</f>
        <v>143715.24450000006</v>
      </c>
      <c r="W314" s="32">
        <f t="shared" si="97"/>
        <v>10.660459857278331</v>
      </c>
      <c r="X314" s="32">
        <f t="shared" si="98"/>
        <v>1.3638736884471427</v>
      </c>
      <c r="Y314" s="32">
        <f t="shared" si="99"/>
        <v>1.989540142721669</v>
      </c>
      <c r="Z314" s="38">
        <f t="shared" si="100"/>
        <v>0.57116794524218428</v>
      </c>
      <c r="AA314" s="31">
        <f>SUM(L$2:L314)-SUM(AB$2:AB314)</f>
        <v>21539.732999999975</v>
      </c>
      <c r="AB314" s="176"/>
      <c r="AC314" s="40">
        <f t="shared" si="82"/>
        <v>2040.1878147628333</v>
      </c>
      <c r="AD314" s="40">
        <f t="shared" si="83"/>
        <v>-5659.8121852371669</v>
      </c>
    </row>
    <row r="315" spans="1:30" x14ac:dyDescent="0.25">
      <c r="A315" s="174">
        <v>43116</v>
      </c>
      <c r="B315" s="159"/>
      <c r="C315" s="46" t="s">
        <v>69</v>
      </c>
      <c r="D315" s="46">
        <v>500</v>
      </c>
      <c r="E315" s="46">
        <v>12.77</v>
      </c>
      <c r="F315" s="102">
        <f t="shared" si="86"/>
        <v>7200</v>
      </c>
      <c r="G315" s="32">
        <f t="shared" si="84"/>
        <v>9.0569581250000226</v>
      </c>
      <c r="H315" s="31">
        <f t="shared" si="87"/>
        <v>65210.09850000016</v>
      </c>
      <c r="I315" s="31">
        <f t="shared" si="88"/>
        <v>26733.90149999984</v>
      </c>
      <c r="J315" s="175">
        <f t="shared" si="89"/>
        <v>0.40996566659073158</v>
      </c>
      <c r="K315" s="31">
        <f t="shared" si="90"/>
        <v>91944</v>
      </c>
      <c r="L315" s="31">
        <f t="shared" si="91"/>
        <v>912.61499999999796</v>
      </c>
      <c r="M315" s="31">
        <f t="shared" si="101"/>
        <v>5</v>
      </c>
      <c r="N315" s="31">
        <f t="shared" si="92"/>
        <v>6.3849999999999998</v>
      </c>
      <c r="O315" s="125"/>
      <c r="P315" s="32">
        <f t="shared" si="93"/>
        <v>3.713041874999977</v>
      </c>
      <c r="Q315" s="31">
        <f t="shared" si="94"/>
        <v>6373.614999999998</v>
      </c>
      <c r="R315" s="34"/>
      <c r="S315" s="34">
        <f t="shared" si="95"/>
        <v>79505.145999999892</v>
      </c>
      <c r="T315" s="34">
        <f t="shared" si="96"/>
        <v>6225.9315583398511</v>
      </c>
      <c r="U315" s="34">
        <f t="shared" si="81"/>
        <v>13425.931558339851</v>
      </c>
      <c r="V315" s="31">
        <f>H315+S315-SUM(AB$15:AB315)</f>
        <v>143715.24450000006</v>
      </c>
      <c r="W315" s="32">
        <f t="shared" si="97"/>
        <v>10.704303375561881</v>
      </c>
      <c r="X315" s="32">
        <f t="shared" si="98"/>
        <v>1.6473452505618589</v>
      </c>
      <c r="Y315" s="32">
        <f t="shared" si="99"/>
        <v>2.0656966244381181</v>
      </c>
      <c r="Z315" s="38">
        <f t="shared" si="100"/>
        <v>0.53627563709182924</v>
      </c>
      <c r="AA315" s="31">
        <f>SUM(L$2:L315)-SUM(AB$2:AB315)</f>
        <v>22452.347999999973</v>
      </c>
      <c r="AB315" s="176"/>
      <c r="AC315" s="40">
        <f t="shared" si="82"/>
        <v>2092.4459318128302</v>
      </c>
      <c r="AD315" s="40">
        <f t="shared" si="83"/>
        <v>-5107.5540681871698</v>
      </c>
    </row>
    <row r="316" spans="1:30" x14ac:dyDescent="0.25">
      <c r="A316" s="174">
        <v>43117</v>
      </c>
      <c r="B316" s="159" t="s">
        <v>305</v>
      </c>
      <c r="C316" s="46" t="s">
        <v>63</v>
      </c>
      <c r="D316" s="46">
        <v>400</v>
      </c>
      <c r="E316" s="46">
        <v>12.42</v>
      </c>
      <c r="F316" s="102">
        <f t="shared" si="86"/>
        <v>7600</v>
      </c>
      <c r="G316" s="32">
        <f t="shared" si="84"/>
        <v>9.2346182236842331</v>
      </c>
      <c r="H316" s="31">
        <f t="shared" si="87"/>
        <v>70183.098500000167</v>
      </c>
      <c r="I316" s="31">
        <f t="shared" si="88"/>
        <v>24208.901499999833</v>
      </c>
      <c r="J316" s="175">
        <f t="shared" si="89"/>
        <v>0.34493919501145665</v>
      </c>
      <c r="K316" s="31">
        <f t="shared" si="90"/>
        <v>94392</v>
      </c>
      <c r="L316" s="31">
        <f t="shared" si="91"/>
        <v>-2525.0000000000073</v>
      </c>
      <c r="M316" s="31">
        <f t="shared" si="101"/>
        <v>5</v>
      </c>
      <c r="N316" s="31">
        <f t="shared" si="92"/>
        <v>0</v>
      </c>
      <c r="O316" s="125"/>
      <c r="P316" s="32">
        <f t="shared" si="93"/>
        <v>3.1853817763157668</v>
      </c>
      <c r="Q316" s="31">
        <f t="shared" si="94"/>
        <v>-4973.0000000000073</v>
      </c>
      <c r="R316" s="34"/>
      <c r="S316" s="34">
        <f t="shared" si="95"/>
        <v>74532.145999999892</v>
      </c>
      <c r="T316" s="34">
        <f t="shared" si="96"/>
        <v>6000.9779388083653</v>
      </c>
      <c r="U316" s="34">
        <f t="shared" si="81"/>
        <v>13600.977938808366</v>
      </c>
      <c r="V316" s="31">
        <f>H316+S316-SUM(AB$15:AB316)</f>
        <v>143715.24450000006</v>
      </c>
      <c r="W316" s="32">
        <f t="shared" si="97"/>
        <v>10.566537578884677</v>
      </c>
      <c r="X316" s="32">
        <f t="shared" si="98"/>
        <v>1.3319193552004442</v>
      </c>
      <c r="Y316" s="32">
        <f t="shared" si="99"/>
        <v>1.8534624211153226</v>
      </c>
      <c r="Z316" s="38">
        <f t="shared" si="100"/>
        <v>0.55878334882924341</v>
      </c>
      <c r="AA316" s="31">
        <f>SUM(L$2:L316)-SUM(AB$2:AB316)</f>
        <v>19927.347999999965</v>
      </c>
      <c r="AB316" s="176"/>
      <c r="AC316" s="40">
        <f t="shared" si="82"/>
        <v>1948.2123228059447</v>
      </c>
      <c r="AD316" s="40">
        <f t="shared" si="83"/>
        <v>-5651.7876771940555</v>
      </c>
    </row>
    <row r="317" spans="1:30" x14ac:dyDescent="0.25">
      <c r="A317" s="174">
        <v>43117</v>
      </c>
      <c r="B317" s="159" t="s">
        <v>306</v>
      </c>
      <c r="C317" s="46" t="s">
        <v>63</v>
      </c>
      <c r="D317" s="46">
        <v>400</v>
      </c>
      <c r="E317" s="46">
        <v>12.33</v>
      </c>
      <c r="F317" s="102">
        <f t="shared" si="86"/>
        <v>8000</v>
      </c>
      <c r="G317" s="32">
        <f t="shared" si="84"/>
        <v>9.390012312500021</v>
      </c>
      <c r="H317" s="31">
        <f t="shared" si="87"/>
        <v>75120.098500000167</v>
      </c>
      <c r="I317" s="31">
        <f t="shared" si="88"/>
        <v>23519.901499999833</v>
      </c>
      <c r="J317" s="175">
        <f t="shared" si="89"/>
        <v>0.31309731975391086</v>
      </c>
      <c r="K317" s="31">
        <f t="shared" si="90"/>
        <v>98640</v>
      </c>
      <c r="L317" s="31">
        <f t="shared" si="91"/>
        <v>-689</v>
      </c>
      <c r="M317" s="31">
        <f t="shared" si="101"/>
        <v>5</v>
      </c>
      <c r="N317" s="31">
        <f t="shared" si="92"/>
        <v>0</v>
      </c>
      <c r="O317" s="125"/>
      <c r="P317" s="32">
        <f t="shared" si="93"/>
        <v>2.9399876874999791</v>
      </c>
      <c r="Q317" s="31">
        <f t="shared" si="94"/>
        <v>-4937</v>
      </c>
      <c r="R317" s="34"/>
      <c r="S317" s="34">
        <f t="shared" si="95"/>
        <v>69595.145999999892</v>
      </c>
      <c r="T317" s="34">
        <f t="shared" si="96"/>
        <v>5644.3751824817427</v>
      </c>
      <c r="U317" s="34">
        <f t="shared" si="81"/>
        <v>13644.375182481743</v>
      </c>
      <c r="V317" s="31">
        <f>H317+S317-SUM(AB$15:AB317)</f>
        <v>143715.24450000006</v>
      </c>
      <c r="W317" s="32">
        <f t="shared" si="97"/>
        <v>10.532929692853847</v>
      </c>
      <c r="X317" s="32">
        <f t="shared" si="98"/>
        <v>1.1429173803538255</v>
      </c>
      <c r="Y317" s="32">
        <f t="shared" si="99"/>
        <v>1.7970703071461536</v>
      </c>
      <c r="Z317" s="38">
        <f t="shared" si="100"/>
        <v>0.58632219453121925</v>
      </c>
      <c r="AA317" s="31">
        <f>SUM(L$2:L317)-SUM(AB$2:AB317)</f>
        <v>19238.347999999965</v>
      </c>
      <c r="AB317" s="176"/>
      <c r="AC317" s="40">
        <f t="shared" si="82"/>
        <v>1906.5808231346175</v>
      </c>
      <c r="AD317" s="40">
        <f t="shared" si="83"/>
        <v>-6093.4191768653827</v>
      </c>
    </row>
    <row r="318" spans="1:30" x14ac:dyDescent="0.25">
      <c r="A318" s="174">
        <v>43117</v>
      </c>
      <c r="B318" s="159" t="s">
        <v>307</v>
      </c>
      <c r="C318" s="46" t="s">
        <v>63</v>
      </c>
      <c r="D318" s="46">
        <v>400</v>
      </c>
      <c r="E318" s="46">
        <v>12.12</v>
      </c>
      <c r="F318" s="102">
        <f t="shared" si="86"/>
        <v>8400</v>
      </c>
      <c r="G318" s="32">
        <f t="shared" si="84"/>
        <v>9.5206069642857347</v>
      </c>
      <c r="H318" s="31">
        <f t="shared" si="87"/>
        <v>79973.098500000167</v>
      </c>
      <c r="I318" s="31">
        <f t="shared" si="88"/>
        <v>21834.901499999833</v>
      </c>
      <c r="J318" s="175">
        <f t="shared" si="89"/>
        <v>0.27302807956102609</v>
      </c>
      <c r="K318" s="31">
        <f t="shared" si="90"/>
        <v>101808</v>
      </c>
      <c r="L318" s="31">
        <f t="shared" si="91"/>
        <v>-1685</v>
      </c>
      <c r="M318" s="31">
        <f t="shared" si="101"/>
        <v>5</v>
      </c>
      <c r="N318" s="31">
        <f t="shared" si="92"/>
        <v>0</v>
      </c>
      <c r="O318" s="125"/>
      <c r="P318" s="32">
        <f t="shared" si="93"/>
        <v>2.5993930357142645</v>
      </c>
      <c r="Q318" s="31">
        <f t="shared" si="94"/>
        <v>-4853</v>
      </c>
      <c r="R318" s="34"/>
      <c r="S318" s="34">
        <f t="shared" si="95"/>
        <v>64742.145999999892</v>
      </c>
      <c r="T318" s="34">
        <f t="shared" si="96"/>
        <v>5341.761221122104</v>
      </c>
      <c r="U318" s="34">
        <f t="shared" si="81"/>
        <v>13741.761221122104</v>
      </c>
      <c r="V318" s="31">
        <f>H318+S318-SUM(AB$15:AB318)</f>
        <v>143715.24450000006</v>
      </c>
      <c r="W318" s="32">
        <f t="shared" si="97"/>
        <v>10.458284217535311</v>
      </c>
      <c r="X318" s="32">
        <f t="shared" si="98"/>
        <v>0.93767725324957674</v>
      </c>
      <c r="Y318" s="32">
        <f t="shared" si="99"/>
        <v>1.6617157824646878</v>
      </c>
      <c r="Z318" s="38">
        <f t="shared" si="100"/>
        <v>0.61127535727287841</v>
      </c>
      <c r="AA318" s="31">
        <f>SUM(L$2:L318)-SUM(AB$2:AB318)</f>
        <v>17553.347999999965</v>
      </c>
      <c r="AB318" s="176"/>
      <c r="AC318" s="40">
        <f t="shared" si="82"/>
        <v>1800.6587499381051</v>
      </c>
      <c r="AD318" s="40">
        <f t="shared" si="83"/>
        <v>-6599.3412500618952</v>
      </c>
    </row>
    <row r="319" spans="1:30" x14ac:dyDescent="0.25">
      <c r="A319" s="174">
        <v>43117</v>
      </c>
      <c r="B319" s="159"/>
      <c r="C319" s="46" t="s">
        <v>69</v>
      </c>
      <c r="D319" s="46">
        <v>500</v>
      </c>
      <c r="E319" s="46">
        <v>12.21</v>
      </c>
      <c r="F319" s="102">
        <f t="shared" si="86"/>
        <v>7900</v>
      </c>
      <c r="G319" s="32">
        <f t="shared" si="84"/>
        <v>9.3517979113924259</v>
      </c>
      <c r="H319" s="31">
        <f t="shared" si="87"/>
        <v>73879.203500000163</v>
      </c>
      <c r="I319" s="31">
        <f t="shared" si="88"/>
        <v>22579.796499999837</v>
      </c>
      <c r="J319" s="175">
        <f t="shared" si="89"/>
        <v>0.3056312931148451</v>
      </c>
      <c r="K319" s="31">
        <f t="shared" si="90"/>
        <v>96459</v>
      </c>
      <c r="L319" s="31">
        <f t="shared" si="91"/>
        <v>744.89500000000407</v>
      </c>
      <c r="M319" s="31">
        <f t="shared" si="101"/>
        <v>5</v>
      </c>
      <c r="N319" s="31">
        <f t="shared" si="92"/>
        <v>6.1050000000000004</v>
      </c>
      <c r="O319" s="125"/>
      <c r="P319" s="32">
        <f t="shared" si="93"/>
        <v>2.858202088607575</v>
      </c>
      <c r="Q319" s="31">
        <f t="shared" si="94"/>
        <v>6093.8950000000041</v>
      </c>
      <c r="R319" s="34"/>
      <c r="S319" s="34">
        <f t="shared" si="95"/>
        <v>70836.040999999896</v>
      </c>
      <c r="T319" s="34">
        <f t="shared" si="96"/>
        <v>5801.4775593775503</v>
      </c>
      <c r="U319" s="34">
        <f t="shared" si="81"/>
        <v>13701.47755937755</v>
      </c>
      <c r="V319" s="31">
        <f>H319+S319-SUM(AB$15:AB319)</f>
        <v>143715.24450000006</v>
      </c>
      <c r="W319" s="32">
        <f t="shared" si="97"/>
        <v>10.489032578945373</v>
      </c>
      <c r="X319" s="32">
        <f t="shared" si="98"/>
        <v>1.1372346675529474</v>
      </c>
      <c r="Y319" s="32">
        <f t="shared" si="99"/>
        <v>1.7209674210546275</v>
      </c>
      <c r="Z319" s="38">
        <f t="shared" si="100"/>
        <v>0.57658015099204318</v>
      </c>
      <c r="AA319" s="31">
        <f>SUM(L$2:L319)-SUM(AB$2:AB319)</f>
        <v>18298.242999999969</v>
      </c>
      <c r="AB319" s="176"/>
      <c r="AC319" s="40">
        <f t="shared" si="82"/>
        <v>1848.3625390458506</v>
      </c>
      <c r="AD319" s="40">
        <f t="shared" si="83"/>
        <v>-6051.637460954149</v>
      </c>
    </row>
    <row r="320" spans="1:30" x14ac:dyDescent="0.25">
      <c r="A320" s="174">
        <v>43119</v>
      </c>
      <c r="B320" s="159"/>
      <c r="C320" s="46" t="s">
        <v>69</v>
      </c>
      <c r="D320" s="46">
        <v>500</v>
      </c>
      <c r="E320" s="46">
        <v>12.32</v>
      </c>
      <c r="F320" s="102">
        <f t="shared" si="86"/>
        <v>7400</v>
      </c>
      <c r="G320" s="32">
        <f t="shared" si="84"/>
        <v>9.1527518243243478</v>
      </c>
      <c r="H320" s="31">
        <f t="shared" si="87"/>
        <v>67730.363500000167</v>
      </c>
      <c r="I320" s="31">
        <f t="shared" si="88"/>
        <v>23437.636499999833</v>
      </c>
      <c r="J320" s="175">
        <f t="shared" si="89"/>
        <v>0.34604327053404593</v>
      </c>
      <c r="K320" s="31">
        <f t="shared" si="90"/>
        <v>91168</v>
      </c>
      <c r="L320" s="31">
        <f t="shared" si="91"/>
        <v>857.83999999999651</v>
      </c>
      <c r="M320" s="31">
        <f t="shared" si="101"/>
        <v>5</v>
      </c>
      <c r="N320" s="31">
        <f t="shared" si="92"/>
        <v>6.16</v>
      </c>
      <c r="O320" s="125"/>
      <c r="P320" s="32">
        <f t="shared" si="93"/>
        <v>3.1672481756756525</v>
      </c>
      <c r="Q320" s="31">
        <f t="shared" si="94"/>
        <v>6148.8399999999965</v>
      </c>
      <c r="R320" s="34"/>
      <c r="S320" s="34">
        <f t="shared" si="95"/>
        <v>76984.880999999892</v>
      </c>
      <c r="T320" s="34">
        <f t="shared" si="96"/>
        <v>6248.7728084415494</v>
      </c>
      <c r="U320" s="34">
        <f t="shared" si="81"/>
        <v>13648.77280844155</v>
      </c>
      <c r="V320" s="31">
        <f>H320+S320-SUM(AB$15:AB320)</f>
        <v>143715.24450000006</v>
      </c>
      <c r="W320" s="32">
        <f t="shared" si="97"/>
        <v>10.52953598957369</v>
      </c>
      <c r="X320" s="32">
        <f t="shared" si="98"/>
        <v>1.376784165249342</v>
      </c>
      <c r="Y320" s="32">
        <f t="shared" si="99"/>
        <v>1.7904640104263105</v>
      </c>
      <c r="Z320" s="38">
        <f t="shared" si="100"/>
        <v>0.54217328574941304</v>
      </c>
      <c r="AA320" s="31">
        <f>SUM(L$2:L320)-SUM(AB$2:AB320)</f>
        <v>19156.082999999966</v>
      </c>
      <c r="AB320" s="176"/>
      <c r="AC320" s="40">
        <f t="shared" si="82"/>
        <v>1901.4543572848891</v>
      </c>
      <c r="AD320" s="40">
        <f t="shared" si="83"/>
        <v>-5498.5456427151112</v>
      </c>
    </row>
    <row r="321" spans="1:30" x14ac:dyDescent="0.25">
      <c r="A321" s="174">
        <v>43119</v>
      </c>
      <c r="B321" s="159" t="s">
        <v>308</v>
      </c>
      <c r="C321" s="46" t="s">
        <v>63</v>
      </c>
      <c r="D321" s="46">
        <v>400</v>
      </c>
      <c r="E321" s="46">
        <v>12</v>
      </c>
      <c r="F321" s="102">
        <f t="shared" si="86"/>
        <v>7800</v>
      </c>
      <c r="G321" s="32">
        <f t="shared" si="84"/>
        <v>9.2994055769230979</v>
      </c>
      <c r="H321" s="31">
        <f t="shared" si="87"/>
        <v>72535.363500000167</v>
      </c>
      <c r="I321" s="31">
        <f t="shared" si="88"/>
        <v>21064.636499999833</v>
      </c>
      <c r="J321" s="175">
        <f t="shared" si="89"/>
        <v>0.2904050587683315</v>
      </c>
      <c r="K321" s="31">
        <f t="shared" si="90"/>
        <v>93600</v>
      </c>
      <c r="L321" s="31">
        <f t="shared" si="91"/>
        <v>-2373</v>
      </c>
      <c r="M321" s="31">
        <f t="shared" si="101"/>
        <v>5</v>
      </c>
      <c r="N321" s="31">
        <f t="shared" si="92"/>
        <v>0</v>
      </c>
      <c r="O321" s="125"/>
      <c r="P321" s="32">
        <f t="shared" si="93"/>
        <v>2.7005944230769021</v>
      </c>
      <c r="Q321" s="31">
        <f t="shared" si="94"/>
        <v>-4805</v>
      </c>
      <c r="R321" s="34"/>
      <c r="S321" s="34">
        <f t="shared" si="95"/>
        <v>72179.880999999892</v>
      </c>
      <c r="T321" s="34">
        <f t="shared" si="96"/>
        <v>6014.990083333324</v>
      </c>
      <c r="U321" s="34">
        <f t="shared" si="81"/>
        <v>13814.990083333323</v>
      </c>
      <c r="V321" s="31">
        <f>H321+S321-SUM(AB$15:AB321)</f>
        <v>143715.24450000006</v>
      </c>
      <c r="W321" s="32">
        <f t="shared" si="97"/>
        <v>10.402848183972349</v>
      </c>
      <c r="X321" s="32">
        <f t="shared" si="98"/>
        <v>1.1034426070492511</v>
      </c>
      <c r="Y321" s="32">
        <f t="shared" si="99"/>
        <v>1.597151816027651</v>
      </c>
      <c r="Z321" s="38">
        <f t="shared" si="100"/>
        <v>0.56460409692295577</v>
      </c>
      <c r="AA321" s="31">
        <f>SUM(L$2:L321)-SUM(AB$2:AB321)</f>
        <v>16783.082999999966</v>
      </c>
      <c r="AB321" s="176"/>
      <c r="AC321" s="40">
        <f t="shared" si="82"/>
        <v>1754.5086818124862</v>
      </c>
      <c r="AD321" s="40">
        <f t="shared" si="83"/>
        <v>-6045.4913181875136</v>
      </c>
    </row>
    <row r="322" spans="1:30" x14ac:dyDescent="0.25">
      <c r="A322" s="174">
        <v>43122</v>
      </c>
      <c r="B322" s="159"/>
      <c r="C322" s="46" t="s">
        <v>69</v>
      </c>
      <c r="D322" s="46">
        <v>400</v>
      </c>
      <c r="E322" s="46">
        <v>12.04</v>
      </c>
      <c r="F322" s="102">
        <f t="shared" si="86"/>
        <v>7400</v>
      </c>
      <c r="G322" s="32">
        <f t="shared" si="84"/>
        <v>9.1525918243243485</v>
      </c>
      <c r="H322" s="31">
        <f t="shared" si="87"/>
        <v>67729.179500000173</v>
      </c>
      <c r="I322" s="31">
        <f t="shared" si="88"/>
        <v>21366.820499999827</v>
      </c>
      <c r="J322" s="175">
        <f t="shared" si="89"/>
        <v>0.31547437393656541</v>
      </c>
      <c r="K322" s="31">
        <f t="shared" si="90"/>
        <v>89096</v>
      </c>
      <c r="L322" s="31">
        <f t="shared" si="91"/>
        <v>302.18399999999383</v>
      </c>
      <c r="M322" s="31">
        <f t="shared" si="101"/>
        <v>5</v>
      </c>
      <c r="N322" s="31">
        <f t="shared" si="92"/>
        <v>4.8159999999999998</v>
      </c>
      <c r="O322" s="125"/>
      <c r="P322" s="32">
        <f t="shared" si="93"/>
        <v>2.8874081756756507</v>
      </c>
      <c r="Q322" s="31">
        <f t="shared" si="94"/>
        <v>4806.1839999999938</v>
      </c>
      <c r="R322" s="34"/>
      <c r="S322" s="34">
        <f t="shared" si="95"/>
        <v>76986.064999999886</v>
      </c>
      <c r="T322" s="34">
        <f t="shared" si="96"/>
        <v>6394.1914451827151</v>
      </c>
      <c r="U322" s="34">
        <f t="shared" ref="U322:U385" si="102">F322+T322</f>
        <v>13794.191445182714</v>
      </c>
      <c r="V322" s="31">
        <f>H322+S322-SUM(AB$15:AB322)</f>
        <v>143715.24450000006</v>
      </c>
      <c r="W322" s="32">
        <f t="shared" si="97"/>
        <v>10.418533414670645</v>
      </c>
      <c r="X322" s="32">
        <f t="shared" si="98"/>
        <v>1.2659415903462961</v>
      </c>
      <c r="Y322" s="32">
        <f t="shared" si="99"/>
        <v>1.6214665853293546</v>
      </c>
      <c r="Z322" s="38">
        <f t="shared" si="100"/>
        <v>0.53645768433816177</v>
      </c>
      <c r="AA322" s="31">
        <f>SUM(L$2:L322)-SUM(AB$2:AB322)</f>
        <v>17085.26699999996</v>
      </c>
      <c r="AB322" s="176"/>
      <c r="AC322" s="40">
        <f t="shared" si="82"/>
        <v>1773.7655390157665</v>
      </c>
      <c r="AD322" s="40">
        <f t="shared" si="83"/>
        <v>-5626.234460984233</v>
      </c>
    </row>
    <row r="323" spans="1:30" x14ac:dyDescent="0.25">
      <c r="A323" s="174">
        <v>43123</v>
      </c>
      <c r="B323" s="159"/>
      <c r="C323" s="46" t="s">
        <v>69</v>
      </c>
      <c r="D323" s="46">
        <v>500</v>
      </c>
      <c r="E323" s="46">
        <v>12.16</v>
      </c>
      <c r="F323" s="102">
        <f t="shared" si="86"/>
        <v>6900</v>
      </c>
      <c r="G323" s="32">
        <f t="shared" si="84"/>
        <v>8.9362694927536488</v>
      </c>
      <c r="H323" s="31">
        <f t="shared" si="87"/>
        <v>61660.259500000175</v>
      </c>
      <c r="I323" s="31">
        <f t="shared" si="88"/>
        <v>22243.740499999825</v>
      </c>
      <c r="J323" s="175">
        <f t="shared" si="89"/>
        <v>0.36074678699657048</v>
      </c>
      <c r="K323" s="31">
        <f t="shared" si="90"/>
        <v>83904</v>
      </c>
      <c r="L323" s="31">
        <f t="shared" si="91"/>
        <v>876.91999999999825</v>
      </c>
      <c r="M323" s="31">
        <f t="shared" si="101"/>
        <v>5</v>
      </c>
      <c r="N323" s="31">
        <f t="shared" si="92"/>
        <v>6.08</v>
      </c>
      <c r="O323" s="125"/>
      <c r="P323" s="32">
        <f t="shared" si="93"/>
        <v>3.2237305072463514</v>
      </c>
      <c r="Q323" s="31">
        <f t="shared" si="94"/>
        <v>6068.9199999999983</v>
      </c>
      <c r="R323" s="34"/>
      <c r="S323" s="34">
        <f t="shared" si="95"/>
        <v>83054.984999999884</v>
      </c>
      <c r="T323" s="34">
        <f t="shared" si="96"/>
        <v>6830.17968749999</v>
      </c>
      <c r="U323" s="34">
        <f t="shared" si="102"/>
        <v>13730.179687499989</v>
      </c>
      <c r="V323" s="31">
        <f>H323+S323-SUM(AB$15:AB323)</f>
        <v>143715.24450000006</v>
      </c>
      <c r="W323" s="32">
        <f t="shared" si="97"/>
        <v>10.467105877051194</v>
      </c>
      <c r="X323" s="32">
        <f t="shared" si="98"/>
        <v>1.5308363842975456</v>
      </c>
      <c r="Y323" s="32">
        <f t="shared" si="99"/>
        <v>1.6928941229488057</v>
      </c>
      <c r="Z323" s="38">
        <f t="shared" si="100"/>
        <v>0.50254258553380682</v>
      </c>
      <c r="AA323" s="31">
        <f>SUM(L$2:L323)-SUM(AB$2:AB323)</f>
        <v>17962.186999999958</v>
      </c>
      <c r="AB323" s="176"/>
      <c r="AC323" s="40">
        <f t="shared" ref="AC323:AC386" si="103">I323/E323*(1-0.0005)</f>
        <v>1828.3403478412686</v>
      </c>
      <c r="AD323" s="40">
        <f t="shared" ref="AD323:AD386" si="104">AC323-F323</f>
        <v>-5071.6596521587317</v>
      </c>
    </row>
    <row r="324" spans="1:30" x14ac:dyDescent="0.25">
      <c r="A324" s="174">
        <v>43123</v>
      </c>
      <c r="B324" s="159" t="s">
        <v>309</v>
      </c>
      <c r="C324" s="46" t="s">
        <v>63</v>
      </c>
      <c r="D324" s="46">
        <v>400</v>
      </c>
      <c r="E324" s="46">
        <v>12.03</v>
      </c>
      <c r="F324" s="102">
        <f t="shared" si="86"/>
        <v>7300</v>
      </c>
      <c r="G324" s="32">
        <f t="shared" si="84"/>
        <v>9.1064739041096132</v>
      </c>
      <c r="H324" s="31">
        <f t="shared" si="87"/>
        <v>66477.259500000175</v>
      </c>
      <c r="I324" s="31">
        <f t="shared" si="88"/>
        <v>21341.740499999825</v>
      </c>
      <c r="J324" s="175">
        <f t="shared" si="89"/>
        <v>0.32103821157067647</v>
      </c>
      <c r="K324" s="31">
        <f t="shared" si="90"/>
        <v>87819</v>
      </c>
      <c r="L324" s="31">
        <f t="shared" si="91"/>
        <v>-902</v>
      </c>
      <c r="M324" s="31">
        <f t="shared" si="101"/>
        <v>5</v>
      </c>
      <c r="N324" s="31">
        <f t="shared" si="92"/>
        <v>0</v>
      </c>
      <c r="O324" s="125"/>
      <c r="P324" s="32">
        <f t="shared" si="93"/>
        <v>2.9235260958903861</v>
      </c>
      <c r="Q324" s="31">
        <f t="shared" si="94"/>
        <v>-4817</v>
      </c>
      <c r="R324" s="34"/>
      <c r="S324" s="34">
        <f t="shared" si="95"/>
        <v>78237.984999999884</v>
      </c>
      <c r="T324" s="34">
        <f t="shared" si="96"/>
        <v>6503.5731504571813</v>
      </c>
      <c r="U324" s="34">
        <f t="shared" si="102"/>
        <v>13803.573150457181</v>
      </c>
      <c r="V324" s="31">
        <f>H324+S324-SUM(AB$15:AB324)</f>
        <v>143715.24450000006</v>
      </c>
      <c r="W324" s="32">
        <f t="shared" si="97"/>
        <v>10.411452377838859</v>
      </c>
      <c r="X324" s="32">
        <f t="shared" si="98"/>
        <v>1.3049784737292462</v>
      </c>
      <c r="Y324" s="32">
        <f t="shared" si="99"/>
        <v>1.6185476221611399</v>
      </c>
      <c r="Z324" s="38">
        <f t="shared" si="100"/>
        <v>0.52884857568623245</v>
      </c>
      <c r="AA324" s="31">
        <f>SUM(L$2:L324)-SUM(AB$2:AB324)</f>
        <v>17060.186999999958</v>
      </c>
      <c r="AB324" s="176"/>
      <c r="AC324" s="40">
        <f t="shared" si="103"/>
        <v>1773.1562451994869</v>
      </c>
      <c r="AD324" s="40">
        <f t="shared" si="104"/>
        <v>-5526.8437548005131</v>
      </c>
    </row>
    <row r="325" spans="1:30" x14ac:dyDescent="0.25">
      <c r="A325" s="174">
        <v>43123</v>
      </c>
      <c r="B325" s="159"/>
      <c r="C325" s="46" t="s">
        <v>69</v>
      </c>
      <c r="D325" s="46">
        <v>500</v>
      </c>
      <c r="E325" s="46">
        <v>12.24</v>
      </c>
      <c r="F325" s="102">
        <f t="shared" si="86"/>
        <v>6800</v>
      </c>
      <c r="G325" s="32">
        <f t="shared" si="84"/>
        <v>8.8777028676470842</v>
      </c>
      <c r="H325" s="31">
        <f t="shared" si="87"/>
        <v>60368.379500000177</v>
      </c>
      <c r="I325" s="31">
        <f t="shared" si="88"/>
        <v>22863.620499999823</v>
      </c>
      <c r="J325" s="175">
        <f t="shared" si="89"/>
        <v>0.3787350379348805</v>
      </c>
      <c r="K325" s="31">
        <f t="shared" si="90"/>
        <v>83232</v>
      </c>
      <c r="L325" s="31">
        <f t="shared" si="91"/>
        <v>1521.8799999999974</v>
      </c>
      <c r="M325" s="31">
        <f t="shared" si="101"/>
        <v>5</v>
      </c>
      <c r="N325" s="31">
        <f t="shared" si="92"/>
        <v>6.12</v>
      </c>
      <c r="O325" s="125"/>
      <c r="P325" s="32">
        <f t="shared" si="93"/>
        <v>3.3622971323529161</v>
      </c>
      <c r="Q325" s="31">
        <f t="shared" si="94"/>
        <v>6108.8799999999974</v>
      </c>
      <c r="R325" s="34"/>
      <c r="S325" s="34">
        <f t="shared" si="95"/>
        <v>84346.864999999874</v>
      </c>
      <c r="T325" s="34">
        <f t="shared" si="96"/>
        <v>6891.0837418300553</v>
      </c>
      <c r="U325" s="34">
        <f t="shared" si="102"/>
        <v>13691.083741830054</v>
      </c>
      <c r="V325" s="31">
        <f>H325+S325-SUM(AB$15:AB325)</f>
        <v>143715.24450000006</v>
      </c>
      <c r="W325" s="32">
        <f t="shared" si="97"/>
        <v>10.496995505250631</v>
      </c>
      <c r="X325" s="32">
        <f t="shared" si="98"/>
        <v>1.6192926376035466</v>
      </c>
      <c r="Y325" s="32">
        <f t="shared" si="99"/>
        <v>1.7430044947493695</v>
      </c>
      <c r="Z325" s="38">
        <f t="shared" si="100"/>
        <v>0.4966736109592344</v>
      </c>
      <c r="AA325" s="31">
        <f>SUM(L$2:L325)-SUM(AB$2:AB325)</f>
        <v>18582.066999999955</v>
      </c>
      <c r="AB325" s="176"/>
      <c r="AC325" s="40">
        <f t="shared" si="103"/>
        <v>1867.0088798815216</v>
      </c>
      <c r="AD325" s="40">
        <f t="shared" si="104"/>
        <v>-4932.9911201184786</v>
      </c>
    </row>
    <row r="326" spans="1:30" x14ac:dyDescent="0.25">
      <c r="A326" s="174">
        <v>43124</v>
      </c>
      <c r="B326" s="268" t="s">
        <v>627</v>
      </c>
      <c r="C326" s="46" t="s">
        <v>69</v>
      </c>
      <c r="D326" s="46">
        <v>500</v>
      </c>
      <c r="E326" s="46">
        <v>12.36</v>
      </c>
      <c r="F326" s="102">
        <f t="shared" si="86"/>
        <v>6300</v>
      </c>
      <c r="G326" s="32">
        <f t="shared" si="84"/>
        <v>8.6031046825397102</v>
      </c>
      <c r="H326" s="31">
        <f t="shared" si="87"/>
        <v>54199.559500000178</v>
      </c>
      <c r="I326" s="31">
        <f t="shared" si="88"/>
        <v>23668.440499999822</v>
      </c>
      <c r="J326" s="175">
        <f t="shared" si="89"/>
        <v>0.43669064321454026</v>
      </c>
      <c r="K326" s="31">
        <f t="shared" si="90"/>
        <v>77868</v>
      </c>
      <c r="L326" s="31">
        <f t="shared" si="91"/>
        <v>804.81999999999971</v>
      </c>
      <c r="M326" s="31">
        <f t="shared" si="101"/>
        <v>5</v>
      </c>
      <c r="N326" s="31">
        <f t="shared" si="92"/>
        <v>6.18</v>
      </c>
      <c r="O326" s="125"/>
      <c r="P326" s="32">
        <f t="shared" si="93"/>
        <v>3.7568953174602893</v>
      </c>
      <c r="Q326" s="31">
        <f t="shared" si="94"/>
        <v>6168.82</v>
      </c>
      <c r="R326" s="34"/>
      <c r="S326" s="34">
        <f t="shared" si="95"/>
        <v>90515.684999999881</v>
      </c>
      <c r="T326" s="34">
        <f t="shared" si="96"/>
        <v>7323.2754854368841</v>
      </c>
      <c r="U326" s="34">
        <f t="shared" si="102"/>
        <v>13623.275485436883</v>
      </c>
      <c r="V326" s="31">
        <f>H326+S326-SUM(AB$15:AB326)</f>
        <v>143715.24450000006</v>
      </c>
      <c r="W326" s="32">
        <f t="shared" si="97"/>
        <v>10.549243069600253</v>
      </c>
      <c r="X326" s="32">
        <f t="shared" si="98"/>
        <v>1.9461383870605431</v>
      </c>
      <c r="Y326" s="32">
        <f t="shared" si="99"/>
        <v>1.8107569303997462</v>
      </c>
      <c r="Z326" s="38">
        <f t="shared" si="100"/>
        <v>0.46244385256208198</v>
      </c>
      <c r="AA326" s="31">
        <f>SUM(L$2:L326)-SUM(AB$2:AB326)</f>
        <v>19386.886999999955</v>
      </c>
      <c r="AB326" s="176"/>
      <c r="AC326" s="40">
        <f t="shared" si="103"/>
        <v>1913.9649093648725</v>
      </c>
      <c r="AD326" s="40">
        <f t="shared" si="104"/>
        <v>-4386.0350906351277</v>
      </c>
    </row>
    <row r="327" spans="1:30" x14ac:dyDescent="0.25">
      <c r="A327" s="174">
        <v>43125</v>
      </c>
      <c r="B327" s="159" t="s">
        <v>310</v>
      </c>
      <c r="C327" s="46" t="s">
        <v>63</v>
      </c>
      <c r="D327" s="46">
        <v>400</v>
      </c>
      <c r="E327" s="46">
        <v>12.06</v>
      </c>
      <c r="F327" s="102">
        <f t="shared" si="86"/>
        <v>6700</v>
      </c>
      <c r="G327" s="32">
        <f t="shared" si="84"/>
        <v>8.8102327611940563</v>
      </c>
      <c r="H327" s="31">
        <f t="shared" si="87"/>
        <v>59028.559500000178</v>
      </c>
      <c r="I327" s="31">
        <f t="shared" si="88"/>
        <v>21773.440499999822</v>
      </c>
      <c r="J327" s="175">
        <f t="shared" si="89"/>
        <v>0.36886281292362827</v>
      </c>
      <c r="K327" s="31">
        <f t="shared" si="90"/>
        <v>80802</v>
      </c>
      <c r="L327" s="31">
        <f t="shared" si="91"/>
        <v>-1895</v>
      </c>
      <c r="M327" s="31">
        <f t="shared" si="101"/>
        <v>5</v>
      </c>
      <c r="N327" s="31">
        <f t="shared" si="92"/>
        <v>0</v>
      </c>
      <c r="O327" s="125"/>
      <c r="P327" s="32">
        <f t="shared" si="93"/>
        <v>3.2497672388059442</v>
      </c>
      <c r="Q327" s="31">
        <f t="shared" si="94"/>
        <v>-4829</v>
      </c>
      <c r="R327" s="34"/>
      <c r="S327" s="34">
        <f t="shared" si="95"/>
        <v>85686.684999999881</v>
      </c>
      <c r="T327" s="34">
        <f t="shared" si="96"/>
        <v>7105.0319237147496</v>
      </c>
      <c r="U327" s="34">
        <f t="shared" si="102"/>
        <v>13805.031923714749</v>
      </c>
      <c r="V327" s="31">
        <f>H327+S327-SUM(AB$15:AB327)</f>
        <v>143715.24450000006</v>
      </c>
      <c r="W327" s="32">
        <f t="shared" si="97"/>
        <v>10.41035220303411</v>
      </c>
      <c r="X327" s="32">
        <f t="shared" si="98"/>
        <v>1.6001194418400537</v>
      </c>
      <c r="Y327" s="32">
        <f t="shared" si="99"/>
        <v>1.6496477969658905</v>
      </c>
      <c r="Z327" s="38">
        <f t="shared" si="100"/>
        <v>0.48533027935201761</v>
      </c>
      <c r="AA327" s="31">
        <f>SUM(L$2:L327)-SUM(AB$2:AB327)</f>
        <v>17491.886999999955</v>
      </c>
      <c r="AB327" s="176"/>
      <c r="AC327" s="40">
        <f t="shared" si="103"/>
        <v>1804.5235306591892</v>
      </c>
      <c r="AD327" s="40">
        <f t="shared" si="104"/>
        <v>-4895.4764693408106</v>
      </c>
    </row>
    <row r="328" spans="1:30" x14ac:dyDescent="0.25">
      <c r="A328" s="174">
        <v>43125</v>
      </c>
      <c r="B328" s="159" t="s">
        <v>311</v>
      </c>
      <c r="C328" s="46" t="s">
        <v>63</v>
      </c>
      <c r="D328" s="46">
        <v>400</v>
      </c>
      <c r="E328" s="46">
        <v>11.94</v>
      </c>
      <c r="F328" s="102">
        <f t="shared" si="86"/>
        <v>7100</v>
      </c>
      <c r="G328" s="32">
        <f t="shared" si="84"/>
        <v>8.9872619014084751</v>
      </c>
      <c r="H328" s="31">
        <f t="shared" si="87"/>
        <v>63809.559500000178</v>
      </c>
      <c r="I328" s="31">
        <f t="shared" si="88"/>
        <v>20964.440499999822</v>
      </c>
      <c r="J328" s="175">
        <f t="shared" si="89"/>
        <v>0.32854701810000375</v>
      </c>
      <c r="K328" s="31">
        <f t="shared" si="90"/>
        <v>84774</v>
      </c>
      <c r="L328" s="31">
        <f t="shared" si="91"/>
        <v>-809</v>
      </c>
      <c r="M328" s="31">
        <f t="shared" si="101"/>
        <v>5</v>
      </c>
      <c r="N328" s="31">
        <f t="shared" si="92"/>
        <v>0</v>
      </c>
      <c r="O328" s="125"/>
      <c r="P328" s="32">
        <f t="shared" si="93"/>
        <v>2.9527380985915244</v>
      </c>
      <c r="Q328" s="31">
        <f t="shared" si="94"/>
        <v>-4781</v>
      </c>
      <c r="R328" s="34"/>
      <c r="S328" s="34">
        <f t="shared" si="95"/>
        <v>80905.684999999881</v>
      </c>
      <c r="T328" s="34">
        <f t="shared" si="96"/>
        <v>6776.0205192629719</v>
      </c>
      <c r="U328" s="34">
        <f t="shared" si="102"/>
        <v>13876.020519262973</v>
      </c>
      <c r="V328" s="31">
        <f>H328+S328-SUM(AB$15:AB328)</f>
        <v>143715.24450000006</v>
      </c>
      <c r="W328" s="32">
        <f t="shared" si="97"/>
        <v>10.357093685505268</v>
      </c>
      <c r="X328" s="32">
        <f t="shared" si="98"/>
        <v>1.3698317840967924</v>
      </c>
      <c r="Y328" s="32">
        <f t="shared" si="99"/>
        <v>1.582906314494732</v>
      </c>
      <c r="Z328" s="38">
        <f t="shared" si="100"/>
        <v>0.51167407760341921</v>
      </c>
      <c r="AA328" s="31">
        <f>SUM(L$2:L328)-SUM(AB$2:AB328)</f>
        <v>16682.886999999955</v>
      </c>
      <c r="AB328" s="176"/>
      <c r="AC328" s="40">
        <f t="shared" si="103"/>
        <v>1754.9378793760322</v>
      </c>
      <c r="AD328" s="40">
        <f t="shared" si="104"/>
        <v>-5345.0621206239675</v>
      </c>
    </row>
    <row r="329" spans="1:30" x14ac:dyDescent="0.25">
      <c r="A329" s="174">
        <v>43125</v>
      </c>
      <c r="B329" s="159" t="s">
        <v>312</v>
      </c>
      <c r="C329" s="46" t="s">
        <v>63</v>
      </c>
      <c r="D329" s="46">
        <v>400</v>
      </c>
      <c r="E329" s="46">
        <v>11.85</v>
      </c>
      <c r="F329" s="102">
        <f t="shared" si="86"/>
        <v>7500</v>
      </c>
      <c r="G329" s="32">
        <f t="shared" si="84"/>
        <v>9.1406079333333565</v>
      </c>
      <c r="H329" s="31">
        <f t="shared" si="87"/>
        <v>68554.559500000178</v>
      </c>
      <c r="I329" s="31">
        <f t="shared" si="88"/>
        <v>20320.440499999822</v>
      </c>
      <c r="J329" s="175">
        <f t="shared" si="89"/>
        <v>0.29641267697154078</v>
      </c>
      <c r="K329" s="31">
        <f t="shared" si="90"/>
        <v>88875</v>
      </c>
      <c r="L329" s="31">
        <f t="shared" si="91"/>
        <v>-644</v>
      </c>
      <c r="M329" s="31">
        <f t="shared" si="101"/>
        <v>5</v>
      </c>
      <c r="N329" s="31">
        <f t="shared" si="92"/>
        <v>0</v>
      </c>
      <c r="O329" s="125"/>
      <c r="P329" s="32">
        <f t="shared" si="93"/>
        <v>2.7093920666666431</v>
      </c>
      <c r="Q329" s="31">
        <f t="shared" si="94"/>
        <v>-4745</v>
      </c>
      <c r="R329" s="34"/>
      <c r="S329" s="34">
        <f t="shared" si="95"/>
        <v>76160.684999999881</v>
      </c>
      <c r="T329" s="34">
        <f t="shared" si="96"/>
        <v>6427.0620253164461</v>
      </c>
      <c r="U329" s="34">
        <f t="shared" si="102"/>
        <v>13927.062025316445</v>
      </c>
      <c r="V329" s="31">
        <f>H329+S329-SUM(AB$15:AB329)</f>
        <v>143715.24450000006</v>
      </c>
      <c r="W329" s="32">
        <f t="shared" si="97"/>
        <v>10.319135811900329</v>
      </c>
      <c r="X329" s="32">
        <f t="shared" si="98"/>
        <v>1.1785278785669728</v>
      </c>
      <c r="Y329" s="32">
        <f t="shared" si="99"/>
        <v>1.5308641880996703</v>
      </c>
      <c r="Z329" s="38">
        <f t="shared" si="100"/>
        <v>0.53851989646966392</v>
      </c>
      <c r="AA329" s="31">
        <f>SUM(L$2:L329)-SUM(AB$2:AB329)</f>
        <v>16038.886999999955</v>
      </c>
      <c r="AB329" s="176"/>
      <c r="AC329" s="40">
        <f t="shared" si="103"/>
        <v>1713.9477029324746</v>
      </c>
      <c r="AD329" s="40">
        <f t="shared" si="104"/>
        <v>-5786.0522970675256</v>
      </c>
    </row>
    <row r="330" spans="1:30" x14ac:dyDescent="0.25">
      <c r="A330" s="174">
        <v>43125</v>
      </c>
      <c r="B330" s="159"/>
      <c r="C330" s="46" t="s">
        <v>69</v>
      </c>
      <c r="D330" s="46">
        <v>500</v>
      </c>
      <c r="E330" s="46">
        <v>11.98</v>
      </c>
      <c r="F330" s="102">
        <f t="shared" si="86"/>
        <v>7000</v>
      </c>
      <c r="G330" s="32">
        <f t="shared" si="84"/>
        <v>8.9393642142857388</v>
      </c>
      <c r="H330" s="31">
        <f t="shared" si="87"/>
        <v>62575.549500000176</v>
      </c>
      <c r="I330" s="31">
        <f t="shared" si="88"/>
        <v>21284.450499999824</v>
      </c>
      <c r="J330" s="175">
        <f t="shared" si="89"/>
        <v>0.34014004942936654</v>
      </c>
      <c r="K330" s="31">
        <f t="shared" si="90"/>
        <v>83860</v>
      </c>
      <c r="L330" s="31">
        <f t="shared" si="91"/>
        <v>964.01000000000204</v>
      </c>
      <c r="M330" s="31">
        <f t="shared" si="101"/>
        <v>5</v>
      </c>
      <c r="N330" s="31">
        <f t="shared" si="92"/>
        <v>5.99</v>
      </c>
      <c r="O330" s="125"/>
      <c r="P330" s="32">
        <f t="shared" si="93"/>
        <v>3.0406357857142616</v>
      </c>
      <c r="Q330" s="31">
        <f t="shared" si="94"/>
        <v>5979.010000000002</v>
      </c>
      <c r="R330" s="34"/>
      <c r="S330" s="34">
        <f t="shared" si="95"/>
        <v>82139.694999999891</v>
      </c>
      <c r="T330" s="34">
        <f t="shared" si="96"/>
        <v>6856.4019198664346</v>
      </c>
      <c r="U330" s="34">
        <f t="shared" si="102"/>
        <v>13856.401919866435</v>
      </c>
      <c r="V330" s="31">
        <f>H330+S330-SUM(AB$15:AB330)</f>
        <v>143715.24450000006</v>
      </c>
      <c r="W330" s="32">
        <f t="shared" si="97"/>
        <v>10.371757786121243</v>
      </c>
      <c r="X330" s="32">
        <f t="shared" si="98"/>
        <v>1.4323935718355045</v>
      </c>
      <c r="Y330" s="32">
        <f t="shared" si="99"/>
        <v>1.6082422138787571</v>
      </c>
      <c r="Z330" s="38">
        <f t="shared" si="100"/>
        <v>0.50518165108676882</v>
      </c>
      <c r="AA330" s="31">
        <f>SUM(L$2:L330)-SUM(AB$2:AB330)</f>
        <v>17002.896999999957</v>
      </c>
      <c r="AB330" s="176"/>
      <c r="AC330" s="40">
        <f t="shared" si="103"/>
        <v>1775.7769845367131</v>
      </c>
      <c r="AD330" s="40">
        <f t="shared" si="104"/>
        <v>-5224.2230154632871</v>
      </c>
    </row>
    <row r="331" spans="1:30" x14ac:dyDescent="0.25">
      <c r="A331" s="174">
        <v>43125</v>
      </c>
      <c r="B331" s="159"/>
      <c r="C331" s="46" t="s">
        <v>69</v>
      </c>
      <c r="D331" s="46">
        <v>500</v>
      </c>
      <c r="E331" s="46">
        <v>12.02</v>
      </c>
      <c r="F331" s="102">
        <f t="shared" si="86"/>
        <v>6500</v>
      </c>
      <c r="G331" s="32">
        <f t="shared" ref="G331:G394" si="105">H331/F331</f>
        <v>8.7040860769231045</v>
      </c>
      <c r="H331" s="31">
        <f t="shared" si="87"/>
        <v>56576.559500000178</v>
      </c>
      <c r="I331" s="31">
        <f t="shared" si="88"/>
        <v>21553.440499999822</v>
      </c>
      <c r="J331" s="175">
        <f t="shared" si="89"/>
        <v>0.38096060789980962</v>
      </c>
      <c r="K331" s="31">
        <f t="shared" si="90"/>
        <v>78130</v>
      </c>
      <c r="L331" s="31">
        <f t="shared" si="91"/>
        <v>268.98999999999796</v>
      </c>
      <c r="M331" s="31">
        <f t="shared" ref="M331:M355" si="106">IF(D331*E331*2.5/10000&gt;5,D331*E331*2.5/10000,5)</f>
        <v>5</v>
      </c>
      <c r="N331" s="31">
        <f t="shared" si="92"/>
        <v>6.01</v>
      </c>
      <c r="O331" s="125"/>
      <c r="P331" s="32">
        <f t="shared" si="93"/>
        <v>3.315913923076895</v>
      </c>
      <c r="Q331" s="31">
        <f t="shared" si="94"/>
        <v>5998.989999999998</v>
      </c>
      <c r="R331" s="34"/>
      <c r="S331" s="34">
        <f t="shared" si="95"/>
        <v>88138.684999999881</v>
      </c>
      <c r="T331" s="34">
        <f t="shared" si="96"/>
        <v>7332.6693011647158</v>
      </c>
      <c r="U331" s="34">
        <f t="shared" si="102"/>
        <v>13832.669301164715</v>
      </c>
      <c r="V331" s="31">
        <f>H331+S331-SUM(AB$15:AB331)</f>
        <v>143715.24450000006</v>
      </c>
      <c r="W331" s="32">
        <f t="shared" si="97"/>
        <v>10.389552541959432</v>
      </c>
      <c r="X331" s="32">
        <f t="shared" si="98"/>
        <v>1.6854664650363276</v>
      </c>
      <c r="Y331" s="32">
        <f t="shared" si="99"/>
        <v>1.6304474580405675</v>
      </c>
      <c r="Z331" s="38">
        <f t="shared" si="100"/>
        <v>0.46990207446459364</v>
      </c>
      <c r="AA331" s="31">
        <f>SUM(L$2:L331)-SUM(AB$2:AB331)</f>
        <v>17271.886999999955</v>
      </c>
      <c r="AB331" s="176"/>
      <c r="AC331" s="40">
        <f t="shared" si="103"/>
        <v>1792.2349234400854</v>
      </c>
      <c r="AD331" s="40">
        <f t="shared" si="104"/>
        <v>-4707.7650765599146</v>
      </c>
    </row>
    <row r="332" spans="1:30" x14ac:dyDescent="0.25">
      <c r="A332" s="174">
        <v>43126</v>
      </c>
      <c r="B332" s="159"/>
      <c r="C332" s="46" t="s">
        <v>69</v>
      </c>
      <c r="D332" s="46">
        <v>400</v>
      </c>
      <c r="E332" s="46">
        <v>12.08</v>
      </c>
      <c r="F332" s="102">
        <f t="shared" ref="F332:F395" si="107">IF(C332="买",F331+D332,F331-D332)</f>
        <v>6100</v>
      </c>
      <c r="G332" s="32">
        <f t="shared" si="105"/>
        <v>8.4843264754098655</v>
      </c>
      <c r="H332" s="31">
        <f t="shared" ref="H332:H395" si="108">IF(C332="买",H331+D332*E332+M332+N332,H331+-1*D332*E332+M332+N332)+O331</f>
        <v>51754.39150000018</v>
      </c>
      <c r="I332" s="31">
        <f t="shared" ref="I332:I395" si="109">-H332+K332</f>
        <v>21933.60849999982</v>
      </c>
      <c r="J332" s="175">
        <f t="shared" ref="J332:J395" si="110">(E332-G332)/G332</f>
        <v>0.42380188162389554</v>
      </c>
      <c r="K332" s="31">
        <f t="shared" ref="K332:K395" si="111">F332*E332</f>
        <v>73688</v>
      </c>
      <c r="L332" s="31">
        <f t="shared" ref="L332:L395" si="112">I332-I331</f>
        <v>380.16799999999785</v>
      </c>
      <c r="M332" s="31">
        <f t="shared" si="106"/>
        <v>5</v>
      </c>
      <c r="N332" s="31">
        <f t="shared" ref="N332:N355" si="113">IF(C332="卖",D332*E332/1000,0)</f>
        <v>4.8319999999999999</v>
      </c>
      <c r="O332" s="125"/>
      <c r="P332" s="32">
        <f t="shared" ref="P332:P395" si="114">E332-G332</f>
        <v>3.5956735245901346</v>
      </c>
      <c r="Q332" s="31">
        <f t="shared" ref="Q332:Q395" si="115">(H332-H331)*-1</f>
        <v>4822.1679999999978</v>
      </c>
      <c r="R332" s="34"/>
      <c r="S332" s="34">
        <f t="shared" ref="S332:S385" si="116">S331+Q332+O332+R332</f>
        <v>92960.852999999886</v>
      </c>
      <c r="T332" s="34">
        <f t="shared" ref="T332:T385" si="117">S332/E332</f>
        <v>7695.4348509933679</v>
      </c>
      <c r="U332" s="34">
        <f t="shared" si="102"/>
        <v>13795.434850993368</v>
      </c>
      <c r="V332" s="31">
        <f>H332+S332-SUM(AB$15:AB332)</f>
        <v>143715.24450000006</v>
      </c>
      <c r="W332" s="32">
        <f t="shared" ref="W332:W385" si="118">V332/U332</f>
        <v>10.417594374681967</v>
      </c>
      <c r="X332" s="32">
        <f t="shared" ref="X332:X395" si="119">W332-G332</f>
        <v>1.9332678992721011</v>
      </c>
      <c r="Y332" s="32">
        <f t="shared" ref="Y332:Y395" si="120">(X332-P332)*-1</f>
        <v>1.6624056253180335</v>
      </c>
      <c r="Z332" s="38">
        <f t="shared" ref="Z332:Z395" si="121">F332/U332</f>
        <v>0.44217526057620121</v>
      </c>
      <c r="AA332" s="31">
        <f>SUM(L$2:L332)-SUM(AB$2:AB332)</f>
        <v>17652.054999999953</v>
      </c>
      <c r="AB332" s="176"/>
      <c r="AC332" s="40">
        <f t="shared" si="103"/>
        <v>1814.7882198468394</v>
      </c>
      <c r="AD332" s="40">
        <f t="shared" si="104"/>
        <v>-4285.2117801531604</v>
      </c>
    </row>
    <row r="333" spans="1:30" x14ac:dyDescent="0.25">
      <c r="A333" s="174">
        <v>43126</v>
      </c>
      <c r="B333" s="159"/>
      <c r="C333" s="46" t="s">
        <v>69</v>
      </c>
      <c r="D333" s="46">
        <v>400</v>
      </c>
      <c r="E333" s="46">
        <v>12.15</v>
      </c>
      <c r="F333" s="102">
        <f t="shared" si="107"/>
        <v>5700</v>
      </c>
      <c r="G333" s="32">
        <f t="shared" si="105"/>
        <v>8.2288160526316112</v>
      </c>
      <c r="H333" s="31">
        <f t="shared" si="108"/>
        <v>46904.25150000018</v>
      </c>
      <c r="I333" s="31">
        <f t="shared" si="109"/>
        <v>22350.74849999982</v>
      </c>
      <c r="J333" s="175">
        <f t="shared" si="110"/>
        <v>0.4765186051417904</v>
      </c>
      <c r="K333" s="31">
        <f t="shared" si="111"/>
        <v>69255</v>
      </c>
      <c r="L333" s="31">
        <f t="shared" si="112"/>
        <v>417.13999999999942</v>
      </c>
      <c r="M333" s="31">
        <f t="shared" si="106"/>
        <v>5</v>
      </c>
      <c r="N333" s="31">
        <f t="shared" si="113"/>
        <v>4.8600000000000003</v>
      </c>
      <c r="O333" s="125"/>
      <c r="P333" s="32">
        <f t="shared" si="114"/>
        <v>3.9211839473683892</v>
      </c>
      <c r="Q333" s="31">
        <f t="shared" si="115"/>
        <v>4850.1399999999994</v>
      </c>
      <c r="R333" s="34"/>
      <c r="S333" s="34">
        <f t="shared" si="116"/>
        <v>97810.992999999886</v>
      </c>
      <c r="T333" s="34">
        <f t="shared" si="117"/>
        <v>8050.2874897119245</v>
      </c>
      <c r="U333" s="34">
        <f t="shared" si="102"/>
        <v>13750.287489711925</v>
      </c>
      <c r="V333" s="31">
        <f>H333+S333-SUM(AB$15:AB333)</f>
        <v>143715.24450000006</v>
      </c>
      <c r="W333" s="32">
        <f t="shared" si="118"/>
        <v>10.451799252017745</v>
      </c>
      <c r="X333" s="32">
        <f t="shared" si="119"/>
        <v>2.2229831993861335</v>
      </c>
      <c r="Y333" s="32">
        <f t="shared" si="120"/>
        <v>1.6982007479822556</v>
      </c>
      <c r="Z333" s="38">
        <f t="shared" si="121"/>
        <v>0.41453678726825061</v>
      </c>
      <c r="AA333" s="31">
        <f>SUM(L$2:L333)-SUM(AB$2:AB333)</f>
        <v>18069.194999999952</v>
      </c>
      <c r="AB333" s="176"/>
      <c r="AC333" s="40">
        <f t="shared" si="103"/>
        <v>1838.647993888874</v>
      </c>
      <c r="AD333" s="40">
        <f t="shared" si="104"/>
        <v>-3861.3520061111258</v>
      </c>
    </row>
    <row r="334" spans="1:30" x14ac:dyDescent="0.25">
      <c r="A334" s="174">
        <v>43126</v>
      </c>
      <c r="B334" s="268" t="s">
        <v>627</v>
      </c>
      <c r="C334" s="46" t="s">
        <v>69</v>
      </c>
      <c r="D334" s="46">
        <v>400</v>
      </c>
      <c r="E334" s="46">
        <v>12.21</v>
      </c>
      <c r="F334" s="102">
        <f t="shared" si="107"/>
        <v>5300</v>
      </c>
      <c r="G334" s="32">
        <f t="shared" si="105"/>
        <v>7.9302142452830529</v>
      </c>
      <c r="H334" s="31">
        <f t="shared" si="108"/>
        <v>42030.135500000179</v>
      </c>
      <c r="I334" s="31">
        <f t="shared" si="109"/>
        <v>22682.864499999829</v>
      </c>
      <c r="J334" s="175">
        <f t="shared" si="110"/>
        <v>0.53968097485671274</v>
      </c>
      <c r="K334" s="31">
        <f t="shared" si="111"/>
        <v>64713.000000000007</v>
      </c>
      <c r="L334" s="31">
        <f t="shared" si="112"/>
        <v>332.11600000000908</v>
      </c>
      <c r="M334" s="31">
        <f t="shared" si="106"/>
        <v>5</v>
      </c>
      <c r="N334" s="31">
        <f t="shared" si="113"/>
        <v>4.8840000000000003</v>
      </c>
      <c r="O334" s="125"/>
      <c r="P334" s="32">
        <f t="shared" si="114"/>
        <v>4.279785754716948</v>
      </c>
      <c r="Q334" s="31">
        <f t="shared" si="115"/>
        <v>4874.1160000000018</v>
      </c>
      <c r="R334" s="34"/>
      <c r="S334" s="34">
        <f t="shared" si="116"/>
        <v>102685.10899999988</v>
      </c>
      <c r="T334" s="34">
        <f t="shared" si="117"/>
        <v>8409.9188370188258</v>
      </c>
      <c r="U334" s="34">
        <f t="shared" si="102"/>
        <v>13709.918837018826</v>
      </c>
      <c r="V334" s="31">
        <f>H334+S334-SUM(AB$15:AB334)</f>
        <v>143715.24450000006</v>
      </c>
      <c r="W334" s="32">
        <f t="shared" si="118"/>
        <v>10.482574419911769</v>
      </c>
      <c r="X334" s="32">
        <f t="shared" si="119"/>
        <v>2.5523601746287161</v>
      </c>
      <c r="Y334" s="32">
        <f t="shared" si="120"/>
        <v>1.7274255800882319</v>
      </c>
      <c r="Z334" s="38">
        <f t="shared" si="121"/>
        <v>0.38658142787025185</v>
      </c>
      <c r="AA334" s="31">
        <f>SUM(L$2:L334)-SUM(AB$2:AB334)</f>
        <v>18401.310999999961</v>
      </c>
      <c r="AB334" s="176"/>
      <c r="AC334" s="40">
        <f t="shared" si="103"/>
        <v>1856.799596048307</v>
      </c>
      <c r="AD334" s="40">
        <f t="shared" si="104"/>
        <v>-3443.2004039516933</v>
      </c>
    </row>
    <row r="335" spans="1:30" x14ac:dyDescent="0.25">
      <c r="A335" s="174">
        <v>43126</v>
      </c>
      <c r="B335" s="159"/>
      <c r="C335" s="46" t="s">
        <v>69</v>
      </c>
      <c r="D335" s="46">
        <v>400</v>
      </c>
      <c r="E335" s="46">
        <v>12.33</v>
      </c>
      <c r="F335" s="102">
        <f t="shared" si="107"/>
        <v>4900</v>
      </c>
      <c r="G335" s="32">
        <f t="shared" si="105"/>
        <v>7.5730750000000366</v>
      </c>
      <c r="H335" s="31">
        <f t="shared" si="108"/>
        <v>37108.067500000179</v>
      </c>
      <c r="I335" s="31">
        <f t="shared" si="109"/>
        <v>23308.932499999821</v>
      </c>
      <c r="J335" s="175">
        <f t="shared" si="110"/>
        <v>0.62813652314283697</v>
      </c>
      <c r="K335" s="31">
        <f t="shared" si="111"/>
        <v>60417</v>
      </c>
      <c r="L335" s="31">
        <f t="shared" si="112"/>
        <v>626.06799999999203</v>
      </c>
      <c r="M335" s="31">
        <f t="shared" si="106"/>
        <v>5</v>
      </c>
      <c r="N335" s="31">
        <f t="shared" si="113"/>
        <v>4.9320000000000004</v>
      </c>
      <c r="O335" s="125"/>
      <c r="P335" s="32">
        <f t="shared" si="114"/>
        <v>4.7569249999999634</v>
      </c>
      <c r="Q335" s="31">
        <f t="shared" si="115"/>
        <v>4922.0679999999993</v>
      </c>
      <c r="R335" s="34"/>
      <c r="S335" s="34">
        <f t="shared" si="116"/>
        <v>107607.17699999988</v>
      </c>
      <c r="T335" s="34">
        <f t="shared" si="117"/>
        <v>8727.2649635036396</v>
      </c>
      <c r="U335" s="34">
        <f t="shared" si="102"/>
        <v>13627.26496350364</v>
      </c>
      <c r="V335" s="31">
        <f>H335+S335-SUM(AB$15:AB335)</f>
        <v>143715.24450000006</v>
      </c>
      <c r="W335" s="32">
        <f t="shared" si="118"/>
        <v>10.546154704182852</v>
      </c>
      <c r="X335" s="32">
        <f t="shared" si="119"/>
        <v>2.9730797041828154</v>
      </c>
      <c r="Y335" s="32">
        <f t="shared" si="120"/>
        <v>1.783845295817148</v>
      </c>
      <c r="Z335" s="38">
        <f t="shared" si="121"/>
        <v>0.35957325355624292</v>
      </c>
      <c r="AA335" s="31">
        <f>SUM(L$2:L335)-SUM(AB$2:AB335)</f>
        <v>19027.378999999954</v>
      </c>
      <c r="AB335" s="176"/>
      <c r="AC335" s="40">
        <f t="shared" si="103"/>
        <v>1889.4791592660035</v>
      </c>
      <c r="AD335" s="40">
        <f t="shared" si="104"/>
        <v>-3010.5208407339965</v>
      </c>
    </row>
    <row r="336" spans="1:30" x14ac:dyDescent="0.25">
      <c r="A336" s="174">
        <v>43129</v>
      </c>
      <c r="B336" s="159"/>
      <c r="C336" s="46" t="s">
        <v>69</v>
      </c>
      <c r="D336" s="46">
        <v>400</v>
      </c>
      <c r="E336" s="46">
        <v>12.37</v>
      </c>
      <c r="F336" s="102">
        <f t="shared" si="107"/>
        <v>4500</v>
      </c>
      <c r="G336" s="32">
        <f t="shared" si="105"/>
        <v>7.1488923333333734</v>
      </c>
      <c r="H336" s="31">
        <f t="shared" si="108"/>
        <v>32170.01550000018</v>
      </c>
      <c r="I336" s="31">
        <f t="shared" si="109"/>
        <v>23494.98449999982</v>
      </c>
      <c r="J336" s="175">
        <f t="shared" si="110"/>
        <v>0.73033799128880383</v>
      </c>
      <c r="K336" s="31">
        <f t="shared" si="111"/>
        <v>55665</v>
      </c>
      <c r="L336" s="31">
        <f t="shared" si="112"/>
        <v>186.05199999999968</v>
      </c>
      <c r="M336" s="31">
        <f t="shared" si="106"/>
        <v>5</v>
      </c>
      <c r="N336" s="31">
        <f t="shared" si="113"/>
        <v>4.9480000000000004</v>
      </c>
      <c r="O336" s="125"/>
      <c r="P336" s="32">
        <f t="shared" si="114"/>
        <v>5.2211076666666258</v>
      </c>
      <c r="Q336" s="31">
        <f t="shared" si="115"/>
        <v>4938.0519999999997</v>
      </c>
      <c r="R336" s="34"/>
      <c r="S336" s="34">
        <f t="shared" si="116"/>
        <v>112545.22899999988</v>
      </c>
      <c r="T336" s="34">
        <f t="shared" si="117"/>
        <v>9098.2400161681398</v>
      </c>
      <c r="U336" s="34">
        <f t="shared" si="102"/>
        <v>13598.24001616814</v>
      </c>
      <c r="V336" s="31">
        <f>H336+S336-SUM(AB$15:AB336)</f>
        <v>143715.24450000006</v>
      </c>
      <c r="W336" s="32">
        <f t="shared" si="118"/>
        <v>10.56866508674096</v>
      </c>
      <c r="X336" s="32">
        <f t="shared" si="119"/>
        <v>3.419772753407587</v>
      </c>
      <c r="Y336" s="32">
        <f t="shared" si="120"/>
        <v>1.8013349132590388</v>
      </c>
      <c r="Z336" s="38">
        <f t="shared" si="121"/>
        <v>0.33092517815905259</v>
      </c>
      <c r="AA336" s="31">
        <f>SUM(L$2:L336)-SUM(AB$2:AB336)</f>
        <v>19213.430999999953</v>
      </c>
      <c r="AB336" s="176"/>
      <c r="AC336" s="40">
        <f t="shared" si="103"/>
        <v>1898.4023450080699</v>
      </c>
      <c r="AD336" s="40">
        <f t="shared" si="104"/>
        <v>-2601.5976549919301</v>
      </c>
    </row>
    <row r="337" spans="1:30" x14ac:dyDescent="0.25">
      <c r="A337" s="174">
        <v>43129</v>
      </c>
      <c r="B337" s="159" t="s">
        <v>313</v>
      </c>
      <c r="C337" s="46" t="s">
        <v>63</v>
      </c>
      <c r="D337" s="46">
        <v>400</v>
      </c>
      <c r="E337" s="46">
        <v>12.24</v>
      </c>
      <c r="F337" s="102">
        <f t="shared" si="107"/>
        <v>4900</v>
      </c>
      <c r="G337" s="32">
        <f t="shared" si="105"/>
        <v>7.5655133673469761</v>
      </c>
      <c r="H337" s="31">
        <f t="shared" si="108"/>
        <v>37071.015500000183</v>
      </c>
      <c r="I337" s="31">
        <f t="shared" si="109"/>
        <v>22904.984499999817</v>
      </c>
      <c r="J337" s="175">
        <f t="shared" si="110"/>
        <v>0.61786773820640828</v>
      </c>
      <c r="K337" s="31">
        <f t="shared" si="111"/>
        <v>59976</v>
      </c>
      <c r="L337" s="31">
        <f t="shared" si="112"/>
        <v>-590.00000000000364</v>
      </c>
      <c r="M337" s="31">
        <f t="shared" si="106"/>
        <v>5</v>
      </c>
      <c r="N337" s="31">
        <f t="shared" si="113"/>
        <v>0</v>
      </c>
      <c r="O337" s="125"/>
      <c r="P337" s="32">
        <f t="shared" si="114"/>
        <v>4.6744866326530241</v>
      </c>
      <c r="Q337" s="31">
        <f t="shared" si="115"/>
        <v>-4901.0000000000036</v>
      </c>
      <c r="R337" s="34"/>
      <c r="S337" s="34">
        <f t="shared" si="116"/>
        <v>107644.22899999988</v>
      </c>
      <c r="T337" s="34">
        <f t="shared" si="117"/>
        <v>8794.463153594761</v>
      </c>
      <c r="U337" s="34">
        <f t="shared" si="102"/>
        <v>13694.463153594761</v>
      </c>
      <c r="V337" s="31">
        <f>H337+S337-SUM(AB$15:AB337)</f>
        <v>143715.24450000006</v>
      </c>
      <c r="W337" s="32">
        <f t="shared" si="118"/>
        <v>10.494405139370153</v>
      </c>
      <c r="X337" s="32">
        <f t="shared" si="119"/>
        <v>2.9288917720231771</v>
      </c>
      <c r="Y337" s="32">
        <f t="shared" si="120"/>
        <v>1.745594860629847</v>
      </c>
      <c r="Z337" s="38">
        <f t="shared" si="121"/>
        <v>0.35780884179558092</v>
      </c>
      <c r="AA337" s="31">
        <f>SUM(L$2:L337)-SUM(AB$2:AB337)</f>
        <v>18623.43099999995</v>
      </c>
      <c r="AB337" s="176"/>
      <c r="AC337" s="40">
        <f t="shared" si="103"/>
        <v>1870.3866019403445</v>
      </c>
      <c r="AD337" s="40">
        <f t="shared" si="104"/>
        <v>-3029.6133980596555</v>
      </c>
    </row>
    <row r="338" spans="1:30" x14ac:dyDescent="0.25">
      <c r="A338" s="174">
        <v>43129</v>
      </c>
      <c r="B338" s="159" t="s">
        <v>314</v>
      </c>
      <c r="C338" s="46" t="s">
        <v>63</v>
      </c>
      <c r="D338" s="46">
        <v>400</v>
      </c>
      <c r="E338" s="46">
        <v>12.18</v>
      </c>
      <c r="F338" s="102">
        <f t="shared" si="107"/>
        <v>5300</v>
      </c>
      <c r="G338" s="32">
        <f t="shared" si="105"/>
        <v>7.9147199056604123</v>
      </c>
      <c r="H338" s="31">
        <f t="shared" si="108"/>
        <v>41948.015500000183</v>
      </c>
      <c r="I338" s="31">
        <f t="shared" si="109"/>
        <v>22605.984499999817</v>
      </c>
      <c r="J338" s="175">
        <f t="shared" si="110"/>
        <v>0.5389047427046868</v>
      </c>
      <c r="K338" s="31">
        <f t="shared" si="111"/>
        <v>64554</v>
      </c>
      <c r="L338" s="31">
        <f t="shared" si="112"/>
        <v>-299</v>
      </c>
      <c r="M338" s="31">
        <f t="shared" si="106"/>
        <v>5</v>
      </c>
      <c r="N338" s="31">
        <f t="shared" si="113"/>
        <v>0</v>
      </c>
      <c r="O338" s="125"/>
      <c r="P338" s="32">
        <f t="shared" si="114"/>
        <v>4.2652800943395874</v>
      </c>
      <c r="Q338" s="31">
        <f t="shared" si="115"/>
        <v>-4877</v>
      </c>
      <c r="R338" s="34"/>
      <c r="S338" s="34">
        <f t="shared" si="116"/>
        <v>102767.22899999988</v>
      </c>
      <c r="T338" s="34">
        <f t="shared" si="117"/>
        <v>8437.3751231526985</v>
      </c>
      <c r="U338" s="34">
        <f t="shared" si="102"/>
        <v>13737.375123152699</v>
      </c>
      <c r="V338" s="31">
        <f>H338+S338-SUM(AB$15:AB338)</f>
        <v>143715.24450000006</v>
      </c>
      <c r="W338" s="32">
        <f t="shared" si="118"/>
        <v>10.461623360476285</v>
      </c>
      <c r="X338" s="32">
        <f t="shared" si="119"/>
        <v>2.5469034548158724</v>
      </c>
      <c r="Y338" s="32">
        <f t="shared" si="120"/>
        <v>1.718376639523715</v>
      </c>
      <c r="Z338" s="38">
        <f t="shared" si="121"/>
        <v>0.38580878461035001</v>
      </c>
      <c r="AA338" s="31">
        <f>SUM(L$2:L338)-SUM(AB$2:AB338)</f>
        <v>18324.43099999995</v>
      </c>
      <c r="AB338" s="176"/>
      <c r="AC338" s="40">
        <f t="shared" si="103"/>
        <v>1855.0641631978503</v>
      </c>
      <c r="AD338" s="40">
        <f t="shared" si="104"/>
        <v>-3444.9358368021494</v>
      </c>
    </row>
    <row r="339" spans="1:30" x14ac:dyDescent="0.25">
      <c r="A339" s="174">
        <v>43129</v>
      </c>
      <c r="B339" s="268" t="s">
        <v>627</v>
      </c>
      <c r="C339" s="46" t="s">
        <v>69</v>
      </c>
      <c r="D339" s="46">
        <v>400</v>
      </c>
      <c r="E339" s="46">
        <v>12.3</v>
      </c>
      <c r="F339" s="102">
        <f t="shared" si="107"/>
        <v>4900</v>
      </c>
      <c r="G339" s="32">
        <f t="shared" si="105"/>
        <v>7.5587623469388125</v>
      </c>
      <c r="H339" s="31">
        <f t="shared" si="108"/>
        <v>37037.935500000181</v>
      </c>
      <c r="I339" s="31">
        <f t="shared" si="109"/>
        <v>23232.064499999819</v>
      </c>
      <c r="J339" s="175">
        <f t="shared" si="110"/>
        <v>0.62725052534312309</v>
      </c>
      <c r="K339" s="31">
        <f t="shared" si="111"/>
        <v>60270</v>
      </c>
      <c r="L339" s="31">
        <f t="shared" si="112"/>
        <v>626.08000000000175</v>
      </c>
      <c r="M339" s="31">
        <f t="shared" si="106"/>
        <v>5</v>
      </c>
      <c r="N339" s="31">
        <f t="shared" si="113"/>
        <v>4.92</v>
      </c>
      <c r="O339" s="125"/>
      <c r="P339" s="32">
        <f t="shared" si="114"/>
        <v>4.7412376530611882</v>
      </c>
      <c r="Q339" s="31">
        <f t="shared" si="115"/>
        <v>4910.0800000000017</v>
      </c>
      <c r="R339" s="34"/>
      <c r="S339" s="34">
        <f t="shared" si="116"/>
        <v>107677.30899999988</v>
      </c>
      <c r="T339" s="34">
        <f t="shared" si="117"/>
        <v>8754.2527642276309</v>
      </c>
      <c r="U339" s="34">
        <f t="shared" si="102"/>
        <v>13654.252764227631</v>
      </c>
      <c r="V339" s="31">
        <f>H339+S339-SUM(AB$15:AB339)</f>
        <v>143715.24450000006</v>
      </c>
      <c r="W339" s="32">
        <f t="shared" si="118"/>
        <v>10.525310098002238</v>
      </c>
      <c r="X339" s="32">
        <f t="shared" si="119"/>
        <v>2.9665477510634259</v>
      </c>
      <c r="Y339" s="32">
        <f t="shared" si="120"/>
        <v>1.7746899019977622</v>
      </c>
      <c r="Z339" s="38">
        <f t="shared" si="121"/>
        <v>0.35886255254021399</v>
      </c>
      <c r="AA339" s="31">
        <f>SUM(L$2:L339)-SUM(AB$2:AB339)</f>
        <v>18950.510999999951</v>
      </c>
      <c r="AB339" s="176"/>
      <c r="AC339" s="40">
        <f t="shared" si="103"/>
        <v>1887.8413388414485</v>
      </c>
      <c r="AD339" s="40">
        <f t="shared" si="104"/>
        <v>-3012.1586611585517</v>
      </c>
    </row>
    <row r="340" spans="1:30" x14ac:dyDescent="0.25">
      <c r="A340" s="174">
        <v>43129</v>
      </c>
      <c r="B340" s="159" t="s">
        <v>315</v>
      </c>
      <c r="C340" s="46" t="s">
        <v>63</v>
      </c>
      <c r="D340" s="46">
        <v>400</v>
      </c>
      <c r="E340" s="46">
        <v>12.1</v>
      </c>
      <c r="F340" s="102">
        <f t="shared" si="107"/>
        <v>5300</v>
      </c>
      <c r="G340" s="32">
        <f t="shared" si="105"/>
        <v>7.9024406603773931</v>
      </c>
      <c r="H340" s="31">
        <f t="shared" si="108"/>
        <v>41882.935500000181</v>
      </c>
      <c r="I340" s="31">
        <f t="shared" si="109"/>
        <v>22247.064499999819</v>
      </c>
      <c r="J340" s="175">
        <f t="shared" si="110"/>
        <v>0.53117252251814384</v>
      </c>
      <c r="K340" s="31">
        <f t="shared" si="111"/>
        <v>64130</v>
      </c>
      <c r="L340" s="31">
        <f t="shared" si="112"/>
        <v>-985</v>
      </c>
      <c r="M340" s="31">
        <f t="shared" si="106"/>
        <v>5</v>
      </c>
      <c r="N340" s="31">
        <f t="shared" si="113"/>
        <v>0</v>
      </c>
      <c r="O340" s="125"/>
      <c r="P340" s="32">
        <f t="shared" si="114"/>
        <v>4.1975593396226065</v>
      </c>
      <c r="Q340" s="31">
        <f t="shared" si="115"/>
        <v>-4845</v>
      </c>
      <c r="R340" s="34"/>
      <c r="S340" s="34">
        <f t="shared" si="116"/>
        <v>102832.30899999988</v>
      </c>
      <c r="T340" s="34">
        <f t="shared" si="117"/>
        <v>8498.5379338842868</v>
      </c>
      <c r="U340" s="34">
        <f t="shared" si="102"/>
        <v>13798.537933884287</v>
      </c>
      <c r="V340" s="31">
        <f>H340+S340-SUM(AB$15:AB340)</f>
        <v>143715.24450000006</v>
      </c>
      <c r="W340" s="32">
        <f t="shared" si="118"/>
        <v>10.415251614961806</v>
      </c>
      <c r="X340" s="32">
        <f t="shared" si="119"/>
        <v>2.5128109545844124</v>
      </c>
      <c r="Y340" s="32">
        <f t="shared" si="120"/>
        <v>1.6847483850381941</v>
      </c>
      <c r="Z340" s="38">
        <f t="shared" si="121"/>
        <v>0.38409866504661272</v>
      </c>
      <c r="AA340" s="31">
        <f>SUM(L$2:L340)-SUM(AB$2:AB340)</f>
        <v>17965.510999999951</v>
      </c>
      <c r="AB340" s="176"/>
      <c r="AC340" s="40">
        <f t="shared" si="103"/>
        <v>1837.6810717148612</v>
      </c>
      <c r="AD340" s="40">
        <f t="shared" si="104"/>
        <v>-3462.318928285139</v>
      </c>
    </row>
    <row r="341" spans="1:30" x14ac:dyDescent="0.25">
      <c r="A341" s="174">
        <v>43129</v>
      </c>
      <c r="B341" s="159" t="s">
        <v>316</v>
      </c>
      <c r="C341" s="46" t="s">
        <v>63</v>
      </c>
      <c r="D341" s="46">
        <v>400</v>
      </c>
      <c r="E341" s="46">
        <v>11.97</v>
      </c>
      <c r="F341" s="102">
        <f t="shared" si="107"/>
        <v>5700</v>
      </c>
      <c r="G341" s="32">
        <f t="shared" si="105"/>
        <v>8.1887606140351199</v>
      </c>
      <c r="H341" s="31">
        <f t="shared" si="108"/>
        <v>46675.935500000181</v>
      </c>
      <c r="I341" s="31">
        <f t="shared" si="109"/>
        <v>21553.064499999819</v>
      </c>
      <c r="J341" s="175">
        <f t="shared" si="110"/>
        <v>0.46175966842699351</v>
      </c>
      <c r="K341" s="31">
        <f t="shared" si="111"/>
        <v>68229</v>
      </c>
      <c r="L341" s="31">
        <f t="shared" si="112"/>
        <v>-694</v>
      </c>
      <c r="M341" s="31">
        <f t="shared" si="106"/>
        <v>5</v>
      </c>
      <c r="N341" s="31">
        <f t="shared" si="113"/>
        <v>0</v>
      </c>
      <c r="O341" s="125"/>
      <c r="P341" s="32">
        <f t="shared" si="114"/>
        <v>3.7812393859648807</v>
      </c>
      <c r="Q341" s="31">
        <f t="shared" si="115"/>
        <v>-4793</v>
      </c>
      <c r="R341" s="34"/>
      <c r="S341" s="34">
        <f t="shared" si="116"/>
        <v>98039.308999999877</v>
      </c>
      <c r="T341" s="34">
        <f t="shared" si="117"/>
        <v>8190.4184628237153</v>
      </c>
      <c r="U341" s="34">
        <f t="shared" si="102"/>
        <v>13890.418462823716</v>
      </c>
      <c r="V341" s="31">
        <f>H341+S341-SUM(AB$15:AB341)</f>
        <v>143715.24450000006</v>
      </c>
      <c r="W341" s="32">
        <f t="shared" si="118"/>
        <v>10.346358166576421</v>
      </c>
      <c r="X341" s="32">
        <f t="shared" si="119"/>
        <v>2.1575975525413007</v>
      </c>
      <c r="Y341" s="32">
        <f t="shared" si="120"/>
        <v>1.62364183342358</v>
      </c>
      <c r="Z341" s="38">
        <f t="shared" si="121"/>
        <v>0.41035480790268969</v>
      </c>
      <c r="AA341" s="31">
        <f>SUM(L$2:L341)-SUM(AB$2:AB341)</f>
        <v>17271.510999999951</v>
      </c>
      <c r="AB341" s="176"/>
      <c r="AC341" s="40">
        <f t="shared" si="103"/>
        <v>1799.6898887009038</v>
      </c>
      <c r="AD341" s="40">
        <f t="shared" si="104"/>
        <v>-3900.3101112990962</v>
      </c>
    </row>
    <row r="342" spans="1:30" x14ac:dyDescent="0.25">
      <c r="A342" s="174">
        <v>43130</v>
      </c>
      <c r="B342" s="159"/>
      <c r="C342" s="46" t="s">
        <v>69</v>
      </c>
      <c r="D342" s="46">
        <v>500</v>
      </c>
      <c r="E342" s="46">
        <v>12.26</v>
      </c>
      <c r="F342" s="102">
        <f t="shared" si="107"/>
        <v>5200</v>
      </c>
      <c r="G342" s="32">
        <f t="shared" si="105"/>
        <v>7.7994356730769576</v>
      </c>
      <c r="H342" s="31">
        <f t="shared" si="108"/>
        <v>40557.065500000179</v>
      </c>
      <c r="I342" s="31">
        <f t="shared" si="109"/>
        <v>23194.934499999821</v>
      </c>
      <c r="J342" s="175">
        <f t="shared" si="110"/>
        <v>0.57190859876190292</v>
      </c>
      <c r="K342" s="31">
        <f t="shared" si="111"/>
        <v>63752</v>
      </c>
      <c r="L342" s="31">
        <f t="shared" si="112"/>
        <v>1641.8700000000026</v>
      </c>
      <c r="M342" s="31">
        <f t="shared" si="106"/>
        <v>5</v>
      </c>
      <c r="N342" s="31">
        <f t="shared" si="113"/>
        <v>6.13</v>
      </c>
      <c r="O342" s="125"/>
      <c r="P342" s="32">
        <f t="shared" si="114"/>
        <v>4.4605643269230422</v>
      </c>
      <c r="Q342" s="31">
        <f t="shared" si="115"/>
        <v>6118.8700000000026</v>
      </c>
      <c r="R342" s="34"/>
      <c r="S342" s="34">
        <f t="shared" si="116"/>
        <v>104158.17899999989</v>
      </c>
      <c r="T342" s="34">
        <f t="shared" si="117"/>
        <v>8495.77316476345</v>
      </c>
      <c r="U342" s="34">
        <f t="shared" si="102"/>
        <v>13695.77316476345</v>
      </c>
      <c r="V342" s="31">
        <f>H342+S342-SUM(AB$15:AB342)</f>
        <v>143715.24450000006</v>
      </c>
      <c r="W342" s="32">
        <f t="shared" si="118"/>
        <v>10.493401341499384</v>
      </c>
      <c r="X342" s="32">
        <f t="shared" si="119"/>
        <v>2.6939656684224262</v>
      </c>
      <c r="Y342" s="32">
        <f t="shared" si="120"/>
        <v>1.7665986585006159</v>
      </c>
      <c r="Z342" s="38">
        <f t="shared" si="121"/>
        <v>0.37967918550071966</v>
      </c>
      <c r="AA342" s="31">
        <f>SUM(L$2:L342)-SUM(AB$2:AB342)</f>
        <v>18913.380999999954</v>
      </c>
      <c r="AB342" s="176"/>
      <c r="AC342" s="40">
        <f t="shared" si="103"/>
        <v>1890.9736568311437</v>
      </c>
      <c r="AD342" s="40">
        <f t="shared" si="104"/>
        <v>-3309.0263431688563</v>
      </c>
    </row>
    <row r="343" spans="1:30" x14ac:dyDescent="0.25">
      <c r="A343" s="174">
        <v>43130</v>
      </c>
      <c r="B343" s="159" t="s">
        <v>317</v>
      </c>
      <c r="C343" s="46" t="s">
        <v>63</v>
      </c>
      <c r="D343" s="46">
        <v>400</v>
      </c>
      <c r="E343" s="46">
        <v>11.99</v>
      </c>
      <c r="F343" s="102">
        <f t="shared" si="107"/>
        <v>5600</v>
      </c>
      <c r="G343" s="32">
        <f t="shared" si="105"/>
        <v>8.0996545535714599</v>
      </c>
      <c r="H343" s="31">
        <f t="shared" si="108"/>
        <v>45358.065500000179</v>
      </c>
      <c r="I343" s="31">
        <f t="shared" si="109"/>
        <v>21785.934499999821</v>
      </c>
      <c r="J343" s="175">
        <f t="shared" si="110"/>
        <v>0.48031004540966898</v>
      </c>
      <c r="K343" s="31">
        <f t="shared" si="111"/>
        <v>67144</v>
      </c>
      <c r="L343" s="31">
        <f t="shared" si="112"/>
        <v>-1409</v>
      </c>
      <c r="M343" s="31">
        <f t="shared" si="106"/>
        <v>5</v>
      </c>
      <c r="N343" s="31">
        <f t="shared" si="113"/>
        <v>0</v>
      </c>
      <c r="O343" s="125"/>
      <c r="P343" s="32">
        <f t="shared" si="114"/>
        <v>3.8903454464285403</v>
      </c>
      <c r="Q343" s="31">
        <f t="shared" si="115"/>
        <v>-4801</v>
      </c>
      <c r="R343" s="34"/>
      <c r="S343" s="34">
        <f t="shared" si="116"/>
        <v>99357.178999999887</v>
      </c>
      <c r="T343" s="34">
        <f t="shared" si="117"/>
        <v>8286.6704753961531</v>
      </c>
      <c r="U343" s="34">
        <f t="shared" si="102"/>
        <v>13886.670475396153</v>
      </c>
      <c r="V343" s="31">
        <f>H343+S343-SUM(AB$15:AB343)</f>
        <v>143715.24450000006</v>
      </c>
      <c r="W343" s="32">
        <f t="shared" si="118"/>
        <v>10.349150630068523</v>
      </c>
      <c r="X343" s="32">
        <f t="shared" si="119"/>
        <v>2.2494960764970635</v>
      </c>
      <c r="Y343" s="32">
        <f t="shared" si="120"/>
        <v>1.6408493699314768</v>
      </c>
      <c r="Z343" s="38">
        <f t="shared" si="121"/>
        <v>0.40326441171927108</v>
      </c>
      <c r="AA343" s="31">
        <f>SUM(L$2:L343)-SUM(AB$2:AB343)</f>
        <v>17504.380999999954</v>
      </c>
      <c r="AB343" s="176"/>
      <c r="AC343" s="40">
        <f t="shared" si="103"/>
        <v>1816.1002112385172</v>
      </c>
      <c r="AD343" s="40">
        <f t="shared" si="104"/>
        <v>-3783.8997887614828</v>
      </c>
    </row>
    <row r="344" spans="1:30" x14ac:dyDescent="0.25">
      <c r="A344" s="174">
        <v>43130</v>
      </c>
      <c r="B344" s="159" t="s">
        <v>318</v>
      </c>
      <c r="C344" s="46" t="s">
        <v>63</v>
      </c>
      <c r="D344" s="46">
        <v>400</v>
      </c>
      <c r="E344" s="46">
        <v>11.89</v>
      </c>
      <c r="F344" s="102">
        <f t="shared" si="107"/>
        <v>6000</v>
      </c>
      <c r="G344" s="32">
        <f t="shared" si="105"/>
        <v>8.3531775833333626</v>
      </c>
      <c r="H344" s="31">
        <f t="shared" si="108"/>
        <v>50119.065500000179</v>
      </c>
      <c r="I344" s="31">
        <f t="shared" si="109"/>
        <v>21220.934499999821</v>
      </c>
      <c r="J344" s="175">
        <f t="shared" si="110"/>
        <v>0.42341041853623057</v>
      </c>
      <c r="K344" s="31">
        <f t="shared" si="111"/>
        <v>71340</v>
      </c>
      <c r="L344" s="31">
        <f t="shared" si="112"/>
        <v>-565</v>
      </c>
      <c r="M344" s="31">
        <f t="shared" si="106"/>
        <v>5</v>
      </c>
      <c r="N344" s="31">
        <f t="shared" si="113"/>
        <v>0</v>
      </c>
      <c r="O344" s="125"/>
      <c r="P344" s="32">
        <f t="shared" si="114"/>
        <v>3.536822416666638</v>
      </c>
      <c r="Q344" s="31">
        <f t="shared" si="115"/>
        <v>-4761</v>
      </c>
      <c r="R344" s="34"/>
      <c r="S344" s="34">
        <f t="shared" si="116"/>
        <v>94596.178999999887</v>
      </c>
      <c r="T344" s="34">
        <f t="shared" si="117"/>
        <v>7955.9444070647505</v>
      </c>
      <c r="U344" s="34">
        <f t="shared" si="102"/>
        <v>13955.944407064751</v>
      </c>
      <c r="V344" s="31">
        <f>H344+S344-SUM(AB$15:AB344)</f>
        <v>143715.24450000006</v>
      </c>
      <c r="W344" s="32">
        <f t="shared" si="118"/>
        <v>10.297779950115652</v>
      </c>
      <c r="X344" s="32">
        <f t="shared" si="119"/>
        <v>1.9446023667822896</v>
      </c>
      <c r="Y344" s="32">
        <f t="shared" si="120"/>
        <v>1.5922200498843484</v>
      </c>
      <c r="Z344" s="38">
        <f t="shared" si="121"/>
        <v>0.42992432650868767</v>
      </c>
      <c r="AA344" s="31">
        <f>SUM(L$2:L344)-SUM(AB$2:AB344)</f>
        <v>16939.380999999954</v>
      </c>
      <c r="AB344" s="176"/>
      <c r="AC344" s="40">
        <f t="shared" si="103"/>
        <v>1783.8792289949388</v>
      </c>
      <c r="AD344" s="40">
        <f t="shared" si="104"/>
        <v>-4216.1207710050612</v>
      </c>
    </row>
    <row r="345" spans="1:30" x14ac:dyDescent="0.25">
      <c r="A345" s="174">
        <v>43130</v>
      </c>
      <c r="B345" s="159" t="s">
        <v>319</v>
      </c>
      <c r="C345" s="46" t="s">
        <v>63</v>
      </c>
      <c r="D345" s="46">
        <v>400</v>
      </c>
      <c r="E345" s="46">
        <v>11.69</v>
      </c>
      <c r="F345" s="102">
        <f t="shared" si="107"/>
        <v>6400</v>
      </c>
      <c r="G345" s="32">
        <f t="shared" si="105"/>
        <v>8.5625102343750275</v>
      </c>
      <c r="H345" s="31">
        <f t="shared" si="108"/>
        <v>54800.065500000179</v>
      </c>
      <c r="I345" s="31">
        <f t="shared" si="109"/>
        <v>20015.934499999821</v>
      </c>
      <c r="J345" s="175">
        <f t="shared" si="110"/>
        <v>0.36525384262542088</v>
      </c>
      <c r="K345" s="31">
        <f t="shared" si="111"/>
        <v>74816</v>
      </c>
      <c r="L345" s="31">
        <f t="shared" si="112"/>
        <v>-1205</v>
      </c>
      <c r="M345" s="31">
        <f t="shared" si="106"/>
        <v>5</v>
      </c>
      <c r="N345" s="31">
        <f t="shared" si="113"/>
        <v>0</v>
      </c>
      <c r="O345" s="125"/>
      <c r="P345" s="32">
        <f t="shared" si="114"/>
        <v>3.1274897656249721</v>
      </c>
      <c r="Q345" s="31">
        <f t="shared" si="115"/>
        <v>-4681</v>
      </c>
      <c r="R345" s="34"/>
      <c r="S345" s="34">
        <f t="shared" si="116"/>
        <v>89915.178999999887</v>
      </c>
      <c r="T345" s="34">
        <f t="shared" si="117"/>
        <v>7691.6320786997339</v>
      </c>
      <c r="U345" s="34">
        <f t="shared" si="102"/>
        <v>14091.632078699735</v>
      </c>
      <c r="V345" s="31">
        <f>H345+S345-SUM(AB$15:AB345)</f>
        <v>143715.24450000006</v>
      </c>
      <c r="W345" s="32">
        <f t="shared" si="118"/>
        <v>10.198623104646156</v>
      </c>
      <c r="X345" s="32">
        <f t="shared" si="119"/>
        <v>1.6361128702711287</v>
      </c>
      <c r="Y345" s="32">
        <f t="shared" si="120"/>
        <v>1.4913768953538433</v>
      </c>
      <c r="Z345" s="38">
        <f t="shared" si="121"/>
        <v>0.45417024545183426</v>
      </c>
      <c r="AA345" s="31">
        <f>SUM(L$2:L345)-SUM(AB$2:AB345)</f>
        <v>15734.380999999954</v>
      </c>
      <c r="AB345" s="176"/>
      <c r="AC345" s="40">
        <f t="shared" si="103"/>
        <v>1711.3709608853569</v>
      </c>
      <c r="AD345" s="40">
        <f t="shared" si="104"/>
        <v>-4688.6290391146431</v>
      </c>
    </row>
    <row r="346" spans="1:30" x14ac:dyDescent="0.25">
      <c r="A346" s="174">
        <v>43131</v>
      </c>
      <c r="B346" s="159"/>
      <c r="C346" s="46" t="s">
        <v>69</v>
      </c>
      <c r="D346" s="46">
        <v>400</v>
      </c>
      <c r="E346" s="46">
        <v>11.8</v>
      </c>
      <c r="F346" s="102">
        <f t="shared" si="107"/>
        <v>6000</v>
      </c>
      <c r="G346" s="32">
        <f t="shared" si="105"/>
        <v>8.3482975833333626</v>
      </c>
      <c r="H346" s="31">
        <f t="shared" si="108"/>
        <v>50089.78550000018</v>
      </c>
      <c r="I346" s="31">
        <f t="shared" si="109"/>
        <v>20710.21449999982</v>
      </c>
      <c r="J346" s="175">
        <f t="shared" si="110"/>
        <v>0.41346183245284124</v>
      </c>
      <c r="K346" s="31">
        <f t="shared" si="111"/>
        <v>70800</v>
      </c>
      <c r="L346" s="31">
        <f t="shared" si="112"/>
        <v>694.27999999999884</v>
      </c>
      <c r="M346" s="31">
        <f t="shared" si="106"/>
        <v>5</v>
      </c>
      <c r="N346" s="31">
        <f t="shared" si="113"/>
        <v>4.72</v>
      </c>
      <c r="O346" s="125"/>
      <c r="P346" s="32">
        <f t="shared" si="114"/>
        <v>3.4517024166666381</v>
      </c>
      <c r="Q346" s="31">
        <f t="shared" si="115"/>
        <v>4710.2799999999988</v>
      </c>
      <c r="R346" s="34"/>
      <c r="S346" s="34">
        <f t="shared" si="116"/>
        <v>94625.458999999886</v>
      </c>
      <c r="T346" s="34">
        <f t="shared" si="117"/>
        <v>8019.1066949152437</v>
      </c>
      <c r="U346" s="34">
        <f t="shared" si="102"/>
        <v>14019.106694915245</v>
      </c>
      <c r="V346" s="31">
        <f>H346+S346-SUM(AB$15:AB346)</f>
        <v>143715.24450000006</v>
      </c>
      <c r="W346" s="32">
        <f t="shared" si="118"/>
        <v>10.251383888256292</v>
      </c>
      <c r="X346" s="32">
        <f t="shared" si="119"/>
        <v>1.9030863049229296</v>
      </c>
      <c r="Y346" s="32">
        <f t="shared" si="120"/>
        <v>1.5486161117437085</v>
      </c>
      <c r="Z346" s="38">
        <f t="shared" si="121"/>
        <v>0.42798732690836933</v>
      </c>
      <c r="AA346" s="31">
        <f>SUM(L$2:L346)-SUM(AB$2:AB346)</f>
        <v>16428.660999999953</v>
      </c>
      <c r="AB346" s="176"/>
      <c r="AC346" s="40">
        <f t="shared" si="103"/>
        <v>1754.2253722669338</v>
      </c>
      <c r="AD346" s="40">
        <f t="shared" si="104"/>
        <v>-4245.7746277330662</v>
      </c>
    </row>
    <row r="347" spans="1:30" x14ac:dyDescent="0.25">
      <c r="A347" s="174">
        <v>43131</v>
      </c>
      <c r="B347" s="159"/>
      <c r="C347" s="46" t="s">
        <v>69</v>
      </c>
      <c r="D347" s="46">
        <v>400</v>
      </c>
      <c r="E347" s="46">
        <v>11.92</v>
      </c>
      <c r="F347" s="102">
        <f t="shared" si="107"/>
        <v>5600</v>
      </c>
      <c r="G347" s="32">
        <f t="shared" si="105"/>
        <v>8.0949202678571748</v>
      </c>
      <c r="H347" s="31">
        <f t="shared" si="108"/>
        <v>45331.553500000176</v>
      </c>
      <c r="I347" s="31">
        <f t="shared" si="109"/>
        <v>21420.446499999824</v>
      </c>
      <c r="J347" s="175">
        <f t="shared" si="110"/>
        <v>0.47252840121615813</v>
      </c>
      <c r="K347" s="31">
        <f t="shared" si="111"/>
        <v>66752</v>
      </c>
      <c r="L347" s="31">
        <f t="shared" si="112"/>
        <v>710.23200000000361</v>
      </c>
      <c r="M347" s="31">
        <f t="shared" si="106"/>
        <v>5</v>
      </c>
      <c r="N347" s="31">
        <f t="shared" si="113"/>
        <v>4.7679999999999998</v>
      </c>
      <c r="O347" s="125"/>
      <c r="P347" s="32">
        <f t="shared" si="114"/>
        <v>3.8250797321428252</v>
      </c>
      <c r="Q347" s="31">
        <f t="shared" si="115"/>
        <v>4758.2320000000036</v>
      </c>
      <c r="R347" s="34"/>
      <c r="S347" s="34">
        <f t="shared" si="116"/>
        <v>99383.69099999989</v>
      </c>
      <c r="T347" s="34">
        <f t="shared" si="117"/>
        <v>8337.5579697986486</v>
      </c>
      <c r="U347" s="34">
        <f t="shared" si="102"/>
        <v>13937.557969798649</v>
      </c>
      <c r="V347" s="31">
        <f>H347+S347-SUM(AB$15:AB347)</f>
        <v>143715.24450000006</v>
      </c>
      <c r="W347" s="32">
        <f t="shared" si="118"/>
        <v>10.311364789399779</v>
      </c>
      <c r="X347" s="32">
        <f t="shared" si="119"/>
        <v>2.2164445215426039</v>
      </c>
      <c r="Y347" s="32">
        <f t="shared" si="120"/>
        <v>1.6086352106002213</v>
      </c>
      <c r="Z347" s="38">
        <f t="shared" si="121"/>
        <v>0.40179205081224867</v>
      </c>
      <c r="AA347" s="31">
        <f>SUM(L$2:L347)-SUM(AB$2:AB347)</f>
        <v>17138.892999999956</v>
      </c>
      <c r="AB347" s="176"/>
      <c r="AC347" s="40">
        <f t="shared" si="103"/>
        <v>1796.1188151635758</v>
      </c>
      <c r="AD347" s="40">
        <f t="shared" si="104"/>
        <v>-3803.8811848364239</v>
      </c>
    </row>
    <row r="348" spans="1:30" x14ac:dyDescent="0.25">
      <c r="A348" s="174">
        <v>43131</v>
      </c>
      <c r="B348" s="159" t="s">
        <v>320</v>
      </c>
      <c r="C348" s="46" t="s">
        <v>63</v>
      </c>
      <c r="D348" s="46">
        <v>400</v>
      </c>
      <c r="E348" s="46">
        <v>11.78</v>
      </c>
      <c r="F348" s="102">
        <f t="shared" si="107"/>
        <v>6000</v>
      </c>
      <c r="G348" s="32">
        <f t="shared" si="105"/>
        <v>8.341425583333363</v>
      </c>
      <c r="H348" s="31">
        <f t="shared" si="108"/>
        <v>50048.553500000176</v>
      </c>
      <c r="I348" s="31">
        <f t="shared" si="109"/>
        <v>20631.446499999824</v>
      </c>
      <c r="J348" s="175">
        <f t="shared" si="110"/>
        <v>0.41222862714703123</v>
      </c>
      <c r="K348" s="31">
        <f t="shared" si="111"/>
        <v>70680</v>
      </c>
      <c r="L348" s="31">
        <f t="shared" si="112"/>
        <v>-789</v>
      </c>
      <c r="M348" s="31">
        <f t="shared" si="106"/>
        <v>5</v>
      </c>
      <c r="N348" s="31">
        <f t="shared" si="113"/>
        <v>0</v>
      </c>
      <c r="O348" s="125"/>
      <c r="P348" s="32">
        <f t="shared" si="114"/>
        <v>3.4385744166666363</v>
      </c>
      <c r="Q348" s="31">
        <f t="shared" si="115"/>
        <v>-4717</v>
      </c>
      <c r="R348" s="34"/>
      <c r="S348" s="34">
        <f t="shared" si="116"/>
        <v>94666.69099999989</v>
      </c>
      <c r="T348" s="34">
        <f t="shared" si="117"/>
        <v>8036.2216468590741</v>
      </c>
      <c r="U348" s="34">
        <f t="shared" si="102"/>
        <v>14036.221646859074</v>
      </c>
      <c r="V348" s="31">
        <f>H348+S348-SUM(AB$15:AB348)</f>
        <v>143715.24450000006</v>
      </c>
      <c r="W348" s="32">
        <f t="shared" si="118"/>
        <v>10.238883947245135</v>
      </c>
      <c r="X348" s="32">
        <f t="shared" si="119"/>
        <v>1.8974583639117721</v>
      </c>
      <c r="Y348" s="32">
        <f t="shared" si="120"/>
        <v>1.5411160527548642</v>
      </c>
      <c r="Z348" s="38">
        <f t="shared" si="121"/>
        <v>0.42746546406544084</v>
      </c>
      <c r="AA348" s="31">
        <f>SUM(L$2:L348)-SUM(AB$2:AB348)</f>
        <v>16349.892999999956</v>
      </c>
      <c r="AB348" s="176"/>
      <c r="AC348" s="40">
        <f t="shared" si="103"/>
        <v>1750.5204394524469</v>
      </c>
      <c r="AD348" s="40">
        <f t="shared" si="104"/>
        <v>-4249.4795605475529</v>
      </c>
    </row>
    <row r="349" spans="1:30" x14ac:dyDescent="0.25">
      <c r="A349" s="174">
        <v>43132</v>
      </c>
      <c r="B349" s="159" t="s">
        <v>321</v>
      </c>
      <c r="C349" s="46" t="s">
        <v>63</v>
      </c>
      <c r="D349" s="46">
        <v>400</v>
      </c>
      <c r="E349" s="46">
        <v>11.51</v>
      </c>
      <c r="F349" s="102">
        <f t="shared" si="107"/>
        <v>6400</v>
      </c>
      <c r="G349" s="32">
        <f t="shared" si="105"/>
        <v>8.5402427343750276</v>
      </c>
      <c r="H349" s="31">
        <f t="shared" si="108"/>
        <v>54657.553500000176</v>
      </c>
      <c r="I349" s="31">
        <f t="shared" si="109"/>
        <v>19006.446499999824</v>
      </c>
      <c r="J349" s="175">
        <f t="shared" si="110"/>
        <v>0.34773686861047964</v>
      </c>
      <c r="K349" s="31">
        <f t="shared" si="111"/>
        <v>73664</v>
      </c>
      <c r="L349" s="31">
        <f t="shared" si="112"/>
        <v>-1625</v>
      </c>
      <c r="M349" s="31">
        <f t="shared" si="106"/>
        <v>5</v>
      </c>
      <c r="N349" s="31">
        <f t="shared" si="113"/>
        <v>0</v>
      </c>
      <c r="O349" s="125"/>
      <c r="P349" s="32">
        <f t="shared" si="114"/>
        <v>2.9697572656249722</v>
      </c>
      <c r="Q349" s="31">
        <f t="shared" si="115"/>
        <v>-4609</v>
      </c>
      <c r="R349" s="34"/>
      <c r="S349" s="34">
        <f t="shared" si="116"/>
        <v>90057.69099999989</v>
      </c>
      <c r="T349" s="34">
        <f t="shared" si="117"/>
        <v>7824.2998262380443</v>
      </c>
      <c r="U349" s="34">
        <f t="shared" si="102"/>
        <v>14224.299826238044</v>
      </c>
      <c r="V349" s="31">
        <f>H349+S349-SUM(AB$15:AB349)</f>
        <v>143715.24450000006</v>
      </c>
      <c r="W349" s="32">
        <f t="shared" si="118"/>
        <v>10.103502193823553</v>
      </c>
      <c r="X349" s="32">
        <f t="shared" si="119"/>
        <v>1.5632594594485258</v>
      </c>
      <c r="Y349" s="32">
        <f t="shared" si="120"/>
        <v>1.4064978061764464</v>
      </c>
      <c r="Z349" s="38">
        <f t="shared" si="121"/>
        <v>0.44993427291195059</v>
      </c>
      <c r="AA349" s="31">
        <f>SUM(L$2:L349)-SUM(AB$2:AB349)</f>
        <v>14724.892999999956</v>
      </c>
      <c r="AB349" s="176"/>
      <c r="AC349" s="40">
        <f t="shared" si="103"/>
        <v>1650.4729171806973</v>
      </c>
      <c r="AD349" s="40">
        <f t="shared" si="104"/>
        <v>-4749.5270828193024</v>
      </c>
    </row>
    <row r="350" spans="1:30" x14ac:dyDescent="0.25">
      <c r="A350" s="174">
        <v>43133</v>
      </c>
      <c r="B350" s="159" t="s">
        <v>322</v>
      </c>
      <c r="C350" s="46" t="s">
        <v>63</v>
      </c>
      <c r="D350" s="46">
        <v>400</v>
      </c>
      <c r="E350" s="46">
        <v>11.07</v>
      </c>
      <c r="F350" s="102">
        <f t="shared" si="107"/>
        <v>6800</v>
      </c>
      <c r="G350" s="32">
        <f t="shared" si="105"/>
        <v>8.6897872794117905</v>
      </c>
      <c r="H350" s="31">
        <f t="shared" si="108"/>
        <v>59090.553500000176</v>
      </c>
      <c r="I350" s="31">
        <f t="shared" si="109"/>
        <v>16185.446499999824</v>
      </c>
      <c r="J350" s="175">
        <f t="shared" si="110"/>
        <v>0.27390920445515504</v>
      </c>
      <c r="K350" s="31">
        <f t="shared" si="111"/>
        <v>75276</v>
      </c>
      <c r="L350" s="31">
        <f t="shared" si="112"/>
        <v>-2821</v>
      </c>
      <c r="M350" s="31">
        <f t="shared" si="106"/>
        <v>5</v>
      </c>
      <c r="N350" s="31">
        <f t="shared" si="113"/>
        <v>0</v>
      </c>
      <c r="O350" s="125"/>
      <c r="P350" s="32">
        <f t="shared" si="114"/>
        <v>2.3802127205882098</v>
      </c>
      <c r="Q350" s="31">
        <f t="shared" si="115"/>
        <v>-4433</v>
      </c>
      <c r="R350" s="34"/>
      <c r="S350" s="34">
        <f t="shared" si="116"/>
        <v>85624.69099999989</v>
      </c>
      <c r="T350" s="34">
        <f t="shared" si="117"/>
        <v>7734.8411020776775</v>
      </c>
      <c r="U350" s="34">
        <f t="shared" si="102"/>
        <v>14534.841102077677</v>
      </c>
      <c r="V350" s="31">
        <f>H350+S350-SUM(AB$15:AB350)</f>
        <v>143715.24450000006</v>
      </c>
      <c r="W350" s="32">
        <f t="shared" si="118"/>
        <v>9.8876378139047389</v>
      </c>
      <c r="X350" s="32">
        <f t="shared" si="119"/>
        <v>1.1978505344929484</v>
      </c>
      <c r="Y350" s="32">
        <f t="shared" si="120"/>
        <v>1.1823621860952613</v>
      </c>
      <c r="Z350" s="38">
        <f t="shared" si="121"/>
        <v>0.46784137179373614</v>
      </c>
      <c r="AA350" s="31">
        <f>SUM(L$2:L350)-SUM(AB$2:AB350)</f>
        <v>11903.892999999956</v>
      </c>
      <c r="AB350" s="176"/>
      <c r="AC350" s="40">
        <f t="shared" si="103"/>
        <v>1461.3689048554493</v>
      </c>
      <c r="AD350" s="40">
        <f t="shared" si="104"/>
        <v>-5338.6310951445503</v>
      </c>
    </row>
    <row r="351" spans="1:30" x14ac:dyDescent="0.25">
      <c r="A351" s="174">
        <v>43136</v>
      </c>
      <c r="B351" s="159"/>
      <c r="C351" s="46" t="s">
        <v>69</v>
      </c>
      <c r="D351" s="46">
        <v>400</v>
      </c>
      <c r="E351" s="46">
        <v>11.53</v>
      </c>
      <c r="F351" s="102">
        <f t="shared" si="107"/>
        <v>6400</v>
      </c>
      <c r="G351" s="32">
        <f t="shared" si="105"/>
        <v>8.513775859375027</v>
      </c>
      <c r="H351" s="31">
        <f t="shared" si="108"/>
        <v>54488.165500000177</v>
      </c>
      <c r="I351" s="31">
        <f t="shared" si="109"/>
        <v>19303.834499999823</v>
      </c>
      <c r="J351" s="175">
        <f t="shared" si="110"/>
        <v>0.35427572800188623</v>
      </c>
      <c r="K351" s="31">
        <f t="shared" si="111"/>
        <v>73792</v>
      </c>
      <c r="L351" s="31">
        <f t="shared" si="112"/>
        <v>3118.387999999999</v>
      </c>
      <c r="M351" s="31">
        <f t="shared" si="106"/>
        <v>5</v>
      </c>
      <c r="N351" s="31">
        <f t="shared" si="113"/>
        <v>4.6120000000000001</v>
      </c>
      <c r="O351" s="125"/>
      <c r="P351" s="32">
        <f t="shared" si="114"/>
        <v>3.0162241406249723</v>
      </c>
      <c r="Q351" s="31">
        <f t="shared" si="115"/>
        <v>4602.387999999999</v>
      </c>
      <c r="R351" s="34"/>
      <c r="S351" s="34">
        <f t="shared" si="116"/>
        <v>90227.078999999881</v>
      </c>
      <c r="T351" s="34">
        <f t="shared" si="117"/>
        <v>7825.4188204683333</v>
      </c>
      <c r="U351" s="34">
        <f t="shared" si="102"/>
        <v>14225.418820468334</v>
      </c>
      <c r="V351" s="31">
        <f>H351+S351-SUM(AB$15:AB351)</f>
        <v>143715.24450000006</v>
      </c>
      <c r="W351" s="32">
        <f t="shared" si="118"/>
        <v>10.102707436157484</v>
      </c>
      <c r="X351" s="32">
        <f t="shared" si="119"/>
        <v>1.588931576782457</v>
      </c>
      <c r="Y351" s="32">
        <f t="shared" si="120"/>
        <v>1.4272925638425153</v>
      </c>
      <c r="Z351" s="38">
        <f t="shared" si="121"/>
        <v>0.44989888036135145</v>
      </c>
      <c r="AA351" s="31">
        <f>SUM(L$2:L351)-SUM(AB$2:AB351)</f>
        <v>15022.280999999955</v>
      </c>
      <c r="AB351" s="176"/>
      <c r="AC351" s="40">
        <f t="shared" si="103"/>
        <v>1673.3896429097854</v>
      </c>
      <c r="AD351" s="40">
        <f t="shared" si="104"/>
        <v>-4726.6103570902142</v>
      </c>
    </row>
    <row r="352" spans="1:30" x14ac:dyDescent="0.25">
      <c r="A352" s="174">
        <v>43137</v>
      </c>
      <c r="B352" s="159" t="s">
        <v>323</v>
      </c>
      <c r="C352" s="46" t="s">
        <v>63</v>
      </c>
      <c r="D352" s="46">
        <v>400</v>
      </c>
      <c r="E352" s="46">
        <v>11.16</v>
      </c>
      <c r="F352" s="102">
        <f t="shared" si="107"/>
        <v>6800</v>
      </c>
      <c r="G352" s="32">
        <f t="shared" si="105"/>
        <v>8.6701713970588496</v>
      </c>
      <c r="H352" s="31">
        <f t="shared" si="108"/>
        <v>58957.165500000177</v>
      </c>
      <c r="I352" s="31">
        <f t="shared" si="109"/>
        <v>16930.834499999823</v>
      </c>
      <c r="J352" s="175">
        <f t="shared" si="110"/>
        <v>0.28717178576028679</v>
      </c>
      <c r="K352" s="31">
        <f t="shared" si="111"/>
        <v>75888</v>
      </c>
      <c r="L352" s="31">
        <f t="shared" si="112"/>
        <v>-2373</v>
      </c>
      <c r="M352" s="31">
        <f t="shared" si="106"/>
        <v>5</v>
      </c>
      <c r="N352" s="31">
        <f t="shared" si="113"/>
        <v>0</v>
      </c>
      <c r="O352" s="125"/>
      <c r="P352" s="32">
        <f t="shared" si="114"/>
        <v>2.4898286029411505</v>
      </c>
      <c r="Q352" s="31">
        <f t="shared" si="115"/>
        <v>-4469</v>
      </c>
      <c r="R352" s="34"/>
      <c r="S352" s="34">
        <f t="shared" si="116"/>
        <v>85758.078999999881</v>
      </c>
      <c r="T352" s="34">
        <f t="shared" si="117"/>
        <v>7684.4156810035738</v>
      </c>
      <c r="U352" s="34">
        <f t="shared" si="102"/>
        <v>14484.415681003575</v>
      </c>
      <c r="V352" s="31">
        <f>H352+S352-SUM(AB$15:AB352)</f>
        <v>143715.24450000006</v>
      </c>
      <c r="W352" s="32">
        <f t="shared" si="118"/>
        <v>9.9220602104428508</v>
      </c>
      <c r="X352" s="32">
        <f t="shared" si="119"/>
        <v>1.2518888133840012</v>
      </c>
      <c r="Y352" s="32">
        <f t="shared" si="120"/>
        <v>1.2379397895571493</v>
      </c>
      <c r="Z352" s="38">
        <f t="shared" si="121"/>
        <v>0.46947009460093397</v>
      </c>
      <c r="AA352" s="31">
        <f>SUM(L$2:L352)-SUM(AB$2:AB352)</f>
        <v>12649.280999999955</v>
      </c>
      <c r="AB352" s="176"/>
      <c r="AC352" s="40">
        <f t="shared" si="103"/>
        <v>1516.3413156585864</v>
      </c>
      <c r="AD352" s="40">
        <f t="shared" si="104"/>
        <v>-5283.6586843414134</v>
      </c>
    </row>
    <row r="353" spans="1:30" x14ac:dyDescent="0.25">
      <c r="A353" s="174">
        <v>43137</v>
      </c>
      <c r="B353" s="159" t="s">
        <v>324</v>
      </c>
      <c r="C353" s="46" t="s">
        <v>63</v>
      </c>
      <c r="D353" s="46">
        <v>500</v>
      </c>
      <c r="E353" s="46">
        <v>11.06</v>
      </c>
      <c r="F353" s="102">
        <f t="shared" si="107"/>
        <v>7300</v>
      </c>
      <c r="G353" s="32">
        <f t="shared" si="105"/>
        <v>8.8345432191781068</v>
      </c>
      <c r="H353" s="31">
        <f t="shared" si="108"/>
        <v>64492.165500000177</v>
      </c>
      <c r="I353" s="31">
        <f t="shared" si="109"/>
        <v>16245.834499999823</v>
      </c>
      <c r="J353" s="175">
        <f t="shared" si="110"/>
        <v>0.2519040006495018</v>
      </c>
      <c r="K353" s="31">
        <f t="shared" si="111"/>
        <v>80738</v>
      </c>
      <c r="L353" s="31">
        <f t="shared" si="112"/>
        <v>-685</v>
      </c>
      <c r="M353" s="31">
        <f t="shared" si="106"/>
        <v>5</v>
      </c>
      <c r="N353" s="31">
        <f t="shared" si="113"/>
        <v>0</v>
      </c>
      <c r="O353" s="125"/>
      <c r="P353" s="32">
        <f t="shared" si="114"/>
        <v>2.2254567808218937</v>
      </c>
      <c r="Q353" s="31">
        <f t="shared" si="115"/>
        <v>-5535</v>
      </c>
      <c r="R353" s="34"/>
      <c r="S353" s="34">
        <f t="shared" si="116"/>
        <v>80223.078999999881</v>
      </c>
      <c r="T353" s="34">
        <f t="shared" si="117"/>
        <v>7253.4429475587594</v>
      </c>
      <c r="U353" s="34">
        <f t="shared" si="102"/>
        <v>14553.44294755876</v>
      </c>
      <c r="V353" s="31">
        <f>H353+S353-SUM(AB$15:AB353)</f>
        <v>143715.24450000006</v>
      </c>
      <c r="W353" s="32">
        <f t="shared" si="118"/>
        <v>9.8749996834327991</v>
      </c>
      <c r="X353" s="32">
        <f t="shared" si="119"/>
        <v>1.0404564642546923</v>
      </c>
      <c r="Y353" s="32">
        <f t="shared" si="120"/>
        <v>1.1850003165672014</v>
      </c>
      <c r="Z353" s="38">
        <f t="shared" si="121"/>
        <v>0.50159952021693432</v>
      </c>
      <c r="AA353" s="31">
        <f>SUM(L$2:L353)-SUM(AB$2:AB353)</f>
        <v>11964.280999999955</v>
      </c>
      <c r="AB353" s="176"/>
      <c r="AC353" s="40">
        <f t="shared" si="103"/>
        <v>1468.1475210442877</v>
      </c>
      <c r="AD353" s="40">
        <f t="shared" si="104"/>
        <v>-5831.8524789557123</v>
      </c>
    </row>
    <row r="354" spans="1:30" x14ac:dyDescent="0.25">
      <c r="A354" s="174">
        <v>43138</v>
      </c>
      <c r="B354" s="159"/>
      <c r="C354" s="46" t="s">
        <v>69</v>
      </c>
      <c r="D354" s="46">
        <v>400</v>
      </c>
      <c r="E354" s="46">
        <v>11.23</v>
      </c>
      <c r="F354" s="102">
        <f t="shared" si="107"/>
        <v>6900</v>
      </c>
      <c r="G354" s="32">
        <f t="shared" si="105"/>
        <v>8.6970518115942284</v>
      </c>
      <c r="H354" s="31">
        <f t="shared" si="108"/>
        <v>60009.657500000176</v>
      </c>
      <c r="I354" s="31">
        <f t="shared" si="109"/>
        <v>17477.342499999824</v>
      </c>
      <c r="J354" s="175">
        <f t="shared" si="110"/>
        <v>0.29124216381337914</v>
      </c>
      <c r="K354" s="31">
        <f t="shared" si="111"/>
        <v>77487</v>
      </c>
      <c r="L354" s="31">
        <f t="shared" si="112"/>
        <v>1231.5080000000016</v>
      </c>
      <c r="M354" s="31">
        <f t="shared" si="106"/>
        <v>5</v>
      </c>
      <c r="N354" s="31">
        <f t="shared" si="113"/>
        <v>4.492</v>
      </c>
      <c r="O354" s="125"/>
      <c r="P354" s="32">
        <f t="shared" si="114"/>
        <v>2.5329481884057721</v>
      </c>
      <c r="Q354" s="31">
        <f t="shared" si="115"/>
        <v>4482.5080000000016</v>
      </c>
      <c r="R354" s="34"/>
      <c r="S354" s="34">
        <f t="shared" si="116"/>
        <v>84705.586999999883</v>
      </c>
      <c r="T354" s="34">
        <f t="shared" si="117"/>
        <v>7542.7949243098737</v>
      </c>
      <c r="U354" s="34">
        <f t="shared" si="102"/>
        <v>14442.794924309874</v>
      </c>
      <c r="V354" s="31">
        <f>H354+S354-SUM(AB$15:AB354)</f>
        <v>143715.24450000006</v>
      </c>
      <c r="W354" s="32">
        <f t="shared" si="118"/>
        <v>9.9506532671249754</v>
      </c>
      <c r="X354" s="32">
        <f t="shared" si="119"/>
        <v>1.2536014555307471</v>
      </c>
      <c r="Y354" s="32">
        <f t="shared" si="120"/>
        <v>1.279346732875025</v>
      </c>
      <c r="Z354" s="38">
        <f t="shared" si="121"/>
        <v>0.4777468652127736</v>
      </c>
      <c r="AA354" s="31">
        <f>SUM(L$2:L354)-SUM(AB$2:AB354)</f>
        <v>13195.788999999957</v>
      </c>
      <c r="AB354" s="176"/>
      <c r="AC354" s="40">
        <f t="shared" si="103"/>
        <v>1555.5301717497618</v>
      </c>
      <c r="AD354" s="40">
        <f t="shared" si="104"/>
        <v>-5344.4698282502377</v>
      </c>
    </row>
    <row r="355" spans="1:30" x14ac:dyDescent="0.25">
      <c r="A355" s="174">
        <v>43138</v>
      </c>
      <c r="B355" s="159" t="s">
        <v>325</v>
      </c>
      <c r="C355" s="46" t="s">
        <v>63</v>
      </c>
      <c r="D355" s="46">
        <v>400</v>
      </c>
      <c r="E355" s="46">
        <v>11.02</v>
      </c>
      <c r="F355" s="102">
        <f t="shared" si="107"/>
        <v>7300</v>
      </c>
      <c r="G355" s="32">
        <f t="shared" si="105"/>
        <v>8.8250215753424897</v>
      </c>
      <c r="H355" s="31">
        <f t="shared" si="108"/>
        <v>64422.657500000176</v>
      </c>
      <c r="I355" s="31">
        <f t="shared" si="109"/>
        <v>16023.342499999824</v>
      </c>
      <c r="J355" s="175">
        <f t="shared" si="110"/>
        <v>0.24872215959113111</v>
      </c>
      <c r="K355" s="31">
        <f t="shared" si="111"/>
        <v>80446</v>
      </c>
      <c r="L355" s="31">
        <f t="shared" si="112"/>
        <v>-1454</v>
      </c>
      <c r="M355" s="31">
        <f t="shared" si="106"/>
        <v>5</v>
      </c>
      <c r="N355" s="31">
        <f t="shared" si="113"/>
        <v>0</v>
      </c>
      <c r="O355" s="125"/>
      <c r="P355" s="32">
        <f t="shared" si="114"/>
        <v>2.1949784246575099</v>
      </c>
      <c r="Q355" s="31">
        <f t="shared" si="115"/>
        <v>-4413</v>
      </c>
      <c r="R355" s="34"/>
      <c r="S355" s="34">
        <f t="shared" si="116"/>
        <v>80292.586999999883</v>
      </c>
      <c r="T355" s="34">
        <f t="shared" si="117"/>
        <v>7286.0786751361056</v>
      </c>
      <c r="U355" s="34">
        <f t="shared" si="102"/>
        <v>14586.078675136105</v>
      </c>
      <c r="V355" s="31">
        <f>H355+S355-SUM(AB$15:AB355)</f>
        <v>143715.24450000006</v>
      </c>
      <c r="W355" s="32">
        <f t="shared" si="118"/>
        <v>9.8529047937319607</v>
      </c>
      <c r="X355" s="32">
        <f t="shared" si="119"/>
        <v>1.0278832183894711</v>
      </c>
      <c r="Y355" s="32">
        <f t="shared" si="120"/>
        <v>1.1670952062680389</v>
      </c>
      <c r="Z355" s="38">
        <f t="shared" si="121"/>
        <v>0.50047721273050672</v>
      </c>
      <c r="AA355" s="31">
        <f>SUM(L$2:L355)-SUM(AB$2:AB355)</f>
        <v>11741.788999999957</v>
      </c>
      <c r="AB355" s="176"/>
      <c r="AC355" s="40">
        <f t="shared" si="103"/>
        <v>1453.2968084164995</v>
      </c>
      <c r="AD355" s="40">
        <f t="shared" si="104"/>
        <v>-5846.7031915835005</v>
      </c>
    </row>
    <row r="356" spans="1:30" x14ac:dyDescent="0.25">
      <c r="A356" s="174">
        <v>43138</v>
      </c>
      <c r="B356" s="159" t="s">
        <v>326</v>
      </c>
      <c r="C356" s="46" t="s">
        <v>63</v>
      </c>
      <c r="D356" s="46">
        <v>400</v>
      </c>
      <c r="E356" s="46">
        <v>10.86</v>
      </c>
      <c r="F356" s="102">
        <f t="shared" si="107"/>
        <v>7700</v>
      </c>
      <c r="G356" s="32">
        <f t="shared" si="105"/>
        <v>8.9313840909091144</v>
      </c>
      <c r="H356" s="31">
        <f t="shared" si="108"/>
        <v>68771.657500000176</v>
      </c>
      <c r="I356" s="31">
        <f t="shared" si="109"/>
        <v>14850.342499999824</v>
      </c>
      <c r="J356" s="175">
        <f t="shared" si="110"/>
        <v>0.21593695775036068</v>
      </c>
      <c r="K356" s="31">
        <f t="shared" si="111"/>
        <v>83622</v>
      </c>
      <c r="L356" s="31">
        <f t="shared" si="112"/>
        <v>-1173</v>
      </c>
      <c r="M356" s="31">
        <f>IF(D355*E356*2.5/10000&gt;5,D355*E356*2.5/10000,5)</f>
        <v>5</v>
      </c>
      <c r="N356" s="31">
        <f>IF(C356="卖",D355*E356/1000,0)</f>
        <v>0</v>
      </c>
      <c r="O356" s="125"/>
      <c r="P356" s="32">
        <f t="shared" si="114"/>
        <v>1.928615909090885</v>
      </c>
      <c r="Q356" s="31">
        <f t="shared" si="115"/>
        <v>-4349</v>
      </c>
      <c r="R356" s="34"/>
      <c r="S356" s="34">
        <f t="shared" si="116"/>
        <v>75943.586999999883</v>
      </c>
      <c r="T356" s="34">
        <f t="shared" si="117"/>
        <v>6992.9638121546859</v>
      </c>
      <c r="U356" s="34">
        <f t="shared" si="102"/>
        <v>14692.963812154685</v>
      </c>
      <c r="V356" s="31">
        <f>H356+S356-SUM(AB$15:AB356)</f>
        <v>143715.24450000006</v>
      </c>
      <c r="W356" s="32">
        <f t="shared" si="118"/>
        <v>9.7812290520386576</v>
      </c>
      <c r="X356" s="32">
        <f t="shared" si="119"/>
        <v>0.84984496112954311</v>
      </c>
      <c r="Y356" s="32">
        <f t="shared" si="120"/>
        <v>1.0787709479613419</v>
      </c>
      <c r="Z356" s="38">
        <f t="shared" si="121"/>
        <v>0.52406036647488452</v>
      </c>
      <c r="AA356" s="31">
        <f>SUM(L$2:L356)-SUM(AB$2:AB356)</f>
        <v>10568.788999999957</v>
      </c>
      <c r="AB356" s="176"/>
      <c r="AC356" s="40">
        <f t="shared" si="103"/>
        <v>1366.7511352439988</v>
      </c>
      <c r="AD356" s="40">
        <f t="shared" si="104"/>
        <v>-6333.2488647560012</v>
      </c>
    </row>
    <row r="357" spans="1:30" x14ac:dyDescent="0.25">
      <c r="A357" s="174">
        <v>43138</v>
      </c>
      <c r="B357" s="159" t="s">
        <v>327</v>
      </c>
      <c r="C357" s="46" t="s">
        <v>63</v>
      </c>
      <c r="D357" s="46">
        <v>400</v>
      </c>
      <c r="E357" s="46">
        <v>10.73</v>
      </c>
      <c r="F357" s="102">
        <f t="shared" si="107"/>
        <v>8100</v>
      </c>
      <c r="G357" s="32">
        <f t="shared" si="105"/>
        <v>9.020821913580269</v>
      </c>
      <c r="H357" s="31">
        <f t="shared" si="108"/>
        <v>73068.657500000176</v>
      </c>
      <c r="I357" s="31">
        <f t="shared" si="109"/>
        <v>13844.342499999824</v>
      </c>
      <c r="J357" s="175">
        <f t="shared" si="110"/>
        <v>0.18947032795832866</v>
      </c>
      <c r="K357" s="31">
        <f t="shared" si="111"/>
        <v>86913</v>
      </c>
      <c r="L357" s="31">
        <f t="shared" si="112"/>
        <v>-1006</v>
      </c>
      <c r="M357" s="31">
        <f t="shared" ref="M357:M420" si="122">IF(D357*E357*2.5/10000&gt;5,D357*E357*2.5/10000,5)</f>
        <v>5</v>
      </c>
      <c r="N357" s="31">
        <f t="shared" ref="N357:N420" si="123">IF(C357="卖",D357*E357/1000,0)</f>
        <v>0</v>
      </c>
      <c r="O357" s="125"/>
      <c r="P357" s="32">
        <f t="shared" si="114"/>
        <v>1.7091780864197315</v>
      </c>
      <c r="Q357" s="31">
        <f t="shared" si="115"/>
        <v>-4297</v>
      </c>
      <c r="R357" s="34"/>
      <c r="S357" s="34">
        <f t="shared" si="116"/>
        <v>71646.586999999883</v>
      </c>
      <c r="T357" s="34">
        <f t="shared" si="117"/>
        <v>6677.221528424966</v>
      </c>
      <c r="U357" s="34">
        <f t="shared" si="102"/>
        <v>14777.221528424965</v>
      </c>
      <c r="V357" s="31">
        <f>H357+S357-SUM(AB$15:AB357)</f>
        <v>143715.24450000006</v>
      </c>
      <c r="W357" s="32">
        <f t="shared" si="118"/>
        <v>9.7254578083947827</v>
      </c>
      <c r="X357" s="32">
        <f t="shared" si="119"/>
        <v>0.70463589481451372</v>
      </c>
      <c r="Y357" s="32">
        <f t="shared" si="120"/>
        <v>1.0045421916052177</v>
      </c>
      <c r="Z357" s="38">
        <f t="shared" si="121"/>
        <v>0.54814093328837987</v>
      </c>
      <c r="AA357" s="31">
        <f>SUM(L$2:L357)-SUM(AB$2:AB357)</f>
        <v>9562.788999999957</v>
      </c>
      <c r="AB357" s="176"/>
      <c r="AC357" s="40">
        <f t="shared" si="103"/>
        <v>1289.6011489981197</v>
      </c>
      <c r="AD357" s="40">
        <f t="shared" si="104"/>
        <v>-6810.3988510018808</v>
      </c>
    </row>
    <row r="358" spans="1:30" x14ac:dyDescent="0.25">
      <c r="A358" s="174">
        <v>43138</v>
      </c>
      <c r="B358" s="159" t="s">
        <v>328</v>
      </c>
      <c r="C358" s="46" t="s">
        <v>63</v>
      </c>
      <c r="D358" s="46">
        <v>400</v>
      </c>
      <c r="E358" s="46">
        <v>10.64</v>
      </c>
      <c r="F358" s="102">
        <f t="shared" si="107"/>
        <v>8500</v>
      </c>
      <c r="G358" s="32">
        <f t="shared" si="105"/>
        <v>9.0976067647059029</v>
      </c>
      <c r="H358" s="31">
        <f t="shared" si="108"/>
        <v>77329.657500000176</v>
      </c>
      <c r="I358" s="31">
        <f t="shared" si="109"/>
        <v>13110.342499999824</v>
      </c>
      <c r="J358" s="175">
        <f t="shared" si="110"/>
        <v>0.16953834950064017</v>
      </c>
      <c r="K358" s="31">
        <f t="shared" si="111"/>
        <v>90440</v>
      </c>
      <c r="L358" s="31">
        <f t="shared" si="112"/>
        <v>-734</v>
      </c>
      <c r="M358" s="31">
        <f t="shared" si="122"/>
        <v>5</v>
      </c>
      <c r="N358" s="31">
        <f t="shared" si="123"/>
        <v>0</v>
      </c>
      <c r="O358" s="125"/>
      <c r="P358" s="32">
        <f t="shared" si="114"/>
        <v>1.5423932352940977</v>
      </c>
      <c r="Q358" s="31">
        <f t="shared" si="115"/>
        <v>-4261</v>
      </c>
      <c r="R358" s="34"/>
      <c r="S358" s="34">
        <f t="shared" si="116"/>
        <v>67385.586999999883</v>
      </c>
      <c r="T358" s="34">
        <f t="shared" si="117"/>
        <v>6333.2318609022441</v>
      </c>
      <c r="U358" s="34">
        <f t="shared" si="102"/>
        <v>14833.231860902244</v>
      </c>
      <c r="V358" s="31">
        <f>H358+S358-SUM(AB$15:AB358)</f>
        <v>143715.24450000006</v>
      </c>
      <c r="W358" s="32">
        <f t="shared" si="118"/>
        <v>9.688734447602604</v>
      </c>
      <c r="X358" s="32">
        <f t="shared" si="119"/>
        <v>0.59112768289670115</v>
      </c>
      <c r="Y358" s="32">
        <f t="shared" si="120"/>
        <v>0.95126555239739652</v>
      </c>
      <c r="Z358" s="38">
        <f t="shared" si="121"/>
        <v>0.57303762792277824</v>
      </c>
      <c r="AA358" s="31">
        <f>SUM(L$2:L358)-SUM(AB$2:AB358)</f>
        <v>8828.788999999957</v>
      </c>
      <c r="AB358" s="176"/>
      <c r="AC358" s="40">
        <f t="shared" si="103"/>
        <v>1231.5589594689684</v>
      </c>
      <c r="AD358" s="40">
        <f t="shared" si="104"/>
        <v>-7268.4410405310318</v>
      </c>
    </row>
    <row r="359" spans="1:30" x14ac:dyDescent="0.25">
      <c r="A359" s="174">
        <v>43139</v>
      </c>
      <c r="B359" s="159"/>
      <c r="C359" s="46" t="s">
        <v>69</v>
      </c>
      <c r="D359" s="46">
        <v>400</v>
      </c>
      <c r="E359" s="46">
        <v>10.83</v>
      </c>
      <c r="F359" s="102">
        <f t="shared" si="107"/>
        <v>8100</v>
      </c>
      <c r="G359" s="32">
        <f t="shared" si="105"/>
        <v>9.0132085802469355</v>
      </c>
      <c r="H359" s="31">
        <f t="shared" si="108"/>
        <v>73006.989500000171</v>
      </c>
      <c r="I359" s="31">
        <f t="shared" si="109"/>
        <v>14716.010499999829</v>
      </c>
      <c r="J359" s="175">
        <f t="shared" si="110"/>
        <v>0.20156988530529377</v>
      </c>
      <c r="K359" s="31">
        <f t="shared" si="111"/>
        <v>87723</v>
      </c>
      <c r="L359" s="31">
        <f t="shared" si="112"/>
        <v>1605.6680000000051</v>
      </c>
      <c r="M359" s="31">
        <f t="shared" si="122"/>
        <v>5</v>
      </c>
      <c r="N359" s="31">
        <f t="shared" si="123"/>
        <v>4.3319999999999999</v>
      </c>
      <c r="O359" s="125"/>
      <c r="P359" s="32">
        <f t="shared" si="114"/>
        <v>1.8167914197530646</v>
      </c>
      <c r="Q359" s="31">
        <f t="shared" si="115"/>
        <v>4322.6680000000051</v>
      </c>
      <c r="R359" s="34"/>
      <c r="S359" s="34">
        <f t="shared" si="116"/>
        <v>71708.254999999888</v>
      </c>
      <c r="T359" s="34">
        <f t="shared" si="117"/>
        <v>6621.2608494921415</v>
      </c>
      <c r="U359" s="34">
        <f t="shared" si="102"/>
        <v>14721.260849492141</v>
      </c>
      <c r="V359" s="31">
        <f>H359+S359-SUM(AB$15:AB359)</f>
        <v>143715.24450000006</v>
      </c>
      <c r="W359" s="32">
        <f t="shared" si="118"/>
        <v>9.7624276866854114</v>
      </c>
      <c r="X359" s="32">
        <f t="shared" si="119"/>
        <v>0.74921910643847589</v>
      </c>
      <c r="Y359" s="32">
        <f t="shared" si="120"/>
        <v>1.0675723133145887</v>
      </c>
      <c r="Z359" s="38">
        <f t="shared" si="121"/>
        <v>0.55022460934651785</v>
      </c>
      <c r="AA359" s="31">
        <f>SUM(L$2:L359)-SUM(AB$2:AB359)</f>
        <v>10434.456999999962</v>
      </c>
      <c r="AB359" s="176"/>
      <c r="AC359" s="40">
        <f t="shared" si="103"/>
        <v>1358.1396578716372</v>
      </c>
      <c r="AD359" s="40">
        <f t="shared" si="104"/>
        <v>-6741.8603421283624</v>
      </c>
    </row>
    <row r="360" spans="1:30" x14ac:dyDescent="0.25">
      <c r="A360" s="174">
        <v>43140</v>
      </c>
      <c r="B360" s="159" t="s">
        <v>329</v>
      </c>
      <c r="C360" s="46" t="s">
        <v>63</v>
      </c>
      <c r="D360" s="46">
        <v>400</v>
      </c>
      <c r="E360" s="46">
        <v>10.52</v>
      </c>
      <c r="F360" s="102">
        <f t="shared" si="107"/>
        <v>8500</v>
      </c>
      <c r="G360" s="32">
        <f t="shared" si="105"/>
        <v>9.0847046470588442</v>
      </c>
      <c r="H360" s="31">
        <f t="shared" si="108"/>
        <v>77219.989500000171</v>
      </c>
      <c r="I360" s="31">
        <f t="shared" si="109"/>
        <v>12200.010499999829</v>
      </c>
      <c r="J360" s="175">
        <f t="shared" si="110"/>
        <v>0.15799031544804593</v>
      </c>
      <c r="K360" s="31">
        <f t="shared" si="111"/>
        <v>89420</v>
      </c>
      <c r="L360" s="31">
        <f t="shared" si="112"/>
        <v>-2516</v>
      </c>
      <c r="M360" s="31">
        <f t="shared" si="122"/>
        <v>5</v>
      </c>
      <c r="N360" s="31">
        <f t="shared" si="123"/>
        <v>0</v>
      </c>
      <c r="O360" s="125"/>
      <c r="P360" s="32">
        <f t="shared" si="114"/>
        <v>1.4352953529411554</v>
      </c>
      <c r="Q360" s="31">
        <f t="shared" si="115"/>
        <v>-4213</v>
      </c>
      <c r="R360" s="34"/>
      <c r="S360" s="34">
        <f t="shared" si="116"/>
        <v>67495.254999999888</v>
      </c>
      <c r="T360" s="34">
        <f t="shared" si="117"/>
        <v>6415.8987642585444</v>
      </c>
      <c r="U360" s="34">
        <f t="shared" si="102"/>
        <v>14915.898764258545</v>
      </c>
      <c r="V360" s="31">
        <f>H360+S360-SUM(AB$15:AB360)</f>
        <v>143715.24450000006</v>
      </c>
      <c r="W360" s="32">
        <f t="shared" si="118"/>
        <v>9.6350375375549149</v>
      </c>
      <c r="X360" s="32">
        <f t="shared" si="119"/>
        <v>0.5503328904960707</v>
      </c>
      <c r="Y360" s="32">
        <f t="shared" si="120"/>
        <v>0.8849624624450847</v>
      </c>
      <c r="Z360" s="38">
        <f t="shared" si="121"/>
        <v>0.56986173842689836</v>
      </c>
      <c r="AA360" s="31">
        <f>SUM(L$2:L360)-SUM(AB$2:AB360)</f>
        <v>7918.4569999999621</v>
      </c>
      <c r="AB360" s="176"/>
      <c r="AC360" s="40">
        <f t="shared" si="103"/>
        <v>1159.1169671815428</v>
      </c>
      <c r="AD360" s="40">
        <f t="shared" si="104"/>
        <v>-7340.8830328184577</v>
      </c>
    </row>
    <row r="361" spans="1:30" x14ac:dyDescent="0.25">
      <c r="A361" s="174">
        <v>43140</v>
      </c>
      <c r="B361" s="159" t="s">
        <v>330</v>
      </c>
      <c r="C361" s="46" t="s">
        <v>63</v>
      </c>
      <c r="D361" s="46">
        <v>400</v>
      </c>
      <c r="E361" s="46">
        <v>10.33</v>
      </c>
      <c r="F361" s="102">
        <f t="shared" si="107"/>
        <v>8900</v>
      </c>
      <c r="G361" s="32">
        <f t="shared" si="105"/>
        <v>9.1412347752809175</v>
      </c>
      <c r="H361" s="31">
        <f t="shared" si="108"/>
        <v>81356.989500000171</v>
      </c>
      <c r="I361" s="31">
        <f t="shared" si="109"/>
        <v>10580.010499999829</v>
      </c>
      <c r="J361" s="175">
        <f t="shared" si="110"/>
        <v>0.13004427234859536</v>
      </c>
      <c r="K361" s="31">
        <f t="shared" si="111"/>
        <v>91937</v>
      </c>
      <c r="L361" s="31">
        <f t="shared" si="112"/>
        <v>-1620</v>
      </c>
      <c r="M361" s="31">
        <f t="shared" si="122"/>
        <v>5</v>
      </c>
      <c r="N361" s="31">
        <f t="shared" si="123"/>
        <v>0</v>
      </c>
      <c r="O361" s="125"/>
      <c r="P361" s="32">
        <f t="shared" si="114"/>
        <v>1.1887652247190825</v>
      </c>
      <c r="Q361" s="31">
        <f t="shared" si="115"/>
        <v>-4137</v>
      </c>
      <c r="R361" s="34"/>
      <c r="S361" s="34">
        <f t="shared" si="116"/>
        <v>63358.254999999888</v>
      </c>
      <c r="T361" s="34">
        <f t="shared" si="117"/>
        <v>6133.4225556631063</v>
      </c>
      <c r="U361" s="34">
        <f t="shared" si="102"/>
        <v>15033.422555663106</v>
      </c>
      <c r="V361" s="31">
        <f>H361+S361-SUM(AB$15:AB361)</f>
        <v>143715.24450000006</v>
      </c>
      <c r="W361" s="32">
        <f t="shared" si="118"/>
        <v>9.5597156248270547</v>
      </c>
      <c r="X361" s="32">
        <f t="shared" si="119"/>
        <v>0.41848084954613718</v>
      </c>
      <c r="Y361" s="32">
        <f t="shared" si="120"/>
        <v>0.77028437517294535</v>
      </c>
      <c r="Z361" s="38">
        <f t="shared" si="121"/>
        <v>0.59201422477460797</v>
      </c>
      <c r="AA361" s="31">
        <f>SUM(L$2:L361)-SUM(AB$2:AB361)</f>
        <v>6298.4569999999621</v>
      </c>
      <c r="AB361" s="176"/>
      <c r="AC361" s="40">
        <f t="shared" si="103"/>
        <v>1023.6902705469341</v>
      </c>
      <c r="AD361" s="40">
        <f t="shared" si="104"/>
        <v>-7876.3097294530662</v>
      </c>
    </row>
    <row r="362" spans="1:30" x14ac:dyDescent="0.25">
      <c r="A362" s="174">
        <v>43140</v>
      </c>
      <c r="B362" s="159" t="s">
        <v>331</v>
      </c>
      <c r="C362" s="46" t="s">
        <v>63</v>
      </c>
      <c r="D362" s="46">
        <v>400</v>
      </c>
      <c r="E362" s="46">
        <v>10.15</v>
      </c>
      <c r="F362" s="102">
        <f t="shared" si="107"/>
        <v>9300</v>
      </c>
      <c r="G362" s="32">
        <f t="shared" si="105"/>
        <v>9.1851601612903409</v>
      </c>
      <c r="H362" s="31">
        <f t="shared" si="108"/>
        <v>85421.989500000171</v>
      </c>
      <c r="I362" s="31">
        <f t="shared" si="109"/>
        <v>8973.0104999998293</v>
      </c>
      <c r="J362" s="175">
        <f t="shared" si="110"/>
        <v>0.10504333313379238</v>
      </c>
      <c r="K362" s="31">
        <f t="shared" si="111"/>
        <v>94395</v>
      </c>
      <c r="L362" s="31">
        <f t="shared" si="112"/>
        <v>-1607</v>
      </c>
      <c r="M362" s="31">
        <f t="shared" si="122"/>
        <v>5</v>
      </c>
      <c r="N362" s="31">
        <f t="shared" si="123"/>
        <v>0</v>
      </c>
      <c r="O362" s="125"/>
      <c r="P362" s="32">
        <f t="shared" si="114"/>
        <v>0.9648398387096595</v>
      </c>
      <c r="Q362" s="31">
        <f t="shared" si="115"/>
        <v>-4065</v>
      </c>
      <c r="R362" s="34"/>
      <c r="S362" s="34">
        <f t="shared" si="116"/>
        <v>59293.254999999888</v>
      </c>
      <c r="T362" s="34">
        <f t="shared" si="117"/>
        <v>5841.6999999999889</v>
      </c>
      <c r="U362" s="34">
        <f t="shared" si="102"/>
        <v>15141.69999999999</v>
      </c>
      <c r="V362" s="31">
        <f>H362+S362-SUM(AB$15:AB362)</f>
        <v>143715.24450000006</v>
      </c>
      <c r="W362" s="32">
        <f t="shared" si="118"/>
        <v>9.4913546365335559</v>
      </c>
      <c r="X362" s="32">
        <f t="shared" si="119"/>
        <v>0.30619447524321508</v>
      </c>
      <c r="Y362" s="32">
        <f t="shared" si="120"/>
        <v>0.65864536346644442</v>
      </c>
      <c r="Z362" s="38">
        <f t="shared" si="121"/>
        <v>0.61419787738497045</v>
      </c>
      <c r="AA362" s="31">
        <f>SUM(L$2:L362)-SUM(AB$2:AB362)</f>
        <v>4691.4569999999621</v>
      </c>
      <c r="AB362" s="176"/>
      <c r="AC362" s="40">
        <f t="shared" si="103"/>
        <v>883.598423128062</v>
      </c>
      <c r="AD362" s="40">
        <f t="shared" si="104"/>
        <v>-8416.4015768719382</v>
      </c>
    </row>
    <row r="363" spans="1:30" x14ac:dyDescent="0.25">
      <c r="A363" s="174">
        <v>43140</v>
      </c>
      <c r="B363" s="159" t="s">
        <v>332</v>
      </c>
      <c r="C363" s="46" t="s">
        <v>63</v>
      </c>
      <c r="D363" s="46">
        <v>400</v>
      </c>
      <c r="E363" s="46">
        <v>9.99</v>
      </c>
      <c r="F363" s="102">
        <f t="shared" si="107"/>
        <v>9700</v>
      </c>
      <c r="G363" s="32">
        <f t="shared" si="105"/>
        <v>9.2188648969072347</v>
      </c>
      <c r="H363" s="31">
        <f t="shared" si="108"/>
        <v>89422.989500000171</v>
      </c>
      <c r="I363" s="31">
        <f t="shared" si="109"/>
        <v>7480.0104999998293</v>
      </c>
      <c r="J363" s="175">
        <f t="shared" si="110"/>
        <v>8.3647511023994689E-2</v>
      </c>
      <c r="K363" s="31">
        <f t="shared" si="111"/>
        <v>96903</v>
      </c>
      <c r="L363" s="31">
        <f t="shared" si="112"/>
        <v>-1493</v>
      </c>
      <c r="M363" s="31">
        <f t="shared" si="122"/>
        <v>5</v>
      </c>
      <c r="N363" s="31">
        <f t="shared" si="123"/>
        <v>0</v>
      </c>
      <c r="O363" s="125"/>
      <c r="P363" s="32">
        <f t="shared" si="114"/>
        <v>0.77113510309276556</v>
      </c>
      <c r="Q363" s="31">
        <f t="shared" si="115"/>
        <v>-4001</v>
      </c>
      <c r="R363" s="34"/>
      <c r="S363" s="34">
        <f t="shared" si="116"/>
        <v>55292.254999999888</v>
      </c>
      <c r="T363" s="34">
        <f t="shared" si="117"/>
        <v>5534.7602602602492</v>
      </c>
      <c r="U363" s="34">
        <f t="shared" si="102"/>
        <v>15234.760260260249</v>
      </c>
      <c r="V363" s="31">
        <f>H363+S363-SUM(AB$15:AB363)</f>
        <v>143715.24450000006</v>
      </c>
      <c r="W363" s="32">
        <f t="shared" si="118"/>
        <v>9.4333774896924449</v>
      </c>
      <c r="X363" s="32">
        <f t="shared" si="119"/>
        <v>0.21451259278521029</v>
      </c>
      <c r="Y363" s="32">
        <f t="shared" si="120"/>
        <v>0.55662251030755527</v>
      </c>
      <c r="Z363" s="38">
        <f t="shared" si="121"/>
        <v>0.63670184724221568</v>
      </c>
      <c r="AA363" s="31">
        <f>SUM(L$2:L363)-SUM(AB$2:AB363)</f>
        <v>3198.4569999999621</v>
      </c>
      <c r="AB363" s="176"/>
      <c r="AC363" s="40">
        <f t="shared" si="103"/>
        <v>748.37542489988289</v>
      </c>
      <c r="AD363" s="40">
        <f t="shared" si="104"/>
        <v>-8951.624575100117</v>
      </c>
    </row>
    <row r="364" spans="1:30" x14ac:dyDescent="0.25">
      <c r="A364" s="174">
        <v>43140</v>
      </c>
      <c r="B364" s="159" t="s">
        <v>333</v>
      </c>
      <c r="C364" s="46" t="s">
        <v>63</v>
      </c>
      <c r="D364" s="46">
        <v>500</v>
      </c>
      <c r="E364" s="46">
        <v>9.81</v>
      </c>
      <c r="F364" s="102">
        <f t="shared" si="107"/>
        <v>10200</v>
      </c>
      <c r="G364" s="32">
        <f t="shared" si="105"/>
        <v>9.2483323039215861</v>
      </c>
      <c r="H364" s="31">
        <f t="shared" si="108"/>
        <v>94332.989500000171</v>
      </c>
      <c r="I364" s="31">
        <f t="shared" si="109"/>
        <v>5729.0104999998293</v>
      </c>
      <c r="J364" s="175">
        <f t="shared" si="110"/>
        <v>6.0731781430501744E-2</v>
      </c>
      <c r="K364" s="31">
        <f t="shared" si="111"/>
        <v>100062</v>
      </c>
      <c r="L364" s="31">
        <f t="shared" si="112"/>
        <v>-1751</v>
      </c>
      <c r="M364" s="31">
        <f t="shared" si="122"/>
        <v>5</v>
      </c>
      <c r="N364" s="31">
        <f t="shared" si="123"/>
        <v>0</v>
      </c>
      <c r="O364" s="125"/>
      <c r="P364" s="32">
        <f t="shared" si="114"/>
        <v>0.56166769607841438</v>
      </c>
      <c r="Q364" s="31">
        <f t="shared" si="115"/>
        <v>-4910</v>
      </c>
      <c r="R364" s="34"/>
      <c r="S364" s="34">
        <f t="shared" si="116"/>
        <v>50382.254999999888</v>
      </c>
      <c r="T364" s="34">
        <f t="shared" si="117"/>
        <v>5135.8058103975418</v>
      </c>
      <c r="U364" s="34">
        <f t="shared" si="102"/>
        <v>15335.805810397542</v>
      </c>
      <c r="V364" s="31">
        <f>H364+S364-SUM(AB$15:AB364)</f>
        <v>143715.24450000006</v>
      </c>
      <c r="W364" s="32">
        <f t="shared" si="118"/>
        <v>9.3712222413876933</v>
      </c>
      <c r="X364" s="32">
        <f t="shared" si="119"/>
        <v>0.12288993746610721</v>
      </c>
      <c r="Y364" s="32">
        <f t="shared" si="120"/>
        <v>0.43877775861230717</v>
      </c>
      <c r="Z364" s="38">
        <f t="shared" si="121"/>
        <v>0.66511014328862261</v>
      </c>
      <c r="AA364" s="31">
        <f>SUM(L$2:L364)-SUM(AB$2:AB364)</f>
        <v>1447.4569999999621</v>
      </c>
      <c r="AB364" s="176"/>
      <c r="AC364" s="40">
        <f t="shared" si="103"/>
        <v>583.70499436797445</v>
      </c>
      <c r="AD364" s="40">
        <f t="shared" si="104"/>
        <v>-9616.295005632026</v>
      </c>
    </row>
    <row r="365" spans="1:30" x14ac:dyDescent="0.25">
      <c r="A365" s="174">
        <v>43140</v>
      </c>
      <c r="B365" s="159"/>
      <c r="C365" s="46" t="s">
        <v>69</v>
      </c>
      <c r="D365" s="46">
        <v>400</v>
      </c>
      <c r="E365" s="46">
        <v>10.1</v>
      </c>
      <c r="F365" s="102">
        <f t="shared" si="107"/>
        <v>9800</v>
      </c>
      <c r="G365" s="32">
        <f t="shared" si="105"/>
        <v>9.2144928061224665</v>
      </c>
      <c r="H365" s="31">
        <f t="shared" si="108"/>
        <v>90302.029500000164</v>
      </c>
      <c r="I365" s="31">
        <f t="shared" si="109"/>
        <v>8677.9704999998357</v>
      </c>
      <c r="J365" s="175">
        <f t="shared" si="110"/>
        <v>9.6099396082784699E-2</v>
      </c>
      <c r="K365" s="31">
        <f t="shared" si="111"/>
        <v>98980</v>
      </c>
      <c r="L365" s="31">
        <f t="shared" si="112"/>
        <v>2948.9600000000064</v>
      </c>
      <c r="M365" s="31">
        <f t="shared" si="122"/>
        <v>5</v>
      </c>
      <c r="N365" s="31">
        <f t="shared" si="123"/>
        <v>4.04</v>
      </c>
      <c r="O365" s="125"/>
      <c r="P365" s="32">
        <f t="shared" si="114"/>
        <v>0.88550719387753318</v>
      </c>
      <c r="Q365" s="31">
        <f t="shared" si="115"/>
        <v>4030.9600000000064</v>
      </c>
      <c r="R365" s="34"/>
      <c r="S365" s="34">
        <f t="shared" si="116"/>
        <v>54413.214999999895</v>
      </c>
      <c r="T365" s="34">
        <f t="shared" si="117"/>
        <v>5387.4470297029602</v>
      </c>
      <c r="U365" s="34">
        <f t="shared" si="102"/>
        <v>15187.44702970296</v>
      </c>
      <c r="V365" s="31">
        <f>H365+S365-SUM(AB$15:AB365)</f>
        <v>143715.24450000006</v>
      </c>
      <c r="W365" s="32">
        <f t="shared" si="118"/>
        <v>9.4627651519658258</v>
      </c>
      <c r="X365" s="32">
        <f t="shared" si="119"/>
        <v>0.24827234584335933</v>
      </c>
      <c r="Y365" s="32">
        <f t="shared" si="120"/>
        <v>0.63723484803417385</v>
      </c>
      <c r="Z365" s="38">
        <f t="shared" si="121"/>
        <v>0.64526974025546091</v>
      </c>
      <c r="AA365" s="31">
        <f>SUM(L$2:L365)-SUM(AB$2:AB365)</f>
        <v>4396.4169999999685</v>
      </c>
      <c r="AB365" s="176"/>
      <c r="AC365" s="40">
        <f t="shared" si="103"/>
        <v>858.7753974999838</v>
      </c>
      <c r="AD365" s="40">
        <f t="shared" si="104"/>
        <v>-8941.2246025000168</v>
      </c>
    </row>
    <row r="366" spans="1:30" x14ac:dyDescent="0.25">
      <c r="A366" s="174">
        <v>43144</v>
      </c>
      <c r="B366" s="159"/>
      <c r="C366" s="46" t="s">
        <v>69</v>
      </c>
      <c r="D366" s="46">
        <v>400</v>
      </c>
      <c r="E366" s="46">
        <v>10.28</v>
      </c>
      <c r="F366" s="102">
        <f t="shared" si="107"/>
        <v>9400</v>
      </c>
      <c r="G366" s="32">
        <f t="shared" si="105"/>
        <v>9.1701214361702288</v>
      </c>
      <c r="H366" s="31">
        <f t="shared" si="108"/>
        <v>86199.141500000158</v>
      </c>
      <c r="I366" s="31">
        <f t="shared" si="109"/>
        <v>10432.858499999842</v>
      </c>
      <c r="J366" s="175">
        <f t="shared" si="110"/>
        <v>0.12103204647345386</v>
      </c>
      <c r="K366" s="31">
        <f t="shared" si="111"/>
        <v>96632</v>
      </c>
      <c r="L366" s="31">
        <f t="shared" si="112"/>
        <v>1754.8880000000063</v>
      </c>
      <c r="M366" s="31">
        <f t="shared" si="122"/>
        <v>5</v>
      </c>
      <c r="N366" s="31">
        <f t="shared" si="123"/>
        <v>4.1120000000000001</v>
      </c>
      <c r="O366" s="125"/>
      <c r="P366" s="32">
        <f t="shared" si="114"/>
        <v>1.1098785638297706</v>
      </c>
      <c r="Q366" s="31">
        <f t="shared" si="115"/>
        <v>4102.8880000000063</v>
      </c>
      <c r="R366" s="34"/>
      <c r="S366" s="34">
        <f t="shared" si="116"/>
        <v>58516.102999999901</v>
      </c>
      <c r="T366" s="34">
        <f t="shared" si="117"/>
        <v>5692.2279182879283</v>
      </c>
      <c r="U366" s="34">
        <f t="shared" si="102"/>
        <v>15092.227918287928</v>
      </c>
      <c r="V366" s="31">
        <f>H366+S366-SUM(AB$15:AB366)</f>
        <v>143715.24450000006</v>
      </c>
      <c r="W366" s="32">
        <f t="shared" si="118"/>
        <v>9.5224671452154439</v>
      </c>
      <c r="X366" s="32">
        <f t="shared" si="119"/>
        <v>0.35234570904521512</v>
      </c>
      <c r="Y366" s="32">
        <f t="shared" si="120"/>
        <v>0.75753285478455545</v>
      </c>
      <c r="Z366" s="38">
        <f t="shared" si="121"/>
        <v>0.622837135172707</v>
      </c>
      <c r="AA366" s="31">
        <f>SUM(L$2:L366)-SUM(AB$2:AB366)</f>
        <v>6151.3049999999748</v>
      </c>
      <c r="AB366" s="176"/>
      <c r="AC366" s="40">
        <f t="shared" si="103"/>
        <v>1014.3620691390898</v>
      </c>
      <c r="AD366" s="40">
        <f t="shared" si="104"/>
        <v>-8385.6379308609103</v>
      </c>
    </row>
    <row r="367" spans="1:30" x14ac:dyDescent="0.25">
      <c r="A367" s="174">
        <v>43154</v>
      </c>
      <c r="B367" s="159"/>
      <c r="C367" s="46" t="s">
        <v>69</v>
      </c>
      <c r="D367" s="46">
        <v>400</v>
      </c>
      <c r="E367" s="46">
        <v>10.43</v>
      </c>
      <c r="F367" s="102">
        <f t="shared" si="107"/>
        <v>9000</v>
      </c>
      <c r="G367" s="32">
        <f t="shared" si="105"/>
        <v>9.1151459444444622</v>
      </c>
      <c r="H367" s="31">
        <f t="shared" si="108"/>
        <v>82036.313500000164</v>
      </c>
      <c r="I367" s="31">
        <f t="shared" si="109"/>
        <v>11833.686499999836</v>
      </c>
      <c r="J367" s="175">
        <f t="shared" si="110"/>
        <v>0.14424936951853418</v>
      </c>
      <c r="K367" s="31">
        <f t="shared" si="111"/>
        <v>93870</v>
      </c>
      <c r="L367" s="31">
        <f t="shared" si="112"/>
        <v>1400.8279999999941</v>
      </c>
      <c r="M367" s="31">
        <f t="shared" si="122"/>
        <v>5</v>
      </c>
      <c r="N367" s="31">
        <f t="shared" si="123"/>
        <v>4.1719999999999997</v>
      </c>
      <c r="O367" s="125"/>
      <c r="P367" s="32">
        <f t="shared" si="114"/>
        <v>1.3148540555555375</v>
      </c>
      <c r="Q367" s="31">
        <f t="shared" si="115"/>
        <v>4162.8279999999941</v>
      </c>
      <c r="R367" s="34"/>
      <c r="S367" s="34">
        <f t="shared" si="116"/>
        <v>62678.930999999895</v>
      </c>
      <c r="T367" s="34">
        <f t="shared" si="117"/>
        <v>6009.485234899319</v>
      </c>
      <c r="U367" s="34">
        <f t="shared" si="102"/>
        <v>15009.485234899319</v>
      </c>
      <c r="V367" s="31">
        <f>H367+S367-SUM(AB$15:AB367)</f>
        <v>143715.24450000006</v>
      </c>
      <c r="W367" s="32">
        <f t="shared" si="118"/>
        <v>9.5749615826824233</v>
      </c>
      <c r="X367" s="32">
        <f t="shared" si="119"/>
        <v>0.45981563823796101</v>
      </c>
      <c r="Y367" s="32">
        <f t="shared" si="120"/>
        <v>0.85503841731757646</v>
      </c>
      <c r="Z367" s="38">
        <f t="shared" si="121"/>
        <v>0.59962083037156011</v>
      </c>
      <c r="AA367" s="31">
        <f>SUM(L$2:L367)-SUM(AB$2:AB367)</f>
        <v>7552.1329999999689</v>
      </c>
      <c r="AB367" s="176"/>
      <c r="AC367" s="40">
        <f t="shared" si="103"/>
        <v>1134.0143486816717</v>
      </c>
      <c r="AD367" s="40">
        <f t="shared" si="104"/>
        <v>-7865.9856513183286</v>
      </c>
    </row>
    <row r="368" spans="1:30" x14ac:dyDescent="0.25">
      <c r="A368" s="174">
        <v>43154</v>
      </c>
      <c r="B368" s="159"/>
      <c r="C368" s="46" t="s">
        <v>69</v>
      </c>
      <c r="D368" s="46">
        <v>400</v>
      </c>
      <c r="E368" s="46">
        <v>10.54</v>
      </c>
      <c r="F368" s="102">
        <f t="shared" si="107"/>
        <v>8600</v>
      </c>
      <c r="G368" s="32">
        <f t="shared" si="105"/>
        <v>9.0499452906976927</v>
      </c>
      <c r="H368" s="31">
        <f t="shared" si="108"/>
        <v>77829.529500000164</v>
      </c>
      <c r="I368" s="31">
        <f t="shared" si="109"/>
        <v>12814.470499999821</v>
      </c>
      <c r="J368" s="175">
        <f t="shared" si="110"/>
        <v>0.16464792453871649</v>
      </c>
      <c r="K368" s="31">
        <f t="shared" si="111"/>
        <v>90643.999999999985</v>
      </c>
      <c r="L368" s="31">
        <f t="shared" si="112"/>
        <v>980.7839999999851</v>
      </c>
      <c r="M368" s="31">
        <f t="shared" si="122"/>
        <v>5</v>
      </c>
      <c r="N368" s="31">
        <f t="shared" si="123"/>
        <v>4.2160000000000002</v>
      </c>
      <c r="O368" s="125"/>
      <c r="P368" s="32">
        <f t="shared" si="114"/>
        <v>1.4900547093023064</v>
      </c>
      <c r="Q368" s="31">
        <f t="shared" si="115"/>
        <v>4206.7839999999997</v>
      </c>
      <c r="R368" s="34"/>
      <c r="S368" s="34">
        <f t="shared" si="116"/>
        <v>66885.714999999895</v>
      </c>
      <c r="T368" s="34">
        <f t="shared" si="117"/>
        <v>6345.8932637571061</v>
      </c>
      <c r="U368" s="34">
        <f t="shared" si="102"/>
        <v>14945.893263757105</v>
      </c>
      <c r="V368" s="31">
        <f>H368+S368-SUM(AB$15:AB368)</f>
        <v>143715.24450000006</v>
      </c>
      <c r="W368" s="32">
        <f t="shared" si="118"/>
        <v>9.615701247412284</v>
      </c>
      <c r="X368" s="32">
        <f t="shared" si="119"/>
        <v>0.56575595671459133</v>
      </c>
      <c r="Y368" s="32">
        <f t="shared" si="120"/>
        <v>0.9242987525877151</v>
      </c>
      <c r="Z368" s="38">
        <f t="shared" si="121"/>
        <v>0.57540889983835786</v>
      </c>
      <c r="AA368" s="31">
        <f>SUM(L$2:L368)-SUM(AB$2:AB368)</f>
        <v>8532.916999999954</v>
      </c>
      <c r="AB368" s="176"/>
      <c r="AC368" s="40">
        <f t="shared" si="103"/>
        <v>1215.1862680028294</v>
      </c>
      <c r="AD368" s="40">
        <f t="shared" si="104"/>
        <v>-7384.8137319971702</v>
      </c>
    </row>
    <row r="369" spans="1:30" x14ac:dyDescent="0.25">
      <c r="A369" s="174">
        <v>43157</v>
      </c>
      <c r="B369" s="159" t="s">
        <v>334</v>
      </c>
      <c r="C369" s="46" t="s">
        <v>63</v>
      </c>
      <c r="D369" s="46">
        <v>400</v>
      </c>
      <c r="E369" s="46">
        <v>10.28</v>
      </c>
      <c r="F369" s="102">
        <f t="shared" si="107"/>
        <v>9000</v>
      </c>
      <c r="G369" s="32">
        <f t="shared" si="105"/>
        <v>9.1051699444444623</v>
      </c>
      <c r="H369" s="31">
        <f t="shared" si="108"/>
        <v>81946.529500000164</v>
      </c>
      <c r="I369" s="31">
        <f t="shared" si="109"/>
        <v>10573.470499999836</v>
      </c>
      <c r="J369" s="175">
        <f t="shared" si="110"/>
        <v>0.12902889926534122</v>
      </c>
      <c r="K369" s="31">
        <f t="shared" si="111"/>
        <v>92520</v>
      </c>
      <c r="L369" s="31">
        <f t="shared" si="112"/>
        <v>-2240.9999999999854</v>
      </c>
      <c r="M369" s="31">
        <f t="shared" si="122"/>
        <v>5</v>
      </c>
      <c r="N369" s="31">
        <f t="shared" si="123"/>
        <v>0</v>
      </c>
      <c r="O369" s="125"/>
      <c r="P369" s="32">
        <f t="shared" si="114"/>
        <v>1.1748300555555371</v>
      </c>
      <c r="Q369" s="31">
        <f t="shared" si="115"/>
        <v>-4117</v>
      </c>
      <c r="R369" s="34"/>
      <c r="S369" s="34">
        <f t="shared" si="116"/>
        <v>62768.714999999895</v>
      </c>
      <c r="T369" s="34">
        <f t="shared" si="117"/>
        <v>6105.9061284046593</v>
      </c>
      <c r="U369" s="34">
        <f t="shared" si="102"/>
        <v>15105.906128404658</v>
      </c>
      <c r="V369" s="31">
        <f>H369+S369-SUM(AB$15:AB369)</f>
        <v>143715.24450000006</v>
      </c>
      <c r="W369" s="32">
        <f t="shared" si="118"/>
        <v>9.5138446696529222</v>
      </c>
      <c r="X369" s="32">
        <f t="shared" si="119"/>
        <v>0.40867472520845993</v>
      </c>
      <c r="Y369" s="32">
        <f t="shared" si="120"/>
        <v>0.76615533034707717</v>
      </c>
      <c r="Z369" s="38">
        <f t="shared" si="121"/>
        <v>0.59579345479161228</v>
      </c>
      <c r="AA369" s="31">
        <f>SUM(L$2:L369)-SUM(AB$2:AB369)</f>
        <v>6291.9169999999685</v>
      </c>
      <c r="AB369" s="176"/>
      <c r="AC369" s="40">
        <f t="shared" si="103"/>
        <v>1028.0334401507623</v>
      </c>
      <c r="AD369" s="40">
        <f t="shared" si="104"/>
        <v>-7971.9665598492375</v>
      </c>
    </row>
    <row r="370" spans="1:30" x14ac:dyDescent="0.25">
      <c r="A370" s="174">
        <v>43157</v>
      </c>
      <c r="B370" s="159"/>
      <c r="C370" s="46" t="s">
        <v>69</v>
      </c>
      <c r="D370" s="46">
        <v>400</v>
      </c>
      <c r="E370" s="46">
        <v>10.51</v>
      </c>
      <c r="F370" s="102">
        <f t="shared" si="107"/>
        <v>8600</v>
      </c>
      <c r="G370" s="32">
        <f t="shared" si="105"/>
        <v>9.0408992441860647</v>
      </c>
      <c r="H370" s="31">
        <f t="shared" si="108"/>
        <v>77751.733500000162</v>
      </c>
      <c r="I370" s="31">
        <f t="shared" si="109"/>
        <v>12634.266499999838</v>
      </c>
      <c r="J370" s="175">
        <f t="shared" si="110"/>
        <v>0.16249498154275643</v>
      </c>
      <c r="K370" s="31">
        <f t="shared" si="111"/>
        <v>90386</v>
      </c>
      <c r="L370" s="31">
        <f t="shared" si="112"/>
        <v>2060.7960000000021</v>
      </c>
      <c r="M370" s="31">
        <f t="shared" si="122"/>
        <v>5</v>
      </c>
      <c r="N370" s="31">
        <f t="shared" si="123"/>
        <v>4.2039999999999997</v>
      </c>
      <c r="O370" s="125"/>
      <c r="P370" s="32">
        <f t="shared" si="114"/>
        <v>1.4691007558139351</v>
      </c>
      <c r="Q370" s="31">
        <f t="shared" si="115"/>
        <v>4194.7960000000021</v>
      </c>
      <c r="R370" s="34"/>
      <c r="S370" s="34">
        <f t="shared" si="116"/>
        <v>66963.510999999897</v>
      </c>
      <c r="T370" s="34">
        <f t="shared" si="117"/>
        <v>6371.4092293054136</v>
      </c>
      <c r="U370" s="34">
        <f t="shared" si="102"/>
        <v>14971.409229305413</v>
      </c>
      <c r="V370" s="31">
        <f>H370+S370-SUM(AB$15:AB370)</f>
        <v>143715.24450000006</v>
      </c>
      <c r="W370" s="32">
        <f t="shared" si="118"/>
        <v>9.5993130839472496</v>
      </c>
      <c r="X370" s="32">
        <f t="shared" si="119"/>
        <v>0.55841383976118486</v>
      </c>
      <c r="Y370" s="32">
        <f t="shared" si="120"/>
        <v>0.91068691605275021</v>
      </c>
      <c r="Z370" s="38">
        <f t="shared" si="121"/>
        <v>0.57442822304036312</v>
      </c>
      <c r="AA370" s="31">
        <f>SUM(L$2:L370)-SUM(AB$2:AB370)</f>
        <v>8352.7129999999706</v>
      </c>
      <c r="AB370" s="176"/>
      <c r="AC370" s="40">
        <f t="shared" si="103"/>
        <v>1201.5175420313833</v>
      </c>
      <c r="AD370" s="40">
        <f t="shared" si="104"/>
        <v>-7398.4824579686165</v>
      </c>
    </row>
    <row r="371" spans="1:30" x14ac:dyDescent="0.25">
      <c r="A371" s="174">
        <v>43158</v>
      </c>
      <c r="B371" s="159" t="s">
        <v>335</v>
      </c>
      <c r="C371" s="46" t="s">
        <v>63</v>
      </c>
      <c r="D371" s="46">
        <v>400</v>
      </c>
      <c r="E371" s="46">
        <v>10.31</v>
      </c>
      <c r="F371" s="102">
        <f t="shared" si="107"/>
        <v>9000</v>
      </c>
      <c r="G371" s="32">
        <f t="shared" si="105"/>
        <v>9.0978592777777951</v>
      </c>
      <c r="H371" s="31">
        <f t="shared" si="108"/>
        <v>81880.733500000162</v>
      </c>
      <c r="I371" s="31">
        <f t="shared" si="109"/>
        <v>10909.266499999838</v>
      </c>
      <c r="J371" s="175">
        <f t="shared" si="110"/>
        <v>0.13323361960356433</v>
      </c>
      <c r="K371" s="31">
        <f t="shared" si="111"/>
        <v>92790</v>
      </c>
      <c r="L371" s="31">
        <f t="shared" si="112"/>
        <v>-1725</v>
      </c>
      <c r="M371" s="31">
        <f t="shared" si="122"/>
        <v>5</v>
      </c>
      <c r="N371" s="31">
        <f t="shared" si="123"/>
        <v>0</v>
      </c>
      <c r="O371" s="125"/>
      <c r="P371" s="32">
        <f t="shared" si="114"/>
        <v>1.2121407222222054</v>
      </c>
      <c r="Q371" s="31">
        <f t="shared" si="115"/>
        <v>-4129</v>
      </c>
      <c r="R371" s="34"/>
      <c r="S371" s="34">
        <f t="shared" si="116"/>
        <v>62834.510999999897</v>
      </c>
      <c r="T371" s="34">
        <f t="shared" si="117"/>
        <v>6094.5209505334524</v>
      </c>
      <c r="U371" s="34">
        <f t="shared" si="102"/>
        <v>15094.520950533453</v>
      </c>
      <c r="V371" s="31">
        <f>H371+S371-SUM(AB$15:AB371)</f>
        <v>143715.24450000006</v>
      </c>
      <c r="W371" s="32">
        <f t="shared" si="118"/>
        <v>9.5210205723634473</v>
      </c>
      <c r="X371" s="32">
        <f t="shared" si="119"/>
        <v>0.42316129458565221</v>
      </c>
      <c r="Y371" s="32">
        <f t="shared" si="120"/>
        <v>0.78897942763655315</v>
      </c>
      <c r="Z371" s="38">
        <f t="shared" si="121"/>
        <v>0.59624283735098804</v>
      </c>
      <c r="AA371" s="31">
        <f>SUM(L$2:L371)-SUM(AB$2:AB371)</f>
        <v>6627.7129999999706</v>
      </c>
      <c r="AB371" s="176"/>
      <c r="AC371" s="40">
        <f t="shared" si="103"/>
        <v>1057.5957193743782</v>
      </c>
      <c r="AD371" s="40">
        <f t="shared" si="104"/>
        <v>-7942.4042806256221</v>
      </c>
    </row>
    <row r="372" spans="1:30" x14ac:dyDescent="0.25">
      <c r="A372" s="174">
        <v>43165</v>
      </c>
      <c r="B372" s="159"/>
      <c r="C372" s="46" t="s">
        <v>69</v>
      </c>
      <c r="D372" s="46">
        <v>400</v>
      </c>
      <c r="E372" s="46">
        <v>10.46</v>
      </c>
      <c r="F372" s="102">
        <f t="shared" si="107"/>
        <v>8600</v>
      </c>
      <c r="G372" s="32">
        <f t="shared" si="105"/>
        <v>9.0355718023255989</v>
      </c>
      <c r="H372" s="31">
        <f t="shared" si="108"/>
        <v>77705.917500000156</v>
      </c>
      <c r="I372" s="31">
        <f t="shared" si="109"/>
        <v>12250.082499999859</v>
      </c>
      <c r="J372" s="175">
        <f t="shared" si="110"/>
        <v>0.15764671332784705</v>
      </c>
      <c r="K372" s="31">
        <f t="shared" si="111"/>
        <v>89956.000000000015</v>
      </c>
      <c r="L372" s="31">
        <f t="shared" si="112"/>
        <v>1340.8160000000207</v>
      </c>
      <c r="M372" s="31">
        <f t="shared" si="122"/>
        <v>5</v>
      </c>
      <c r="N372" s="31">
        <f t="shared" si="123"/>
        <v>4.1840000000000002</v>
      </c>
      <c r="O372" s="125"/>
      <c r="P372" s="32">
        <f t="shared" si="114"/>
        <v>1.424428197674402</v>
      </c>
      <c r="Q372" s="31">
        <f t="shared" si="115"/>
        <v>4174.8160000000062</v>
      </c>
      <c r="R372" s="34"/>
      <c r="S372" s="34">
        <f t="shared" si="116"/>
        <v>67009.326999999903</v>
      </c>
      <c r="T372" s="34">
        <f t="shared" si="117"/>
        <v>6406.2454110898561</v>
      </c>
      <c r="U372" s="34">
        <f t="shared" si="102"/>
        <v>15006.245411089856</v>
      </c>
      <c r="V372" s="31">
        <f>H372+S372-SUM(AB$15:AB372)</f>
        <v>143715.24450000006</v>
      </c>
      <c r="W372" s="32">
        <f t="shared" si="118"/>
        <v>9.577028801207808</v>
      </c>
      <c r="X372" s="32">
        <f t="shared" si="119"/>
        <v>0.54145699888220911</v>
      </c>
      <c r="Y372" s="32">
        <f t="shared" si="120"/>
        <v>0.88297119879219288</v>
      </c>
      <c r="Z372" s="38">
        <f t="shared" si="121"/>
        <v>0.57309471919234789</v>
      </c>
      <c r="AA372" s="31">
        <f>SUM(L$2:L372)-SUM(AB$2:AB372)</f>
        <v>7968.5289999999914</v>
      </c>
      <c r="AB372" s="176"/>
      <c r="AC372" s="40">
        <f t="shared" si="103"/>
        <v>1170.5504262667168</v>
      </c>
      <c r="AD372" s="40">
        <f t="shared" si="104"/>
        <v>-7429.4495737332836</v>
      </c>
    </row>
    <row r="373" spans="1:30" x14ac:dyDescent="0.25">
      <c r="A373" s="174">
        <v>43165</v>
      </c>
      <c r="B373" s="159"/>
      <c r="C373" s="46" t="s">
        <v>69</v>
      </c>
      <c r="D373" s="46">
        <v>400</v>
      </c>
      <c r="E373" s="46">
        <v>10.53</v>
      </c>
      <c r="F373" s="102">
        <f t="shared" si="107"/>
        <v>8200</v>
      </c>
      <c r="G373" s="32">
        <f t="shared" si="105"/>
        <v>8.9637962804878235</v>
      </c>
      <c r="H373" s="31">
        <f t="shared" si="108"/>
        <v>73503.129500000156</v>
      </c>
      <c r="I373" s="31">
        <f t="shared" si="109"/>
        <v>12842.870499999844</v>
      </c>
      <c r="J373" s="175">
        <f t="shared" si="110"/>
        <v>0.17472549247035551</v>
      </c>
      <c r="K373" s="31">
        <f t="shared" si="111"/>
        <v>86346</v>
      </c>
      <c r="L373" s="31">
        <f t="shared" si="112"/>
        <v>592.78799999998591</v>
      </c>
      <c r="M373" s="31">
        <f t="shared" si="122"/>
        <v>5</v>
      </c>
      <c r="N373" s="31">
        <f t="shared" si="123"/>
        <v>4.2119999999999997</v>
      </c>
      <c r="O373" s="125"/>
      <c r="P373" s="32">
        <f t="shared" si="114"/>
        <v>1.5662037195121759</v>
      </c>
      <c r="Q373" s="31">
        <f t="shared" si="115"/>
        <v>4202.7880000000005</v>
      </c>
      <c r="R373" s="34"/>
      <c r="S373" s="34">
        <f t="shared" si="116"/>
        <v>71212.114999999903</v>
      </c>
      <c r="T373" s="34">
        <f t="shared" si="117"/>
        <v>6762.783950617275</v>
      </c>
      <c r="U373" s="34">
        <f t="shared" si="102"/>
        <v>14962.783950617275</v>
      </c>
      <c r="V373" s="31">
        <f>H373+S373-SUM(AB$15:AB373)</f>
        <v>143715.24450000006</v>
      </c>
      <c r="W373" s="32">
        <f t="shared" si="118"/>
        <v>9.6048465963495531</v>
      </c>
      <c r="X373" s="32">
        <f t="shared" si="119"/>
        <v>0.64105031586172956</v>
      </c>
      <c r="Y373" s="32">
        <f t="shared" si="120"/>
        <v>0.92515340365044629</v>
      </c>
      <c r="Z373" s="38">
        <f t="shared" si="121"/>
        <v>0.54802635840115277</v>
      </c>
      <c r="AA373" s="31">
        <f>SUM(L$2:L373)-SUM(AB$2:AB373)</f>
        <v>8561.3169999999773</v>
      </c>
      <c r="AB373" s="176"/>
      <c r="AC373" s="40">
        <f t="shared" si="103"/>
        <v>1219.0359985517421</v>
      </c>
      <c r="AD373" s="40">
        <f t="shared" si="104"/>
        <v>-6980.9640014482575</v>
      </c>
    </row>
    <row r="374" spans="1:30" x14ac:dyDescent="0.25">
      <c r="A374" s="174">
        <v>43166</v>
      </c>
      <c r="B374" s="159" t="s">
        <v>336</v>
      </c>
      <c r="C374" s="46" t="s">
        <v>63</v>
      </c>
      <c r="D374" s="46">
        <v>400</v>
      </c>
      <c r="E374" s="46">
        <v>10.43</v>
      </c>
      <c r="F374" s="102">
        <f t="shared" si="107"/>
        <v>8600</v>
      </c>
      <c r="G374" s="32">
        <f t="shared" si="105"/>
        <v>9.0325731976744361</v>
      </c>
      <c r="H374" s="31">
        <f t="shared" si="108"/>
        <v>77680.129500000156</v>
      </c>
      <c r="I374" s="31">
        <f t="shared" si="109"/>
        <v>12017.870499999844</v>
      </c>
      <c r="J374" s="175">
        <f t="shared" si="110"/>
        <v>0.15470971247543844</v>
      </c>
      <c r="K374" s="31">
        <f t="shared" si="111"/>
        <v>89698</v>
      </c>
      <c r="L374" s="31">
        <f t="shared" si="112"/>
        <v>-825</v>
      </c>
      <c r="M374" s="31">
        <f t="shared" si="122"/>
        <v>5</v>
      </c>
      <c r="N374" s="31">
        <f t="shared" si="123"/>
        <v>0</v>
      </c>
      <c r="O374" s="125"/>
      <c r="P374" s="32">
        <f t="shared" si="114"/>
        <v>1.3974268023255636</v>
      </c>
      <c r="Q374" s="31">
        <f t="shared" si="115"/>
        <v>-4177</v>
      </c>
      <c r="R374" s="34"/>
      <c r="S374" s="34">
        <f t="shared" si="116"/>
        <v>67035.114999999903</v>
      </c>
      <c r="T374" s="34">
        <f t="shared" si="117"/>
        <v>6427.1442953020041</v>
      </c>
      <c r="U374" s="34">
        <f t="shared" si="102"/>
        <v>15027.144295302005</v>
      </c>
      <c r="V374" s="31">
        <f>H374+S374-SUM(AB$15:AB374)</f>
        <v>143715.24450000006</v>
      </c>
      <c r="W374" s="32">
        <f t="shared" si="118"/>
        <v>9.5637096227877656</v>
      </c>
      <c r="X374" s="32">
        <f t="shared" si="119"/>
        <v>0.53113642511332948</v>
      </c>
      <c r="Y374" s="32">
        <f t="shared" si="120"/>
        <v>0.86629037721223412</v>
      </c>
      <c r="Z374" s="38">
        <f t="shared" si="121"/>
        <v>0.57229769216288495</v>
      </c>
      <c r="AA374" s="31">
        <f>SUM(L$2:L374)-SUM(AB$2:AB374)</f>
        <v>7736.3169999999773</v>
      </c>
      <c r="AB374" s="176"/>
      <c r="AC374" s="40">
        <f t="shared" si="103"/>
        <v>1151.664579554156</v>
      </c>
      <c r="AD374" s="40">
        <f t="shared" si="104"/>
        <v>-7448.3354204458437</v>
      </c>
    </row>
    <row r="375" spans="1:30" x14ac:dyDescent="0.25">
      <c r="A375" s="174">
        <v>43171</v>
      </c>
      <c r="B375" s="159" t="s">
        <v>337</v>
      </c>
      <c r="C375" s="46" t="s">
        <v>63</v>
      </c>
      <c r="D375" s="46">
        <v>1000</v>
      </c>
      <c r="E375" s="46">
        <v>10.39</v>
      </c>
      <c r="F375" s="102">
        <f t="shared" si="107"/>
        <v>9600</v>
      </c>
      <c r="G375" s="32">
        <f t="shared" si="105"/>
        <v>9.1744926562500169</v>
      </c>
      <c r="H375" s="31">
        <f t="shared" si="108"/>
        <v>88075.129500000156</v>
      </c>
      <c r="I375" s="31">
        <f t="shared" si="109"/>
        <v>11668.870499999844</v>
      </c>
      <c r="J375" s="175">
        <f t="shared" si="110"/>
        <v>0.13248769052334827</v>
      </c>
      <c r="K375" s="31">
        <f t="shared" si="111"/>
        <v>99744</v>
      </c>
      <c r="L375" s="31">
        <f t="shared" si="112"/>
        <v>-349</v>
      </c>
      <c r="M375" s="31">
        <f t="shared" si="122"/>
        <v>5</v>
      </c>
      <c r="N375" s="31">
        <f t="shared" si="123"/>
        <v>0</v>
      </c>
      <c r="O375" s="125"/>
      <c r="P375" s="32">
        <f t="shared" si="114"/>
        <v>1.2155073437499837</v>
      </c>
      <c r="Q375" s="31">
        <f t="shared" si="115"/>
        <v>-10395</v>
      </c>
      <c r="R375" s="34"/>
      <c r="S375" s="34">
        <f t="shared" si="116"/>
        <v>56640.114999999903</v>
      </c>
      <c r="T375" s="34">
        <f t="shared" si="117"/>
        <v>5451.4066410009527</v>
      </c>
      <c r="U375" s="34">
        <f t="shared" si="102"/>
        <v>15051.406641000953</v>
      </c>
      <c r="V375" s="31">
        <f>H375+S375-SUM(AB$15:AB375)</f>
        <v>143715.24450000006</v>
      </c>
      <c r="W375" s="32">
        <f t="shared" si="118"/>
        <v>9.5482932544331725</v>
      </c>
      <c r="X375" s="32">
        <f t="shared" si="119"/>
        <v>0.37380059818315559</v>
      </c>
      <c r="Y375" s="32">
        <f t="shared" si="120"/>
        <v>0.84170674556682812</v>
      </c>
      <c r="Z375" s="38">
        <f t="shared" si="121"/>
        <v>0.6378141411613325</v>
      </c>
      <c r="AA375" s="31">
        <f>SUM(L$2:L375)-SUM(AB$2:AB375)</f>
        <v>7387.3169999999773</v>
      </c>
      <c r="AB375" s="176"/>
      <c r="AC375" s="40">
        <f t="shared" si="103"/>
        <v>1122.5251265399272</v>
      </c>
      <c r="AD375" s="40">
        <f t="shared" si="104"/>
        <v>-8477.4748734600726</v>
      </c>
    </row>
    <row r="376" spans="1:30" x14ac:dyDescent="0.25">
      <c r="A376" s="174">
        <v>43172</v>
      </c>
      <c r="B376" s="159"/>
      <c r="C376" s="46" t="s">
        <v>69</v>
      </c>
      <c r="D376" s="46">
        <v>400</v>
      </c>
      <c r="E376" s="46">
        <v>10.49</v>
      </c>
      <c r="F376" s="102">
        <f t="shared" si="107"/>
        <v>9200</v>
      </c>
      <c r="G376" s="32">
        <f t="shared" si="105"/>
        <v>9.1182962500000162</v>
      </c>
      <c r="H376" s="31">
        <f t="shared" si="108"/>
        <v>83888.325500000152</v>
      </c>
      <c r="I376" s="31">
        <f t="shared" si="109"/>
        <v>12619.674499999848</v>
      </c>
      <c r="J376" s="175">
        <f t="shared" si="110"/>
        <v>0.15043421626051923</v>
      </c>
      <c r="K376" s="31">
        <f t="shared" si="111"/>
        <v>96508</v>
      </c>
      <c r="L376" s="31">
        <f t="shared" si="112"/>
        <v>950.80400000000373</v>
      </c>
      <c r="M376" s="31">
        <f t="shared" si="122"/>
        <v>5</v>
      </c>
      <c r="N376" s="31">
        <f t="shared" si="123"/>
        <v>4.1959999999999997</v>
      </c>
      <c r="O376" s="125"/>
      <c r="P376" s="32">
        <f t="shared" si="114"/>
        <v>1.371703749999984</v>
      </c>
      <c r="Q376" s="31">
        <f t="shared" si="115"/>
        <v>4186.8040000000037</v>
      </c>
      <c r="R376" s="34"/>
      <c r="S376" s="34">
        <f t="shared" si="116"/>
        <v>60826.918999999907</v>
      </c>
      <c r="T376" s="34">
        <f t="shared" si="117"/>
        <v>5798.5623450905532</v>
      </c>
      <c r="U376" s="34">
        <f t="shared" si="102"/>
        <v>14998.562345090553</v>
      </c>
      <c r="V376" s="31">
        <f>H376+S376-SUM(AB$15:AB376)</f>
        <v>143715.24450000006</v>
      </c>
      <c r="W376" s="32">
        <f t="shared" si="118"/>
        <v>9.5819346676944708</v>
      </c>
      <c r="X376" s="32">
        <f t="shared" si="119"/>
        <v>0.46363841769445457</v>
      </c>
      <c r="Y376" s="32">
        <f t="shared" si="120"/>
        <v>0.90806533230552944</v>
      </c>
      <c r="Z376" s="38">
        <f t="shared" si="121"/>
        <v>0.61339212307981072</v>
      </c>
      <c r="AA376" s="31">
        <f>SUM(L$2:L376)-SUM(AB$2:AB376)</f>
        <v>8338.120999999981</v>
      </c>
      <c r="AB376" s="176"/>
      <c r="AC376" s="40">
        <f t="shared" si="103"/>
        <v>1202.4179850095184</v>
      </c>
      <c r="AD376" s="40">
        <f t="shared" si="104"/>
        <v>-7997.5820149904812</v>
      </c>
    </row>
    <row r="377" spans="1:30" x14ac:dyDescent="0.25">
      <c r="A377" s="174">
        <v>43172</v>
      </c>
      <c r="B377" s="159" t="s">
        <v>338</v>
      </c>
      <c r="C377" s="46" t="s">
        <v>63</v>
      </c>
      <c r="D377" s="46">
        <v>500</v>
      </c>
      <c r="E377" s="46">
        <v>10.35</v>
      </c>
      <c r="F377" s="102">
        <f t="shared" si="107"/>
        <v>9700</v>
      </c>
      <c r="G377" s="32">
        <f t="shared" si="105"/>
        <v>9.1823015979381601</v>
      </c>
      <c r="H377" s="31">
        <f t="shared" si="108"/>
        <v>89068.325500000152</v>
      </c>
      <c r="I377" s="31">
        <f t="shared" si="109"/>
        <v>11326.674499999848</v>
      </c>
      <c r="J377" s="175">
        <f t="shared" si="110"/>
        <v>0.12716837816828411</v>
      </c>
      <c r="K377" s="31">
        <f t="shared" si="111"/>
        <v>100395</v>
      </c>
      <c r="L377" s="31">
        <f t="shared" si="112"/>
        <v>-1293</v>
      </c>
      <c r="M377" s="31">
        <f t="shared" si="122"/>
        <v>5</v>
      </c>
      <c r="N377" s="31">
        <f t="shared" si="123"/>
        <v>0</v>
      </c>
      <c r="O377" s="125"/>
      <c r="P377" s="32">
        <f t="shared" si="114"/>
        <v>1.1676984020618395</v>
      </c>
      <c r="Q377" s="31">
        <f t="shared" si="115"/>
        <v>-5180</v>
      </c>
      <c r="R377" s="34"/>
      <c r="S377" s="34">
        <f t="shared" si="116"/>
        <v>55646.918999999907</v>
      </c>
      <c r="T377" s="34">
        <f t="shared" si="117"/>
        <v>5376.5139130434691</v>
      </c>
      <c r="U377" s="34">
        <f t="shared" si="102"/>
        <v>15076.513913043469</v>
      </c>
      <c r="V377" s="31">
        <f>H377+S377-SUM(AB$15:AB377)</f>
        <v>143715.24450000006</v>
      </c>
      <c r="W377" s="32">
        <f t="shared" si="118"/>
        <v>9.5323922578458014</v>
      </c>
      <c r="X377" s="32">
        <f t="shared" si="119"/>
        <v>0.35009065990764121</v>
      </c>
      <c r="Y377" s="32">
        <f t="shared" si="120"/>
        <v>0.81760774215419829</v>
      </c>
      <c r="Z377" s="38">
        <f t="shared" si="121"/>
        <v>0.64338480738627712</v>
      </c>
      <c r="AA377" s="31">
        <f>SUM(L$2:L377)-SUM(AB$2:AB377)</f>
        <v>7045.120999999981</v>
      </c>
      <c r="AB377" s="176"/>
      <c r="AC377" s="40">
        <f t="shared" si="103"/>
        <v>1093.8175036473285</v>
      </c>
      <c r="AD377" s="40">
        <f t="shared" si="104"/>
        <v>-8606.1824963526706</v>
      </c>
    </row>
    <row r="378" spans="1:30" x14ac:dyDescent="0.25">
      <c r="A378" s="174">
        <v>43173</v>
      </c>
      <c r="B378" s="159" t="s">
        <v>339</v>
      </c>
      <c r="C378" s="46" t="s">
        <v>63</v>
      </c>
      <c r="D378" s="46">
        <v>500</v>
      </c>
      <c r="E378" s="46">
        <v>10.24</v>
      </c>
      <c r="F378" s="102">
        <f t="shared" si="107"/>
        <v>10200</v>
      </c>
      <c r="G378" s="32">
        <f t="shared" si="105"/>
        <v>9.2346397549019752</v>
      </c>
      <c r="H378" s="31">
        <f t="shared" si="108"/>
        <v>94193.325500000152</v>
      </c>
      <c r="I378" s="31">
        <f t="shared" si="109"/>
        <v>10254.674499999848</v>
      </c>
      <c r="J378" s="175">
        <f t="shared" si="110"/>
        <v>0.10886837730344109</v>
      </c>
      <c r="K378" s="31">
        <f t="shared" si="111"/>
        <v>104448</v>
      </c>
      <c r="L378" s="31">
        <f t="shared" si="112"/>
        <v>-1072</v>
      </c>
      <c r="M378" s="31">
        <f t="shared" si="122"/>
        <v>5</v>
      </c>
      <c r="N378" s="31">
        <f t="shared" si="123"/>
        <v>0</v>
      </c>
      <c r="O378" s="125"/>
      <c r="P378" s="32">
        <f t="shared" si="114"/>
        <v>1.005360245098025</v>
      </c>
      <c r="Q378" s="31">
        <f t="shared" si="115"/>
        <v>-5125</v>
      </c>
      <c r="R378" s="34"/>
      <c r="S378" s="34">
        <f t="shared" si="116"/>
        <v>50521.918999999907</v>
      </c>
      <c r="T378" s="34">
        <f t="shared" si="117"/>
        <v>4933.7811523437413</v>
      </c>
      <c r="U378" s="34">
        <f t="shared" si="102"/>
        <v>15133.781152343741</v>
      </c>
      <c r="V378" s="31">
        <f>H378+S378-SUM(AB$15:AB378)</f>
        <v>143715.24450000006</v>
      </c>
      <c r="W378" s="32">
        <f t="shared" si="118"/>
        <v>9.4963210484739395</v>
      </c>
      <c r="X378" s="32">
        <f t="shared" si="119"/>
        <v>0.26168129357196435</v>
      </c>
      <c r="Y378" s="32">
        <f t="shared" si="120"/>
        <v>0.74367895152606067</v>
      </c>
      <c r="Z378" s="38">
        <f t="shared" si="121"/>
        <v>0.67398886618763776</v>
      </c>
      <c r="AA378" s="31">
        <f>SUM(L$2:L378)-SUM(AB$2:AB378)</f>
        <v>5973.120999999981</v>
      </c>
      <c r="AB378" s="176"/>
      <c r="AC378" s="40">
        <f t="shared" si="103"/>
        <v>1000.9323401122899</v>
      </c>
      <c r="AD378" s="40">
        <f t="shared" si="104"/>
        <v>-9199.0676598877108</v>
      </c>
    </row>
    <row r="379" spans="1:30" x14ac:dyDescent="0.25">
      <c r="A379" s="174">
        <v>43174</v>
      </c>
      <c r="B379" s="159"/>
      <c r="C379" s="46" t="s">
        <v>63</v>
      </c>
      <c r="D379" s="46">
        <v>500</v>
      </c>
      <c r="E379" s="46">
        <v>10.19</v>
      </c>
      <c r="F379" s="102">
        <f t="shared" si="107"/>
        <v>10700</v>
      </c>
      <c r="G379" s="32">
        <f t="shared" si="105"/>
        <v>9.2797500467289868</v>
      </c>
      <c r="H379" s="31">
        <f t="shared" si="108"/>
        <v>99293.325500000152</v>
      </c>
      <c r="I379" s="31">
        <f t="shared" si="109"/>
        <v>9739.6744999998482</v>
      </c>
      <c r="J379" s="175">
        <f t="shared" si="110"/>
        <v>9.8089921462040472E-2</v>
      </c>
      <c r="K379" s="31">
        <f t="shared" si="111"/>
        <v>109033</v>
      </c>
      <c r="L379" s="31">
        <f t="shared" si="112"/>
        <v>-515</v>
      </c>
      <c r="M379" s="31">
        <f t="shared" si="122"/>
        <v>5</v>
      </c>
      <c r="N379" s="31">
        <f t="shared" si="123"/>
        <v>0</v>
      </c>
      <c r="O379" s="125"/>
      <c r="P379" s="32">
        <f t="shared" si="114"/>
        <v>0.91024995327101266</v>
      </c>
      <c r="Q379" s="31">
        <f t="shared" si="115"/>
        <v>-5100</v>
      </c>
      <c r="R379" s="34"/>
      <c r="S379" s="34">
        <f t="shared" si="116"/>
        <v>45421.918999999907</v>
      </c>
      <c r="T379" s="34">
        <f t="shared" si="117"/>
        <v>4457.4994111874294</v>
      </c>
      <c r="U379" s="34">
        <f t="shared" si="102"/>
        <v>15157.499411187429</v>
      </c>
      <c r="V379" s="31">
        <f>H379+S379-SUM(AB$15:AB379)</f>
        <v>143715.24450000006</v>
      </c>
      <c r="W379" s="32">
        <f t="shared" si="118"/>
        <v>9.4814613282403872</v>
      </c>
      <c r="X379" s="32">
        <f t="shared" si="119"/>
        <v>0.20171128151140039</v>
      </c>
      <c r="Y379" s="32">
        <f t="shared" si="120"/>
        <v>0.70853867175961227</v>
      </c>
      <c r="Z379" s="38">
        <f t="shared" si="121"/>
        <v>0.70592118856376507</v>
      </c>
      <c r="AA379" s="31">
        <f>SUM(L$2:L379)-SUM(AB$2:AB379)</f>
        <v>5458.120999999981</v>
      </c>
      <c r="AB379" s="176"/>
      <c r="AC379" s="40">
        <f t="shared" si="103"/>
        <v>955.32921126102542</v>
      </c>
      <c r="AD379" s="40">
        <f t="shared" si="104"/>
        <v>-9744.6707887389748</v>
      </c>
    </row>
    <row r="380" spans="1:30" x14ac:dyDescent="0.25">
      <c r="A380" s="174">
        <v>43178</v>
      </c>
      <c r="B380" s="159" t="s">
        <v>340</v>
      </c>
      <c r="C380" s="46" t="s">
        <v>63</v>
      </c>
      <c r="D380" s="46">
        <v>500</v>
      </c>
      <c r="E380" s="46">
        <v>10.11</v>
      </c>
      <c r="F380" s="102">
        <f t="shared" si="107"/>
        <v>11200</v>
      </c>
      <c r="G380" s="32">
        <f t="shared" si="105"/>
        <v>9.3172612053571573</v>
      </c>
      <c r="H380" s="31">
        <f t="shared" si="108"/>
        <v>104353.32550000015</v>
      </c>
      <c r="I380" s="31">
        <f t="shared" si="109"/>
        <v>8878.6744999998482</v>
      </c>
      <c r="J380" s="175">
        <f t="shared" si="110"/>
        <v>8.5082813196976831E-2</v>
      </c>
      <c r="K380" s="31">
        <f t="shared" si="111"/>
        <v>113232</v>
      </c>
      <c r="L380" s="31">
        <f t="shared" si="112"/>
        <v>-861</v>
      </c>
      <c r="M380" s="31">
        <f t="shared" si="122"/>
        <v>5</v>
      </c>
      <c r="N380" s="31">
        <f t="shared" si="123"/>
        <v>0</v>
      </c>
      <c r="O380" s="125"/>
      <c r="P380" s="32">
        <f t="shared" si="114"/>
        <v>0.79273879464284214</v>
      </c>
      <c r="Q380" s="31">
        <f t="shared" si="115"/>
        <v>-5060</v>
      </c>
      <c r="R380" s="34"/>
      <c r="S380" s="34">
        <f t="shared" si="116"/>
        <v>40361.918999999907</v>
      </c>
      <c r="T380" s="34">
        <f t="shared" si="117"/>
        <v>3992.2768545993977</v>
      </c>
      <c r="U380" s="34">
        <f t="shared" si="102"/>
        <v>15192.276854599397</v>
      </c>
      <c r="V380" s="31">
        <f>H380+S380-SUM(AB$15:AB380)</f>
        <v>143715.24450000006</v>
      </c>
      <c r="W380" s="32">
        <f t="shared" si="118"/>
        <v>9.4597568142981068</v>
      </c>
      <c r="X380" s="32">
        <f t="shared" si="119"/>
        <v>0.14249560894094948</v>
      </c>
      <c r="Y380" s="32">
        <f t="shared" si="120"/>
        <v>0.65024318570189266</v>
      </c>
      <c r="Z380" s="38">
        <f t="shared" si="121"/>
        <v>0.73721668629342074</v>
      </c>
      <c r="AA380" s="31">
        <f>SUM(L$2:L380)-SUM(AB$2:AB380)</f>
        <v>4597.120999999981</v>
      </c>
      <c r="AB380" s="176"/>
      <c r="AC380" s="40">
        <f t="shared" si="103"/>
        <v>877.76806753213145</v>
      </c>
      <c r="AD380" s="40">
        <f t="shared" si="104"/>
        <v>-10322.231932467868</v>
      </c>
    </row>
    <row r="381" spans="1:30" x14ac:dyDescent="0.25">
      <c r="A381" s="174">
        <v>43179</v>
      </c>
      <c r="B381" s="159" t="s">
        <v>341</v>
      </c>
      <c r="C381" s="46" t="s">
        <v>63</v>
      </c>
      <c r="D381" s="46">
        <v>500</v>
      </c>
      <c r="E381" s="46">
        <v>9.99</v>
      </c>
      <c r="F381" s="102">
        <f t="shared" si="107"/>
        <v>11700</v>
      </c>
      <c r="G381" s="32">
        <f t="shared" si="105"/>
        <v>9.3464380769230893</v>
      </c>
      <c r="H381" s="31">
        <f t="shared" si="108"/>
        <v>109353.32550000015</v>
      </c>
      <c r="I381" s="31">
        <f t="shared" si="109"/>
        <v>7529.6744999998482</v>
      </c>
      <c r="J381" s="175">
        <f t="shared" si="110"/>
        <v>6.8856383338793375E-2</v>
      </c>
      <c r="K381" s="31">
        <f t="shared" si="111"/>
        <v>116883</v>
      </c>
      <c r="L381" s="31">
        <f t="shared" si="112"/>
        <v>-1349</v>
      </c>
      <c r="M381" s="31">
        <f t="shared" si="122"/>
        <v>5</v>
      </c>
      <c r="N381" s="31">
        <f t="shared" si="123"/>
        <v>0</v>
      </c>
      <c r="O381" s="125"/>
      <c r="P381" s="32">
        <f t="shared" si="114"/>
        <v>0.64356192307691096</v>
      </c>
      <c r="Q381" s="31">
        <f t="shared" si="115"/>
        <v>-5000</v>
      </c>
      <c r="R381" s="34"/>
      <c r="S381" s="34">
        <f t="shared" si="116"/>
        <v>35361.918999999907</v>
      </c>
      <c r="T381" s="34">
        <f t="shared" si="117"/>
        <v>3539.7316316316223</v>
      </c>
      <c r="U381" s="34">
        <f t="shared" si="102"/>
        <v>15239.731631631623</v>
      </c>
      <c r="V381" s="31">
        <f>H381+S381-SUM(AB$15:AB381)</f>
        <v>143715.24450000006</v>
      </c>
      <c r="W381" s="32">
        <f t="shared" si="118"/>
        <v>9.4303002161602603</v>
      </c>
      <c r="X381" s="32">
        <f t="shared" si="119"/>
        <v>8.3862139237171007E-2</v>
      </c>
      <c r="Y381" s="32">
        <f t="shared" si="120"/>
        <v>0.55969978383973995</v>
      </c>
      <c r="Z381" s="38">
        <f t="shared" si="121"/>
        <v>0.76773005475473421</v>
      </c>
      <c r="AA381" s="31">
        <f>SUM(L$2:L381)-SUM(AB$2:AB381)</f>
        <v>3248.120999999981</v>
      </c>
      <c r="AB381" s="176"/>
      <c r="AC381" s="40">
        <f t="shared" si="103"/>
        <v>753.3443105855705</v>
      </c>
      <c r="AD381" s="40">
        <f t="shared" si="104"/>
        <v>-10946.655689414429</v>
      </c>
    </row>
    <row r="382" spans="1:30" x14ac:dyDescent="0.25">
      <c r="A382" s="136">
        <v>43182</v>
      </c>
      <c r="B382" s="159" t="s">
        <v>342</v>
      </c>
      <c r="C382" s="46" t="s">
        <v>63</v>
      </c>
      <c r="D382" s="46">
        <v>500</v>
      </c>
      <c r="E382" s="46">
        <v>9.7899999999999991</v>
      </c>
      <c r="F382" s="102">
        <f t="shared" si="107"/>
        <v>12200</v>
      </c>
      <c r="G382" s="32">
        <f t="shared" si="105"/>
        <v>9.3650266803278814</v>
      </c>
      <c r="H382" s="31">
        <f t="shared" si="108"/>
        <v>114253.32550000015</v>
      </c>
      <c r="I382" s="31">
        <f t="shared" si="109"/>
        <v>5184.6744999998336</v>
      </c>
      <c r="J382" s="175">
        <f t="shared" si="110"/>
        <v>4.5378762301319875E-2</v>
      </c>
      <c r="K382" s="31">
        <f t="shared" si="111"/>
        <v>119437.99999999999</v>
      </c>
      <c r="L382" s="31">
        <f t="shared" si="112"/>
        <v>-2345.0000000000146</v>
      </c>
      <c r="M382" s="31">
        <f t="shared" si="122"/>
        <v>5</v>
      </c>
      <c r="N382" s="31">
        <f t="shared" si="123"/>
        <v>0</v>
      </c>
      <c r="O382" s="125"/>
      <c r="P382" s="32">
        <f t="shared" si="114"/>
        <v>0.42497331967211771</v>
      </c>
      <c r="Q382" s="31">
        <f t="shared" si="115"/>
        <v>-4900</v>
      </c>
      <c r="R382" s="34"/>
      <c r="S382" s="34">
        <f t="shared" si="116"/>
        <v>30461.918999999907</v>
      </c>
      <c r="T382" s="34">
        <f t="shared" si="117"/>
        <v>3111.534116445343</v>
      </c>
      <c r="U382" s="34">
        <f t="shared" si="102"/>
        <v>15311.534116445342</v>
      </c>
      <c r="V382" s="31">
        <f>H382+S382-SUM(AB$15:AB382)</f>
        <v>143715.24450000006</v>
      </c>
      <c r="W382" s="32">
        <f t="shared" si="118"/>
        <v>9.3860774111225602</v>
      </c>
      <c r="X382" s="32">
        <f t="shared" si="119"/>
        <v>2.1050730794678785E-2</v>
      </c>
      <c r="Y382" s="32">
        <f t="shared" si="120"/>
        <v>0.40392258887743893</v>
      </c>
      <c r="Z382" s="38">
        <f t="shared" si="121"/>
        <v>0.79678495356625301</v>
      </c>
      <c r="AA382" s="31">
        <f>SUM(L$2:L382)-SUM(AB$2:AB382)</f>
        <v>903.12099999996644</v>
      </c>
      <c r="AB382" s="176"/>
      <c r="AC382" s="40">
        <f t="shared" si="103"/>
        <v>529.3240207098911</v>
      </c>
      <c r="AD382" s="40">
        <f t="shared" si="104"/>
        <v>-11670.675979290108</v>
      </c>
    </row>
    <row r="383" spans="1:30" x14ac:dyDescent="0.25">
      <c r="A383" s="136">
        <v>43182</v>
      </c>
      <c r="B383" s="159" t="s">
        <v>343</v>
      </c>
      <c r="C383" s="46" t="s">
        <v>63</v>
      </c>
      <c r="D383" s="46">
        <v>500</v>
      </c>
      <c r="E383" s="46">
        <v>9.5299999999999994</v>
      </c>
      <c r="F383" s="102">
        <f t="shared" si="107"/>
        <v>12700</v>
      </c>
      <c r="G383" s="32">
        <f t="shared" si="105"/>
        <v>9.3719153937007995</v>
      </c>
      <c r="H383" s="31">
        <f t="shared" si="108"/>
        <v>119023.32550000015</v>
      </c>
      <c r="I383" s="31">
        <f t="shared" si="109"/>
        <v>2007.6744999998336</v>
      </c>
      <c r="J383" s="175">
        <f t="shared" si="110"/>
        <v>1.6867907963131441E-2</v>
      </c>
      <c r="K383" s="31">
        <f t="shared" si="111"/>
        <v>121030.99999999999</v>
      </c>
      <c r="L383" s="31">
        <f t="shared" si="112"/>
        <v>-3177</v>
      </c>
      <c r="M383" s="31">
        <f t="shared" si="122"/>
        <v>5</v>
      </c>
      <c r="N383" s="31">
        <f t="shared" si="123"/>
        <v>0</v>
      </c>
      <c r="O383" s="125"/>
      <c r="P383" s="32">
        <f t="shared" si="114"/>
        <v>0.15808460629919985</v>
      </c>
      <c r="Q383" s="31">
        <f t="shared" si="115"/>
        <v>-4770</v>
      </c>
      <c r="R383" s="34"/>
      <c r="S383" s="34">
        <f t="shared" si="116"/>
        <v>25691.918999999907</v>
      </c>
      <c r="T383" s="34">
        <f t="shared" si="117"/>
        <v>2695.8991605456358</v>
      </c>
      <c r="U383" s="34">
        <f t="shared" si="102"/>
        <v>15395.899160545636</v>
      </c>
      <c r="V383" s="31">
        <f>H383+S383-SUM(AB$15:AB383)</f>
        <v>143715.24450000006</v>
      </c>
      <c r="W383" s="32">
        <f t="shared" si="118"/>
        <v>9.3346444401436788</v>
      </c>
      <c r="X383" s="32">
        <f t="shared" si="119"/>
        <v>-3.7270953557120734E-2</v>
      </c>
      <c r="Y383" s="32">
        <f t="shared" si="120"/>
        <v>0.19535555985632058</v>
      </c>
      <c r="Z383" s="38">
        <f t="shared" si="121"/>
        <v>0.82489498453885091</v>
      </c>
      <c r="AA383" s="31">
        <f>SUM(L$2:L383)-SUM(AB$2:AB383)</f>
        <v>-2273.8790000000336</v>
      </c>
      <c r="AB383" s="176"/>
      <c r="AC383" s="40">
        <f t="shared" si="103"/>
        <v>210.56355327910114</v>
      </c>
      <c r="AD383" s="40">
        <f t="shared" si="104"/>
        <v>-12489.436446720898</v>
      </c>
    </row>
    <row r="384" spans="1:30" x14ac:dyDescent="0.25">
      <c r="A384" s="136">
        <v>43185</v>
      </c>
      <c r="B384" s="159"/>
      <c r="C384" s="46" t="s">
        <v>63</v>
      </c>
      <c r="D384" s="46">
        <v>500</v>
      </c>
      <c r="E384" s="46">
        <v>9.59</v>
      </c>
      <c r="F384" s="102">
        <f t="shared" si="107"/>
        <v>13200</v>
      </c>
      <c r="G384" s="32">
        <f t="shared" si="105"/>
        <v>9.3805549621212236</v>
      </c>
      <c r="H384" s="31">
        <f t="shared" si="108"/>
        <v>123823.32550000015</v>
      </c>
      <c r="I384" s="31">
        <f t="shared" si="109"/>
        <v>2764.6744999998482</v>
      </c>
      <c r="J384" s="175">
        <f t="shared" si="110"/>
        <v>2.2327574298590801E-2</v>
      </c>
      <c r="K384" s="31">
        <f t="shared" si="111"/>
        <v>126588</v>
      </c>
      <c r="L384" s="31">
        <f t="shared" si="112"/>
        <v>757.00000000001455</v>
      </c>
      <c r="M384" s="31">
        <f t="shared" si="122"/>
        <v>5</v>
      </c>
      <c r="N384" s="31">
        <f t="shared" si="123"/>
        <v>0</v>
      </c>
      <c r="O384" s="125"/>
      <c r="P384" s="32">
        <f t="shared" si="114"/>
        <v>0.20944503787877622</v>
      </c>
      <c r="Q384" s="31">
        <f t="shared" si="115"/>
        <v>-4800</v>
      </c>
      <c r="R384" s="34"/>
      <c r="S384" s="34">
        <f t="shared" si="116"/>
        <v>20891.918999999907</v>
      </c>
      <c r="T384" s="34">
        <f t="shared" si="117"/>
        <v>2178.5108446298132</v>
      </c>
      <c r="U384" s="34">
        <f t="shared" si="102"/>
        <v>15378.510844629813</v>
      </c>
      <c r="V384" s="31">
        <f>H384+S384-SUM(AB$15:AB384)</f>
        <v>143715.24450000006</v>
      </c>
      <c r="W384" s="32">
        <f t="shared" si="118"/>
        <v>9.3451990216715632</v>
      </c>
      <c r="X384" s="32">
        <f t="shared" si="119"/>
        <v>-3.5355940449660395E-2</v>
      </c>
      <c r="Y384" s="32">
        <f t="shared" si="120"/>
        <v>0.24480097832843661</v>
      </c>
      <c r="Z384" s="38">
        <f t="shared" si="121"/>
        <v>0.85834058533758806</v>
      </c>
      <c r="AA384" s="31">
        <f>SUM(L$2:L384)-SUM(AB$2:AB384)</f>
        <v>-1516.879000000019</v>
      </c>
      <c r="AB384" s="176"/>
      <c r="AC384" s="40">
        <f t="shared" si="103"/>
        <v>288.14308266421773</v>
      </c>
      <c r="AD384" s="40">
        <f t="shared" si="104"/>
        <v>-12911.856917335783</v>
      </c>
    </row>
    <row r="385" spans="1:30" x14ac:dyDescent="0.25">
      <c r="A385" s="136">
        <v>43185</v>
      </c>
      <c r="B385" s="159" t="s">
        <v>344</v>
      </c>
      <c r="C385" s="46" t="s">
        <v>69</v>
      </c>
      <c r="D385" s="46">
        <v>400</v>
      </c>
      <c r="E385" s="46">
        <v>9.77</v>
      </c>
      <c r="F385" s="102">
        <f t="shared" si="107"/>
        <v>12800</v>
      </c>
      <c r="G385" s="32">
        <f t="shared" si="105"/>
        <v>9.3690807421875117</v>
      </c>
      <c r="H385" s="31">
        <f t="shared" si="108"/>
        <v>119924.23350000015</v>
      </c>
      <c r="I385" s="31">
        <f t="shared" si="109"/>
        <v>5131.7664999998524</v>
      </c>
      <c r="J385" s="175">
        <f t="shared" si="110"/>
        <v>4.2791739002441383E-2</v>
      </c>
      <c r="K385" s="31">
        <f t="shared" si="111"/>
        <v>125056</v>
      </c>
      <c r="L385" s="31">
        <f t="shared" si="112"/>
        <v>2367.0920000000042</v>
      </c>
      <c r="M385" s="31">
        <f t="shared" si="122"/>
        <v>5</v>
      </c>
      <c r="N385" s="31">
        <f t="shared" si="123"/>
        <v>3.9079999999999999</v>
      </c>
      <c r="O385" s="125"/>
      <c r="P385" s="32">
        <f t="shared" si="114"/>
        <v>0.40091925781248783</v>
      </c>
      <c r="Q385" s="31">
        <f t="shared" si="115"/>
        <v>3899.0920000000042</v>
      </c>
      <c r="R385" s="34"/>
      <c r="S385" s="34">
        <f t="shared" si="116"/>
        <v>24791.010999999911</v>
      </c>
      <c r="T385" s="34">
        <f t="shared" si="117"/>
        <v>2537.4627430910864</v>
      </c>
      <c r="U385" s="34">
        <f t="shared" si="102"/>
        <v>15337.462743091086</v>
      </c>
      <c r="V385" s="31">
        <f>H385+S385-SUM(AB$15:AB385)</f>
        <v>143715.24450000006</v>
      </c>
      <c r="W385" s="32">
        <f t="shared" si="118"/>
        <v>9.3702098520003272</v>
      </c>
      <c r="X385" s="32">
        <f t="shared" si="119"/>
        <v>1.1291098128154431E-3</v>
      </c>
      <c r="Y385" s="32">
        <f t="shared" si="120"/>
        <v>0.39979014799967239</v>
      </c>
      <c r="Z385" s="38">
        <f t="shared" si="121"/>
        <v>0.83455785447732467</v>
      </c>
      <c r="AA385" s="31">
        <f>SUM(L$2:L385)-SUM(AB$2:AB385)</f>
        <v>850.21299999998519</v>
      </c>
      <c r="AB385" s="176"/>
      <c r="AC385" s="40">
        <f t="shared" si="103"/>
        <v>524.99494541963691</v>
      </c>
      <c r="AD385" s="40">
        <f t="shared" si="104"/>
        <v>-12275.005054580362</v>
      </c>
    </row>
    <row r="386" spans="1:30" x14ac:dyDescent="0.25">
      <c r="A386" s="136">
        <v>43187</v>
      </c>
      <c r="B386" s="159" t="s">
        <v>345</v>
      </c>
      <c r="C386" s="46" t="s">
        <v>63</v>
      </c>
      <c r="D386" s="46">
        <v>500</v>
      </c>
      <c r="E386" s="46">
        <v>9.67</v>
      </c>
      <c r="F386" s="102">
        <f t="shared" si="107"/>
        <v>13300</v>
      </c>
      <c r="G386" s="32">
        <f t="shared" si="105"/>
        <v>9.3807694360902367</v>
      </c>
      <c r="H386" s="31">
        <f t="shared" si="108"/>
        <v>124764.23350000015</v>
      </c>
      <c r="I386" s="31">
        <f t="shared" si="109"/>
        <v>3846.7664999998524</v>
      </c>
      <c r="J386" s="175">
        <f t="shared" si="110"/>
        <v>3.0832285760805368E-2</v>
      </c>
      <c r="K386" s="31">
        <f t="shared" si="111"/>
        <v>128611</v>
      </c>
      <c r="L386" s="31">
        <f t="shared" si="112"/>
        <v>-1285</v>
      </c>
      <c r="M386" s="31">
        <f t="shared" si="122"/>
        <v>5</v>
      </c>
      <c r="N386" s="31">
        <f t="shared" si="123"/>
        <v>0</v>
      </c>
      <c r="O386" s="125"/>
      <c r="P386" s="32">
        <f t="shared" si="114"/>
        <v>0.28923056390976321</v>
      </c>
      <c r="Q386" s="31">
        <f t="shared" si="115"/>
        <v>-4840</v>
      </c>
      <c r="R386" s="34"/>
      <c r="S386" s="31">
        <f t="shared" ref="S386:S449" si="124">E386-E385</f>
        <v>-9.9999999999999645E-2</v>
      </c>
      <c r="T386" s="31">
        <f t="shared" ref="T386:T449" si="125">F386-F385</f>
        <v>500</v>
      </c>
      <c r="U386" s="31">
        <f t="shared" ref="U386:U449" si="126">G386-G385</f>
        <v>1.1688693902724978E-2</v>
      </c>
      <c r="V386" s="31">
        <f t="shared" ref="V386:V449" si="127">U386/S386</f>
        <v>-0.1168869390272502</v>
      </c>
      <c r="W386" s="31">
        <f t="shared" ref="W386:W449" si="128">L386/Q386</f>
        <v>0.26549586776859502</v>
      </c>
      <c r="X386" s="32">
        <f t="shared" si="119"/>
        <v>-9.1152735683216424</v>
      </c>
      <c r="Y386" s="32">
        <f t="shared" si="120"/>
        <v>9.4045041322314056</v>
      </c>
      <c r="Z386" s="38">
        <f t="shared" si="121"/>
        <v>1137851.6804943774</v>
      </c>
      <c r="AA386" s="31">
        <f>SUM(L$2:L386)-SUM(AB$2:AB386)</f>
        <v>-434.78700000001481</v>
      </c>
      <c r="AB386" s="176"/>
      <c r="AC386" s="40">
        <f t="shared" si="103"/>
        <v>397.605286116841</v>
      </c>
      <c r="AD386" s="40">
        <f t="shared" si="104"/>
        <v>-12902.394713883159</v>
      </c>
    </row>
    <row r="387" spans="1:30" x14ac:dyDescent="0.25">
      <c r="A387" s="136">
        <v>43193</v>
      </c>
      <c r="B387" s="159" t="s">
        <v>346</v>
      </c>
      <c r="C387" s="46" t="s">
        <v>63</v>
      </c>
      <c r="D387" s="46">
        <v>500</v>
      </c>
      <c r="E387" s="46">
        <v>9.5399999999999991</v>
      </c>
      <c r="F387" s="102">
        <f t="shared" si="107"/>
        <v>13800</v>
      </c>
      <c r="G387" s="32">
        <f t="shared" si="105"/>
        <v>9.386900978260881</v>
      </c>
      <c r="H387" s="31">
        <f t="shared" si="108"/>
        <v>129539.23350000015</v>
      </c>
      <c r="I387" s="31">
        <f t="shared" si="109"/>
        <v>2112.7664999998524</v>
      </c>
      <c r="J387" s="175">
        <f t="shared" si="110"/>
        <v>1.6309857970557066E-2</v>
      </c>
      <c r="K387" s="31">
        <f t="shared" si="111"/>
        <v>131652</v>
      </c>
      <c r="L387" s="31">
        <f t="shared" si="112"/>
        <v>-1734</v>
      </c>
      <c r="M387" s="31">
        <f t="shared" si="122"/>
        <v>5</v>
      </c>
      <c r="N387" s="31">
        <f t="shared" si="123"/>
        <v>0</v>
      </c>
      <c r="O387" s="125"/>
      <c r="P387" s="32">
        <f t="shared" si="114"/>
        <v>0.15309902173911816</v>
      </c>
      <c r="Q387" s="31">
        <f t="shared" si="115"/>
        <v>-4775</v>
      </c>
      <c r="R387" s="34"/>
      <c r="S387" s="31">
        <f t="shared" si="124"/>
        <v>-0.13000000000000078</v>
      </c>
      <c r="T387" s="31">
        <f t="shared" si="125"/>
        <v>500</v>
      </c>
      <c r="U387" s="31">
        <f t="shared" si="126"/>
        <v>6.1315421706442663E-3</v>
      </c>
      <c r="V387" s="31">
        <f t="shared" si="127"/>
        <v>-4.7165709004955612E-2</v>
      </c>
      <c r="W387" s="31">
        <f t="shared" si="128"/>
        <v>0.3631413612565445</v>
      </c>
      <c r="X387" s="32">
        <f t="shared" si="119"/>
        <v>-9.0237596170043357</v>
      </c>
      <c r="Y387" s="32">
        <f t="shared" si="120"/>
        <v>9.1768586387434539</v>
      </c>
      <c r="Z387" s="38">
        <f t="shared" si="121"/>
        <v>2250657.2760878489</v>
      </c>
      <c r="AA387" s="31">
        <f>SUM(L$2:L387)-SUM(AB$2:AB387)</f>
        <v>-2168.7870000000148</v>
      </c>
      <c r="AB387" s="176"/>
      <c r="AC387" s="40">
        <f t="shared" ref="AC387:AC450" si="129">I387/E387*(1-0.0005)</f>
        <v>221.35326171382104</v>
      </c>
      <c r="AD387" s="40">
        <f t="shared" ref="AD387:AD450" si="130">AC387-F387</f>
        <v>-13578.646738286179</v>
      </c>
    </row>
    <row r="388" spans="1:30" x14ac:dyDescent="0.25">
      <c r="A388" s="136">
        <v>43194</v>
      </c>
      <c r="B388" s="159" t="s">
        <v>347</v>
      </c>
      <c r="C388" s="46" t="s">
        <v>63</v>
      </c>
      <c r="D388" s="46">
        <v>500</v>
      </c>
      <c r="E388" s="46">
        <v>9.48</v>
      </c>
      <c r="F388" s="102">
        <f t="shared" si="107"/>
        <v>14300</v>
      </c>
      <c r="G388" s="32">
        <f t="shared" si="105"/>
        <v>9.3905058391608502</v>
      </c>
      <c r="H388" s="31">
        <f t="shared" si="108"/>
        <v>134284.23350000015</v>
      </c>
      <c r="I388" s="31">
        <f t="shared" si="109"/>
        <v>1279.7664999998524</v>
      </c>
      <c r="J388" s="175">
        <f t="shared" si="110"/>
        <v>9.5302811554555736E-3</v>
      </c>
      <c r="K388" s="31">
        <f t="shared" si="111"/>
        <v>135564</v>
      </c>
      <c r="L388" s="31">
        <f t="shared" si="112"/>
        <v>-833</v>
      </c>
      <c r="M388" s="31">
        <f t="shared" si="122"/>
        <v>5</v>
      </c>
      <c r="N388" s="31">
        <f t="shared" si="123"/>
        <v>0</v>
      </c>
      <c r="O388" s="125"/>
      <c r="P388" s="32">
        <f t="shared" si="114"/>
        <v>8.9494160839150183E-2</v>
      </c>
      <c r="Q388" s="31">
        <f t="shared" si="115"/>
        <v>-4745</v>
      </c>
      <c r="R388" s="34"/>
      <c r="S388" s="31">
        <f t="shared" si="124"/>
        <v>-5.9999999999998721E-2</v>
      </c>
      <c r="T388" s="31">
        <f t="shared" si="125"/>
        <v>500</v>
      </c>
      <c r="U388" s="31">
        <f t="shared" si="126"/>
        <v>3.6048608999692533E-3</v>
      </c>
      <c r="V388" s="31">
        <f t="shared" si="127"/>
        <v>-6.0081014999488834E-2</v>
      </c>
      <c r="W388" s="31">
        <f t="shared" si="128"/>
        <v>0.17555321390937828</v>
      </c>
      <c r="X388" s="32">
        <f t="shared" si="119"/>
        <v>-9.2149526252514722</v>
      </c>
      <c r="Y388" s="32">
        <f t="shared" si="120"/>
        <v>9.3044467860906224</v>
      </c>
      <c r="Z388" s="38">
        <f t="shared" si="121"/>
        <v>3966865.9614915983</v>
      </c>
      <c r="AA388" s="31">
        <f>SUM(L$2:L388)-SUM(AB$2:AB388)</f>
        <v>-3001.7870000000148</v>
      </c>
      <c r="AB388" s="176"/>
      <c r="AC388" s="40">
        <f t="shared" si="129"/>
        <v>134.92896801158781</v>
      </c>
      <c r="AD388" s="40">
        <f t="shared" si="130"/>
        <v>-14165.071031988413</v>
      </c>
    </row>
    <row r="389" spans="1:30" x14ac:dyDescent="0.25">
      <c r="A389" s="136">
        <v>43199</v>
      </c>
      <c r="B389" s="159"/>
      <c r="C389" s="46" t="s">
        <v>63</v>
      </c>
      <c r="D389" s="46">
        <v>500</v>
      </c>
      <c r="E389" s="46">
        <v>9.3800000000000008</v>
      </c>
      <c r="F389" s="102">
        <f t="shared" si="107"/>
        <v>14800</v>
      </c>
      <c r="G389" s="32">
        <f t="shared" si="105"/>
        <v>9.39048875000001</v>
      </c>
      <c r="H389" s="31">
        <f t="shared" si="108"/>
        <v>138979.23350000015</v>
      </c>
      <c r="I389" s="31">
        <f t="shared" si="109"/>
        <v>-155.23350000014761</v>
      </c>
      <c r="J389" s="175">
        <f t="shared" si="110"/>
        <v>-1.1169546420051087E-3</v>
      </c>
      <c r="K389" s="31">
        <f t="shared" si="111"/>
        <v>138824</v>
      </c>
      <c r="L389" s="31">
        <f t="shared" si="112"/>
        <v>-1435</v>
      </c>
      <c r="M389" s="31">
        <f t="shared" si="122"/>
        <v>5</v>
      </c>
      <c r="N389" s="31">
        <f t="shared" si="123"/>
        <v>0</v>
      </c>
      <c r="O389" s="125"/>
      <c r="P389" s="32">
        <f t="shared" si="114"/>
        <v>-1.0488750000009261E-2</v>
      </c>
      <c r="Q389" s="31">
        <f t="shared" si="115"/>
        <v>-4695</v>
      </c>
      <c r="R389" s="34"/>
      <c r="S389" s="31">
        <f t="shared" si="124"/>
        <v>-9.9999999999999645E-2</v>
      </c>
      <c r="T389" s="31">
        <f t="shared" si="125"/>
        <v>500</v>
      </c>
      <c r="U389" s="31">
        <f t="shared" si="126"/>
        <v>-1.7089160840200179E-5</v>
      </c>
      <c r="V389" s="31">
        <f t="shared" si="127"/>
        <v>1.7089160840200239E-4</v>
      </c>
      <c r="W389" s="31">
        <f t="shared" si="128"/>
        <v>0.30564430244941426</v>
      </c>
      <c r="X389" s="32">
        <f t="shared" si="119"/>
        <v>-9.0848444475505961</v>
      </c>
      <c r="Y389" s="32">
        <f t="shared" si="120"/>
        <v>9.0743556975505868</v>
      </c>
      <c r="Z389" s="38">
        <f t="shared" si="121"/>
        <v>-866046035.75295484</v>
      </c>
      <c r="AA389" s="31">
        <f>SUM(L$2:L389)-SUM(AB$2:AB389)</f>
        <v>-4436.7870000000148</v>
      </c>
      <c r="AB389" s="176"/>
      <c r="AC389" s="40">
        <f t="shared" si="129"/>
        <v>-16.541138939248139</v>
      </c>
      <c r="AD389" s="40">
        <f t="shared" si="130"/>
        <v>-14816.541138939248</v>
      </c>
    </row>
    <row r="390" spans="1:30" x14ac:dyDescent="0.25">
      <c r="A390" s="136">
        <v>43200</v>
      </c>
      <c r="B390" s="159" t="s">
        <v>348</v>
      </c>
      <c r="C390" s="46" t="s">
        <v>69</v>
      </c>
      <c r="D390" s="46">
        <v>400</v>
      </c>
      <c r="E390" s="46">
        <v>9.51</v>
      </c>
      <c r="F390" s="102">
        <f t="shared" si="107"/>
        <v>14400</v>
      </c>
      <c r="G390" s="32">
        <f t="shared" si="105"/>
        <v>9.3877803819444541</v>
      </c>
      <c r="H390" s="31">
        <f t="shared" si="108"/>
        <v>135184.03750000015</v>
      </c>
      <c r="I390" s="31">
        <f t="shared" si="109"/>
        <v>1759.9624999998487</v>
      </c>
      <c r="J390" s="175">
        <f t="shared" si="110"/>
        <v>1.3019011212768789E-2</v>
      </c>
      <c r="K390" s="31">
        <f t="shared" si="111"/>
        <v>136944</v>
      </c>
      <c r="L390" s="31">
        <f t="shared" si="112"/>
        <v>1915.1959999999963</v>
      </c>
      <c r="M390" s="31">
        <f t="shared" si="122"/>
        <v>5</v>
      </c>
      <c r="N390" s="31">
        <f t="shared" si="123"/>
        <v>3.8039999999999998</v>
      </c>
      <c r="O390" s="125"/>
      <c r="P390" s="32">
        <f t="shared" si="114"/>
        <v>0.12221961805554571</v>
      </c>
      <c r="Q390" s="31">
        <f t="shared" si="115"/>
        <v>3795.1959999999963</v>
      </c>
      <c r="R390" s="34"/>
      <c r="S390" s="31">
        <f t="shared" si="124"/>
        <v>0.12999999999999901</v>
      </c>
      <c r="T390" s="31">
        <f t="shared" si="125"/>
        <v>-400</v>
      </c>
      <c r="U390" s="31">
        <f t="shared" si="126"/>
        <v>-2.7083680555559653E-3</v>
      </c>
      <c r="V390" s="31">
        <f t="shared" si="127"/>
        <v>-2.083360042735374E-2</v>
      </c>
      <c r="W390" s="31">
        <f t="shared" si="128"/>
        <v>0.50463691466791127</v>
      </c>
      <c r="X390" s="32">
        <f t="shared" si="119"/>
        <v>-8.8831434672765432</v>
      </c>
      <c r="Y390" s="32">
        <f t="shared" si="120"/>
        <v>9.005363085332089</v>
      </c>
      <c r="Z390" s="38">
        <f t="shared" si="121"/>
        <v>-5316854.9121157071</v>
      </c>
      <c r="AA390" s="31">
        <f>SUM(L$2:L390)-SUM(AB$2:AB390)</f>
        <v>-2521.5910000000185</v>
      </c>
      <c r="AB390" s="176"/>
      <c r="AC390" s="40">
        <f t="shared" si="129"/>
        <v>184.9718736855782</v>
      </c>
      <c r="AD390" s="40">
        <f t="shared" si="130"/>
        <v>-14215.028126314422</v>
      </c>
    </row>
    <row r="391" spans="1:30" x14ac:dyDescent="0.25">
      <c r="A391" s="136">
        <v>43201</v>
      </c>
      <c r="B391" s="159"/>
      <c r="C391" s="46" t="s">
        <v>69</v>
      </c>
      <c r="D391" s="46">
        <v>400</v>
      </c>
      <c r="E391" s="46">
        <v>9.65</v>
      </c>
      <c r="F391" s="102">
        <f t="shared" si="107"/>
        <v>14000</v>
      </c>
      <c r="G391" s="32">
        <f t="shared" si="105"/>
        <v>9.380921250000009</v>
      </c>
      <c r="H391" s="31">
        <f t="shared" si="108"/>
        <v>131332.89750000014</v>
      </c>
      <c r="I391" s="31">
        <f t="shared" si="109"/>
        <v>3767.1024999998626</v>
      </c>
      <c r="J391" s="175">
        <f t="shared" si="110"/>
        <v>2.8683616760986148E-2</v>
      </c>
      <c r="K391" s="31">
        <f t="shared" si="111"/>
        <v>135100</v>
      </c>
      <c r="L391" s="31">
        <f t="shared" si="112"/>
        <v>2007.140000000014</v>
      </c>
      <c r="M391" s="31">
        <f t="shared" si="122"/>
        <v>5</v>
      </c>
      <c r="N391" s="31">
        <f t="shared" si="123"/>
        <v>3.86</v>
      </c>
      <c r="O391" s="125"/>
      <c r="P391" s="32">
        <f t="shared" si="114"/>
        <v>0.26907874999999137</v>
      </c>
      <c r="Q391" s="31">
        <f t="shared" si="115"/>
        <v>3851.140000000014</v>
      </c>
      <c r="R391" s="34"/>
      <c r="S391" s="31">
        <f t="shared" si="124"/>
        <v>0.14000000000000057</v>
      </c>
      <c r="T391" s="31">
        <f t="shared" si="125"/>
        <v>-400</v>
      </c>
      <c r="U391" s="31">
        <f t="shared" si="126"/>
        <v>-6.859131944445096E-3</v>
      </c>
      <c r="V391" s="31">
        <f t="shared" si="127"/>
        <v>-4.899379960317906E-2</v>
      </c>
      <c r="W391" s="31">
        <f t="shared" si="128"/>
        <v>0.52118074128699732</v>
      </c>
      <c r="X391" s="32">
        <f t="shared" si="119"/>
        <v>-8.8597405087130117</v>
      </c>
      <c r="Y391" s="32">
        <f t="shared" si="120"/>
        <v>9.128819258713003</v>
      </c>
      <c r="Z391" s="38">
        <f t="shared" si="121"/>
        <v>-2041074.6014789778</v>
      </c>
      <c r="AA391" s="31">
        <f>SUM(L$2:L391)-SUM(AB$2:AB391)</f>
        <v>-514.45100000000457</v>
      </c>
      <c r="AB391" s="176"/>
      <c r="AC391" s="40">
        <f t="shared" si="129"/>
        <v>390.17812940413086</v>
      </c>
      <c r="AD391" s="40">
        <f t="shared" si="130"/>
        <v>-13609.82187059587</v>
      </c>
    </row>
    <row r="392" spans="1:30" x14ac:dyDescent="0.25">
      <c r="A392" s="136">
        <v>43201</v>
      </c>
      <c r="B392" s="159"/>
      <c r="C392" s="46" t="s">
        <v>69</v>
      </c>
      <c r="D392" s="46">
        <v>400</v>
      </c>
      <c r="E392" s="46">
        <v>9.7200000000000006</v>
      </c>
      <c r="F392" s="102">
        <f t="shared" si="107"/>
        <v>13600</v>
      </c>
      <c r="G392" s="32">
        <f t="shared" si="105"/>
        <v>9.3716018750000103</v>
      </c>
      <c r="H392" s="31">
        <f t="shared" si="108"/>
        <v>127453.78550000014</v>
      </c>
      <c r="I392" s="31">
        <f t="shared" si="109"/>
        <v>4738.2144999998563</v>
      </c>
      <c r="J392" s="175">
        <f t="shared" si="110"/>
        <v>3.7175941706336084E-2</v>
      </c>
      <c r="K392" s="31">
        <f t="shared" si="111"/>
        <v>132192</v>
      </c>
      <c r="L392" s="31">
        <f t="shared" si="112"/>
        <v>971.11199999999371</v>
      </c>
      <c r="M392" s="31">
        <f t="shared" si="122"/>
        <v>5</v>
      </c>
      <c r="N392" s="31">
        <f t="shared" si="123"/>
        <v>3.8880000000000003</v>
      </c>
      <c r="O392" s="125"/>
      <c r="P392" s="32">
        <f t="shared" si="114"/>
        <v>0.34839812499999034</v>
      </c>
      <c r="Q392" s="31">
        <f t="shared" si="115"/>
        <v>3879.1119999999937</v>
      </c>
      <c r="R392" s="34"/>
      <c r="S392" s="31">
        <f t="shared" si="124"/>
        <v>7.0000000000000284E-2</v>
      </c>
      <c r="T392" s="31">
        <f t="shared" si="125"/>
        <v>-400</v>
      </c>
      <c r="U392" s="31">
        <f t="shared" si="126"/>
        <v>-9.3193749999986863E-3</v>
      </c>
      <c r="V392" s="31">
        <f t="shared" si="127"/>
        <v>-0.13313392857140927</v>
      </c>
      <c r="W392" s="31">
        <f t="shared" si="128"/>
        <v>0.25034389313842842</v>
      </c>
      <c r="X392" s="32">
        <f t="shared" si="119"/>
        <v>-9.1212579818615822</v>
      </c>
      <c r="Y392" s="32">
        <f t="shared" si="120"/>
        <v>9.4696561068615726</v>
      </c>
      <c r="Z392" s="38">
        <f t="shared" si="121"/>
        <v>-1459325.330293278</v>
      </c>
      <c r="AA392" s="31">
        <f>SUM(L$2:L392)-SUM(AB$2:AB392)</f>
        <v>456.66099999998914</v>
      </c>
      <c r="AB392" s="176"/>
      <c r="AC392" s="40">
        <f t="shared" si="129"/>
        <v>487.22689225821568</v>
      </c>
      <c r="AD392" s="40">
        <f t="shared" si="130"/>
        <v>-13112.773107741785</v>
      </c>
    </row>
    <row r="393" spans="1:30" x14ac:dyDescent="0.25">
      <c r="A393" s="136">
        <v>43206</v>
      </c>
      <c r="B393" s="159" t="s">
        <v>349</v>
      </c>
      <c r="C393" s="46" t="s">
        <v>63</v>
      </c>
      <c r="D393" s="46">
        <v>500</v>
      </c>
      <c r="E393" s="46">
        <v>9.44</v>
      </c>
      <c r="F393" s="102">
        <f t="shared" si="107"/>
        <v>14100</v>
      </c>
      <c r="G393" s="32">
        <f t="shared" si="105"/>
        <v>9.3743819503546195</v>
      </c>
      <c r="H393" s="31">
        <f t="shared" si="108"/>
        <v>132178.78550000014</v>
      </c>
      <c r="I393" s="31">
        <f t="shared" si="109"/>
        <v>925.21449999985634</v>
      </c>
      <c r="J393" s="175">
        <f t="shared" si="110"/>
        <v>6.9997200874557649E-3</v>
      </c>
      <c r="K393" s="31">
        <f t="shared" si="111"/>
        <v>133104</v>
      </c>
      <c r="L393" s="31">
        <f t="shared" si="112"/>
        <v>-3813</v>
      </c>
      <c r="M393" s="31">
        <f t="shared" si="122"/>
        <v>5</v>
      </c>
      <c r="N393" s="31">
        <f t="shared" si="123"/>
        <v>0</v>
      </c>
      <c r="O393" s="125"/>
      <c r="P393" s="32">
        <f t="shared" si="114"/>
        <v>6.5618049645379983E-2</v>
      </c>
      <c r="Q393" s="31">
        <f t="shared" si="115"/>
        <v>-4725</v>
      </c>
      <c r="R393" s="34"/>
      <c r="S393" s="31">
        <f t="shared" si="124"/>
        <v>-0.28000000000000114</v>
      </c>
      <c r="T393" s="31">
        <f t="shared" si="125"/>
        <v>500</v>
      </c>
      <c r="U393" s="31">
        <f t="shared" si="126"/>
        <v>2.7800753546092238E-3</v>
      </c>
      <c r="V393" s="31">
        <f t="shared" si="127"/>
        <v>-9.9288405521757595E-3</v>
      </c>
      <c r="W393" s="31">
        <f t="shared" si="128"/>
        <v>0.80698412698412703</v>
      </c>
      <c r="X393" s="32">
        <f t="shared" si="119"/>
        <v>-8.5673978233704933</v>
      </c>
      <c r="Y393" s="32">
        <f t="shared" si="120"/>
        <v>8.6330158730158733</v>
      </c>
      <c r="Z393" s="38">
        <f t="shared" si="121"/>
        <v>5071804.9698267765</v>
      </c>
      <c r="AA393" s="31">
        <f>SUM(L$2:L393)-SUM(AB$2:AB393)</f>
        <v>-3356.3390000000109</v>
      </c>
      <c r="AB393" s="176"/>
      <c r="AC393" s="40">
        <f t="shared" si="129"/>
        <v>97.961005587908531</v>
      </c>
      <c r="AD393" s="40">
        <f t="shared" si="130"/>
        <v>-14002.038994412091</v>
      </c>
    </row>
    <row r="394" spans="1:30" x14ac:dyDescent="0.25">
      <c r="A394" s="136">
        <v>43206</v>
      </c>
      <c r="B394" s="159" t="s">
        <v>350</v>
      </c>
      <c r="C394" s="46" t="s">
        <v>63</v>
      </c>
      <c r="D394" s="46">
        <v>500</v>
      </c>
      <c r="E394" s="46">
        <v>9.36</v>
      </c>
      <c r="F394" s="102">
        <f t="shared" si="107"/>
        <v>14600</v>
      </c>
      <c r="G394" s="32">
        <f t="shared" si="105"/>
        <v>9.374231883561654</v>
      </c>
      <c r="H394" s="31">
        <f t="shared" si="108"/>
        <v>136863.78550000014</v>
      </c>
      <c r="I394" s="31">
        <f t="shared" si="109"/>
        <v>-207.78550000014366</v>
      </c>
      <c r="J394" s="175">
        <f t="shared" si="110"/>
        <v>-1.5181919690520113E-3</v>
      </c>
      <c r="K394" s="31">
        <f t="shared" si="111"/>
        <v>136656</v>
      </c>
      <c r="L394" s="31">
        <f t="shared" si="112"/>
        <v>-1133</v>
      </c>
      <c r="M394" s="31">
        <f t="shared" si="122"/>
        <v>5</v>
      </c>
      <c r="N394" s="31">
        <f t="shared" si="123"/>
        <v>0</v>
      </c>
      <c r="O394" s="125"/>
      <c r="P394" s="32">
        <f t="shared" si="114"/>
        <v>-1.4231883561654612E-2</v>
      </c>
      <c r="Q394" s="31">
        <f t="shared" si="115"/>
        <v>-4685</v>
      </c>
      <c r="R394" s="34"/>
      <c r="S394" s="31">
        <f t="shared" si="124"/>
        <v>-8.0000000000000071E-2</v>
      </c>
      <c r="T394" s="31">
        <f t="shared" si="125"/>
        <v>500</v>
      </c>
      <c r="U394" s="31">
        <f t="shared" si="126"/>
        <v>-1.5006679296547532E-4</v>
      </c>
      <c r="V394" s="31">
        <f t="shared" si="127"/>
        <v>1.8758349120684397E-3</v>
      </c>
      <c r="W394" s="31">
        <f t="shared" si="128"/>
        <v>0.24183564567769478</v>
      </c>
      <c r="X394" s="32">
        <f t="shared" si="119"/>
        <v>-9.1323962378839596</v>
      </c>
      <c r="Y394" s="32">
        <f t="shared" si="120"/>
        <v>9.118164354322305</v>
      </c>
      <c r="Z394" s="38">
        <f t="shared" si="121"/>
        <v>-97290011.410844952</v>
      </c>
      <c r="AA394" s="31">
        <f>SUM(L$2:L394)-SUM(AB$2:AB394)</f>
        <v>-4489.3390000000109</v>
      </c>
      <c r="AB394" s="176"/>
      <c r="AC394" s="40">
        <f t="shared" si="129"/>
        <v>-22.188205902793122</v>
      </c>
      <c r="AD394" s="40">
        <f t="shared" si="130"/>
        <v>-14622.188205902794</v>
      </c>
    </row>
    <row r="395" spans="1:30" x14ac:dyDescent="0.25">
      <c r="A395" s="136">
        <v>43206</v>
      </c>
      <c r="B395" s="159" t="s">
        <v>351</v>
      </c>
      <c r="C395" s="46" t="s">
        <v>63</v>
      </c>
      <c r="D395" s="46">
        <v>500</v>
      </c>
      <c r="E395" s="46">
        <v>9.31</v>
      </c>
      <c r="F395" s="102">
        <f t="shared" si="107"/>
        <v>15100</v>
      </c>
      <c r="G395" s="32">
        <f t="shared" ref="G395:G458" si="131">H395/F395</f>
        <v>9.3724361258278233</v>
      </c>
      <c r="H395" s="31">
        <f t="shared" si="108"/>
        <v>141523.78550000014</v>
      </c>
      <c r="I395" s="31">
        <f t="shared" si="109"/>
        <v>-942.78550000014366</v>
      </c>
      <c r="J395" s="175">
        <f t="shared" si="110"/>
        <v>-6.6616752559952039E-3</v>
      </c>
      <c r="K395" s="31">
        <f t="shared" si="111"/>
        <v>140581</v>
      </c>
      <c r="L395" s="31">
        <f t="shared" si="112"/>
        <v>-735</v>
      </c>
      <c r="M395" s="31">
        <f t="shared" si="122"/>
        <v>5</v>
      </c>
      <c r="N395" s="31">
        <f t="shared" si="123"/>
        <v>0</v>
      </c>
      <c r="O395" s="125"/>
      <c r="P395" s="32">
        <f t="shared" si="114"/>
        <v>-6.2436125827822764E-2</v>
      </c>
      <c r="Q395" s="31">
        <f t="shared" si="115"/>
        <v>-4660</v>
      </c>
      <c r="R395" s="34"/>
      <c r="S395" s="31">
        <f t="shared" si="124"/>
        <v>-4.9999999999998934E-2</v>
      </c>
      <c r="T395" s="31">
        <f t="shared" si="125"/>
        <v>500</v>
      </c>
      <c r="U395" s="31">
        <f t="shared" si="126"/>
        <v>-1.7957577338307829E-3</v>
      </c>
      <c r="V395" s="31">
        <f t="shared" si="127"/>
        <v>3.591515467661642E-2</v>
      </c>
      <c r="W395" s="31">
        <f t="shared" si="128"/>
        <v>0.15772532188841201</v>
      </c>
      <c r="X395" s="32">
        <f t="shared" si="119"/>
        <v>-9.2147108039394112</v>
      </c>
      <c r="Y395" s="32">
        <f t="shared" si="120"/>
        <v>9.1522746781115885</v>
      </c>
      <c r="Z395" s="38">
        <f t="shared" si="121"/>
        <v>-8408706.650973497</v>
      </c>
      <c r="AA395" s="31">
        <f>SUM(L$2:L395)-SUM(AB$2:AB395)</f>
        <v>-5224.3390000000109</v>
      </c>
      <c r="AB395" s="176"/>
      <c r="AC395" s="40">
        <f t="shared" si="129"/>
        <v>-101.2152639366427</v>
      </c>
      <c r="AD395" s="40">
        <f t="shared" si="130"/>
        <v>-15201.215263936643</v>
      </c>
    </row>
    <row r="396" spans="1:30" x14ac:dyDescent="0.25">
      <c r="A396" s="136">
        <v>43207</v>
      </c>
      <c r="B396" s="159"/>
      <c r="C396" s="46" t="s">
        <v>63</v>
      </c>
      <c r="D396" s="46">
        <v>500</v>
      </c>
      <c r="E396" s="46">
        <v>9.24</v>
      </c>
      <c r="F396" s="102">
        <f t="shared" ref="F396:F459" si="132">IF(C396="买",F395+D396,F395-D396)</f>
        <v>15600</v>
      </c>
      <c r="G396" s="32">
        <f t="shared" si="131"/>
        <v>9.3685118910256495</v>
      </c>
      <c r="H396" s="31">
        <f t="shared" ref="H396:H459" si="133">IF(C396="买",H395+D396*E396+M396+N396,H395+-1*D396*E396+M396+N396)+O395</f>
        <v>146148.78550000014</v>
      </c>
      <c r="I396" s="31">
        <f t="shared" ref="I396:I459" si="134">-H396+K396</f>
        <v>-2004.7855000001437</v>
      </c>
      <c r="J396" s="175">
        <f t="shared" ref="J396:J459" si="135">(E396-G396)/G396</f>
        <v>-1.3717428394231353E-2</v>
      </c>
      <c r="K396" s="31">
        <f t="shared" ref="K396:K459" si="136">F396*E396</f>
        <v>144144</v>
      </c>
      <c r="L396" s="31">
        <f t="shared" ref="L396:L459" si="137">I396-I395</f>
        <v>-1062</v>
      </c>
      <c r="M396" s="31">
        <f t="shared" si="122"/>
        <v>5</v>
      </c>
      <c r="N396" s="31">
        <f t="shared" si="123"/>
        <v>0</v>
      </c>
      <c r="O396" s="125"/>
      <c r="P396" s="32">
        <f t="shared" ref="P396:P459" si="138">E396-G396</f>
        <v>-0.12851189102564931</v>
      </c>
      <c r="Q396" s="31">
        <f t="shared" ref="Q396:Q459" si="139">(H396-H395)*-1</f>
        <v>-4625</v>
      </c>
      <c r="R396" s="34"/>
      <c r="S396" s="31">
        <f t="shared" si="124"/>
        <v>-7.0000000000000284E-2</v>
      </c>
      <c r="T396" s="31">
        <f t="shared" si="125"/>
        <v>500</v>
      </c>
      <c r="U396" s="31">
        <f t="shared" si="126"/>
        <v>-3.9242348021737428E-3</v>
      </c>
      <c r="V396" s="31">
        <f t="shared" si="127"/>
        <v>5.606049717391038E-2</v>
      </c>
      <c r="W396" s="31">
        <f t="shared" si="128"/>
        <v>0.22962162162162161</v>
      </c>
      <c r="X396" s="32">
        <f t="shared" ref="X396:X459" si="140">W396-G396</f>
        <v>-9.1388902694040279</v>
      </c>
      <c r="Y396" s="32">
        <f t="shared" ref="Y396:Y459" si="141">(X396-P396)*-1</f>
        <v>9.0103783783783786</v>
      </c>
      <c r="Z396" s="38">
        <f t="shared" ref="Z396:Z459" si="142">F396/U396</f>
        <v>-3975297.2965222993</v>
      </c>
      <c r="AA396" s="31">
        <f>SUM(L$2:L396)-SUM(AB$2:AB396)</f>
        <v>-6286.3390000000109</v>
      </c>
      <c r="AB396" s="176"/>
      <c r="AC396" s="40">
        <f t="shared" si="129"/>
        <v>-216.85964364179043</v>
      </c>
      <c r="AD396" s="40">
        <f t="shared" si="130"/>
        <v>-15816.85964364179</v>
      </c>
    </row>
    <row r="397" spans="1:30" x14ac:dyDescent="0.25">
      <c r="A397" s="136">
        <v>43208</v>
      </c>
      <c r="B397" s="159" t="s">
        <v>352</v>
      </c>
      <c r="C397" s="46" t="s">
        <v>63</v>
      </c>
      <c r="D397" s="46">
        <v>500</v>
      </c>
      <c r="E397" s="46">
        <v>9.15</v>
      </c>
      <c r="F397" s="102">
        <f t="shared" si="132"/>
        <v>16100</v>
      </c>
      <c r="G397" s="32">
        <f t="shared" si="131"/>
        <v>9.3620363664596358</v>
      </c>
      <c r="H397" s="31">
        <f t="shared" si="133"/>
        <v>150728.78550000014</v>
      </c>
      <c r="I397" s="31">
        <f t="shared" si="134"/>
        <v>-3413.7855000001437</v>
      </c>
      <c r="J397" s="175">
        <f t="shared" si="135"/>
        <v>-2.2648530529028425E-2</v>
      </c>
      <c r="K397" s="31">
        <f t="shared" si="136"/>
        <v>147315</v>
      </c>
      <c r="L397" s="31">
        <f t="shared" si="137"/>
        <v>-1409</v>
      </c>
      <c r="M397" s="31">
        <f t="shared" si="122"/>
        <v>5</v>
      </c>
      <c r="N397" s="31">
        <f t="shared" si="123"/>
        <v>0</v>
      </c>
      <c r="O397" s="125"/>
      <c r="P397" s="32">
        <f t="shared" si="138"/>
        <v>-0.21203636645963542</v>
      </c>
      <c r="Q397" s="31">
        <f t="shared" si="139"/>
        <v>-4580</v>
      </c>
      <c r="R397" s="34"/>
      <c r="S397" s="31">
        <f t="shared" si="124"/>
        <v>-8.9999999999999858E-2</v>
      </c>
      <c r="T397" s="31">
        <f t="shared" si="125"/>
        <v>500</v>
      </c>
      <c r="U397" s="31">
        <f t="shared" si="126"/>
        <v>-6.4755245660137462E-3</v>
      </c>
      <c r="V397" s="31">
        <f t="shared" si="127"/>
        <v>7.1950272955708411E-2</v>
      </c>
      <c r="W397" s="31">
        <f t="shared" si="128"/>
        <v>0.30764192139737989</v>
      </c>
      <c r="X397" s="32">
        <f t="shared" si="140"/>
        <v>-9.0543944450622558</v>
      </c>
      <c r="Y397" s="32">
        <f t="shared" si="141"/>
        <v>8.8423580786026204</v>
      </c>
      <c r="Z397" s="38">
        <f t="shared" si="142"/>
        <v>-2486285.0624487652</v>
      </c>
      <c r="AA397" s="31">
        <f>SUM(L$2:L397)-SUM(AB$2:AB397)</f>
        <v>-7695.3390000000109</v>
      </c>
      <c r="AB397" s="176"/>
      <c r="AC397" s="40">
        <f t="shared" si="129"/>
        <v>-372.90476581968784</v>
      </c>
      <c r="AD397" s="40">
        <f t="shared" si="130"/>
        <v>-16472.904765819687</v>
      </c>
    </row>
    <row r="398" spans="1:30" x14ac:dyDescent="0.25">
      <c r="A398" s="136">
        <v>43210</v>
      </c>
      <c r="B398" s="159"/>
      <c r="C398" s="46" t="s">
        <v>63</v>
      </c>
      <c r="D398" s="46">
        <v>500</v>
      </c>
      <c r="E398" s="46">
        <v>9.02</v>
      </c>
      <c r="F398" s="102">
        <f t="shared" si="132"/>
        <v>16600</v>
      </c>
      <c r="G398" s="32">
        <f t="shared" si="131"/>
        <v>9.3520352710843468</v>
      </c>
      <c r="H398" s="31">
        <f t="shared" si="133"/>
        <v>155243.78550000014</v>
      </c>
      <c r="I398" s="31">
        <f t="shared" si="134"/>
        <v>-5511.7855000001437</v>
      </c>
      <c r="J398" s="175">
        <f t="shared" si="135"/>
        <v>-3.5504065314100185E-2</v>
      </c>
      <c r="K398" s="31">
        <f t="shared" si="136"/>
        <v>149732</v>
      </c>
      <c r="L398" s="31">
        <f t="shared" si="137"/>
        <v>-2098</v>
      </c>
      <c r="M398" s="31">
        <f t="shared" si="122"/>
        <v>5</v>
      </c>
      <c r="N398" s="31">
        <f t="shared" si="123"/>
        <v>0</v>
      </c>
      <c r="O398" s="125"/>
      <c r="P398" s="32">
        <f t="shared" si="138"/>
        <v>-0.33203527108434727</v>
      </c>
      <c r="Q398" s="31">
        <f t="shared" si="139"/>
        <v>-4515</v>
      </c>
      <c r="R398" s="34"/>
      <c r="S398" s="31">
        <f t="shared" si="124"/>
        <v>-0.13000000000000078</v>
      </c>
      <c r="T398" s="31">
        <f t="shared" si="125"/>
        <v>500</v>
      </c>
      <c r="U398" s="31">
        <f t="shared" si="126"/>
        <v>-1.0001095375288926E-2</v>
      </c>
      <c r="V398" s="31">
        <f t="shared" si="127"/>
        <v>7.6931502886837436E-2</v>
      </c>
      <c r="W398" s="31">
        <f t="shared" si="128"/>
        <v>0.4646733111849391</v>
      </c>
      <c r="X398" s="32">
        <f t="shared" si="140"/>
        <v>-8.8873619598994082</v>
      </c>
      <c r="Y398" s="32">
        <f t="shared" si="141"/>
        <v>8.555326688815061</v>
      </c>
      <c r="Z398" s="38">
        <f t="shared" si="142"/>
        <v>-1659818.1876173173</v>
      </c>
      <c r="AA398" s="31">
        <f>SUM(L$2:L398)-SUM(AB$2:AB398)</f>
        <v>-9793.3390000000109</v>
      </c>
      <c r="AB398" s="176"/>
      <c r="AC398" s="40">
        <f t="shared" si="129"/>
        <v>-610.75716266631309</v>
      </c>
      <c r="AD398" s="40">
        <f t="shared" si="130"/>
        <v>-17210.757162666312</v>
      </c>
    </row>
    <row r="399" spans="1:30" x14ac:dyDescent="0.25">
      <c r="A399" s="136">
        <v>43213</v>
      </c>
      <c r="B399" s="159"/>
      <c r="C399" s="46" t="s">
        <v>63</v>
      </c>
      <c r="D399" s="46">
        <v>500</v>
      </c>
      <c r="E399" s="46">
        <v>9.0399999999999991</v>
      </c>
      <c r="F399" s="102">
        <f t="shared" si="132"/>
        <v>17100</v>
      </c>
      <c r="G399" s="32">
        <f t="shared" si="131"/>
        <v>9.3432038304093652</v>
      </c>
      <c r="H399" s="31">
        <f t="shared" si="133"/>
        <v>159768.78550000014</v>
      </c>
      <c r="I399" s="31">
        <f t="shared" si="134"/>
        <v>-5184.7855000001728</v>
      </c>
      <c r="J399" s="175">
        <f t="shared" si="135"/>
        <v>-3.2451805174422851E-2</v>
      </c>
      <c r="K399" s="31">
        <f t="shared" si="136"/>
        <v>154583.99999999997</v>
      </c>
      <c r="L399" s="31">
        <f t="shared" si="137"/>
        <v>326.9999999999709</v>
      </c>
      <c r="M399" s="31">
        <f t="shared" si="122"/>
        <v>5</v>
      </c>
      <c r="N399" s="31">
        <f t="shared" si="123"/>
        <v>0</v>
      </c>
      <c r="O399" s="125"/>
      <c r="P399" s="32">
        <f t="shared" si="138"/>
        <v>-0.30320383040936605</v>
      </c>
      <c r="Q399" s="31">
        <f t="shared" si="139"/>
        <v>-4525</v>
      </c>
      <c r="R399" s="34"/>
      <c r="S399" s="31">
        <f t="shared" si="124"/>
        <v>1.9999999999999574E-2</v>
      </c>
      <c r="T399" s="31">
        <f t="shared" si="125"/>
        <v>500</v>
      </c>
      <c r="U399" s="31">
        <f t="shared" si="126"/>
        <v>-8.8314406749816499E-3</v>
      </c>
      <c r="V399" s="31">
        <f t="shared" si="127"/>
        <v>-0.44157203374909193</v>
      </c>
      <c r="W399" s="31">
        <f t="shared" si="128"/>
        <v>-7.2265193370159311E-2</v>
      </c>
      <c r="X399" s="32">
        <f t="shared" si="140"/>
        <v>-9.415469023779524</v>
      </c>
      <c r="Y399" s="32">
        <f t="shared" si="141"/>
        <v>9.1122651933701579</v>
      </c>
      <c r="Z399" s="38">
        <f t="shared" si="142"/>
        <v>-1936263.9267273943</v>
      </c>
      <c r="AA399" s="31">
        <f>SUM(L$2:L399)-SUM(AB$2:AB399)</f>
        <v>-9466.33900000004</v>
      </c>
      <c r="AB399" s="176"/>
      <c r="AC399" s="40">
        <f t="shared" si="129"/>
        <v>-573.25144991705463</v>
      </c>
      <c r="AD399" s="40">
        <f t="shared" si="130"/>
        <v>-17673.251449917054</v>
      </c>
    </row>
    <row r="400" spans="1:30" x14ac:dyDescent="0.25">
      <c r="A400" s="136">
        <v>43214</v>
      </c>
      <c r="B400" s="159" t="s">
        <v>353</v>
      </c>
      <c r="C400" s="46" t="s">
        <v>69</v>
      </c>
      <c r="D400" s="46">
        <v>400</v>
      </c>
      <c r="E400" s="46">
        <v>9.1999999999999993</v>
      </c>
      <c r="F400" s="102">
        <f t="shared" si="132"/>
        <v>16700</v>
      </c>
      <c r="G400" s="32">
        <f t="shared" si="131"/>
        <v>9.3471536227544991</v>
      </c>
      <c r="H400" s="31">
        <f t="shared" si="133"/>
        <v>156097.46550000014</v>
      </c>
      <c r="I400" s="31">
        <f t="shared" si="134"/>
        <v>-2457.4655000001367</v>
      </c>
      <c r="J400" s="175">
        <f t="shared" si="135"/>
        <v>-1.5743147988524806E-2</v>
      </c>
      <c r="K400" s="31">
        <f t="shared" si="136"/>
        <v>153640</v>
      </c>
      <c r="L400" s="31">
        <f t="shared" si="137"/>
        <v>2727.3200000000361</v>
      </c>
      <c r="M400" s="31">
        <f t="shared" si="122"/>
        <v>5</v>
      </c>
      <c r="N400" s="31">
        <f t="shared" si="123"/>
        <v>3.6799999999999997</v>
      </c>
      <c r="O400" s="125"/>
      <c r="P400" s="32">
        <f t="shared" si="138"/>
        <v>-0.14715362275449984</v>
      </c>
      <c r="Q400" s="31">
        <f t="shared" si="139"/>
        <v>3671.320000000007</v>
      </c>
      <c r="R400" s="34"/>
      <c r="S400" s="31">
        <f t="shared" si="124"/>
        <v>0.16000000000000014</v>
      </c>
      <c r="T400" s="31">
        <f t="shared" si="125"/>
        <v>-400</v>
      </c>
      <c r="U400" s="31">
        <f t="shared" si="126"/>
        <v>3.949792345133929E-3</v>
      </c>
      <c r="V400" s="31">
        <f t="shared" si="127"/>
        <v>2.4686202157087035E-2</v>
      </c>
      <c r="W400" s="31">
        <f t="shared" si="128"/>
        <v>0.74287177364000712</v>
      </c>
      <c r="X400" s="32">
        <f t="shared" si="140"/>
        <v>-8.6042818491144928</v>
      </c>
      <c r="Y400" s="32">
        <f t="shared" si="141"/>
        <v>8.457128226359993</v>
      </c>
      <c r="Z400" s="38">
        <f t="shared" si="142"/>
        <v>4228070.3745284462</v>
      </c>
      <c r="AA400" s="31">
        <f>SUM(L$2:L400)-SUM(AB$2:AB400)</f>
        <v>-6739.0190000000039</v>
      </c>
      <c r="AB400" s="176"/>
      <c r="AC400" s="40">
        <f t="shared" si="129"/>
        <v>-266.98225730979749</v>
      </c>
      <c r="AD400" s="40">
        <f t="shared" si="130"/>
        <v>-16966.982257309799</v>
      </c>
    </row>
    <row r="401" spans="1:30" x14ac:dyDescent="0.25">
      <c r="A401" s="136">
        <v>43214</v>
      </c>
      <c r="B401" s="159" t="s">
        <v>354</v>
      </c>
      <c r="C401" s="46" t="s">
        <v>69</v>
      </c>
      <c r="D401" s="46">
        <v>400</v>
      </c>
      <c r="E401" s="46">
        <v>9.2799999999999994</v>
      </c>
      <c r="F401" s="102">
        <f t="shared" si="132"/>
        <v>16300</v>
      </c>
      <c r="G401" s="32">
        <f t="shared" si="131"/>
        <v>9.3493360429447936</v>
      </c>
      <c r="H401" s="31">
        <f t="shared" si="133"/>
        <v>152394.17750000014</v>
      </c>
      <c r="I401" s="31">
        <f t="shared" si="134"/>
        <v>-1130.1775000001362</v>
      </c>
      <c r="J401" s="175">
        <f t="shared" si="135"/>
        <v>-7.4161461975812363E-3</v>
      </c>
      <c r="K401" s="31">
        <f t="shared" si="136"/>
        <v>151264</v>
      </c>
      <c r="L401" s="31">
        <f t="shared" si="137"/>
        <v>1327.2880000000005</v>
      </c>
      <c r="M401" s="31">
        <f t="shared" si="122"/>
        <v>5</v>
      </c>
      <c r="N401" s="31">
        <f t="shared" si="123"/>
        <v>3.7119999999999997</v>
      </c>
      <c r="O401" s="125"/>
      <c r="P401" s="32">
        <f t="shared" si="138"/>
        <v>-6.9336042944794229E-2</v>
      </c>
      <c r="Q401" s="31">
        <f t="shared" si="139"/>
        <v>3703.2880000000005</v>
      </c>
      <c r="R401" s="34"/>
      <c r="S401" s="31">
        <f t="shared" si="124"/>
        <v>8.0000000000000071E-2</v>
      </c>
      <c r="T401" s="31">
        <f t="shared" si="125"/>
        <v>-400</v>
      </c>
      <c r="U401" s="31">
        <f t="shared" si="126"/>
        <v>2.1824201902944651E-3</v>
      </c>
      <c r="V401" s="31">
        <f t="shared" si="127"/>
        <v>2.7280252378680789E-2</v>
      </c>
      <c r="W401" s="31">
        <f t="shared" si="128"/>
        <v>0.35840798771254095</v>
      </c>
      <c r="X401" s="32">
        <f t="shared" si="140"/>
        <v>-8.9909280552322528</v>
      </c>
      <c r="Y401" s="32">
        <f t="shared" si="141"/>
        <v>8.9215920122874586</v>
      </c>
      <c r="Z401" s="38">
        <f t="shared" si="142"/>
        <v>7468772.545492583</v>
      </c>
      <c r="AA401" s="31">
        <f>SUM(L$2:L401)-SUM(AB$2:AB401)</f>
        <v>-5411.7310000000034</v>
      </c>
      <c r="AB401" s="176"/>
      <c r="AC401" s="40">
        <f t="shared" si="129"/>
        <v>-121.7254753502302</v>
      </c>
      <c r="AD401" s="40">
        <f t="shared" si="130"/>
        <v>-16421.725475350231</v>
      </c>
    </row>
    <row r="402" spans="1:30" x14ac:dyDescent="0.25">
      <c r="A402" s="136">
        <v>43215</v>
      </c>
      <c r="B402" s="159"/>
      <c r="C402" s="46" t="s">
        <v>63</v>
      </c>
      <c r="D402" s="46">
        <v>500</v>
      </c>
      <c r="E402" s="46">
        <v>9.18</v>
      </c>
      <c r="F402" s="102">
        <f t="shared" si="132"/>
        <v>16800</v>
      </c>
      <c r="G402" s="32">
        <f t="shared" si="131"/>
        <v>9.3445938988095314</v>
      </c>
      <c r="H402" s="31">
        <f t="shared" si="133"/>
        <v>156989.17750000014</v>
      </c>
      <c r="I402" s="31">
        <f t="shared" si="134"/>
        <v>-2765.1775000001362</v>
      </c>
      <c r="J402" s="175">
        <f t="shared" si="135"/>
        <v>-1.7613809716278881E-2</v>
      </c>
      <c r="K402" s="31">
        <f t="shared" si="136"/>
        <v>154224</v>
      </c>
      <c r="L402" s="31">
        <f t="shared" si="137"/>
        <v>-1635</v>
      </c>
      <c r="M402" s="31">
        <f t="shared" si="122"/>
        <v>5</v>
      </c>
      <c r="N402" s="31">
        <f t="shared" si="123"/>
        <v>0</v>
      </c>
      <c r="O402" s="125"/>
      <c r="P402" s="32">
        <f t="shared" si="138"/>
        <v>-0.16459389880953168</v>
      </c>
      <c r="Q402" s="31">
        <f t="shared" si="139"/>
        <v>-4595</v>
      </c>
      <c r="R402" s="34"/>
      <c r="S402" s="31">
        <f t="shared" si="124"/>
        <v>-9.9999999999999645E-2</v>
      </c>
      <c r="T402" s="31">
        <f t="shared" si="125"/>
        <v>500</v>
      </c>
      <c r="U402" s="31">
        <f t="shared" si="126"/>
        <v>-4.742144135262194E-3</v>
      </c>
      <c r="V402" s="31">
        <f t="shared" si="127"/>
        <v>4.7421441352622107E-2</v>
      </c>
      <c r="W402" s="31">
        <f t="shared" si="128"/>
        <v>0.35582154515778019</v>
      </c>
      <c r="X402" s="32">
        <f t="shared" si="140"/>
        <v>-8.9887723536517505</v>
      </c>
      <c r="Y402" s="32">
        <f t="shared" si="141"/>
        <v>8.8241784548422189</v>
      </c>
      <c r="Z402" s="38">
        <f t="shared" si="142"/>
        <v>-3542701.2593473447</v>
      </c>
      <c r="AA402" s="31">
        <f>SUM(L$2:L402)-SUM(AB$2:AB402)</f>
        <v>-7046.7310000000034</v>
      </c>
      <c r="AB402" s="176"/>
      <c r="AC402" s="40">
        <f t="shared" si="129"/>
        <v>-301.06698379631115</v>
      </c>
      <c r="AD402" s="40">
        <f t="shared" si="130"/>
        <v>-17101.066983796311</v>
      </c>
    </row>
    <row r="403" spans="1:30" x14ac:dyDescent="0.25">
      <c r="A403" s="136">
        <v>43216</v>
      </c>
      <c r="B403" s="159"/>
      <c r="C403" s="46" t="s">
        <v>63</v>
      </c>
      <c r="D403" s="46">
        <v>500</v>
      </c>
      <c r="E403" s="46">
        <v>9.06</v>
      </c>
      <c r="F403" s="102">
        <f t="shared" si="132"/>
        <v>17300</v>
      </c>
      <c r="G403" s="32">
        <f t="shared" si="131"/>
        <v>9.3366576589595454</v>
      </c>
      <c r="H403" s="31">
        <f t="shared" si="133"/>
        <v>161524.17750000014</v>
      </c>
      <c r="I403" s="31">
        <f t="shared" si="134"/>
        <v>-4786.1775000001362</v>
      </c>
      <c r="J403" s="175">
        <f t="shared" si="135"/>
        <v>-2.9631338008206987E-2</v>
      </c>
      <c r="K403" s="31">
        <f t="shared" si="136"/>
        <v>156738</v>
      </c>
      <c r="L403" s="31">
        <f t="shared" si="137"/>
        <v>-2021</v>
      </c>
      <c r="M403" s="31">
        <f t="shared" si="122"/>
        <v>5</v>
      </c>
      <c r="N403" s="31">
        <f t="shared" si="123"/>
        <v>0</v>
      </c>
      <c r="O403" s="125"/>
      <c r="P403" s="32">
        <f t="shared" si="138"/>
        <v>-0.27665765895954486</v>
      </c>
      <c r="Q403" s="31">
        <f t="shared" si="139"/>
        <v>-4535</v>
      </c>
      <c r="R403" s="34"/>
      <c r="S403" s="31">
        <f t="shared" si="124"/>
        <v>-0.11999999999999922</v>
      </c>
      <c r="T403" s="31">
        <f t="shared" si="125"/>
        <v>500</v>
      </c>
      <c r="U403" s="31">
        <f t="shared" si="126"/>
        <v>-7.9362398499860376E-3</v>
      </c>
      <c r="V403" s="31">
        <f t="shared" si="127"/>
        <v>6.613533208321741E-2</v>
      </c>
      <c r="W403" s="31">
        <f t="shared" si="128"/>
        <v>0.44564498346196252</v>
      </c>
      <c r="X403" s="32">
        <f t="shared" si="140"/>
        <v>-8.8910126754975831</v>
      </c>
      <c r="Y403" s="32">
        <f t="shared" si="141"/>
        <v>8.6143550165380383</v>
      </c>
      <c r="Z403" s="38">
        <f t="shared" si="142"/>
        <v>-2179873.6337373215</v>
      </c>
      <c r="AA403" s="31">
        <f>SUM(L$2:L403)-SUM(AB$2:AB403)</f>
        <v>-9067.7310000000034</v>
      </c>
      <c r="AB403" s="176"/>
      <c r="AC403" s="40">
        <f t="shared" si="129"/>
        <v>-528.01152442054479</v>
      </c>
      <c r="AD403" s="40">
        <f t="shared" si="130"/>
        <v>-17828.011524420544</v>
      </c>
    </row>
    <row r="404" spans="1:30" x14ac:dyDescent="0.25">
      <c r="A404" s="136">
        <v>43222</v>
      </c>
      <c r="B404" s="159"/>
      <c r="C404" s="46" t="s">
        <v>63</v>
      </c>
      <c r="D404" s="46">
        <v>500</v>
      </c>
      <c r="E404" s="46">
        <v>8.9</v>
      </c>
      <c r="F404" s="102">
        <f t="shared" si="132"/>
        <v>17800</v>
      </c>
      <c r="G404" s="32">
        <f t="shared" si="131"/>
        <v>9.324672893258434</v>
      </c>
      <c r="H404" s="31">
        <f t="shared" si="133"/>
        <v>165979.17750000014</v>
      </c>
      <c r="I404" s="31">
        <f t="shared" si="134"/>
        <v>-7559.1775000001362</v>
      </c>
      <c r="J404" s="175">
        <f t="shared" si="135"/>
        <v>-4.5542926611984884E-2</v>
      </c>
      <c r="K404" s="31">
        <f t="shared" si="136"/>
        <v>158420</v>
      </c>
      <c r="L404" s="31">
        <f t="shared" si="137"/>
        <v>-2773</v>
      </c>
      <c r="M404" s="31">
        <f t="shared" si="122"/>
        <v>5</v>
      </c>
      <c r="N404" s="31">
        <f t="shared" si="123"/>
        <v>0</v>
      </c>
      <c r="O404" s="125"/>
      <c r="P404" s="32">
        <f t="shared" si="138"/>
        <v>-0.4246728932584336</v>
      </c>
      <c r="Q404" s="31">
        <f t="shared" si="139"/>
        <v>-4455</v>
      </c>
      <c r="R404" s="34"/>
      <c r="S404" s="31">
        <f t="shared" si="124"/>
        <v>-0.16000000000000014</v>
      </c>
      <c r="T404" s="31">
        <f t="shared" si="125"/>
        <v>500</v>
      </c>
      <c r="U404" s="31">
        <f t="shared" si="126"/>
        <v>-1.1984765701111399E-2</v>
      </c>
      <c r="V404" s="31">
        <f t="shared" si="127"/>
        <v>7.4904785631946177E-2</v>
      </c>
      <c r="W404" s="31">
        <f t="shared" si="128"/>
        <v>0.62244668911335577</v>
      </c>
      <c r="X404" s="32">
        <f t="shared" si="140"/>
        <v>-8.7022262041450773</v>
      </c>
      <c r="Y404" s="32">
        <f t="shared" si="141"/>
        <v>8.2775533108866437</v>
      </c>
      <c r="Z404" s="38">
        <f t="shared" si="142"/>
        <v>-1485218.8556635135</v>
      </c>
      <c r="AA404" s="31">
        <f>SUM(L$2:L404)-SUM(AB$2:AB404)</f>
        <v>-11840.731000000003</v>
      </c>
      <c r="AB404" s="176"/>
      <c r="AC404" s="40">
        <f t="shared" si="129"/>
        <v>-848.92111362361084</v>
      </c>
      <c r="AD404" s="40">
        <f t="shared" si="130"/>
        <v>-18648.921113623612</v>
      </c>
    </row>
    <row r="405" spans="1:30" x14ac:dyDescent="0.25">
      <c r="A405" s="136">
        <v>43224</v>
      </c>
      <c r="B405" s="159"/>
      <c r="C405" s="46" t="s">
        <v>63</v>
      </c>
      <c r="D405" s="46">
        <v>500</v>
      </c>
      <c r="E405" s="46">
        <v>8.8000000000000007</v>
      </c>
      <c r="F405" s="102">
        <f t="shared" si="132"/>
        <v>18300</v>
      </c>
      <c r="G405" s="32">
        <f t="shared" si="131"/>
        <v>9.3106107923497348</v>
      </c>
      <c r="H405" s="31">
        <f t="shared" si="133"/>
        <v>170384.17750000014</v>
      </c>
      <c r="I405" s="31">
        <f t="shared" si="134"/>
        <v>-9344.1775000001362</v>
      </c>
      <c r="J405" s="175">
        <f t="shared" si="135"/>
        <v>-5.4841814757125115E-2</v>
      </c>
      <c r="K405" s="31">
        <f t="shared" si="136"/>
        <v>161040</v>
      </c>
      <c r="L405" s="31">
        <f t="shared" si="137"/>
        <v>-1785</v>
      </c>
      <c r="M405" s="31">
        <f t="shared" si="122"/>
        <v>5</v>
      </c>
      <c r="N405" s="31">
        <f t="shared" si="123"/>
        <v>0</v>
      </c>
      <c r="O405" s="125"/>
      <c r="P405" s="32">
        <f t="shared" si="138"/>
        <v>-0.51061079234973406</v>
      </c>
      <c r="Q405" s="31">
        <f t="shared" si="139"/>
        <v>-4405</v>
      </c>
      <c r="R405" s="34"/>
      <c r="S405" s="31">
        <f t="shared" si="124"/>
        <v>-9.9999999999999645E-2</v>
      </c>
      <c r="T405" s="31">
        <f t="shared" si="125"/>
        <v>500</v>
      </c>
      <c r="U405" s="31">
        <f t="shared" si="126"/>
        <v>-1.4062100908699193E-2</v>
      </c>
      <c r="V405" s="31">
        <f t="shared" si="127"/>
        <v>0.14062100908699243</v>
      </c>
      <c r="W405" s="31">
        <f t="shared" si="128"/>
        <v>0.40522133938706018</v>
      </c>
      <c r="X405" s="32">
        <f t="shared" si="140"/>
        <v>-8.9053894529626749</v>
      </c>
      <c r="Y405" s="32">
        <f t="shared" si="141"/>
        <v>8.3947786606129409</v>
      </c>
      <c r="Z405" s="38">
        <f t="shared" si="142"/>
        <v>-1301370.2659948294</v>
      </c>
      <c r="AA405" s="31">
        <f>SUM(L$2:L405)-SUM(AB$2:AB405)</f>
        <v>-13625.731000000003</v>
      </c>
      <c r="AB405" s="176"/>
      <c r="AC405" s="40">
        <f t="shared" si="129"/>
        <v>-1061.3074330966062</v>
      </c>
      <c r="AD405" s="40">
        <f t="shared" si="130"/>
        <v>-19361.307433096605</v>
      </c>
    </row>
    <row r="406" spans="1:30" x14ac:dyDescent="0.25">
      <c r="A406" s="136">
        <v>43228</v>
      </c>
      <c r="B406" s="159" t="s">
        <v>355</v>
      </c>
      <c r="C406" s="46" t="s">
        <v>69</v>
      </c>
      <c r="D406" s="46">
        <v>400</v>
      </c>
      <c r="E406" s="46">
        <v>8.9700000000000006</v>
      </c>
      <c r="F406" s="102">
        <f t="shared" si="132"/>
        <v>17900</v>
      </c>
      <c r="G406" s="32">
        <f t="shared" si="131"/>
        <v>9.3187019832402296</v>
      </c>
      <c r="H406" s="31">
        <f t="shared" si="133"/>
        <v>166804.76550000013</v>
      </c>
      <c r="I406" s="31">
        <f t="shared" si="134"/>
        <v>-6241.765500000125</v>
      </c>
      <c r="J406" s="175">
        <f t="shared" si="135"/>
        <v>-3.7419587391824806E-2</v>
      </c>
      <c r="K406" s="31">
        <f t="shared" si="136"/>
        <v>160563</v>
      </c>
      <c r="L406" s="31">
        <f t="shared" si="137"/>
        <v>3102.4120000000112</v>
      </c>
      <c r="M406" s="31">
        <f t="shared" si="122"/>
        <v>5</v>
      </c>
      <c r="N406" s="31">
        <f t="shared" si="123"/>
        <v>3.5880000000000005</v>
      </c>
      <c r="O406" s="125"/>
      <c r="P406" s="32">
        <f t="shared" si="138"/>
        <v>-0.34870198324022894</v>
      </c>
      <c r="Q406" s="31">
        <f t="shared" si="139"/>
        <v>3579.4120000000112</v>
      </c>
      <c r="R406" s="34"/>
      <c r="S406" s="31">
        <f t="shared" si="124"/>
        <v>0.16999999999999993</v>
      </c>
      <c r="T406" s="31">
        <f t="shared" si="125"/>
        <v>-400</v>
      </c>
      <c r="U406" s="31">
        <f t="shared" si="126"/>
        <v>8.0911908904948149E-3</v>
      </c>
      <c r="V406" s="31">
        <f t="shared" si="127"/>
        <v>4.7595240532322461E-2</v>
      </c>
      <c r="W406" s="31">
        <f t="shared" si="128"/>
        <v>0.86673788879290825</v>
      </c>
      <c r="X406" s="32">
        <f t="shared" si="140"/>
        <v>-8.4519640944473213</v>
      </c>
      <c r="Y406" s="32">
        <f t="shared" si="141"/>
        <v>8.1032621112070924</v>
      </c>
      <c r="Z406" s="38">
        <f t="shared" si="142"/>
        <v>2212282.498615643</v>
      </c>
      <c r="AA406" s="31">
        <f>SUM(L$2:L406)-SUM(AB$2:AB406)</f>
        <v>-10523.318999999992</v>
      </c>
      <c r="AB406" s="176"/>
      <c r="AC406" s="40">
        <f t="shared" si="129"/>
        <v>-695.50107215720448</v>
      </c>
      <c r="AD406" s="40">
        <f t="shared" si="130"/>
        <v>-18595.501072157203</v>
      </c>
    </row>
    <row r="407" spans="1:30" x14ac:dyDescent="0.25">
      <c r="A407" s="136">
        <v>43228</v>
      </c>
      <c r="B407" s="159" t="s">
        <v>356</v>
      </c>
      <c r="C407" s="46" t="s">
        <v>69</v>
      </c>
      <c r="D407" s="46">
        <v>400</v>
      </c>
      <c r="E407" s="46">
        <v>9.0500000000000007</v>
      </c>
      <c r="F407" s="102">
        <f t="shared" si="132"/>
        <v>17500</v>
      </c>
      <c r="G407" s="32">
        <f t="shared" si="131"/>
        <v>9.3253363142857211</v>
      </c>
      <c r="H407" s="31">
        <f t="shared" si="133"/>
        <v>163193.38550000012</v>
      </c>
      <c r="I407" s="31">
        <f t="shared" si="134"/>
        <v>-4818.3855000001204</v>
      </c>
      <c r="J407" s="175">
        <f t="shared" si="135"/>
        <v>-2.952561762988919E-2</v>
      </c>
      <c r="K407" s="31">
        <f t="shared" si="136"/>
        <v>158375</v>
      </c>
      <c r="L407" s="31">
        <f t="shared" si="137"/>
        <v>1423.3800000000047</v>
      </c>
      <c r="M407" s="31">
        <f t="shared" si="122"/>
        <v>5</v>
      </c>
      <c r="N407" s="31">
        <f t="shared" si="123"/>
        <v>3.6200000000000006</v>
      </c>
      <c r="O407" s="125"/>
      <c r="P407" s="32">
        <f t="shared" si="138"/>
        <v>-0.27533631428572036</v>
      </c>
      <c r="Q407" s="31">
        <f t="shared" si="139"/>
        <v>3611.3800000000047</v>
      </c>
      <c r="R407" s="34"/>
      <c r="S407" s="31">
        <f t="shared" si="124"/>
        <v>8.0000000000000071E-2</v>
      </c>
      <c r="T407" s="31">
        <f t="shared" si="125"/>
        <v>-400</v>
      </c>
      <c r="U407" s="31">
        <f t="shared" si="126"/>
        <v>6.6343310454914928E-3</v>
      </c>
      <c r="V407" s="31">
        <f t="shared" si="127"/>
        <v>8.292913806864359E-2</v>
      </c>
      <c r="W407" s="31">
        <f t="shared" si="128"/>
        <v>0.39413742115202577</v>
      </c>
      <c r="X407" s="32">
        <f t="shared" si="140"/>
        <v>-8.9311988931336952</v>
      </c>
      <c r="Y407" s="32">
        <f t="shared" si="141"/>
        <v>8.6558625788479748</v>
      </c>
      <c r="Z407" s="38">
        <f t="shared" si="142"/>
        <v>2637794.2071329881</v>
      </c>
      <c r="AA407" s="31">
        <f>SUM(L$2:L407)-SUM(AB$2:AB407)</f>
        <v>-9099.9389999999876</v>
      </c>
      <c r="AB407" s="176"/>
      <c r="AC407" s="40">
        <f t="shared" si="129"/>
        <v>-532.15207814918449</v>
      </c>
      <c r="AD407" s="40">
        <f t="shared" si="130"/>
        <v>-18032.152078149185</v>
      </c>
    </row>
    <row r="408" spans="1:30" x14ac:dyDescent="0.25">
      <c r="A408" s="136">
        <v>43229</v>
      </c>
      <c r="B408" s="159"/>
      <c r="C408" s="46" t="s">
        <v>63</v>
      </c>
      <c r="D408" s="46">
        <v>500</v>
      </c>
      <c r="E408" s="46">
        <v>8.91</v>
      </c>
      <c r="F408" s="102">
        <f t="shared" si="132"/>
        <v>18000</v>
      </c>
      <c r="G408" s="32">
        <f t="shared" si="131"/>
        <v>9.3140769722222281</v>
      </c>
      <c r="H408" s="31">
        <f t="shared" si="133"/>
        <v>167653.38550000012</v>
      </c>
      <c r="I408" s="31">
        <f t="shared" si="134"/>
        <v>-7273.3855000001204</v>
      </c>
      <c r="J408" s="175">
        <f t="shared" si="135"/>
        <v>-4.3383469282820407E-2</v>
      </c>
      <c r="K408" s="31">
        <f t="shared" si="136"/>
        <v>160380</v>
      </c>
      <c r="L408" s="31">
        <f t="shared" si="137"/>
        <v>-2455</v>
      </c>
      <c r="M408" s="31">
        <f t="shared" si="122"/>
        <v>5</v>
      </c>
      <c r="N408" s="31">
        <f t="shared" si="123"/>
        <v>0</v>
      </c>
      <c r="O408" s="125"/>
      <c r="P408" s="32">
        <f t="shared" si="138"/>
        <v>-0.40407697222222794</v>
      </c>
      <c r="Q408" s="31">
        <f t="shared" si="139"/>
        <v>-4460</v>
      </c>
      <c r="R408" s="34"/>
      <c r="S408" s="31">
        <f t="shared" si="124"/>
        <v>-0.14000000000000057</v>
      </c>
      <c r="T408" s="31">
        <f t="shared" si="125"/>
        <v>500</v>
      </c>
      <c r="U408" s="31">
        <f t="shared" si="126"/>
        <v>-1.1259342063492994E-2</v>
      </c>
      <c r="V408" s="31">
        <f t="shared" si="127"/>
        <v>8.042387188209249E-2</v>
      </c>
      <c r="W408" s="31">
        <f t="shared" si="128"/>
        <v>0.55044843049327352</v>
      </c>
      <c r="X408" s="32">
        <f t="shared" si="140"/>
        <v>-8.7636285417289539</v>
      </c>
      <c r="Y408" s="32">
        <f t="shared" si="141"/>
        <v>8.359551569506726</v>
      </c>
      <c r="Z408" s="38">
        <f t="shared" si="142"/>
        <v>-1598672.4533720976</v>
      </c>
      <c r="AA408" s="31">
        <f>SUM(L$2:L408)-SUM(AB$2:AB408)</f>
        <v>-11554.938999999988</v>
      </c>
      <c r="AB408" s="176"/>
      <c r="AC408" s="40">
        <f t="shared" si="129"/>
        <v>-815.90895704266222</v>
      </c>
      <c r="AD408" s="40">
        <f t="shared" si="130"/>
        <v>-18815.908957042662</v>
      </c>
    </row>
    <row r="409" spans="1:30" x14ac:dyDescent="0.25">
      <c r="A409" s="136">
        <v>43237</v>
      </c>
      <c r="B409" s="159" t="s">
        <v>357</v>
      </c>
      <c r="C409" s="46" t="s">
        <v>69</v>
      </c>
      <c r="D409" s="46">
        <v>400</v>
      </c>
      <c r="E409" s="46">
        <v>9.15</v>
      </c>
      <c r="F409" s="102">
        <f t="shared" si="132"/>
        <v>17600</v>
      </c>
      <c r="G409" s="32">
        <f t="shared" si="131"/>
        <v>9.3182980397727349</v>
      </c>
      <c r="H409" s="31">
        <f t="shared" si="133"/>
        <v>164002.04550000012</v>
      </c>
      <c r="I409" s="31">
        <f t="shared" si="134"/>
        <v>-2962.0455000001239</v>
      </c>
      <c r="J409" s="175">
        <f t="shared" si="135"/>
        <v>-1.806102778151096E-2</v>
      </c>
      <c r="K409" s="31">
        <f t="shared" si="136"/>
        <v>161040</v>
      </c>
      <c r="L409" s="31">
        <f t="shared" si="137"/>
        <v>4311.3399999999965</v>
      </c>
      <c r="M409" s="31">
        <f t="shared" si="122"/>
        <v>5</v>
      </c>
      <c r="N409" s="31">
        <f t="shared" si="123"/>
        <v>3.66</v>
      </c>
      <c r="O409" s="125"/>
      <c r="P409" s="32">
        <f t="shared" si="138"/>
        <v>-0.1682980397727345</v>
      </c>
      <c r="Q409" s="31">
        <f t="shared" si="139"/>
        <v>3651.3399999999965</v>
      </c>
      <c r="R409" s="34"/>
      <c r="S409" s="31">
        <f t="shared" si="124"/>
        <v>0.24000000000000021</v>
      </c>
      <c r="T409" s="31">
        <f t="shared" si="125"/>
        <v>-400</v>
      </c>
      <c r="U409" s="31">
        <f t="shared" si="126"/>
        <v>4.2210675505067741E-3</v>
      </c>
      <c r="V409" s="31">
        <f t="shared" si="127"/>
        <v>1.7587781460444877E-2</v>
      </c>
      <c r="W409" s="31">
        <f t="shared" si="128"/>
        <v>1.1807555582334159</v>
      </c>
      <c r="X409" s="32">
        <f t="shared" si="140"/>
        <v>-8.1375424815393185</v>
      </c>
      <c r="Y409" s="32">
        <f t="shared" si="141"/>
        <v>7.969244441766584</v>
      </c>
      <c r="Z409" s="38">
        <f t="shared" si="142"/>
        <v>4169561.3229139093</v>
      </c>
      <c r="AA409" s="31">
        <f>SUM(L$2:L409)-SUM(AB$2:AB409)</f>
        <v>-7243.5989999999911</v>
      </c>
      <c r="AB409" s="176"/>
      <c r="AC409" s="40">
        <f t="shared" si="129"/>
        <v>-323.55895926230863</v>
      </c>
      <c r="AD409" s="40">
        <f t="shared" si="130"/>
        <v>-17923.558959262307</v>
      </c>
    </row>
    <row r="410" spans="1:30" x14ac:dyDescent="0.25">
      <c r="A410" s="136">
        <v>43238</v>
      </c>
      <c r="B410" s="159"/>
      <c r="C410" s="46" t="s">
        <v>69</v>
      </c>
      <c r="D410" s="46">
        <v>400</v>
      </c>
      <c r="E410" s="46">
        <v>9.2200000000000006</v>
      </c>
      <c r="F410" s="102">
        <f t="shared" si="132"/>
        <v>17200</v>
      </c>
      <c r="G410" s="32">
        <f t="shared" si="131"/>
        <v>9.3210891569767504</v>
      </c>
      <c r="H410" s="31">
        <f t="shared" si="133"/>
        <v>160322.73350000012</v>
      </c>
      <c r="I410" s="31">
        <f t="shared" si="134"/>
        <v>-1738.7335000001185</v>
      </c>
      <c r="J410" s="175">
        <f t="shared" si="135"/>
        <v>-1.0845208674040575E-2</v>
      </c>
      <c r="K410" s="31">
        <f t="shared" si="136"/>
        <v>158584</v>
      </c>
      <c r="L410" s="31">
        <f t="shared" si="137"/>
        <v>1223.3120000000054</v>
      </c>
      <c r="M410" s="31">
        <f t="shared" si="122"/>
        <v>5</v>
      </c>
      <c r="N410" s="31">
        <f t="shared" si="123"/>
        <v>3.6880000000000006</v>
      </c>
      <c r="O410" s="125"/>
      <c r="P410" s="32">
        <f t="shared" si="138"/>
        <v>-0.10108915697674981</v>
      </c>
      <c r="Q410" s="31">
        <f t="shared" si="139"/>
        <v>3679.3120000000054</v>
      </c>
      <c r="R410" s="34"/>
      <c r="S410" s="31">
        <f t="shared" si="124"/>
        <v>7.0000000000000284E-2</v>
      </c>
      <c r="T410" s="31">
        <f t="shared" si="125"/>
        <v>-400</v>
      </c>
      <c r="U410" s="31">
        <f t="shared" si="126"/>
        <v>2.7911172040155918E-3</v>
      </c>
      <c r="V410" s="31">
        <f t="shared" si="127"/>
        <v>3.9873102914508296E-2</v>
      </c>
      <c r="W410" s="31">
        <f t="shared" si="128"/>
        <v>0.3324838991637577</v>
      </c>
      <c r="X410" s="32">
        <f t="shared" si="140"/>
        <v>-8.988605257812992</v>
      </c>
      <c r="Y410" s="32">
        <f t="shared" si="141"/>
        <v>8.8875161008362422</v>
      </c>
      <c r="Z410" s="38">
        <f t="shared" si="142"/>
        <v>6162406.9298323588</v>
      </c>
      <c r="AA410" s="31">
        <f>SUM(L$2:L410)-SUM(AB$2:AB410)</f>
        <v>-6020.2869999999857</v>
      </c>
      <c r="AB410" s="176"/>
      <c r="AC410" s="40">
        <f t="shared" si="129"/>
        <v>-188.48851770608658</v>
      </c>
      <c r="AD410" s="40">
        <f t="shared" si="130"/>
        <v>-17388.488517706086</v>
      </c>
    </row>
    <row r="411" spans="1:30" x14ac:dyDescent="0.25">
      <c r="A411" s="136">
        <v>43238</v>
      </c>
      <c r="B411" s="159"/>
      <c r="C411" s="46" t="s">
        <v>69</v>
      </c>
      <c r="D411" s="46">
        <v>400</v>
      </c>
      <c r="E411" s="46">
        <v>9.3000000000000007</v>
      </c>
      <c r="F411" s="102">
        <f t="shared" si="132"/>
        <v>16800</v>
      </c>
      <c r="G411" s="32">
        <f t="shared" si="131"/>
        <v>9.32211032738096</v>
      </c>
      <c r="H411" s="31">
        <f t="shared" si="133"/>
        <v>156611.45350000012</v>
      </c>
      <c r="I411" s="31">
        <f t="shared" si="134"/>
        <v>-371.45350000011967</v>
      </c>
      <c r="J411" s="175">
        <f t="shared" si="135"/>
        <v>-2.3718156731117753E-3</v>
      </c>
      <c r="K411" s="31">
        <f t="shared" si="136"/>
        <v>156240</v>
      </c>
      <c r="L411" s="31">
        <f t="shared" si="137"/>
        <v>1367.2799999999988</v>
      </c>
      <c r="M411" s="31">
        <f t="shared" si="122"/>
        <v>5</v>
      </c>
      <c r="N411" s="31">
        <f t="shared" si="123"/>
        <v>3.7200000000000006</v>
      </c>
      <c r="O411" s="125"/>
      <c r="P411" s="32">
        <f t="shared" si="138"/>
        <v>-2.2110327380959305E-2</v>
      </c>
      <c r="Q411" s="31">
        <f t="shared" si="139"/>
        <v>3711.2799999999988</v>
      </c>
      <c r="R411" s="34"/>
      <c r="S411" s="31">
        <f t="shared" si="124"/>
        <v>8.0000000000000071E-2</v>
      </c>
      <c r="T411" s="31">
        <f t="shared" si="125"/>
        <v>-400</v>
      </c>
      <c r="U411" s="31">
        <f t="shared" si="126"/>
        <v>1.0211704042095704E-3</v>
      </c>
      <c r="V411" s="31">
        <f t="shared" si="127"/>
        <v>1.2764630052619618E-2</v>
      </c>
      <c r="W411" s="31">
        <f t="shared" si="128"/>
        <v>0.36841197646095131</v>
      </c>
      <c r="X411" s="32">
        <f t="shared" si="140"/>
        <v>-8.9536983509200088</v>
      </c>
      <c r="Y411" s="32">
        <f t="shared" si="141"/>
        <v>8.9315880235390495</v>
      </c>
      <c r="Z411" s="38">
        <f t="shared" si="142"/>
        <v>16451710.635899127</v>
      </c>
      <c r="AA411" s="31">
        <f>SUM(L$2:L411)-SUM(AB$2:AB411)</f>
        <v>-4653.0069999999869</v>
      </c>
      <c r="AB411" s="176"/>
      <c r="AC411" s="40">
        <f t="shared" si="129"/>
        <v>-39.921265940873077</v>
      </c>
      <c r="AD411" s="40">
        <f t="shared" si="130"/>
        <v>-16839.921265940873</v>
      </c>
    </row>
    <row r="412" spans="1:30" x14ac:dyDescent="0.25">
      <c r="A412" s="136">
        <v>43241</v>
      </c>
      <c r="B412" s="159" t="s">
        <v>358</v>
      </c>
      <c r="C412" s="46" t="s">
        <v>69</v>
      </c>
      <c r="D412" s="46">
        <v>400</v>
      </c>
      <c r="E412" s="46">
        <v>9.3800000000000008</v>
      </c>
      <c r="F412" s="102">
        <f t="shared" si="132"/>
        <v>16400</v>
      </c>
      <c r="G412" s="32">
        <f t="shared" si="131"/>
        <v>9.3212320426829347</v>
      </c>
      <c r="H412" s="31">
        <f t="shared" si="133"/>
        <v>152868.20550000013</v>
      </c>
      <c r="I412" s="31">
        <f t="shared" si="134"/>
        <v>963.79449999987264</v>
      </c>
      <c r="J412" s="175">
        <f t="shared" si="135"/>
        <v>6.3047413740974596E-3</v>
      </c>
      <c r="K412" s="31">
        <f t="shared" si="136"/>
        <v>153832</v>
      </c>
      <c r="L412" s="31">
        <f t="shared" si="137"/>
        <v>1335.2479999999923</v>
      </c>
      <c r="M412" s="31">
        <f t="shared" si="122"/>
        <v>5</v>
      </c>
      <c r="N412" s="31">
        <f t="shared" si="123"/>
        <v>3.7520000000000007</v>
      </c>
      <c r="O412" s="125"/>
      <c r="P412" s="32">
        <f t="shared" si="138"/>
        <v>5.8767957317066077E-2</v>
      </c>
      <c r="Q412" s="31">
        <f t="shared" si="139"/>
        <v>3743.2479999999923</v>
      </c>
      <c r="R412" s="34"/>
      <c r="S412" s="31">
        <f t="shared" si="124"/>
        <v>8.0000000000000071E-2</v>
      </c>
      <c r="T412" s="31">
        <f t="shared" si="125"/>
        <v>-400</v>
      </c>
      <c r="U412" s="31">
        <f t="shared" si="126"/>
        <v>-8.7828469802531117E-4</v>
      </c>
      <c r="V412" s="31">
        <f t="shared" si="127"/>
        <v>-1.0978558725316379E-2</v>
      </c>
      <c r="W412" s="31">
        <f t="shared" si="128"/>
        <v>0.35670839869546317</v>
      </c>
      <c r="X412" s="32">
        <f t="shared" si="140"/>
        <v>-8.9645236439874711</v>
      </c>
      <c r="Y412" s="32">
        <f t="shared" si="141"/>
        <v>9.0232916013045372</v>
      </c>
      <c r="Z412" s="38">
        <f t="shared" si="142"/>
        <v>-18672760.70831348</v>
      </c>
      <c r="AA412" s="31">
        <f>SUM(L$2:L412)-SUM(AB$2:AB412)</f>
        <v>-3317.7589999999946</v>
      </c>
      <c r="AB412" s="176"/>
      <c r="AC412" s="40">
        <f t="shared" si="129"/>
        <v>102.69857172173482</v>
      </c>
      <c r="AD412" s="40">
        <f t="shared" si="130"/>
        <v>-16297.301428278266</v>
      </c>
    </row>
    <row r="413" spans="1:30" x14ac:dyDescent="0.25">
      <c r="A413" s="136">
        <v>43242</v>
      </c>
      <c r="B413" s="159" t="s">
        <v>359</v>
      </c>
      <c r="C413" s="46" t="s">
        <v>63</v>
      </c>
      <c r="D413" s="46">
        <v>500</v>
      </c>
      <c r="E413" s="46">
        <v>9.24</v>
      </c>
      <c r="F413" s="102">
        <f t="shared" si="132"/>
        <v>16900</v>
      </c>
      <c r="G413" s="32">
        <f t="shared" si="131"/>
        <v>9.319124585798825</v>
      </c>
      <c r="H413" s="31">
        <f t="shared" si="133"/>
        <v>157493.20550000013</v>
      </c>
      <c r="I413" s="31">
        <f t="shared" si="134"/>
        <v>-1337.2055000001274</v>
      </c>
      <c r="J413" s="175">
        <f t="shared" si="135"/>
        <v>-8.4905599308545219E-3</v>
      </c>
      <c r="K413" s="31">
        <f t="shared" si="136"/>
        <v>156156</v>
      </c>
      <c r="L413" s="31">
        <f t="shared" si="137"/>
        <v>-2301</v>
      </c>
      <c r="M413" s="31">
        <f t="shared" si="122"/>
        <v>5</v>
      </c>
      <c r="N413" s="31">
        <f t="shared" si="123"/>
        <v>0</v>
      </c>
      <c r="O413" s="125"/>
      <c r="P413" s="32">
        <f t="shared" si="138"/>
        <v>-7.9124585798824754E-2</v>
      </c>
      <c r="Q413" s="31">
        <f t="shared" si="139"/>
        <v>-4625</v>
      </c>
      <c r="R413" s="34"/>
      <c r="S413" s="31">
        <f t="shared" si="124"/>
        <v>-0.14000000000000057</v>
      </c>
      <c r="T413" s="31">
        <f t="shared" si="125"/>
        <v>500</v>
      </c>
      <c r="U413" s="31">
        <f t="shared" si="126"/>
        <v>-2.1074568841097374E-3</v>
      </c>
      <c r="V413" s="31">
        <f t="shared" si="127"/>
        <v>1.5053263457926635E-2</v>
      </c>
      <c r="W413" s="31">
        <f t="shared" si="128"/>
        <v>0.49751351351351353</v>
      </c>
      <c r="X413" s="32">
        <f t="shared" si="140"/>
        <v>-8.8216110722853109</v>
      </c>
      <c r="Y413" s="32">
        <f t="shared" si="141"/>
        <v>8.7424864864864862</v>
      </c>
      <c r="Z413" s="38">
        <f t="shared" si="142"/>
        <v>-8019143.8920655046</v>
      </c>
      <c r="AA413" s="31">
        <f>SUM(L$2:L413)-SUM(AB$2:AB413)</f>
        <v>-5618.7589999999946</v>
      </c>
      <c r="AB413" s="176"/>
      <c r="AC413" s="40">
        <f t="shared" si="129"/>
        <v>-144.6468503517454</v>
      </c>
      <c r="AD413" s="40">
        <f t="shared" si="130"/>
        <v>-17044.646850351746</v>
      </c>
    </row>
    <row r="414" spans="1:30" x14ac:dyDescent="0.25">
      <c r="A414" s="136">
        <v>43245</v>
      </c>
      <c r="B414" s="159"/>
      <c r="C414" s="46" t="s">
        <v>69</v>
      </c>
      <c r="D414" s="46">
        <v>400</v>
      </c>
      <c r="E414" s="46">
        <v>9.3800000000000008</v>
      </c>
      <c r="F414" s="102">
        <f t="shared" si="132"/>
        <v>16500</v>
      </c>
      <c r="G414" s="32">
        <f t="shared" si="131"/>
        <v>9.3181792424242502</v>
      </c>
      <c r="H414" s="31">
        <f t="shared" si="133"/>
        <v>153749.95750000014</v>
      </c>
      <c r="I414" s="31">
        <f t="shared" si="134"/>
        <v>1020.042499999865</v>
      </c>
      <c r="J414" s="175">
        <f t="shared" si="135"/>
        <v>6.6344245981328704E-3</v>
      </c>
      <c r="K414" s="31">
        <f t="shared" si="136"/>
        <v>154770</v>
      </c>
      <c r="L414" s="31">
        <f t="shared" si="137"/>
        <v>2357.2479999999923</v>
      </c>
      <c r="M414" s="31">
        <f t="shared" si="122"/>
        <v>5</v>
      </c>
      <c r="N414" s="31">
        <f t="shared" si="123"/>
        <v>3.7520000000000007</v>
      </c>
      <c r="O414" s="125"/>
      <c r="P414" s="32">
        <f t="shared" si="138"/>
        <v>6.1820757575750562E-2</v>
      </c>
      <c r="Q414" s="31">
        <f t="shared" si="139"/>
        <v>3743.2479999999923</v>
      </c>
      <c r="R414" s="34"/>
      <c r="S414" s="31">
        <f t="shared" si="124"/>
        <v>0.14000000000000057</v>
      </c>
      <c r="T414" s="31">
        <f t="shared" si="125"/>
        <v>-400</v>
      </c>
      <c r="U414" s="31">
        <f t="shared" si="126"/>
        <v>-9.4534337457474749E-4</v>
      </c>
      <c r="V414" s="31">
        <f t="shared" si="127"/>
        <v>-6.7524526755338831E-3</v>
      </c>
      <c r="W414" s="31">
        <f t="shared" si="128"/>
        <v>0.62973332250494685</v>
      </c>
      <c r="X414" s="32">
        <f t="shared" si="140"/>
        <v>-8.6884459199193032</v>
      </c>
      <c r="Y414" s="32">
        <f t="shared" si="141"/>
        <v>8.7502666774950537</v>
      </c>
      <c r="Z414" s="38">
        <f t="shared" si="142"/>
        <v>-17453975.395366099</v>
      </c>
      <c r="AA414" s="31">
        <f>SUM(L$2:L414)-SUM(AB$2:AB414)</f>
        <v>-3261.5110000000022</v>
      </c>
      <c r="AB414" s="176"/>
      <c r="AC414" s="40">
        <f t="shared" si="129"/>
        <v>108.69216191363167</v>
      </c>
      <c r="AD414" s="40">
        <f t="shared" si="130"/>
        <v>-16391.30783808637</v>
      </c>
    </row>
    <row r="415" spans="1:30" x14ac:dyDescent="0.25">
      <c r="A415" s="136">
        <v>43250</v>
      </c>
      <c r="B415" s="159" t="s">
        <v>360</v>
      </c>
      <c r="C415" s="46" t="s">
        <v>63</v>
      </c>
      <c r="D415" s="46">
        <v>500</v>
      </c>
      <c r="E415" s="46">
        <v>9.2200000000000006</v>
      </c>
      <c r="F415" s="102">
        <f t="shared" si="132"/>
        <v>17000</v>
      </c>
      <c r="G415" s="32">
        <f t="shared" si="131"/>
        <v>9.3155857352941247</v>
      </c>
      <c r="H415" s="31">
        <f t="shared" si="133"/>
        <v>158364.95750000014</v>
      </c>
      <c r="I415" s="31">
        <f t="shared" si="134"/>
        <v>-1624.957500000135</v>
      </c>
      <c r="J415" s="175">
        <f t="shared" si="135"/>
        <v>-1.0260840059898402E-2</v>
      </c>
      <c r="K415" s="31">
        <f t="shared" si="136"/>
        <v>156740</v>
      </c>
      <c r="L415" s="31">
        <f t="shared" si="137"/>
        <v>-2645</v>
      </c>
      <c r="M415" s="31">
        <f t="shared" si="122"/>
        <v>5</v>
      </c>
      <c r="N415" s="31">
        <f t="shared" si="123"/>
        <v>0</v>
      </c>
      <c r="O415" s="125"/>
      <c r="P415" s="32">
        <f t="shared" si="138"/>
        <v>-9.5585735294124063E-2</v>
      </c>
      <c r="Q415" s="31">
        <f t="shared" si="139"/>
        <v>-4615</v>
      </c>
      <c r="R415" s="34"/>
      <c r="S415" s="31">
        <f t="shared" si="124"/>
        <v>-0.16000000000000014</v>
      </c>
      <c r="T415" s="31">
        <f t="shared" si="125"/>
        <v>500</v>
      </c>
      <c r="U415" s="31">
        <f t="shared" si="126"/>
        <v>-2.5935071301255164E-3</v>
      </c>
      <c r="V415" s="31">
        <f t="shared" si="127"/>
        <v>1.6209419563284463E-2</v>
      </c>
      <c r="W415" s="31">
        <f t="shared" si="128"/>
        <v>0.5731310942578548</v>
      </c>
      <c r="X415" s="32">
        <f t="shared" si="140"/>
        <v>-8.7424546410362698</v>
      </c>
      <c r="Y415" s="32">
        <f t="shared" si="141"/>
        <v>8.6468689057421457</v>
      </c>
      <c r="Z415" s="38">
        <f t="shared" si="142"/>
        <v>-6554830.6393810688</v>
      </c>
      <c r="AA415" s="31">
        <f>SUM(L$2:L415)-SUM(AB$2:AB415)</f>
        <v>-5906.5110000000022</v>
      </c>
      <c r="AB415" s="176"/>
      <c r="AC415" s="40">
        <f t="shared" si="129"/>
        <v>-176.15455761932049</v>
      </c>
      <c r="AD415" s="40">
        <f t="shared" si="130"/>
        <v>-17176.15455761932</v>
      </c>
    </row>
    <row r="416" spans="1:30" x14ac:dyDescent="0.25">
      <c r="A416" s="136">
        <v>43252</v>
      </c>
      <c r="B416" s="159"/>
      <c r="C416" s="46" t="s">
        <v>69</v>
      </c>
      <c r="D416" s="46">
        <v>400</v>
      </c>
      <c r="E416" s="46">
        <v>9.34</v>
      </c>
      <c r="F416" s="102">
        <f t="shared" si="132"/>
        <v>16600</v>
      </c>
      <c r="G416" s="32">
        <f t="shared" si="131"/>
        <v>9.3155237048192863</v>
      </c>
      <c r="H416" s="31">
        <f t="shared" si="133"/>
        <v>154637.69350000014</v>
      </c>
      <c r="I416" s="31">
        <f t="shared" si="134"/>
        <v>406.30649999986053</v>
      </c>
      <c r="J416" s="175">
        <f t="shared" si="135"/>
        <v>2.6274738765412666E-3</v>
      </c>
      <c r="K416" s="31">
        <f t="shared" si="136"/>
        <v>155044</v>
      </c>
      <c r="L416" s="31">
        <f t="shared" si="137"/>
        <v>2031.2639999999956</v>
      </c>
      <c r="M416" s="31">
        <f t="shared" si="122"/>
        <v>5</v>
      </c>
      <c r="N416" s="31">
        <f t="shared" si="123"/>
        <v>3.7360000000000002</v>
      </c>
      <c r="O416" s="125"/>
      <c r="P416" s="32">
        <f t="shared" si="138"/>
        <v>2.4476295180713592E-2</v>
      </c>
      <c r="Q416" s="31">
        <f t="shared" si="139"/>
        <v>3727.2639999999956</v>
      </c>
      <c r="R416" s="34"/>
      <c r="S416" s="31">
        <f t="shared" si="124"/>
        <v>0.11999999999999922</v>
      </c>
      <c r="T416" s="31">
        <f t="shared" si="125"/>
        <v>-400</v>
      </c>
      <c r="U416" s="31">
        <f t="shared" si="126"/>
        <v>-6.2030474838437044E-5</v>
      </c>
      <c r="V416" s="31">
        <f t="shared" si="127"/>
        <v>-5.1692062365364536E-4</v>
      </c>
      <c r="W416" s="31">
        <f t="shared" si="128"/>
        <v>0.54497454433063985</v>
      </c>
      <c r="X416" s="32">
        <f t="shared" si="140"/>
        <v>-8.7705491604886472</v>
      </c>
      <c r="Y416" s="32">
        <f t="shared" si="141"/>
        <v>8.7950254556693608</v>
      </c>
      <c r="Z416" s="38">
        <f t="shared" si="142"/>
        <v>-267610397.03848675</v>
      </c>
      <c r="AA416" s="31">
        <f>SUM(L$2:L416)-SUM(AB$2:AB416)</f>
        <v>-3875.2470000000067</v>
      </c>
      <c r="AB416" s="176"/>
      <c r="AC416" s="40">
        <f t="shared" si="129"/>
        <v>43.480015711976513</v>
      </c>
      <c r="AD416" s="40">
        <f t="shared" si="130"/>
        <v>-16556.519984288025</v>
      </c>
    </row>
    <row r="417" spans="1:30" x14ac:dyDescent="0.25">
      <c r="A417" s="136">
        <v>43255</v>
      </c>
      <c r="B417" s="159" t="s">
        <v>361</v>
      </c>
      <c r="C417" s="46" t="s">
        <v>69</v>
      </c>
      <c r="D417" s="46">
        <v>400</v>
      </c>
      <c r="E417" s="46">
        <v>9.42</v>
      </c>
      <c r="F417" s="102">
        <f t="shared" si="132"/>
        <v>16200</v>
      </c>
      <c r="G417" s="32">
        <f t="shared" si="131"/>
        <v>9.3134852777777866</v>
      </c>
      <c r="H417" s="31">
        <f t="shared" si="133"/>
        <v>150878.46150000015</v>
      </c>
      <c r="I417" s="31">
        <f t="shared" si="134"/>
        <v>1725.5384999998496</v>
      </c>
      <c r="J417" s="175">
        <f t="shared" si="135"/>
        <v>1.1436612508140235E-2</v>
      </c>
      <c r="K417" s="31">
        <f t="shared" si="136"/>
        <v>152604</v>
      </c>
      <c r="L417" s="31">
        <f t="shared" si="137"/>
        <v>1319.2319999999891</v>
      </c>
      <c r="M417" s="31">
        <f t="shared" si="122"/>
        <v>5</v>
      </c>
      <c r="N417" s="31">
        <f t="shared" si="123"/>
        <v>3.7679999999999998</v>
      </c>
      <c r="O417" s="125"/>
      <c r="P417" s="32">
        <f t="shared" si="138"/>
        <v>0.10651472222221336</v>
      </c>
      <c r="Q417" s="31">
        <f t="shared" si="139"/>
        <v>3759.2319999999891</v>
      </c>
      <c r="R417" s="34"/>
      <c r="S417" s="31">
        <f t="shared" si="124"/>
        <v>8.0000000000000071E-2</v>
      </c>
      <c r="T417" s="31">
        <f t="shared" si="125"/>
        <v>-400</v>
      </c>
      <c r="U417" s="31">
        <f t="shared" si="126"/>
        <v>-2.0384270414997019E-3</v>
      </c>
      <c r="V417" s="31">
        <f t="shared" si="127"/>
        <v>-2.5480338018746249E-2</v>
      </c>
      <c r="W417" s="31">
        <f t="shared" si="128"/>
        <v>0.35093125404337716</v>
      </c>
      <c r="X417" s="32">
        <f t="shared" si="140"/>
        <v>-8.962554023734409</v>
      </c>
      <c r="Y417" s="32">
        <f t="shared" si="141"/>
        <v>9.0690687459566224</v>
      </c>
      <c r="Z417" s="38">
        <f t="shared" si="142"/>
        <v>-7947304.3038525498</v>
      </c>
      <c r="AA417" s="31">
        <f>SUM(L$2:L417)-SUM(AB$2:AB417)</f>
        <v>-2556.0150000000176</v>
      </c>
      <c r="AB417" s="176"/>
      <c r="AC417" s="40">
        <f t="shared" si="129"/>
        <v>183.08659562100317</v>
      </c>
      <c r="AD417" s="40">
        <f t="shared" si="130"/>
        <v>-16016.913404378996</v>
      </c>
    </row>
    <row r="418" spans="1:30" x14ac:dyDescent="0.25">
      <c r="A418" s="136">
        <v>43258</v>
      </c>
      <c r="B418" s="178"/>
      <c r="C418" s="46" t="s">
        <v>63</v>
      </c>
      <c r="D418" s="46">
        <v>4000</v>
      </c>
      <c r="E418" s="46">
        <v>9.4499999999999993</v>
      </c>
      <c r="F418" s="102">
        <f t="shared" si="132"/>
        <v>20200</v>
      </c>
      <c r="G418" s="32">
        <f t="shared" si="131"/>
        <v>9.3409857178217894</v>
      </c>
      <c r="H418" s="31">
        <f t="shared" si="133"/>
        <v>188687.91150000016</v>
      </c>
      <c r="I418" s="31">
        <f t="shared" si="134"/>
        <v>2202.0884999998379</v>
      </c>
      <c r="J418" s="175">
        <f t="shared" si="135"/>
        <v>1.1670533011330921E-2</v>
      </c>
      <c r="K418" s="31">
        <f t="shared" si="136"/>
        <v>190890</v>
      </c>
      <c r="L418" s="31">
        <f t="shared" si="137"/>
        <v>476.54999999998836</v>
      </c>
      <c r="M418" s="31">
        <f t="shared" si="122"/>
        <v>9.4499999999999993</v>
      </c>
      <c r="N418" s="31">
        <f t="shared" si="123"/>
        <v>0</v>
      </c>
      <c r="O418" s="125"/>
      <c r="P418" s="32">
        <f t="shared" si="138"/>
        <v>0.10901428217820985</v>
      </c>
      <c r="Q418" s="31">
        <f t="shared" si="139"/>
        <v>-37809.450000000012</v>
      </c>
      <c r="R418" s="34"/>
      <c r="S418" s="31">
        <f t="shared" si="124"/>
        <v>2.9999999999999361E-2</v>
      </c>
      <c r="T418" s="31">
        <f t="shared" si="125"/>
        <v>4000</v>
      </c>
      <c r="U418" s="31">
        <f t="shared" si="126"/>
        <v>2.7500440044002872E-2</v>
      </c>
      <c r="V418" s="31">
        <f t="shared" si="127"/>
        <v>0.91668133480011527</v>
      </c>
      <c r="W418" s="31">
        <f t="shared" si="128"/>
        <v>-1.2603991859177752E-2</v>
      </c>
      <c r="X418" s="32">
        <f t="shared" si="140"/>
        <v>-9.3535897096809677</v>
      </c>
      <c r="Y418" s="32">
        <f t="shared" si="141"/>
        <v>9.4626039918591776</v>
      </c>
      <c r="Z418" s="38">
        <f t="shared" si="142"/>
        <v>734533.70083091059</v>
      </c>
      <c r="AA418" s="31">
        <f>SUM(L$2:L418)-SUM(AB$2:AB418)</f>
        <v>-2079.4650000000292</v>
      </c>
      <c r="AB418" s="176"/>
      <c r="AC418" s="40">
        <f t="shared" si="129"/>
        <v>232.90872547617337</v>
      </c>
      <c r="AD418" s="40">
        <f t="shared" si="130"/>
        <v>-19967.091274523827</v>
      </c>
    </row>
    <row r="419" spans="1:30" x14ac:dyDescent="0.25">
      <c r="A419" s="136">
        <v>43258</v>
      </c>
      <c r="B419" s="159" t="s">
        <v>362</v>
      </c>
      <c r="C419" s="46" t="s">
        <v>69</v>
      </c>
      <c r="D419" s="46">
        <v>400</v>
      </c>
      <c r="E419" s="46">
        <v>9.51</v>
      </c>
      <c r="F419" s="102">
        <f t="shared" si="132"/>
        <v>19800</v>
      </c>
      <c r="G419" s="32">
        <f t="shared" si="131"/>
        <v>9.3380159343434421</v>
      </c>
      <c r="H419" s="31">
        <f t="shared" si="133"/>
        <v>184892.71550000017</v>
      </c>
      <c r="I419" s="31">
        <f t="shared" si="134"/>
        <v>3405.2844999998342</v>
      </c>
      <c r="J419" s="175">
        <f t="shared" si="135"/>
        <v>1.8417623922018924E-2</v>
      </c>
      <c r="K419" s="31">
        <f t="shared" si="136"/>
        <v>188298</v>
      </c>
      <c r="L419" s="31">
        <f t="shared" si="137"/>
        <v>1203.1959999999963</v>
      </c>
      <c r="M419" s="31">
        <f t="shared" si="122"/>
        <v>5</v>
      </c>
      <c r="N419" s="31">
        <f t="shared" si="123"/>
        <v>3.8039999999999998</v>
      </c>
      <c r="O419" s="125"/>
      <c r="P419" s="32">
        <f t="shared" si="138"/>
        <v>0.17198406565655766</v>
      </c>
      <c r="Q419" s="31">
        <f t="shared" si="139"/>
        <v>3795.1959999999963</v>
      </c>
      <c r="R419" s="34"/>
      <c r="S419" s="31">
        <f t="shared" si="124"/>
        <v>6.0000000000000497E-2</v>
      </c>
      <c r="T419" s="31">
        <f t="shared" si="125"/>
        <v>-400</v>
      </c>
      <c r="U419" s="31">
        <f t="shared" si="126"/>
        <v>-2.9697834783473098E-3</v>
      </c>
      <c r="V419" s="31">
        <f t="shared" si="127"/>
        <v>-4.949639130578809E-2</v>
      </c>
      <c r="W419" s="31">
        <f t="shared" si="128"/>
        <v>0.31703132064852446</v>
      </c>
      <c r="X419" s="32">
        <f t="shared" si="140"/>
        <v>-9.0209846136949174</v>
      </c>
      <c r="Y419" s="32">
        <f t="shared" si="141"/>
        <v>9.1929686793514751</v>
      </c>
      <c r="Z419" s="38">
        <f t="shared" si="142"/>
        <v>-6667152.7215239061</v>
      </c>
      <c r="AA419" s="31">
        <f>SUM(L$2:L419)-SUM(AB$2:AB419)</f>
        <v>-876.26900000003297</v>
      </c>
      <c r="AB419" s="176"/>
      <c r="AC419" s="40">
        <f t="shared" si="129"/>
        <v>357.89504287590267</v>
      </c>
      <c r="AD419" s="40">
        <f t="shared" si="130"/>
        <v>-19442.104957124098</v>
      </c>
    </row>
    <row r="420" spans="1:30" x14ac:dyDescent="0.25">
      <c r="A420" s="136">
        <v>43262</v>
      </c>
      <c r="B420" s="159" t="s">
        <v>363</v>
      </c>
      <c r="C420" s="46" t="s">
        <v>63</v>
      </c>
      <c r="D420" s="46">
        <v>500</v>
      </c>
      <c r="E420" s="46">
        <v>9.36</v>
      </c>
      <c r="F420" s="102">
        <f t="shared" si="132"/>
        <v>20300</v>
      </c>
      <c r="G420" s="32">
        <f t="shared" si="131"/>
        <v>9.3388037192118301</v>
      </c>
      <c r="H420" s="31">
        <f t="shared" si="133"/>
        <v>189577.71550000017</v>
      </c>
      <c r="I420" s="31">
        <f t="shared" si="134"/>
        <v>430.28449999983422</v>
      </c>
      <c r="J420" s="175">
        <f t="shared" si="135"/>
        <v>2.2696997844128888E-3</v>
      </c>
      <c r="K420" s="31">
        <f t="shared" si="136"/>
        <v>190008</v>
      </c>
      <c r="L420" s="31">
        <f t="shared" si="137"/>
        <v>-2975</v>
      </c>
      <c r="M420" s="31">
        <f t="shared" si="122"/>
        <v>5</v>
      </c>
      <c r="N420" s="31">
        <f t="shared" si="123"/>
        <v>0</v>
      </c>
      <c r="O420" s="125"/>
      <c r="P420" s="32">
        <f t="shared" si="138"/>
        <v>2.1196280788169375E-2</v>
      </c>
      <c r="Q420" s="31">
        <f t="shared" si="139"/>
        <v>-4685</v>
      </c>
      <c r="R420" s="34"/>
      <c r="S420" s="31">
        <f t="shared" si="124"/>
        <v>-0.15000000000000036</v>
      </c>
      <c r="T420" s="31">
        <f t="shared" si="125"/>
        <v>500</v>
      </c>
      <c r="U420" s="31">
        <f t="shared" si="126"/>
        <v>7.8778486838793071E-4</v>
      </c>
      <c r="V420" s="31">
        <f t="shared" si="127"/>
        <v>-5.251899122586192E-3</v>
      </c>
      <c r="W420" s="31">
        <f t="shared" si="128"/>
        <v>0.63500533617929567</v>
      </c>
      <c r="X420" s="32">
        <f t="shared" si="140"/>
        <v>-8.7037983830325345</v>
      </c>
      <c r="Y420" s="32">
        <f t="shared" si="141"/>
        <v>8.7249946638207039</v>
      </c>
      <c r="Z420" s="38">
        <f t="shared" si="142"/>
        <v>25768456.357305437</v>
      </c>
      <c r="AA420" s="31">
        <f>SUM(L$2:L420)-SUM(AB$2:AB420)</f>
        <v>-3851.269000000033</v>
      </c>
      <c r="AB420" s="176"/>
      <c r="AC420" s="40">
        <f t="shared" si="129"/>
        <v>45.947580956178889</v>
      </c>
      <c r="AD420" s="40">
        <f t="shared" si="130"/>
        <v>-20254.052419043823</v>
      </c>
    </row>
    <row r="421" spans="1:30" x14ac:dyDescent="0.25">
      <c r="A421" s="136">
        <v>43262</v>
      </c>
      <c r="B421" s="159" t="s">
        <v>364</v>
      </c>
      <c r="C421" s="46" t="s">
        <v>63</v>
      </c>
      <c r="D421" s="46">
        <v>500</v>
      </c>
      <c r="E421" s="46">
        <v>9.26</v>
      </c>
      <c r="F421" s="102">
        <f t="shared" si="132"/>
        <v>20800</v>
      </c>
      <c r="G421" s="32">
        <f t="shared" si="131"/>
        <v>9.3371497836538548</v>
      </c>
      <c r="H421" s="31">
        <f t="shared" si="133"/>
        <v>194212.71550000017</v>
      </c>
      <c r="I421" s="31">
        <f t="shared" si="134"/>
        <v>-1604.7155000001658</v>
      </c>
      <c r="J421" s="175">
        <f t="shared" si="135"/>
        <v>-8.262669598480453E-3</v>
      </c>
      <c r="K421" s="31">
        <f t="shared" si="136"/>
        <v>192608</v>
      </c>
      <c r="L421" s="31">
        <f t="shared" si="137"/>
        <v>-2035</v>
      </c>
      <c r="M421" s="31">
        <f t="shared" ref="M421:M484" si="143">IF(D421*E421*2.5/10000&gt;5,D421*E421*2.5/10000,5)</f>
        <v>5</v>
      </c>
      <c r="N421" s="31">
        <f t="shared" ref="N421:N484" si="144">IF(C421="卖",D421*E421/1000,0)</f>
        <v>0</v>
      </c>
      <c r="O421" s="125"/>
      <c r="P421" s="32">
        <f t="shared" si="138"/>
        <v>-7.7149783653855053E-2</v>
      </c>
      <c r="Q421" s="31">
        <f t="shared" si="139"/>
        <v>-4635</v>
      </c>
      <c r="R421" s="34"/>
      <c r="S421" s="31">
        <f t="shared" si="124"/>
        <v>-9.9999999999999645E-2</v>
      </c>
      <c r="T421" s="31">
        <f t="shared" si="125"/>
        <v>500</v>
      </c>
      <c r="U421" s="31">
        <f t="shared" si="126"/>
        <v>-1.6539355579752169E-3</v>
      </c>
      <c r="V421" s="31">
        <f t="shared" si="127"/>
        <v>1.6539355579752228E-2</v>
      </c>
      <c r="W421" s="31">
        <f t="shared" si="128"/>
        <v>0.43905070118662354</v>
      </c>
      <c r="X421" s="32">
        <f t="shared" si="140"/>
        <v>-8.8980990824672315</v>
      </c>
      <c r="Y421" s="32">
        <f t="shared" si="141"/>
        <v>8.8209492988133764</v>
      </c>
      <c r="Z421" s="38">
        <f t="shared" si="142"/>
        <v>-12576064.345254058</v>
      </c>
      <c r="AA421" s="31">
        <f>SUM(L$2:L421)-SUM(AB$2:AB421)</f>
        <v>-5886.269000000033</v>
      </c>
      <c r="AB421" s="176"/>
      <c r="AC421" s="40">
        <f t="shared" si="129"/>
        <v>-173.20876266200494</v>
      </c>
      <c r="AD421" s="40">
        <f t="shared" si="130"/>
        <v>-20973.208762662005</v>
      </c>
    </row>
    <row r="422" spans="1:30" x14ac:dyDescent="0.25">
      <c r="A422" s="136">
        <v>43264</v>
      </c>
      <c r="B422" s="159" t="s">
        <v>199</v>
      </c>
      <c r="C422" s="46" t="s">
        <v>69</v>
      </c>
      <c r="D422" s="46">
        <v>400</v>
      </c>
      <c r="E422" s="46">
        <v>9.3800000000000008</v>
      </c>
      <c r="F422" s="102">
        <f t="shared" si="132"/>
        <v>20400</v>
      </c>
      <c r="G422" s="32">
        <f t="shared" si="131"/>
        <v>9.3367386029411854</v>
      </c>
      <c r="H422" s="31">
        <f t="shared" si="133"/>
        <v>190469.46750000017</v>
      </c>
      <c r="I422" s="31">
        <f t="shared" si="134"/>
        <v>882.53249999985565</v>
      </c>
      <c r="J422" s="175">
        <f t="shared" si="135"/>
        <v>4.6334591658362921E-3</v>
      </c>
      <c r="K422" s="31">
        <f t="shared" si="136"/>
        <v>191352.00000000003</v>
      </c>
      <c r="L422" s="31">
        <f t="shared" si="137"/>
        <v>2487.2480000000214</v>
      </c>
      <c r="M422" s="31">
        <f t="shared" si="143"/>
        <v>5</v>
      </c>
      <c r="N422" s="31">
        <f t="shared" si="144"/>
        <v>3.7520000000000007</v>
      </c>
      <c r="O422" s="125">
        <v>-6270</v>
      </c>
      <c r="P422" s="32">
        <f t="shared" si="138"/>
        <v>4.3261397058815376E-2</v>
      </c>
      <c r="Q422" s="31">
        <f t="shared" si="139"/>
        <v>3743.2479999999923</v>
      </c>
      <c r="R422" s="34"/>
      <c r="S422" s="31">
        <f t="shared" si="124"/>
        <v>0.12000000000000099</v>
      </c>
      <c r="T422" s="31">
        <f t="shared" si="125"/>
        <v>-400</v>
      </c>
      <c r="U422" s="31">
        <f t="shared" si="126"/>
        <v>-4.1118071266943446E-4</v>
      </c>
      <c r="V422" s="31">
        <f t="shared" si="127"/>
        <v>-3.4265059389119255E-3</v>
      </c>
      <c r="W422" s="31">
        <f t="shared" si="128"/>
        <v>0.6644625202498009</v>
      </c>
      <c r="X422" s="32">
        <f t="shared" si="140"/>
        <v>-8.6722760826913845</v>
      </c>
      <c r="Y422" s="32">
        <f t="shared" si="141"/>
        <v>8.7155374797501999</v>
      </c>
      <c r="Z422" s="38">
        <f t="shared" si="142"/>
        <v>-49613222.049158767</v>
      </c>
      <c r="AA422" s="31">
        <f>SUM(L$2:L422)-SUM(AB$2:AB422)</f>
        <v>-3399.0210000000116</v>
      </c>
      <c r="AB422" s="176"/>
      <c r="AC422" s="40">
        <f t="shared" si="129"/>
        <v>94.039577158833225</v>
      </c>
      <c r="AD422" s="40">
        <f t="shared" si="130"/>
        <v>-20305.960422841166</v>
      </c>
    </row>
    <row r="423" spans="1:30" x14ac:dyDescent="0.25">
      <c r="A423" s="136">
        <v>43265</v>
      </c>
      <c r="B423" s="159" t="s">
        <v>365</v>
      </c>
      <c r="C423" s="46" t="s">
        <v>63</v>
      </c>
      <c r="D423" s="46">
        <v>500</v>
      </c>
      <c r="E423" s="46">
        <v>9.23</v>
      </c>
      <c r="F423" s="102">
        <f t="shared" si="132"/>
        <v>20900</v>
      </c>
      <c r="G423" s="32">
        <f t="shared" si="131"/>
        <v>9.0344242822966585</v>
      </c>
      <c r="H423" s="31">
        <f t="shared" si="133"/>
        <v>188819.46750000017</v>
      </c>
      <c r="I423" s="31">
        <f t="shared" si="134"/>
        <v>4087.5324999998265</v>
      </c>
      <c r="J423" s="175">
        <f t="shared" si="135"/>
        <v>2.1647834061389051E-2</v>
      </c>
      <c r="K423" s="31">
        <f t="shared" si="136"/>
        <v>192907</v>
      </c>
      <c r="L423" s="31">
        <f t="shared" si="137"/>
        <v>3204.9999999999709</v>
      </c>
      <c r="M423" s="31">
        <f t="shared" si="143"/>
        <v>5</v>
      </c>
      <c r="N423" s="31">
        <f t="shared" si="144"/>
        <v>0</v>
      </c>
      <c r="O423" s="125"/>
      <c r="P423" s="32">
        <f t="shared" si="138"/>
        <v>0.19557571770334192</v>
      </c>
      <c r="Q423" s="31">
        <f t="shared" si="139"/>
        <v>1650</v>
      </c>
      <c r="R423" s="34"/>
      <c r="S423" s="31">
        <f t="shared" si="124"/>
        <v>-0.15000000000000036</v>
      </c>
      <c r="T423" s="31">
        <f t="shared" si="125"/>
        <v>500</v>
      </c>
      <c r="U423" s="31">
        <f t="shared" si="126"/>
        <v>-0.3023143206445269</v>
      </c>
      <c r="V423" s="31">
        <f t="shared" si="127"/>
        <v>2.0154288042968411</v>
      </c>
      <c r="W423" s="31">
        <f t="shared" si="128"/>
        <v>1.9424242424242248</v>
      </c>
      <c r="X423" s="32">
        <f t="shared" si="140"/>
        <v>-7.0920000398724339</v>
      </c>
      <c r="Y423" s="32">
        <f t="shared" si="141"/>
        <v>7.2875757575757758</v>
      </c>
      <c r="Z423" s="38">
        <f t="shared" si="142"/>
        <v>-69133.344247277797</v>
      </c>
      <c r="AA423" s="31">
        <f>SUM(L$2:L423)-SUM(AB$2:AB423)</f>
        <v>-194.02100000004066</v>
      </c>
      <c r="AB423" s="176"/>
      <c r="AC423" s="40">
        <f t="shared" si="129"/>
        <v>442.63149878112961</v>
      </c>
      <c r="AD423" s="40">
        <f t="shared" si="130"/>
        <v>-20457.368501218869</v>
      </c>
    </row>
    <row r="424" spans="1:30" x14ac:dyDescent="0.25">
      <c r="A424" s="136">
        <v>43266</v>
      </c>
      <c r="B424" s="159"/>
      <c r="C424" s="46" t="s">
        <v>63</v>
      </c>
      <c r="D424" s="46">
        <v>500</v>
      </c>
      <c r="E424" s="46">
        <v>8.86</v>
      </c>
      <c r="F424" s="102">
        <f t="shared" si="132"/>
        <v>21400</v>
      </c>
      <c r="G424" s="32">
        <f t="shared" si="131"/>
        <v>9.030582593457952</v>
      </c>
      <c r="H424" s="31">
        <f t="shared" si="133"/>
        <v>193254.46750000017</v>
      </c>
      <c r="I424" s="31">
        <f t="shared" si="134"/>
        <v>-3650.4675000001735</v>
      </c>
      <c r="J424" s="175">
        <f t="shared" si="135"/>
        <v>-1.8889433953190145E-2</v>
      </c>
      <c r="K424" s="31">
        <f t="shared" si="136"/>
        <v>189604</v>
      </c>
      <c r="L424" s="31">
        <f t="shared" si="137"/>
        <v>-7738</v>
      </c>
      <c r="M424" s="31">
        <f t="shared" si="143"/>
        <v>5</v>
      </c>
      <c r="N424" s="31">
        <f t="shared" si="144"/>
        <v>0</v>
      </c>
      <c r="O424" s="125"/>
      <c r="P424" s="32">
        <f t="shared" si="138"/>
        <v>-0.17058259345795257</v>
      </c>
      <c r="Q424" s="31">
        <f t="shared" si="139"/>
        <v>-4435</v>
      </c>
      <c r="R424" s="34"/>
      <c r="S424" s="31">
        <f t="shared" si="124"/>
        <v>-0.37000000000000099</v>
      </c>
      <c r="T424" s="31">
        <f t="shared" si="125"/>
        <v>500</v>
      </c>
      <c r="U424" s="31">
        <f t="shared" si="126"/>
        <v>-3.8416888387065029E-3</v>
      </c>
      <c r="V424" s="31">
        <f t="shared" si="127"/>
        <v>1.0382942807314844E-2</v>
      </c>
      <c r="W424" s="31">
        <f t="shared" si="128"/>
        <v>1.7447576099210822</v>
      </c>
      <c r="X424" s="32">
        <f t="shared" si="140"/>
        <v>-7.2858249835368696</v>
      </c>
      <c r="Y424" s="32">
        <f t="shared" si="141"/>
        <v>7.115242390078917</v>
      </c>
      <c r="Z424" s="38">
        <f t="shared" si="142"/>
        <v>-5570466.7656543944</v>
      </c>
      <c r="AA424" s="31">
        <f>SUM(L$2:L424)-SUM(AB$2:AB424)</f>
        <v>-7932.0210000000407</v>
      </c>
      <c r="AB424" s="176"/>
      <c r="AC424" s="40">
        <f t="shared" si="129"/>
        <v>-411.81063953162237</v>
      </c>
      <c r="AD424" s="40">
        <f t="shared" si="130"/>
        <v>-21811.810639531621</v>
      </c>
    </row>
    <row r="425" spans="1:30" x14ac:dyDescent="0.25">
      <c r="A425" s="136">
        <v>43266</v>
      </c>
      <c r="B425" s="159" t="s">
        <v>366</v>
      </c>
      <c r="C425" s="46" t="s">
        <v>69</v>
      </c>
      <c r="D425" s="46">
        <v>400</v>
      </c>
      <c r="E425" s="46">
        <v>9.07</v>
      </c>
      <c r="F425" s="102">
        <f t="shared" si="132"/>
        <v>21000</v>
      </c>
      <c r="G425" s="32">
        <f t="shared" si="131"/>
        <v>9.0302426428571518</v>
      </c>
      <c r="H425" s="31">
        <f t="shared" si="133"/>
        <v>189635.09550000017</v>
      </c>
      <c r="I425" s="31">
        <f t="shared" si="134"/>
        <v>834.90449999982957</v>
      </c>
      <c r="J425" s="175">
        <f t="shared" si="135"/>
        <v>4.4026897964138528E-3</v>
      </c>
      <c r="K425" s="31">
        <f t="shared" si="136"/>
        <v>190470</v>
      </c>
      <c r="L425" s="31">
        <f t="shared" si="137"/>
        <v>4485.372000000003</v>
      </c>
      <c r="M425" s="31">
        <f t="shared" si="143"/>
        <v>5</v>
      </c>
      <c r="N425" s="31">
        <f t="shared" si="144"/>
        <v>3.6280000000000001</v>
      </c>
      <c r="O425" s="125"/>
      <c r="P425" s="32">
        <f t="shared" si="138"/>
        <v>3.9757357142848448E-2</v>
      </c>
      <c r="Q425" s="31">
        <f t="shared" si="139"/>
        <v>3619.372000000003</v>
      </c>
      <c r="R425" s="34"/>
      <c r="S425" s="31">
        <f t="shared" si="124"/>
        <v>0.21000000000000085</v>
      </c>
      <c r="T425" s="31">
        <f t="shared" si="125"/>
        <v>-400</v>
      </c>
      <c r="U425" s="31">
        <f t="shared" si="126"/>
        <v>-3.3995060080016515E-4</v>
      </c>
      <c r="V425" s="31">
        <f t="shared" si="127"/>
        <v>-1.6188123847626847E-3</v>
      </c>
      <c r="W425" s="31">
        <f t="shared" si="128"/>
        <v>1.2392680277130947</v>
      </c>
      <c r="X425" s="32">
        <f t="shared" si="140"/>
        <v>-7.7909746151440569</v>
      </c>
      <c r="Y425" s="32">
        <f t="shared" si="141"/>
        <v>7.8307319722869053</v>
      </c>
      <c r="Z425" s="38">
        <f t="shared" si="142"/>
        <v>-61773681.089460805</v>
      </c>
      <c r="AA425" s="31">
        <f>SUM(L$2:L425)-SUM(AB$2:AB425)</f>
        <v>-3446.6490000000376</v>
      </c>
      <c r="AB425" s="176"/>
      <c r="AC425" s="40">
        <f t="shared" si="129"/>
        <v>92.005187183002164</v>
      </c>
      <c r="AD425" s="40">
        <f t="shared" si="130"/>
        <v>-20907.994812816996</v>
      </c>
    </row>
    <row r="426" spans="1:30" x14ac:dyDescent="0.25">
      <c r="A426" s="136">
        <v>43270</v>
      </c>
      <c r="B426" s="159"/>
      <c r="C426" s="46" t="s">
        <v>63</v>
      </c>
      <c r="D426" s="46">
        <v>500</v>
      </c>
      <c r="E426" s="46">
        <v>8.73</v>
      </c>
      <c r="F426" s="102">
        <f t="shared" si="132"/>
        <v>21500</v>
      </c>
      <c r="G426" s="32">
        <f t="shared" si="131"/>
        <v>9.0234928139534958</v>
      </c>
      <c r="H426" s="31">
        <f t="shared" si="133"/>
        <v>194005.09550000017</v>
      </c>
      <c r="I426" s="31">
        <f t="shared" si="134"/>
        <v>-6310.0955000001704</v>
      </c>
      <c r="J426" s="175">
        <f t="shared" si="135"/>
        <v>-3.2525411168904811E-2</v>
      </c>
      <c r="K426" s="31">
        <f t="shared" si="136"/>
        <v>187695</v>
      </c>
      <c r="L426" s="31">
        <f t="shared" si="137"/>
        <v>-7145</v>
      </c>
      <c r="M426" s="31">
        <f t="shared" si="143"/>
        <v>5</v>
      </c>
      <c r="N426" s="31">
        <f t="shared" si="144"/>
        <v>0</v>
      </c>
      <c r="O426" s="125"/>
      <c r="P426" s="32">
        <f t="shared" si="138"/>
        <v>-0.29349281395349536</v>
      </c>
      <c r="Q426" s="31">
        <f t="shared" si="139"/>
        <v>-4370</v>
      </c>
      <c r="R426" s="34"/>
      <c r="S426" s="31">
        <f t="shared" si="124"/>
        <v>-0.33999999999999986</v>
      </c>
      <c r="T426" s="31">
        <f t="shared" si="125"/>
        <v>500</v>
      </c>
      <c r="U426" s="31">
        <f t="shared" si="126"/>
        <v>-6.7498289036560521E-3</v>
      </c>
      <c r="V426" s="31">
        <f t="shared" si="127"/>
        <v>1.9852437951929574E-2</v>
      </c>
      <c r="W426" s="31">
        <f t="shared" si="128"/>
        <v>1.6350114416475972</v>
      </c>
      <c r="X426" s="32">
        <f t="shared" si="140"/>
        <v>-7.3884813723058986</v>
      </c>
      <c r="Y426" s="32">
        <f t="shared" si="141"/>
        <v>7.0949885583524033</v>
      </c>
      <c r="Z426" s="38">
        <f t="shared" si="142"/>
        <v>-3185265.9240524601</v>
      </c>
      <c r="AA426" s="31">
        <f>SUM(L$2:L426)-SUM(AB$2:AB426)</f>
        <v>-10591.649000000038</v>
      </c>
      <c r="AB426" s="176"/>
      <c r="AC426" s="40">
        <f t="shared" si="129"/>
        <v>-722.4444962485876</v>
      </c>
      <c r="AD426" s="40">
        <f t="shared" si="130"/>
        <v>-22222.444496248587</v>
      </c>
    </row>
    <row r="427" spans="1:30" x14ac:dyDescent="0.25">
      <c r="A427" s="136">
        <v>43270</v>
      </c>
      <c r="B427" s="159"/>
      <c r="C427" s="46" t="s">
        <v>63</v>
      </c>
      <c r="D427" s="46">
        <v>500</v>
      </c>
      <c r="E427" s="46">
        <v>8.56</v>
      </c>
      <c r="F427" s="102">
        <f t="shared" si="132"/>
        <v>22000</v>
      </c>
      <c r="G427" s="32">
        <f t="shared" si="131"/>
        <v>9.0131861590909175</v>
      </c>
      <c r="H427" s="31">
        <f t="shared" si="133"/>
        <v>198290.09550000017</v>
      </c>
      <c r="I427" s="31">
        <f t="shared" si="134"/>
        <v>-9970.0955000001704</v>
      </c>
      <c r="J427" s="175">
        <f t="shared" si="135"/>
        <v>-5.0280350487804187E-2</v>
      </c>
      <c r="K427" s="31">
        <f t="shared" si="136"/>
        <v>188320</v>
      </c>
      <c r="L427" s="31">
        <f t="shared" si="137"/>
        <v>-3660</v>
      </c>
      <c r="M427" s="31">
        <f t="shared" si="143"/>
        <v>5</v>
      </c>
      <c r="N427" s="31">
        <f t="shared" si="144"/>
        <v>0</v>
      </c>
      <c r="O427" s="125"/>
      <c r="P427" s="32">
        <f t="shared" si="138"/>
        <v>-0.45318615909091697</v>
      </c>
      <c r="Q427" s="31">
        <f t="shared" si="139"/>
        <v>-4285</v>
      </c>
      <c r="R427" s="34"/>
      <c r="S427" s="31">
        <f t="shared" si="124"/>
        <v>-0.16999999999999993</v>
      </c>
      <c r="T427" s="31">
        <f t="shared" si="125"/>
        <v>500</v>
      </c>
      <c r="U427" s="31">
        <f t="shared" si="126"/>
        <v>-1.0306654862578313E-2</v>
      </c>
      <c r="V427" s="31">
        <f t="shared" si="127"/>
        <v>6.0627381544578335E-2</v>
      </c>
      <c r="W427" s="31">
        <f t="shared" si="128"/>
        <v>0.85414235705950992</v>
      </c>
      <c r="X427" s="32">
        <f t="shared" si="140"/>
        <v>-8.1590438020314071</v>
      </c>
      <c r="Y427" s="32">
        <f t="shared" si="141"/>
        <v>7.7058576429404901</v>
      </c>
      <c r="Z427" s="38">
        <f t="shared" si="142"/>
        <v>-2134543.1949873678</v>
      </c>
      <c r="AA427" s="31">
        <f>SUM(L$2:L427)-SUM(AB$2:AB427)</f>
        <v>-14251.649000000038</v>
      </c>
      <c r="AB427" s="176"/>
      <c r="AC427" s="40">
        <f t="shared" si="129"/>
        <v>-1164.1484173189451</v>
      </c>
      <c r="AD427" s="40">
        <f t="shared" si="130"/>
        <v>-23164.148417318946</v>
      </c>
    </row>
    <row r="428" spans="1:30" x14ac:dyDescent="0.25">
      <c r="A428" s="136">
        <v>43270</v>
      </c>
      <c r="B428" s="159"/>
      <c r="C428" s="46" t="s">
        <v>63</v>
      </c>
      <c r="D428" s="46">
        <v>500</v>
      </c>
      <c r="E428" s="46">
        <v>8.34</v>
      </c>
      <c r="F428" s="102">
        <f t="shared" si="132"/>
        <v>22500</v>
      </c>
      <c r="G428" s="32">
        <f t="shared" si="131"/>
        <v>8.9984486888888959</v>
      </c>
      <c r="H428" s="31">
        <f t="shared" si="133"/>
        <v>202465.09550000017</v>
      </c>
      <c r="I428" s="31">
        <f t="shared" si="134"/>
        <v>-14815.09550000017</v>
      </c>
      <c r="J428" s="175">
        <f t="shared" si="135"/>
        <v>-7.3173578208201084E-2</v>
      </c>
      <c r="K428" s="31">
        <f t="shared" si="136"/>
        <v>187650</v>
      </c>
      <c r="L428" s="31">
        <f t="shared" si="137"/>
        <v>-4845</v>
      </c>
      <c r="M428" s="31">
        <f t="shared" si="143"/>
        <v>5</v>
      </c>
      <c r="N428" s="31">
        <f t="shared" si="144"/>
        <v>0</v>
      </c>
      <c r="O428" s="125"/>
      <c r="P428" s="32">
        <f t="shared" si="138"/>
        <v>-0.65844868888889607</v>
      </c>
      <c r="Q428" s="31">
        <f t="shared" si="139"/>
        <v>-4175</v>
      </c>
      <c r="R428" s="34"/>
      <c r="S428" s="31">
        <f t="shared" si="124"/>
        <v>-0.22000000000000064</v>
      </c>
      <c r="T428" s="31">
        <f t="shared" si="125"/>
        <v>500</v>
      </c>
      <c r="U428" s="31">
        <f t="shared" si="126"/>
        <v>-1.4737470202021541E-2</v>
      </c>
      <c r="V428" s="31">
        <f t="shared" si="127"/>
        <v>6.6988500918279542E-2</v>
      </c>
      <c r="W428" s="31">
        <f t="shared" si="128"/>
        <v>1.1604790419161677</v>
      </c>
      <c r="X428" s="32">
        <f t="shared" si="140"/>
        <v>-7.837969646972728</v>
      </c>
      <c r="Y428" s="32">
        <f t="shared" si="141"/>
        <v>7.1795209580838319</v>
      </c>
      <c r="Z428" s="38">
        <f t="shared" si="142"/>
        <v>-1526720.6441519163</v>
      </c>
      <c r="AA428" s="31">
        <f>SUM(L$2:L428)-SUM(AB$2:AB428)</f>
        <v>-19096.649000000038</v>
      </c>
      <c r="AB428" s="176"/>
      <c r="AC428" s="40">
        <f t="shared" si="129"/>
        <v>-1775.5021525479822</v>
      </c>
      <c r="AD428" s="40">
        <f t="shared" si="130"/>
        <v>-24275.502152547982</v>
      </c>
    </row>
    <row r="429" spans="1:30" x14ac:dyDescent="0.25">
      <c r="A429" s="136">
        <v>43277</v>
      </c>
      <c r="B429" s="159"/>
      <c r="C429" s="46" t="s">
        <v>63</v>
      </c>
      <c r="D429" s="46">
        <v>500</v>
      </c>
      <c r="E429" s="46">
        <v>8.32</v>
      </c>
      <c r="F429" s="102">
        <f t="shared" si="132"/>
        <v>23000</v>
      </c>
      <c r="G429" s="32">
        <f t="shared" si="131"/>
        <v>8.9839171956521806</v>
      </c>
      <c r="H429" s="31">
        <f t="shared" si="133"/>
        <v>206630.09550000017</v>
      </c>
      <c r="I429" s="31">
        <f t="shared" si="134"/>
        <v>-15270.09550000017</v>
      </c>
      <c r="J429" s="175">
        <f t="shared" si="135"/>
        <v>-7.3900636124906285E-2</v>
      </c>
      <c r="K429" s="31">
        <f t="shared" si="136"/>
        <v>191360</v>
      </c>
      <c r="L429" s="31">
        <f t="shared" si="137"/>
        <v>-455</v>
      </c>
      <c r="M429" s="31">
        <f t="shared" si="143"/>
        <v>5</v>
      </c>
      <c r="N429" s="31">
        <f t="shared" si="144"/>
        <v>0</v>
      </c>
      <c r="O429" s="125"/>
      <c r="P429" s="32">
        <f t="shared" si="138"/>
        <v>-0.66391719565218033</v>
      </c>
      <c r="Q429" s="31">
        <f t="shared" si="139"/>
        <v>-4165</v>
      </c>
      <c r="R429" s="34"/>
      <c r="S429" s="31">
        <f t="shared" si="124"/>
        <v>-1.9999999999999574E-2</v>
      </c>
      <c r="T429" s="31">
        <f t="shared" si="125"/>
        <v>500</v>
      </c>
      <c r="U429" s="31">
        <f t="shared" si="126"/>
        <v>-1.453149323671532E-2</v>
      </c>
      <c r="V429" s="31">
        <f t="shared" si="127"/>
        <v>0.72657466183578157</v>
      </c>
      <c r="W429" s="31">
        <f t="shared" si="128"/>
        <v>0.1092436974789916</v>
      </c>
      <c r="X429" s="32">
        <f t="shared" si="140"/>
        <v>-8.8746734981731894</v>
      </c>
      <c r="Y429" s="32">
        <f t="shared" si="141"/>
        <v>8.2107563025210091</v>
      </c>
      <c r="Z429" s="38">
        <f t="shared" si="142"/>
        <v>-1582769.205155608</v>
      </c>
      <c r="AA429" s="31">
        <f>SUM(L$2:L429)-SUM(AB$2:AB429)</f>
        <v>-19551.649000000038</v>
      </c>
      <c r="AB429" s="176"/>
      <c r="AC429" s="40">
        <f t="shared" si="129"/>
        <v>-1834.4303428185301</v>
      </c>
      <c r="AD429" s="40">
        <f t="shared" si="130"/>
        <v>-24834.43034281853</v>
      </c>
    </row>
    <row r="430" spans="1:30" x14ac:dyDescent="0.25">
      <c r="A430" s="136">
        <v>43278</v>
      </c>
      <c r="B430" s="159"/>
      <c r="C430" s="46" t="s">
        <v>63</v>
      </c>
      <c r="D430" s="46">
        <v>500</v>
      </c>
      <c r="E430" s="46">
        <v>8.15</v>
      </c>
      <c r="F430" s="102">
        <f t="shared" si="132"/>
        <v>23500</v>
      </c>
      <c r="G430" s="32">
        <f t="shared" si="131"/>
        <v>8.9663870425531993</v>
      </c>
      <c r="H430" s="31">
        <f t="shared" si="133"/>
        <v>210710.09550000017</v>
      </c>
      <c r="I430" s="31">
        <f t="shared" si="134"/>
        <v>-19185.09550000017</v>
      </c>
      <c r="J430" s="175">
        <f t="shared" si="135"/>
        <v>-9.1049721440613934E-2</v>
      </c>
      <c r="K430" s="31">
        <f t="shared" si="136"/>
        <v>191525</v>
      </c>
      <c r="L430" s="31">
        <f t="shared" si="137"/>
        <v>-3915</v>
      </c>
      <c r="M430" s="31">
        <f t="shared" si="143"/>
        <v>5</v>
      </c>
      <c r="N430" s="31">
        <f t="shared" si="144"/>
        <v>0</v>
      </c>
      <c r="O430" s="125"/>
      <c r="P430" s="32">
        <f t="shared" si="138"/>
        <v>-0.81638704255319894</v>
      </c>
      <c r="Q430" s="31">
        <f t="shared" si="139"/>
        <v>-4080</v>
      </c>
      <c r="R430" s="34"/>
      <c r="S430" s="31">
        <f t="shared" si="124"/>
        <v>-0.16999999999999993</v>
      </c>
      <c r="T430" s="31">
        <f t="shared" si="125"/>
        <v>500</v>
      </c>
      <c r="U430" s="31">
        <f t="shared" si="126"/>
        <v>-1.7530153098981316E-2</v>
      </c>
      <c r="V430" s="31">
        <f t="shared" si="127"/>
        <v>0.10311854764106661</v>
      </c>
      <c r="W430" s="31">
        <f t="shared" si="128"/>
        <v>0.9595588235294118</v>
      </c>
      <c r="X430" s="32">
        <f t="shared" si="140"/>
        <v>-8.0068282190237881</v>
      </c>
      <c r="Y430" s="32">
        <f t="shared" si="141"/>
        <v>7.1904411764705891</v>
      </c>
      <c r="Z430" s="38">
        <f t="shared" si="142"/>
        <v>-1340547.3339172145</v>
      </c>
      <c r="AA430" s="31">
        <f>SUM(L$2:L430)-SUM(AB$2:AB430)</f>
        <v>-23466.649000000038</v>
      </c>
      <c r="AB430" s="176"/>
      <c r="AC430" s="40">
        <f t="shared" si="129"/>
        <v>-2352.8224481288553</v>
      </c>
      <c r="AD430" s="40">
        <f t="shared" si="130"/>
        <v>-25852.822448128856</v>
      </c>
    </row>
    <row r="431" spans="1:30" x14ac:dyDescent="0.25">
      <c r="A431" s="136">
        <v>43278</v>
      </c>
      <c r="B431" s="159"/>
      <c r="C431" s="46" t="s">
        <v>63</v>
      </c>
      <c r="D431" s="46">
        <v>500</v>
      </c>
      <c r="E431" s="46">
        <v>8</v>
      </c>
      <c r="F431" s="102">
        <f t="shared" si="132"/>
        <v>24000</v>
      </c>
      <c r="G431" s="32">
        <f t="shared" si="131"/>
        <v>8.9464623125000067</v>
      </c>
      <c r="H431" s="31">
        <f t="shared" si="133"/>
        <v>214715.09550000017</v>
      </c>
      <c r="I431" s="31">
        <f t="shared" si="134"/>
        <v>-22715.09550000017</v>
      </c>
      <c r="J431" s="175">
        <f t="shared" si="135"/>
        <v>-0.10579179562156189</v>
      </c>
      <c r="K431" s="31">
        <f t="shared" si="136"/>
        <v>192000</v>
      </c>
      <c r="L431" s="31">
        <f t="shared" si="137"/>
        <v>-3530</v>
      </c>
      <c r="M431" s="31">
        <f t="shared" si="143"/>
        <v>5</v>
      </c>
      <c r="N431" s="31">
        <f t="shared" si="144"/>
        <v>0</v>
      </c>
      <c r="O431" s="125"/>
      <c r="P431" s="32">
        <f t="shared" si="138"/>
        <v>-0.94646231250000668</v>
      </c>
      <c r="Q431" s="31">
        <f t="shared" si="139"/>
        <v>-4005</v>
      </c>
      <c r="R431" s="34"/>
      <c r="S431" s="31">
        <f t="shared" si="124"/>
        <v>-0.15000000000000036</v>
      </c>
      <c r="T431" s="31">
        <f t="shared" si="125"/>
        <v>500</v>
      </c>
      <c r="U431" s="31">
        <f t="shared" si="126"/>
        <v>-1.9924730053192619E-2</v>
      </c>
      <c r="V431" s="31">
        <f t="shared" si="127"/>
        <v>0.13283153368795048</v>
      </c>
      <c r="W431" s="31">
        <f t="shared" si="128"/>
        <v>0.88139825218476908</v>
      </c>
      <c r="X431" s="32">
        <f t="shared" si="140"/>
        <v>-8.0650640603152368</v>
      </c>
      <c r="Y431" s="32">
        <f t="shared" si="141"/>
        <v>7.1186017478152301</v>
      </c>
      <c r="Z431" s="38">
        <f t="shared" si="142"/>
        <v>-1204533.2577117844</v>
      </c>
      <c r="AA431" s="31">
        <f>SUM(L$2:L431)-SUM(AB$2:AB431)</f>
        <v>-26996.649000000038</v>
      </c>
      <c r="AB431" s="176"/>
      <c r="AC431" s="40">
        <f t="shared" si="129"/>
        <v>-2837.9672440312715</v>
      </c>
      <c r="AD431" s="40">
        <f t="shared" si="130"/>
        <v>-26837.967244031272</v>
      </c>
    </row>
    <row r="432" spans="1:30" x14ac:dyDescent="0.25">
      <c r="A432" s="136">
        <v>43283</v>
      </c>
      <c r="B432" s="159"/>
      <c r="C432" s="46" t="s">
        <v>63</v>
      </c>
      <c r="D432" s="46">
        <v>500</v>
      </c>
      <c r="E432" s="46">
        <v>7.72</v>
      </c>
      <c r="F432" s="102">
        <f t="shared" si="132"/>
        <v>24500</v>
      </c>
      <c r="G432" s="32">
        <f t="shared" si="131"/>
        <v>8.9216365510204145</v>
      </c>
      <c r="H432" s="31">
        <f t="shared" si="133"/>
        <v>218580.09550000017</v>
      </c>
      <c r="I432" s="31">
        <f t="shared" si="134"/>
        <v>-29440.09550000017</v>
      </c>
      <c r="J432" s="175">
        <f t="shared" si="135"/>
        <v>-0.13468790665799732</v>
      </c>
      <c r="K432" s="31">
        <f t="shared" si="136"/>
        <v>189140</v>
      </c>
      <c r="L432" s="31">
        <f t="shared" si="137"/>
        <v>-6725</v>
      </c>
      <c r="M432" s="31">
        <f t="shared" si="143"/>
        <v>5</v>
      </c>
      <c r="N432" s="31">
        <f t="shared" si="144"/>
        <v>0</v>
      </c>
      <c r="O432" s="125"/>
      <c r="P432" s="32">
        <f t="shared" si="138"/>
        <v>-1.2016365510204148</v>
      </c>
      <c r="Q432" s="31">
        <f t="shared" si="139"/>
        <v>-3865</v>
      </c>
      <c r="R432" s="34"/>
      <c r="S432" s="31">
        <f t="shared" si="124"/>
        <v>-0.28000000000000025</v>
      </c>
      <c r="T432" s="31">
        <f t="shared" si="125"/>
        <v>500</v>
      </c>
      <c r="U432" s="31">
        <f t="shared" si="126"/>
        <v>-2.4825761479592146E-2</v>
      </c>
      <c r="V432" s="31">
        <f t="shared" si="127"/>
        <v>8.8663433855686161E-2</v>
      </c>
      <c r="W432" s="31">
        <f t="shared" si="128"/>
        <v>1.739974126778784</v>
      </c>
      <c r="X432" s="32">
        <f t="shared" si="140"/>
        <v>-7.1816624242416305</v>
      </c>
      <c r="Y432" s="32">
        <f t="shared" si="141"/>
        <v>5.9800258732212157</v>
      </c>
      <c r="Z432" s="38">
        <f t="shared" si="142"/>
        <v>-986878.08710883104</v>
      </c>
      <c r="AA432" s="31">
        <f>SUM(L$2:L432)-SUM(AB$2:AB432)</f>
        <v>-33721.649000000034</v>
      </c>
      <c r="AB432" s="176"/>
      <c r="AC432" s="40">
        <f t="shared" si="129"/>
        <v>-3811.5771311204885</v>
      </c>
      <c r="AD432" s="40">
        <f t="shared" si="130"/>
        <v>-28311.577131120488</v>
      </c>
    </row>
    <row r="433" spans="1:30" x14ac:dyDescent="0.25">
      <c r="A433" s="136">
        <v>43285</v>
      </c>
      <c r="B433" s="159"/>
      <c r="C433" s="46" t="s">
        <v>63</v>
      </c>
      <c r="D433" s="46">
        <v>500</v>
      </c>
      <c r="E433" s="46">
        <v>7.22</v>
      </c>
      <c r="F433" s="102">
        <f t="shared" si="132"/>
        <v>25000</v>
      </c>
      <c r="G433" s="32">
        <f t="shared" si="131"/>
        <v>8.8878038200000073</v>
      </c>
      <c r="H433" s="31">
        <f t="shared" si="133"/>
        <v>222195.09550000017</v>
      </c>
      <c r="I433" s="31">
        <f t="shared" si="134"/>
        <v>-41695.09550000017</v>
      </c>
      <c r="J433" s="175">
        <f t="shared" si="135"/>
        <v>-0.18765083633450477</v>
      </c>
      <c r="K433" s="31">
        <f t="shared" si="136"/>
        <v>180500</v>
      </c>
      <c r="L433" s="31">
        <f t="shared" si="137"/>
        <v>-12255</v>
      </c>
      <c r="M433" s="31">
        <f t="shared" si="143"/>
        <v>5</v>
      </c>
      <c r="N433" s="31">
        <f t="shared" si="144"/>
        <v>0</v>
      </c>
      <c r="O433" s="125"/>
      <c r="P433" s="32">
        <f t="shared" si="138"/>
        <v>-1.6678038200000076</v>
      </c>
      <c r="Q433" s="31">
        <f t="shared" si="139"/>
        <v>-3615</v>
      </c>
      <c r="R433" s="34"/>
      <c r="S433" s="31">
        <f t="shared" si="124"/>
        <v>-0.5</v>
      </c>
      <c r="T433" s="31">
        <f t="shared" si="125"/>
        <v>500</v>
      </c>
      <c r="U433" s="31">
        <f t="shared" si="126"/>
        <v>-3.3832731020407181E-2</v>
      </c>
      <c r="V433" s="31">
        <f t="shared" si="127"/>
        <v>6.7665462040814361E-2</v>
      </c>
      <c r="W433" s="31">
        <f t="shared" si="128"/>
        <v>3.3900414937759336</v>
      </c>
      <c r="X433" s="32">
        <f t="shared" si="140"/>
        <v>-5.4977623262240733</v>
      </c>
      <c r="Y433" s="32">
        <f t="shared" si="141"/>
        <v>3.8299585062240658</v>
      </c>
      <c r="Z433" s="38">
        <f t="shared" si="142"/>
        <v>-738929.41083947767</v>
      </c>
      <c r="AA433" s="31">
        <f>SUM(L$2:L433)-SUM(AB$2:AB433)</f>
        <v>-45976.649000000034</v>
      </c>
      <c r="AB433" s="176"/>
      <c r="AC433" s="40">
        <f t="shared" si="129"/>
        <v>-5772.0565030817415</v>
      </c>
      <c r="AD433" s="40">
        <f t="shared" si="130"/>
        <v>-30772.056503081742</v>
      </c>
    </row>
    <row r="434" spans="1:30" x14ac:dyDescent="0.25">
      <c r="A434" s="136">
        <v>43287</v>
      </c>
      <c r="B434" s="159"/>
      <c r="C434" s="46" t="s">
        <v>63</v>
      </c>
      <c r="D434" s="46">
        <v>500</v>
      </c>
      <c r="E434" s="46">
        <v>7.05</v>
      </c>
      <c r="F434" s="102">
        <f t="shared" si="132"/>
        <v>25500</v>
      </c>
      <c r="G434" s="32">
        <f t="shared" si="131"/>
        <v>8.8519645294117719</v>
      </c>
      <c r="H434" s="31">
        <f t="shared" si="133"/>
        <v>225725.09550000017</v>
      </c>
      <c r="I434" s="31">
        <f t="shared" si="134"/>
        <v>-45950.09550000017</v>
      </c>
      <c r="J434" s="175">
        <f t="shared" si="135"/>
        <v>-0.20356662336643092</v>
      </c>
      <c r="K434" s="31">
        <f t="shared" si="136"/>
        <v>179775</v>
      </c>
      <c r="L434" s="31">
        <f t="shared" si="137"/>
        <v>-4255</v>
      </c>
      <c r="M434" s="31">
        <f t="shared" si="143"/>
        <v>5</v>
      </c>
      <c r="N434" s="31">
        <f t="shared" si="144"/>
        <v>0</v>
      </c>
      <c r="O434" s="125"/>
      <c r="P434" s="32">
        <f t="shared" si="138"/>
        <v>-1.8019645294117721</v>
      </c>
      <c r="Q434" s="31">
        <f t="shared" si="139"/>
        <v>-3530</v>
      </c>
      <c r="R434" s="34"/>
      <c r="S434" s="31">
        <f t="shared" si="124"/>
        <v>-0.16999999999999993</v>
      </c>
      <c r="T434" s="31">
        <f t="shared" si="125"/>
        <v>500</v>
      </c>
      <c r="U434" s="31">
        <f t="shared" si="126"/>
        <v>-3.5839290588235428E-2</v>
      </c>
      <c r="V434" s="31">
        <f t="shared" si="127"/>
        <v>0.21081935640138497</v>
      </c>
      <c r="W434" s="31">
        <f t="shared" si="128"/>
        <v>1.2053824362606231</v>
      </c>
      <c r="X434" s="32">
        <f t="shared" si="140"/>
        <v>-7.6465820931511486</v>
      </c>
      <c r="Y434" s="32">
        <f t="shared" si="141"/>
        <v>5.8446175637393765</v>
      </c>
      <c r="Z434" s="38">
        <f t="shared" si="142"/>
        <v>-711509.61923254712</v>
      </c>
      <c r="AA434" s="31">
        <f>SUM(L$2:L434)-SUM(AB$2:AB434)</f>
        <v>-50231.649000000034</v>
      </c>
      <c r="AB434" s="176"/>
      <c r="AC434" s="40">
        <f t="shared" si="129"/>
        <v>-6514.4851705319397</v>
      </c>
      <c r="AD434" s="40">
        <f t="shared" si="130"/>
        <v>-32014.485170531938</v>
      </c>
    </row>
    <row r="435" spans="1:30" x14ac:dyDescent="0.25">
      <c r="A435" s="136">
        <v>43287</v>
      </c>
      <c r="B435" s="268" t="s">
        <v>627</v>
      </c>
      <c r="C435" s="46" t="s">
        <v>63</v>
      </c>
      <c r="D435" s="46">
        <v>500</v>
      </c>
      <c r="E435" s="46">
        <v>6.87</v>
      </c>
      <c r="F435" s="102">
        <f t="shared" si="132"/>
        <v>26000</v>
      </c>
      <c r="G435" s="32">
        <f t="shared" si="131"/>
        <v>8.8140421346153914</v>
      </c>
      <c r="H435" s="31">
        <f t="shared" si="133"/>
        <v>229165.09550000017</v>
      </c>
      <c r="I435" s="31">
        <f t="shared" si="134"/>
        <v>-50545.09550000017</v>
      </c>
      <c r="J435" s="175">
        <f t="shared" si="135"/>
        <v>-0.22056192889985785</v>
      </c>
      <c r="K435" s="31">
        <f t="shared" si="136"/>
        <v>178620</v>
      </c>
      <c r="L435" s="31">
        <f t="shared" si="137"/>
        <v>-4595</v>
      </c>
      <c r="M435" s="31">
        <f t="shared" si="143"/>
        <v>5</v>
      </c>
      <c r="N435" s="31">
        <f t="shared" si="144"/>
        <v>0</v>
      </c>
      <c r="O435" s="125"/>
      <c r="P435" s="32">
        <f t="shared" si="138"/>
        <v>-1.9440421346153913</v>
      </c>
      <c r="Q435" s="31">
        <f t="shared" si="139"/>
        <v>-3440</v>
      </c>
      <c r="R435" s="34"/>
      <c r="S435" s="31">
        <f t="shared" si="124"/>
        <v>-0.17999999999999972</v>
      </c>
      <c r="T435" s="31">
        <f t="shared" si="125"/>
        <v>500</v>
      </c>
      <c r="U435" s="31">
        <f t="shared" si="126"/>
        <v>-3.7922394796380487E-2</v>
      </c>
      <c r="V435" s="31">
        <f t="shared" si="127"/>
        <v>0.21067997109100303</v>
      </c>
      <c r="W435" s="31">
        <f t="shared" si="128"/>
        <v>1.3357558139534884</v>
      </c>
      <c r="X435" s="32">
        <f t="shared" si="140"/>
        <v>-7.478286320661903</v>
      </c>
      <c r="Y435" s="32">
        <f t="shared" si="141"/>
        <v>5.5342441860465117</v>
      </c>
      <c r="Z435" s="38">
        <f t="shared" si="142"/>
        <v>-685610.70943973132</v>
      </c>
      <c r="AA435" s="31">
        <f>SUM(L$2:L435)-SUM(AB$2:AB435)</f>
        <v>-54826.649000000034</v>
      </c>
      <c r="AB435" s="176"/>
      <c r="AC435" s="40">
        <f t="shared" si="129"/>
        <v>-7353.6860192503891</v>
      </c>
      <c r="AD435" s="40">
        <f t="shared" si="130"/>
        <v>-33353.686019250388</v>
      </c>
    </row>
    <row r="436" spans="1:30" x14ac:dyDescent="0.25">
      <c r="A436" s="136">
        <v>43287</v>
      </c>
      <c r="B436" s="159" t="s">
        <v>367</v>
      </c>
      <c r="C436" s="46" t="s">
        <v>69</v>
      </c>
      <c r="D436" s="46">
        <v>500</v>
      </c>
      <c r="E436" s="46">
        <v>7.11</v>
      </c>
      <c r="F436" s="102">
        <f t="shared" si="132"/>
        <v>25500</v>
      </c>
      <c r="G436" s="32">
        <f t="shared" si="131"/>
        <v>8.8477902156862811</v>
      </c>
      <c r="H436" s="31">
        <f t="shared" si="133"/>
        <v>225618.65050000016</v>
      </c>
      <c r="I436" s="31">
        <f t="shared" si="134"/>
        <v>-44313.650500000163</v>
      </c>
      <c r="J436" s="175">
        <f t="shared" si="135"/>
        <v>-0.19640951845867072</v>
      </c>
      <c r="K436" s="31">
        <f t="shared" si="136"/>
        <v>181305</v>
      </c>
      <c r="L436" s="31">
        <f t="shared" si="137"/>
        <v>6231.445000000007</v>
      </c>
      <c r="M436" s="31">
        <f t="shared" si="143"/>
        <v>5</v>
      </c>
      <c r="N436" s="31">
        <f t="shared" si="144"/>
        <v>3.5550000000000002</v>
      </c>
      <c r="O436" s="125"/>
      <c r="P436" s="32">
        <f t="shared" si="138"/>
        <v>-1.7377902156862808</v>
      </c>
      <c r="Q436" s="31">
        <f t="shared" si="139"/>
        <v>3546.445000000007</v>
      </c>
      <c r="R436" s="34"/>
      <c r="S436" s="31">
        <f t="shared" si="124"/>
        <v>0.24000000000000021</v>
      </c>
      <c r="T436" s="31">
        <f t="shared" si="125"/>
        <v>-500</v>
      </c>
      <c r="U436" s="31">
        <f t="shared" si="126"/>
        <v>3.3748081070889668E-2</v>
      </c>
      <c r="V436" s="31">
        <f t="shared" si="127"/>
        <v>0.14061700446204017</v>
      </c>
      <c r="W436" s="31">
        <f t="shared" si="128"/>
        <v>1.7570961906923679</v>
      </c>
      <c r="X436" s="32">
        <f t="shared" si="140"/>
        <v>-7.0906940249939137</v>
      </c>
      <c r="Y436" s="32">
        <f t="shared" si="141"/>
        <v>5.3529038093076329</v>
      </c>
      <c r="Z436" s="38">
        <f t="shared" si="142"/>
        <v>755598.51674042956</v>
      </c>
      <c r="AA436" s="31">
        <f>SUM(L$2:L436)-SUM(AB$2:AB436)</f>
        <v>-48595.204000000027</v>
      </c>
      <c r="AB436" s="176"/>
      <c r="AC436" s="40">
        <f t="shared" si="129"/>
        <v>-6229.4646518635955</v>
      </c>
      <c r="AD436" s="40">
        <f t="shared" si="130"/>
        <v>-31729.464651863596</v>
      </c>
    </row>
    <row r="437" spans="1:30" x14ac:dyDescent="0.25">
      <c r="A437" s="136">
        <v>43292</v>
      </c>
      <c r="B437" s="159"/>
      <c r="C437" s="46" t="s">
        <v>63</v>
      </c>
      <c r="D437" s="46">
        <v>500</v>
      </c>
      <c r="E437" s="46">
        <v>6.99</v>
      </c>
      <c r="F437" s="102">
        <f t="shared" si="132"/>
        <v>26000</v>
      </c>
      <c r="G437" s="32">
        <f t="shared" si="131"/>
        <v>8.8122557884615453</v>
      </c>
      <c r="H437" s="31">
        <f t="shared" si="133"/>
        <v>229118.65050000016</v>
      </c>
      <c r="I437" s="31">
        <f t="shared" si="134"/>
        <v>-47378.650500000163</v>
      </c>
      <c r="J437" s="175">
        <f t="shared" si="135"/>
        <v>-0.2067865291481373</v>
      </c>
      <c r="K437" s="31">
        <f t="shared" si="136"/>
        <v>181740</v>
      </c>
      <c r="L437" s="31">
        <f t="shared" si="137"/>
        <v>-3065</v>
      </c>
      <c r="M437" s="31">
        <f t="shared" si="143"/>
        <v>5</v>
      </c>
      <c r="N437" s="31">
        <f t="shared" si="144"/>
        <v>0</v>
      </c>
      <c r="O437" s="125"/>
      <c r="P437" s="32">
        <f t="shared" si="138"/>
        <v>-1.8222557884615451</v>
      </c>
      <c r="Q437" s="31">
        <f t="shared" si="139"/>
        <v>-3500</v>
      </c>
      <c r="R437" s="34"/>
      <c r="S437" s="31">
        <f t="shared" si="124"/>
        <v>-0.12000000000000011</v>
      </c>
      <c r="T437" s="31">
        <f t="shared" si="125"/>
        <v>500</v>
      </c>
      <c r="U437" s="31">
        <f t="shared" si="126"/>
        <v>-3.5534427224735765E-2</v>
      </c>
      <c r="V437" s="31">
        <f t="shared" si="127"/>
        <v>0.29612022687279776</v>
      </c>
      <c r="W437" s="31">
        <f t="shared" si="128"/>
        <v>0.87571428571428567</v>
      </c>
      <c r="X437" s="32">
        <f t="shared" si="140"/>
        <v>-7.9365415027472599</v>
      </c>
      <c r="Y437" s="32">
        <f t="shared" si="141"/>
        <v>6.1142857142857148</v>
      </c>
      <c r="Z437" s="38">
        <f t="shared" si="142"/>
        <v>-731684.79220346676</v>
      </c>
      <c r="AA437" s="31">
        <f>SUM(L$2:L437)-SUM(AB$2:AB437)</f>
        <v>-51660.204000000027</v>
      </c>
      <c r="AB437" s="176"/>
      <c r="AC437" s="40">
        <f t="shared" si="129"/>
        <v>-6774.6725571888646</v>
      </c>
      <c r="AD437" s="40">
        <f t="shared" si="130"/>
        <v>-32774.672557188867</v>
      </c>
    </row>
    <row r="438" spans="1:30" x14ac:dyDescent="0.25">
      <c r="A438" s="136">
        <v>43293</v>
      </c>
      <c r="B438" s="159" t="s">
        <v>368</v>
      </c>
      <c r="C438" s="46" t="s">
        <v>69</v>
      </c>
      <c r="D438" s="46">
        <v>500</v>
      </c>
      <c r="E438" s="46">
        <v>7.09</v>
      </c>
      <c r="F438" s="102">
        <f t="shared" si="132"/>
        <v>25500</v>
      </c>
      <c r="G438" s="32">
        <f t="shared" si="131"/>
        <v>8.8463606078431436</v>
      </c>
      <c r="H438" s="31">
        <f t="shared" si="133"/>
        <v>225582.19550000018</v>
      </c>
      <c r="I438" s="31">
        <f t="shared" si="134"/>
        <v>-44787.195500000176</v>
      </c>
      <c r="J438" s="175">
        <f t="shared" si="135"/>
        <v>-0.19854047169250169</v>
      </c>
      <c r="K438" s="31">
        <f t="shared" si="136"/>
        <v>180795</v>
      </c>
      <c r="L438" s="31">
        <f t="shared" si="137"/>
        <v>2591.4549999999872</v>
      </c>
      <c r="M438" s="31">
        <f t="shared" si="143"/>
        <v>5</v>
      </c>
      <c r="N438" s="31">
        <f t="shared" si="144"/>
        <v>3.5449999999999999</v>
      </c>
      <c r="O438" s="125"/>
      <c r="P438" s="32">
        <f t="shared" si="138"/>
        <v>-1.7563606078431437</v>
      </c>
      <c r="Q438" s="31">
        <f t="shared" si="139"/>
        <v>3536.4549999999872</v>
      </c>
      <c r="R438" s="34"/>
      <c r="S438" s="31">
        <f t="shared" si="124"/>
        <v>9.9999999999999645E-2</v>
      </c>
      <c r="T438" s="31">
        <f t="shared" si="125"/>
        <v>-500</v>
      </c>
      <c r="U438" s="31">
        <f t="shared" si="126"/>
        <v>3.4104819381598261E-2</v>
      </c>
      <c r="V438" s="31">
        <f t="shared" si="127"/>
        <v>0.34104819381598384</v>
      </c>
      <c r="W438" s="31">
        <f t="shared" si="128"/>
        <v>0.73278325328612881</v>
      </c>
      <c r="X438" s="32">
        <f t="shared" si="140"/>
        <v>-8.1135773545570142</v>
      </c>
      <c r="Y438" s="32">
        <f t="shared" si="141"/>
        <v>6.3572167467138705</v>
      </c>
      <c r="Z438" s="38">
        <f t="shared" si="142"/>
        <v>747694.91416098468</v>
      </c>
      <c r="AA438" s="31">
        <f>SUM(L$2:L438)-SUM(AB$2:AB438)</f>
        <v>-49068.74900000004</v>
      </c>
      <c r="AB438" s="176"/>
      <c r="AC438" s="40">
        <f t="shared" si="129"/>
        <v>-6313.7943444640587</v>
      </c>
      <c r="AD438" s="40">
        <f t="shared" si="130"/>
        <v>-31813.794344464059</v>
      </c>
    </row>
    <row r="439" spans="1:30" x14ac:dyDescent="0.25">
      <c r="A439" s="136">
        <v>43293</v>
      </c>
      <c r="B439" s="159" t="s">
        <v>369</v>
      </c>
      <c r="C439" s="46" t="s">
        <v>69</v>
      </c>
      <c r="D439" s="46">
        <v>400</v>
      </c>
      <c r="E439" s="46">
        <v>7.26</v>
      </c>
      <c r="F439" s="102">
        <f t="shared" si="132"/>
        <v>25100</v>
      </c>
      <c r="G439" s="32">
        <f t="shared" si="131"/>
        <v>8.8719561553784931</v>
      </c>
      <c r="H439" s="31">
        <f t="shared" si="133"/>
        <v>222686.09950000019</v>
      </c>
      <c r="I439" s="31">
        <f t="shared" si="134"/>
        <v>-40460.099500000186</v>
      </c>
      <c r="J439" s="175">
        <f t="shared" si="135"/>
        <v>-0.18169117691156178</v>
      </c>
      <c r="K439" s="31">
        <f t="shared" si="136"/>
        <v>182226</v>
      </c>
      <c r="L439" s="31">
        <f t="shared" si="137"/>
        <v>4327.0959999999905</v>
      </c>
      <c r="M439" s="31">
        <f t="shared" si="143"/>
        <v>5</v>
      </c>
      <c r="N439" s="31">
        <f t="shared" si="144"/>
        <v>2.9039999999999999</v>
      </c>
      <c r="O439" s="125"/>
      <c r="P439" s="32">
        <f t="shared" si="138"/>
        <v>-1.6119561553784933</v>
      </c>
      <c r="Q439" s="31">
        <f t="shared" si="139"/>
        <v>2896.0959999999905</v>
      </c>
      <c r="R439" s="34"/>
      <c r="S439" s="31">
        <f t="shared" si="124"/>
        <v>0.16999999999999993</v>
      </c>
      <c r="T439" s="31">
        <f t="shared" si="125"/>
        <v>-400</v>
      </c>
      <c r="U439" s="31">
        <f t="shared" si="126"/>
        <v>2.5595547535349539E-2</v>
      </c>
      <c r="V439" s="31">
        <f t="shared" si="127"/>
        <v>0.15056204432558559</v>
      </c>
      <c r="W439" s="31">
        <f t="shared" si="128"/>
        <v>1.4941134548026049</v>
      </c>
      <c r="X439" s="32">
        <f t="shared" si="140"/>
        <v>-7.3778427005758882</v>
      </c>
      <c r="Y439" s="32">
        <f t="shared" si="141"/>
        <v>5.7658865451973949</v>
      </c>
      <c r="Z439" s="38">
        <f t="shared" si="142"/>
        <v>980639.30710350513</v>
      </c>
      <c r="AA439" s="31">
        <f>SUM(L$2:L439)-SUM(AB$2:AB439)</f>
        <v>-44741.653000000049</v>
      </c>
      <c r="AB439" s="176"/>
      <c r="AC439" s="40">
        <f t="shared" si="129"/>
        <v>-5570.2299518250957</v>
      </c>
      <c r="AD439" s="40">
        <f t="shared" si="130"/>
        <v>-30670.229951825095</v>
      </c>
    </row>
    <row r="440" spans="1:30" x14ac:dyDescent="0.25">
      <c r="A440" s="136">
        <v>43298</v>
      </c>
      <c r="B440" s="159"/>
      <c r="C440" s="46" t="s">
        <v>63</v>
      </c>
      <c r="D440" s="46">
        <v>500</v>
      </c>
      <c r="E440" s="46">
        <v>7.16</v>
      </c>
      <c r="F440" s="102">
        <f t="shared" si="132"/>
        <v>25600</v>
      </c>
      <c r="G440" s="32">
        <f t="shared" si="131"/>
        <v>8.8387148242187568</v>
      </c>
      <c r="H440" s="31">
        <f t="shared" si="133"/>
        <v>226271.09950000019</v>
      </c>
      <c r="I440" s="31">
        <f t="shared" si="134"/>
        <v>-42975.099500000186</v>
      </c>
      <c r="J440" s="175">
        <f t="shared" si="135"/>
        <v>-0.18992747900621809</v>
      </c>
      <c r="K440" s="31">
        <f t="shared" si="136"/>
        <v>183296</v>
      </c>
      <c r="L440" s="31">
        <f t="shared" si="137"/>
        <v>-2515</v>
      </c>
      <c r="M440" s="31">
        <f t="shared" si="143"/>
        <v>5</v>
      </c>
      <c r="N440" s="31">
        <f t="shared" si="144"/>
        <v>0</v>
      </c>
      <c r="O440" s="125"/>
      <c r="P440" s="32">
        <f t="shared" si="138"/>
        <v>-1.6787148242187566</v>
      </c>
      <c r="Q440" s="31">
        <f t="shared" si="139"/>
        <v>-3585</v>
      </c>
      <c r="R440" s="34"/>
      <c r="S440" s="31">
        <f t="shared" si="124"/>
        <v>-9.9999999999999645E-2</v>
      </c>
      <c r="T440" s="31">
        <f t="shared" si="125"/>
        <v>500</v>
      </c>
      <c r="U440" s="31">
        <f t="shared" si="126"/>
        <v>-3.3241331159736376E-2</v>
      </c>
      <c r="V440" s="31">
        <f t="shared" si="127"/>
        <v>0.33241331159736492</v>
      </c>
      <c r="W440" s="31">
        <f t="shared" si="128"/>
        <v>0.70153417015341701</v>
      </c>
      <c r="X440" s="32">
        <f t="shared" si="140"/>
        <v>-8.1371806540653395</v>
      </c>
      <c r="Y440" s="32">
        <f t="shared" si="141"/>
        <v>6.4584658298465829</v>
      </c>
      <c r="Z440" s="38">
        <f t="shared" si="142"/>
        <v>-770125.59686562873</v>
      </c>
      <c r="AA440" s="31">
        <f>SUM(L$2:L440)-SUM(AB$2:AB440)</f>
        <v>-47256.653000000049</v>
      </c>
      <c r="AB440" s="176"/>
      <c r="AC440" s="40">
        <f t="shared" si="129"/>
        <v>-5999.1078142807528</v>
      </c>
      <c r="AD440" s="40">
        <f t="shared" si="130"/>
        <v>-31599.107814280753</v>
      </c>
    </row>
    <row r="441" spans="1:30" x14ac:dyDescent="0.25">
      <c r="A441" s="136">
        <v>43301</v>
      </c>
      <c r="B441" s="159" t="s">
        <v>370</v>
      </c>
      <c r="C441" s="46" t="s">
        <v>69</v>
      </c>
      <c r="D441" s="46">
        <v>400</v>
      </c>
      <c r="E441" s="46">
        <v>7.26</v>
      </c>
      <c r="F441" s="102">
        <f t="shared" si="132"/>
        <v>25200</v>
      </c>
      <c r="G441" s="32">
        <f t="shared" si="131"/>
        <v>8.8640874404761973</v>
      </c>
      <c r="H441" s="31">
        <f t="shared" si="133"/>
        <v>223375.0035000002</v>
      </c>
      <c r="I441" s="31">
        <f t="shared" si="134"/>
        <v>-40423.003500000195</v>
      </c>
      <c r="J441" s="175">
        <f t="shared" si="135"/>
        <v>-0.18096475821655733</v>
      </c>
      <c r="K441" s="31">
        <f t="shared" si="136"/>
        <v>182952</v>
      </c>
      <c r="L441" s="31">
        <f t="shared" si="137"/>
        <v>2552.0959999999905</v>
      </c>
      <c r="M441" s="31">
        <f t="shared" si="143"/>
        <v>5</v>
      </c>
      <c r="N441" s="31">
        <f t="shared" si="144"/>
        <v>2.9039999999999999</v>
      </c>
      <c r="O441" s="125"/>
      <c r="P441" s="32">
        <f t="shared" si="138"/>
        <v>-1.6040874404761976</v>
      </c>
      <c r="Q441" s="31">
        <f t="shared" si="139"/>
        <v>2896.0959999999905</v>
      </c>
      <c r="R441" s="34"/>
      <c r="S441" s="31">
        <f t="shared" si="124"/>
        <v>9.9999999999999645E-2</v>
      </c>
      <c r="T441" s="31">
        <f t="shared" si="125"/>
        <v>-400</v>
      </c>
      <c r="U441" s="31">
        <f t="shared" si="126"/>
        <v>2.5372616257440583E-2</v>
      </c>
      <c r="V441" s="31">
        <f t="shared" si="127"/>
        <v>0.25372616257440672</v>
      </c>
      <c r="W441" s="31">
        <f t="shared" si="128"/>
        <v>0.88121940709147728</v>
      </c>
      <c r="X441" s="32">
        <f t="shared" si="140"/>
        <v>-7.9828680333847197</v>
      </c>
      <c r="Y441" s="32">
        <f t="shared" si="141"/>
        <v>6.3787805929085222</v>
      </c>
      <c r="Z441" s="38">
        <f t="shared" si="142"/>
        <v>993196.74976797227</v>
      </c>
      <c r="AA441" s="31">
        <f>SUM(L$2:L441)-SUM(AB$2:AB441)</f>
        <v>-44704.557000000059</v>
      </c>
      <c r="AB441" s="176"/>
      <c r="AC441" s="40">
        <f t="shared" si="129"/>
        <v>-5565.1228647727548</v>
      </c>
      <c r="AD441" s="40">
        <f t="shared" si="130"/>
        <v>-30765.122864772755</v>
      </c>
    </row>
    <row r="442" spans="1:30" x14ac:dyDescent="0.25">
      <c r="A442" s="136">
        <v>43304</v>
      </c>
      <c r="B442" s="159" t="s">
        <v>371</v>
      </c>
      <c r="C442" s="46" t="s">
        <v>69</v>
      </c>
      <c r="D442" s="46">
        <v>400</v>
      </c>
      <c r="E442" s="46">
        <v>7.36</v>
      </c>
      <c r="F442" s="102">
        <f t="shared" si="132"/>
        <v>24800</v>
      </c>
      <c r="G442" s="32">
        <f t="shared" si="131"/>
        <v>8.888667237903233</v>
      </c>
      <c r="H442" s="31">
        <f t="shared" si="133"/>
        <v>220438.94750000018</v>
      </c>
      <c r="I442" s="31">
        <f t="shared" si="134"/>
        <v>-37910.947500000184</v>
      </c>
      <c r="J442" s="175">
        <f t="shared" si="135"/>
        <v>-0.1719793526958304</v>
      </c>
      <c r="K442" s="31">
        <f t="shared" si="136"/>
        <v>182528</v>
      </c>
      <c r="L442" s="31">
        <f t="shared" si="137"/>
        <v>2512.0560000000114</v>
      </c>
      <c r="M442" s="31">
        <f t="shared" si="143"/>
        <v>5</v>
      </c>
      <c r="N442" s="31">
        <f t="shared" si="144"/>
        <v>2.944</v>
      </c>
      <c r="O442" s="125"/>
      <c r="P442" s="32">
        <f t="shared" si="138"/>
        <v>-1.5286672379032327</v>
      </c>
      <c r="Q442" s="31">
        <f t="shared" si="139"/>
        <v>2936.0560000000114</v>
      </c>
      <c r="R442" s="34"/>
      <c r="S442" s="31">
        <f t="shared" si="124"/>
        <v>0.10000000000000053</v>
      </c>
      <c r="T442" s="31">
        <f t="shared" si="125"/>
        <v>-400</v>
      </c>
      <c r="U442" s="31">
        <f t="shared" si="126"/>
        <v>2.4579797427035643E-2</v>
      </c>
      <c r="V442" s="31">
        <f t="shared" si="127"/>
        <v>0.24579797427035513</v>
      </c>
      <c r="W442" s="31">
        <f t="shared" si="128"/>
        <v>0.85558858550381933</v>
      </c>
      <c r="X442" s="32">
        <f t="shared" si="140"/>
        <v>-8.0330786523994142</v>
      </c>
      <c r="Y442" s="32">
        <f t="shared" si="141"/>
        <v>6.5044114144961815</v>
      </c>
      <c r="Z442" s="38">
        <f t="shared" si="142"/>
        <v>1008958.6813568346</v>
      </c>
      <c r="AA442" s="31">
        <f>SUM(L$2:L442)-SUM(AB$2:AB442)</f>
        <v>-42192.501000000047</v>
      </c>
      <c r="AB442" s="176"/>
      <c r="AC442" s="40">
        <f t="shared" si="129"/>
        <v>-5148.3684818274705</v>
      </c>
      <c r="AD442" s="40">
        <f t="shared" si="130"/>
        <v>-29948.368481827471</v>
      </c>
    </row>
    <row r="443" spans="1:30" x14ac:dyDescent="0.25">
      <c r="A443" s="136">
        <v>43305</v>
      </c>
      <c r="B443" s="159" t="s">
        <v>372</v>
      </c>
      <c r="C443" s="46" t="s">
        <v>69</v>
      </c>
      <c r="D443" s="46">
        <v>400</v>
      </c>
      <c r="E443" s="46">
        <v>7.58</v>
      </c>
      <c r="F443" s="102">
        <f t="shared" si="132"/>
        <v>24400</v>
      </c>
      <c r="G443" s="32">
        <f t="shared" si="131"/>
        <v>8.9104499795082042</v>
      </c>
      <c r="H443" s="31">
        <f t="shared" si="133"/>
        <v>217414.97950000019</v>
      </c>
      <c r="I443" s="31">
        <f t="shared" si="134"/>
        <v>-32462.97950000019</v>
      </c>
      <c r="J443" s="175">
        <f t="shared" si="135"/>
        <v>-0.14931344461479551</v>
      </c>
      <c r="K443" s="31">
        <f t="shared" si="136"/>
        <v>184952</v>
      </c>
      <c r="L443" s="31">
        <f t="shared" si="137"/>
        <v>5447.9679999999935</v>
      </c>
      <c r="M443" s="31">
        <f t="shared" si="143"/>
        <v>5</v>
      </c>
      <c r="N443" s="31">
        <f t="shared" si="144"/>
        <v>3.032</v>
      </c>
      <c r="O443" s="125"/>
      <c r="P443" s="32">
        <f t="shared" si="138"/>
        <v>-1.3304499795082041</v>
      </c>
      <c r="Q443" s="31">
        <f t="shared" si="139"/>
        <v>3023.9679999999935</v>
      </c>
      <c r="R443" s="34"/>
      <c r="S443" s="31">
        <f t="shared" si="124"/>
        <v>0.21999999999999975</v>
      </c>
      <c r="T443" s="31">
        <f t="shared" si="125"/>
        <v>-400</v>
      </c>
      <c r="U443" s="31">
        <f t="shared" si="126"/>
        <v>2.1782741604971179E-2</v>
      </c>
      <c r="V443" s="31">
        <f t="shared" si="127"/>
        <v>9.9012461840778193E-2</v>
      </c>
      <c r="W443" s="31">
        <f t="shared" si="128"/>
        <v>1.8015957840823729</v>
      </c>
      <c r="X443" s="32">
        <f t="shared" si="140"/>
        <v>-7.1088541954258311</v>
      </c>
      <c r="Y443" s="32">
        <f t="shared" si="141"/>
        <v>5.778404215917627</v>
      </c>
      <c r="Z443" s="38">
        <f t="shared" si="142"/>
        <v>1120152.84588564</v>
      </c>
      <c r="AA443" s="31">
        <f>SUM(L$2:L443)-SUM(AB$2:AB443)</f>
        <v>-36744.533000000054</v>
      </c>
      <c r="AB443" s="176"/>
      <c r="AC443" s="40">
        <f t="shared" si="129"/>
        <v>-4280.5736161279938</v>
      </c>
      <c r="AD443" s="40">
        <f t="shared" si="130"/>
        <v>-28680.573616127993</v>
      </c>
    </row>
    <row r="444" spans="1:30" x14ac:dyDescent="0.25">
      <c r="A444" s="136">
        <v>43307</v>
      </c>
      <c r="B444" s="159"/>
      <c r="C444" s="46" t="s">
        <v>63</v>
      </c>
      <c r="D444" s="46">
        <v>500</v>
      </c>
      <c r="E444" s="46">
        <v>7.42</v>
      </c>
      <c r="F444" s="102">
        <f t="shared" si="132"/>
        <v>24900</v>
      </c>
      <c r="G444" s="32">
        <f t="shared" si="131"/>
        <v>8.8807220682730996</v>
      </c>
      <c r="H444" s="31">
        <f t="shared" si="133"/>
        <v>221129.97950000019</v>
      </c>
      <c r="I444" s="31">
        <f t="shared" si="134"/>
        <v>-36371.97950000019</v>
      </c>
      <c r="J444" s="175">
        <f t="shared" si="135"/>
        <v>-0.16448235369189348</v>
      </c>
      <c r="K444" s="31">
        <f t="shared" si="136"/>
        <v>184758</v>
      </c>
      <c r="L444" s="31">
        <f t="shared" si="137"/>
        <v>-3909</v>
      </c>
      <c r="M444" s="31">
        <f t="shared" si="143"/>
        <v>5</v>
      </c>
      <c r="N444" s="31">
        <f t="shared" si="144"/>
        <v>0</v>
      </c>
      <c r="O444" s="125"/>
      <c r="P444" s="32">
        <f t="shared" si="138"/>
        <v>-1.4607220682730997</v>
      </c>
      <c r="Q444" s="31">
        <f t="shared" si="139"/>
        <v>-3715</v>
      </c>
      <c r="R444" s="34"/>
      <c r="S444" s="31">
        <f t="shared" si="124"/>
        <v>-0.16000000000000014</v>
      </c>
      <c r="T444" s="31">
        <f t="shared" si="125"/>
        <v>500</v>
      </c>
      <c r="U444" s="31">
        <f t="shared" si="126"/>
        <v>-2.9727911235104543E-2</v>
      </c>
      <c r="V444" s="31">
        <f t="shared" si="127"/>
        <v>0.18579944521940323</v>
      </c>
      <c r="W444" s="31">
        <f t="shared" si="128"/>
        <v>1.0522207267833108</v>
      </c>
      <c r="X444" s="32">
        <f t="shared" si="140"/>
        <v>-7.8285013414897886</v>
      </c>
      <c r="Y444" s="32">
        <f t="shared" si="141"/>
        <v>6.3677792732166889</v>
      </c>
      <c r="Z444" s="38">
        <f t="shared" si="142"/>
        <v>-837596.68827981933</v>
      </c>
      <c r="AA444" s="31">
        <f>SUM(L$2:L444)-SUM(AB$2:AB444)</f>
        <v>-40653.533000000054</v>
      </c>
      <c r="AB444" s="176"/>
      <c r="AC444" s="40">
        <f t="shared" si="129"/>
        <v>-4899.4330876347967</v>
      </c>
      <c r="AD444" s="40">
        <f t="shared" si="130"/>
        <v>-29799.433087634796</v>
      </c>
    </row>
    <row r="445" spans="1:30" x14ac:dyDescent="0.25">
      <c r="A445" s="136">
        <v>43313</v>
      </c>
      <c r="B445" s="159"/>
      <c r="C445" s="46" t="s">
        <v>63</v>
      </c>
      <c r="D445" s="46">
        <v>500</v>
      </c>
      <c r="E445" s="46">
        <v>7.31</v>
      </c>
      <c r="F445" s="102">
        <f t="shared" si="132"/>
        <v>25400</v>
      </c>
      <c r="G445" s="32">
        <f t="shared" si="131"/>
        <v>8.8499991929133941</v>
      </c>
      <c r="H445" s="31">
        <f t="shared" si="133"/>
        <v>224789.97950000019</v>
      </c>
      <c r="I445" s="31">
        <f t="shared" si="134"/>
        <v>-39115.97950000019</v>
      </c>
      <c r="J445" s="175">
        <f t="shared" si="135"/>
        <v>-0.17401122410796868</v>
      </c>
      <c r="K445" s="31">
        <f t="shared" si="136"/>
        <v>185674</v>
      </c>
      <c r="L445" s="31">
        <f t="shared" si="137"/>
        <v>-2744</v>
      </c>
      <c r="M445" s="31">
        <f t="shared" si="143"/>
        <v>5</v>
      </c>
      <c r="N445" s="31">
        <f t="shared" si="144"/>
        <v>0</v>
      </c>
      <c r="O445" s="125"/>
      <c r="P445" s="32">
        <f t="shared" si="138"/>
        <v>-1.5399991929133945</v>
      </c>
      <c r="Q445" s="31">
        <f t="shared" si="139"/>
        <v>-3660</v>
      </c>
      <c r="R445" s="34"/>
      <c r="S445" s="31">
        <f t="shared" si="124"/>
        <v>-0.11000000000000032</v>
      </c>
      <c r="T445" s="31">
        <f t="shared" si="125"/>
        <v>500</v>
      </c>
      <c r="U445" s="31">
        <f t="shared" si="126"/>
        <v>-3.0722875359705526E-2</v>
      </c>
      <c r="V445" s="31">
        <f t="shared" si="127"/>
        <v>0.27929886690641303</v>
      </c>
      <c r="W445" s="31">
        <f t="shared" si="128"/>
        <v>0.74972677595628412</v>
      </c>
      <c r="X445" s="32">
        <f t="shared" si="140"/>
        <v>-8.1002724169571092</v>
      </c>
      <c r="Y445" s="32">
        <f t="shared" si="141"/>
        <v>6.5602732240437147</v>
      </c>
      <c r="Z445" s="38">
        <f t="shared" si="142"/>
        <v>-826745.53415378812</v>
      </c>
      <c r="AA445" s="31">
        <f>SUM(L$2:L445)-SUM(AB$2:AB445)</f>
        <v>-43397.533000000054</v>
      </c>
      <c r="AB445" s="176"/>
      <c r="AC445" s="40">
        <f t="shared" si="129"/>
        <v>-5348.3476758208208</v>
      </c>
      <c r="AD445" s="40">
        <f t="shared" si="130"/>
        <v>-30748.34767582082</v>
      </c>
    </row>
    <row r="446" spans="1:30" x14ac:dyDescent="0.25">
      <c r="A446" s="136">
        <v>43314</v>
      </c>
      <c r="B446" s="159"/>
      <c r="C446" s="46" t="s">
        <v>63</v>
      </c>
      <c r="D446" s="46">
        <v>500</v>
      </c>
      <c r="E446" s="46">
        <v>7.14</v>
      </c>
      <c r="F446" s="102">
        <f t="shared" si="132"/>
        <v>25900</v>
      </c>
      <c r="G446" s="32">
        <f t="shared" si="131"/>
        <v>8.817180675675683</v>
      </c>
      <c r="H446" s="31">
        <f t="shared" si="133"/>
        <v>228364.97950000019</v>
      </c>
      <c r="I446" s="31">
        <f t="shared" si="134"/>
        <v>-43438.97950000019</v>
      </c>
      <c r="J446" s="175">
        <f t="shared" si="135"/>
        <v>-0.19021734240998261</v>
      </c>
      <c r="K446" s="31">
        <f t="shared" si="136"/>
        <v>184926</v>
      </c>
      <c r="L446" s="31">
        <f t="shared" si="137"/>
        <v>-4323</v>
      </c>
      <c r="M446" s="31">
        <f t="shared" si="143"/>
        <v>5</v>
      </c>
      <c r="N446" s="31">
        <f t="shared" si="144"/>
        <v>0</v>
      </c>
      <c r="O446" s="125"/>
      <c r="P446" s="32">
        <f t="shared" si="138"/>
        <v>-1.6771806756756833</v>
      </c>
      <c r="Q446" s="31">
        <f t="shared" si="139"/>
        <v>-3575</v>
      </c>
      <c r="R446" s="34"/>
      <c r="S446" s="31">
        <f t="shared" si="124"/>
        <v>-0.16999999999999993</v>
      </c>
      <c r="T446" s="31">
        <f t="shared" si="125"/>
        <v>500</v>
      </c>
      <c r="U446" s="31">
        <f t="shared" si="126"/>
        <v>-3.281851723771112E-2</v>
      </c>
      <c r="V446" s="31">
        <f t="shared" si="127"/>
        <v>0.19305010139830078</v>
      </c>
      <c r="W446" s="31">
        <f t="shared" si="128"/>
        <v>1.2092307692307693</v>
      </c>
      <c r="X446" s="32">
        <f t="shared" si="140"/>
        <v>-7.6079499064449134</v>
      </c>
      <c r="Y446" s="32">
        <f t="shared" si="141"/>
        <v>5.9307692307692301</v>
      </c>
      <c r="Z446" s="38">
        <f t="shared" si="142"/>
        <v>-789188.60996677855</v>
      </c>
      <c r="AA446" s="31">
        <f>SUM(L$2:L446)-SUM(AB$2:AB446)</f>
        <v>-47720.533000000054</v>
      </c>
      <c r="AB446" s="176"/>
      <c r="AC446" s="40">
        <f t="shared" si="129"/>
        <v>-6080.8487409314002</v>
      </c>
      <c r="AD446" s="40">
        <f t="shared" si="130"/>
        <v>-31980.8487409314</v>
      </c>
    </row>
    <row r="447" spans="1:30" x14ac:dyDescent="0.25">
      <c r="A447" s="136">
        <v>43315</v>
      </c>
      <c r="B447" s="159"/>
      <c r="C447" s="46" t="s">
        <v>63</v>
      </c>
      <c r="D447" s="46">
        <v>500</v>
      </c>
      <c r="E447" s="46">
        <v>7.04</v>
      </c>
      <c r="F447" s="102">
        <f t="shared" si="132"/>
        <v>26400</v>
      </c>
      <c r="G447" s="32">
        <f t="shared" si="131"/>
        <v>8.783711344696977</v>
      </c>
      <c r="H447" s="31">
        <f t="shared" si="133"/>
        <v>231889.97950000019</v>
      </c>
      <c r="I447" s="31">
        <f t="shared" si="134"/>
        <v>-46033.97950000019</v>
      </c>
      <c r="J447" s="175">
        <f t="shared" si="135"/>
        <v>-0.19851646715937613</v>
      </c>
      <c r="K447" s="31">
        <f t="shared" si="136"/>
        <v>185856</v>
      </c>
      <c r="L447" s="31">
        <f t="shared" si="137"/>
        <v>-2595</v>
      </c>
      <c r="M447" s="31">
        <f t="shared" si="143"/>
        <v>5</v>
      </c>
      <c r="N447" s="31">
        <f t="shared" si="144"/>
        <v>0</v>
      </c>
      <c r="O447" s="125"/>
      <c r="P447" s="32">
        <f t="shared" si="138"/>
        <v>-1.743711344696977</v>
      </c>
      <c r="Q447" s="31">
        <f t="shared" si="139"/>
        <v>-3525</v>
      </c>
      <c r="R447" s="34"/>
      <c r="S447" s="31">
        <f t="shared" si="124"/>
        <v>-9.9999999999999645E-2</v>
      </c>
      <c r="T447" s="31">
        <f t="shared" si="125"/>
        <v>500</v>
      </c>
      <c r="U447" s="31">
        <f t="shared" si="126"/>
        <v>-3.3469330978705969E-2</v>
      </c>
      <c r="V447" s="31">
        <f t="shared" si="127"/>
        <v>0.33469330978706086</v>
      </c>
      <c r="W447" s="31">
        <f t="shared" si="128"/>
        <v>0.7361702127659574</v>
      </c>
      <c r="X447" s="32">
        <f t="shared" si="140"/>
        <v>-8.0475411319310197</v>
      </c>
      <c r="Y447" s="32">
        <f t="shared" si="141"/>
        <v>6.3038297872340427</v>
      </c>
      <c r="Z447" s="38">
        <f t="shared" si="142"/>
        <v>-788781.82586907235</v>
      </c>
      <c r="AA447" s="31">
        <f>SUM(L$2:L447)-SUM(AB$2:AB447)</f>
        <v>-50315.533000000054</v>
      </c>
      <c r="AB447" s="176"/>
      <c r="AC447" s="40">
        <f t="shared" si="129"/>
        <v>-6535.6480838423568</v>
      </c>
      <c r="AD447" s="40">
        <f t="shared" si="130"/>
        <v>-32935.648083842359</v>
      </c>
    </row>
    <row r="448" spans="1:30" x14ac:dyDescent="0.25">
      <c r="A448" s="136">
        <v>43318</v>
      </c>
      <c r="B448" s="179"/>
      <c r="C448" s="46" t="s">
        <v>63</v>
      </c>
      <c r="D448" s="46">
        <v>500</v>
      </c>
      <c r="E448" s="46">
        <v>6.96</v>
      </c>
      <c r="F448" s="102">
        <f t="shared" si="132"/>
        <v>26900</v>
      </c>
      <c r="G448" s="32">
        <f t="shared" si="131"/>
        <v>8.7499992379182228</v>
      </c>
      <c r="H448" s="31">
        <f t="shared" si="133"/>
        <v>235374.97950000019</v>
      </c>
      <c r="I448" s="31">
        <f t="shared" si="134"/>
        <v>-48150.97950000019</v>
      </c>
      <c r="J448" s="175">
        <f t="shared" si="135"/>
        <v>-0.20457135929352319</v>
      </c>
      <c r="K448" s="31">
        <f t="shared" si="136"/>
        <v>187224</v>
      </c>
      <c r="L448" s="31">
        <f t="shared" si="137"/>
        <v>-2117</v>
      </c>
      <c r="M448" s="31">
        <f t="shared" si="143"/>
        <v>5</v>
      </c>
      <c r="N448" s="31">
        <f t="shared" si="144"/>
        <v>0</v>
      </c>
      <c r="O448" s="125"/>
      <c r="P448" s="32">
        <f t="shared" si="138"/>
        <v>-1.7899992379182228</v>
      </c>
      <c r="Q448" s="31">
        <f t="shared" si="139"/>
        <v>-3485</v>
      </c>
      <c r="R448" s="34"/>
      <c r="S448" s="31">
        <f t="shared" si="124"/>
        <v>-8.0000000000000071E-2</v>
      </c>
      <c r="T448" s="31">
        <f t="shared" si="125"/>
        <v>500</v>
      </c>
      <c r="U448" s="31">
        <f t="shared" si="126"/>
        <v>-3.3712106778754247E-2</v>
      </c>
      <c r="V448" s="31">
        <f t="shared" si="127"/>
        <v>0.4214013347344277</v>
      </c>
      <c r="W448" s="31">
        <f t="shared" si="128"/>
        <v>0.6074605451936872</v>
      </c>
      <c r="X448" s="32">
        <f t="shared" si="140"/>
        <v>-8.1425386927245356</v>
      </c>
      <c r="Y448" s="32">
        <f t="shared" si="141"/>
        <v>6.3525394548063128</v>
      </c>
      <c r="Z448" s="38">
        <f t="shared" si="142"/>
        <v>-797932.9258933377</v>
      </c>
      <c r="AA448" s="31">
        <f>SUM(L$2:L448)-SUM(AB$2:AB448)</f>
        <v>-52432.533000000054</v>
      </c>
      <c r="AB448" s="176"/>
      <c r="AC448" s="40">
        <f t="shared" si="129"/>
        <v>-6914.7850589439931</v>
      </c>
      <c r="AD448" s="40">
        <f t="shared" si="130"/>
        <v>-33814.785058943991</v>
      </c>
    </row>
    <row r="449" spans="1:30" x14ac:dyDescent="0.25">
      <c r="A449" s="136">
        <v>43319</v>
      </c>
      <c r="B449" s="159" t="s">
        <v>373</v>
      </c>
      <c r="C449" s="46" t="s">
        <v>69</v>
      </c>
      <c r="D449" s="46">
        <v>400</v>
      </c>
      <c r="E449" s="46">
        <v>7.07</v>
      </c>
      <c r="F449" s="102">
        <f t="shared" si="132"/>
        <v>26500</v>
      </c>
      <c r="G449" s="32">
        <f t="shared" si="131"/>
        <v>8.7756531132075555</v>
      </c>
      <c r="H449" s="31">
        <f t="shared" si="133"/>
        <v>232554.8075000002</v>
      </c>
      <c r="I449" s="31">
        <f t="shared" si="134"/>
        <v>-45199.807500000199</v>
      </c>
      <c r="J449" s="175">
        <f t="shared" si="135"/>
        <v>-0.19436195701953041</v>
      </c>
      <c r="K449" s="31">
        <f t="shared" si="136"/>
        <v>187355</v>
      </c>
      <c r="L449" s="31">
        <f t="shared" si="137"/>
        <v>2951.1719999999914</v>
      </c>
      <c r="M449" s="31">
        <f t="shared" si="143"/>
        <v>5</v>
      </c>
      <c r="N449" s="31">
        <f t="shared" si="144"/>
        <v>2.8279999999999998</v>
      </c>
      <c r="O449" s="125"/>
      <c r="P449" s="32">
        <f t="shared" si="138"/>
        <v>-1.7056531132075552</v>
      </c>
      <c r="Q449" s="31">
        <f t="shared" si="139"/>
        <v>2820.1719999999914</v>
      </c>
      <c r="R449" s="34"/>
      <c r="S449" s="31">
        <f t="shared" si="124"/>
        <v>0.11000000000000032</v>
      </c>
      <c r="T449" s="31">
        <f t="shared" si="125"/>
        <v>-400</v>
      </c>
      <c r="U449" s="31">
        <f t="shared" si="126"/>
        <v>2.5653875289332717E-2</v>
      </c>
      <c r="V449" s="31">
        <f t="shared" si="127"/>
        <v>0.2332170480848422</v>
      </c>
      <c r="W449" s="31">
        <f t="shared" si="128"/>
        <v>1.0464510675235412</v>
      </c>
      <c r="X449" s="32">
        <f t="shared" si="140"/>
        <v>-7.7292020456840138</v>
      </c>
      <c r="Y449" s="32">
        <f t="shared" si="141"/>
        <v>6.0235489324764586</v>
      </c>
      <c r="Z449" s="38">
        <f t="shared" si="142"/>
        <v>1032982.3350711896</v>
      </c>
      <c r="AA449" s="31">
        <f>SUM(L$2:L730)-SUM(AB$2:AB730)</f>
        <v>6041.6979999997129</v>
      </c>
      <c r="AB449" s="176"/>
      <c r="AC449" s="40">
        <f t="shared" si="129"/>
        <v>-6389.9869301626877</v>
      </c>
      <c r="AD449" s="40">
        <f t="shared" si="130"/>
        <v>-32889.98693016269</v>
      </c>
    </row>
    <row r="450" spans="1:30" x14ac:dyDescent="0.25">
      <c r="A450" s="136">
        <v>43320</v>
      </c>
      <c r="B450" s="159" t="s">
        <v>374</v>
      </c>
      <c r="C450" s="46" t="s">
        <v>69</v>
      </c>
      <c r="D450" s="46">
        <v>400</v>
      </c>
      <c r="E450" s="46">
        <v>7.23</v>
      </c>
      <c r="F450" s="102">
        <f t="shared" si="132"/>
        <v>26100</v>
      </c>
      <c r="G450" s="32">
        <f t="shared" si="131"/>
        <v>8.7996436590038396</v>
      </c>
      <c r="H450" s="31">
        <f t="shared" si="133"/>
        <v>229670.69950000019</v>
      </c>
      <c r="I450" s="31">
        <f t="shared" si="134"/>
        <v>-40967.699500000192</v>
      </c>
      <c r="J450" s="175">
        <f t="shared" si="135"/>
        <v>-0.17837582063880189</v>
      </c>
      <c r="K450" s="31">
        <f t="shared" si="136"/>
        <v>188703</v>
      </c>
      <c r="L450" s="31">
        <f t="shared" si="137"/>
        <v>4232.1080000000075</v>
      </c>
      <c r="M450" s="31">
        <f t="shared" si="143"/>
        <v>5</v>
      </c>
      <c r="N450" s="31">
        <f t="shared" si="144"/>
        <v>2.8919999999999999</v>
      </c>
      <c r="O450" s="125"/>
      <c r="P450" s="32">
        <f t="shared" si="138"/>
        <v>-1.5696436590038392</v>
      </c>
      <c r="Q450" s="31">
        <f t="shared" si="139"/>
        <v>2884.1080000000075</v>
      </c>
      <c r="R450" s="34"/>
      <c r="S450" s="31">
        <f t="shared" ref="S450:S513" si="145">E450-E449</f>
        <v>0.16000000000000014</v>
      </c>
      <c r="T450" s="31">
        <f t="shared" ref="T450:T513" si="146">F450-F449</f>
        <v>-400</v>
      </c>
      <c r="U450" s="31">
        <f t="shared" ref="U450:U513" si="147">G450-G449</f>
        <v>2.3990545796284124E-2</v>
      </c>
      <c r="V450" s="31">
        <f t="shared" ref="V450:V513" si="148">U450/S450</f>
        <v>0.14994091122677564</v>
      </c>
      <c r="W450" s="31">
        <f t="shared" ref="W450:W513" si="149">L450/Q450</f>
        <v>1.4673888772542487</v>
      </c>
      <c r="X450" s="32">
        <f t="shared" si="140"/>
        <v>-7.3322547817495911</v>
      </c>
      <c r="Y450" s="32">
        <f t="shared" si="141"/>
        <v>5.7626111227457519</v>
      </c>
      <c r="Z450" s="38">
        <f t="shared" si="142"/>
        <v>1087928.5624273962</v>
      </c>
      <c r="AA450" s="31">
        <f>SUM(L$2:L450)-SUM(AB$2:AB450)</f>
        <v>-45249.253000000055</v>
      </c>
      <c r="AB450" s="176"/>
      <c r="AC450" s="40">
        <f t="shared" si="129"/>
        <v>-5663.5153043222954</v>
      </c>
      <c r="AD450" s="40">
        <f t="shared" si="130"/>
        <v>-31763.515304322296</v>
      </c>
    </row>
    <row r="451" spans="1:30" x14ac:dyDescent="0.25">
      <c r="A451" s="136">
        <v>43322</v>
      </c>
      <c r="B451" s="159" t="s">
        <v>375</v>
      </c>
      <c r="C451" s="46" t="s">
        <v>69</v>
      </c>
      <c r="D451" s="46">
        <v>400</v>
      </c>
      <c r="E451" s="46">
        <v>7.36</v>
      </c>
      <c r="F451" s="102">
        <f t="shared" si="132"/>
        <v>25700</v>
      </c>
      <c r="G451" s="32">
        <f t="shared" si="131"/>
        <v>8.8223596692607078</v>
      </c>
      <c r="H451" s="31">
        <f t="shared" si="133"/>
        <v>226734.64350000018</v>
      </c>
      <c r="I451" s="31">
        <f t="shared" si="134"/>
        <v>-37582.64350000018</v>
      </c>
      <c r="J451" s="175">
        <f t="shared" si="135"/>
        <v>-0.16575607026722475</v>
      </c>
      <c r="K451" s="31">
        <f t="shared" si="136"/>
        <v>189152</v>
      </c>
      <c r="L451" s="31">
        <f t="shared" si="137"/>
        <v>3385.0560000000114</v>
      </c>
      <c r="M451" s="31">
        <f t="shared" si="143"/>
        <v>5</v>
      </c>
      <c r="N451" s="31">
        <f t="shared" si="144"/>
        <v>2.944</v>
      </c>
      <c r="O451" s="125"/>
      <c r="P451" s="32">
        <f t="shared" si="138"/>
        <v>-1.4623596692607075</v>
      </c>
      <c r="Q451" s="31">
        <f t="shared" si="139"/>
        <v>2936.0560000000114</v>
      </c>
      <c r="R451" s="34"/>
      <c r="S451" s="31">
        <f t="shared" si="145"/>
        <v>0.12999999999999989</v>
      </c>
      <c r="T451" s="31">
        <f t="shared" si="146"/>
        <v>-400</v>
      </c>
      <c r="U451" s="31">
        <f t="shared" si="147"/>
        <v>2.2716010256868202E-2</v>
      </c>
      <c r="V451" s="31">
        <f t="shared" si="148"/>
        <v>0.17473854043744785</v>
      </c>
      <c r="W451" s="31">
        <f t="shared" si="149"/>
        <v>1.1529262384641159</v>
      </c>
      <c r="X451" s="32">
        <f t="shared" si="140"/>
        <v>-7.6694334307965919</v>
      </c>
      <c r="Y451" s="32">
        <f t="shared" si="141"/>
        <v>6.2070737615358844</v>
      </c>
      <c r="Z451" s="38">
        <f t="shared" si="142"/>
        <v>1131360.644294021</v>
      </c>
      <c r="AA451" s="31">
        <f>SUM(L$2:L451)-SUM(AB$2:AB451)</f>
        <v>-41864.197000000044</v>
      </c>
      <c r="AB451" s="176"/>
      <c r="AC451" s="40">
        <f t="shared" ref="AC451:AC514" si="150">I451/E451*(1-0.0005)</f>
        <v>-5103.7842633492101</v>
      </c>
      <c r="AD451" s="40">
        <f t="shared" ref="AD451:AD514" si="151">AC451-F451</f>
        <v>-30803.784263349211</v>
      </c>
    </row>
    <row r="452" spans="1:30" x14ac:dyDescent="0.25">
      <c r="A452" s="136">
        <v>43325</v>
      </c>
      <c r="B452" s="159"/>
      <c r="C452" s="46" t="s">
        <v>63</v>
      </c>
      <c r="D452" s="46">
        <v>500</v>
      </c>
      <c r="E452" s="46">
        <v>7.07</v>
      </c>
      <c r="F452" s="102">
        <f t="shared" si="132"/>
        <v>26200</v>
      </c>
      <c r="G452" s="32">
        <f t="shared" si="131"/>
        <v>8.7891085305343584</v>
      </c>
      <c r="H452" s="31">
        <f t="shared" si="133"/>
        <v>230274.64350000018</v>
      </c>
      <c r="I452" s="31">
        <f t="shared" si="134"/>
        <v>-45040.64350000018</v>
      </c>
      <c r="J452" s="175">
        <f t="shared" si="135"/>
        <v>-0.19559532398103635</v>
      </c>
      <c r="K452" s="31">
        <f t="shared" si="136"/>
        <v>185234</v>
      </c>
      <c r="L452" s="31">
        <f t="shared" si="137"/>
        <v>-7458</v>
      </c>
      <c r="M452" s="31">
        <f t="shared" si="143"/>
        <v>5</v>
      </c>
      <c r="N452" s="31">
        <f t="shared" si="144"/>
        <v>0</v>
      </c>
      <c r="O452" s="125"/>
      <c r="P452" s="32">
        <f t="shared" si="138"/>
        <v>-1.7191085305343581</v>
      </c>
      <c r="Q452" s="31">
        <f t="shared" si="139"/>
        <v>-3540</v>
      </c>
      <c r="R452" s="34"/>
      <c r="S452" s="31">
        <f t="shared" si="145"/>
        <v>-0.29000000000000004</v>
      </c>
      <c r="T452" s="31">
        <f t="shared" si="146"/>
        <v>500</v>
      </c>
      <c r="U452" s="31">
        <f t="shared" si="147"/>
        <v>-3.3251138726349438E-2</v>
      </c>
      <c r="V452" s="31">
        <f t="shared" si="148"/>
        <v>0.11465909905637736</v>
      </c>
      <c r="W452" s="31">
        <f t="shared" si="149"/>
        <v>2.1067796610169491</v>
      </c>
      <c r="X452" s="32">
        <f t="shared" si="140"/>
        <v>-6.6823288695174092</v>
      </c>
      <c r="Y452" s="32">
        <f t="shared" si="141"/>
        <v>4.9632203389830511</v>
      </c>
      <c r="Z452" s="38">
        <f t="shared" si="142"/>
        <v>-787942.93980789732</v>
      </c>
      <c r="AA452" s="31">
        <f>SUM(L$2:L452)-SUM(AB$2:AB452)</f>
        <v>-49322.197000000044</v>
      </c>
      <c r="AB452" s="176"/>
      <c r="AC452" s="40">
        <f t="shared" si="150"/>
        <v>-6367.4855980551874</v>
      </c>
      <c r="AD452" s="40">
        <f t="shared" si="151"/>
        <v>-32567.485598055187</v>
      </c>
    </row>
    <row r="453" spans="1:30" x14ac:dyDescent="0.25">
      <c r="A453" s="136">
        <v>43328</v>
      </c>
      <c r="B453" s="268" t="s">
        <v>627</v>
      </c>
      <c r="C453" s="46" t="s">
        <v>63</v>
      </c>
      <c r="D453" s="46">
        <v>500</v>
      </c>
      <c r="E453" s="46">
        <v>6.94</v>
      </c>
      <c r="F453" s="102">
        <f t="shared" si="132"/>
        <v>26700</v>
      </c>
      <c r="G453" s="32">
        <f t="shared" si="131"/>
        <v>8.7546682958801565</v>
      </c>
      <c r="H453" s="31">
        <f t="shared" si="133"/>
        <v>233749.64350000018</v>
      </c>
      <c r="I453" s="31">
        <f t="shared" si="134"/>
        <v>-48451.64350000018</v>
      </c>
      <c r="J453" s="175">
        <f t="shared" si="135"/>
        <v>-0.20728007441859533</v>
      </c>
      <c r="K453" s="31">
        <f t="shared" si="136"/>
        <v>185298</v>
      </c>
      <c r="L453" s="31">
        <f t="shared" si="137"/>
        <v>-3411</v>
      </c>
      <c r="M453" s="31">
        <f t="shared" si="143"/>
        <v>5</v>
      </c>
      <c r="N453" s="31">
        <f t="shared" si="144"/>
        <v>0</v>
      </c>
      <c r="O453" s="125"/>
      <c r="P453" s="32">
        <f t="shared" si="138"/>
        <v>-1.8146682958801561</v>
      </c>
      <c r="Q453" s="31">
        <f t="shared" si="139"/>
        <v>-3475</v>
      </c>
      <c r="R453" s="34"/>
      <c r="S453" s="31">
        <f t="shared" si="145"/>
        <v>-0.12999999999999989</v>
      </c>
      <c r="T453" s="31">
        <f t="shared" si="146"/>
        <v>500</v>
      </c>
      <c r="U453" s="31">
        <f t="shared" si="147"/>
        <v>-3.4440234654201873E-2</v>
      </c>
      <c r="V453" s="31">
        <f t="shared" si="148"/>
        <v>0.26492488195539926</v>
      </c>
      <c r="W453" s="31">
        <f t="shared" si="149"/>
        <v>0.98158273381294969</v>
      </c>
      <c r="X453" s="32">
        <f t="shared" si="140"/>
        <v>-7.773085562067207</v>
      </c>
      <c r="Y453" s="32">
        <f t="shared" si="141"/>
        <v>5.9584172661870509</v>
      </c>
      <c r="Z453" s="38">
        <f t="shared" si="142"/>
        <v>-775256.04189640656</v>
      </c>
      <c r="AA453" s="31">
        <f>SUM(L$2:L453)-SUM(AB$2:AB453)</f>
        <v>-52733.197000000044</v>
      </c>
      <c r="AB453" s="176"/>
      <c r="AC453" s="40">
        <f t="shared" si="150"/>
        <v>-6978.0140746758188</v>
      </c>
      <c r="AD453" s="40">
        <f t="shared" si="151"/>
        <v>-33678.014074675819</v>
      </c>
    </row>
    <row r="454" spans="1:30" x14ac:dyDescent="0.25">
      <c r="A454" s="136">
        <v>43336</v>
      </c>
      <c r="B454" s="268" t="s">
        <v>627</v>
      </c>
      <c r="C454" s="46" t="s">
        <v>63</v>
      </c>
      <c r="D454" s="46">
        <v>500</v>
      </c>
      <c r="E454" s="46">
        <v>6.88</v>
      </c>
      <c r="F454" s="102">
        <f t="shared" si="132"/>
        <v>27200</v>
      </c>
      <c r="G454" s="32">
        <f t="shared" si="131"/>
        <v>8.7203913051470661</v>
      </c>
      <c r="H454" s="31">
        <f t="shared" si="133"/>
        <v>237194.64350000018</v>
      </c>
      <c r="I454" s="31">
        <f t="shared" si="134"/>
        <v>-50058.64350000018</v>
      </c>
      <c r="J454" s="175">
        <f t="shared" si="135"/>
        <v>-0.21104457824740111</v>
      </c>
      <c r="K454" s="31">
        <f t="shared" si="136"/>
        <v>187136</v>
      </c>
      <c r="L454" s="31">
        <f t="shared" si="137"/>
        <v>-1607</v>
      </c>
      <c r="M454" s="31">
        <f t="shared" si="143"/>
        <v>5</v>
      </c>
      <c r="N454" s="31">
        <f t="shared" si="144"/>
        <v>0</v>
      </c>
      <c r="O454" s="125"/>
      <c r="P454" s="32">
        <f t="shared" si="138"/>
        <v>-1.8403913051470662</v>
      </c>
      <c r="Q454" s="31">
        <f t="shared" si="139"/>
        <v>-3445</v>
      </c>
      <c r="R454" s="34"/>
      <c r="S454" s="31">
        <f t="shared" si="145"/>
        <v>-6.0000000000000497E-2</v>
      </c>
      <c r="T454" s="31">
        <f t="shared" si="146"/>
        <v>500</v>
      </c>
      <c r="U454" s="31">
        <f t="shared" si="147"/>
        <v>-3.4276990733090429E-2</v>
      </c>
      <c r="V454" s="31">
        <f t="shared" si="148"/>
        <v>0.57128317888483571</v>
      </c>
      <c r="W454" s="31">
        <f t="shared" si="149"/>
        <v>0.4664731494920174</v>
      </c>
      <c r="X454" s="32">
        <f t="shared" si="140"/>
        <v>-8.2539181556550485</v>
      </c>
      <c r="Y454" s="32">
        <f t="shared" si="141"/>
        <v>6.4135268505079823</v>
      </c>
      <c r="Z454" s="38">
        <f t="shared" si="142"/>
        <v>-793535.23802022613</v>
      </c>
      <c r="AA454" s="31">
        <f>SUM(L$2:L454)-SUM(AB$2:AB454)</f>
        <v>-54340.197000000044</v>
      </c>
      <c r="AB454" s="176"/>
      <c r="AC454" s="40">
        <f t="shared" si="150"/>
        <v>-7272.3276421875262</v>
      </c>
      <c r="AD454" s="40">
        <f t="shared" si="151"/>
        <v>-34472.327642187527</v>
      </c>
    </row>
    <row r="455" spans="1:30" x14ac:dyDescent="0.25">
      <c r="A455" s="136">
        <v>43339</v>
      </c>
      <c r="B455" s="159" t="s">
        <v>376</v>
      </c>
      <c r="C455" s="46" t="s">
        <v>69</v>
      </c>
      <c r="D455" s="46">
        <v>500</v>
      </c>
      <c r="E455" s="46">
        <v>7.02</v>
      </c>
      <c r="F455" s="102">
        <f t="shared" si="132"/>
        <v>26700</v>
      </c>
      <c r="G455" s="32">
        <f t="shared" si="131"/>
        <v>8.7525525655430787</v>
      </c>
      <c r="H455" s="31">
        <f t="shared" si="133"/>
        <v>233693.15350000019</v>
      </c>
      <c r="I455" s="31">
        <f t="shared" si="134"/>
        <v>-46259.15350000019</v>
      </c>
      <c r="J455" s="175">
        <f t="shared" si="135"/>
        <v>-0.19794826167211688</v>
      </c>
      <c r="K455" s="31">
        <f t="shared" si="136"/>
        <v>187434</v>
      </c>
      <c r="L455" s="31">
        <f t="shared" si="137"/>
        <v>3799.4899999999907</v>
      </c>
      <c r="M455" s="31">
        <f t="shared" si="143"/>
        <v>5</v>
      </c>
      <c r="N455" s="31">
        <f t="shared" si="144"/>
        <v>3.51</v>
      </c>
      <c r="O455" s="125"/>
      <c r="P455" s="32">
        <f t="shared" si="138"/>
        <v>-1.7325525655430791</v>
      </c>
      <c r="Q455" s="31">
        <f t="shared" si="139"/>
        <v>3501.4899999999907</v>
      </c>
      <c r="R455" s="34"/>
      <c r="S455" s="31">
        <f t="shared" si="145"/>
        <v>0.13999999999999968</v>
      </c>
      <c r="T455" s="31">
        <f t="shared" si="146"/>
        <v>-500</v>
      </c>
      <c r="U455" s="31">
        <f t="shared" si="147"/>
        <v>3.2161260396012636E-2</v>
      </c>
      <c r="V455" s="31">
        <f t="shared" si="148"/>
        <v>0.22972328854294793</v>
      </c>
      <c r="W455" s="31">
        <f t="shared" si="149"/>
        <v>1.0851066260363447</v>
      </c>
      <c r="X455" s="32">
        <f t="shared" si="140"/>
        <v>-7.6674459395067345</v>
      </c>
      <c r="Y455" s="32">
        <f t="shared" si="141"/>
        <v>5.9348933739636553</v>
      </c>
      <c r="Z455" s="38">
        <f t="shared" si="142"/>
        <v>830191.34422077169</v>
      </c>
      <c r="AA455" s="31">
        <f>SUM(L$2:L455)-SUM(AB$2:AB455)</f>
        <v>-50540.707000000053</v>
      </c>
      <c r="AB455" s="176"/>
      <c r="AC455" s="40">
        <f t="shared" si="150"/>
        <v>-6586.3281941951846</v>
      </c>
      <c r="AD455" s="40">
        <f t="shared" si="151"/>
        <v>-33286.328194195186</v>
      </c>
    </row>
    <row r="456" spans="1:30" x14ac:dyDescent="0.25">
      <c r="A456" s="136">
        <v>43339</v>
      </c>
      <c r="B456" s="159" t="s">
        <v>377</v>
      </c>
      <c r="C456" s="46" t="s">
        <v>69</v>
      </c>
      <c r="D456" s="46">
        <v>400</v>
      </c>
      <c r="E456" s="46">
        <v>7.07</v>
      </c>
      <c r="F456" s="102">
        <f t="shared" si="132"/>
        <v>26300</v>
      </c>
      <c r="G456" s="32">
        <f t="shared" si="131"/>
        <v>8.7784403612167381</v>
      </c>
      <c r="H456" s="31">
        <f t="shared" si="133"/>
        <v>230872.9815000002</v>
      </c>
      <c r="I456" s="31">
        <f t="shared" si="134"/>
        <v>-44931.981500000198</v>
      </c>
      <c r="J456" s="175">
        <f t="shared" si="135"/>
        <v>-0.19461775565106634</v>
      </c>
      <c r="K456" s="31">
        <f t="shared" si="136"/>
        <v>185941</v>
      </c>
      <c r="L456" s="31">
        <f t="shared" si="137"/>
        <v>1327.1719999999914</v>
      </c>
      <c r="M456" s="31">
        <f t="shared" si="143"/>
        <v>5</v>
      </c>
      <c r="N456" s="31">
        <f t="shared" si="144"/>
        <v>2.8279999999999998</v>
      </c>
      <c r="O456" s="125"/>
      <c r="P456" s="32">
        <f t="shared" si="138"/>
        <v>-1.7084403612167378</v>
      </c>
      <c r="Q456" s="31">
        <f t="shared" si="139"/>
        <v>2820.1719999999914</v>
      </c>
      <c r="R456" s="34"/>
      <c r="S456" s="31">
        <f t="shared" si="145"/>
        <v>5.0000000000000711E-2</v>
      </c>
      <c r="T456" s="31">
        <f t="shared" si="146"/>
        <v>-400</v>
      </c>
      <c r="U456" s="31">
        <f t="shared" si="147"/>
        <v>2.5887795673659397E-2</v>
      </c>
      <c r="V456" s="31">
        <f t="shared" si="148"/>
        <v>0.51775591347318062</v>
      </c>
      <c r="W456" s="31">
        <f t="shared" si="149"/>
        <v>0.4705996655523122</v>
      </c>
      <c r="X456" s="32">
        <f t="shared" si="140"/>
        <v>-8.3078406956644262</v>
      </c>
      <c r="Y456" s="32">
        <f t="shared" si="141"/>
        <v>6.5994003344476884</v>
      </c>
      <c r="Z456" s="38">
        <f t="shared" si="142"/>
        <v>1015922.7278960649</v>
      </c>
      <c r="AA456" s="31">
        <f>SUM(L$2:L730)-SUM(AB$2:AB730)</f>
        <v>6041.6979999997129</v>
      </c>
      <c r="AB456" s="176"/>
      <c r="AC456" s="40">
        <f t="shared" si="150"/>
        <v>-6352.1238344059684</v>
      </c>
      <c r="AD456" s="40">
        <f t="shared" si="151"/>
        <v>-32652.123834405968</v>
      </c>
    </row>
    <row r="457" spans="1:30" x14ac:dyDescent="0.25">
      <c r="A457" s="136">
        <v>43342</v>
      </c>
      <c r="B457" s="159"/>
      <c r="C457" s="46" t="s">
        <v>63</v>
      </c>
      <c r="D457" s="46">
        <v>500</v>
      </c>
      <c r="E457" s="46">
        <v>6.95</v>
      </c>
      <c r="F457" s="102">
        <f t="shared" si="132"/>
        <v>26800</v>
      </c>
      <c r="G457" s="32">
        <f t="shared" si="131"/>
        <v>8.7445142350746341</v>
      </c>
      <c r="H457" s="31">
        <f t="shared" si="133"/>
        <v>234352.9815000002</v>
      </c>
      <c r="I457" s="31">
        <f t="shared" si="134"/>
        <v>-48092.981500000198</v>
      </c>
      <c r="J457" s="175">
        <f t="shared" si="135"/>
        <v>-0.20521600020693634</v>
      </c>
      <c r="K457" s="31">
        <f t="shared" si="136"/>
        <v>186260</v>
      </c>
      <c r="L457" s="31">
        <f t="shared" si="137"/>
        <v>-3161</v>
      </c>
      <c r="M457" s="31">
        <f t="shared" si="143"/>
        <v>5</v>
      </c>
      <c r="N457" s="31">
        <f t="shared" si="144"/>
        <v>0</v>
      </c>
      <c r="O457" s="125"/>
      <c r="P457" s="32">
        <f t="shared" si="138"/>
        <v>-1.7945142350746339</v>
      </c>
      <c r="Q457" s="31">
        <f t="shared" si="139"/>
        <v>-3480</v>
      </c>
      <c r="R457" s="34"/>
      <c r="S457" s="31">
        <f t="shared" si="145"/>
        <v>-0.12000000000000011</v>
      </c>
      <c r="T457" s="31">
        <f t="shared" si="146"/>
        <v>500</v>
      </c>
      <c r="U457" s="31">
        <f t="shared" si="147"/>
        <v>-3.3926126142103996E-2</v>
      </c>
      <c r="V457" s="31">
        <f t="shared" si="148"/>
        <v>0.28271771785086636</v>
      </c>
      <c r="W457" s="31">
        <f t="shared" si="149"/>
        <v>0.90833333333333333</v>
      </c>
      <c r="X457" s="32">
        <f t="shared" si="140"/>
        <v>-7.8361809017413009</v>
      </c>
      <c r="Y457" s="32">
        <f t="shared" si="141"/>
        <v>6.041666666666667</v>
      </c>
      <c r="Z457" s="38">
        <f t="shared" si="142"/>
        <v>-789951.66992378409</v>
      </c>
      <c r="AA457" s="31">
        <f>SUM(L$2:L457)-SUM(AB$2:AB457)</f>
        <v>-52374.535000000062</v>
      </c>
      <c r="AB457" s="176"/>
      <c r="AC457" s="40">
        <f t="shared" si="150"/>
        <v>-6916.3935265108203</v>
      </c>
      <c r="AD457" s="40">
        <f t="shared" si="151"/>
        <v>-33716.393526510823</v>
      </c>
    </row>
    <row r="458" spans="1:30" x14ac:dyDescent="0.25">
      <c r="A458" s="136">
        <v>43343</v>
      </c>
      <c r="B458" s="268" t="s">
        <v>627</v>
      </c>
      <c r="C458" s="46" t="s">
        <v>63</v>
      </c>
      <c r="D458" s="46">
        <v>400</v>
      </c>
      <c r="E458" s="46">
        <v>6.87</v>
      </c>
      <c r="F458" s="102">
        <f t="shared" si="132"/>
        <v>27200</v>
      </c>
      <c r="G458" s="32">
        <f t="shared" si="131"/>
        <v>8.7171316727941246</v>
      </c>
      <c r="H458" s="31">
        <f t="shared" si="133"/>
        <v>237105.9815000002</v>
      </c>
      <c r="I458" s="31">
        <f t="shared" si="134"/>
        <v>-50241.981500000198</v>
      </c>
      <c r="J458" s="175">
        <f t="shared" si="135"/>
        <v>-0.21189672728690798</v>
      </c>
      <c r="K458" s="31">
        <f t="shared" si="136"/>
        <v>186864</v>
      </c>
      <c r="L458" s="31">
        <f t="shared" si="137"/>
        <v>-2149</v>
      </c>
      <c r="M458" s="31">
        <f t="shared" si="143"/>
        <v>5</v>
      </c>
      <c r="N458" s="31">
        <f t="shared" si="144"/>
        <v>0</v>
      </c>
      <c r="O458" s="125"/>
      <c r="P458" s="32">
        <f t="shared" si="138"/>
        <v>-1.8471316727941245</v>
      </c>
      <c r="Q458" s="31">
        <f t="shared" si="139"/>
        <v>-2753</v>
      </c>
      <c r="R458" s="34"/>
      <c r="S458" s="31">
        <f t="shared" si="145"/>
        <v>-8.0000000000000071E-2</v>
      </c>
      <c r="T458" s="31">
        <f t="shared" si="146"/>
        <v>400</v>
      </c>
      <c r="U458" s="31">
        <f t="shared" si="147"/>
        <v>-2.7382562280509504E-2</v>
      </c>
      <c r="V458" s="31">
        <f t="shared" si="148"/>
        <v>0.34228202850636852</v>
      </c>
      <c r="W458" s="31">
        <f t="shared" si="149"/>
        <v>0.78060297856883398</v>
      </c>
      <c r="X458" s="32">
        <f t="shared" si="140"/>
        <v>-7.9365286942252906</v>
      </c>
      <c r="Y458" s="32">
        <f t="shared" si="141"/>
        <v>6.0893970214311661</v>
      </c>
      <c r="Z458" s="38">
        <f t="shared" si="142"/>
        <v>-993332.90001719643</v>
      </c>
      <c r="AA458" s="31">
        <f>SUM(L$2:L458)-SUM(AB$2:AB458)</f>
        <v>-54523.535000000062</v>
      </c>
      <c r="AB458" s="176"/>
      <c r="AC458" s="40">
        <f t="shared" si="150"/>
        <v>-7309.5866825691701</v>
      </c>
      <c r="AD458" s="40">
        <f t="shared" si="151"/>
        <v>-34509.58668256917</v>
      </c>
    </row>
    <row r="459" spans="1:30" x14ac:dyDescent="0.25">
      <c r="A459" s="136">
        <v>43343</v>
      </c>
      <c r="B459" s="159" t="s">
        <v>378</v>
      </c>
      <c r="C459" s="46" t="s">
        <v>69</v>
      </c>
      <c r="D459" s="46">
        <v>400</v>
      </c>
      <c r="E459" s="46">
        <v>7</v>
      </c>
      <c r="F459" s="102">
        <f t="shared" si="132"/>
        <v>26800</v>
      </c>
      <c r="G459" s="32">
        <f t="shared" ref="G459:G522" si="152">H459/F459</f>
        <v>8.74305154850747</v>
      </c>
      <c r="H459" s="31">
        <f t="shared" si="133"/>
        <v>234313.78150000019</v>
      </c>
      <c r="I459" s="31">
        <f t="shared" si="134"/>
        <v>-46713.781500000186</v>
      </c>
      <c r="J459" s="175">
        <f t="shared" si="135"/>
        <v>-0.19936420811850608</v>
      </c>
      <c r="K459" s="31">
        <f t="shared" si="136"/>
        <v>187600</v>
      </c>
      <c r="L459" s="31">
        <f t="shared" si="137"/>
        <v>3528.2000000000116</v>
      </c>
      <c r="M459" s="31">
        <f t="shared" si="143"/>
        <v>5</v>
      </c>
      <c r="N459" s="31">
        <f t="shared" si="144"/>
        <v>2.8</v>
      </c>
      <c r="O459" s="125"/>
      <c r="P459" s="32">
        <f t="shared" si="138"/>
        <v>-1.74305154850747</v>
      </c>
      <c r="Q459" s="31">
        <f t="shared" si="139"/>
        <v>2792.2000000000116</v>
      </c>
      <c r="R459" s="34"/>
      <c r="S459" s="31">
        <f t="shared" si="145"/>
        <v>0.12999999999999989</v>
      </c>
      <c r="T459" s="31">
        <f t="shared" si="146"/>
        <v>-400</v>
      </c>
      <c r="U459" s="31">
        <f t="shared" si="147"/>
        <v>2.5919875713345419E-2</v>
      </c>
      <c r="V459" s="31">
        <f t="shared" si="148"/>
        <v>0.19938365933342647</v>
      </c>
      <c r="W459" s="31">
        <f t="shared" si="149"/>
        <v>1.2635914332784173</v>
      </c>
      <c r="X459" s="32">
        <f t="shared" si="140"/>
        <v>-7.4794601152290525</v>
      </c>
      <c r="Y459" s="32">
        <f t="shared" si="141"/>
        <v>5.7364085667215825</v>
      </c>
      <c r="Z459" s="38">
        <f t="shared" si="142"/>
        <v>1033955.5751110886</v>
      </c>
      <c r="AA459" s="31">
        <f>SUM(L$2:L459)-SUM(AB$2:AB459)</f>
        <v>-50995.33500000005</v>
      </c>
      <c r="AB459" s="176"/>
      <c r="AC459" s="40">
        <f t="shared" si="150"/>
        <v>-6670.0606584643128</v>
      </c>
      <c r="AD459" s="40">
        <f t="shared" si="151"/>
        <v>-33470.06065846431</v>
      </c>
    </row>
    <row r="460" spans="1:30" x14ac:dyDescent="0.25">
      <c r="A460" s="136">
        <v>43346</v>
      </c>
      <c r="B460" s="159"/>
      <c r="C460" s="46" t="s">
        <v>63</v>
      </c>
      <c r="D460" s="46">
        <v>400</v>
      </c>
      <c r="E460" s="46">
        <v>6.88</v>
      </c>
      <c r="F460" s="102">
        <f t="shared" ref="F460:F523" si="153">IF(C460="买",F459+D460,F459-D460)</f>
        <v>27200</v>
      </c>
      <c r="G460" s="32">
        <f t="shared" si="152"/>
        <v>8.7158375551470648</v>
      </c>
      <c r="H460" s="31">
        <f t="shared" ref="H460:H523" si="154">IF(C460="买",H459+D460*E460+M460+N460,H459+-1*D460*E460+M460+N460)+O459</f>
        <v>237070.78150000019</v>
      </c>
      <c r="I460" s="31">
        <f t="shared" ref="I460:I523" si="155">-H460+K460</f>
        <v>-49934.781500000186</v>
      </c>
      <c r="J460" s="175">
        <f t="shared" ref="J460:J523" si="156">(E460-G460)/G460</f>
        <v>-0.21063237394356052</v>
      </c>
      <c r="K460" s="31">
        <f t="shared" ref="K460:K523" si="157">F460*E460</f>
        <v>187136</v>
      </c>
      <c r="L460" s="31">
        <f t="shared" ref="L460:L523" si="158">I460-I459</f>
        <v>-3221</v>
      </c>
      <c r="M460" s="31">
        <f t="shared" si="143"/>
        <v>5</v>
      </c>
      <c r="N460" s="31">
        <f t="shared" si="144"/>
        <v>0</v>
      </c>
      <c r="O460" s="125"/>
      <c r="P460" s="32">
        <f t="shared" ref="P460:P523" si="159">E460-G460</f>
        <v>-1.8358375551470649</v>
      </c>
      <c r="Q460" s="31">
        <f t="shared" ref="Q460:Q523" si="160">(H460-H459)*-1</f>
        <v>-2757</v>
      </c>
      <c r="R460" s="34"/>
      <c r="S460" s="31">
        <f t="shared" si="145"/>
        <v>-0.12000000000000011</v>
      </c>
      <c r="T460" s="31">
        <f t="shared" si="146"/>
        <v>400</v>
      </c>
      <c r="U460" s="31">
        <f t="shared" si="147"/>
        <v>-2.7213993360405198E-2</v>
      </c>
      <c r="V460" s="31">
        <f t="shared" si="148"/>
        <v>0.22678327800337644</v>
      </c>
      <c r="W460" s="31">
        <f t="shared" si="149"/>
        <v>1.1682988755894088</v>
      </c>
      <c r="X460" s="32">
        <f t="shared" ref="X460:X523" si="161">W460-G460</f>
        <v>-7.5475386795576558</v>
      </c>
      <c r="Y460" s="32">
        <f t="shared" ref="Y460:Y523" si="162">(X460-P460)*-1</f>
        <v>5.7117011244105909</v>
      </c>
      <c r="Z460" s="38">
        <f t="shared" ref="Z460:Z523" si="163">F460/U460</f>
        <v>-999485.80275522673</v>
      </c>
      <c r="AA460" s="31">
        <f>SUM(L$2:L460)-SUM(AB$2:AB460)</f>
        <v>-54216.33500000005</v>
      </c>
      <c r="AB460" s="176"/>
      <c r="AC460" s="40">
        <f t="shared" si="150"/>
        <v>-7254.3334461119466</v>
      </c>
      <c r="AD460" s="40">
        <f t="shared" si="151"/>
        <v>-34454.333446111945</v>
      </c>
    </row>
    <row r="461" spans="1:30" x14ac:dyDescent="0.25">
      <c r="A461" s="136">
        <v>43349</v>
      </c>
      <c r="B461" s="159"/>
      <c r="C461" s="46" t="s">
        <v>63</v>
      </c>
      <c r="D461" s="46">
        <v>500</v>
      </c>
      <c r="E461" s="46">
        <v>6.82</v>
      </c>
      <c r="F461" s="102">
        <f t="shared" si="153"/>
        <v>27700</v>
      </c>
      <c r="G461" s="32">
        <f t="shared" si="152"/>
        <v>8.6817971660649889</v>
      </c>
      <c r="H461" s="31">
        <f t="shared" si="154"/>
        <v>240485.78150000019</v>
      </c>
      <c r="I461" s="31">
        <f t="shared" si="155"/>
        <v>-51571.781500000186</v>
      </c>
      <c r="J461" s="175">
        <f t="shared" si="156"/>
        <v>-0.21444836022457378</v>
      </c>
      <c r="K461" s="31">
        <f t="shared" si="157"/>
        <v>188914</v>
      </c>
      <c r="L461" s="31">
        <f t="shared" si="158"/>
        <v>-1637</v>
      </c>
      <c r="M461" s="31">
        <f t="shared" si="143"/>
        <v>5</v>
      </c>
      <c r="N461" s="31">
        <f t="shared" si="144"/>
        <v>0</v>
      </c>
      <c r="O461" s="125"/>
      <c r="P461" s="32">
        <f t="shared" si="159"/>
        <v>-1.8617971660649886</v>
      </c>
      <c r="Q461" s="31">
        <f t="shared" si="160"/>
        <v>-3415</v>
      </c>
      <c r="R461" s="34"/>
      <c r="S461" s="31">
        <f t="shared" si="145"/>
        <v>-5.9999999999999609E-2</v>
      </c>
      <c r="T461" s="31">
        <f t="shared" si="146"/>
        <v>500</v>
      </c>
      <c r="U461" s="31">
        <f t="shared" si="147"/>
        <v>-3.4040389082075961E-2</v>
      </c>
      <c r="V461" s="31">
        <f t="shared" si="148"/>
        <v>0.56733981803460309</v>
      </c>
      <c r="W461" s="31">
        <f t="shared" si="149"/>
        <v>0.47935578330893119</v>
      </c>
      <c r="X461" s="32">
        <f t="shared" si="161"/>
        <v>-8.2024413827560583</v>
      </c>
      <c r="Y461" s="32">
        <f t="shared" si="162"/>
        <v>6.3406442166910697</v>
      </c>
      <c r="Z461" s="38">
        <f t="shared" si="163"/>
        <v>-813739.22998387506</v>
      </c>
      <c r="AA461" s="31">
        <f>SUM(L$2:L461)-SUM(AB$2:AB461)</f>
        <v>-55853.33500000005</v>
      </c>
      <c r="AB461" s="176"/>
      <c r="AC461" s="40">
        <f t="shared" si="150"/>
        <v>-7558.0638723240745</v>
      </c>
      <c r="AD461" s="40">
        <f t="shared" si="151"/>
        <v>-35258.063872324077</v>
      </c>
    </row>
    <row r="462" spans="1:30" x14ac:dyDescent="0.25">
      <c r="A462" s="136">
        <v>43362</v>
      </c>
      <c r="B462" s="159" t="s">
        <v>379</v>
      </c>
      <c r="C462" s="46" t="s">
        <v>69</v>
      </c>
      <c r="D462" s="46">
        <v>500</v>
      </c>
      <c r="E462" s="46">
        <v>7</v>
      </c>
      <c r="F462" s="102">
        <f t="shared" si="153"/>
        <v>27200</v>
      </c>
      <c r="G462" s="32">
        <f t="shared" si="152"/>
        <v>8.7130250551470656</v>
      </c>
      <c r="H462" s="31">
        <f t="shared" si="154"/>
        <v>236994.28150000019</v>
      </c>
      <c r="I462" s="31">
        <f t="shared" si="155"/>
        <v>-46594.281500000186</v>
      </c>
      <c r="J462" s="175">
        <f t="shared" si="156"/>
        <v>-0.19660508770546073</v>
      </c>
      <c r="K462" s="31">
        <f t="shared" si="157"/>
        <v>190400</v>
      </c>
      <c r="L462" s="31">
        <f t="shared" si="158"/>
        <v>4977.5</v>
      </c>
      <c r="M462" s="31">
        <f t="shared" si="143"/>
        <v>5</v>
      </c>
      <c r="N462" s="31">
        <f t="shared" si="144"/>
        <v>3.5</v>
      </c>
      <c r="O462" s="125"/>
      <c r="P462" s="32">
        <f t="shared" si="159"/>
        <v>-1.7130250551470656</v>
      </c>
      <c r="Q462" s="31">
        <f t="shared" si="160"/>
        <v>3491.5</v>
      </c>
      <c r="R462" s="34"/>
      <c r="S462" s="31">
        <f t="shared" si="145"/>
        <v>0.17999999999999972</v>
      </c>
      <c r="T462" s="31">
        <f t="shared" si="146"/>
        <v>-500</v>
      </c>
      <c r="U462" s="31">
        <f t="shared" si="147"/>
        <v>3.1227889082076743E-2</v>
      </c>
      <c r="V462" s="31">
        <f t="shared" si="148"/>
        <v>0.17348827267820441</v>
      </c>
      <c r="W462" s="31">
        <f t="shared" si="149"/>
        <v>1.425605040813404</v>
      </c>
      <c r="X462" s="32">
        <f t="shared" si="161"/>
        <v>-7.2874200143336614</v>
      </c>
      <c r="Y462" s="32">
        <f t="shared" si="162"/>
        <v>5.5743949591865958</v>
      </c>
      <c r="Z462" s="38">
        <f t="shared" si="163"/>
        <v>871016.28702823364</v>
      </c>
      <c r="AA462" s="31">
        <f>SUM(L$2:L462)-SUM(AB$2:AB462)</f>
        <v>-50875.83500000005</v>
      </c>
      <c r="AB462" s="176"/>
      <c r="AC462" s="40">
        <f t="shared" si="150"/>
        <v>-6652.9977656071696</v>
      </c>
      <c r="AD462" s="40">
        <f t="shared" si="151"/>
        <v>-33852.997765607171</v>
      </c>
    </row>
    <row r="463" spans="1:30" x14ac:dyDescent="0.25">
      <c r="A463" s="136">
        <v>43362</v>
      </c>
      <c r="B463" s="159" t="s">
        <v>380</v>
      </c>
      <c r="C463" s="46" t="s">
        <v>69</v>
      </c>
      <c r="D463" s="46">
        <v>400</v>
      </c>
      <c r="E463" s="46">
        <v>7.08</v>
      </c>
      <c r="F463" s="102">
        <f t="shared" si="153"/>
        <v>26800</v>
      </c>
      <c r="G463" s="32">
        <f t="shared" si="152"/>
        <v>8.7376908022388129</v>
      </c>
      <c r="H463" s="31">
        <f t="shared" si="154"/>
        <v>234170.11350000018</v>
      </c>
      <c r="I463" s="31">
        <f t="shared" si="155"/>
        <v>-44426.113500000181</v>
      </c>
      <c r="J463" s="175">
        <f t="shared" si="156"/>
        <v>-0.18971726509412204</v>
      </c>
      <c r="K463" s="31">
        <f t="shared" si="157"/>
        <v>189744</v>
      </c>
      <c r="L463" s="31">
        <f t="shared" si="158"/>
        <v>2168.1680000000051</v>
      </c>
      <c r="M463" s="31">
        <f t="shared" si="143"/>
        <v>5</v>
      </c>
      <c r="N463" s="31">
        <f t="shared" si="144"/>
        <v>2.8319999999999999</v>
      </c>
      <c r="O463" s="125"/>
      <c r="P463" s="32">
        <f t="shared" si="159"/>
        <v>-1.6576908022388128</v>
      </c>
      <c r="Q463" s="31">
        <f t="shared" si="160"/>
        <v>2824.1680000000051</v>
      </c>
      <c r="R463" s="34"/>
      <c r="S463" s="31">
        <f t="shared" si="145"/>
        <v>8.0000000000000071E-2</v>
      </c>
      <c r="T463" s="31">
        <f t="shared" si="146"/>
        <v>-400</v>
      </c>
      <c r="U463" s="31">
        <f t="shared" si="147"/>
        <v>2.4665747091747292E-2</v>
      </c>
      <c r="V463" s="31">
        <f t="shared" si="148"/>
        <v>0.30832183864684087</v>
      </c>
      <c r="W463" s="31">
        <f t="shared" si="149"/>
        <v>0.76771920084074363</v>
      </c>
      <c r="X463" s="32">
        <f t="shared" si="161"/>
        <v>-7.9699716013980693</v>
      </c>
      <c r="Y463" s="32">
        <f t="shared" si="162"/>
        <v>6.3122807991592564</v>
      </c>
      <c r="Z463" s="38">
        <f t="shared" si="163"/>
        <v>1086526.9922826213</v>
      </c>
      <c r="AA463" s="31">
        <f>SUM(L$2:L463)-SUM(AB$2:AB463)</f>
        <v>-48707.667000000045</v>
      </c>
      <c r="AB463" s="176"/>
      <c r="AC463" s="40">
        <f t="shared" si="150"/>
        <v>-6271.7373507415514</v>
      </c>
      <c r="AD463" s="40">
        <f t="shared" si="151"/>
        <v>-33071.737350741554</v>
      </c>
    </row>
    <row r="464" spans="1:30" x14ac:dyDescent="0.25">
      <c r="A464" s="136">
        <v>43363</v>
      </c>
      <c r="B464" s="159" t="s">
        <v>381</v>
      </c>
      <c r="C464" s="46" t="s">
        <v>69</v>
      </c>
      <c r="D464" s="46">
        <v>400</v>
      </c>
      <c r="E464" s="46">
        <v>7.14</v>
      </c>
      <c r="F464" s="102">
        <f t="shared" si="153"/>
        <v>26400</v>
      </c>
      <c r="G464" s="32">
        <f t="shared" si="152"/>
        <v>8.7621958143939462</v>
      </c>
      <c r="H464" s="31">
        <f t="shared" si="154"/>
        <v>231321.96950000018</v>
      </c>
      <c r="I464" s="31">
        <f t="shared" si="155"/>
        <v>-42825.969500000181</v>
      </c>
      <c r="J464" s="175">
        <f t="shared" si="156"/>
        <v>-0.18513576376929541</v>
      </c>
      <c r="K464" s="31">
        <f t="shared" si="157"/>
        <v>188496</v>
      </c>
      <c r="L464" s="31">
        <f t="shared" si="158"/>
        <v>1600.1440000000002</v>
      </c>
      <c r="M464" s="31">
        <f t="shared" si="143"/>
        <v>5</v>
      </c>
      <c r="N464" s="31">
        <f t="shared" si="144"/>
        <v>2.8559999999999999</v>
      </c>
      <c r="O464" s="125"/>
      <c r="P464" s="32">
        <f t="shared" si="159"/>
        <v>-1.6221958143939466</v>
      </c>
      <c r="Q464" s="31">
        <f t="shared" si="160"/>
        <v>2848.1440000000002</v>
      </c>
      <c r="R464" s="34"/>
      <c r="S464" s="31">
        <f t="shared" si="145"/>
        <v>5.9999999999999609E-2</v>
      </c>
      <c r="T464" s="31">
        <f t="shared" si="146"/>
        <v>-400</v>
      </c>
      <c r="U464" s="31">
        <f t="shared" si="147"/>
        <v>2.4505012155133343E-2</v>
      </c>
      <c r="V464" s="31">
        <f t="shared" si="148"/>
        <v>0.40841686925222503</v>
      </c>
      <c r="W464" s="31">
        <f t="shared" si="149"/>
        <v>0.56181990798218073</v>
      </c>
      <c r="X464" s="32">
        <f t="shared" si="161"/>
        <v>-8.2003759064117663</v>
      </c>
      <c r="Y464" s="32">
        <f t="shared" si="162"/>
        <v>6.5781800920178197</v>
      </c>
      <c r="Z464" s="38">
        <f t="shared" si="163"/>
        <v>1077330.6225220417</v>
      </c>
      <c r="AA464" s="31">
        <f>SUM(L$2:L464)-SUM(AB$2:AB464)</f>
        <v>-47107.523000000045</v>
      </c>
      <c r="AB464" s="176"/>
      <c r="AC464" s="40">
        <f t="shared" si="150"/>
        <v>-5995.0359265056277</v>
      </c>
      <c r="AD464" s="40">
        <f t="shared" si="151"/>
        <v>-32395.035926505629</v>
      </c>
    </row>
    <row r="465" spans="1:30" x14ac:dyDescent="0.25">
      <c r="A465" s="136">
        <v>43381</v>
      </c>
      <c r="B465" s="268" t="s">
        <v>627</v>
      </c>
      <c r="C465" s="46" t="s">
        <v>63</v>
      </c>
      <c r="D465" s="46">
        <v>500</v>
      </c>
      <c r="E465" s="46">
        <v>6.9</v>
      </c>
      <c r="F465" s="102">
        <f t="shared" si="153"/>
        <v>26900</v>
      </c>
      <c r="G465" s="32">
        <f t="shared" si="152"/>
        <v>8.7277683828996349</v>
      </c>
      <c r="H465" s="31">
        <f t="shared" si="154"/>
        <v>234776.96950000018</v>
      </c>
      <c r="I465" s="31">
        <f t="shared" si="155"/>
        <v>-49166.969500000181</v>
      </c>
      <c r="J465" s="175">
        <f t="shared" si="156"/>
        <v>-0.20941990010651421</v>
      </c>
      <c r="K465" s="31">
        <f t="shared" si="157"/>
        <v>185610</v>
      </c>
      <c r="L465" s="31">
        <f t="shared" si="158"/>
        <v>-6341</v>
      </c>
      <c r="M465" s="31">
        <f t="shared" si="143"/>
        <v>5</v>
      </c>
      <c r="N465" s="31">
        <f t="shared" si="144"/>
        <v>0</v>
      </c>
      <c r="O465" s="125"/>
      <c r="P465" s="32">
        <f t="shared" si="159"/>
        <v>-1.8277683828996345</v>
      </c>
      <c r="Q465" s="31">
        <f t="shared" si="160"/>
        <v>-3455</v>
      </c>
      <c r="R465" s="34"/>
      <c r="S465" s="31">
        <f t="shared" si="145"/>
        <v>-0.23999999999999932</v>
      </c>
      <c r="T465" s="31">
        <f t="shared" si="146"/>
        <v>500</v>
      </c>
      <c r="U465" s="31">
        <f t="shared" si="147"/>
        <v>-3.4427431494311378E-2</v>
      </c>
      <c r="V465" s="31">
        <f t="shared" si="148"/>
        <v>0.14344763122629781</v>
      </c>
      <c r="W465" s="31">
        <f t="shared" si="149"/>
        <v>1.8353111432706224</v>
      </c>
      <c r="X465" s="32">
        <f t="shared" si="161"/>
        <v>-6.892457239629012</v>
      </c>
      <c r="Y465" s="32">
        <f t="shared" si="162"/>
        <v>5.0646888567293775</v>
      </c>
      <c r="Z465" s="38">
        <f t="shared" si="163"/>
        <v>-781353.67154662195</v>
      </c>
      <c r="AA465" s="31">
        <f>SUM(L$2:L465)-SUM(AB$2:AB465)</f>
        <v>-53448.523000000045</v>
      </c>
      <c r="AB465" s="176"/>
      <c r="AC465" s="40">
        <f t="shared" si="150"/>
        <v>-7122.0849297464028</v>
      </c>
      <c r="AD465" s="40">
        <f t="shared" si="151"/>
        <v>-34022.084929746401</v>
      </c>
    </row>
    <row r="466" spans="1:30" x14ac:dyDescent="0.25">
      <c r="A466" s="136">
        <v>43381</v>
      </c>
      <c r="B466" s="268" t="s">
        <v>627</v>
      </c>
      <c r="C466" s="46" t="s">
        <v>63</v>
      </c>
      <c r="D466" s="46">
        <v>500</v>
      </c>
      <c r="E466" s="46">
        <v>6.75</v>
      </c>
      <c r="F466" s="102">
        <f t="shared" si="153"/>
        <v>27400</v>
      </c>
      <c r="G466" s="32">
        <f t="shared" si="152"/>
        <v>8.6918602007299341</v>
      </c>
      <c r="H466" s="31">
        <f t="shared" si="154"/>
        <v>238156.96950000018</v>
      </c>
      <c r="I466" s="31">
        <f t="shared" si="155"/>
        <v>-53206.969500000181</v>
      </c>
      <c r="J466" s="175">
        <f t="shared" si="156"/>
        <v>-0.22341134761542283</v>
      </c>
      <c r="K466" s="31">
        <f t="shared" si="157"/>
        <v>184950</v>
      </c>
      <c r="L466" s="31">
        <f t="shared" si="158"/>
        <v>-4040</v>
      </c>
      <c r="M466" s="31">
        <f t="shared" si="143"/>
        <v>5</v>
      </c>
      <c r="N466" s="31">
        <f t="shared" si="144"/>
        <v>0</v>
      </c>
      <c r="O466" s="125"/>
      <c r="P466" s="32">
        <f t="shared" si="159"/>
        <v>-1.9418602007299341</v>
      </c>
      <c r="Q466" s="31">
        <f t="shared" si="160"/>
        <v>-3380</v>
      </c>
      <c r="R466" s="34"/>
      <c r="S466" s="31">
        <f t="shared" si="145"/>
        <v>-0.15000000000000036</v>
      </c>
      <c r="T466" s="31">
        <f t="shared" si="146"/>
        <v>500</v>
      </c>
      <c r="U466" s="31">
        <f t="shared" si="147"/>
        <v>-3.5908182169700709E-2</v>
      </c>
      <c r="V466" s="31">
        <f t="shared" si="148"/>
        <v>0.23938788113133749</v>
      </c>
      <c r="W466" s="31">
        <f t="shared" si="149"/>
        <v>1.1952662721893492</v>
      </c>
      <c r="X466" s="32">
        <f t="shared" si="161"/>
        <v>-7.4965939285405847</v>
      </c>
      <c r="Y466" s="32">
        <f t="shared" si="162"/>
        <v>5.5547337278106506</v>
      </c>
      <c r="Z466" s="38">
        <f t="shared" si="163"/>
        <v>-763057.28511982691</v>
      </c>
      <c r="AA466" s="31">
        <f>SUM(L$2:L466)-SUM(AB$2:AB466)</f>
        <v>-57488.523000000045</v>
      </c>
      <c r="AB466" s="176"/>
      <c r="AC466" s="40">
        <f t="shared" si="150"/>
        <v>-7878.572743000027</v>
      </c>
      <c r="AD466" s="40">
        <f t="shared" si="151"/>
        <v>-35278.572743000026</v>
      </c>
    </row>
    <row r="467" spans="1:30" x14ac:dyDescent="0.25">
      <c r="A467" s="136">
        <v>43384</v>
      </c>
      <c r="B467" s="159"/>
      <c r="C467" s="46" t="s">
        <v>63</v>
      </c>
      <c r="D467" s="46">
        <v>200</v>
      </c>
      <c r="E467" s="46">
        <v>6.55</v>
      </c>
      <c r="F467" s="102">
        <f t="shared" si="153"/>
        <v>27600</v>
      </c>
      <c r="G467" s="32">
        <f t="shared" si="152"/>
        <v>8.6765206340579777</v>
      </c>
      <c r="H467" s="31">
        <f t="shared" si="154"/>
        <v>239471.96950000018</v>
      </c>
      <c r="I467" s="31">
        <f t="shared" si="155"/>
        <v>-58691.969500000181</v>
      </c>
      <c r="J467" s="175">
        <f t="shared" si="156"/>
        <v>-0.24508910008359097</v>
      </c>
      <c r="K467" s="31">
        <f t="shared" si="157"/>
        <v>180780</v>
      </c>
      <c r="L467" s="31">
        <f t="shared" si="158"/>
        <v>-5485</v>
      </c>
      <c r="M467" s="31">
        <f t="shared" si="143"/>
        <v>5</v>
      </c>
      <c r="N467" s="31">
        <f t="shared" si="144"/>
        <v>0</v>
      </c>
      <c r="O467" s="125"/>
      <c r="P467" s="32">
        <f t="shared" si="159"/>
        <v>-2.1265206340579779</v>
      </c>
      <c r="Q467" s="31">
        <f t="shared" si="160"/>
        <v>-1315</v>
      </c>
      <c r="R467" s="34"/>
      <c r="S467" s="31">
        <f t="shared" si="145"/>
        <v>-0.20000000000000018</v>
      </c>
      <c r="T467" s="31">
        <f t="shared" si="146"/>
        <v>200</v>
      </c>
      <c r="U467" s="31">
        <f t="shared" si="147"/>
        <v>-1.5339566671956462E-2</v>
      </c>
      <c r="V467" s="31">
        <f t="shared" si="148"/>
        <v>7.6697833359782239E-2</v>
      </c>
      <c r="W467" s="31">
        <f t="shared" si="149"/>
        <v>4.171102661596958</v>
      </c>
      <c r="X467" s="32">
        <f t="shared" si="161"/>
        <v>-4.5054179724610197</v>
      </c>
      <c r="Y467" s="32">
        <f t="shared" si="162"/>
        <v>2.3788973384030419</v>
      </c>
      <c r="Z467" s="38">
        <f t="shared" si="163"/>
        <v>-1799268.5575960798</v>
      </c>
      <c r="AA467" s="31">
        <f>SUM(L$2:L467)-SUM(AB$2:AB467)</f>
        <v>-62973.523000000045</v>
      </c>
      <c r="AB467" s="176"/>
      <c r="AC467" s="40">
        <f t="shared" si="150"/>
        <v>-8956.1257275191128</v>
      </c>
      <c r="AD467" s="40">
        <f t="shared" si="151"/>
        <v>-36556.125727519116</v>
      </c>
    </row>
    <row r="468" spans="1:30" x14ac:dyDescent="0.25">
      <c r="A468" s="136">
        <v>43398</v>
      </c>
      <c r="B468" s="268"/>
      <c r="C468" s="46" t="s">
        <v>63</v>
      </c>
      <c r="D468" s="46">
        <v>800</v>
      </c>
      <c r="E468" s="46">
        <v>6.29</v>
      </c>
      <c r="F468" s="102">
        <f t="shared" si="153"/>
        <v>28400</v>
      </c>
      <c r="G468" s="32">
        <f t="shared" si="152"/>
        <v>8.6094707570422599</v>
      </c>
      <c r="H468" s="31">
        <f t="shared" si="154"/>
        <v>244508.96950000018</v>
      </c>
      <c r="I468" s="31">
        <f t="shared" si="155"/>
        <v>-65872.969500000181</v>
      </c>
      <c r="J468" s="175">
        <f t="shared" si="156"/>
        <v>-0.26940921486317965</v>
      </c>
      <c r="K468" s="31">
        <f t="shared" si="157"/>
        <v>178636</v>
      </c>
      <c r="L468" s="31">
        <f t="shared" si="158"/>
        <v>-7181</v>
      </c>
      <c r="M468" s="31">
        <f t="shared" si="143"/>
        <v>5</v>
      </c>
      <c r="N468" s="31">
        <f t="shared" si="144"/>
        <v>0</v>
      </c>
      <c r="O468" s="125"/>
      <c r="P468" s="32">
        <f t="shared" si="159"/>
        <v>-2.3194707570422599</v>
      </c>
      <c r="Q468" s="31">
        <f t="shared" si="160"/>
        <v>-5037</v>
      </c>
      <c r="R468" s="34"/>
      <c r="S468" s="31">
        <f t="shared" si="145"/>
        <v>-0.25999999999999979</v>
      </c>
      <c r="T468" s="31">
        <f t="shared" si="146"/>
        <v>800</v>
      </c>
      <c r="U468" s="31">
        <f t="shared" si="147"/>
        <v>-6.704987701571774E-2</v>
      </c>
      <c r="V468" s="31">
        <f t="shared" si="148"/>
        <v>0.25788414236814539</v>
      </c>
      <c r="W468" s="31">
        <f t="shared" si="149"/>
        <v>1.425650188604328</v>
      </c>
      <c r="X468" s="32">
        <f t="shared" si="161"/>
        <v>-7.1838205684379322</v>
      </c>
      <c r="Y468" s="32">
        <f t="shared" si="162"/>
        <v>4.8643498113956722</v>
      </c>
      <c r="Z468" s="38">
        <f t="shared" si="163"/>
        <v>-423565.28101226065</v>
      </c>
      <c r="AA468" s="31">
        <f>SUM(L$2:L730)-SUM(AB$2:AB730)</f>
        <v>6041.6979999997129</v>
      </c>
      <c r="AB468" s="176"/>
      <c r="AC468" s="40">
        <f t="shared" si="150"/>
        <v>-10467.413833903049</v>
      </c>
      <c r="AD468" s="40">
        <f t="shared" si="151"/>
        <v>-38867.413833903047</v>
      </c>
    </row>
    <row r="469" spans="1:30" x14ac:dyDescent="0.25">
      <c r="A469" s="136">
        <v>43406</v>
      </c>
      <c r="B469" s="159" t="s">
        <v>382</v>
      </c>
      <c r="C469" s="46" t="s">
        <v>69</v>
      </c>
      <c r="D469" s="46">
        <v>400</v>
      </c>
      <c r="E469" s="46">
        <v>6.67</v>
      </c>
      <c r="F469" s="102">
        <f t="shared" si="153"/>
        <v>28000</v>
      </c>
      <c r="G469" s="32">
        <f t="shared" si="152"/>
        <v>8.6374513392857217</v>
      </c>
      <c r="H469" s="31">
        <f t="shared" si="154"/>
        <v>241848.63750000019</v>
      </c>
      <c r="I469" s="31">
        <f t="shared" si="155"/>
        <v>-55088.637500000186</v>
      </c>
      <c r="J469" s="175">
        <f t="shared" si="156"/>
        <v>-0.22778146724105552</v>
      </c>
      <c r="K469" s="31">
        <f t="shared" si="157"/>
        <v>186760</v>
      </c>
      <c r="L469" s="31">
        <f t="shared" si="158"/>
        <v>10784.331999999995</v>
      </c>
      <c r="M469" s="31">
        <f t="shared" si="143"/>
        <v>5</v>
      </c>
      <c r="N469" s="31">
        <f t="shared" si="144"/>
        <v>2.6680000000000001</v>
      </c>
      <c r="O469" s="125"/>
      <c r="P469" s="32">
        <f t="shared" si="159"/>
        <v>-1.9674513392857218</v>
      </c>
      <c r="Q469" s="31">
        <f t="shared" si="160"/>
        <v>2660.3319999999949</v>
      </c>
      <c r="R469" s="34"/>
      <c r="S469" s="31">
        <f t="shared" si="145"/>
        <v>0.37999999999999989</v>
      </c>
      <c r="T469" s="31">
        <f t="shared" si="146"/>
        <v>-400</v>
      </c>
      <c r="U469" s="31">
        <f t="shared" si="147"/>
        <v>2.7980582243461782E-2</v>
      </c>
      <c r="V469" s="31">
        <f t="shared" si="148"/>
        <v>7.3633111167004717E-2</v>
      </c>
      <c r="W469" s="31">
        <f t="shared" si="149"/>
        <v>4.0537541930856813</v>
      </c>
      <c r="X469" s="32">
        <f t="shared" si="161"/>
        <v>-4.5836971462000404</v>
      </c>
      <c r="Y469" s="32">
        <f t="shared" si="162"/>
        <v>2.6162458069143186</v>
      </c>
      <c r="Z469" s="38">
        <f t="shared" si="163"/>
        <v>1000693.9725688787</v>
      </c>
      <c r="AA469" s="31">
        <f>SUM(L$2:L469)-SUM(AB$2:AB469)</f>
        <v>-59370.19100000005</v>
      </c>
      <c r="AB469" s="176"/>
      <c r="AC469" s="40">
        <f t="shared" si="150"/>
        <v>-8255.0364589580495</v>
      </c>
      <c r="AD469" s="40">
        <f t="shared" si="151"/>
        <v>-36255.036458958049</v>
      </c>
    </row>
    <row r="470" spans="1:30" x14ac:dyDescent="0.25">
      <c r="A470" s="136">
        <v>43411</v>
      </c>
      <c r="B470" s="159" t="s">
        <v>383</v>
      </c>
      <c r="C470" s="46" t="s">
        <v>69</v>
      </c>
      <c r="D470" s="46">
        <v>400</v>
      </c>
      <c r="E470" s="46">
        <f>E469+0.21</f>
        <v>6.88</v>
      </c>
      <c r="F470" s="102">
        <f t="shared" si="153"/>
        <v>27600</v>
      </c>
      <c r="G470" s="32">
        <f t="shared" si="152"/>
        <v>8.6632025181159484</v>
      </c>
      <c r="H470" s="31">
        <f t="shared" si="154"/>
        <v>239104.38950000019</v>
      </c>
      <c r="I470" s="31">
        <f t="shared" si="155"/>
        <v>-49216.389500000194</v>
      </c>
      <c r="J470" s="175">
        <f t="shared" si="156"/>
        <v>-0.20583641146412388</v>
      </c>
      <c r="K470" s="31">
        <f t="shared" si="157"/>
        <v>189888</v>
      </c>
      <c r="L470" s="31">
        <f t="shared" si="158"/>
        <v>5872.2479999999923</v>
      </c>
      <c r="M470" s="31">
        <f t="shared" si="143"/>
        <v>5</v>
      </c>
      <c r="N470" s="31">
        <f t="shared" si="144"/>
        <v>2.7519999999999998</v>
      </c>
      <c r="O470" s="125"/>
      <c r="P470" s="32">
        <f t="shared" si="159"/>
        <v>-1.7832025181159485</v>
      </c>
      <c r="Q470" s="31">
        <f t="shared" si="160"/>
        <v>2744.2479999999923</v>
      </c>
      <c r="R470" s="34"/>
      <c r="S470" s="31">
        <f t="shared" si="145"/>
        <v>0.20999999999999996</v>
      </c>
      <c r="T470" s="31">
        <f t="shared" si="146"/>
        <v>-400</v>
      </c>
      <c r="U470" s="31">
        <f t="shared" si="147"/>
        <v>2.5751178830226706E-2</v>
      </c>
      <c r="V470" s="31">
        <f t="shared" si="148"/>
        <v>0.12262466109631767</v>
      </c>
      <c r="W470" s="31">
        <f t="shared" si="149"/>
        <v>2.1398386734726631</v>
      </c>
      <c r="X470" s="32">
        <f t="shared" si="161"/>
        <v>-6.5233638446432849</v>
      </c>
      <c r="Y470" s="32">
        <f t="shared" si="162"/>
        <v>4.7401613265273363</v>
      </c>
      <c r="Z470" s="38">
        <f t="shared" si="163"/>
        <v>1071795.5935905797</v>
      </c>
      <c r="AA470" s="31">
        <f>SUM(L$2:L470)-SUM(AB$2:AB470)</f>
        <v>-53497.943000000058</v>
      </c>
      <c r="AB470" s="176"/>
      <c r="AC470" s="40">
        <f t="shared" si="150"/>
        <v>-7149.9682129724124</v>
      </c>
      <c r="AD470" s="40">
        <f t="shared" si="151"/>
        <v>-34749.96821297241</v>
      </c>
    </row>
    <row r="471" spans="1:30" x14ac:dyDescent="0.25">
      <c r="A471" s="136">
        <v>43412</v>
      </c>
      <c r="B471" s="159" t="s">
        <v>384</v>
      </c>
      <c r="C471" s="46" t="s">
        <v>69</v>
      </c>
      <c r="D471" s="46">
        <v>400</v>
      </c>
      <c r="E471" s="46">
        <v>6.95</v>
      </c>
      <c r="F471" s="102">
        <f t="shared" si="153"/>
        <v>27200</v>
      </c>
      <c r="G471" s="32">
        <f t="shared" si="152"/>
        <v>8.6886827022058899</v>
      </c>
      <c r="H471" s="31">
        <f t="shared" si="154"/>
        <v>236332.16950000019</v>
      </c>
      <c r="I471" s="31">
        <f t="shared" si="155"/>
        <v>-47292.169500000193</v>
      </c>
      <c r="J471" s="175">
        <f t="shared" si="156"/>
        <v>-0.2001088958818201</v>
      </c>
      <c r="K471" s="31">
        <f t="shared" si="157"/>
        <v>189040</v>
      </c>
      <c r="L471" s="31">
        <f t="shared" si="158"/>
        <v>1924.2200000000012</v>
      </c>
      <c r="M471" s="31">
        <f t="shared" si="143"/>
        <v>5</v>
      </c>
      <c r="N471" s="31">
        <f t="shared" si="144"/>
        <v>2.78</v>
      </c>
      <c r="O471" s="125"/>
      <c r="P471" s="32">
        <f t="shared" si="159"/>
        <v>-1.7386827022058897</v>
      </c>
      <c r="Q471" s="31">
        <f t="shared" si="160"/>
        <v>2772.2200000000012</v>
      </c>
      <c r="R471" s="34"/>
      <c r="S471" s="31">
        <f t="shared" si="145"/>
        <v>7.0000000000000284E-2</v>
      </c>
      <c r="T471" s="31">
        <f t="shared" si="146"/>
        <v>-400</v>
      </c>
      <c r="U471" s="31">
        <f t="shared" si="147"/>
        <v>2.548018408994146E-2</v>
      </c>
      <c r="V471" s="31">
        <f t="shared" si="148"/>
        <v>0.3640026298563051</v>
      </c>
      <c r="W471" s="31">
        <f t="shared" si="149"/>
        <v>0.69410797122883483</v>
      </c>
      <c r="X471" s="32">
        <f t="shared" si="161"/>
        <v>-7.994574730977055</v>
      </c>
      <c r="Y471" s="32">
        <f t="shared" si="162"/>
        <v>6.2558920287711652</v>
      </c>
      <c r="Z471" s="38">
        <f t="shared" si="163"/>
        <v>1067496.2121147881</v>
      </c>
      <c r="AA471" s="31">
        <f>SUM(L$2:L471)-SUM(AB$2:AB471)</f>
        <v>-51573.723000000056</v>
      </c>
      <c r="AB471" s="176"/>
      <c r="AC471" s="40">
        <f t="shared" si="150"/>
        <v>-6801.2263906834814</v>
      </c>
      <c r="AD471" s="40">
        <f t="shared" si="151"/>
        <v>-34001.226390683485</v>
      </c>
    </row>
    <row r="472" spans="1:30" x14ac:dyDescent="0.25">
      <c r="A472" s="136">
        <v>43416</v>
      </c>
      <c r="B472" s="159" t="s">
        <v>385</v>
      </c>
      <c r="C472" s="46" t="s">
        <v>69</v>
      </c>
      <c r="D472" s="46">
        <v>400</v>
      </c>
      <c r="E472" s="46">
        <v>7</v>
      </c>
      <c r="F472" s="102">
        <f t="shared" si="153"/>
        <v>26800</v>
      </c>
      <c r="G472" s="32">
        <f t="shared" si="152"/>
        <v>8.7141779664179175</v>
      </c>
      <c r="H472" s="31">
        <f t="shared" si="154"/>
        <v>233539.96950000018</v>
      </c>
      <c r="I472" s="31">
        <f t="shared" si="155"/>
        <v>-45939.969500000181</v>
      </c>
      <c r="J472" s="175">
        <f t="shared" si="156"/>
        <v>-0.19671137920569162</v>
      </c>
      <c r="K472" s="31">
        <f t="shared" si="157"/>
        <v>187600</v>
      </c>
      <c r="L472" s="31">
        <f t="shared" si="158"/>
        <v>1352.2000000000116</v>
      </c>
      <c r="M472" s="31">
        <f t="shared" si="143"/>
        <v>5</v>
      </c>
      <c r="N472" s="31">
        <f t="shared" si="144"/>
        <v>2.8</v>
      </c>
      <c r="O472" s="125"/>
      <c r="P472" s="32">
        <f t="shared" si="159"/>
        <v>-1.7141779664179175</v>
      </c>
      <c r="Q472" s="31">
        <f t="shared" si="160"/>
        <v>2792.2000000000116</v>
      </c>
      <c r="R472" s="34"/>
      <c r="S472" s="31">
        <f t="shared" si="145"/>
        <v>4.9999999999999822E-2</v>
      </c>
      <c r="T472" s="31">
        <f t="shared" si="146"/>
        <v>-400</v>
      </c>
      <c r="U472" s="31">
        <f t="shared" si="147"/>
        <v>2.5495264212027635E-2</v>
      </c>
      <c r="V472" s="31">
        <f t="shared" si="148"/>
        <v>0.50990528424055448</v>
      </c>
      <c r="W472" s="31">
        <f t="shared" si="149"/>
        <v>0.48427763054222694</v>
      </c>
      <c r="X472" s="32">
        <f t="shared" si="161"/>
        <v>-8.2299003358756906</v>
      </c>
      <c r="Y472" s="32">
        <f t="shared" si="162"/>
        <v>6.5157223694577731</v>
      </c>
      <c r="Z472" s="38">
        <f t="shared" si="163"/>
        <v>1051175.6135226418</v>
      </c>
      <c r="AA472" s="31">
        <f>SUM(L$2:L472)-SUM(AB$2:AB472)</f>
        <v>-50221.523000000045</v>
      </c>
      <c r="AB472" s="176"/>
      <c r="AC472" s="40">
        <f t="shared" si="150"/>
        <v>-6559.571359321455</v>
      </c>
      <c r="AD472" s="40">
        <f t="shared" si="151"/>
        <v>-33359.571359321453</v>
      </c>
    </row>
    <row r="473" spans="1:30" x14ac:dyDescent="0.25">
      <c r="A473" s="136">
        <v>43417</v>
      </c>
      <c r="B473" s="159" t="s">
        <v>386</v>
      </c>
      <c r="C473" s="46" t="s">
        <v>69</v>
      </c>
      <c r="D473" s="46">
        <v>400</v>
      </c>
      <c r="E473" s="46">
        <v>7.12</v>
      </c>
      <c r="F473" s="102">
        <f t="shared" si="153"/>
        <v>26400</v>
      </c>
      <c r="G473" s="32">
        <f t="shared" si="152"/>
        <v>8.7386294507575819</v>
      </c>
      <c r="H473" s="31">
        <f t="shared" si="154"/>
        <v>230699.81750000018</v>
      </c>
      <c r="I473" s="31">
        <f t="shared" si="155"/>
        <v>-42731.817500000179</v>
      </c>
      <c r="J473" s="175">
        <f t="shared" si="156"/>
        <v>-0.18522692372741095</v>
      </c>
      <c r="K473" s="31">
        <f t="shared" si="157"/>
        <v>187968</v>
      </c>
      <c r="L473" s="31">
        <f t="shared" si="158"/>
        <v>3208.1520000000019</v>
      </c>
      <c r="M473" s="31">
        <f t="shared" si="143"/>
        <v>5</v>
      </c>
      <c r="N473" s="31">
        <f t="shared" si="144"/>
        <v>2.8479999999999999</v>
      </c>
      <c r="O473" s="125"/>
      <c r="P473" s="32">
        <f t="shared" si="159"/>
        <v>-1.6186294507575818</v>
      </c>
      <c r="Q473" s="31">
        <f t="shared" si="160"/>
        <v>2840.1520000000019</v>
      </c>
      <c r="R473" s="34"/>
      <c r="S473" s="31">
        <f t="shared" si="145"/>
        <v>0.12000000000000011</v>
      </c>
      <c r="T473" s="31">
        <f t="shared" si="146"/>
        <v>-400</v>
      </c>
      <c r="U473" s="31">
        <f t="shared" si="147"/>
        <v>2.4451484339664376E-2</v>
      </c>
      <c r="V473" s="31">
        <f t="shared" si="148"/>
        <v>0.20376236949720294</v>
      </c>
      <c r="W473" s="31">
        <f t="shared" si="149"/>
        <v>1.1295705300279701</v>
      </c>
      <c r="X473" s="32">
        <f t="shared" si="161"/>
        <v>-7.6090589207296118</v>
      </c>
      <c r="Y473" s="32">
        <f t="shared" si="162"/>
        <v>5.99042946997203</v>
      </c>
      <c r="Z473" s="38">
        <f t="shared" si="163"/>
        <v>1079689.0541804372</v>
      </c>
      <c r="AA473" s="31">
        <f>SUM(L$2:L473)-SUM(AB$2:AB473)</f>
        <v>-47013.371000000043</v>
      </c>
      <c r="AB473" s="176"/>
      <c r="AC473" s="40">
        <f t="shared" si="150"/>
        <v>-5998.6589313553623</v>
      </c>
      <c r="AD473" s="40">
        <f t="shared" si="151"/>
        <v>-32398.658931355363</v>
      </c>
    </row>
    <row r="474" spans="1:30" x14ac:dyDescent="0.25">
      <c r="A474" s="136">
        <v>43420</v>
      </c>
      <c r="B474" s="159" t="s">
        <v>387</v>
      </c>
      <c r="C474" s="46" t="s">
        <v>69</v>
      </c>
      <c r="D474" s="46">
        <v>400</v>
      </c>
      <c r="E474" s="46">
        <v>7.24</v>
      </c>
      <c r="F474" s="102">
        <f t="shared" si="153"/>
        <v>26000</v>
      </c>
      <c r="G474" s="32">
        <f t="shared" si="152"/>
        <v>8.7619889807692388</v>
      </c>
      <c r="H474" s="31">
        <f t="shared" si="154"/>
        <v>227811.71350000019</v>
      </c>
      <c r="I474" s="31">
        <f t="shared" si="155"/>
        <v>-39571.713500000187</v>
      </c>
      <c r="J474" s="175">
        <f t="shared" si="156"/>
        <v>-0.17370359448176562</v>
      </c>
      <c r="K474" s="31">
        <f t="shared" si="157"/>
        <v>188240</v>
      </c>
      <c r="L474" s="31">
        <f t="shared" si="158"/>
        <v>3160.1039999999921</v>
      </c>
      <c r="M474" s="31">
        <f t="shared" si="143"/>
        <v>5</v>
      </c>
      <c r="N474" s="31">
        <f t="shared" si="144"/>
        <v>2.8959999999999999</v>
      </c>
      <c r="O474" s="125"/>
      <c r="P474" s="32">
        <f t="shared" si="159"/>
        <v>-1.5219889807692386</v>
      </c>
      <c r="Q474" s="31">
        <f t="shared" si="160"/>
        <v>2888.1039999999921</v>
      </c>
      <c r="R474" s="34"/>
      <c r="S474" s="31">
        <f t="shared" si="145"/>
        <v>0.12000000000000011</v>
      </c>
      <c r="T474" s="31">
        <f t="shared" si="146"/>
        <v>-400</v>
      </c>
      <c r="U474" s="31">
        <f t="shared" si="147"/>
        <v>2.3359530011656915E-2</v>
      </c>
      <c r="V474" s="31">
        <f t="shared" si="148"/>
        <v>0.19466275009714079</v>
      </c>
      <c r="W474" s="31">
        <f t="shared" si="149"/>
        <v>1.094179433981602</v>
      </c>
      <c r="X474" s="32">
        <f t="shared" si="161"/>
        <v>-7.6678095467876366</v>
      </c>
      <c r="Y474" s="32">
        <f t="shared" si="162"/>
        <v>6.145820566018398</v>
      </c>
      <c r="Z474" s="38">
        <f t="shared" si="163"/>
        <v>1113036.0922084234</v>
      </c>
      <c r="AA474" s="31">
        <f>SUM(L$2:L474)-SUM(AB$2:AB474)</f>
        <v>-43853.267000000051</v>
      </c>
      <c r="AB474" s="176"/>
      <c r="AC474" s="40">
        <f t="shared" si="150"/>
        <v>-5462.9734313881481</v>
      </c>
      <c r="AD474" s="40">
        <f t="shared" si="151"/>
        <v>-31462.973431388149</v>
      </c>
    </row>
    <row r="475" spans="1:30" x14ac:dyDescent="0.25">
      <c r="A475" s="136">
        <v>43423</v>
      </c>
      <c r="B475" s="159" t="s">
        <v>388</v>
      </c>
      <c r="C475" s="46" t="s">
        <v>69</v>
      </c>
      <c r="D475" s="46">
        <v>400</v>
      </c>
      <c r="E475" s="46">
        <v>7.48</v>
      </c>
      <c r="F475" s="102">
        <f t="shared" si="153"/>
        <v>25600</v>
      </c>
      <c r="G475" s="32">
        <f t="shared" si="152"/>
        <v>8.7823322460937572</v>
      </c>
      <c r="H475" s="31">
        <f t="shared" si="154"/>
        <v>224827.70550000019</v>
      </c>
      <c r="I475" s="31">
        <f t="shared" si="155"/>
        <v>-33339.705500000186</v>
      </c>
      <c r="J475" s="175">
        <f t="shared" si="156"/>
        <v>-0.14829002246789441</v>
      </c>
      <c r="K475" s="31">
        <f t="shared" si="157"/>
        <v>191488</v>
      </c>
      <c r="L475" s="31">
        <f t="shared" si="158"/>
        <v>6232.0080000000016</v>
      </c>
      <c r="M475" s="31">
        <f t="shared" si="143"/>
        <v>5</v>
      </c>
      <c r="N475" s="31">
        <f t="shared" si="144"/>
        <v>2.992</v>
      </c>
      <c r="O475" s="125"/>
      <c r="P475" s="32">
        <f t="shared" si="159"/>
        <v>-1.3023322460937568</v>
      </c>
      <c r="Q475" s="31">
        <f t="shared" si="160"/>
        <v>2984.0080000000016</v>
      </c>
      <c r="R475" s="34"/>
      <c r="S475" s="31">
        <f t="shared" si="145"/>
        <v>0.24000000000000021</v>
      </c>
      <c r="T475" s="31">
        <f t="shared" si="146"/>
        <v>-400</v>
      </c>
      <c r="U475" s="31">
        <f t="shared" si="147"/>
        <v>2.0343265324518356E-2</v>
      </c>
      <c r="V475" s="31">
        <f t="shared" si="148"/>
        <v>8.4763605518826404E-2</v>
      </c>
      <c r="W475" s="31">
        <f t="shared" si="149"/>
        <v>2.0884689317186811</v>
      </c>
      <c r="X475" s="32">
        <f t="shared" si="161"/>
        <v>-6.6938633143750756</v>
      </c>
      <c r="Y475" s="32">
        <f t="shared" si="162"/>
        <v>5.3915310682813189</v>
      </c>
      <c r="Z475" s="38">
        <f t="shared" si="163"/>
        <v>1258401.7163235864</v>
      </c>
      <c r="AA475" s="31">
        <f>SUM(L$2:L475)-SUM(AB$2:AB475)</f>
        <v>-37621.259000000049</v>
      </c>
      <c r="AB475" s="176"/>
      <c r="AC475" s="40">
        <f t="shared" si="150"/>
        <v>-4454.9512897393297</v>
      </c>
      <c r="AD475" s="40">
        <f t="shared" si="151"/>
        <v>-30054.951289739329</v>
      </c>
    </row>
    <row r="476" spans="1:30" x14ac:dyDescent="0.25">
      <c r="A476" s="136">
        <v>43424</v>
      </c>
      <c r="B476" s="177"/>
      <c r="C476" s="46" t="s">
        <v>63</v>
      </c>
      <c r="D476" s="46">
        <v>500</v>
      </c>
      <c r="E476" s="46">
        <v>7.16</v>
      </c>
      <c r="F476" s="102">
        <f t="shared" si="153"/>
        <v>26100</v>
      </c>
      <c r="G476" s="32">
        <f t="shared" si="152"/>
        <v>8.7514446551724205</v>
      </c>
      <c r="H476" s="31">
        <f t="shared" si="154"/>
        <v>228412.70550000019</v>
      </c>
      <c r="I476" s="31">
        <f t="shared" si="155"/>
        <v>-41536.705500000186</v>
      </c>
      <c r="J476" s="175">
        <f t="shared" si="156"/>
        <v>-0.18184936520530001</v>
      </c>
      <c r="K476" s="31">
        <f t="shared" si="157"/>
        <v>186876</v>
      </c>
      <c r="L476" s="31">
        <f t="shared" si="158"/>
        <v>-8197</v>
      </c>
      <c r="M476" s="31">
        <f t="shared" si="143"/>
        <v>5</v>
      </c>
      <c r="N476" s="31">
        <f t="shared" si="144"/>
        <v>0</v>
      </c>
      <c r="O476" s="125"/>
      <c r="P476" s="32">
        <f t="shared" si="159"/>
        <v>-1.5914446551724204</v>
      </c>
      <c r="Q476" s="31">
        <f t="shared" si="160"/>
        <v>-3585</v>
      </c>
      <c r="R476" s="34"/>
      <c r="S476" s="31">
        <f t="shared" si="145"/>
        <v>-0.32000000000000028</v>
      </c>
      <c r="T476" s="31">
        <f t="shared" si="146"/>
        <v>500</v>
      </c>
      <c r="U476" s="31">
        <f t="shared" si="147"/>
        <v>-3.0887590921336638E-2</v>
      </c>
      <c r="V476" s="31">
        <f t="shared" si="148"/>
        <v>9.6523721629176912E-2</v>
      </c>
      <c r="W476" s="31">
        <f t="shared" si="149"/>
        <v>2.2864714086471407</v>
      </c>
      <c r="X476" s="32">
        <f t="shared" si="161"/>
        <v>-6.4649732465252798</v>
      </c>
      <c r="Y476" s="32">
        <f t="shared" si="162"/>
        <v>4.8735285913528594</v>
      </c>
      <c r="Z476" s="38">
        <f t="shared" si="163"/>
        <v>-844999.53610725107</v>
      </c>
      <c r="AA476" s="31">
        <f>SUM(L$2:L476)-SUM(AB$2:AB476)</f>
        <v>-45818.259000000049</v>
      </c>
      <c r="AB476" s="176"/>
      <c r="AC476" s="40">
        <f t="shared" si="150"/>
        <v>-5798.3152440293561</v>
      </c>
      <c r="AD476" s="40">
        <f t="shared" si="151"/>
        <v>-31898.315244029356</v>
      </c>
    </row>
    <row r="477" spans="1:30" x14ac:dyDescent="0.25">
      <c r="A477" s="136">
        <v>43427</v>
      </c>
      <c r="B477" s="268" t="s">
        <v>627</v>
      </c>
      <c r="C477" s="46" t="s">
        <v>63</v>
      </c>
      <c r="D477" s="46">
        <v>500</v>
      </c>
      <c r="E477" s="46">
        <v>6.99</v>
      </c>
      <c r="F477" s="102">
        <f t="shared" si="153"/>
        <v>26600</v>
      </c>
      <c r="G477" s="32">
        <f t="shared" si="152"/>
        <v>8.7185227631579014</v>
      </c>
      <c r="H477" s="31">
        <f t="shared" si="154"/>
        <v>231912.70550000019</v>
      </c>
      <c r="I477" s="31">
        <f t="shared" si="155"/>
        <v>-45978.705500000186</v>
      </c>
      <c r="J477" s="175">
        <f t="shared" si="156"/>
        <v>-0.19825867410270084</v>
      </c>
      <c r="K477" s="31">
        <f t="shared" si="157"/>
        <v>185934</v>
      </c>
      <c r="L477" s="31">
        <f t="shared" si="158"/>
        <v>-4442</v>
      </c>
      <c r="M477" s="31">
        <f t="shared" si="143"/>
        <v>5</v>
      </c>
      <c r="N477" s="31">
        <f t="shared" si="144"/>
        <v>0</v>
      </c>
      <c r="O477" s="125"/>
      <c r="P477" s="32">
        <f t="shared" si="159"/>
        <v>-1.7285227631579012</v>
      </c>
      <c r="Q477" s="31">
        <f t="shared" si="160"/>
        <v>-3500</v>
      </c>
      <c r="R477" s="34"/>
      <c r="S477" s="31">
        <f t="shared" si="145"/>
        <v>-0.16999999999999993</v>
      </c>
      <c r="T477" s="31">
        <f t="shared" si="146"/>
        <v>500</v>
      </c>
      <c r="U477" s="31">
        <f t="shared" si="147"/>
        <v>-3.2921892014519116E-2</v>
      </c>
      <c r="V477" s="31">
        <f t="shared" si="148"/>
        <v>0.19365818832070075</v>
      </c>
      <c r="W477" s="31">
        <f t="shared" si="149"/>
        <v>1.2691428571428571</v>
      </c>
      <c r="X477" s="32">
        <f t="shared" si="161"/>
        <v>-7.4493799060150447</v>
      </c>
      <c r="Y477" s="32">
        <f t="shared" si="162"/>
        <v>5.7208571428571435</v>
      </c>
      <c r="Z477" s="38">
        <f t="shared" si="163"/>
        <v>-807973.00435433502</v>
      </c>
      <c r="AA477" s="31">
        <f>SUM(L$2:L477)-SUM(AB$2:AB477)</f>
        <v>-50260.259000000049</v>
      </c>
      <c r="AB477" s="176"/>
      <c r="AC477" s="40">
        <f t="shared" si="150"/>
        <v>-6574.494441666694</v>
      </c>
      <c r="AD477" s="40">
        <f t="shared" si="151"/>
        <v>-33174.494441666691</v>
      </c>
    </row>
    <row r="478" spans="1:30" x14ac:dyDescent="0.25">
      <c r="A478" s="136">
        <v>43482</v>
      </c>
      <c r="B478" s="268" t="s">
        <v>617</v>
      </c>
      <c r="C478" s="46" t="s">
        <v>69</v>
      </c>
      <c r="D478" s="46">
        <v>500</v>
      </c>
      <c r="E478" s="46">
        <v>6.82</v>
      </c>
      <c r="F478" s="102">
        <f t="shared" si="153"/>
        <v>26100</v>
      </c>
      <c r="G478" s="32">
        <f t="shared" si="152"/>
        <v>8.755215153256712</v>
      </c>
      <c r="H478" s="31">
        <f t="shared" si="154"/>
        <v>228511.11550000019</v>
      </c>
      <c r="I478" s="31">
        <f t="shared" si="155"/>
        <v>-50509.115500000189</v>
      </c>
      <c r="J478" s="175">
        <f t="shared" si="156"/>
        <v>-0.22103570493488811</v>
      </c>
      <c r="K478" s="31">
        <f t="shared" si="157"/>
        <v>178002</v>
      </c>
      <c r="L478" s="31">
        <f t="shared" si="158"/>
        <v>-4530.4100000000035</v>
      </c>
      <c r="M478" s="31">
        <f t="shared" si="143"/>
        <v>5</v>
      </c>
      <c r="N478" s="31">
        <f t="shared" si="144"/>
        <v>3.41</v>
      </c>
      <c r="O478" s="125"/>
      <c r="P478" s="32">
        <f t="shared" si="159"/>
        <v>-1.9352151532567117</v>
      </c>
      <c r="Q478" s="31">
        <f t="shared" si="160"/>
        <v>3401.5899999999965</v>
      </c>
      <c r="R478" s="34"/>
      <c r="S478" s="31">
        <f t="shared" si="145"/>
        <v>-0.16999999999999993</v>
      </c>
      <c r="T478" s="31">
        <f t="shared" si="146"/>
        <v>-500</v>
      </c>
      <c r="U478" s="31">
        <f t="shared" si="147"/>
        <v>3.6692390098810534E-2</v>
      </c>
      <c r="V478" s="31">
        <f t="shared" si="148"/>
        <v>-0.21583758881653264</v>
      </c>
      <c r="W478" s="31">
        <f t="shared" si="149"/>
        <v>-1.3318506933522289</v>
      </c>
      <c r="X478" s="32">
        <f t="shared" si="161"/>
        <v>-10.08706584660894</v>
      </c>
      <c r="Y478" s="32">
        <f t="shared" si="162"/>
        <v>8.1518506933522286</v>
      </c>
      <c r="Z478" s="38">
        <f t="shared" si="163"/>
        <v>711319.15717984503</v>
      </c>
      <c r="AA478" s="31">
        <f>SUM(L$2:L730)-SUM(AB$2:AB730)</f>
        <v>6041.6979999997129</v>
      </c>
      <c r="AB478" s="176"/>
      <c r="AC478" s="40">
        <f t="shared" si="150"/>
        <v>-7402.3256513563329</v>
      </c>
      <c r="AD478" s="40">
        <f t="shared" si="151"/>
        <v>-33502.325651356332</v>
      </c>
    </row>
    <row r="479" spans="1:30" x14ac:dyDescent="0.25">
      <c r="A479" s="136">
        <v>43494</v>
      </c>
      <c r="B479" s="268" t="s">
        <v>618</v>
      </c>
      <c r="C479" s="46" t="s">
        <v>69</v>
      </c>
      <c r="D479" s="46">
        <v>400</v>
      </c>
      <c r="E479" s="46">
        <f>E478+0.21</f>
        <v>7.03</v>
      </c>
      <c r="F479" s="102">
        <f t="shared" si="153"/>
        <v>25700</v>
      </c>
      <c r="G479" s="32">
        <f t="shared" si="152"/>
        <v>8.7823707198443657</v>
      </c>
      <c r="H479" s="31">
        <f t="shared" si="154"/>
        <v>225706.92750000019</v>
      </c>
      <c r="I479" s="31">
        <f t="shared" si="155"/>
        <v>-45035.927500000194</v>
      </c>
      <c r="J479" s="175">
        <f t="shared" si="156"/>
        <v>-0.19953276578097123</v>
      </c>
      <c r="K479" s="31">
        <f t="shared" si="157"/>
        <v>180671</v>
      </c>
      <c r="L479" s="31">
        <f t="shared" si="158"/>
        <v>5473.1879999999946</v>
      </c>
      <c r="M479" s="31">
        <f t="shared" si="143"/>
        <v>5</v>
      </c>
      <c r="N479" s="31">
        <f t="shared" si="144"/>
        <v>2.8119999999999998</v>
      </c>
      <c r="O479" s="125"/>
      <c r="P479" s="32">
        <f t="shared" si="159"/>
        <v>-1.7523707198443654</v>
      </c>
      <c r="Q479" s="31">
        <f t="shared" si="160"/>
        <v>2804.1879999999946</v>
      </c>
      <c r="R479" s="34"/>
      <c r="S479" s="31">
        <f t="shared" si="145"/>
        <v>0.20999999999999996</v>
      </c>
      <c r="T479" s="31">
        <f t="shared" si="146"/>
        <v>-400</v>
      </c>
      <c r="U479" s="31">
        <f t="shared" si="147"/>
        <v>2.7155566587653723E-2</v>
      </c>
      <c r="V479" s="31">
        <f t="shared" si="148"/>
        <v>0.12931222184597013</v>
      </c>
      <c r="W479" s="31">
        <f t="shared" si="149"/>
        <v>1.9517906787989983</v>
      </c>
      <c r="X479" s="32">
        <f t="shared" si="161"/>
        <v>-6.8305800410453674</v>
      </c>
      <c r="Y479" s="32">
        <f t="shared" si="162"/>
        <v>5.078209321201002</v>
      </c>
      <c r="Z479" s="38">
        <f t="shared" si="163"/>
        <v>946398.96085558028</v>
      </c>
      <c r="AA479" s="31">
        <f>SUM(L$2:L489)-SUM(AB$2:AB489)</f>
        <v>-18273.641000000091</v>
      </c>
      <c r="AB479" s="176"/>
      <c r="AC479" s="40">
        <f t="shared" si="150"/>
        <v>-6403.0454532361582</v>
      </c>
      <c r="AD479" s="40">
        <f t="shared" si="151"/>
        <v>-32103.045453236158</v>
      </c>
    </row>
    <row r="480" spans="1:30" x14ac:dyDescent="0.25">
      <c r="A480" s="136">
        <v>43509</v>
      </c>
      <c r="B480" s="159"/>
      <c r="C480" s="46" t="s">
        <v>69</v>
      </c>
      <c r="D480" s="46">
        <v>400</v>
      </c>
      <c r="E480" s="46">
        <v>7.25</v>
      </c>
      <c r="F480" s="102">
        <f t="shared" si="153"/>
        <v>25300</v>
      </c>
      <c r="G480" s="32">
        <f t="shared" si="152"/>
        <v>8.8069101778656194</v>
      </c>
      <c r="H480" s="31">
        <f t="shared" si="154"/>
        <v>222814.82750000019</v>
      </c>
      <c r="I480" s="31">
        <f t="shared" si="155"/>
        <v>-39389.827500000189</v>
      </c>
      <c r="J480" s="175">
        <f t="shared" si="156"/>
        <v>-0.17678279287764248</v>
      </c>
      <c r="K480" s="31">
        <f t="shared" si="157"/>
        <v>183425</v>
      </c>
      <c r="L480" s="31">
        <f t="shared" si="158"/>
        <v>5646.1000000000058</v>
      </c>
      <c r="M480" s="31">
        <f t="shared" si="143"/>
        <v>5</v>
      </c>
      <c r="N480" s="31">
        <f t="shared" si="144"/>
        <v>2.9</v>
      </c>
      <c r="O480" s="125"/>
      <c r="P480" s="32">
        <f t="shared" si="159"/>
        <v>-1.5569101778656194</v>
      </c>
      <c r="Q480" s="31">
        <f t="shared" si="160"/>
        <v>2892.1000000000058</v>
      </c>
      <c r="R480" s="34"/>
      <c r="S480" s="31">
        <f t="shared" si="145"/>
        <v>0.21999999999999975</v>
      </c>
      <c r="T480" s="31">
        <f t="shared" si="146"/>
        <v>-400</v>
      </c>
      <c r="U480" s="31">
        <f t="shared" si="147"/>
        <v>2.4539458021253679E-2</v>
      </c>
      <c r="V480" s="31">
        <f t="shared" si="148"/>
        <v>0.11154299100569867</v>
      </c>
      <c r="W480" s="31">
        <f t="shared" si="149"/>
        <v>1.9522492306628383</v>
      </c>
      <c r="X480" s="32">
        <f t="shared" si="161"/>
        <v>-6.8546609472027811</v>
      </c>
      <c r="Y480" s="32">
        <f t="shared" si="162"/>
        <v>5.2977507693371617</v>
      </c>
      <c r="Z480" s="38">
        <f t="shared" si="163"/>
        <v>1030992.6151623892</v>
      </c>
      <c r="AA480" s="31">
        <f>SUM(L$2:L480)-SUM(AB$2:AB480)</f>
        <v>-43671.381000000052</v>
      </c>
      <c r="AB480" s="176"/>
      <c r="AC480" s="40">
        <f t="shared" si="150"/>
        <v>-5430.3631153448541</v>
      </c>
      <c r="AD480" s="40">
        <f t="shared" si="151"/>
        <v>-30730.363115344855</v>
      </c>
    </row>
    <row r="481" spans="1:30" x14ac:dyDescent="0.25">
      <c r="A481" s="136">
        <v>43514</v>
      </c>
      <c r="B481" s="268" t="s">
        <v>619</v>
      </c>
      <c r="C481" s="46" t="s">
        <v>69</v>
      </c>
      <c r="D481" s="46">
        <v>400</v>
      </c>
      <c r="E481" s="46">
        <v>7.41</v>
      </c>
      <c r="F481" s="102">
        <f t="shared" si="153"/>
        <v>24900</v>
      </c>
      <c r="G481" s="32">
        <f t="shared" si="152"/>
        <v>8.8296703413654694</v>
      </c>
      <c r="H481" s="31">
        <f t="shared" si="154"/>
        <v>219858.7915000002</v>
      </c>
      <c r="I481" s="31">
        <f t="shared" si="155"/>
        <v>-35349.791500000196</v>
      </c>
      <c r="J481" s="175">
        <f t="shared" si="156"/>
        <v>-0.16078407080664842</v>
      </c>
      <c r="K481" s="31">
        <f t="shared" si="157"/>
        <v>184509</v>
      </c>
      <c r="L481" s="31">
        <f t="shared" si="158"/>
        <v>4040.0359999999928</v>
      </c>
      <c r="M481" s="31">
        <f t="shared" si="143"/>
        <v>5</v>
      </c>
      <c r="N481" s="31">
        <f t="shared" si="144"/>
        <v>2.964</v>
      </c>
      <c r="O481" s="125"/>
      <c r="P481" s="32">
        <f t="shared" si="159"/>
        <v>-1.4196703413654692</v>
      </c>
      <c r="Q481" s="31">
        <f t="shared" si="160"/>
        <v>2956.0359999999928</v>
      </c>
      <c r="R481" s="34"/>
      <c r="S481" s="31">
        <f t="shared" si="145"/>
        <v>0.16000000000000014</v>
      </c>
      <c r="T481" s="31">
        <f t="shared" si="146"/>
        <v>-400</v>
      </c>
      <c r="U481" s="31">
        <f t="shared" si="147"/>
        <v>2.2760163499849995E-2</v>
      </c>
      <c r="V481" s="31">
        <f t="shared" si="148"/>
        <v>0.14225102187406233</v>
      </c>
      <c r="W481" s="31">
        <f t="shared" si="149"/>
        <v>1.3667073066769155</v>
      </c>
      <c r="X481" s="32">
        <f t="shared" si="161"/>
        <v>-7.4629630346885536</v>
      </c>
      <c r="Y481" s="32">
        <f t="shared" si="162"/>
        <v>6.0432926933230844</v>
      </c>
      <c r="Z481" s="38">
        <f t="shared" si="163"/>
        <v>1094016.7455371798</v>
      </c>
      <c r="AA481" s="31">
        <f>SUM(L$2:L481)-SUM(AB$2:AB481)</f>
        <v>-39631.345000000059</v>
      </c>
      <c r="AB481" s="176"/>
      <c r="AC481" s="40">
        <f t="shared" si="150"/>
        <v>-4768.1668831646693</v>
      </c>
      <c r="AD481" s="40">
        <f t="shared" si="151"/>
        <v>-29668.166883164668</v>
      </c>
    </row>
    <row r="482" spans="1:30" x14ac:dyDescent="0.25">
      <c r="A482" s="136">
        <v>43521</v>
      </c>
      <c r="B482" s="268" t="s">
        <v>707</v>
      </c>
      <c r="C482" s="46" t="s">
        <v>69</v>
      </c>
      <c r="D482" s="46">
        <v>400</v>
      </c>
      <c r="E482" s="46">
        <v>7.62</v>
      </c>
      <c r="F482" s="102">
        <f t="shared" si="153"/>
        <v>24500</v>
      </c>
      <c r="G482" s="32">
        <f t="shared" si="152"/>
        <v>8.8497485510204168</v>
      </c>
      <c r="H482" s="31">
        <f t="shared" si="154"/>
        <v>216818.83950000021</v>
      </c>
      <c r="I482" s="31">
        <f t="shared" si="155"/>
        <v>-30128.839500000206</v>
      </c>
      <c r="J482" s="175">
        <f t="shared" si="156"/>
        <v>-0.13895858666838856</v>
      </c>
      <c r="K482" s="31">
        <f t="shared" si="157"/>
        <v>186690</v>
      </c>
      <c r="L482" s="31">
        <f t="shared" si="158"/>
        <v>5220.9519999999902</v>
      </c>
      <c r="M482" s="31">
        <f t="shared" si="143"/>
        <v>5</v>
      </c>
      <c r="N482" s="31">
        <f t="shared" si="144"/>
        <v>3.048</v>
      </c>
      <c r="O482" s="125"/>
      <c r="P482" s="32">
        <f t="shared" si="159"/>
        <v>-1.2297485510204167</v>
      </c>
      <c r="Q482" s="31">
        <f t="shared" si="160"/>
        <v>3039.9519999999902</v>
      </c>
      <c r="R482" s="34"/>
      <c r="S482" s="31">
        <f t="shared" si="145"/>
        <v>0.20999999999999996</v>
      </c>
      <c r="T482" s="31">
        <f t="shared" si="146"/>
        <v>-400</v>
      </c>
      <c r="U482" s="31">
        <f t="shared" si="147"/>
        <v>2.0078209654947443E-2</v>
      </c>
      <c r="V482" s="31">
        <f t="shared" si="148"/>
        <v>9.5610522166416412E-2</v>
      </c>
      <c r="W482" s="31">
        <f t="shared" si="149"/>
        <v>1.7174455386137699</v>
      </c>
      <c r="X482" s="32">
        <f t="shared" si="161"/>
        <v>-7.1323030124066467</v>
      </c>
      <c r="Y482" s="32">
        <f t="shared" si="162"/>
        <v>5.90255446138623</v>
      </c>
      <c r="Z482" s="38">
        <f t="shared" si="163"/>
        <v>1220228.3182137702</v>
      </c>
      <c r="AA482" s="31">
        <f>SUM(L$2:L482)-SUM(AB$2:AB482)</f>
        <v>-34410.393000000069</v>
      </c>
      <c r="AB482" s="176"/>
      <c r="AC482" s="40">
        <f t="shared" si="150"/>
        <v>-3951.9389869094762</v>
      </c>
      <c r="AD482" s="40">
        <f t="shared" si="151"/>
        <v>-28451.938986909478</v>
      </c>
    </row>
    <row r="483" spans="1:30" x14ac:dyDescent="0.25">
      <c r="A483" s="136">
        <v>43522</v>
      </c>
      <c r="B483" s="268" t="s">
        <v>620</v>
      </c>
      <c r="C483" s="46" t="s">
        <v>69</v>
      </c>
      <c r="D483" s="46">
        <v>400</v>
      </c>
      <c r="E483" s="46">
        <f>E482+0.24</f>
        <v>7.86</v>
      </c>
      <c r="F483" s="102">
        <f t="shared" si="153"/>
        <v>24100</v>
      </c>
      <c r="G483" s="32">
        <f t="shared" si="152"/>
        <v>8.8665138381742832</v>
      </c>
      <c r="H483" s="31">
        <f t="shared" si="154"/>
        <v>213682.98350000021</v>
      </c>
      <c r="I483" s="31">
        <f t="shared" si="155"/>
        <v>-24256.983500000206</v>
      </c>
      <c r="J483" s="175">
        <f t="shared" si="156"/>
        <v>-0.11351855492976207</v>
      </c>
      <c r="K483" s="31">
        <f t="shared" si="157"/>
        <v>189426</v>
      </c>
      <c r="L483" s="31">
        <f t="shared" si="158"/>
        <v>5871.8559999999998</v>
      </c>
      <c r="M483" s="31">
        <f t="shared" si="143"/>
        <v>5</v>
      </c>
      <c r="N483" s="31">
        <f t="shared" si="144"/>
        <v>3.1440000000000001</v>
      </c>
      <c r="O483" s="125"/>
      <c r="P483" s="32">
        <f t="shared" si="159"/>
        <v>-1.0065138381742829</v>
      </c>
      <c r="Q483" s="31">
        <f t="shared" si="160"/>
        <v>3135.8559999999998</v>
      </c>
      <c r="R483" s="34"/>
      <c r="S483" s="31">
        <f t="shared" si="145"/>
        <v>0.24000000000000021</v>
      </c>
      <c r="T483" s="31">
        <f t="shared" si="146"/>
        <v>-400</v>
      </c>
      <c r="U483" s="31">
        <f t="shared" si="147"/>
        <v>1.6765287153866382E-2</v>
      </c>
      <c r="V483" s="31">
        <f t="shared" si="148"/>
        <v>6.9855363141109864E-2</v>
      </c>
      <c r="W483" s="31">
        <f t="shared" si="149"/>
        <v>1.8724890428642131</v>
      </c>
      <c r="X483" s="32">
        <f t="shared" si="161"/>
        <v>-6.9940247953100698</v>
      </c>
      <c r="Y483" s="32">
        <f t="shared" si="162"/>
        <v>5.987510957135787</v>
      </c>
      <c r="Z483" s="38">
        <f t="shared" si="163"/>
        <v>1437494.0183736787</v>
      </c>
      <c r="AA483" s="31">
        <f>SUM(L$2:L483)-SUM(AB$2:AB483)</f>
        <v>-28538.537000000069</v>
      </c>
      <c r="AB483" s="176"/>
      <c r="AC483" s="40">
        <f t="shared" si="150"/>
        <v>-3084.587151176871</v>
      </c>
      <c r="AD483" s="40">
        <f t="shared" si="151"/>
        <v>-27184.587151176871</v>
      </c>
    </row>
    <row r="484" spans="1:30" x14ac:dyDescent="0.25">
      <c r="A484" s="136">
        <v>43522</v>
      </c>
      <c r="B484" s="268" t="s">
        <v>621</v>
      </c>
      <c r="C484" s="46" t="s">
        <v>69</v>
      </c>
      <c r="D484" s="46">
        <v>400</v>
      </c>
      <c r="E484" s="46">
        <v>8.1</v>
      </c>
      <c r="F484" s="102">
        <f t="shared" si="153"/>
        <v>23700</v>
      </c>
      <c r="G484" s="32">
        <f t="shared" si="152"/>
        <v>8.8797984599156194</v>
      </c>
      <c r="H484" s="31">
        <f t="shared" si="154"/>
        <v>210451.2235000002</v>
      </c>
      <c r="I484" s="31">
        <f t="shared" si="155"/>
        <v>-18481.223500000197</v>
      </c>
      <c r="J484" s="175">
        <f t="shared" si="156"/>
        <v>-8.7817134976172634E-2</v>
      </c>
      <c r="K484" s="31">
        <f t="shared" si="157"/>
        <v>191970</v>
      </c>
      <c r="L484" s="31">
        <f t="shared" si="158"/>
        <v>5775.7600000000093</v>
      </c>
      <c r="M484" s="31">
        <f t="shared" si="143"/>
        <v>5</v>
      </c>
      <c r="N484" s="31">
        <f t="shared" si="144"/>
        <v>3.24</v>
      </c>
      <c r="O484" s="125"/>
      <c r="P484" s="32">
        <f t="shared" si="159"/>
        <v>-0.7797984599156198</v>
      </c>
      <c r="Q484" s="31">
        <f t="shared" si="160"/>
        <v>3231.7600000000093</v>
      </c>
      <c r="R484" s="34"/>
      <c r="S484" s="31">
        <f t="shared" si="145"/>
        <v>0.23999999999999932</v>
      </c>
      <c r="T484" s="31">
        <f t="shared" si="146"/>
        <v>-400</v>
      </c>
      <c r="U484" s="31">
        <f t="shared" si="147"/>
        <v>1.3284621741336267E-2</v>
      </c>
      <c r="V484" s="31">
        <f t="shared" si="148"/>
        <v>5.5352590588901268E-2</v>
      </c>
      <c r="W484" s="31">
        <f t="shared" si="149"/>
        <v>1.7871871673639108</v>
      </c>
      <c r="X484" s="32">
        <f t="shared" si="161"/>
        <v>-7.0926112925517089</v>
      </c>
      <c r="Y484" s="32">
        <f t="shared" si="162"/>
        <v>6.3128128326360891</v>
      </c>
      <c r="Z484" s="38">
        <f t="shared" si="163"/>
        <v>1784017.6755846476</v>
      </c>
      <c r="AA484" s="31">
        <f>SUM(L$2:L484)-SUM(AB$2:AB484)</f>
        <v>-22762.77700000006</v>
      </c>
      <c r="AB484" s="176"/>
      <c r="AC484" s="40">
        <f t="shared" si="150"/>
        <v>-2280.4917145987897</v>
      </c>
      <c r="AD484" s="40">
        <f t="shared" si="151"/>
        <v>-25980.491714598789</v>
      </c>
    </row>
    <row r="485" spans="1:30" x14ac:dyDescent="0.25">
      <c r="A485" s="136">
        <v>43528</v>
      </c>
      <c r="B485" s="268" t="s">
        <v>622</v>
      </c>
      <c r="C485" s="46" t="s">
        <v>69</v>
      </c>
      <c r="D485" s="46">
        <v>400</v>
      </c>
      <c r="E485" s="46">
        <v>8.32</v>
      </c>
      <c r="F485" s="102">
        <f t="shared" si="153"/>
        <v>23300</v>
      </c>
      <c r="G485" s="32">
        <f t="shared" si="152"/>
        <v>8.8897661587982917</v>
      </c>
      <c r="H485" s="31">
        <f t="shared" si="154"/>
        <v>207131.55150000021</v>
      </c>
      <c r="I485" s="31">
        <f t="shared" si="155"/>
        <v>-13275.551500000205</v>
      </c>
      <c r="J485" s="175">
        <f t="shared" si="156"/>
        <v>-6.4092367405456221E-2</v>
      </c>
      <c r="K485" s="31">
        <f t="shared" si="157"/>
        <v>193856</v>
      </c>
      <c r="L485" s="31">
        <f t="shared" si="158"/>
        <v>5205.6719999999914</v>
      </c>
      <c r="M485" s="31">
        <f t="shared" ref="M485:M548" si="164">IF(D485*E485*2.5/10000&gt;5,D485*E485*2.5/10000,5)</f>
        <v>5</v>
      </c>
      <c r="N485" s="31">
        <f t="shared" ref="N485:N548" si="165">IF(C485="卖",D485*E485/1000,0)</f>
        <v>3.3279999999999998</v>
      </c>
      <c r="O485" s="125"/>
      <c r="P485" s="32">
        <f t="shared" si="159"/>
        <v>-0.5697661587982914</v>
      </c>
      <c r="Q485" s="31">
        <f t="shared" si="160"/>
        <v>3319.6719999999914</v>
      </c>
      <c r="R485" s="34"/>
      <c r="S485" s="31">
        <f t="shared" si="145"/>
        <v>0.22000000000000064</v>
      </c>
      <c r="T485" s="31">
        <f t="shared" si="146"/>
        <v>-400</v>
      </c>
      <c r="U485" s="31">
        <f t="shared" si="147"/>
        <v>9.9676988826722379E-3</v>
      </c>
      <c r="V485" s="31">
        <f t="shared" si="148"/>
        <v>4.5307722193964589E-2</v>
      </c>
      <c r="W485" s="31">
        <f t="shared" si="149"/>
        <v>1.5681284175063093</v>
      </c>
      <c r="X485" s="32">
        <f t="shared" si="161"/>
        <v>-7.3216377412919824</v>
      </c>
      <c r="Y485" s="32">
        <f t="shared" si="162"/>
        <v>6.751871582493691</v>
      </c>
      <c r="Z485" s="38">
        <f t="shared" si="163"/>
        <v>2337550.5494557545</v>
      </c>
      <c r="AA485" s="31">
        <f>SUM(L$2:L485)-SUM(AB$2:AB485)</f>
        <v>-17557.105000000069</v>
      </c>
      <c r="AB485" s="176"/>
      <c r="AC485" s="40">
        <f t="shared" si="150"/>
        <v>-1594.8213610877651</v>
      </c>
      <c r="AD485" s="40">
        <f t="shared" si="151"/>
        <v>-24894.821361087765</v>
      </c>
    </row>
    <row r="486" spans="1:30" x14ac:dyDescent="0.25">
      <c r="A486" s="136">
        <v>43532</v>
      </c>
      <c r="B486" s="159"/>
      <c r="C486" s="46" t="s">
        <v>63</v>
      </c>
      <c r="D486" s="46">
        <v>500</v>
      </c>
      <c r="E486" s="46">
        <v>8.06</v>
      </c>
      <c r="F486" s="102">
        <f t="shared" si="153"/>
        <v>23800</v>
      </c>
      <c r="G486" s="32">
        <f t="shared" si="152"/>
        <v>8.8725441806722767</v>
      </c>
      <c r="H486" s="31">
        <f t="shared" si="154"/>
        <v>211166.55150000021</v>
      </c>
      <c r="I486" s="31">
        <f t="shared" si="155"/>
        <v>-19338.551500000205</v>
      </c>
      <c r="J486" s="175">
        <f t="shared" si="156"/>
        <v>-9.157961506039064E-2</v>
      </c>
      <c r="K486" s="31">
        <f t="shared" si="157"/>
        <v>191828</v>
      </c>
      <c r="L486" s="31">
        <f t="shared" si="158"/>
        <v>-6063</v>
      </c>
      <c r="M486" s="31">
        <f t="shared" si="164"/>
        <v>5</v>
      </c>
      <c r="N486" s="31">
        <f t="shared" si="165"/>
        <v>0</v>
      </c>
      <c r="O486" s="125"/>
      <c r="P486" s="32">
        <f t="shared" si="159"/>
        <v>-0.81254418067227618</v>
      </c>
      <c r="Q486" s="31">
        <f t="shared" si="160"/>
        <v>-4035</v>
      </c>
      <c r="R486" s="34"/>
      <c r="S486" s="31">
        <f t="shared" si="145"/>
        <v>-0.25999999999999979</v>
      </c>
      <c r="T486" s="31">
        <f t="shared" si="146"/>
        <v>500</v>
      </c>
      <c r="U486" s="31">
        <f t="shared" si="147"/>
        <v>-1.7221978126015003E-2</v>
      </c>
      <c r="V486" s="31">
        <f t="shared" si="148"/>
        <v>6.6238377407750071E-2</v>
      </c>
      <c r="W486" s="31">
        <f t="shared" si="149"/>
        <v>1.5026022304832714</v>
      </c>
      <c r="X486" s="32">
        <f t="shared" si="161"/>
        <v>-7.3699419501890056</v>
      </c>
      <c r="Y486" s="32">
        <f t="shared" si="162"/>
        <v>6.5573977695167294</v>
      </c>
      <c r="Z486" s="38">
        <f t="shared" si="163"/>
        <v>-1381955.0707736898</v>
      </c>
      <c r="AA486" s="31">
        <f>SUM(L$2:L486)-SUM(AB$2:AB486)</f>
        <v>-23620.105000000069</v>
      </c>
      <c r="AB486" s="176"/>
      <c r="AC486" s="40">
        <f t="shared" si="150"/>
        <v>-2398.1243454404721</v>
      </c>
      <c r="AD486" s="40">
        <f t="shared" si="151"/>
        <v>-26198.124345440472</v>
      </c>
    </row>
    <row r="487" spans="1:30" x14ac:dyDescent="0.25">
      <c r="A487" s="136">
        <v>43532</v>
      </c>
      <c r="B487" s="159"/>
      <c r="C487" s="46" t="s">
        <v>63</v>
      </c>
      <c r="D487" s="46">
        <v>500</v>
      </c>
      <c r="E487" s="46">
        <v>7.84</v>
      </c>
      <c r="F487" s="102">
        <f t="shared" si="153"/>
        <v>24300</v>
      </c>
      <c r="G487" s="32">
        <f t="shared" si="152"/>
        <v>8.8515041769547409</v>
      </c>
      <c r="H487" s="31">
        <f t="shared" si="154"/>
        <v>215091.55150000021</v>
      </c>
      <c r="I487" s="31">
        <f t="shared" si="155"/>
        <v>-24579.551500000205</v>
      </c>
      <c r="J487" s="175">
        <f t="shared" si="156"/>
        <v>-0.11427483473241014</v>
      </c>
      <c r="K487" s="31">
        <f t="shared" si="157"/>
        <v>190512</v>
      </c>
      <c r="L487" s="31">
        <f t="shared" si="158"/>
        <v>-5241</v>
      </c>
      <c r="M487" s="31">
        <f t="shared" si="164"/>
        <v>5</v>
      </c>
      <c r="N487" s="31">
        <f t="shared" si="165"/>
        <v>0</v>
      </c>
      <c r="O487" s="125"/>
      <c r="P487" s="32">
        <f t="shared" si="159"/>
        <v>-1.011504176954741</v>
      </c>
      <c r="Q487" s="31">
        <f t="shared" si="160"/>
        <v>-3925</v>
      </c>
      <c r="R487" s="34"/>
      <c r="S487" s="31">
        <f t="shared" si="145"/>
        <v>-0.22000000000000064</v>
      </c>
      <c r="T487" s="31">
        <f t="shared" si="146"/>
        <v>500</v>
      </c>
      <c r="U487" s="31">
        <f t="shared" si="147"/>
        <v>-2.1040003717535782E-2</v>
      </c>
      <c r="V487" s="31">
        <f t="shared" si="148"/>
        <v>9.5636380534253274E-2</v>
      </c>
      <c r="W487" s="31">
        <f t="shared" si="149"/>
        <v>1.3352866242038217</v>
      </c>
      <c r="X487" s="32">
        <f t="shared" si="161"/>
        <v>-7.516217552750919</v>
      </c>
      <c r="Y487" s="32">
        <f t="shared" si="162"/>
        <v>6.5047133757961779</v>
      </c>
      <c r="Z487" s="38">
        <f t="shared" si="163"/>
        <v>-1154942.7617138287</v>
      </c>
      <c r="AA487" s="31">
        <f>SUM(L$2:L487)-SUM(AB$2:AB487)</f>
        <v>-28861.105000000069</v>
      </c>
      <c r="AB487" s="176"/>
      <c r="AC487" s="40">
        <f t="shared" si="150"/>
        <v>-3133.5793015625263</v>
      </c>
      <c r="AD487" s="40">
        <f t="shared" si="151"/>
        <v>-27433.579301562528</v>
      </c>
    </row>
    <row r="488" spans="1:30" s="1" customFormat="1" x14ac:dyDescent="0.25">
      <c r="A488" s="284">
        <v>43536</v>
      </c>
      <c r="B488" s="268" t="s">
        <v>624</v>
      </c>
      <c r="C488" s="64" t="s">
        <v>69</v>
      </c>
      <c r="D488" s="64">
        <v>400</v>
      </c>
      <c r="E488" s="64">
        <v>8.06</v>
      </c>
      <c r="F488" s="102">
        <f t="shared" si="153"/>
        <v>23900</v>
      </c>
      <c r="G488" s="32">
        <f t="shared" si="152"/>
        <v>8.8650952092050286</v>
      </c>
      <c r="H488" s="31">
        <f t="shared" si="154"/>
        <v>211875.77550000019</v>
      </c>
      <c r="I488" s="31">
        <f t="shared" si="155"/>
        <v>-19241.775500000193</v>
      </c>
      <c r="J488" s="175">
        <f t="shared" si="156"/>
        <v>-9.0816307124266568E-2</v>
      </c>
      <c r="K488" s="31">
        <f t="shared" si="157"/>
        <v>192634</v>
      </c>
      <c r="L488" s="31">
        <f t="shared" si="158"/>
        <v>5337.7760000000126</v>
      </c>
      <c r="M488" s="31">
        <f t="shared" si="164"/>
        <v>5</v>
      </c>
      <c r="N488" s="31">
        <f t="shared" si="165"/>
        <v>3.2240000000000002</v>
      </c>
      <c r="O488" s="125"/>
      <c r="P488" s="32">
        <f t="shared" si="159"/>
        <v>-0.80509520920502808</v>
      </c>
      <c r="Q488" s="31">
        <f t="shared" si="160"/>
        <v>3215.7760000000126</v>
      </c>
      <c r="R488" s="34"/>
      <c r="S488" s="31">
        <f t="shared" si="145"/>
        <v>0.22000000000000064</v>
      </c>
      <c r="T488" s="31">
        <f t="shared" si="146"/>
        <v>-400</v>
      </c>
      <c r="U488" s="31">
        <f t="shared" si="147"/>
        <v>1.3591032250287682E-2</v>
      </c>
      <c r="V488" s="31">
        <f t="shared" si="148"/>
        <v>6.1777419319489282E-2</v>
      </c>
      <c r="W488" s="31">
        <f t="shared" si="149"/>
        <v>1.6598718318688839</v>
      </c>
      <c r="X488" s="32">
        <f t="shared" si="161"/>
        <v>-7.2052233773361447</v>
      </c>
      <c r="Y488" s="32">
        <f t="shared" si="162"/>
        <v>6.4001281681311166</v>
      </c>
      <c r="Z488" s="38">
        <f t="shared" si="163"/>
        <v>1758512.4926397041</v>
      </c>
      <c r="AA488" s="31">
        <f>SUM(L$2:L730)-SUM(AB$2:AB730)</f>
        <v>6041.6979999997129</v>
      </c>
      <c r="AB488" s="176"/>
      <c r="AC488" s="40">
        <f t="shared" si="150"/>
        <v>-2386.1234010235971</v>
      </c>
      <c r="AD488" s="40">
        <f t="shared" si="151"/>
        <v>-26286.123401023597</v>
      </c>
    </row>
    <row r="489" spans="1:30" s="1" customFormat="1" x14ac:dyDescent="0.25">
      <c r="A489" s="284">
        <v>43542</v>
      </c>
      <c r="B489" s="286" t="s">
        <v>626</v>
      </c>
      <c r="C489" s="64" t="s">
        <v>69</v>
      </c>
      <c r="D489" s="64">
        <v>400</v>
      </c>
      <c r="E489" s="64">
        <v>8.2799999999999994</v>
      </c>
      <c r="F489" s="102">
        <f t="shared" si="153"/>
        <v>23500</v>
      </c>
      <c r="G489" s="32">
        <f t="shared" si="152"/>
        <v>8.8754079787234126</v>
      </c>
      <c r="H489" s="31">
        <f t="shared" si="154"/>
        <v>208572.0875000002</v>
      </c>
      <c r="I489" s="31">
        <f t="shared" si="155"/>
        <v>-13992.087500000227</v>
      </c>
      <c r="J489" s="277">
        <f t="shared" si="156"/>
        <v>-6.708513908890229E-2</v>
      </c>
      <c r="K489" s="31">
        <f t="shared" si="157"/>
        <v>194579.99999999997</v>
      </c>
      <c r="L489" s="31">
        <f t="shared" si="158"/>
        <v>5249.6879999999655</v>
      </c>
      <c r="M489" s="31">
        <f t="shared" si="164"/>
        <v>5</v>
      </c>
      <c r="N489" s="31">
        <f t="shared" si="165"/>
        <v>3.3119999999999994</v>
      </c>
      <c r="O489" s="31"/>
      <c r="P489" s="31">
        <f t="shared" si="159"/>
        <v>-0.59540797872341322</v>
      </c>
      <c r="Q489" s="31">
        <f t="shared" si="160"/>
        <v>3303.6879999999946</v>
      </c>
      <c r="R489" s="31"/>
      <c r="S489" s="31">
        <f t="shared" si="145"/>
        <v>0.21999999999999886</v>
      </c>
      <c r="T489" s="31">
        <f t="shared" si="146"/>
        <v>-400</v>
      </c>
      <c r="U489" s="31">
        <f t="shared" si="147"/>
        <v>1.0312769518384002E-2</v>
      </c>
      <c r="V489" s="31">
        <f t="shared" si="148"/>
        <v>4.6876225083563886E-2</v>
      </c>
      <c r="W489" s="31">
        <f t="shared" si="149"/>
        <v>1.5890386743542291</v>
      </c>
      <c r="X489" s="25">
        <f t="shared" si="161"/>
        <v>-7.2863693043691837</v>
      </c>
      <c r="Y489" s="25">
        <f t="shared" si="162"/>
        <v>6.6909613256457705</v>
      </c>
      <c r="Z489" s="25">
        <f t="shared" si="163"/>
        <v>2278728.3239587438</v>
      </c>
      <c r="AA489" s="25">
        <f>SUM(L$2:L489)-SUM(AB$2:AB489)</f>
        <v>-18273.641000000091</v>
      </c>
      <c r="AB489" s="176"/>
      <c r="AC489" s="176">
        <f t="shared" si="150"/>
        <v>-1689.0207072765977</v>
      </c>
      <c r="AD489" s="176">
        <f t="shared" si="151"/>
        <v>-25189.020707276599</v>
      </c>
    </row>
    <row r="490" spans="1:30" s="1" customFormat="1" x14ac:dyDescent="0.25">
      <c r="A490" s="284">
        <v>43542</v>
      </c>
      <c r="B490" s="286" t="s">
        <v>625</v>
      </c>
      <c r="C490" s="64" t="s">
        <v>69</v>
      </c>
      <c r="D490" s="64">
        <v>400</v>
      </c>
      <c r="E490" s="64">
        <v>8.36</v>
      </c>
      <c r="F490" s="102">
        <f t="shared" si="153"/>
        <v>23100</v>
      </c>
      <c r="G490" s="32">
        <f t="shared" si="152"/>
        <v>8.8846940043290132</v>
      </c>
      <c r="H490" s="31">
        <f t="shared" si="154"/>
        <v>205236.43150000021</v>
      </c>
      <c r="I490" s="31">
        <f t="shared" si="155"/>
        <v>-12120.43150000021</v>
      </c>
      <c r="J490" s="277">
        <f t="shared" si="156"/>
        <v>-5.9055945435302536E-2</v>
      </c>
      <c r="K490" s="31">
        <f t="shared" si="157"/>
        <v>193116</v>
      </c>
      <c r="L490" s="31">
        <f t="shared" si="158"/>
        <v>1871.6560000000172</v>
      </c>
      <c r="M490" s="31">
        <f t="shared" si="164"/>
        <v>5</v>
      </c>
      <c r="N490" s="31">
        <f t="shared" si="165"/>
        <v>3.3439999999999999</v>
      </c>
      <c r="O490" s="31"/>
      <c r="P490" s="31">
        <f t="shared" si="159"/>
        <v>-0.52469400432901381</v>
      </c>
      <c r="Q490" s="31">
        <f t="shared" si="160"/>
        <v>3335.6559999999881</v>
      </c>
      <c r="R490" s="31"/>
      <c r="S490" s="31">
        <f t="shared" si="145"/>
        <v>8.0000000000000071E-2</v>
      </c>
      <c r="T490" s="31">
        <f t="shared" si="146"/>
        <v>-400</v>
      </c>
      <c r="U490" s="31">
        <f t="shared" si="147"/>
        <v>9.2860256056006563E-3</v>
      </c>
      <c r="V490" s="31">
        <f t="shared" si="148"/>
        <v>0.11607532007000811</v>
      </c>
      <c r="W490" s="31">
        <f t="shared" si="149"/>
        <v>0.56110582146361132</v>
      </c>
      <c r="X490" s="25">
        <f t="shared" si="161"/>
        <v>-8.3235881828654019</v>
      </c>
      <c r="Y490" s="25">
        <f t="shared" si="162"/>
        <v>7.7988941785363881</v>
      </c>
      <c r="Z490" s="25">
        <f t="shared" si="163"/>
        <v>2487608.9062330131</v>
      </c>
      <c r="AA490" s="25">
        <f>SUM(L$2:L490)-SUM(AB$2:AB490)</f>
        <v>-16401.985000000073</v>
      </c>
      <c r="AB490" s="176"/>
      <c r="AC490" s="176">
        <f t="shared" si="150"/>
        <v>-1449.0874741926089</v>
      </c>
      <c r="AD490" s="176">
        <f t="shared" si="151"/>
        <v>-24549.087474192609</v>
      </c>
    </row>
    <row r="491" spans="1:30" s="1" customFormat="1" x14ac:dyDescent="0.25">
      <c r="A491" s="284">
        <v>43550</v>
      </c>
      <c r="B491" s="286"/>
      <c r="C491" s="64" t="s">
        <v>63</v>
      </c>
      <c r="D491" s="64">
        <v>500</v>
      </c>
      <c r="E491" s="64">
        <v>8.06</v>
      </c>
      <c r="F491" s="102">
        <f t="shared" si="153"/>
        <v>23600</v>
      </c>
      <c r="G491" s="32">
        <f t="shared" si="152"/>
        <v>8.867433538135602</v>
      </c>
      <c r="H491" s="31">
        <f t="shared" si="154"/>
        <v>209271.43150000021</v>
      </c>
      <c r="I491" s="31">
        <f t="shared" si="155"/>
        <v>-19055.43150000021</v>
      </c>
      <c r="J491" s="277">
        <f t="shared" si="156"/>
        <v>-9.1056057501093621E-2</v>
      </c>
      <c r="K491" s="31">
        <f t="shared" si="157"/>
        <v>190216</v>
      </c>
      <c r="L491" s="31">
        <f t="shared" si="158"/>
        <v>-6935</v>
      </c>
      <c r="M491" s="31">
        <f t="shared" si="164"/>
        <v>5</v>
      </c>
      <c r="N491" s="31">
        <f t="shared" si="165"/>
        <v>0</v>
      </c>
      <c r="O491" s="31"/>
      <c r="P491" s="31">
        <f t="shared" si="159"/>
        <v>-0.80743353813560148</v>
      </c>
      <c r="Q491" s="31">
        <f t="shared" si="160"/>
        <v>-4035</v>
      </c>
      <c r="R491" s="31"/>
      <c r="S491" s="31">
        <f t="shared" si="145"/>
        <v>-0.29999999999999893</v>
      </c>
      <c r="T491" s="31">
        <f t="shared" si="146"/>
        <v>500</v>
      </c>
      <c r="U491" s="31">
        <f t="shared" si="147"/>
        <v>-1.7260466193411261E-2</v>
      </c>
      <c r="V491" s="31">
        <f t="shared" si="148"/>
        <v>5.7534887311371075E-2</v>
      </c>
      <c r="W491" s="31">
        <f t="shared" si="149"/>
        <v>1.7187112763320942</v>
      </c>
      <c r="X491" s="25">
        <f t="shared" si="161"/>
        <v>-7.148722261803508</v>
      </c>
      <c r="Y491" s="25">
        <f t="shared" si="162"/>
        <v>6.3412887236679065</v>
      </c>
      <c r="Z491" s="25">
        <f t="shared" si="163"/>
        <v>-1367286.360377027</v>
      </c>
      <c r="AA491" s="25">
        <f>SUM(L$2:L491)-SUM(AB$2:AB491)</f>
        <v>-23336.985000000073</v>
      </c>
      <c r="AB491" s="176"/>
      <c r="AC491" s="176">
        <f t="shared" si="150"/>
        <v>-2363.0153578474205</v>
      </c>
      <c r="AD491" s="176">
        <f t="shared" si="151"/>
        <v>-25963.01535784742</v>
      </c>
    </row>
    <row r="492" spans="1:30" s="1" customFormat="1" x14ac:dyDescent="0.25">
      <c r="A492" s="284">
        <v>43552</v>
      </c>
      <c r="B492" s="286"/>
      <c r="C492" s="64" t="s">
        <v>63</v>
      </c>
      <c r="D492" s="64">
        <v>500</v>
      </c>
      <c r="E492" s="64">
        <v>7.9</v>
      </c>
      <c r="F492" s="102">
        <f t="shared" si="153"/>
        <v>24100</v>
      </c>
      <c r="G492" s="32">
        <f t="shared" si="152"/>
        <v>8.8475697717842419</v>
      </c>
      <c r="H492" s="31">
        <f t="shared" si="154"/>
        <v>213226.43150000021</v>
      </c>
      <c r="I492" s="31">
        <f t="shared" si="155"/>
        <v>-22836.43150000021</v>
      </c>
      <c r="J492" s="277">
        <f t="shared" si="156"/>
        <v>-0.10709944043686814</v>
      </c>
      <c r="K492" s="31">
        <f t="shared" si="157"/>
        <v>190390</v>
      </c>
      <c r="L492" s="31">
        <f t="shared" si="158"/>
        <v>-3781</v>
      </c>
      <c r="M492" s="31">
        <f t="shared" si="164"/>
        <v>5</v>
      </c>
      <c r="N492" s="31">
        <f t="shared" si="165"/>
        <v>0</v>
      </c>
      <c r="O492" s="31"/>
      <c r="P492" s="31">
        <f t="shared" si="159"/>
        <v>-0.94756977178424151</v>
      </c>
      <c r="Q492" s="31">
        <f t="shared" si="160"/>
        <v>-3955</v>
      </c>
      <c r="R492" s="31"/>
      <c r="S492" s="31">
        <f t="shared" si="145"/>
        <v>-0.16000000000000014</v>
      </c>
      <c r="T492" s="31">
        <f t="shared" si="146"/>
        <v>500</v>
      </c>
      <c r="U492" s="31">
        <f t="shared" si="147"/>
        <v>-1.9863766351360113E-2</v>
      </c>
      <c r="V492" s="31">
        <f t="shared" si="148"/>
        <v>0.12414853969600059</v>
      </c>
      <c r="W492" s="31">
        <f t="shared" si="149"/>
        <v>0.95600505689001269</v>
      </c>
      <c r="X492" s="25">
        <f t="shared" si="161"/>
        <v>-7.8915647148942289</v>
      </c>
      <c r="Y492" s="25">
        <f t="shared" si="162"/>
        <v>6.9439949431099874</v>
      </c>
      <c r="Z492" s="25">
        <f t="shared" si="163"/>
        <v>-1213264.3716054293</v>
      </c>
      <c r="AA492" s="25">
        <f>SUM(L$2:L492)-SUM(AB$2:AB492)</f>
        <v>-27117.985000000073</v>
      </c>
      <c r="AB492" s="176"/>
      <c r="AC492" s="176">
        <f t="shared" si="150"/>
        <v>-2889.2421878797736</v>
      </c>
      <c r="AD492" s="176">
        <f t="shared" si="151"/>
        <v>-26989.242187879772</v>
      </c>
    </row>
    <row r="493" spans="1:30" s="1" customFormat="1" x14ac:dyDescent="0.25">
      <c r="A493" s="284">
        <v>43553</v>
      </c>
      <c r="B493" s="286" t="s">
        <v>632</v>
      </c>
      <c r="C493" s="64" t="s">
        <v>69</v>
      </c>
      <c r="D493" s="64">
        <v>400</v>
      </c>
      <c r="E493" s="64">
        <v>8.1</v>
      </c>
      <c r="F493" s="102">
        <f t="shared" si="153"/>
        <v>23700</v>
      </c>
      <c r="G493" s="32">
        <f t="shared" si="152"/>
        <v>8.8605346624472663</v>
      </c>
      <c r="H493" s="31">
        <f t="shared" si="154"/>
        <v>209994.6715000002</v>
      </c>
      <c r="I493" s="31">
        <f t="shared" si="155"/>
        <v>-18024.6715000002</v>
      </c>
      <c r="J493" s="277">
        <f t="shared" si="156"/>
        <v>-8.5833946981841394E-2</v>
      </c>
      <c r="K493" s="31">
        <f t="shared" si="157"/>
        <v>191970</v>
      </c>
      <c r="L493" s="31">
        <f t="shared" si="158"/>
        <v>4811.7600000000093</v>
      </c>
      <c r="M493" s="31">
        <f t="shared" si="164"/>
        <v>5</v>
      </c>
      <c r="N493" s="31">
        <f t="shared" si="165"/>
        <v>3.24</v>
      </c>
      <c r="O493" s="31"/>
      <c r="P493" s="31">
        <f t="shared" si="159"/>
        <v>-0.76053466244726664</v>
      </c>
      <c r="Q493" s="31">
        <f t="shared" si="160"/>
        <v>3231.7600000000093</v>
      </c>
      <c r="R493" s="31"/>
      <c r="S493" s="31">
        <f t="shared" si="145"/>
        <v>0.19999999999999929</v>
      </c>
      <c r="T493" s="31">
        <f t="shared" si="146"/>
        <v>-400</v>
      </c>
      <c r="U493" s="31">
        <f t="shared" si="147"/>
        <v>1.296489066302442E-2</v>
      </c>
      <c r="V493" s="31">
        <f t="shared" si="148"/>
        <v>6.4824453315122335E-2</v>
      </c>
      <c r="W493" s="31">
        <f t="shared" si="149"/>
        <v>1.4888976904225548</v>
      </c>
      <c r="X493" s="25">
        <f t="shared" si="161"/>
        <v>-7.3716369720247119</v>
      </c>
      <c r="Y493" s="25">
        <f t="shared" si="162"/>
        <v>6.6111023095774453</v>
      </c>
      <c r="Z493" s="25">
        <f t="shared" si="163"/>
        <v>1828013.8734676624</v>
      </c>
      <c r="AA493" s="25">
        <f>SUM(L$2:L493)-SUM(AB$2:AB493)</f>
        <v>-22306.225000000064</v>
      </c>
      <c r="AB493" s="176"/>
      <c r="AC493" s="176">
        <f t="shared" si="150"/>
        <v>-2224.1554523765681</v>
      </c>
      <c r="AD493" s="176">
        <f t="shared" si="151"/>
        <v>-25924.155452376566</v>
      </c>
    </row>
    <row r="494" spans="1:30" s="1" customFormat="1" x14ac:dyDescent="0.25">
      <c r="A494" s="284">
        <v>43553</v>
      </c>
      <c r="B494" s="286"/>
      <c r="C494" s="64" t="s">
        <v>69</v>
      </c>
      <c r="D494" s="64">
        <v>400</v>
      </c>
      <c r="E494" s="64">
        <v>8.24</v>
      </c>
      <c r="F494" s="102">
        <f t="shared" si="153"/>
        <v>23300</v>
      </c>
      <c r="G494" s="32">
        <f t="shared" si="152"/>
        <v>8.871543669527906</v>
      </c>
      <c r="H494" s="31">
        <f t="shared" si="154"/>
        <v>206706.9675000002</v>
      </c>
      <c r="I494" s="31">
        <f t="shared" si="155"/>
        <v>-14714.967500000203</v>
      </c>
      <c r="J494" s="277">
        <f t="shared" si="156"/>
        <v>-7.1187573781228197E-2</v>
      </c>
      <c r="K494" s="31">
        <f t="shared" si="157"/>
        <v>191992</v>
      </c>
      <c r="L494" s="31">
        <f t="shared" si="158"/>
        <v>3309.7039999999979</v>
      </c>
      <c r="M494" s="31">
        <f t="shared" si="164"/>
        <v>5</v>
      </c>
      <c r="N494" s="31">
        <f t="shared" si="165"/>
        <v>3.2959999999999998</v>
      </c>
      <c r="O494" s="31"/>
      <c r="P494" s="31">
        <f t="shared" si="159"/>
        <v>-0.63154366952790575</v>
      </c>
      <c r="Q494" s="31">
        <f t="shared" si="160"/>
        <v>3287.7039999999979</v>
      </c>
      <c r="R494" s="31"/>
      <c r="S494" s="31">
        <f t="shared" si="145"/>
        <v>0.14000000000000057</v>
      </c>
      <c r="T494" s="31">
        <f t="shared" si="146"/>
        <v>-400</v>
      </c>
      <c r="U494" s="31">
        <f t="shared" si="147"/>
        <v>1.1009007080639677E-2</v>
      </c>
      <c r="V494" s="31">
        <f t="shared" si="148"/>
        <v>7.8635764861711657E-2</v>
      </c>
      <c r="W494" s="31">
        <f t="shared" si="149"/>
        <v>1.0066915999737203</v>
      </c>
      <c r="X494" s="25">
        <f t="shared" si="161"/>
        <v>-7.8648520695541855</v>
      </c>
      <c r="Y494" s="25">
        <f t="shared" si="162"/>
        <v>7.2333084000262797</v>
      </c>
      <c r="Z494" s="25">
        <f t="shared" si="163"/>
        <v>2116448.8158950442</v>
      </c>
      <c r="AA494" s="25">
        <f>SUM(L$2:L494)-SUM(AB$2:AB494)</f>
        <v>-18996.521000000066</v>
      </c>
      <c r="AB494" s="176"/>
      <c r="AC494" s="176">
        <f t="shared" si="150"/>
        <v>-1784.9041281857044</v>
      </c>
      <c r="AD494" s="176">
        <f t="shared" si="151"/>
        <v>-25084.904128185706</v>
      </c>
    </row>
    <row r="495" spans="1:30" s="1" customFormat="1" x14ac:dyDescent="0.25">
      <c r="A495" s="284">
        <v>43553</v>
      </c>
      <c r="B495" s="286"/>
      <c r="C495" s="64" t="s">
        <v>69</v>
      </c>
      <c r="D495" s="64">
        <v>400</v>
      </c>
      <c r="E495" s="64">
        <v>8.34</v>
      </c>
      <c r="F495" s="102">
        <f t="shared" si="153"/>
        <v>22900</v>
      </c>
      <c r="G495" s="32">
        <f t="shared" si="152"/>
        <v>8.8811922925764293</v>
      </c>
      <c r="H495" s="31">
        <f t="shared" si="154"/>
        <v>203379.30350000021</v>
      </c>
      <c r="I495" s="31">
        <f t="shared" si="155"/>
        <v>-12393.303500000213</v>
      </c>
      <c r="J495" s="277">
        <f t="shared" si="156"/>
        <v>-6.0936896167511065E-2</v>
      </c>
      <c r="K495" s="31">
        <f t="shared" si="157"/>
        <v>190986</v>
      </c>
      <c r="L495" s="31">
        <f t="shared" si="158"/>
        <v>2321.6639999999898</v>
      </c>
      <c r="M495" s="31">
        <f t="shared" si="164"/>
        <v>5</v>
      </c>
      <c r="N495" s="31">
        <f t="shared" si="165"/>
        <v>3.3359999999999999</v>
      </c>
      <c r="O495" s="31"/>
      <c r="P495" s="31">
        <f t="shared" si="159"/>
        <v>-0.54119229257642942</v>
      </c>
      <c r="Q495" s="31">
        <f t="shared" si="160"/>
        <v>3327.6639999999898</v>
      </c>
      <c r="R495" s="31"/>
      <c r="S495" s="31">
        <f t="shared" si="145"/>
        <v>9.9999999999999645E-2</v>
      </c>
      <c r="T495" s="31">
        <f t="shared" si="146"/>
        <v>-400</v>
      </c>
      <c r="U495" s="31">
        <f t="shared" si="147"/>
        <v>9.6486230485233193E-3</v>
      </c>
      <c r="V495" s="31">
        <f t="shared" si="148"/>
        <v>9.648623048523354E-2</v>
      </c>
      <c r="W495" s="31">
        <f t="shared" si="149"/>
        <v>0.69768582404954249</v>
      </c>
      <c r="X495" s="25">
        <f t="shared" si="161"/>
        <v>-8.1835064685268861</v>
      </c>
      <c r="Y495" s="25">
        <f t="shared" si="162"/>
        <v>7.6423141759504567</v>
      </c>
      <c r="Z495" s="25">
        <f t="shared" si="163"/>
        <v>2373395.6529169981</v>
      </c>
      <c r="AA495" s="25">
        <f>SUM(L$2:L495)-SUM(AB$2:AB495)</f>
        <v>-16674.857000000076</v>
      </c>
      <c r="AB495" s="176"/>
      <c r="AC495" s="176">
        <f t="shared" si="150"/>
        <v>-1485.2646101019441</v>
      </c>
      <c r="AD495" s="176">
        <f t="shared" si="151"/>
        <v>-24385.264610101945</v>
      </c>
    </row>
    <row r="496" spans="1:30" s="1" customFormat="1" x14ac:dyDescent="0.25">
      <c r="A496" s="284">
        <v>43553</v>
      </c>
      <c r="B496" s="286"/>
      <c r="C496" s="64" t="s">
        <v>69</v>
      </c>
      <c r="D496" s="64">
        <v>400</v>
      </c>
      <c r="E496" s="64">
        <v>8.4700000000000006</v>
      </c>
      <c r="F496" s="102">
        <f t="shared" si="153"/>
        <v>22500</v>
      </c>
      <c r="G496" s="32">
        <f t="shared" si="152"/>
        <v>8.8888751777777877</v>
      </c>
      <c r="H496" s="31">
        <f t="shared" si="154"/>
        <v>199999.69150000022</v>
      </c>
      <c r="I496" s="31">
        <f t="shared" si="155"/>
        <v>-9424.6915000002191</v>
      </c>
      <c r="J496" s="277">
        <f t="shared" si="156"/>
        <v>-4.7123530188046305E-2</v>
      </c>
      <c r="K496" s="31">
        <f t="shared" si="157"/>
        <v>190575</v>
      </c>
      <c r="L496" s="31">
        <f t="shared" si="158"/>
        <v>2968.6119999999937</v>
      </c>
      <c r="M496" s="31">
        <f t="shared" si="164"/>
        <v>5</v>
      </c>
      <c r="N496" s="31">
        <f t="shared" si="165"/>
        <v>3.3880000000000003</v>
      </c>
      <c r="O496" s="31"/>
      <c r="P496" s="31">
        <f t="shared" si="159"/>
        <v>-0.41887517777778704</v>
      </c>
      <c r="Q496" s="31">
        <f t="shared" si="160"/>
        <v>3379.6119999999937</v>
      </c>
      <c r="R496" s="31"/>
      <c r="S496" s="31">
        <f t="shared" si="145"/>
        <v>0.13000000000000078</v>
      </c>
      <c r="T496" s="31">
        <f t="shared" si="146"/>
        <v>-400</v>
      </c>
      <c r="U496" s="31">
        <f t="shared" si="147"/>
        <v>7.6828852013584026E-3</v>
      </c>
      <c r="V496" s="31">
        <f t="shared" si="148"/>
        <v>5.9099116933525819E-2</v>
      </c>
      <c r="W496" s="31">
        <f t="shared" si="149"/>
        <v>0.87838840671651042</v>
      </c>
      <c r="X496" s="25">
        <f t="shared" si="161"/>
        <v>-8.0104867710612773</v>
      </c>
      <c r="Y496" s="25">
        <f t="shared" si="162"/>
        <v>7.5916115932834902</v>
      </c>
      <c r="Z496" s="25">
        <f t="shared" si="163"/>
        <v>2928587.2963482258</v>
      </c>
      <c r="AA496" s="25">
        <f>SUM(L$2:L496)-SUM(AB$2:AB496)</f>
        <v>-13706.245000000083</v>
      </c>
      <c r="AB496" s="176"/>
      <c r="AC496" s="176">
        <f t="shared" si="150"/>
        <v>-1112.1581055785382</v>
      </c>
      <c r="AD496" s="176">
        <f t="shared" si="151"/>
        <v>-23612.158105578539</v>
      </c>
    </row>
    <row r="497" spans="1:30" s="1" customFormat="1" x14ac:dyDescent="0.25">
      <c r="A497" s="284">
        <v>43556</v>
      </c>
      <c r="B497" s="286"/>
      <c r="C497" s="64" t="s">
        <v>69</v>
      </c>
      <c r="D497" s="64">
        <v>400</v>
      </c>
      <c r="E497" s="64">
        <v>8.76</v>
      </c>
      <c r="F497" s="102">
        <f t="shared" si="153"/>
        <v>22100</v>
      </c>
      <c r="G497" s="32">
        <f t="shared" si="152"/>
        <v>8.8915925565610952</v>
      </c>
      <c r="H497" s="31">
        <f t="shared" si="154"/>
        <v>196504.19550000021</v>
      </c>
      <c r="I497" s="31">
        <f t="shared" si="155"/>
        <v>-2908.1955000002054</v>
      </c>
      <c r="J497" s="277">
        <f t="shared" si="156"/>
        <v>-1.4799661109526817E-2</v>
      </c>
      <c r="K497" s="31">
        <f t="shared" si="157"/>
        <v>193596</v>
      </c>
      <c r="L497" s="31">
        <f t="shared" si="158"/>
        <v>6516.4960000000137</v>
      </c>
      <c r="M497" s="31">
        <f t="shared" si="164"/>
        <v>5</v>
      </c>
      <c r="N497" s="31">
        <f t="shared" si="165"/>
        <v>3.504</v>
      </c>
      <c r="O497" s="31"/>
      <c r="P497" s="31">
        <f t="shared" si="159"/>
        <v>-0.13159255656109536</v>
      </c>
      <c r="Q497" s="31">
        <f t="shared" si="160"/>
        <v>3495.4960000000137</v>
      </c>
      <c r="R497" s="31"/>
      <c r="S497" s="31">
        <f t="shared" si="145"/>
        <v>0.28999999999999915</v>
      </c>
      <c r="T497" s="31">
        <f t="shared" si="146"/>
        <v>-400</v>
      </c>
      <c r="U497" s="31">
        <f t="shared" si="147"/>
        <v>2.717378783307467E-3</v>
      </c>
      <c r="V497" s="31">
        <f t="shared" si="148"/>
        <v>9.3702716665774993E-3</v>
      </c>
      <c r="W497" s="31">
        <f t="shared" si="149"/>
        <v>1.8642550299013325</v>
      </c>
      <c r="X497" s="25">
        <f t="shared" si="161"/>
        <v>-7.0273375266597622</v>
      </c>
      <c r="Y497" s="25">
        <f t="shared" si="162"/>
        <v>6.8957449700986668</v>
      </c>
      <c r="Z497" s="25">
        <f t="shared" si="163"/>
        <v>8132837.4740237389</v>
      </c>
      <c r="AA497" s="25">
        <f>SUM(L$2:L497)-SUM(AB$2:AB497)</f>
        <v>-7189.7490000000689</v>
      </c>
      <c r="AB497" s="176"/>
      <c r="AC497" s="176">
        <f t="shared" si="150"/>
        <v>-331.81979477742073</v>
      </c>
      <c r="AD497" s="176">
        <f t="shared" si="151"/>
        <v>-22431.819794777421</v>
      </c>
    </row>
    <row r="498" spans="1:30" s="1" customFormat="1" x14ac:dyDescent="0.25">
      <c r="A498" s="284">
        <v>43556</v>
      </c>
      <c r="B498" s="286" t="s">
        <v>633</v>
      </c>
      <c r="C498" s="64" t="s">
        <v>69</v>
      </c>
      <c r="D498" s="64">
        <v>400</v>
      </c>
      <c r="E498" s="64">
        <v>8.94</v>
      </c>
      <c r="F498" s="102">
        <f t="shared" si="153"/>
        <v>21700</v>
      </c>
      <c r="G498" s="32">
        <f t="shared" si="152"/>
        <v>8.8910954608295025</v>
      </c>
      <c r="H498" s="31">
        <f t="shared" si="154"/>
        <v>192936.77150000021</v>
      </c>
      <c r="I498" s="31">
        <f t="shared" si="155"/>
        <v>1061.2284999997937</v>
      </c>
      <c r="J498" s="277">
        <f t="shared" si="156"/>
        <v>5.5003952421779963E-3</v>
      </c>
      <c r="K498" s="31">
        <f t="shared" si="157"/>
        <v>193998</v>
      </c>
      <c r="L498" s="31">
        <f t="shared" si="158"/>
        <v>3969.4239999999991</v>
      </c>
      <c r="M498" s="31">
        <f t="shared" si="164"/>
        <v>5</v>
      </c>
      <c r="N498" s="31">
        <f t="shared" si="165"/>
        <v>3.5760000000000001</v>
      </c>
      <c r="O498" s="31"/>
      <c r="P498" s="31">
        <f t="shared" si="159"/>
        <v>4.8904539170496975E-2</v>
      </c>
      <c r="Q498" s="31">
        <f t="shared" si="160"/>
        <v>3567.4239999999991</v>
      </c>
      <c r="R498" s="31"/>
      <c r="S498" s="31">
        <f t="shared" si="145"/>
        <v>0.17999999999999972</v>
      </c>
      <c r="T498" s="31">
        <f t="shared" si="146"/>
        <v>-400</v>
      </c>
      <c r="U498" s="31">
        <f t="shared" si="147"/>
        <v>-4.9709573159262277E-4</v>
      </c>
      <c r="V498" s="31">
        <f t="shared" si="148"/>
        <v>-2.761642953292353E-3</v>
      </c>
      <c r="W498" s="31">
        <f t="shared" si="149"/>
        <v>1.1126863529538402</v>
      </c>
      <c r="X498" s="25">
        <f t="shared" si="161"/>
        <v>-7.7784091078756621</v>
      </c>
      <c r="Y498" s="25">
        <f t="shared" si="162"/>
        <v>7.8273136470461591</v>
      </c>
      <c r="Z498" s="25">
        <f t="shared" si="163"/>
        <v>-43653563.329695754</v>
      </c>
      <c r="AA498" s="25">
        <f>SUM(L$2:L498)-SUM(AB$2:AB498)</f>
        <v>-3220.3250000000698</v>
      </c>
      <c r="AB498" s="176"/>
      <c r="AC498" s="176">
        <f t="shared" si="150"/>
        <v>118.6462959451671</v>
      </c>
      <c r="AD498" s="176">
        <f t="shared" si="151"/>
        <v>-21581.353704054833</v>
      </c>
    </row>
    <row r="499" spans="1:30" s="1" customFormat="1" x14ac:dyDescent="0.25">
      <c r="A499" s="284">
        <v>43559</v>
      </c>
      <c r="B499" s="286"/>
      <c r="C499" s="64" t="s">
        <v>69</v>
      </c>
      <c r="D499" s="64">
        <v>400</v>
      </c>
      <c r="E499" s="64">
        <v>9.0399999999999991</v>
      </c>
      <c r="F499" s="102">
        <f t="shared" si="153"/>
        <v>21300</v>
      </c>
      <c r="G499" s="32">
        <f t="shared" si="152"/>
        <v>8.8887036384976632</v>
      </c>
      <c r="H499" s="31">
        <f t="shared" si="154"/>
        <v>189329.38750000022</v>
      </c>
      <c r="I499" s="31">
        <f t="shared" si="155"/>
        <v>3222.6124999997555</v>
      </c>
      <c r="J499" s="277">
        <f t="shared" si="156"/>
        <v>1.7021195402112374E-2</v>
      </c>
      <c r="K499" s="31">
        <f t="shared" si="157"/>
        <v>192551.99999999997</v>
      </c>
      <c r="L499" s="31">
        <f t="shared" si="158"/>
        <v>2161.3839999999618</v>
      </c>
      <c r="M499" s="31">
        <f t="shared" si="164"/>
        <v>5</v>
      </c>
      <c r="N499" s="31">
        <f t="shared" si="165"/>
        <v>3.6159999999999997</v>
      </c>
      <c r="O499" s="31"/>
      <c r="P499" s="31">
        <f t="shared" si="159"/>
        <v>0.15129636150233594</v>
      </c>
      <c r="Q499" s="31">
        <f t="shared" si="160"/>
        <v>3607.3839999999909</v>
      </c>
      <c r="R499" s="31"/>
      <c r="S499" s="31">
        <f t="shared" si="145"/>
        <v>9.9999999999999645E-2</v>
      </c>
      <c r="T499" s="31">
        <f t="shared" si="146"/>
        <v>-400</v>
      </c>
      <c r="U499" s="31">
        <f t="shared" si="147"/>
        <v>-2.3918223318393217E-3</v>
      </c>
      <c r="V499" s="31">
        <f t="shared" si="148"/>
        <v>-2.39182233183933E-2</v>
      </c>
      <c r="W499" s="31">
        <f t="shared" si="149"/>
        <v>0.59915550992075339</v>
      </c>
      <c r="X499" s="25">
        <f t="shared" si="161"/>
        <v>-8.289548128576909</v>
      </c>
      <c r="Y499" s="25">
        <f t="shared" si="162"/>
        <v>8.440844490079245</v>
      </c>
      <c r="Z499" s="25">
        <f t="shared" si="163"/>
        <v>-8905343.727441581</v>
      </c>
      <c r="AA499" s="25">
        <f>SUM(L$2:L499)-SUM(AB$2:AB499)</f>
        <v>-1058.941000000108</v>
      </c>
      <c r="AB499" s="176"/>
      <c r="AC499" s="176">
        <f t="shared" si="150"/>
        <v>356.3054417864775</v>
      </c>
      <c r="AD499" s="176">
        <f t="shared" si="151"/>
        <v>-20943.694558213523</v>
      </c>
    </row>
    <row r="500" spans="1:30" s="1" customFormat="1" x14ac:dyDescent="0.25">
      <c r="A500" s="284">
        <v>43559</v>
      </c>
      <c r="B500" s="286"/>
      <c r="C500" s="64" t="s">
        <v>69</v>
      </c>
      <c r="D500" s="64">
        <v>400</v>
      </c>
      <c r="E500" s="64">
        <v>9.1</v>
      </c>
      <c r="F500" s="102">
        <f t="shared" si="153"/>
        <v>20900</v>
      </c>
      <c r="G500" s="32">
        <f t="shared" si="152"/>
        <v>8.8850730861244127</v>
      </c>
      <c r="H500" s="31">
        <f t="shared" si="154"/>
        <v>185698.02750000023</v>
      </c>
      <c r="I500" s="31">
        <f t="shared" si="155"/>
        <v>4491.9724999997707</v>
      </c>
      <c r="J500" s="277">
        <f t="shared" si="156"/>
        <v>2.4189661896111211E-2</v>
      </c>
      <c r="K500" s="31">
        <f t="shared" si="157"/>
        <v>190190</v>
      </c>
      <c r="L500" s="31">
        <f t="shared" si="158"/>
        <v>1269.3600000000151</v>
      </c>
      <c r="M500" s="31">
        <f t="shared" si="164"/>
        <v>5</v>
      </c>
      <c r="N500" s="31">
        <f t="shared" si="165"/>
        <v>3.64</v>
      </c>
      <c r="O500" s="31"/>
      <c r="P500" s="31">
        <f t="shared" si="159"/>
        <v>0.21492691387558693</v>
      </c>
      <c r="Q500" s="31">
        <f t="shared" si="160"/>
        <v>3631.359999999986</v>
      </c>
      <c r="R500" s="31"/>
      <c r="S500" s="31">
        <f t="shared" si="145"/>
        <v>6.0000000000000497E-2</v>
      </c>
      <c r="T500" s="31">
        <f t="shared" si="146"/>
        <v>-400</v>
      </c>
      <c r="U500" s="31">
        <f t="shared" si="147"/>
        <v>-3.6305523732504952E-3</v>
      </c>
      <c r="V500" s="31">
        <f t="shared" si="148"/>
        <v>-6.0509206220841084E-2</v>
      </c>
      <c r="W500" s="31">
        <f t="shared" si="149"/>
        <v>0.34955498766302984</v>
      </c>
      <c r="X500" s="25">
        <f t="shared" si="161"/>
        <v>-8.5355180984613828</v>
      </c>
      <c r="Y500" s="25">
        <f t="shared" si="162"/>
        <v>8.7504450123369697</v>
      </c>
      <c r="Z500" s="25">
        <f t="shared" si="163"/>
        <v>-5756699.7666770676</v>
      </c>
      <c r="AA500" s="25">
        <f>SUM(L$2:L500)-SUM(AB$2:AB500)</f>
        <v>210.4189999999071</v>
      </c>
      <c r="AB500" s="176"/>
      <c r="AC500" s="176">
        <f t="shared" si="150"/>
        <v>493.37653997250237</v>
      </c>
      <c r="AD500" s="176">
        <f t="shared" si="151"/>
        <v>-20406.623460027498</v>
      </c>
    </row>
    <row r="501" spans="1:30" s="1" customFormat="1" x14ac:dyDescent="0.25">
      <c r="A501" s="284">
        <v>43563</v>
      </c>
      <c r="B501" s="286"/>
      <c r="C501" s="64" t="s">
        <v>69</v>
      </c>
      <c r="D501" s="64">
        <v>400</v>
      </c>
      <c r="E501" s="64">
        <v>9.2899999999999991</v>
      </c>
      <c r="F501" s="102">
        <f t="shared" si="153"/>
        <v>20500</v>
      </c>
      <c r="G501" s="32">
        <f t="shared" si="152"/>
        <v>8.87759724390245</v>
      </c>
      <c r="H501" s="31">
        <f t="shared" si="154"/>
        <v>181990.74350000022</v>
      </c>
      <c r="I501" s="31">
        <f t="shared" si="155"/>
        <v>8454.2564999997558</v>
      </c>
      <c r="J501" s="277">
        <f t="shared" si="156"/>
        <v>4.6454321452891627E-2</v>
      </c>
      <c r="K501" s="31">
        <f t="shared" si="157"/>
        <v>190444.99999999997</v>
      </c>
      <c r="L501" s="31">
        <f t="shared" si="158"/>
        <v>3962.2839999999851</v>
      </c>
      <c r="M501" s="31">
        <f t="shared" si="164"/>
        <v>5</v>
      </c>
      <c r="N501" s="31">
        <f t="shared" si="165"/>
        <v>3.7159999999999997</v>
      </c>
      <c r="O501" s="31"/>
      <c r="P501" s="31">
        <f t="shared" si="159"/>
        <v>0.41240275609754917</v>
      </c>
      <c r="Q501" s="31">
        <f t="shared" si="160"/>
        <v>3707.2840000000142</v>
      </c>
      <c r="R501" s="31"/>
      <c r="S501" s="31">
        <f t="shared" si="145"/>
        <v>0.1899999999999995</v>
      </c>
      <c r="T501" s="31">
        <f t="shared" si="146"/>
        <v>-400</v>
      </c>
      <c r="U501" s="31">
        <f t="shared" si="147"/>
        <v>-7.4758422219627363E-3</v>
      </c>
      <c r="V501" s="31">
        <f t="shared" si="148"/>
        <v>-3.9346538010330293E-2</v>
      </c>
      <c r="W501" s="31">
        <f t="shared" si="149"/>
        <v>1.0687835083581323</v>
      </c>
      <c r="X501" s="25">
        <f t="shared" si="161"/>
        <v>-7.8088137355443177</v>
      </c>
      <c r="Y501" s="25">
        <f t="shared" si="162"/>
        <v>8.2212164916418669</v>
      </c>
      <c r="Z501" s="25">
        <f t="shared" si="163"/>
        <v>-2742165.9515197542</v>
      </c>
      <c r="AA501" s="25">
        <f>SUM(L$2:L501)-SUM(AB$2:AB501)</f>
        <v>4172.7029999998922</v>
      </c>
      <c r="AB501" s="176"/>
      <c r="AC501" s="176">
        <f t="shared" si="150"/>
        <v>909.58335540901578</v>
      </c>
      <c r="AD501" s="176">
        <f t="shared" si="151"/>
        <v>-19590.416644590983</v>
      </c>
    </row>
    <row r="502" spans="1:30" s="1" customFormat="1" x14ac:dyDescent="0.25">
      <c r="A502" s="284">
        <v>43564</v>
      </c>
      <c r="B502" s="286" t="s">
        <v>698</v>
      </c>
      <c r="C502" s="64" t="s">
        <v>69</v>
      </c>
      <c r="D502" s="64">
        <v>400</v>
      </c>
      <c r="E502" s="64">
        <v>9.3800000000000008</v>
      </c>
      <c r="F502" s="102">
        <f t="shared" si="153"/>
        <v>20100</v>
      </c>
      <c r="G502" s="32">
        <f t="shared" si="152"/>
        <v>8.8680346019900611</v>
      </c>
      <c r="H502" s="31">
        <f t="shared" si="154"/>
        <v>178247.49550000022</v>
      </c>
      <c r="I502" s="31">
        <f t="shared" si="155"/>
        <v>10290.504499999806</v>
      </c>
      <c r="J502" s="277">
        <f t="shared" si="156"/>
        <v>5.7731551689598773E-2</v>
      </c>
      <c r="K502" s="31">
        <f t="shared" si="157"/>
        <v>188538.00000000003</v>
      </c>
      <c r="L502" s="31">
        <f t="shared" si="158"/>
        <v>1836.2480000000505</v>
      </c>
      <c r="M502" s="31">
        <f t="shared" si="164"/>
        <v>5</v>
      </c>
      <c r="N502" s="31">
        <f t="shared" si="165"/>
        <v>3.7520000000000007</v>
      </c>
      <c r="O502" s="31"/>
      <c r="P502" s="31">
        <f t="shared" si="159"/>
        <v>0.51196539800993968</v>
      </c>
      <c r="Q502" s="31">
        <f t="shared" si="160"/>
        <v>3743.2479999999923</v>
      </c>
      <c r="R502" s="31"/>
      <c r="S502" s="31">
        <f t="shared" si="145"/>
        <v>9.0000000000001634E-2</v>
      </c>
      <c r="T502" s="31">
        <f t="shared" si="146"/>
        <v>-400</v>
      </c>
      <c r="U502" s="31">
        <f t="shared" si="147"/>
        <v>-9.5626419123888695E-3</v>
      </c>
      <c r="V502" s="31">
        <f t="shared" si="148"/>
        <v>-0.10625157680431885</v>
      </c>
      <c r="W502" s="31">
        <f t="shared" si="149"/>
        <v>0.49054938385061697</v>
      </c>
      <c r="X502" s="25">
        <f t="shared" si="161"/>
        <v>-8.3774852181394444</v>
      </c>
      <c r="Y502" s="25">
        <f t="shared" si="162"/>
        <v>8.889450616149384</v>
      </c>
      <c r="Z502" s="25">
        <f t="shared" si="163"/>
        <v>-2101929.5906039802</v>
      </c>
      <c r="AA502" s="25">
        <f>SUM(L$2:L502)-SUM(AB$2:AB502)</f>
        <v>6008.9509999999427</v>
      </c>
      <c r="AB502" s="176"/>
      <c r="AC502" s="176">
        <f t="shared" si="150"/>
        <v>1096.5201756662907</v>
      </c>
      <c r="AD502" s="176">
        <f t="shared" si="151"/>
        <v>-19003.47982433371</v>
      </c>
    </row>
    <row r="503" spans="1:30" s="1" customFormat="1" x14ac:dyDescent="0.25">
      <c r="A503" s="284">
        <v>43565</v>
      </c>
      <c r="B503" s="286"/>
      <c r="C503" s="64" t="s">
        <v>63</v>
      </c>
      <c r="D503" s="64">
        <v>500</v>
      </c>
      <c r="E503" s="64">
        <v>9.26</v>
      </c>
      <c r="F503" s="102">
        <f t="shared" si="153"/>
        <v>20600</v>
      </c>
      <c r="G503" s="32">
        <f t="shared" si="152"/>
        <v>8.8777910436893315</v>
      </c>
      <c r="H503" s="31">
        <f t="shared" si="154"/>
        <v>182882.49550000022</v>
      </c>
      <c r="I503" s="31">
        <f t="shared" si="155"/>
        <v>7873.5044999997772</v>
      </c>
      <c r="J503" s="277">
        <f t="shared" si="156"/>
        <v>4.3052258656431981E-2</v>
      </c>
      <c r="K503" s="31">
        <f t="shared" si="157"/>
        <v>190756</v>
      </c>
      <c r="L503" s="31">
        <f t="shared" si="158"/>
        <v>-2417.0000000000291</v>
      </c>
      <c r="M503" s="31">
        <f t="shared" si="164"/>
        <v>5</v>
      </c>
      <c r="N503" s="31">
        <f t="shared" si="165"/>
        <v>0</v>
      </c>
      <c r="O503" s="31"/>
      <c r="P503" s="31">
        <f t="shared" si="159"/>
        <v>0.38220895631066831</v>
      </c>
      <c r="Q503" s="31">
        <f t="shared" si="160"/>
        <v>-4635</v>
      </c>
      <c r="R503" s="31"/>
      <c r="S503" s="31">
        <f t="shared" si="145"/>
        <v>-0.12000000000000099</v>
      </c>
      <c r="T503" s="31">
        <f t="shared" si="146"/>
        <v>500</v>
      </c>
      <c r="U503" s="31">
        <f t="shared" si="147"/>
        <v>9.7564416992703684E-3</v>
      </c>
      <c r="V503" s="31">
        <f t="shared" si="148"/>
        <v>-8.1303680827252395E-2</v>
      </c>
      <c r="W503" s="31">
        <f t="shared" si="149"/>
        <v>0.52146709816613357</v>
      </c>
      <c r="X503" s="25">
        <f t="shared" si="161"/>
        <v>-8.3563239455231972</v>
      </c>
      <c r="Y503" s="25">
        <f t="shared" si="162"/>
        <v>8.7385329018338656</v>
      </c>
      <c r="Z503" s="25">
        <f t="shared" si="163"/>
        <v>2111425.5212062164</v>
      </c>
      <c r="AA503" s="25">
        <f>SUM(L$2:L503)-SUM(AB$2:AB503)</f>
        <v>3591.9509999999136</v>
      </c>
      <c r="AB503" s="176"/>
      <c r="AC503" s="176">
        <f t="shared" si="150"/>
        <v>849.84532913064561</v>
      </c>
      <c r="AD503" s="176">
        <f t="shared" si="151"/>
        <v>-19750.154670869353</v>
      </c>
    </row>
    <row r="504" spans="1:30" s="1" customFormat="1" x14ac:dyDescent="0.25">
      <c r="A504" s="284">
        <v>43565</v>
      </c>
      <c r="B504" s="286" t="s">
        <v>699</v>
      </c>
      <c r="C504" s="64" t="s">
        <v>69</v>
      </c>
      <c r="D504" s="64">
        <v>400</v>
      </c>
      <c r="E504" s="64">
        <v>9.34</v>
      </c>
      <c r="F504" s="102">
        <f t="shared" si="153"/>
        <v>20200</v>
      </c>
      <c r="G504" s="32">
        <f t="shared" si="152"/>
        <v>8.8690708663366458</v>
      </c>
      <c r="H504" s="31">
        <f t="shared" si="154"/>
        <v>179155.23150000023</v>
      </c>
      <c r="I504" s="31">
        <f t="shared" si="155"/>
        <v>9512.7684999997728</v>
      </c>
      <c r="J504" s="277">
        <f t="shared" si="156"/>
        <v>5.3097910791400693E-2</v>
      </c>
      <c r="K504" s="31">
        <f t="shared" si="157"/>
        <v>188668</v>
      </c>
      <c r="L504" s="31">
        <f t="shared" si="158"/>
        <v>1639.2639999999956</v>
      </c>
      <c r="M504" s="31">
        <f t="shared" si="164"/>
        <v>5</v>
      </c>
      <c r="N504" s="31">
        <f t="shared" si="165"/>
        <v>3.7360000000000002</v>
      </c>
      <c r="O504" s="31"/>
      <c r="P504" s="31">
        <f t="shared" si="159"/>
        <v>0.47092913366335409</v>
      </c>
      <c r="Q504" s="31">
        <f t="shared" si="160"/>
        <v>3727.2639999999956</v>
      </c>
      <c r="R504" s="31"/>
      <c r="S504" s="31">
        <f t="shared" si="145"/>
        <v>8.0000000000000071E-2</v>
      </c>
      <c r="T504" s="31">
        <f t="shared" si="146"/>
        <v>-400</v>
      </c>
      <c r="U504" s="31">
        <f t="shared" si="147"/>
        <v>-8.7201773526857096E-3</v>
      </c>
      <c r="V504" s="31">
        <f t="shared" si="148"/>
        <v>-0.10900221690857127</v>
      </c>
      <c r="W504" s="31">
        <f t="shared" si="149"/>
        <v>0.43980356636932549</v>
      </c>
      <c r="X504" s="25">
        <f t="shared" si="161"/>
        <v>-8.4292672999673197</v>
      </c>
      <c r="Y504" s="25">
        <f t="shared" si="162"/>
        <v>8.9001964336306738</v>
      </c>
      <c r="Z504" s="25">
        <f t="shared" si="163"/>
        <v>-2316466.647754434</v>
      </c>
      <c r="AA504" s="25">
        <f>SUM(L$2:L504)-SUM(AB$2:AB504)</f>
        <v>5231.2149999999092</v>
      </c>
      <c r="AB504" s="176"/>
      <c r="AC504" s="176">
        <f t="shared" si="150"/>
        <v>1017.9884492237445</v>
      </c>
      <c r="AD504" s="176">
        <f t="shared" si="151"/>
        <v>-19182.011550776257</v>
      </c>
    </row>
    <row r="505" spans="1:30" s="1" customFormat="1" x14ac:dyDescent="0.25">
      <c r="A505" s="284">
        <v>43571</v>
      </c>
      <c r="B505" s="286" t="s">
        <v>705</v>
      </c>
      <c r="C505" s="64" t="s">
        <v>63</v>
      </c>
      <c r="D505" s="64">
        <v>500</v>
      </c>
      <c r="E505" s="64">
        <v>8.81</v>
      </c>
      <c r="F505" s="102">
        <f t="shared" si="153"/>
        <v>20700</v>
      </c>
      <c r="G505" s="32">
        <f t="shared" si="152"/>
        <v>8.8678855797101566</v>
      </c>
      <c r="H505" s="31">
        <f t="shared" si="154"/>
        <v>183565.23150000023</v>
      </c>
      <c r="I505" s="31">
        <f t="shared" si="155"/>
        <v>-1198.2315000002272</v>
      </c>
      <c r="J505" s="277">
        <f t="shared" si="156"/>
        <v>-6.5275514878765538E-3</v>
      </c>
      <c r="K505" s="31">
        <f t="shared" si="157"/>
        <v>182367</v>
      </c>
      <c r="L505" s="31">
        <f t="shared" si="158"/>
        <v>-10711</v>
      </c>
      <c r="M505" s="31">
        <f t="shared" si="164"/>
        <v>5</v>
      </c>
      <c r="N505" s="31">
        <f t="shared" si="165"/>
        <v>0</v>
      </c>
      <c r="O505" s="31"/>
      <c r="P505" s="31">
        <f t="shared" si="159"/>
        <v>-5.7885579710156065E-2</v>
      </c>
      <c r="Q505" s="31">
        <f t="shared" si="160"/>
        <v>-4410</v>
      </c>
      <c r="R505" s="31"/>
      <c r="S505" s="31">
        <f t="shared" si="145"/>
        <v>-0.52999999999999936</v>
      </c>
      <c r="T505" s="31">
        <f t="shared" si="146"/>
        <v>500</v>
      </c>
      <c r="U505" s="31">
        <f t="shared" si="147"/>
        <v>-1.1852866264892015E-3</v>
      </c>
      <c r="V505" s="31">
        <f t="shared" si="148"/>
        <v>2.2363898613003827E-3</v>
      </c>
      <c r="W505" s="31">
        <f t="shared" si="149"/>
        <v>2.428798185941043</v>
      </c>
      <c r="X505" s="25">
        <f t="shared" si="161"/>
        <v>-6.439087393769114</v>
      </c>
      <c r="Y505" s="25">
        <f t="shared" si="162"/>
        <v>6.3812018140589579</v>
      </c>
      <c r="Z505" s="25">
        <f t="shared" si="163"/>
        <v>-17464130.225878816</v>
      </c>
      <c r="AA505" s="25">
        <f>SUM(L$2:L505)-SUM(AB$2:AB505)</f>
        <v>-5479.7850000000908</v>
      </c>
      <c r="AB505" s="176"/>
      <c r="AC505" s="176">
        <f t="shared" si="150"/>
        <v>-135.94011171966255</v>
      </c>
      <c r="AD505" s="176">
        <f t="shared" si="151"/>
        <v>-20835.940111719661</v>
      </c>
    </row>
    <row r="506" spans="1:30" s="1" customFormat="1" x14ac:dyDescent="0.25">
      <c r="A506" s="284">
        <v>43571</v>
      </c>
      <c r="B506" s="286"/>
      <c r="C506" s="64" t="s">
        <v>69</v>
      </c>
      <c r="D506" s="64">
        <v>400</v>
      </c>
      <c r="E506" s="64">
        <v>9.07</v>
      </c>
      <c r="F506" s="102">
        <f t="shared" si="153"/>
        <v>20300</v>
      </c>
      <c r="G506" s="32">
        <f t="shared" si="152"/>
        <v>8.8643280541872027</v>
      </c>
      <c r="H506" s="31">
        <f t="shared" si="154"/>
        <v>179945.85950000022</v>
      </c>
      <c r="I506" s="31">
        <f t="shared" si="155"/>
        <v>4175.1404999997758</v>
      </c>
      <c r="J506" s="277">
        <f t="shared" si="156"/>
        <v>2.3202203771739385E-2</v>
      </c>
      <c r="K506" s="31">
        <f t="shared" si="157"/>
        <v>184121</v>
      </c>
      <c r="L506" s="31">
        <f t="shared" si="158"/>
        <v>5373.372000000003</v>
      </c>
      <c r="M506" s="31">
        <f t="shared" si="164"/>
        <v>5</v>
      </c>
      <c r="N506" s="31">
        <f t="shared" si="165"/>
        <v>3.6280000000000001</v>
      </c>
      <c r="O506" s="31"/>
      <c r="P506" s="31">
        <f t="shared" si="159"/>
        <v>0.20567194581279757</v>
      </c>
      <c r="Q506" s="31">
        <f t="shared" si="160"/>
        <v>3619.372000000003</v>
      </c>
      <c r="R506" s="31"/>
      <c r="S506" s="31">
        <f t="shared" si="145"/>
        <v>0.25999999999999979</v>
      </c>
      <c r="T506" s="31">
        <f t="shared" si="146"/>
        <v>-400</v>
      </c>
      <c r="U506" s="31">
        <f t="shared" si="147"/>
        <v>-3.5575255229538527E-3</v>
      </c>
      <c r="V506" s="31">
        <f t="shared" si="148"/>
        <v>-1.3682790472899446E-2</v>
      </c>
      <c r="W506" s="31">
        <f t="shared" si="149"/>
        <v>1.4846144579777925</v>
      </c>
      <c r="X506" s="25">
        <f t="shared" si="161"/>
        <v>-7.3797135962094105</v>
      </c>
      <c r="Y506" s="25">
        <f t="shared" si="162"/>
        <v>7.585385542022208</v>
      </c>
      <c r="Z506" s="25">
        <f t="shared" si="163"/>
        <v>-5706213.4534300361</v>
      </c>
      <c r="AA506" s="25">
        <f>SUM(L$2:L506)-SUM(AB$2:AB506)</f>
        <v>-106.41300000008778</v>
      </c>
      <c r="AB506" s="176"/>
      <c r="AC506" s="176">
        <f t="shared" si="150"/>
        <v>460.09403856116603</v>
      </c>
      <c r="AD506" s="176">
        <f t="shared" si="151"/>
        <v>-19839.905961438835</v>
      </c>
    </row>
    <row r="507" spans="1:30" s="1" customFormat="1" x14ac:dyDescent="0.25">
      <c r="A507" s="284">
        <v>43573</v>
      </c>
      <c r="B507" s="286"/>
      <c r="C507" s="64" t="s">
        <v>63</v>
      </c>
      <c r="D507" s="64">
        <v>500</v>
      </c>
      <c r="E507" s="64">
        <v>8.93</v>
      </c>
      <c r="F507" s="102">
        <f t="shared" si="153"/>
        <v>20800</v>
      </c>
      <c r="G507" s="32">
        <f t="shared" si="152"/>
        <v>8.8661470913461642</v>
      </c>
      <c r="H507" s="31">
        <f t="shared" si="154"/>
        <v>184415.85950000022</v>
      </c>
      <c r="I507" s="31">
        <f t="shared" si="155"/>
        <v>1328.1404999997758</v>
      </c>
      <c r="J507" s="277">
        <f t="shared" si="156"/>
        <v>7.2018778840427086E-3</v>
      </c>
      <c r="K507" s="31">
        <f t="shared" si="157"/>
        <v>185744</v>
      </c>
      <c r="L507" s="31">
        <f t="shared" si="158"/>
        <v>-2847</v>
      </c>
      <c r="M507" s="31">
        <f t="shared" si="164"/>
        <v>5</v>
      </c>
      <c r="N507" s="31">
        <f t="shared" si="165"/>
        <v>0</v>
      </c>
      <c r="O507" s="31"/>
      <c r="P507" s="31">
        <f t="shared" si="159"/>
        <v>6.3852908653835527E-2</v>
      </c>
      <c r="Q507" s="31">
        <f t="shared" si="160"/>
        <v>-4470</v>
      </c>
      <c r="R507" s="31"/>
      <c r="S507" s="31">
        <f t="shared" si="145"/>
        <v>-0.14000000000000057</v>
      </c>
      <c r="T507" s="31">
        <f t="shared" si="146"/>
        <v>500</v>
      </c>
      <c r="U507" s="31">
        <f t="shared" si="147"/>
        <v>1.8190371589614784E-3</v>
      </c>
      <c r="V507" s="31">
        <f t="shared" si="148"/>
        <v>-1.2993122564010508E-2</v>
      </c>
      <c r="W507" s="31">
        <f t="shared" si="149"/>
        <v>0.63691275167785233</v>
      </c>
      <c r="X507" s="25">
        <f t="shared" si="161"/>
        <v>-8.2292343396683112</v>
      </c>
      <c r="Y507" s="25">
        <f t="shared" si="162"/>
        <v>8.2930872483221467</v>
      </c>
      <c r="Z507" s="25">
        <f t="shared" si="163"/>
        <v>11434620.726426007</v>
      </c>
      <c r="AA507" s="25">
        <f>SUM(L$2:L507)-SUM(AB$2:AB507)</f>
        <v>-2953.4130000000878</v>
      </c>
      <c r="AB507" s="176"/>
      <c r="AC507" s="176">
        <f t="shared" si="150"/>
        <v>148.65357555988533</v>
      </c>
      <c r="AD507" s="176">
        <f t="shared" si="151"/>
        <v>-20651.346424440115</v>
      </c>
    </row>
    <row r="508" spans="1:30" s="1" customFormat="1" x14ac:dyDescent="0.25">
      <c r="A508" s="284">
        <v>43577</v>
      </c>
      <c r="B508" s="286" t="s">
        <v>706</v>
      </c>
      <c r="C508" s="64" t="s">
        <v>63</v>
      </c>
      <c r="D508" s="64">
        <v>500</v>
      </c>
      <c r="E508" s="64">
        <v>8.7799999999999994</v>
      </c>
      <c r="F508" s="102">
        <f t="shared" si="153"/>
        <v>21300</v>
      </c>
      <c r="G508" s="32">
        <f t="shared" si="152"/>
        <v>8.8643596009389771</v>
      </c>
      <c r="H508" s="31">
        <f t="shared" si="154"/>
        <v>188810.85950000022</v>
      </c>
      <c r="I508" s="31">
        <f t="shared" si="155"/>
        <v>-1796.8595000002242</v>
      </c>
      <c r="J508" s="277">
        <f t="shared" si="156"/>
        <v>-9.5167169132039479E-3</v>
      </c>
      <c r="K508" s="31">
        <f t="shared" si="157"/>
        <v>187014</v>
      </c>
      <c r="L508" s="31">
        <f t="shared" si="158"/>
        <v>-3125</v>
      </c>
      <c r="M508" s="31">
        <f t="shared" si="164"/>
        <v>5</v>
      </c>
      <c r="N508" s="31">
        <f t="shared" si="165"/>
        <v>0</v>
      </c>
      <c r="O508" s="31"/>
      <c r="P508" s="31">
        <f t="shared" si="159"/>
        <v>-8.4359600938977763E-2</v>
      </c>
      <c r="Q508" s="31">
        <f t="shared" si="160"/>
        <v>-4395</v>
      </c>
      <c r="R508" s="31"/>
      <c r="S508" s="31">
        <f t="shared" si="145"/>
        <v>-0.15000000000000036</v>
      </c>
      <c r="T508" s="31">
        <f t="shared" si="146"/>
        <v>500</v>
      </c>
      <c r="U508" s="31">
        <f t="shared" si="147"/>
        <v>-1.7874904071870645E-3</v>
      </c>
      <c r="V508" s="31">
        <f t="shared" si="148"/>
        <v>1.1916602714580402E-2</v>
      </c>
      <c r="W508" s="31">
        <f t="shared" si="149"/>
        <v>0.71103526734926048</v>
      </c>
      <c r="X508" s="25">
        <f t="shared" si="161"/>
        <v>-8.1533243335897172</v>
      </c>
      <c r="Y508" s="25">
        <f t="shared" si="162"/>
        <v>8.0689647326507394</v>
      </c>
      <c r="Z508" s="25">
        <f t="shared" si="163"/>
        <v>-11916147.86538595</v>
      </c>
      <c r="AA508" s="25">
        <f>SUM(L$2:L508)-SUM(AB$2:AB508)</f>
        <v>-6078.4130000000878</v>
      </c>
      <c r="AB508" s="176"/>
      <c r="AC508" s="176">
        <f t="shared" si="150"/>
        <v>-204.55137474376133</v>
      </c>
      <c r="AD508" s="176">
        <f t="shared" si="151"/>
        <v>-21504.551374743762</v>
      </c>
    </row>
    <row r="509" spans="1:30" s="1" customFormat="1" x14ac:dyDescent="0.25">
      <c r="A509" s="329">
        <v>43577</v>
      </c>
      <c r="B509" s="330"/>
      <c r="C509" s="104" t="s">
        <v>63</v>
      </c>
      <c r="D509" s="104">
        <v>500</v>
      </c>
      <c r="E509" s="104">
        <v>8.64</v>
      </c>
      <c r="F509" s="102">
        <f t="shared" si="153"/>
        <v>21800</v>
      </c>
      <c r="G509" s="32">
        <f t="shared" si="152"/>
        <v>8.8594430963302848</v>
      </c>
      <c r="H509" s="31">
        <f t="shared" si="154"/>
        <v>193135.85950000022</v>
      </c>
      <c r="I509" s="31">
        <f t="shared" si="155"/>
        <v>-4783.8595000002242</v>
      </c>
      <c r="J509" s="277">
        <f t="shared" si="156"/>
        <v>-2.4769400733685044E-2</v>
      </c>
      <c r="K509" s="31">
        <f t="shared" si="157"/>
        <v>188352</v>
      </c>
      <c r="L509" s="31">
        <f t="shared" si="158"/>
        <v>-2987</v>
      </c>
      <c r="M509" s="31">
        <f t="shared" si="164"/>
        <v>5</v>
      </c>
      <c r="N509" s="31">
        <f t="shared" si="165"/>
        <v>0</v>
      </c>
      <c r="O509" s="31"/>
      <c r="P509" s="31">
        <f t="shared" si="159"/>
        <v>-0.21944309633028425</v>
      </c>
      <c r="Q509" s="31">
        <f t="shared" si="160"/>
        <v>-4325</v>
      </c>
      <c r="R509" s="31"/>
      <c r="S509" s="31">
        <f t="shared" si="145"/>
        <v>-0.13999999999999879</v>
      </c>
      <c r="T509" s="31">
        <f t="shared" si="146"/>
        <v>500</v>
      </c>
      <c r="U509" s="31">
        <f t="shared" si="147"/>
        <v>-4.916504608692307E-3</v>
      </c>
      <c r="V509" s="31">
        <f t="shared" si="148"/>
        <v>3.5117890062088208E-2</v>
      </c>
      <c r="W509" s="31">
        <f t="shared" si="149"/>
        <v>0.69063583815028906</v>
      </c>
      <c r="X509" s="25">
        <f t="shared" si="161"/>
        <v>-8.1688072581799958</v>
      </c>
      <c r="Y509" s="25">
        <f t="shared" si="162"/>
        <v>7.9493641618497115</v>
      </c>
      <c r="Z509" s="25">
        <f t="shared" si="163"/>
        <v>-4434044.4553754563</v>
      </c>
      <c r="AA509" s="25">
        <f>SUM(L$2:L509)-SUM(AB$2:AB509)</f>
        <v>-9065.4130000000878</v>
      </c>
      <c r="AB509" s="176"/>
      <c r="AC509" s="176">
        <f t="shared" si="150"/>
        <v>-553.41059840859077</v>
      </c>
      <c r="AD509" s="176">
        <f t="shared" si="151"/>
        <v>-22353.410598408591</v>
      </c>
    </row>
    <row r="510" spans="1:30" s="1" customFormat="1" x14ac:dyDescent="0.25">
      <c r="A510" s="284">
        <v>43578</v>
      </c>
      <c r="B510" s="286" t="s">
        <v>710</v>
      </c>
      <c r="C510" s="64" t="s">
        <v>63</v>
      </c>
      <c r="D510" s="64">
        <v>1000</v>
      </c>
      <c r="E510" s="64">
        <v>8.59</v>
      </c>
      <c r="F510" s="102">
        <f t="shared" si="153"/>
        <v>22800</v>
      </c>
      <c r="G510" s="32">
        <f t="shared" si="152"/>
        <v>8.8478447149122914</v>
      </c>
      <c r="H510" s="31">
        <f t="shared" si="154"/>
        <v>201730.85950000022</v>
      </c>
      <c r="I510" s="31">
        <f t="shared" si="155"/>
        <v>-5878.8595000002242</v>
      </c>
      <c r="J510" s="277">
        <f t="shared" si="156"/>
        <v>-2.9142093156055978E-2</v>
      </c>
      <c r="K510" s="31">
        <f t="shared" si="157"/>
        <v>195852</v>
      </c>
      <c r="L510" s="31">
        <f t="shared" si="158"/>
        <v>-1095</v>
      </c>
      <c r="M510" s="31">
        <f t="shared" si="164"/>
        <v>5</v>
      </c>
      <c r="N510" s="31">
        <f t="shared" si="165"/>
        <v>0</v>
      </c>
      <c r="O510" s="31"/>
      <c r="P510" s="31">
        <f t="shared" si="159"/>
        <v>-0.25784471491229155</v>
      </c>
      <c r="Q510" s="31">
        <f t="shared" si="160"/>
        <v>-8595</v>
      </c>
      <c r="R510" s="31"/>
      <c r="S510" s="31">
        <f t="shared" si="145"/>
        <v>-5.0000000000000711E-2</v>
      </c>
      <c r="T510" s="31">
        <f t="shared" si="146"/>
        <v>1000</v>
      </c>
      <c r="U510" s="31">
        <f t="shared" si="147"/>
        <v>-1.1598381417993409E-2</v>
      </c>
      <c r="V510" s="31">
        <f t="shared" si="148"/>
        <v>0.23196762835986487</v>
      </c>
      <c r="W510" s="31">
        <f t="shared" si="149"/>
        <v>0.12739965095986039</v>
      </c>
      <c r="X510" s="25">
        <f t="shared" si="161"/>
        <v>-8.7204450639524307</v>
      </c>
      <c r="Y510" s="25">
        <f t="shared" si="162"/>
        <v>8.4626003490401391</v>
      </c>
      <c r="Z510" s="25">
        <f t="shared" si="163"/>
        <v>-1965791.5340349739</v>
      </c>
      <c r="AA510" s="25">
        <f>SUM(L$2:L510)-SUM(AB$2:AB510)</f>
        <v>-10160.413000000088</v>
      </c>
      <c r="AB510" s="176"/>
      <c r="AC510" s="176">
        <f t="shared" si="150"/>
        <v>-684.04191737488054</v>
      </c>
      <c r="AD510" s="176">
        <f t="shared" si="151"/>
        <v>-23484.041917374881</v>
      </c>
    </row>
    <row r="511" spans="1:30" s="1" customFormat="1" x14ac:dyDescent="0.25">
      <c r="A511" s="329">
        <v>43579</v>
      </c>
      <c r="B511" s="330"/>
      <c r="C511" s="104" t="s">
        <v>63</v>
      </c>
      <c r="D511" s="104">
        <v>1000</v>
      </c>
      <c r="E511" s="104">
        <v>8.51</v>
      </c>
      <c r="F511" s="102">
        <f t="shared" si="153"/>
        <v>23800</v>
      </c>
      <c r="G511" s="32">
        <f t="shared" si="152"/>
        <v>8.8338596428571527</v>
      </c>
      <c r="H511" s="31">
        <f t="shared" si="154"/>
        <v>210245.85950000022</v>
      </c>
      <c r="I511" s="31">
        <f t="shared" si="155"/>
        <v>-7707.8595000002242</v>
      </c>
      <c r="J511" s="277">
        <f t="shared" si="156"/>
        <v>-3.6661171441524781E-2</v>
      </c>
      <c r="K511" s="31">
        <f t="shared" si="157"/>
        <v>202538</v>
      </c>
      <c r="L511" s="31">
        <f t="shared" si="158"/>
        <v>-1829</v>
      </c>
      <c r="M511" s="31">
        <f t="shared" si="164"/>
        <v>5</v>
      </c>
      <c r="N511" s="31">
        <f t="shared" si="165"/>
        <v>0</v>
      </c>
      <c r="O511" s="31"/>
      <c r="P511" s="31">
        <f t="shared" si="159"/>
        <v>-0.32385964285715296</v>
      </c>
      <c r="Q511" s="31">
        <f t="shared" si="160"/>
        <v>-8515</v>
      </c>
      <c r="R511" s="31"/>
      <c r="S511" s="31">
        <f t="shared" si="145"/>
        <v>-8.0000000000000071E-2</v>
      </c>
      <c r="T511" s="31">
        <f t="shared" si="146"/>
        <v>1000</v>
      </c>
      <c r="U511" s="31">
        <f t="shared" si="147"/>
        <v>-1.3985072055138659E-2</v>
      </c>
      <c r="V511" s="31">
        <f t="shared" si="148"/>
        <v>0.17481340068923307</v>
      </c>
      <c r="W511" s="31">
        <f t="shared" si="149"/>
        <v>0.21479741632413388</v>
      </c>
      <c r="X511" s="25">
        <f t="shared" si="161"/>
        <v>-8.6190622265330195</v>
      </c>
      <c r="Y511" s="25">
        <f t="shared" si="162"/>
        <v>8.2952025836758665</v>
      </c>
      <c r="Z511" s="25">
        <f t="shared" si="163"/>
        <v>-1701814.613908618</v>
      </c>
      <c r="AA511" s="25">
        <f>SUM(L$2:L511)-SUM(AB$2:AB511)</f>
        <v>-11989.413000000088</v>
      </c>
      <c r="AB511" s="176"/>
      <c r="AC511" s="176">
        <f t="shared" si="150"/>
        <v>-905.2885511457373</v>
      </c>
      <c r="AD511" s="176">
        <f t="shared" si="151"/>
        <v>-24705.288551145739</v>
      </c>
    </row>
    <row r="512" spans="1:30" s="1" customFormat="1" x14ac:dyDescent="0.25">
      <c r="A512" s="329">
        <v>43579</v>
      </c>
      <c r="B512" s="330"/>
      <c r="C512" s="104" t="s">
        <v>63</v>
      </c>
      <c r="D512" s="104">
        <v>1000</v>
      </c>
      <c r="E512" s="104">
        <v>8.3800000000000008</v>
      </c>
      <c r="F512" s="102">
        <f t="shared" si="153"/>
        <v>24800</v>
      </c>
      <c r="G512" s="32">
        <f t="shared" si="152"/>
        <v>8.8157604637096867</v>
      </c>
      <c r="H512" s="31">
        <f t="shared" si="154"/>
        <v>218630.85950000022</v>
      </c>
      <c r="I512" s="31">
        <f t="shared" si="155"/>
        <v>-10806.859500000195</v>
      </c>
      <c r="J512" s="277">
        <f t="shared" si="156"/>
        <v>-4.942970779475072E-2</v>
      </c>
      <c r="K512" s="31">
        <f t="shared" si="157"/>
        <v>207824.00000000003</v>
      </c>
      <c r="L512" s="31">
        <f t="shared" si="158"/>
        <v>-3098.9999999999709</v>
      </c>
      <c r="M512" s="31">
        <f t="shared" si="164"/>
        <v>5</v>
      </c>
      <c r="N512" s="31">
        <f t="shared" si="165"/>
        <v>0</v>
      </c>
      <c r="O512" s="31"/>
      <c r="P512" s="31">
        <f t="shared" si="159"/>
        <v>-0.43576046370968591</v>
      </c>
      <c r="Q512" s="31">
        <f t="shared" si="160"/>
        <v>-8385</v>
      </c>
      <c r="R512" s="31"/>
      <c r="S512" s="31">
        <f t="shared" si="145"/>
        <v>-0.12999999999999901</v>
      </c>
      <c r="T512" s="31">
        <f t="shared" si="146"/>
        <v>1000</v>
      </c>
      <c r="U512" s="31">
        <f t="shared" si="147"/>
        <v>-1.809917914746606E-2</v>
      </c>
      <c r="V512" s="31">
        <f t="shared" si="148"/>
        <v>0.13922445498050923</v>
      </c>
      <c r="W512" s="31">
        <f t="shared" si="149"/>
        <v>0.36958855098389637</v>
      </c>
      <c r="X512" s="25">
        <f t="shared" si="161"/>
        <v>-8.4461719127257897</v>
      </c>
      <c r="Y512" s="25">
        <f t="shared" si="162"/>
        <v>8.0104114490161038</v>
      </c>
      <c r="Z512" s="25">
        <f t="shared" si="163"/>
        <v>-1370227.8870184051</v>
      </c>
      <c r="AA512" s="25">
        <f>SUM(L$2:L512)-SUM(AB$2:AB512)</f>
        <v>-15088.413000000059</v>
      </c>
      <c r="AB512" s="176"/>
      <c r="AC512" s="176">
        <f t="shared" si="150"/>
        <v>-1288.9565716289017</v>
      </c>
      <c r="AD512" s="176">
        <f t="shared" si="151"/>
        <v>-26088.9565716289</v>
      </c>
    </row>
    <row r="513" spans="1:30" s="1" customFormat="1" x14ac:dyDescent="0.25">
      <c r="A513" s="284">
        <v>43581</v>
      </c>
      <c r="B513" s="286" t="s">
        <v>709</v>
      </c>
      <c r="C513" s="315" t="s">
        <v>708</v>
      </c>
      <c r="D513" s="64">
        <v>1000</v>
      </c>
      <c r="E513" s="64">
        <v>8.23</v>
      </c>
      <c r="F513" s="102">
        <f t="shared" si="153"/>
        <v>25800</v>
      </c>
      <c r="G513" s="32">
        <f t="shared" si="152"/>
        <v>8.7932503682170626</v>
      </c>
      <c r="H513" s="31">
        <f t="shared" si="154"/>
        <v>226865.85950000022</v>
      </c>
      <c r="I513" s="31">
        <f t="shared" si="155"/>
        <v>-14531.859500000224</v>
      </c>
      <c r="J513" s="277">
        <f t="shared" si="156"/>
        <v>-6.4054853965367989E-2</v>
      </c>
      <c r="K513" s="31">
        <f t="shared" si="157"/>
        <v>212334</v>
      </c>
      <c r="L513" s="31">
        <f t="shared" si="158"/>
        <v>-3725.0000000000291</v>
      </c>
      <c r="M513" s="31">
        <f t="shared" si="164"/>
        <v>5</v>
      </c>
      <c r="N513" s="31">
        <f t="shared" si="165"/>
        <v>0</v>
      </c>
      <c r="O513" s="31"/>
      <c r="P513" s="31">
        <f t="shared" si="159"/>
        <v>-0.5632503682170622</v>
      </c>
      <c r="Q513" s="31">
        <f t="shared" si="160"/>
        <v>-8235</v>
      </c>
      <c r="R513" s="31"/>
      <c r="S513" s="31">
        <f t="shared" si="145"/>
        <v>-0.15000000000000036</v>
      </c>
      <c r="T513" s="31">
        <f t="shared" si="146"/>
        <v>1000</v>
      </c>
      <c r="U513" s="31">
        <f t="shared" si="147"/>
        <v>-2.251009549262406E-2</v>
      </c>
      <c r="V513" s="31">
        <f t="shared" si="148"/>
        <v>0.15006730328416004</v>
      </c>
      <c r="W513" s="31">
        <f t="shared" si="149"/>
        <v>0.45233758348512798</v>
      </c>
      <c r="X513" s="25">
        <f t="shared" si="161"/>
        <v>-8.340912784731934</v>
      </c>
      <c r="Y513" s="25">
        <f t="shared" si="162"/>
        <v>7.7776624165148718</v>
      </c>
      <c r="Z513" s="25">
        <f t="shared" si="163"/>
        <v>-1146152.4011950083</v>
      </c>
      <c r="AA513" s="25">
        <f>SUM(L$2:L513)-SUM(AB$2:AB513)</f>
        <v>-18813.413000000088</v>
      </c>
      <c r="AB513" s="176"/>
      <c r="AC513" s="176">
        <f t="shared" si="150"/>
        <v>-1764.8351847205618</v>
      </c>
      <c r="AD513" s="176">
        <f t="shared" si="151"/>
        <v>-27564.835184720563</v>
      </c>
    </row>
    <row r="514" spans="1:30" s="1" customFormat="1" x14ac:dyDescent="0.25">
      <c r="A514" s="284">
        <v>43581</v>
      </c>
      <c r="B514" s="286"/>
      <c r="C514" s="64" t="s">
        <v>69</v>
      </c>
      <c r="D514" s="64">
        <v>400</v>
      </c>
      <c r="E514" s="64">
        <v>8.34</v>
      </c>
      <c r="F514" s="102">
        <f t="shared" si="153"/>
        <v>25400</v>
      </c>
      <c r="G514" s="32">
        <f t="shared" si="152"/>
        <v>8.8007163582677261</v>
      </c>
      <c r="H514" s="31">
        <f t="shared" si="154"/>
        <v>223538.19550000023</v>
      </c>
      <c r="I514" s="31">
        <f t="shared" si="155"/>
        <v>-11702.195500000234</v>
      </c>
      <c r="J514" s="277">
        <f t="shared" si="156"/>
        <v>-5.2349870114256312E-2</v>
      </c>
      <c r="K514" s="31">
        <f t="shared" si="157"/>
        <v>211836</v>
      </c>
      <c r="L514" s="31">
        <f t="shared" si="158"/>
        <v>2829.6639999999898</v>
      </c>
      <c r="M514" s="31">
        <f t="shared" si="164"/>
        <v>5</v>
      </c>
      <c r="N514" s="31">
        <f t="shared" si="165"/>
        <v>3.3359999999999999</v>
      </c>
      <c r="O514" s="31"/>
      <c r="P514" s="31">
        <f t="shared" si="159"/>
        <v>-0.46071635826772628</v>
      </c>
      <c r="Q514" s="31">
        <f t="shared" si="160"/>
        <v>3327.6639999999898</v>
      </c>
      <c r="R514" s="31"/>
      <c r="S514" s="31">
        <f t="shared" ref="S514:S577" si="166">E514-E513</f>
        <v>0.10999999999999943</v>
      </c>
      <c r="T514" s="31">
        <f t="shared" ref="T514:T577" si="167">F514-F513</f>
        <v>-400</v>
      </c>
      <c r="U514" s="31">
        <f t="shared" ref="U514:U577" si="168">G514-G513</f>
        <v>7.4659900506635068E-3</v>
      </c>
      <c r="V514" s="31">
        <f t="shared" ref="V514:V577" si="169">U514/S514</f>
        <v>6.7872636824214044E-2</v>
      </c>
      <c r="W514" s="31">
        <f t="shared" ref="W514:W577" si="170">L514/Q514</f>
        <v>0.85034546757124474</v>
      </c>
      <c r="X514" s="25">
        <f t="shared" si="161"/>
        <v>-7.9503708906964814</v>
      </c>
      <c r="Y514" s="25">
        <f t="shared" si="162"/>
        <v>7.4896545324287551</v>
      </c>
      <c r="Z514" s="25">
        <f t="shared" si="163"/>
        <v>3402094.0059708073</v>
      </c>
      <c r="AA514" s="25">
        <f>SUM(L$2:L514)-SUM(AB$2:AB514)</f>
        <v>-15983.749000000098</v>
      </c>
      <c r="AB514" s="176"/>
      <c r="AC514" s="176">
        <f t="shared" si="150"/>
        <v>-1402.4393767686133</v>
      </c>
      <c r="AD514" s="176">
        <f t="shared" si="151"/>
        <v>-26802.439376768612</v>
      </c>
    </row>
    <row r="515" spans="1:30" s="1" customFormat="1" x14ac:dyDescent="0.25">
      <c r="A515" s="284">
        <v>43581</v>
      </c>
      <c r="B515" s="286" t="s">
        <v>711</v>
      </c>
      <c r="C515" s="64" t="s">
        <v>63</v>
      </c>
      <c r="D515" s="64">
        <v>500</v>
      </c>
      <c r="E515" s="64">
        <v>8.24</v>
      </c>
      <c r="F515" s="102">
        <f t="shared" si="153"/>
        <v>25900</v>
      </c>
      <c r="G515" s="32">
        <f t="shared" si="152"/>
        <v>8.7900847683397778</v>
      </c>
      <c r="H515" s="31">
        <f t="shared" si="154"/>
        <v>227663.19550000023</v>
      </c>
      <c r="I515" s="31">
        <f t="shared" si="155"/>
        <v>-14247.195500000234</v>
      </c>
      <c r="J515" s="277">
        <f t="shared" si="156"/>
        <v>-6.2580143745721184E-2</v>
      </c>
      <c r="K515" s="31">
        <f t="shared" si="157"/>
        <v>213416</v>
      </c>
      <c r="L515" s="31">
        <f t="shared" si="158"/>
        <v>-2545</v>
      </c>
      <c r="M515" s="31">
        <f t="shared" si="164"/>
        <v>5</v>
      </c>
      <c r="N515" s="31">
        <f t="shared" si="165"/>
        <v>0</v>
      </c>
      <c r="O515" s="31"/>
      <c r="P515" s="31">
        <f t="shared" si="159"/>
        <v>-0.5500847683397776</v>
      </c>
      <c r="Q515" s="31">
        <f t="shared" si="160"/>
        <v>-4125</v>
      </c>
      <c r="R515" s="31"/>
      <c r="S515" s="31">
        <f t="shared" si="166"/>
        <v>-9.9999999999999645E-2</v>
      </c>
      <c r="T515" s="31">
        <f t="shared" si="167"/>
        <v>500</v>
      </c>
      <c r="U515" s="31">
        <f t="shared" si="168"/>
        <v>-1.0631589927948326E-2</v>
      </c>
      <c r="V515" s="31">
        <f t="shared" si="169"/>
        <v>0.10631589927948364</v>
      </c>
      <c r="W515" s="31">
        <f t="shared" si="170"/>
        <v>0.61696969696969695</v>
      </c>
      <c r="X515" s="25">
        <f t="shared" si="161"/>
        <v>-8.1731150713700806</v>
      </c>
      <c r="Y515" s="25">
        <f t="shared" si="162"/>
        <v>7.623030303030303</v>
      </c>
      <c r="Z515" s="25">
        <f t="shared" si="163"/>
        <v>-2436136.0977546806</v>
      </c>
      <c r="AA515" s="25">
        <f>SUM(L$2:L515)-SUM(AB$2:AB515)</f>
        <v>-18528.749000000098</v>
      </c>
      <c r="AB515" s="176"/>
      <c r="AC515" s="176">
        <f t="shared" ref="AC515:AC578" si="171">I515/E515*(1-0.0005)</f>
        <v>-1728.1640658070673</v>
      </c>
      <c r="AD515" s="176">
        <f t="shared" ref="AD515:AD578" si="172">AC515-F515</f>
        <v>-27628.164065807068</v>
      </c>
    </row>
    <row r="516" spans="1:30" s="1" customFormat="1" x14ac:dyDescent="0.25">
      <c r="A516" s="284">
        <v>43584</v>
      </c>
      <c r="B516" s="286"/>
      <c r="C516" s="315" t="s">
        <v>712</v>
      </c>
      <c r="D516" s="64">
        <v>500</v>
      </c>
      <c r="E516" s="64">
        <v>8.17</v>
      </c>
      <c r="F516" s="102">
        <f t="shared" si="153"/>
        <v>26400</v>
      </c>
      <c r="G516" s="32">
        <f t="shared" si="152"/>
        <v>8.7785301325757672</v>
      </c>
      <c r="H516" s="31">
        <f t="shared" si="154"/>
        <v>231753.19550000023</v>
      </c>
      <c r="I516" s="31">
        <f t="shared" si="155"/>
        <v>-16065.195500000234</v>
      </c>
      <c r="J516" s="277">
        <f t="shared" si="156"/>
        <v>-6.9320276103809919E-2</v>
      </c>
      <c r="K516" s="31">
        <f t="shared" si="157"/>
        <v>215688</v>
      </c>
      <c r="L516" s="31">
        <f t="shared" si="158"/>
        <v>-1818</v>
      </c>
      <c r="M516" s="31">
        <f t="shared" si="164"/>
        <v>5</v>
      </c>
      <c r="N516" s="31">
        <f t="shared" si="165"/>
        <v>0</v>
      </c>
      <c r="O516" s="31"/>
      <c r="P516" s="31">
        <f t="shared" si="159"/>
        <v>-0.60853013257576727</v>
      </c>
      <c r="Q516" s="31">
        <f t="shared" si="160"/>
        <v>-4090</v>
      </c>
      <c r="R516" s="31"/>
      <c r="S516" s="31">
        <f t="shared" si="166"/>
        <v>-7.0000000000000284E-2</v>
      </c>
      <c r="T516" s="31">
        <f t="shared" si="167"/>
        <v>500</v>
      </c>
      <c r="U516" s="31">
        <f t="shared" si="168"/>
        <v>-1.1554635764010612E-2</v>
      </c>
      <c r="V516" s="31">
        <f t="shared" si="169"/>
        <v>0.16506622520015093</v>
      </c>
      <c r="W516" s="31">
        <f t="shared" si="170"/>
        <v>0.4444987775061125</v>
      </c>
      <c r="X516" s="25">
        <f t="shared" si="161"/>
        <v>-8.334031355069655</v>
      </c>
      <c r="Y516" s="25">
        <f t="shared" si="162"/>
        <v>7.7255012224938877</v>
      </c>
      <c r="Z516" s="25">
        <f t="shared" si="163"/>
        <v>-2284797.2484107595</v>
      </c>
      <c r="AA516" s="25">
        <f>SUM(L$2:L516)-SUM(AB$2:AB516)</f>
        <v>-20346.749000000098</v>
      </c>
      <c r="AB516" s="176"/>
      <c r="AC516" s="176">
        <f t="shared" si="171"/>
        <v>-1965.3810161872993</v>
      </c>
      <c r="AD516" s="176">
        <f t="shared" si="172"/>
        <v>-28365.381016187301</v>
      </c>
    </row>
    <row r="517" spans="1:30" s="1" customFormat="1" x14ac:dyDescent="0.25">
      <c r="A517" s="284">
        <v>43591</v>
      </c>
      <c r="B517" s="286"/>
      <c r="C517" s="315" t="s">
        <v>713</v>
      </c>
      <c r="D517" s="64">
        <v>500</v>
      </c>
      <c r="E517" s="64">
        <v>8.0500000000000007</v>
      </c>
      <c r="F517" s="102">
        <f t="shared" si="153"/>
        <v>26900</v>
      </c>
      <c r="G517" s="32">
        <f t="shared" si="152"/>
        <v>8.7651745539033552</v>
      </c>
      <c r="H517" s="31">
        <f t="shared" si="154"/>
        <v>235783.19550000023</v>
      </c>
      <c r="I517" s="31">
        <f t="shared" si="155"/>
        <v>-19238.195500000205</v>
      </c>
      <c r="J517" s="277">
        <f t="shared" si="156"/>
        <v>-8.1592733779028856E-2</v>
      </c>
      <c r="K517" s="31">
        <f t="shared" si="157"/>
        <v>216545.00000000003</v>
      </c>
      <c r="L517" s="31">
        <f t="shared" si="158"/>
        <v>-3172.9999999999709</v>
      </c>
      <c r="M517" s="31">
        <f t="shared" si="164"/>
        <v>5</v>
      </c>
      <c r="N517" s="31">
        <f t="shared" si="165"/>
        <v>0</v>
      </c>
      <c r="O517" s="31"/>
      <c r="P517" s="31">
        <f t="shared" si="159"/>
        <v>-0.71517455390335449</v>
      </c>
      <c r="Q517" s="31">
        <f t="shared" si="160"/>
        <v>-4030</v>
      </c>
      <c r="R517" s="31"/>
      <c r="S517" s="31">
        <f t="shared" si="166"/>
        <v>-0.11999999999999922</v>
      </c>
      <c r="T517" s="31">
        <f t="shared" si="167"/>
        <v>500</v>
      </c>
      <c r="U517" s="31">
        <f t="shared" si="168"/>
        <v>-1.3355578672411994E-2</v>
      </c>
      <c r="V517" s="31">
        <f t="shared" si="169"/>
        <v>0.11129648893676734</v>
      </c>
      <c r="W517" s="31">
        <f t="shared" si="170"/>
        <v>0.78734491315135757</v>
      </c>
      <c r="X517" s="25">
        <f t="shared" si="161"/>
        <v>-7.977829640751998</v>
      </c>
      <c r="Y517" s="25">
        <f t="shared" si="162"/>
        <v>7.2626550868486435</v>
      </c>
      <c r="Z517" s="25">
        <f t="shared" si="163"/>
        <v>-2014139.6086091048</v>
      </c>
      <c r="AA517" s="25">
        <f>SUM(L$2:L517)-SUM(AB$2:AB517)</f>
        <v>-23519.749000000069</v>
      </c>
      <c r="AB517" s="176"/>
      <c r="AC517" s="176">
        <f t="shared" si="171"/>
        <v>-2388.643031335429</v>
      </c>
      <c r="AD517" s="176">
        <f t="shared" si="172"/>
        <v>-29288.643031335429</v>
      </c>
    </row>
    <row r="518" spans="1:30" s="1" customFormat="1" x14ac:dyDescent="0.25">
      <c r="A518" s="284">
        <v>43591</v>
      </c>
      <c r="B518" s="286" t="s">
        <v>717</v>
      </c>
      <c r="C518" s="315" t="s">
        <v>716</v>
      </c>
      <c r="D518" s="64">
        <v>500</v>
      </c>
      <c r="E518" s="64">
        <v>7.98</v>
      </c>
      <c r="F518" s="102">
        <f t="shared" si="153"/>
        <v>27400</v>
      </c>
      <c r="G518" s="32">
        <f t="shared" si="152"/>
        <v>8.7510290328467235</v>
      </c>
      <c r="H518" s="31">
        <f t="shared" si="154"/>
        <v>239778.19550000023</v>
      </c>
      <c r="I518" s="31">
        <f t="shared" si="155"/>
        <v>-21126.195500000234</v>
      </c>
      <c r="J518" s="277">
        <f t="shared" si="156"/>
        <v>-8.8107242011503883E-2</v>
      </c>
      <c r="K518" s="31">
        <f t="shared" si="157"/>
        <v>218652</v>
      </c>
      <c r="L518" s="31">
        <f t="shared" si="158"/>
        <v>-1888.0000000000291</v>
      </c>
      <c r="M518" s="31">
        <f t="shared" si="164"/>
        <v>5</v>
      </c>
      <c r="N518" s="31">
        <f t="shared" si="165"/>
        <v>0</v>
      </c>
      <c r="O518" s="31"/>
      <c r="P518" s="31">
        <f t="shared" si="159"/>
        <v>-0.77102903284672308</v>
      </c>
      <c r="Q518" s="31">
        <f t="shared" si="160"/>
        <v>-3995</v>
      </c>
      <c r="R518" s="31"/>
      <c r="S518" s="31">
        <f t="shared" si="166"/>
        <v>-7.0000000000000284E-2</v>
      </c>
      <c r="T518" s="31">
        <f t="shared" si="167"/>
        <v>500</v>
      </c>
      <c r="U518" s="31">
        <f t="shared" si="168"/>
        <v>-1.4145521056631694E-2</v>
      </c>
      <c r="V518" s="31">
        <f t="shared" si="169"/>
        <v>0.2020788722375948</v>
      </c>
      <c r="W518" s="31">
        <f t="shared" si="170"/>
        <v>0.47259073842303606</v>
      </c>
      <c r="X518" s="25">
        <f t="shared" si="161"/>
        <v>-8.2784382944236867</v>
      </c>
      <c r="Y518" s="25">
        <f t="shared" si="162"/>
        <v>7.5074092615769636</v>
      </c>
      <c r="Z518" s="25">
        <f t="shared" si="163"/>
        <v>-1937008.8871455428</v>
      </c>
      <c r="AA518" s="25">
        <f>SUM(L$2:L518)-SUM(AB$2:AB518)</f>
        <v>-25407.749000000098</v>
      </c>
      <c r="AB518" s="176"/>
      <c r="AC518" s="176">
        <f t="shared" si="171"/>
        <v>-2646.0692233396285</v>
      </c>
      <c r="AD518" s="176">
        <f t="shared" si="172"/>
        <v>-30046.069223339629</v>
      </c>
    </row>
    <row r="519" spans="1:30" s="1" customFormat="1" x14ac:dyDescent="0.25">
      <c r="A519" s="284">
        <v>43591</v>
      </c>
      <c r="B519" s="286"/>
      <c r="C519" s="315" t="s">
        <v>716</v>
      </c>
      <c r="D519" s="64">
        <v>500</v>
      </c>
      <c r="E519" s="64">
        <v>7.78</v>
      </c>
      <c r="F519" s="102">
        <f t="shared" si="153"/>
        <v>27900</v>
      </c>
      <c r="G519" s="32">
        <f t="shared" si="152"/>
        <v>8.7338062903225886</v>
      </c>
      <c r="H519" s="31">
        <f t="shared" si="154"/>
        <v>243673.19550000023</v>
      </c>
      <c r="I519" s="31">
        <f t="shared" si="155"/>
        <v>-26611.195500000234</v>
      </c>
      <c r="J519" s="277">
        <f t="shared" si="156"/>
        <v>-0.10920854649357685</v>
      </c>
      <c r="K519" s="31">
        <f t="shared" si="157"/>
        <v>217062</v>
      </c>
      <c r="L519" s="31">
        <f t="shared" si="158"/>
        <v>-5485</v>
      </c>
      <c r="M519" s="31">
        <f t="shared" si="164"/>
        <v>5</v>
      </c>
      <c r="N519" s="31">
        <f t="shared" si="165"/>
        <v>0</v>
      </c>
      <c r="O519" s="31"/>
      <c r="P519" s="31">
        <f t="shared" si="159"/>
        <v>-0.95380629032258835</v>
      </c>
      <c r="Q519" s="31">
        <f t="shared" si="160"/>
        <v>-3895</v>
      </c>
      <c r="R519" s="31"/>
      <c r="S519" s="31">
        <f t="shared" si="166"/>
        <v>-0.20000000000000018</v>
      </c>
      <c r="T519" s="31">
        <f t="shared" si="167"/>
        <v>500</v>
      </c>
      <c r="U519" s="31">
        <f t="shared" si="168"/>
        <v>-1.7222742524134915E-2</v>
      </c>
      <c r="V519" s="31">
        <f t="shared" si="169"/>
        <v>8.6113712620674493E-2</v>
      </c>
      <c r="W519" s="31">
        <f t="shared" si="170"/>
        <v>1.4082156611039796</v>
      </c>
      <c r="X519" s="25">
        <f t="shared" si="161"/>
        <v>-7.3255906292186088</v>
      </c>
      <c r="Y519" s="25">
        <f t="shared" si="162"/>
        <v>6.3717843388960205</v>
      </c>
      <c r="Z519" s="25">
        <f t="shared" si="163"/>
        <v>-1619951.0595308859</v>
      </c>
      <c r="AA519" s="25">
        <f>SUM(L$2:L519)-SUM(AB$2:AB519)</f>
        <v>-30892.749000000098</v>
      </c>
      <c r="AB519" s="176"/>
      <c r="AC519" s="176">
        <f t="shared" si="171"/>
        <v>-3418.7519154563283</v>
      </c>
      <c r="AD519" s="176">
        <f t="shared" si="172"/>
        <v>-31318.751915456327</v>
      </c>
    </row>
    <row r="520" spans="1:30" s="1" customFormat="1" x14ac:dyDescent="0.25">
      <c r="A520" s="284">
        <v>43601</v>
      </c>
      <c r="B520" s="286" t="s">
        <v>721</v>
      </c>
      <c r="C520" s="64" t="s">
        <v>69</v>
      </c>
      <c r="D520" s="64">
        <v>400</v>
      </c>
      <c r="E520" s="64">
        <v>7.96</v>
      </c>
      <c r="F520" s="102">
        <f t="shared" si="153"/>
        <v>27500</v>
      </c>
      <c r="G520" s="32">
        <f t="shared" si="152"/>
        <v>8.7453592545454626</v>
      </c>
      <c r="H520" s="31">
        <f t="shared" si="154"/>
        <v>240497.37950000024</v>
      </c>
      <c r="I520" s="31">
        <f t="shared" si="155"/>
        <v>-21597.379500000243</v>
      </c>
      <c r="J520" s="277">
        <f t="shared" si="156"/>
        <v>-8.9802972260661168E-2</v>
      </c>
      <c r="K520" s="31">
        <f t="shared" si="157"/>
        <v>218900</v>
      </c>
      <c r="L520" s="31">
        <f t="shared" si="158"/>
        <v>5013.8159999999916</v>
      </c>
      <c r="M520" s="31">
        <f t="shared" si="164"/>
        <v>5</v>
      </c>
      <c r="N520" s="31">
        <f t="shared" si="165"/>
        <v>3.1840000000000002</v>
      </c>
      <c r="O520" s="31"/>
      <c r="P520" s="31">
        <f t="shared" si="159"/>
        <v>-0.78535925454546263</v>
      </c>
      <c r="Q520" s="31">
        <f t="shared" si="160"/>
        <v>3175.8159999999916</v>
      </c>
      <c r="R520" s="31"/>
      <c r="S520" s="31">
        <f t="shared" si="166"/>
        <v>0.17999999999999972</v>
      </c>
      <c r="T520" s="31">
        <f t="shared" si="167"/>
        <v>-400</v>
      </c>
      <c r="U520" s="31">
        <f t="shared" si="168"/>
        <v>1.1552964222873996E-2</v>
      </c>
      <c r="V520" s="31">
        <f t="shared" si="169"/>
        <v>6.4183134571522305E-2</v>
      </c>
      <c r="W520" s="31">
        <f t="shared" si="170"/>
        <v>1.5787488947722428</v>
      </c>
      <c r="X520" s="25">
        <f t="shared" si="161"/>
        <v>-7.1666103597732196</v>
      </c>
      <c r="Y520" s="25">
        <f t="shared" si="162"/>
        <v>6.381251105227757</v>
      </c>
      <c r="Z520" s="25">
        <f t="shared" si="163"/>
        <v>2380341.4837511638</v>
      </c>
      <c r="AA520" s="25">
        <f>SUM(L$2:L520)-SUM(AB$2:AB520)</f>
        <v>-25878.933000000106</v>
      </c>
      <c r="AB520" s="176"/>
      <c r="AC520" s="176">
        <f t="shared" si="171"/>
        <v>-2711.8820113379702</v>
      </c>
      <c r="AD520" s="176">
        <f t="shared" si="172"/>
        <v>-30211.88201133797</v>
      </c>
    </row>
    <row r="521" spans="1:30" s="1" customFormat="1" x14ac:dyDescent="0.25">
      <c r="A521" s="284">
        <v>43602</v>
      </c>
      <c r="B521" s="286"/>
      <c r="C521" s="315" t="s">
        <v>722</v>
      </c>
      <c r="D521" s="64">
        <v>500</v>
      </c>
      <c r="E521" s="64">
        <v>7.73</v>
      </c>
      <c r="F521" s="102">
        <f t="shared" si="153"/>
        <v>28000</v>
      </c>
      <c r="G521" s="32">
        <f t="shared" si="152"/>
        <v>8.7274064107142948</v>
      </c>
      <c r="H521" s="31">
        <f t="shared" si="154"/>
        <v>244367.37950000024</v>
      </c>
      <c r="I521" s="31">
        <f t="shared" si="155"/>
        <v>-27927.379500000243</v>
      </c>
      <c r="J521" s="277">
        <f t="shared" si="156"/>
        <v>-0.11428440063130527</v>
      </c>
      <c r="K521" s="31">
        <f t="shared" si="157"/>
        <v>216440</v>
      </c>
      <c r="L521" s="31">
        <f t="shared" si="158"/>
        <v>-6330</v>
      </c>
      <c r="M521" s="31">
        <f t="shared" si="164"/>
        <v>5</v>
      </c>
      <c r="N521" s="31">
        <f t="shared" si="165"/>
        <v>0</v>
      </c>
      <c r="O521" s="31"/>
      <c r="P521" s="31">
        <f t="shared" si="159"/>
        <v>-0.99740641071429437</v>
      </c>
      <c r="Q521" s="31">
        <f t="shared" si="160"/>
        <v>-3870</v>
      </c>
      <c r="R521" s="31"/>
      <c r="S521" s="31">
        <f t="shared" si="166"/>
        <v>-0.22999999999999954</v>
      </c>
      <c r="T521" s="31">
        <f t="shared" si="167"/>
        <v>500</v>
      </c>
      <c r="U521" s="31">
        <f t="shared" si="168"/>
        <v>-1.7952843831167797E-2</v>
      </c>
      <c r="V521" s="31">
        <f t="shared" si="169"/>
        <v>7.8055842744207973E-2</v>
      </c>
      <c r="W521" s="31">
        <f t="shared" si="170"/>
        <v>1.6356589147286822</v>
      </c>
      <c r="X521" s="25">
        <f t="shared" si="161"/>
        <v>-7.0917474959856124</v>
      </c>
      <c r="Y521" s="25">
        <f t="shared" si="162"/>
        <v>6.094341085271318</v>
      </c>
      <c r="Z521" s="25">
        <f t="shared" si="163"/>
        <v>-1559641.4842861502</v>
      </c>
      <c r="AA521" s="25">
        <f>SUM(L$2:L521)-SUM(AB$2:AB521)</f>
        <v>-32208.933000000106</v>
      </c>
      <c r="AB521" s="176"/>
      <c r="AC521" s="176">
        <f t="shared" si="171"/>
        <v>-3611.0499107697601</v>
      </c>
      <c r="AD521" s="176">
        <f t="shared" si="172"/>
        <v>-31611.049910769761</v>
      </c>
    </row>
    <row r="522" spans="1:30" s="1" customFormat="1" x14ac:dyDescent="0.25">
      <c r="A522" s="284">
        <v>43605</v>
      </c>
      <c r="B522" s="286"/>
      <c r="C522" s="315" t="s">
        <v>724</v>
      </c>
      <c r="D522" s="64">
        <v>500</v>
      </c>
      <c r="E522" s="64">
        <v>7.55</v>
      </c>
      <c r="F522" s="102">
        <f t="shared" si="153"/>
        <v>28500</v>
      </c>
      <c r="G522" s="32">
        <f t="shared" si="152"/>
        <v>8.7069255964912369</v>
      </c>
      <c r="H522" s="31">
        <f t="shared" si="154"/>
        <v>248147.37950000024</v>
      </c>
      <c r="I522" s="31">
        <f t="shared" si="155"/>
        <v>-32972.379500000243</v>
      </c>
      <c r="J522" s="277">
        <f t="shared" si="156"/>
        <v>-0.13287417971705892</v>
      </c>
      <c r="K522" s="31">
        <f t="shared" si="157"/>
        <v>215175</v>
      </c>
      <c r="L522" s="31">
        <f t="shared" si="158"/>
        <v>-5045</v>
      </c>
      <c r="M522" s="31">
        <f t="shared" si="164"/>
        <v>5</v>
      </c>
      <c r="N522" s="31">
        <f t="shared" si="165"/>
        <v>0</v>
      </c>
      <c r="O522" s="31"/>
      <c r="P522" s="31">
        <f t="shared" si="159"/>
        <v>-1.1569255964912371</v>
      </c>
      <c r="Q522" s="31">
        <f t="shared" si="160"/>
        <v>-3780</v>
      </c>
      <c r="R522" s="31"/>
      <c r="S522" s="31">
        <f t="shared" si="166"/>
        <v>-0.1800000000000006</v>
      </c>
      <c r="T522" s="31">
        <f t="shared" si="167"/>
        <v>500</v>
      </c>
      <c r="U522" s="31">
        <f t="shared" si="168"/>
        <v>-2.0480814223057919E-2</v>
      </c>
      <c r="V522" s="31">
        <f t="shared" si="169"/>
        <v>0.11378230123921028</v>
      </c>
      <c r="W522" s="31">
        <f t="shared" si="170"/>
        <v>1.3346560846560847</v>
      </c>
      <c r="X522" s="25">
        <f t="shared" si="161"/>
        <v>-7.3722695118351522</v>
      </c>
      <c r="Y522" s="25">
        <f t="shared" si="162"/>
        <v>6.2153439153439152</v>
      </c>
      <c r="Z522" s="25">
        <f t="shared" si="163"/>
        <v>-1391546.2388167088</v>
      </c>
      <c r="AA522" s="25">
        <f>SUM(L$2:L522)-SUM(AB$2:AB522)</f>
        <v>-37253.933000000106</v>
      </c>
      <c r="AB522" s="176"/>
      <c r="AC522" s="176">
        <f t="shared" si="171"/>
        <v>-4365.0189814900987</v>
      </c>
      <c r="AD522" s="176">
        <f t="shared" si="172"/>
        <v>-32865.018981490095</v>
      </c>
    </row>
    <row r="523" spans="1:30" s="1" customFormat="1" x14ac:dyDescent="0.25">
      <c r="A523" s="284">
        <v>43606</v>
      </c>
      <c r="B523" s="286" t="s">
        <v>725</v>
      </c>
      <c r="C523" s="64" t="s">
        <v>69</v>
      </c>
      <c r="D523" s="64">
        <v>400</v>
      </c>
      <c r="E523" s="64">
        <v>7.76</v>
      </c>
      <c r="F523" s="102">
        <f t="shared" si="153"/>
        <v>28100</v>
      </c>
      <c r="G523" s="32">
        <f t="shared" ref="G523:G586" si="173">H523/F523</f>
        <v>8.7206933629893317</v>
      </c>
      <c r="H523" s="31">
        <f t="shared" si="154"/>
        <v>245051.48350000023</v>
      </c>
      <c r="I523" s="31">
        <f t="shared" si="155"/>
        <v>-26995.483500000235</v>
      </c>
      <c r="J523" s="277">
        <f t="shared" si="156"/>
        <v>-0.11016249775121317</v>
      </c>
      <c r="K523" s="31">
        <f t="shared" si="157"/>
        <v>218056</v>
      </c>
      <c r="L523" s="31">
        <f t="shared" si="158"/>
        <v>5976.8960000000079</v>
      </c>
      <c r="M523" s="31">
        <f t="shared" si="164"/>
        <v>5</v>
      </c>
      <c r="N523" s="31">
        <f t="shared" si="165"/>
        <v>3.1040000000000001</v>
      </c>
      <c r="O523" s="31"/>
      <c r="P523" s="31">
        <f t="shared" si="159"/>
        <v>-0.96069336298933194</v>
      </c>
      <c r="Q523" s="31">
        <f t="shared" si="160"/>
        <v>3095.8960000000079</v>
      </c>
      <c r="R523" s="31"/>
      <c r="S523" s="31">
        <f t="shared" si="166"/>
        <v>0.20999999999999996</v>
      </c>
      <c r="T523" s="31">
        <f t="shared" si="167"/>
        <v>-400</v>
      </c>
      <c r="U523" s="31">
        <f t="shared" si="168"/>
        <v>1.3767766498094858E-2</v>
      </c>
      <c r="V523" s="31">
        <f t="shared" si="169"/>
        <v>6.5560792848070759E-2</v>
      </c>
      <c r="W523" s="31">
        <f t="shared" si="170"/>
        <v>1.9305868155777819</v>
      </c>
      <c r="X523" s="25">
        <f t="shared" si="161"/>
        <v>-6.7901065474115496</v>
      </c>
      <c r="Y523" s="25">
        <f t="shared" si="162"/>
        <v>5.8294131844222177</v>
      </c>
      <c r="Z523" s="25">
        <f t="shared" si="163"/>
        <v>2040999.170336626</v>
      </c>
      <c r="AA523" s="25">
        <f>SUM(L$2:L523)-SUM(AB$2:AB523)</f>
        <v>-31277.037000000098</v>
      </c>
      <c r="AB523" s="176"/>
      <c r="AC523" s="176">
        <f t="shared" si="171"/>
        <v>-3477.0600203930721</v>
      </c>
      <c r="AD523" s="176">
        <f t="shared" si="172"/>
        <v>-31577.060020393074</v>
      </c>
    </row>
    <row r="524" spans="1:30" s="1" customFormat="1" x14ac:dyDescent="0.25">
      <c r="A524" s="284">
        <v>43608</v>
      </c>
      <c r="B524" s="286" t="s">
        <v>727</v>
      </c>
      <c r="C524" s="64" t="s">
        <v>63</v>
      </c>
      <c r="D524" s="64">
        <v>500</v>
      </c>
      <c r="E524" s="64">
        <v>7.51</v>
      </c>
      <c r="F524" s="102">
        <f t="shared" ref="F524:F587" si="174">IF(C524="买",F523+D524,F523-D524)</f>
        <v>28600</v>
      </c>
      <c r="G524" s="32">
        <f t="shared" si="173"/>
        <v>8.6997022202797289</v>
      </c>
      <c r="H524" s="31">
        <f t="shared" ref="H524:H587" si="175">IF(C524="买",H523+D524*E524+M524+N524,H523+-1*D524*E524+M524+N524)+O523</f>
        <v>248811.48350000023</v>
      </c>
      <c r="I524" s="31">
        <f t="shared" ref="I524:I587" si="176">-H524+K524</f>
        <v>-34025.483500000235</v>
      </c>
      <c r="J524" s="277">
        <f t="shared" ref="J524:J587" si="177">(E524-G524)/G524</f>
        <v>-0.1367520623299536</v>
      </c>
      <c r="K524" s="31">
        <f t="shared" ref="K524:K587" si="178">F524*E524</f>
        <v>214786</v>
      </c>
      <c r="L524" s="31">
        <f t="shared" ref="L524:L587" si="179">I524-I523</f>
        <v>-7030</v>
      </c>
      <c r="M524" s="31">
        <f t="shared" si="164"/>
        <v>5</v>
      </c>
      <c r="N524" s="31">
        <f t="shared" si="165"/>
        <v>0</v>
      </c>
      <c r="O524" s="31"/>
      <c r="P524" s="31">
        <f t="shared" ref="P524:P587" si="180">E524-G524</f>
        <v>-1.1897022202797292</v>
      </c>
      <c r="Q524" s="31">
        <f t="shared" ref="Q524:Q587" si="181">(H524-H523)*-1</f>
        <v>-3760</v>
      </c>
      <c r="R524" s="31"/>
      <c r="S524" s="31">
        <f t="shared" si="166"/>
        <v>-0.25</v>
      </c>
      <c r="T524" s="31">
        <f t="shared" si="167"/>
        <v>500</v>
      </c>
      <c r="U524" s="31">
        <f t="shared" si="168"/>
        <v>-2.0991142709602784E-2</v>
      </c>
      <c r="V524" s="31">
        <f t="shared" si="169"/>
        <v>8.3964570838411134E-2</v>
      </c>
      <c r="W524" s="31">
        <f t="shared" si="170"/>
        <v>1.8696808510638299</v>
      </c>
      <c r="X524" s="25">
        <f t="shared" ref="X524:X587" si="182">W524-G524</f>
        <v>-6.8300213692158991</v>
      </c>
      <c r="Y524" s="25">
        <f t="shared" ref="Y524:Y587" si="183">(X524-P524)*-1</f>
        <v>5.6403191489361699</v>
      </c>
      <c r="Z524" s="25">
        <f t="shared" ref="Z524:Z587" si="184">F524/U524</f>
        <v>-1362479.4226622263</v>
      </c>
      <c r="AA524" s="25">
        <f>SUM(L$2:L524)-SUM(AB$2:AB524)</f>
        <v>-38307.037000000098</v>
      </c>
      <c r="AB524" s="176"/>
      <c r="AC524" s="176">
        <f t="shared" si="171"/>
        <v>-4528.4248679427747</v>
      </c>
      <c r="AD524" s="176">
        <f t="shared" si="172"/>
        <v>-33128.424867942776</v>
      </c>
    </row>
    <row r="525" spans="1:30" s="1" customFormat="1" x14ac:dyDescent="0.25">
      <c r="A525" s="284">
        <v>43615</v>
      </c>
      <c r="B525" s="286"/>
      <c r="C525" s="315" t="s">
        <v>726</v>
      </c>
      <c r="D525" s="64">
        <v>400</v>
      </c>
      <c r="E525" s="64">
        <v>7.48</v>
      </c>
      <c r="F525" s="102">
        <f t="shared" si="174"/>
        <v>29000</v>
      </c>
      <c r="G525" s="32">
        <f t="shared" si="173"/>
        <v>8.6830511551724214</v>
      </c>
      <c r="H525" s="31">
        <f t="shared" si="175"/>
        <v>251808.48350000023</v>
      </c>
      <c r="I525" s="31">
        <f t="shared" si="176"/>
        <v>-34888.483500000235</v>
      </c>
      <c r="J525" s="277">
        <f t="shared" si="177"/>
        <v>-0.13855166043283915</v>
      </c>
      <c r="K525" s="31">
        <f t="shared" si="178"/>
        <v>216920</v>
      </c>
      <c r="L525" s="31">
        <f t="shared" si="179"/>
        <v>-863</v>
      </c>
      <c r="M525" s="31">
        <f t="shared" si="164"/>
        <v>5</v>
      </c>
      <c r="N525" s="31">
        <f t="shared" si="165"/>
        <v>0</v>
      </c>
      <c r="O525" s="31"/>
      <c r="P525" s="31">
        <f t="shared" si="180"/>
        <v>-1.203051155172421</v>
      </c>
      <c r="Q525" s="31">
        <f t="shared" si="181"/>
        <v>-2997</v>
      </c>
      <c r="R525" s="31"/>
      <c r="S525" s="31">
        <f t="shared" si="166"/>
        <v>-2.9999999999999361E-2</v>
      </c>
      <c r="T525" s="31">
        <f t="shared" si="167"/>
        <v>400</v>
      </c>
      <c r="U525" s="31">
        <f t="shared" si="168"/>
        <v>-1.6651065107307517E-2</v>
      </c>
      <c r="V525" s="31">
        <f t="shared" si="169"/>
        <v>0.5550355035769291</v>
      </c>
      <c r="W525" s="31">
        <f t="shared" si="170"/>
        <v>0.28795462128795463</v>
      </c>
      <c r="X525" s="25">
        <f t="shared" si="182"/>
        <v>-8.3950965338844661</v>
      </c>
      <c r="Y525" s="25">
        <f t="shared" si="183"/>
        <v>7.1920453787120451</v>
      </c>
      <c r="Z525" s="25">
        <f t="shared" si="184"/>
        <v>-1741630.3289375168</v>
      </c>
      <c r="AA525" s="25">
        <f>SUM(L$2:L525)-SUM(AB$2:AB525)</f>
        <v>-39170.037000000098</v>
      </c>
      <c r="AB525" s="176"/>
      <c r="AC525" s="176">
        <f t="shared" si="171"/>
        <v>-4661.9036441511007</v>
      </c>
      <c r="AD525" s="176">
        <f t="shared" si="172"/>
        <v>-33661.903644151098</v>
      </c>
    </row>
    <row r="526" spans="1:30" s="1" customFormat="1" x14ac:dyDescent="0.25">
      <c r="A526" s="284">
        <v>43615</v>
      </c>
      <c r="B526" s="286"/>
      <c r="C526" s="315" t="s">
        <v>724</v>
      </c>
      <c r="D526" s="64">
        <v>400</v>
      </c>
      <c r="E526" s="64">
        <v>7.31</v>
      </c>
      <c r="F526" s="102">
        <f t="shared" si="174"/>
        <v>29400</v>
      </c>
      <c r="G526" s="32">
        <f t="shared" si="173"/>
        <v>8.6645402551020485</v>
      </c>
      <c r="H526" s="31">
        <f t="shared" si="175"/>
        <v>254737.48350000023</v>
      </c>
      <c r="I526" s="31">
        <f t="shared" si="176"/>
        <v>-39823.483500000235</v>
      </c>
      <c r="J526" s="277">
        <f t="shared" si="177"/>
        <v>-0.15633146309227869</v>
      </c>
      <c r="K526" s="31">
        <f t="shared" si="178"/>
        <v>214914</v>
      </c>
      <c r="L526" s="31">
        <f t="shared" si="179"/>
        <v>-4935</v>
      </c>
      <c r="M526" s="31">
        <f t="shared" si="164"/>
        <v>5</v>
      </c>
      <c r="N526" s="31">
        <f t="shared" si="165"/>
        <v>0</v>
      </c>
      <c r="O526" s="31"/>
      <c r="P526" s="31">
        <f t="shared" si="180"/>
        <v>-1.3545402551020489</v>
      </c>
      <c r="Q526" s="31">
        <f t="shared" si="181"/>
        <v>-2929</v>
      </c>
      <c r="R526" s="31"/>
      <c r="S526" s="31">
        <f t="shared" si="166"/>
        <v>-0.17000000000000082</v>
      </c>
      <c r="T526" s="31">
        <f t="shared" si="167"/>
        <v>400</v>
      </c>
      <c r="U526" s="31">
        <f t="shared" si="168"/>
        <v>-1.8510900070372927E-2</v>
      </c>
      <c r="V526" s="31">
        <f t="shared" si="169"/>
        <v>0.1088876474727814</v>
      </c>
      <c r="W526" s="31">
        <f t="shared" si="170"/>
        <v>1.6848753840901332</v>
      </c>
      <c r="X526" s="25">
        <f t="shared" si="182"/>
        <v>-6.9796648710119156</v>
      </c>
      <c r="Y526" s="25">
        <f t="shared" si="183"/>
        <v>5.6251246159098667</v>
      </c>
      <c r="Z526" s="25">
        <f t="shared" si="184"/>
        <v>-1588253.4014137594</v>
      </c>
      <c r="AA526" s="25">
        <f>SUM(L$2:L526)-SUM(AB$2:AB526)</f>
        <v>-44105.037000000098</v>
      </c>
      <c r="AB526" s="176"/>
      <c r="AC526" s="176">
        <f t="shared" si="171"/>
        <v>-5445.0850558481861</v>
      </c>
      <c r="AD526" s="176">
        <f t="shared" si="172"/>
        <v>-34845.085055848183</v>
      </c>
    </row>
    <row r="527" spans="1:30" s="1" customFormat="1" x14ac:dyDescent="0.25">
      <c r="A527" s="284">
        <v>43619</v>
      </c>
      <c r="B527" s="286"/>
      <c r="C527" s="315" t="s">
        <v>728</v>
      </c>
      <c r="D527" s="64">
        <v>500</v>
      </c>
      <c r="E527" s="64">
        <v>7.19</v>
      </c>
      <c r="F527" s="102">
        <f t="shared" si="174"/>
        <v>29900</v>
      </c>
      <c r="G527" s="32">
        <f t="shared" si="173"/>
        <v>8.6400496153846227</v>
      </c>
      <c r="H527" s="31">
        <f t="shared" si="175"/>
        <v>258337.48350000023</v>
      </c>
      <c r="I527" s="31">
        <f t="shared" si="176"/>
        <v>-43356.483500000235</v>
      </c>
      <c r="J527" s="277">
        <f t="shared" si="177"/>
        <v>-0.16782885283466875</v>
      </c>
      <c r="K527" s="31">
        <f t="shared" si="178"/>
        <v>214981</v>
      </c>
      <c r="L527" s="31">
        <f t="shared" si="179"/>
        <v>-3533</v>
      </c>
      <c r="M527" s="31">
        <f t="shared" si="164"/>
        <v>5</v>
      </c>
      <c r="N527" s="31">
        <f t="shared" si="165"/>
        <v>0</v>
      </c>
      <c r="O527" s="31"/>
      <c r="P527" s="31">
        <f t="shared" si="180"/>
        <v>-1.4500496153846223</v>
      </c>
      <c r="Q527" s="31">
        <f t="shared" si="181"/>
        <v>-3600</v>
      </c>
      <c r="R527" s="31"/>
      <c r="S527" s="31">
        <f t="shared" si="166"/>
        <v>-0.11999999999999922</v>
      </c>
      <c r="T527" s="31">
        <f t="shared" si="167"/>
        <v>500</v>
      </c>
      <c r="U527" s="31">
        <f t="shared" si="168"/>
        <v>-2.4490639717425822E-2</v>
      </c>
      <c r="V527" s="31">
        <f t="shared" si="169"/>
        <v>0.20408866431188319</v>
      </c>
      <c r="W527" s="31">
        <f t="shared" si="170"/>
        <v>0.98138888888888887</v>
      </c>
      <c r="X527" s="25">
        <f t="shared" si="182"/>
        <v>-7.658660726495734</v>
      </c>
      <c r="Y527" s="25">
        <f t="shared" si="183"/>
        <v>6.2086111111111117</v>
      </c>
      <c r="Z527" s="25">
        <f t="shared" si="184"/>
        <v>-1220874.6012757379</v>
      </c>
      <c r="AA527" s="25">
        <f>SUM(L$2:L527)-SUM(AB$2:AB527)</f>
        <v>-47638.037000000098</v>
      </c>
      <c r="AB527" s="176"/>
      <c r="AC527" s="176">
        <f t="shared" si="171"/>
        <v>-6027.0939163074045</v>
      </c>
      <c r="AD527" s="176">
        <f t="shared" si="172"/>
        <v>-35927.093916307407</v>
      </c>
    </row>
    <row r="528" spans="1:30" s="1" customFormat="1" x14ac:dyDescent="0.25">
      <c r="A528" s="284">
        <v>43621</v>
      </c>
      <c r="B528" s="286" t="s">
        <v>729</v>
      </c>
      <c r="C528" s="64" t="s">
        <v>69</v>
      </c>
      <c r="D528" s="64">
        <v>400</v>
      </c>
      <c r="E528" s="64">
        <v>7.41</v>
      </c>
      <c r="F528" s="102">
        <f t="shared" si="174"/>
        <v>29500</v>
      </c>
      <c r="G528" s="32">
        <f t="shared" si="173"/>
        <v>8.6569982203389912</v>
      </c>
      <c r="H528" s="31">
        <f t="shared" si="175"/>
        <v>255381.44750000024</v>
      </c>
      <c r="I528" s="31">
        <f t="shared" si="176"/>
        <v>-36786.447500000242</v>
      </c>
      <c r="J528" s="277">
        <f t="shared" si="177"/>
        <v>-0.14404510531251571</v>
      </c>
      <c r="K528" s="31">
        <f t="shared" si="178"/>
        <v>218595</v>
      </c>
      <c r="L528" s="31">
        <f t="shared" si="179"/>
        <v>6570.0359999999928</v>
      </c>
      <c r="M528" s="31">
        <f t="shared" si="164"/>
        <v>5</v>
      </c>
      <c r="N528" s="31">
        <f t="shared" si="165"/>
        <v>2.964</v>
      </c>
      <c r="O528" s="31"/>
      <c r="P528" s="31">
        <f t="shared" si="180"/>
        <v>-1.2469982203389911</v>
      </c>
      <c r="Q528" s="31">
        <f t="shared" si="181"/>
        <v>2956.0359999999928</v>
      </c>
      <c r="R528" s="31"/>
      <c r="S528" s="31">
        <f t="shared" si="166"/>
        <v>0.21999999999999975</v>
      </c>
      <c r="T528" s="31">
        <f t="shared" si="167"/>
        <v>-400</v>
      </c>
      <c r="U528" s="31">
        <f t="shared" si="168"/>
        <v>1.6948604954368562E-2</v>
      </c>
      <c r="V528" s="31">
        <f t="shared" si="169"/>
        <v>7.7039113428948092E-2</v>
      </c>
      <c r="W528" s="31">
        <f t="shared" si="170"/>
        <v>2.2225832161719303</v>
      </c>
      <c r="X528" s="25">
        <f t="shared" si="182"/>
        <v>-6.4344150041670609</v>
      </c>
      <c r="Y528" s="25">
        <f t="shared" si="183"/>
        <v>5.1874167838280698</v>
      </c>
      <c r="Z528" s="25">
        <f t="shared" si="184"/>
        <v>1740556.2333551394</v>
      </c>
      <c r="AA528" s="25">
        <f>SUM(L$2:L528)-SUM(AB$2:AB528)</f>
        <v>-41068.001000000106</v>
      </c>
      <c r="AB528" s="176"/>
      <c r="AC528" s="176">
        <f t="shared" si="171"/>
        <v>-4961.9506445681845</v>
      </c>
      <c r="AD528" s="176">
        <f t="shared" si="172"/>
        <v>-34461.950644568184</v>
      </c>
    </row>
    <row r="529" spans="1:30" s="1" customFormat="1" x14ac:dyDescent="0.25">
      <c r="A529" s="284">
        <v>43627</v>
      </c>
      <c r="B529" s="286" t="s">
        <v>730</v>
      </c>
      <c r="C529" s="64" t="s">
        <v>69</v>
      </c>
      <c r="D529" s="64">
        <v>400</v>
      </c>
      <c r="E529" s="64">
        <v>7.56</v>
      </c>
      <c r="F529" s="102">
        <f t="shared" si="174"/>
        <v>29100</v>
      </c>
      <c r="G529" s="32">
        <f t="shared" si="173"/>
        <v>8.6723529725085999</v>
      </c>
      <c r="H529" s="31">
        <f t="shared" si="175"/>
        <v>252365.47150000025</v>
      </c>
      <c r="I529" s="31">
        <f t="shared" si="176"/>
        <v>-32369.471500000247</v>
      </c>
      <c r="J529" s="277">
        <f t="shared" si="177"/>
        <v>-0.12826426415469533</v>
      </c>
      <c r="K529" s="31">
        <f t="shared" si="178"/>
        <v>219996</v>
      </c>
      <c r="L529" s="31">
        <f t="shared" si="179"/>
        <v>4416.9759999999951</v>
      </c>
      <c r="M529" s="31">
        <f t="shared" si="164"/>
        <v>5</v>
      </c>
      <c r="N529" s="31">
        <f t="shared" si="165"/>
        <v>3.024</v>
      </c>
      <c r="O529" s="31">
        <v>-8730</v>
      </c>
      <c r="P529" s="31">
        <f t="shared" si="180"/>
        <v>-1.1123529725086003</v>
      </c>
      <c r="Q529" s="31">
        <f t="shared" si="181"/>
        <v>3015.9759999999951</v>
      </c>
      <c r="R529" s="31"/>
      <c r="S529" s="31">
        <f t="shared" si="166"/>
        <v>0.14999999999999947</v>
      </c>
      <c r="T529" s="31">
        <f t="shared" si="167"/>
        <v>-400</v>
      </c>
      <c r="U529" s="31">
        <f t="shared" si="168"/>
        <v>1.5354752169608687E-2</v>
      </c>
      <c r="V529" s="31">
        <f t="shared" si="169"/>
        <v>0.10236501446405828</v>
      </c>
      <c r="W529" s="31">
        <f t="shared" si="170"/>
        <v>1.4645262429144006</v>
      </c>
      <c r="X529" s="25">
        <f t="shared" si="182"/>
        <v>-7.2078267295941991</v>
      </c>
      <c r="Y529" s="25">
        <f t="shared" si="183"/>
        <v>6.0954737570855988</v>
      </c>
      <c r="Z529" s="25">
        <f t="shared" si="184"/>
        <v>1895178.7484787263</v>
      </c>
      <c r="AA529" s="25">
        <f>SUM(L$2:L529)-SUM(AB$2:AB529)</f>
        <v>-36651.025000000111</v>
      </c>
      <c r="AB529" s="176"/>
      <c r="AC529" s="176">
        <f t="shared" si="171"/>
        <v>-4279.5352862764885</v>
      </c>
      <c r="AD529" s="176">
        <f t="shared" si="172"/>
        <v>-33379.535286276485</v>
      </c>
    </row>
    <row r="530" spans="1:30" s="1" customFormat="1" x14ac:dyDescent="0.25">
      <c r="A530" s="284">
        <v>43628</v>
      </c>
      <c r="B530" s="286" t="s">
        <v>731</v>
      </c>
      <c r="C530" s="64" t="s">
        <v>63</v>
      </c>
      <c r="D530" s="64">
        <v>500</v>
      </c>
      <c r="E530" s="64">
        <v>7.24</v>
      </c>
      <c r="F530" s="102">
        <f t="shared" si="174"/>
        <v>29600</v>
      </c>
      <c r="G530" s="32">
        <f t="shared" si="173"/>
        <v>8.3533943074324402</v>
      </c>
      <c r="H530" s="31">
        <f t="shared" si="175"/>
        <v>247260.47150000025</v>
      </c>
      <c r="I530" s="31">
        <f t="shared" si="176"/>
        <v>-32956.471500000247</v>
      </c>
      <c r="J530" s="277">
        <f t="shared" si="177"/>
        <v>-0.13328645415933452</v>
      </c>
      <c r="K530" s="31">
        <f t="shared" si="178"/>
        <v>214304</v>
      </c>
      <c r="L530" s="31">
        <f t="shared" si="179"/>
        <v>-587</v>
      </c>
      <c r="M530" s="31">
        <f t="shared" si="164"/>
        <v>5</v>
      </c>
      <c r="N530" s="31">
        <f t="shared" si="165"/>
        <v>0</v>
      </c>
      <c r="O530" s="31"/>
      <c r="P530" s="31">
        <f t="shared" si="180"/>
        <v>-1.1133943074324399</v>
      </c>
      <c r="Q530" s="31">
        <f t="shared" si="181"/>
        <v>5105</v>
      </c>
      <c r="R530" s="31"/>
      <c r="S530" s="31">
        <f t="shared" si="166"/>
        <v>-0.3199999999999994</v>
      </c>
      <c r="T530" s="31">
        <f t="shared" si="167"/>
        <v>500</v>
      </c>
      <c r="U530" s="31">
        <f t="shared" si="168"/>
        <v>-0.31895866507615978</v>
      </c>
      <c r="V530" s="31">
        <f t="shared" si="169"/>
        <v>0.99674582836300119</v>
      </c>
      <c r="W530" s="31">
        <f t="shared" si="170"/>
        <v>-0.11498530852105779</v>
      </c>
      <c r="X530" s="25">
        <f t="shared" si="182"/>
        <v>-8.4683796159534985</v>
      </c>
      <c r="Y530" s="25">
        <f t="shared" si="183"/>
        <v>7.3549853085210586</v>
      </c>
      <c r="Z530" s="25">
        <f t="shared" si="184"/>
        <v>-92801.99361548062</v>
      </c>
      <c r="AA530" s="25">
        <f>SUM(L$2:L530)-SUM(AB$2:AB530)</f>
        <v>-37238.025000000111</v>
      </c>
      <c r="AB530" s="176"/>
      <c r="AC530" s="176">
        <f t="shared" si="171"/>
        <v>-4549.7228265539015</v>
      </c>
      <c r="AD530" s="176">
        <f t="shared" si="172"/>
        <v>-34149.722826553902</v>
      </c>
    </row>
    <row r="531" spans="1:30" s="1" customFormat="1" x14ac:dyDescent="0.25">
      <c r="A531" s="284">
        <v>43635</v>
      </c>
      <c r="B531" s="286" t="s">
        <v>732</v>
      </c>
      <c r="C531" s="64" t="s">
        <v>69</v>
      </c>
      <c r="D531" s="64">
        <v>400</v>
      </c>
      <c r="E531" s="64">
        <v>7.36</v>
      </c>
      <c r="F531" s="102">
        <f t="shared" si="174"/>
        <v>29200</v>
      </c>
      <c r="G531" s="32">
        <f t="shared" si="173"/>
        <v>8.3672745034246656</v>
      </c>
      <c r="H531" s="31">
        <f t="shared" si="175"/>
        <v>244324.41550000024</v>
      </c>
      <c r="I531" s="31">
        <f t="shared" si="176"/>
        <v>-29412.415500000236</v>
      </c>
      <c r="J531" s="277">
        <f t="shared" si="177"/>
        <v>-0.12038262913597433</v>
      </c>
      <c r="K531" s="31">
        <f t="shared" si="178"/>
        <v>214912</v>
      </c>
      <c r="L531" s="31">
        <f t="shared" si="179"/>
        <v>3544.0560000000114</v>
      </c>
      <c r="M531" s="31">
        <f t="shared" si="164"/>
        <v>5</v>
      </c>
      <c r="N531" s="31">
        <f t="shared" si="165"/>
        <v>2.944</v>
      </c>
      <c r="O531" s="31"/>
      <c r="P531" s="31">
        <f t="shared" si="180"/>
        <v>-1.0072745034246653</v>
      </c>
      <c r="Q531" s="31">
        <f t="shared" si="181"/>
        <v>2936.0560000000114</v>
      </c>
      <c r="R531" s="31"/>
      <c r="S531" s="31">
        <f t="shared" si="166"/>
        <v>0.12000000000000011</v>
      </c>
      <c r="T531" s="31">
        <f t="shared" si="167"/>
        <v>-400</v>
      </c>
      <c r="U531" s="31">
        <f t="shared" si="168"/>
        <v>1.3880195992225453E-2</v>
      </c>
      <c r="V531" s="31">
        <f t="shared" si="169"/>
        <v>0.11566829993521201</v>
      </c>
      <c r="W531" s="31">
        <f t="shared" si="170"/>
        <v>1.2070805189001836</v>
      </c>
      <c r="X531" s="25">
        <f t="shared" si="182"/>
        <v>-7.160193984524482</v>
      </c>
      <c r="Y531" s="25">
        <f t="shared" si="183"/>
        <v>6.1529194810998167</v>
      </c>
      <c r="Z531" s="25">
        <f t="shared" si="184"/>
        <v>2103716.6922106463</v>
      </c>
      <c r="AA531" s="25">
        <f>SUM(L$2:L531)-SUM(AB$2:AB531)</f>
        <v>-33693.969000000099</v>
      </c>
      <c r="AB531" s="176"/>
      <c r="AC531" s="176">
        <f t="shared" si="171"/>
        <v>-3994.2539799253036</v>
      </c>
      <c r="AD531" s="176">
        <f t="shared" si="172"/>
        <v>-33194.253979925306</v>
      </c>
    </row>
    <row r="532" spans="1:30" s="1" customFormat="1" x14ac:dyDescent="0.25">
      <c r="A532" s="284">
        <v>43636</v>
      </c>
      <c r="B532" s="286" t="s">
        <v>733</v>
      </c>
      <c r="C532" s="64" t="s">
        <v>69</v>
      </c>
      <c r="D532" s="64">
        <v>400</v>
      </c>
      <c r="E532" s="64">
        <v>7.48</v>
      </c>
      <c r="F532" s="102">
        <f t="shared" si="174"/>
        <v>28800</v>
      </c>
      <c r="G532" s="32">
        <f t="shared" si="173"/>
        <v>8.3798752604166751</v>
      </c>
      <c r="H532" s="31">
        <f t="shared" si="175"/>
        <v>241340.40750000023</v>
      </c>
      <c r="I532" s="31">
        <f t="shared" si="176"/>
        <v>-25916.407500000234</v>
      </c>
      <c r="J532" s="277">
        <f t="shared" si="177"/>
        <v>-0.10738528109927138</v>
      </c>
      <c r="K532" s="31">
        <f t="shared" si="178"/>
        <v>215424</v>
      </c>
      <c r="L532" s="31">
        <f t="shared" si="179"/>
        <v>3496.0080000000016</v>
      </c>
      <c r="M532" s="31">
        <f t="shared" si="164"/>
        <v>5</v>
      </c>
      <c r="N532" s="31">
        <f t="shared" si="165"/>
        <v>2.992</v>
      </c>
      <c r="O532" s="31"/>
      <c r="P532" s="31">
        <f t="shared" si="180"/>
        <v>-0.89987526041667465</v>
      </c>
      <c r="Q532" s="31">
        <f t="shared" si="181"/>
        <v>2984.0080000000016</v>
      </c>
      <c r="R532" s="31"/>
      <c r="S532" s="31">
        <f t="shared" si="166"/>
        <v>0.12000000000000011</v>
      </c>
      <c r="T532" s="31">
        <f t="shared" si="167"/>
        <v>-400</v>
      </c>
      <c r="U532" s="31">
        <f t="shared" si="168"/>
        <v>1.2600756992009465E-2</v>
      </c>
      <c r="V532" s="31">
        <f t="shared" si="169"/>
        <v>0.10500630826674545</v>
      </c>
      <c r="W532" s="31">
        <f t="shared" si="170"/>
        <v>1.1715813094334866</v>
      </c>
      <c r="X532" s="25">
        <f t="shared" si="182"/>
        <v>-7.2082939509831885</v>
      </c>
      <c r="Y532" s="25">
        <f t="shared" si="183"/>
        <v>6.3084186905665138</v>
      </c>
      <c r="Z532" s="25">
        <f t="shared" si="184"/>
        <v>2285576.971150462</v>
      </c>
      <c r="AA532" s="25">
        <f>SUM(L$2:L532)-SUM(AB$2:AB532)</f>
        <v>-30197.961000000098</v>
      </c>
      <c r="AB532" s="176"/>
      <c r="AC532" s="176">
        <f t="shared" si="171"/>
        <v>-3463.0279807821171</v>
      </c>
      <c r="AD532" s="176">
        <f t="shared" si="172"/>
        <v>-32263.027980782117</v>
      </c>
    </row>
    <row r="533" spans="1:30" s="1" customFormat="1" x14ac:dyDescent="0.25">
      <c r="A533" s="284">
        <v>43637</v>
      </c>
      <c r="B533" s="286"/>
      <c r="C533" s="64" t="s">
        <v>69</v>
      </c>
      <c r="D533" s="64">
        <v>400</v>
      </c>
      <c r="E533" s="64">
        <v>7.58</v>
      </c>
      <c r="F533" s="102">
        <f t="shared" si="174"/>
        <v>28400</v>
      </c>
      <c r="G533" s="32">
        <f t="shared" si="173"/>
        <v>8.3914239260563459</v>
      </c>
      <c r="H533" s="31">
        <f t="shared" si="175"/>
        <v>238316.43950000024</v>
      </c>
      <c r="I533" s="31">
        <f t="shared" si="176"/>
        <v>-23044.439500000241</v>
      </c>
      <c r="J533" s="277">
        <f t="shared" si="177"/>
        <v>-9.6696810125011121E-2</v>
      </c>
      <c r="K533" s="31">
        <f t="shared" si="178"/>
        <v>215272</v>
      </c>
      <c r="L533" s="31">
        <f t="shared" si="179"/>
        <v>2871.9679999999935</v>
      </c>
      <c r="M533" s="31">
        <f t="shared" si="164"/>
        <v>5</v>
      </c>
      <c r="N533" s="31">
        <f t="shared" si="165"/>
        <v>3.032</v>
      </c>
      <c r="O533" s="31"/>
      <c r="P533" s="31">
        <f t="shared" si="180"/>
        <v>-0.81142392605634583</v>
      </c>
      <c r="Q533" s="31">
        <f t="shared" si="181"/>
        <v>3023.9679999999935</v>
      </c>
      <c r="R533" s="31"/>
      <c r="S533" s="31">
        <f t="shared" si="166"/>
        <v>9.9999999999999645E-2</v>
      </c>
      <c r="T533" s="31">
        <f t="shared" si="167"/>
        <v>-400</v>
      </c>
      <c r="U533" s="31">
        <f t="shared" si="168"/>
        <v>1.154866563967083E-2</v>
      </c>
      <c r="V533" s="31">
        <f t="shared" si="169"/>
        <v>0.11548665639670871</v>
      </c>
      <c r="W533" s="31">
        <f t="shared" si="170"/>
        <v>0.94973491782981823</v>
      </c>
      <c r="X533" s="25">
        <f t="shared" si="182"/>
        <v>-7.4416890082265272</v>
      </c>
      <c r="Y533" s="25">
        <f t="shared" si="183"/>
        <v>6.6302650821701814</v>
      </c>
      <c r="Z533" s="25">
        <f t="shared" si="184"/>
        <v>2459158.563084824</v>
      </c>
      <c r="AA533" s="25">
        <f>SUM(L$2:L533)-SUM(AB$2:AB533)</f>
        <v>-27325.993000000104</v>
      </c>
      <c r="AB533" s="176"/>
      <c r="AC533" s="176">
        <f t="shared" si="171"/>
        <v>-3038.6434406662588</v>
      </c>
      <c r="AD533" s="176">
        <f t="shared" si="172"/>
        <v>-31438.643440666259</v>
      </c>
    </row>
    <row r="534" spans="1:30" s="1" customFormat="1" x14ac:dyDescent="0.25">
      <c r="A534" s="284">
        <v>43640</v>
      </c>
      <c r="B534" s="286" t="s">
        <v>748</v>
      </c>
      <c r="C534" s="64" t="s">
        <v>69</v>
      </c>
      <c r="D534" s="64">
        <v>400</v>
      </c>
      <c r="E534" s="64">
        <v>7.64</v>
      </c>
      <c r="F534" s="102">
        <f t="shared" si="174"/>
        <v>28000</v>
      </c>
      <c r="G534" s="32">
        <f t="shared" si="173"/>
        <v>8.402446267857151</v>
      </c>
      <c r="H534" s="31">
        <f t="shared" si="175"/>
        <v>235268.49550000025</v>
      </c>
      <c r="I534" s="31">
        <f t="shared" si="176"/>
        <v>-21348.495500000252</v>
      </c>
      <c r="J534" s="277">
        <f t="shared" si="177"/>
        <v>-9.0740987035385773E-2</v>
      </c>
      <c r="K534" s="31">
        <f t="shared" si="178"/>
        <v>213920</v>
      </c>
      <c r="L534" s="31">
        <f t="shared" si="179"/>
        <v>1695.9439999999886</v>
      </c>
      <c r="M534" s="31">
        <f t="shared" si="164"/>
        <v>5</v>
      </c>
      <c r="N534" s="31">
        <f t="shared" si="165"/>
        <v>3.056</v>
      </c>
      <c r="O534" s="31"/>
      <c r="P534" s="31">
        <f t="shared" si="180"/>
        <v>-0.76244626785715131</v>
      </c>
      <c r="Q534" s="31">
        <f t="shared" si="181"/>
        <v>3047.9439999999886</v>
      </c>
      <c r="R534" s="31"/>
      <c r="S534" s="31">
        <f t="shared" si="166"/>
        <v>5.9999999999999609E-2</v>
      </c>
      <c r="T534" s="31">
        <f t="shared" si="167"/>
        <v>-400</v>
      </c>
      <c r="U534" s="31">
        <f t="shared" si="168"/>
        <v>1.102234180080508E-2</v>
      </c>
      <c r="V534" s="31">
        <f t="shared" si="169"/>
        <v>0.18370569668008585</v>
      </c>
      <c r="W534" s="31">
        <f t="shared" si="170"/>
        <v>0.55642229647263697</v>
      </c>
      <c r="X534" s="25">
        <f t="shared" si="182"/>
        <v>-7.8460239713845139</v>
      </c>
      <c r="Y534" s="25">
        <f t="shared" si="183"/>
        <v>7.0835777035273626</v>
      </c>
      <c r="Z534" s="25">
        <f t="shared" si="184"/>
        <v>2540295.0213315701</v>
      </c>
      <c r="AA534" s="25">
        <f>SUM(L$2:L534)-SUM(AB$2:AB534)</f>
        <v>-25630.049000000115</v>
      </c>
      <c r="AB534" s="176"/>
      <c r="AC534" s="176">
        <f t="shared" si="171"/>
        <v>-2792.9085408704518</v>
      </c>
      <c r="AD534" s="176">
        <f t="shared" si="172"/>
        <v>-30792.908540870452</v>
      </c>
    </row>
    <row r="535" spans="1:30" s="1" customFormat="1" x14ac:dyDescent="0.25">
      <c r="A535" s="284">
        <v>43642</v>
      </c>
      <c r="B535" s="286"/>
      <c r="C535" s="64" t="s">
        <v>69</v>
      </c>
      <c r="D535" s="64">
        <v>400</v>
      </c>
      <c r="E535" s="64">
        <v>7.71</v>
      </c>
      <c r="F535" s="102">
        <f t="shared" si="174"/>
        <v>27600</v>
      </c>
      <c r="G535" s="32">
        <f t="shared" si="173"/>
        <v>8.4127746195652264</v>
      </c>
      <c r="H535" s="31">
        <f t="shared" si="175"/>
        <v>232192.57950000025</v>
      </c>
      <c r="I535" s="31">
        <f t="shared" si="176"/>
        <v>-19396.579500000254</v>
      </c>
      <c r="J535" s="277">
        <f t="shared" si="177"/>
        <v>-8.3536603718208965E-2</v>
      </c>
      <c r="K535" s="31">
        <f t="shared" si="178"/>
        <v>212796</v>
      </c>
      <c r="L535" s="31">
        <f t="shared" si="179"/>
        <v>1951.9159999999974</v>
      </c>
      <c r="M535" s="31">
        <f t="shared" si="164"/>
        <v>5</v>
      </c>
      <c r="N535" s="31">
        <f t="shared" si="165"/>
        <v>3.0840000000000001</v>
      </c>
      <c r="O535" s="31"/>
      <c r="P535" s="31">
        <f t="shared" si="180"/>
        <v>-0.70277461956522647</v>
      </c>
      <c r="Q535" s="31">
        <f t="shared" si="181"/>
        <v>3075.9159999999974</v>
      </c>
      <c r="R535" s="31"/>
      <c r="S535" s="31">
        <f t="shared" si="166"/>
        <v>7.0000000000000284E-2</v>
      </c>
      <c r="T535" s="31">
        <f t="shared" si="167"/>
        <v>-400</v>
      </c>
      <c r="U535" s="31">
        <f t="shared" si="168"/>
        <v>1.0328351708075445E-2</v>
      </c>
      <c r="V535" s="31">
        <f t="shared" si="169"/>
        <v>0.14754788154393433</v>
      </c>
      <c r="W535" s="31">
        <f t="shared" si="170"/>
        <v>0.63458039816431888</v>
      </c>
      <c r="X535" s="25">
        <f t="shared" si="182"/>
        <v>-7.7781942214009074</v>
      </c>
      <c r="Y535" s="25">
        <f t="shared" si="183"/>
        <v>7.075419601835681</v>
      </c>
      <c r="Z535" s="25">
        <f t="shared" si="184"/>
        <v>2672256.0172326765</v>
      </c>
      <c r="AA535" s="25">
        <f>SUM(L$2:L535)-SUM(AB$2:AB535)</f>
        <v>-23678.133000000118</v>
      </c>
      <c r="AB535" s="176"/>
      <c r="AC535" s="176">
        <f t="shared" si="171"/>
        <v>-2514.5111816148192</v>
      </c>
      <c r="AD535" s="176">
        <f t="shared" si="172"/>
        <v>-30114.51118161482</v>
      </c>
    </row>
    <row r="536" spans="1:30" s="1" customFormat="1" x14ac:dyDescent="0.25">
      <c r="A536" s="284">
        <v>43647</v>
      </c>
      <c r="B536" s="286" t="s">
        <v>737</v>
      </c>
      <c r="C536" s="64" t="s">
        <v>69</v>
      </c>
      <c r="D536" s="64">
        <v>400</v>
      </c>
      <c r="E536" s="64">
        <v>7.93</v>
      </c>
      <c r="F536" s="102">
        <f t="shared" si="174"/>
        <v>27200</v>
      </c>
      <c r="G536" s="32">
        <f t="shared" si="173"/>
        <v>8.4201746875000083</v>
      </c>
      <c r="H536" s="31">
        <f t="shared" si="175"/>
        <v>229028.75150000025</v>
      </c>
      <c r="I536" s="31">
        <f t="shared" si="176"/>
        <v>-13332.751500000246</v>
      </c>
      <c r="J536" s="277">
        <f t="shared" si="177"/>
        <v>-5.8214313323889467E-2</v>
      </c>
      <c r="K536" s="31">
        <f t="shared" si="178"/>
        <v>215696</v>
      </c>
      <c r="L536" s="31">
        <f t="shared" si="179"/>
        <v>6063.8280000000086</v>
      </c>
      <c r="M536" s="31">
        <f t="shared" si="164"/>
        <v>5</v>
      </c>
      <c r="N536" s="31">
        <f t="shared" si="165"/>
        <v>3.1720000000000002</v>
      </c>
      <c r="O536" s="31"/>
      <c r="P536" s="31">
        <f t="shared" si="180"/>
        <v>-0.49017468750000859</v>
      </c>
      <c r="Q536" s="31">
        <f t="shared" si="181"/>
        <v>3163.8280000000086</v>
      </c>
      <c r="R536" s="31"/>
      <c r="S536" s="31">
        <f t="shared" si="166"/>
        <v>0.21999999999999975</v>
      </c>
      <c r="T536" s="31">
        <f t="shared" si="167"/>
        <v>-400</v>
      </c>
      <c r="U536" s="31">
        <f t="shared" si="168"/>
        <v>7.4000679347818732E-3</v>
      </c>
      <c r="V536" s="31">
        <f t="shared" si="169"/>
        <v>3.3636672430826735E-2</v>
      </c>
      <c r="W536" s="31">
        <f t="shared" si="170"/>
        <v>1.9166111432100583</v>
      </c>
      <c r="X536" s="25">
        <f t="shared" si="182"/>
        <v>-6.5035635442899498</v>
      </c>
      <c r="Y536" s="25">
        <f t="shared" si="183"/>
        <v>6.0133888567899412</v>
      </c>
      <c r="Z536" s="25">
        <f t="shared" si="184"/>
        <v>3675641.9319009613</v>
      </c>
      <c r="AA536" s="25">
        <f>SUM(L$2:L536)-SUM(AB$2:AB536)</f>
        <v>-17614.305000000109</v>
      </c>
      <c r="AB536" s="176"/>
      <c r="AC536" s="176">
        <f t="shared" si="171"/>
        <v>-1680.4647067150374</v>
      </c>
      <c r="AD536" s="176">
        <f t="shared" si="172"/>
        <v>-28880.464706715036</v>
      </c>
    </row>
    <row r="537" spans="1:30" s="1" customFormat="1" x14ac:dyDescent="0.25">
      <c r="A537" s="284">
        <v>43648</v>
      </c>
      <c r="B537" s="286"/>
      <c r="C537" s="64" t="s">
        <v>69</v>
      </c>
      <c r="D537" s="64">
        <v>400</v>
      </c>
      <c r="E537" s="64">
        <v>7.97</v>
      </c>
      <c r="F537" s="102">
        <f t="shared" si="174"/>
        <v>26800</v>
      </c>
      <c r="G537" s="32">
        <f t="shared" si="173"/>
        <v>8.4271992350746352</v>
      </c>
      <c r="H537" s="31">
        <f t="shared" si="175"/>
        <v>225848.93950000024</v>
      </c>
      <c r="I537" s="31">
        <f t="shared" si="176"/>
        <v>-12252.939500000241</v>
      </c>
      <c r="J537" s="277">
        <f t="shared" si="177"/>
        <v>-5.4252809542194982E-2</v>
      </c>
      <c r="K537" s="31">
        <f t="shared" si="178"/>
        <v>213596</v>
      </c>
      <c r="L537" s="31">
        <f t="shared" si="179"/>
        <v>1079.8120000000054</v>
      </c>
      <c r="M537" s="31">
        <f t="shared" si="164"/>
        <v>5</v>
      </c>
      <c r="N537" s="31">
        <f t="shared" si="165"/>
        <v>3.1880000000000002</v>
      </c>
      <c r="O537" s="31"/>
      <c r="P537" s="31">
        <f t="shared" si="180"/>
        <v>-0.45719923507463545</v>
      </c>
      <c r="Q537" s="31">
        <f t="shared" si="181"/>
        <v>3179.8120000000054</v>
      </c>
      <c r="R537" s="31"/>
      <c r="S537" s="31">
        <f t="shared" si="166"/>
        <v>4.0000000000000036E-2</v>
      </c>
      <c r="T537" s="31">
        <f t="shared" si="167"/>
        <v>-400</v>
      </c>
      <c r="U537" s="31">
        <f t="shared" si="168"/>
        <v>7.0245475746268937E-3</v>
      </c>
      <c r="V537" s="31">
        <f t="shared" si="169"/>
        <v>0.17561368936567218</v>
      </c>
      <c r="W537" s="31">
        <f t="shared" si="170"/>
        <v>0.33958359802403526</v>
      </c>
      <c r="X537" s="25">
        <f t="shared" si="182"/>
        <v>-8.0876156370506003</v>
      </c>
      <c r="Y537" s="25">
        <f t="shared" si="183"/>
        <v>7.6304164019759648</v>
      </c>
      <c r="Z537" s="25">
        <f t="shared" si="184"/>
        <v>3815192.3259518207</v>
      </c>
      <c r="AA537" s="25">
        <f>SUM(L$2:L537)-SUM(AB$2:AB537)</f>
        <v>-16534.493000000104</v>
      </c>
      <c r="AB537" s="176"/>
      <c r="AC537" s="176">
        <f t="shared" si="171"/>
        <v>-1536.6139310226149</v>
      </c>
      <c r="AD537" s="176">
        <f t="shared" si="172"/>
        <v>-28336.613931022614</v>
      </c>
    </row>
    <row r="538" spans="1:30" s="1" customFormat="1" x14ac:dyDescent="0.25">
      <c r="A538" s="284">
        <v>43649</v>
      </c>
      <c r="B538" s="286"/>
      <c r="C538" s="64" t="s">
        <v>69</v>
      </c>
      <c r="D538" s="64">
        <v>400</v>
      </c>
      <c r="E538" s="64">
        <v>8.07</v>
      </c>
      <c r="F538" s="102">
        <f t="shared" si="174"/>
        <v>26400</v>
      </c>
      <c r="G538" s="32">
        <f t="shared" si="173"/>
        <v>8.4329230113636449</v>
      </c>
      <c r="H538" s="31">
        <f t="shared" si="175"/>
        <v>222629.16750000024</v>
      </c>
      <c r="I538" s="31">
        <f t="shared" si="176"/>
        <v>-9581.1675000002433</v>
      </c>
      <c r="J538" s="277">
        <f t="shared" si="177"/>
        <v>-4.3036443102183394E-2</v>
      </c>
      <c r="K538" s="31">
        <f t="shared" si="178"/>
        <v>213048</v>
      </c>
      <c r="L538" s="31">
        <f t="shared" si="179"/>
        <v>2671.7719999999972</v>
      </c>
      <c r="M538" s="31">
        <f t="shared" si="164"/>
        <v>5</v>
      </c>
      <c r="N538" s="31">
        <f t="shared" si="165"/>
        <v>3.2280000000000002</v>
      </c>
      <c r="O538" s="31"/>
      <c r="P538" s="31">
        <f t="shared" si="180"/>
        <v>-0.36292301136364458</v>
      </c>
      <c r="Q538" s="31">
        <f t="shared" si="181"/>
        <v>3219.7719999999972</v>
      </c>
      <c r="R538" s="31"/>
      <c r="S538" s="31">
        <f t="shared" si="166"/>
        <v>0.10000000000000053</v>
      </c>
      <c r="T538" s="31">
        <f t="shared" si="167"/>
        <v>-400</v>
      </c>
      <c r="U538" s="31">
        <f t="shared" si="168"/>
        <v>5.7237762890096633E-3</v>
      </c>
      <c r="V538" s="31">
        <f t="shared" si="169"/>
        <v>5.7237762890096328E-2</v>
      </c>
      <c r="W538" s="31">
        <f t="shared" si="170"/>
        <v>0.82980161328193414</v>
      </c>
      <c r="X538" s="25">
        <f t="shared" si="182"/>
        <v>-7.6031213980817105</v>
      </c>
      <c r="Y538" s="25">
        <f t="shared" si="183"/>
        <v>7.2401983867180659</v>
      </c>
      <c r="Z538" s="25">
        <f t="shared" si="184"/>
        <v>4612339.5931268604</v>
      </c>
      <c r="AA538" s="25">
        <f>SUM(L$2:L538)-SUM(AB$2:AB538)</f>
        <v>-13862.721000000107</v>
      </c>
      <c r="AB538" s="176"/>
      <c r="AC538" s="176">
        <f t="shared" si="171"/>
        <v>-1186.6638062267959</v>
      </c>
      <c r="AD538" s="176">
        <f t="shared" si="172"/>
        <v>-27586.663806226796</v>
      </c>
    </row>
    <row r="539" spans="1:30" s="1" customFormat="1" x14ac:dyDescent="0.25">
      <c r="A539" s="284">
        <v>43650</v>
      </c>
      <c r="B539" s="286" t="s">
        <v>747</v>
      </c>
      <c r="C539" s="64" t="s">
        <v>69</v>
      </c>
      <c r="D539" s="64">
        <v>400</v>
      </c>
      <c r="E539" s="64">
        <v>8.17</v>
      </c>
      <c r="F539" s="102">
        <f t="shared" si="174"/>
        <v>26000</v>
      </c>
      <c r="G539" s="32">
        <f t="shared" si="173"/>
        <v>8.4372859807692411</v>
      </c>
      <c r="H539" s="31">
        <f t="shared" si="175"/>
        <v>219369.43550000025</v>
      </c>
      <c r="I539" s="31">
        <f t="shared" si="176"/>
        <v>-6949.4355000002543</v>
      </c>
      <c r="J539" s="277">
        <f t="shared" si="177"/>
        <v>-3.1679142010648337E-2</v>
      </c>
      <c r="K539" s="31">
        <f t="shared" si="178"/>
        <v>212420</v>
      </c>
      <c r="L539" s="31">
        <f t="shared" si="179"/>
        <v>2631.7319999999891</v>
      </c>
      <c r="M539" s="31">
        <f t="shared" si="164"/>
        <v>5</v>
      </c>
      <c r="N539" s="31">
        <f t="shared" si="165"/>
        <v>3.2679999999999998</v>
      </c>
      <c r="O539" s="31"/>
      <c r="P539" s="31">
        <f t="shared" si="180"/>
        <v>-0.26728598076924115</v>
      </c>
      <c r="Q539" s="31">
        <f t="shared" si="181"/>
        <v>3259.7319999999891</v>
      </c>
      <c r="R539" s="31"/>
      <c r="S539" s="31">
        <f t="shared" si="166"/>
        <v>9.9999999999999645E-2</v>
      </c>
      <c r="T539" s="31">
        <f t="shared" si="167"/>
        <v>-400</v>
      </c>
      <c r="U539" s="31">
        <f t="shared" si="168"/>
        <v>4.3629694055962176E-3</v>
      </c>
      <c r="V539" s="31">
        <f t="shared" si="169"/>
        <v>4.3629694055962329E-2</v>
      </c>
      <c r="W539" s="31">
        <f t="shared" si="170"/>
        <v>0.80734612538699435</v>
      </c>
      <c r="X539" s="25">
        <f t="shared" si="182"/>
        <v>-7.6299398553822471</v>
      </c>
      <c r="Y539" s="25">
        <f t="shared" si="183"/>
        <v>7.3626538746130059</v>
      </c>
      <c r="Z539" s="25">
        <f t="shared" si="184"/>
        <v>5959244.1713322066</v>
      </c>
      <c r="AA539" s="25">
        <f>SUM(L$2:L539)-SUM(AB$2:AB539)</f>
        <v>-11230.989000000118</v>
      </c>
      <c r="AB539" s="176"/>
      <c r="AC539" s="176">
        <f t="shared" si="171"/>
        <v>-850.17879831704465</v>
      </c>
      <c r="AD539" s="176">
        <f t="shared" si="172"/>
        <v>-26850.178798317043</v>
      </c>
    </row>
    <row r="540" spans="1:30" s="1" customFormat="1" x14ac:dyDescent="0.25">
      <c r="A540" s="284">
        <v>43654</v>
      </c>
      <c r="B540" s="286" t="s">
        <v>740</v>
      </c>
      <c r="C540" s="64" t="s">
        <v>63</v>
      </c>
      <c r="D540" s="64">
        <v>400</v>
      </c>
      <c r="E540" s="64">
        <v>7.87</v>
      </c>
      <c r="F540" s="102">
        <f t="shared" si="174"/>
        <v>26400</v>
      </c>
      <c r="G540" s="32">
        <f t="shared" si="173"/>
        <v>8.4288801325757667</v>
      </c>
      <c r="H540" s="31">
        <f t="shared" si="175"/>
        <v>222522.43550000025</v>
      </c>
      <c r="I540" s="31">
        <f t="shared" si="176"/>
        <v>-14754.435500000254</v>
      </c>
      <c r="J540" s="277">
        <f t="shared" si="177"/>
        <v>-6.6305383845217808E-2</v>
      </c>
      <c r="K540" s="31">
        <f t="shared" si="178"/>
        <v>207768</v>
      </c>
      <c r="L540" s="31">
        <f t="shared" si="179"/>
        <v>-7805</v>
      </c>
      <c r="M540" s="31">
        <f t="shared" si="164"/>
        <v>5</v>
      </c>
      <c r="N540" s="31">
        <f t="shared" si="165"/>
        <v>0</v>
      </c>
      <c r="O540" s="31"/>
      <c r="P540" s="31">
        <f t="shared" si="180"/>
        <v>-0.55888013257576663</v>
      </c>
      <c r="Q540" s="31">
        <f t="shared" si="181"/>
        <v>-3153</v>
      </c>
      <c r="R540" s="31"/>
      <c r="S540" s="31">
        <f t="shared" si="166"/>
        <v>-0.29999999999999982</v>
      </c>
      <c r="T540" s="31">
        <f t="shared" si="167"/>
        <v>400</v>
      </c>
      <c r="U540" s="31">
        <f t="shared" si="168"/>
        <v>-8.4058481934743412E-3</v>
      </c>
      <c r="V540" s="31">
        <f t="shared" si="169"/>
        <v>2.8019493978247819E-2</v>
      </c>
      <c r="W540" s="31">
        <f t="shared" si="170"/>
        <v>2.4754202346971139</v>
      </c>
      <c r="X540" s="25">
        <f t="shared" si="182"/>
        <v>-5.9534598978786528</v>
      </c>
      <c r="Y540" s="25">
        <f t="shared" si="183"/>
        <v>5.3945797653028862</v>
      </c>
      <c r="Z540" s="25">
        <f t="shared" si="184"/>
        <v>-3140670.5655825362</v>
      </c>
      <c r="AA540" s="25">
        <f>SUM(L$2:L540)-SUM(AB$2:AB540)</f>
        <v>-19035.989000000118</v>
      </c>
      <c r="AB540" s="176"/>
      <c r="AC540" s="176">
        <f t="shared" si="171"/>
        <v>-1873.8320561944415</v>
      </c>
      <c r="AD540" s="176">
        <f t="shared" si="172"/>
        <v>-28273.832056194442</v>
      </c>
    </row>
    <row r="541" spans="1:30" s="1" customFormat="1" x14ac:dyDescent="0.25">
      <c r="A541" s="329">
        <v>43664</v>
      </c>
      <c r="B541" s="330" t="s">
        <v>746</v>
      </c>
      <c r="C541" s="64" t="s">
        <v>63</v>
      </c>
      <c r="D541" s="64">
        <v>400</v>
      </c>
      <c r="E541" s="64">
        <v>7.76</v>
      </c>
      <c r="F541" s="102">
        <f t="shared" si="174"/>
        <v>26800</v>
      </c>
      <c r="G541" s="32">
        <f t="shared" si="173"/>
        <v>8.4190834141791147</v>
      </c>
      <c r="H541" s="31">
        <f t="shared" si="175"/>
        <v>225631.43550000025</v>
      </c>
      <c r="I541" s="31">
        <f t="shared" si="176"/>
        <v>-17663.435500000254</v>
      </c>
      <c r="J541" s="279">
        <f t="shared" si="177"/>
        <v>-7.8284461829789043E-2</v>
      </c>
      <c r="K541" s="278">
        <f t="shared" si="178"/>
        <v>207968</v>
      </c>
      <c r="L541" s="278">
        <f t="shared" si="179"/>
        <v>-2909</v>
      </c>
      <c r="M541" s="278">
        <f t="shared" si="164"/>
        <v>5</v>
      </c>
      <c r="N541" s="278">
        <f t="shared" si="165"/>
        <v>0</v>
      </c>
      <c r="O541" s="278"/>
      <c r="P541" s="278">
        <f t="shared" si="180"/>
        <v>-0.65908341417911487</v>
      </c>
      <c r="Q541" s="278">
        <f t="shared" si="181"/>
        <v>-3109</v>
      </c>
      <c r="R541" s="278"/>
      <c r="S541" s="31">
        <f t="shared" si="166"/>
        <v>-0.11000000000000032</v>
      </c>
      <c r="T541" s="31">
        <f t="shared" si="167"/>
        <v>400</v>
      </c>
      <c r="U541" s="31">
        <f t="shared" si="168"/>
        <v>-9.7967183966520821E-3</v>
      </c>
      <c r="V541" s="31">
        <f t="shared" si="169"/>
        <v>8.9061076333200484E-2</v>
      </c>
      <c r="W541" s="31">
        <f t="shared" si="170"/>
        <v>0.93567063364425862</v>
      </c>
      <c r="X541" s="280">
        <f t="shared" si="182"/>
        <v>-7.4834127805348558</v>
      </c>
      <c r="Y541" s="280">
        <f t="shared" si="183"/>
        <v>6.8243293663557409</v>
      </c>
      <c r="Z541" s="280">
        <f t="shared" si="184"/>
        <v>-2735609.9170063515</v>
      </c>
      <c r="AA541" s="280">
        <f>SUM(L$2:L730)-SUM(AB$2:AB730)</f>
        <v>6041.6979999997129</v>
      </c>
      <c r="AB541" s="281"/>
      <c r="AC541" s="176">
        <f t="shared" si="171"/>
        <v>-2275.0778069910125</v>
      </c>
      <c r="AD541" s="176">
        <f t="shared" si="172"/>
        <v>-29075.077806991012</v>
      </c>
    </row>
    <row r="542" spans="1:30" x14ac:dyDescent="0.25">
      <c r="A542" s="329">
        <v>43665</v>
      </c>
      <c r="B542" s="286"/>
      <c r="C542" s="64" t="s">
        <v>69</v>
      </c>
      <c r="D542" s="64">
        <v>400</v>
      </c>
      <c r="E542" s="64">
        <v>7.93</v>
      </c>
      <c r="F542" s="102">
        <f t="shared" si="174"/>
        <v>26400</v>
      </c>
      <c r="G542" s="32">
        <f t="shared" si="173"/>
        <v>8.4268033143939487</v>
      </c>
      <c r="H542" s="31">
        <f t="shared" si="175"/>
        <v>222467.60750000025</v>
      </c>
      <c r="I542" s="31">
        <f t="shared" si="176"/>
        <v>-13115.607500000246</v>
      </c>
      <c r="J542" s="279">
        <f t="shared" si="177"/>
        <v>-5.8955133501852573E-2</v>
      </c>
      <c r="K542" s="278">
        <f t="shared" si="178"/>
        <v>209352</v>
      </c>
      <c r="L542" s="278">
        <f t="shared" si="179"/>
        <v>4547.8280000000086</v>
      </c>
      <c r="M542" s="278">
        <f t="shared" si="164"/>
        <v>5</v>
      </c>
      <c r="N542" s="278">
        <f t="shared" si="165"/>
        <v>3.1720000000000002</v>
      </c>
      <c r="O542" s="278"/>
      <c r="P542" s="278">
        <f t="shared" si="180"/>
        <v>-0.49680331439394898</v>
      </c>
      <c r="Q542" s="278">
        <f t="shared" si="181"/>
        <v>3163.8280000000086</v>
      </c>
      <c r="R542" s="278"/>
      <c r="S542" s="31">
        <f t="shared" si="166"/>
        <v>0.16999999999999993</v>
      </c>
      <c r="T542" s="31">
        <f t="shared" si="167"/>
        <v>-400</v>
      </c>
      <c r="U542" s="31">
        <f t="shared" si="168"/>
        <v>7.7199002148340412E-3</v>
      </c>
      <c r="V542" s="31">
        <f t="shared" si="169"/>
        <v>4.5411177734317909E-2</v>
      </c>
      <c r="W542" s="31">
        <f t="shared" si="170"/>
        <v>1.4374447662768002</v>
      </c>
      <c r="X542" s="280">
        <f t="shared" si="182"/>
        <v>-6.9893585481171483</v>
      </c>
      <c r="Y542" s="280">
        <f t="shared" si="183"/>
        <v>6.4925552337231993</v>
      </c>
      <c r="Z542" s="280">
        <f t="shared" si="184"/>
        <v>3419733.3210695568</v>
      </c>
      <c r="AA542" s="280">
        <f>SUM(L$2:L542)-SUM(AB$2:AB542)</f>
        <v>-17397.161000000109</v>
      </c>
      <c r="AB542" s="281"/>
      <c r="AC542" s="176">
        <f t="shared" si="171"/>
        <v>-1653.0958002837638</v>
      </c>
      <c r="AD542" s="176">
        <f t="shared" si="172"/>
        <v>-28053.095800283765</v>
      </c>
    </row>
    <row r="543" spans="1:30" x14ac:dyDescent="0.25">
      <c r="A543" s="136">
        <v>43670</v>
      </c>
      <c r="B543" s="286" t="s">
        <v>753</v>
      </c>
      <c r="C543" s="315" t="s">
        <v>751</v>
      </c>
      <c r="D543" s="64">
        <v>500</v>
      </c>
      <c r="E543" s="64">
        <v>7.77</v>
      </c>
      <c r="F543" s="102">
        <f t="shared" si="174"/>
        <v>26900</v>
      </c>
      <c r="G543" s="32">
        <f t="shared" si="173"/>
        <v>8.4147809479553999</v>
      </c>
      <c r="H543" s="31">
        <f t="shared" si="175"/>
        <v>226357.60750000025</v>
      </c>
      <c r="I543" s="31">
        <f t="shared" si="176"/>
        <v>-17344.607500000246</v>
      </c>
      <c r="J543" s="279">
        <f t="shared" si="177"/>
        <v>-7.6624804845581554E-2</v>
      </c>
      <c r="K543" s="278">
        <f t="shared" si="178"/>
        <v>209013</v>
      </c>
      <c r="L543" s="278">
        <f t="shared" si="179"/>
        <v>-4229</v>
      </c>
      <c r="M543" s="278">
        <f t="shared" si="164"/>
        <v>5</v>
      </c>
      <c r="N543" s="278">
        <f t="shared" si="165"/>
        <v>0</v>
      </c>
      <c r="O543" s="278"/>
      <c r="P543" s="278">
        <f t="shared" si="180"/>
        <v>-0.64478094795540031</v>
      </c>
      <c r="Q543" s="278">
        <f t="shared" si="181"/>
        <v>-3890</v>
      </c>
      <c r="R543" s="278"/>
      <c r="S543" s="31">
        <f t="shared" si="166"/>
        <v>-0.16000000000000014</v>
      </c>
      <c r="T543" s="31">
        <f t="shared" si="167"/>
        <v>500</v>
      </c>
      <c r="U543" s="31">
        <f t="shared" si="168"/>
        <v>-1.2022366438548815E-2</v>
      </c>
      <c r="V543" s="31">
        <f t="shared" si="169"/>
        <v>7.5139790240930024E-2</v>
      </c>
      <c r="W543" s="31">
        <f t="shared" si="170"/>
        <v>1.0871465295629821</v>
      </c>
      <c r="X543" s="280">
        <f t="shared" si="182"/>
        <v>-7.3276344183924174</v>
      </c>
      <c r="Y543" s="280">
        <f t="shared" si="183"/>
        <v>6.6828534704370171</v>
      </c>
      <c r="Z543" s="280">
        <f t="shared" si="184"/>
        <v>-2237496.264774227</v>
      </c>
      <c r="AA543" s="280">
        <f>SUM(L$2:L543)-SUM(AB$2:AB543)</f>
        <v>-21626.161000000109</v>
      </c>
      <c r="AB543" s="281"/>
      <c r="AC543" s="176">
        <f t="shared" si="171"/>
        <v>-2231.1370908944978</v>
      </c>
      <c r="AD543" s="176">
        <f t="shared" si="172"/>
        <v>-29131.137090894499</v>
      </c>
    </row>
    <row r="544" spans="1:30" x14ac:dyDescent="0.25">
      <c r="A544" s="136">
        <v>43678</v>
      </c>
      <c r="B544" s="286"/>
      <c r="C544" s="64" t="s">
        <v>63</v>
      </c>
      <c r="D544" s="64">
        <v>500</v>
      </c>
      <c r="E544" s="64">
        <v>7.64</v>
      </c>
      <c r="F544" s="102">
        <f t="shared" si="174"/>
        <v>27400</v>
      </c>
      <c r="G544" s="32">
        <f t="shared" si="173"/>
        <v>8.4008250912408844</v>
      </c>
      <c r="H544" s="31">
        <f t="shared" si="175"/>
        <v>230182.60750000025</v>
      </c>
      <c r="I544" s="31">
        <f t="shared" si="176"/>
        <v>-20846.607500000246</v>
      </c>
      <c r="J544" s="279">
        <f t="shared" si="177"/>
        <v>-9.0565519812352543E-2</v>
      </c>
      <c r="K544" s="278">
        <f t="shared" si="178"/>
        <v>209336</v>
      </c>
      <c r="L544" s="278">
        <f t="shared" si="179"/>
        <v>-3502</v>
      </c>
      <c r="M544" s="278">
        <f t="shared" si="164"/>
        <v>5</v>
      </c>
      <c r="N544" s="278">
        <f t="shared" si="165"/>
        <v>0</v>
      </c>
      <c r="O544" s="278"/>
      <c r="P544" s="278">
        <f t="shared" si="180"/>
        <v>-0.76082509124088471</v>
      </c>
      <c r="Q544" s="278">
        <f t="shared" si="181"/>
        <v>-3825</v>
      </c>
      <c r="R544" s="278"/>
      <c r="S544" s="31">
        <f t="shared" si="166"/>
        <v>-0.12999999999999989</v>
      </c>
      <c r="T544" s="31">
        <f t="shared" si="167"/>
        <v>500</v>
      </c>
      <c r="U544" s="31">
        <f t="shared" si="168"/>
        <v>-1.3955856714515491E-2</v>
      </c>
      <c r="V544" s="31">
        <f t="shared" si="169"/>
        <v>0.10735274395781155</v>
      </c>
      <c r="W544" s="31">
        <f t="shared" si="170"/>
        <v>0.91555555555555557</v>
      </c>
      <c r="X544" s="280">
        <f t="shared" si="182"/>
        <v>-7.4852695356853287</v>
      </c>
      <c r="Y544" s="280">
        <f t="shared" si="183"/>
        <v>6.724444444444444</v>
      </c>
      <c r="Z544" s="280">
        <f t="shared" si="184"/>
        <v>-1963333.4277143481</v>
      </c>
      <c r="AA544" s="280">
        <f>SUM(L$2:L544)-SUM(AB$2:AB544)</f>
        <v>-25128.161000000109</v>
      </c>
      <c r="AB544" s="281"/>
      <c r="AC544" s="176">
        <f t="shared" si="171"/>
        <v>-2727.2492403468909</v>
      </c>
      <c r="AD544" s="176">
        <f t="shared" si="172"/>
        <v>-30127.24924034689</v>
      </c>
    </row>
    <row r="545" spans="1:30" x14ac:dyDescent="0.25">
      <c r="A545" s="136">
        <v>43678</v>
      </c>
      <c r="B545" s="286" t="s">
        <v>752</v>
      </c>
      <c r="C545" s="64" t="s">
        <v>63</v>
      </c>
      <c r="D545" s="64">
        <v>500</v>
      </c>
      <c r="E545" s="64">
        <v>7.48</v>
      </c>
      <c r="F545" s="102">
        <f t="shared" si="174"/>
        <v>27900</v>
      </c>
      <c r="G545" s="32">
        <f t="shared" si="173"/>
        <v>8.3845020609319079</v>
      </c>
      <c r="H545" s="31">
        <f t="shared" si="175"/>
        <v>233927.60750000025</v>
      </c>
      <c r="I545" s="31">
        <f t="shared" si="176"/>
        <v>-25235.607500000246</v>
      </c>
      <c r="J545" s="279">
        <f t="shared" si="177"/>
        <v>-0.10787785062949524</v>
      </c>
      <c r="K545" s="278">
        <f t="shared" si="178"/>
        <v>208692</v>
      </c>
      <c r="L545" s="278">
        <f t="shared" si="179"/>
        <v>-4389</v>
      </c>
      <c r="M545" s="278">
        <f t="shared" si="164"/>
        <v>5</v>
      </c>
      <c r="N545" s="278">
        <f t="shared" si="165"/>
        <v>0</v>
      </c>
      <c r="O545" s="278"/>
      <c r="P545" s="278">
        <f t="shared" si="180"/>
        <v>-0.90450206093190744</v>
      </c>
      <c r="Q545" s="278">
        <f t="shared" si="181"/>
        <v>-3745</v>
      </c>
      <c r="R545" s="278"/>
      <c r="S545" s="31">
        <f t="shared" si="166"/>
        <v>-0.15999999999999925</v>
      </c>
      <c r="T545" s="31">
        <f t="shared" si="167"/>
        <v>500</v>
      </c>
      <c r="U545" s="31">
        <f t="shared" si="168"/>
        <v>-1.6323030308976527E-2</v>
      </c>
      <c r="V545" s="31">
        <f t="shared" si="169"/>
        <v>0.10201893943110377</v>
      </c>
      <c r="W545" s="31">
        <f t="shared" si="170"/>
        <v>1.17196261682243</v>
      </c>
      <c r="X545" s="280">
        <f t="shared" si="182"/>
        <v>-7.2125394441094777</v>
      </c>
      <c r="Y545" s="280">
        <f t="shared" si="183"/>
        <v>6.3080373831775702</v>
      </c>
      <c r="Z545" s="280">
        <f t="shared" si="184"/>
        <v>-1709241.4503854071</v>
      </c>
      <c r="AA545" s="280">
        <f>SUM(L$2:L545)-SUM(AB$2:AB545)</f>
        <v>-29517.161000000109</v>
      </c>
      <c r="AB545" s="281"/>
      <c r="AC545" s="176">
        <f t="shared" si="171"/>
        <v>-3372.0574460227599</v>
      </c>
      <c r="AD545" s="176">
        <f t="shared" si="172"/>
        <v>-31272.057446022758</v>
      </c>
    </row>
    <row r="546" spans="1:30" x14ac:dyDescent="0.25">
      <c r="A546" s="136">
        <v>43679</v>
      </c>
      <c r="B546" s="286" t="s">
        <v>765</v>
      </c>
      <c r="C546" s="64" t="s">
        <v>63</v>
      </c>
      <c r="D546" s="64">
        <v>500</v>
      </c>
      <c r="E546" s="64">
        <v>7.34</v>
      </c>
      <c r="F546" s="102">
        <f t="shared" si="174"/>
        <v>28400</v>
      </c>
      <c r="G546" s="32">
        <f t="shared" si="173"/>
        <v>8.3662889964788825</v>
      </c>
      <c r="H546" s="31">
        <f t="shared" si="175"/>
        <v>237602.60750000025</v>
      </c>
      <c r="I546" s="31">
        <f t="shared" si="176"/>
        <v>-29146.607500000246</v>
      </c>
      <c r="J546" s="279">
        <f t="shared" si="177"/>
        <v>-0.12266956077070927</v>
      </c>
      <c r="K546" s="278">
        <f t="shared" si="178"/>
        <v>208456</v>
      </c>
      <c r="L546" s="278">
        <f t="shared" si="179"/>
        <v>-3911</v>
      </c>
      <c r="M546" s="278">
        <f t="shared" si="164"/>
        <v>5</v>
      </c>
      <c r="N546" s="278">
        <f t="shared" si="165"/>
        <v>0</v>
      </c>
      <c r="O546" s="278"/>
      <c r="P546" s="278">
        <f t="shared" si="180"/>
        <v>-1.0262889964788826</v>
      </c>
      <c r="Q546" s="278">
        <f t="shared" si="181"/>
        <v>-3675</v>
      </c>
      <c r="R546" s="278"/>
      <c r="S546" s="31">
        <f t="shared" si="166"/>
        <v>-0.14000000000000057</v>
      </c>
      <c r="T546" s="31">
        <f t="shared" si="167"/>
        <v>500</v>
      </c>
      <c r="U546" s="31">
        <f t="shared" si="168"/>
        <v>-1.8213064453025396E-2</v>
      </c>
      <c r="V546" s="31">
        <f t="shared" si="169"/>
        <v>0.13009331752160944</v>
      </c>
      <c r="W546" s="31">
        <f t="shared" si="170"/>
        <v>1.0642176870748299</v>
      </c>
      <c r="X546" s="280">
        <f t="shared" si="182"/>
        <v>-7.3020713094040524</v>
      </c>
      <c r="Y546" s="280">
        <f t="shared" si="183"/>
        <v>6.2757823129251697</v>
      </c>
      <c r="Z546" s="280">
        <f t="shared" si="184"/>
        <v>-1559320.2381317241</v>
      </c>
      <c r="AA546" s="280">
        <f>SUM(L$2:L546)-SUM(AB$2:AB546)</f>
        <v>-33428.161000000109</v>
      </c>
      <c r="AB546" s="281"/>
      <c r="AC546" s="176">
        <f t="shared" si="171"/>
        <v>-3968.941988589952</v>
      </c>
      <c r="AD546" s="176">
        <f t="shared" si="172"/>
        <v>-32368.941988589952</v>
      </c>
    </row>
    <row r="547" spans="1:30" x14ac:dyDescent="0.25">
      <c r="A547" s="136">
        <v>43682</v>
      </c>
      <c r="B547" s="286"/>
      <c r="C547" s="315" t="s">
        <v>756</v>
      </c>
      <c r="D547" s="64">
        <v>500</v>
      </c>
      <c r="E547" s="64">
        <v>7.24</v>
      </c>
      <c r="F547" s="102">
        <f t="shared" si="174"/>
        <v>28900</v>
      </c>
      <c r="G547" s="32">
        <f t="shared" si="173"/>
        <v>8.3469760380622926</v>
      </c>
      <c r="H547" s="31">
        <f t="shared" si="175"/>
        <v>241227.60750000025</v>
      </c>
      <c r="I547" s="31">
        <f t="shared" si="176"/>
        <v>-31991.607500000246</v>
      </c>
      <c r="J547" s="279">
        <f t="shared" si="177"/>
        <v>-0.13262000909245106</v>
      </c>
      <c r="K547" s="278">
        <f t="shared" si="178"/>
        <v>209236</v>
      </c>
      <c r="L547" s="278">
        <f t="shared" si="179"/>
        <v>-2845</v>
      </c>
      <c r="M547" s="278">
        <f t="shared" si="164"/>
        <v>5</v>
      </c>
      <c r="N547" s="278">
        <f t="shared" si="165"/>
        <v>0</v>
      </c>
      <c r="O547" s="278"/>
      <c r="P547" s="278">
        <f t="shared" si="180"/>
        <v>-1.1069760380622924</v>
      </c>
      <c r="Q547" s="278">
        <f t="shared" si="181"/>
        <v>-3625</v>
      </c>
      <c r="R547" s="278"/>
      <c r="S547" s="31">
        <f t="shared" si="166"/>
        <v>-9.9999999999999645E-2</v>
      </c>
      <c r="T547" s="31">
        <f t="shared" si="167"/>
        <v>500</v>
      </c>
      <c r="U547" s="31">
        <f t="shared" si="168"/>
        <v>-1.9312958416589865E-2</v>
      </c>
      <c r="V547" s="31">
        <f t="shared" si="169"/>
        <v>0.19312958416589934</v>
      </c>
      <c r="W547" s="31">
        <f t="shared" si="170"/>
        <v>0.78482758620689652</v>
      </c>
      <c r="X547" s="280">
        <f t="shared" si="182"/>
        <v>-7.5621484518553963</v>
      </c>
      <c r="Y547" s="280">
        <f t="shared" si="183"/>
        <v>6.4551724137931039</v>
      </c>
      <c r="Z547" s="280">
        <f t="shared" si="184"/>
        <v>-1496404.6096208051</v>
      </c>
      <c r="AA547" s="280">
        <f>SUM(L$2:L547)-SUM(AB$2:AB547)</f>
        <v>-36273.161000000109</v>
      </c>
      <c r="AB547" s="281"/>
      <c r="AC547" s="176">
        <f t="shared" si="171"/>
        <v>-4416.5209525207529</v>
      </c>
      <c r="AD547" s="176">
        <f t="shared" si="172"/>
        <v>-33316.520952520754</v>
      </c>
    </row>
    <row r="548" spans="1:30" x14ac:dyDescent="0.25">
      <c r="A548" s="318">
        <v>43689</v>
      </c>
      <c r="B548" s="286" t="s">
        <v>757</v>
      </c>
      <c r="C548" s="64" t="s">
        <v>69</v>
      </c>
      <c r="D548" s="64">
        <v>400</v>
      </c>
      <c r="E548" s="64">
        <v>7.37</v>
      </c>
      <c r="F548" s="102">
        <f t="shared" si="174"/>
        <v>28500</v>
      </c>
      <c r="G548" s="32">
        <f t="shared" si="173"/>
        <v>8.3609668596491318</v>
      </c>
      <c r="H548" s="31">
        <f t="shared" si="175"/>
        <v>238287.55550000025</v>
      </c>
      <c r="I548" s="31">
        <f t="shared" si="176"/>
        <v>-28242.55550000025</v>
      </c>
      <c r="J548" s="279">
        <f t="shared" si="177"/>
        <v>-0.11852299815128291</v>
      </c>
      <c r="K548" s="278">
        <f t="shared" si="178"/>
        <v>210045</v>
      </c>
      <c r="L548" s="278">
        <f t="shared" si="179"/>
        <v>3749.051999999996</v>
      </c>
      <c r="M548" s="278">
        <f t="shared" si="164"/>
        <v>5</v>
      </c>
      <c r="N548" s="278">
        <f t="shared" si="165"/>
        <v>2.948</v>
      </c>
      <c r="O548" s="278"/>
      <c r="P548" s="278">
        <f t="shared" si="180"/>
        <v>-0.99096685964913167</v>
      </c>
      <c r="Q548" s="278">
        <f t="shared" si="181"/>
        <v>2940.051999999996</v>
      </c>
      <c r="R548" s="278"/>
      <c r="S548" s="31">
        <f t="shared" si="166"/>
        <v>0.12999999999999989</v>
      </c>
      <c r="T548" s="31">
        <f t="shared" si="167"/>
        <v>-400</v>
      </c>
      <c r="U548" s="31">
        <f t="shared" si="168"/>
        <v>1.3990821586839175E-2</v>
      </c>
      <c r="V548" s="31">
        <f t="shared" si="169"/>
        <v>0.10762170451414758</v>
      </c>
      <c r="W548" s="31">
        <f t="shared" si="170"/>
        <v>1.2751652011597077</v>
      </c>
      <c r="X548" s="280">
        <f t="shared" si="182"/>
        <v>-7.0858016584894239</v>
      </c>
      <c r="Y548" s="280">
        <f t="shared" si="183"/>
        <v>6.0948347988402922</v>
      </c>
      <c r="Z548" s="280">
        <f t="shared" si="184"/>
        <v>2037049.7774633374</v>
      </c>
      <c r="AA548" s="280">
        <f>SUM(L$2:L548)-SUM(AB$2:AB548)</f>
        <v>-32524.109000000113</v>
      </c>
      <c r="AB548" s="281"/>
      <c r="AC548" s="176">
        <f t="shared" si="171"/>
        <v>-3830.1810342266285</v>
      </c>
      <c r="AD548" s="176">
        <f t="shared" si="172"/>
        <v>-32330.181034226629</v>
      </c>
    </row>
    <row r="549" spans="1:30" x14ac:dyDescent="0.25">
      <c r="A549" s="318">
        <v>43690</v>
      </c>
      <c r="B549" s="286"/>
      <c r="C549" s="64" t="s">
        <v>69</v>
      </c>
      <c r="D549" s="64">
        <v>400</v>
      </c>
      <c r="E549" s="64">
        <v>7.48</v>
      </c>
      <c r="F549" s="102">
        <f t="shared" si="174"/>
        <v>28100</v>
      </c>
      <c r="G549" s="32">
        <f t="shared" si="173"/>
        <v>8.3737917259786574</v>
      </c>
      <c r="H549" s="31">
        <f t="shared" si="175"/>
        <v>235303.54750000025</v>
      </c>
      <c r="I549" s="31">
        <f t="shared" si="176"/>
        <v>-25115.547500000248</v>
      </c>
      <c r="J549" s="279">
        <f t="shared" si="177"/>
        <v>-0.10673679919764165</v>
      </c>
      <c r="K549" s="278">
        <f t="shared" si="178"/>
        <v>210188</v>
      </c>
      <c r="L549" s="278">
        <f t="shared" si="179"/>
        <v>3127.0080000000016</v>
      </c>
      <c r="M549" s="278">
        <f t="shared" ref="M549:M603" si="185">IF(D549*E549*2.5/10000&gt;5,D549*E549*2.5/10000,5)</f>
        <v>5</v>
      </c>
      <c r="N549" s="278">
        <f t="shared" ref="N549:N603" si="186">IF(C549="卖",D549*E549/1000,0)</f>
        <v>2.992</v>
      </c>
      <c r="O549" s="278"/>
      <c r="P549" s="278">
        <f t="shared" si="180"/>
        <v>-0.89379172597865697</v>
      </c>
      <c r="Q549" s="278">
        <f t="shared" si="181"/>
        <v>2984.0080000000016</v>
      </c>
      <c r="R549" s="278"/>
      <c r="S549" s="31">
        <f t="shared" si="166"/>
        <v>0.11000000000000032</v>
      </c>
      <c r="T549" s="31">
        <f t="shared" si="167"/>
        <v>-400</v>
      </c>
      <c r="U549" s="31">
        <f t="shared" si="168"/>
        <v>1.2824866329525619E-2</v>
      </c>
      <c r="V549" s="31">
        <f t="shared" si="169"/>
        <v>0.11658969390477802</v>
      </c>
      <c r="W549" s="31">
        <f t="shared" si="170"/>
        <v>1.0479221235331808</v>
      </c>
      <c r="X549" s="280">
        <f t="shared" si="182"/>
        <v>-7.3258696024454766</v>
      </c>
      <c r="Y549" s="280">
        <f t="shared" si="183"/>
        <v>6.4320778764668196</v>
      </c>
      <c r="Z549" s="280">
        <f t="shared" si="184"/>
        <v>2191055.9750090898</v>
      </c>
      <c r="AA549" s="280">
        <f>SUM(L$2:L549)-SUM(AB$2:AB549)</f>
        <v>-29397.101000000112</v>
      </c>
      <c r="AB549" s="281"/>
      <c r="AC549" s="176">
        <f t="shared" si="171"/>
        <v>-3356.0146692847925</v>
      </c>
      <c r="AD549" s="176">
        <f t="shared" si="172"/>
        <v>-31456.014669284792</v>
      </c>
    </row>
    <row r="550" spans="1:30" x14ac:dyDescent="0.25">
      <c r="A550" s="318">
        <v>43691</v>
      </c>
      <c r="B550" s="286"/>
      <c r="C550" s="64" t="s">
        <v>69</v>
      </c>
      <c r="D550" s="64">
        <v>400</v>
      </c>
      <c r="E550" s="64">
        <v>7.58</v>
      </c>
      <c r="F550" s="102">
        <f t="shared" si="174"/>
        <v>27700</v>
      </c>
      <c r="G550" s="32">
        <f t="shared" si="173"/>
        <v>8.3855443862815982</v>
      </c>
      <c r="H550" s="31">
        <f t="shared" si="175"/>
        <v>232279.57950000025</v>
      </c>
      <c r="I550" s="31">
        <f t="shared" si="176"/>
        <v>-22313.579500000254</v>
      </c>
      <c r="J550" s="279">
        <f t="shared" si="177"/>
        <v>-9.6063457442242539E-2</v>
      </c>
      <c r="K550" s="278">
        <f t="shared" si="178"/>
        <v>209966</v>
      </c>
      <c r="L550" s="278">
        <f t="shared" si="179"/>
        <v>2801.9679999999935</v>
      </c>
      <c r="M550" s="278">
        <f t="shared" si="185"/>
        <v>5</v>
      </c>
      <c r="N550" s="278">
        <f t="shared" si="186"/>
        <v>3.032</v>
      </c>
      <c r="O550" s="278"/>
      <c r="P550" s="278">
        <f t="shared" si="180"/>
        <v>-0.80554438628159808</v>
      </c>
      <c r="Q550" s="278">
        <f t="shared" si="181"/>
        <v>3023.9679999999935</v>
      </c>
      <c r="R550" s="278"/>
      <c r="S550" s="31">
        <f t="shared" si="166"/>
        <v>9.9999999999999645E-2</v>
      </c>
      <c r="T550" s="31">
        <f t="shared" si="167"/>
        <v>-400</v>
      </c>
      <c r="U550" s="31">
        <f t="shared" si="168"/>
        <v>1.1752660302940754E-2</v>
      </c>
      <c r="V550" s="31">
        <f t="shared" si="169"/>
        <v>0.11752660302940796</v>
      </c>
      <c r="W550" s="31">
        <f t="shared" si="170"/>
        <v>0.92658652472512926</v>
      </c>
      <c r="X550" s="280">
        <f t="shared" si="182"/>
        <v>-7.4589578615564687</v>
      </c>
      <c r="Y550" s="280">
        <f t="shared" si="183"/>
        <v>6.6534134752748706</v>
      </c>
      <c r="Z550" s="280">
        <f t="shared" si="184"/>
        <v>2356913.1827173545</v>
      </c>
      <c r="AA550" s="280">
        <f>SUM(L$2:L550)-SUM(AB$2:AB550)</f>
        <v>-26595.133000000118</v>
      </c>
      <c r="AB550" s="281"/>
      <c r="AC550" s="176">
        <f t="shared" si="171"/>
        <v>-2942.2721253628306</v>
      </c>
      <c r="AD550" s="176">
        <f t="shared" si="172"/>
        <v>-30642.27212536283</v>
      </c>
    </row>
    <row r="551" spans="1:30" x14ac:dyDescent="0.25">
      <c r="A551" s="318">
        <v>43691</v>
      </c>
      <c r="B551" s="286" t="s">
        <v>759</v>
      </c>
      <c r="C551" s="64" t="s">
        <v>69</v>
      </c>
      <c r="D551" s="64">
        <v>400</v>
      </c>
      <c r="E551" s="64">
        <v>7.65</v>
      </c>
      <c r="F551" s="102">
        <f t="shared" si="174"/>
        <v>27300</v>
      </c>
      <c r="G551" s="32">
        <f t="shared" si="173"/>
        <v>8.3966168315018415</v>
      </c>
      <c r="H551" s="31">
        <f t="shared" si="175"/>
        <v>229227.63950000025</v>
      </c>
      <c r="I551" s="31">
        <f t="shared" si="176"/>
        <v>-20382.639500000252</v>
      </c>
      <c r="J551" s="279">
        <f t="shared" si="177"/>
        <v>-8.8918768890434083E-2</v>
      </c>
      <c r="K551" s="278">
        <f t="shared" si="178"/>
        <v>208845</v>
      </c>
      <c r="L551" s="278">
        <f t="shared" si="179"/>
        <v>1930.9400000000023</v>
      </c>
      <c r="M551" s="278">
        <f t="shared" si="185"/>
        <v>5</v>
      </c>
      <c r="N551" s="278">
        <f t="shared" si="186"/>
        <v>3.06</v>
      </c>
      <c r="O551" s="278"/>
      <c r="P551" s="278">
        <f t="shared" si="180"/>
        <v>-0.74661683150184111</v>
      </c>
      <c r="Q551" s="278">
        <f t="shared" si="181"/>
        <v>3051.9400000000023</v>
      </c>
      <c r="R551" s="278"/>
      <c r="S551" s="31">
        <f t="shared" si="166"/>
        <v>7.0000000000000284E-2</v>
      </c>
      <c r="T551" s="31">
        <f t="shared" si="167"/>
        <v>-400</v>
      </c>
      <c r="U551" s="31">
        <f t="shared" si="168"/>
        <v>1.107244522024331E-2</v>
      </c>
      <c r="V551" s="31">
        <f t="shared" si="169"/>
        <v>0.15817778886061806</v>
      </c>
      <c r="W551" s="31">
        <f t="shared" si="170"/>
        <v>0.63269264795507152</v>
      </c>
      <c r="X551" s="280">
        <f t="shared" si="182"/>
        <v>-7.7639241835467701</v>
      </c>
      <c r="Y551" s="280">
        <f t="shared" si="183"/>
        <v>7.0173073520449289</v>
      </c>
      <c r="Z551" s="280">
        <f t="shared" si="184"/>
        <v>2465580.0464100288</v>
      </c>
      <c r="AA551" s="280">
        <f>SUM(L$2:L551)-SUM(AB$2:AB551)</f>
        <v>-24664.193000000116</v>
      </c>
      <c r="AB551" s="281"/>
      <c r="AC551" s="176">
        <f t="shared" si="171"/>
        <v>-2663.0651216013403</v>
      </c>
      <c r="AD551" s="176">
        <f t="shared" si="172"/>
        <v>-29963.065121601339</v>
      </c>
    </row>
    <row r="552" spans="1:30" x14ac:dyDescent="0.25">
      <c r="A552" s="136">
        <v>43696</v>
      </c>
      <c r="B552" s="286" t="s">
        <v>764</v>
      </c>
      <c r="C552" s="64" t="s">
        <v>69</v>
      </c>
      <c r="D552" s="64">
        <v>400</v>
      </c>
      <c r="E552" s="64">
        <v>7.77</v>
      </c>
      <c r="F552" s="102">
        <f t="shared" si="174"/>
        <v>26900</v>
      </c>
      <c r="G552" s="32">
        <f t="shared" si="173"/>
        <v>8.4062359665427611</v>
      </c>
      <c r="H552" s="31">
        <f t="shared" si="175"/>
        <v>226127.74750000026</v>
      </c>
      <c r="I552" s="31">
        <f t="shared" si="176"/>
        <v>-17114.74750000026</v>
      </c>
      <c r="J552" s="279">
        <f t="shared" si="177"/>
        <v>-7.5686189285550917E-2</v>
      </c>
      <c r="K552" s="278">
        <f t="shared" si="178"/>
        <v>209013</v>
      </c>
      <c r="L552" s="278">
        <f t="shared" si="179"/>
        <v>3267.8919999999925</v>
      </c>
      <c r="M552" s="278">
        <f t="shared" si="185"/>
        <v>5</v>
      </c>
      <c r="N552" s="278">
        <f t="shared" si="186"/>
        <v>3.1080000000000001</v>
      </c>
      <c r="O552" s="278"/>
      <c r="P552" s="278">
        <f t="shared" si="180"/>
        <v>-0.63623596654276149</v>
      </c>
      <c r="Q552" s="278">
        <f t="shared" si="181"/>
        <v>3099.8919999999925</v>
      </c>
      <c r="R552" s="278"/>
      <c r="S552" s="31">
        <f t="shared" si="166"/>
        <v>0.11999999999999922</v>
      </c>
      <c r="T552" s="31">
        <f t="shared" si="167"/>
        <v>-400</v>
      </c>
      <c r="U552" s="31">
        <f t="shared" si="168"/>
        <v>9.6191350409196019E-3</v>
      </c>
      <c r="V552" s="31">
        <f t="shared" si="169"/>
        <v>8.0159458674330539E-2</v>
      </c>
      <c r="W552" s="31">
        <f t="shared" si="170"/>
        <v>1.0541954364861745</v>
      </c>
      <c r="X552" s="280">
        <f t="shared" si="182"/>
        <v>-7.3520405300565868</v>
      </c>
      <c r="Y552" s="280">
        <f t="shared" si="183"/>
        <v>6.7158045635138253</v>
      </c>
      <c r="Z552" s="280">
        <f t="shared" si="184"/>
        <v>2796509.2376360199</v>
      </c>
      <c r="AA552" s="280">
        <f>SUM(L$2:L552)-SUM(AB$2:AB552)</f>
        <v>-21396.301000000123</v>
      </c>
      <c r="AB552" s="281"/>
      <c r="AC552" s="176">
        <f t="shared" si="171"/>
        <v>-2201.5688708172793</v>
      </c>
      <c r="AD552" s="176">
        <f t="shared" si="172"/>
        <v>-29101.568870817278</v>
      </c>
    </row>
    <row r="553" spans="1:30" x14ac:dyDescent="0.25">
      <c r="A553" s="136">
        <v>43700</v>
      </c>
      <c r="B553" s="286" t="s">
        <v>761</v>
      </c>
      <c r="C553" s="315" t="s">
        <v>760</v>
      </c>
      <c r="D553" s="64">
        <v>500</v>
      </c>
      <c r="E553" s="64">
        <v>7.58</v>
      </c>
      <c r="F553" s="102">
        <f t="shared" si="174"/>
        <v>27400</v>
      </c>
      <c r="G553" s="32">
        <f t="shared" si="173"/>
        <v>8.3913411496350463</v>
      </c>
      <c r="H553" s="31">
        <f t="shared" si="175"/>
        <v>229922.74750000026</v>
      </c>
      <c r="I553" s="31">
        <f t="shared" si="176"/>
        <v>-22230.74750000026</v>
      </c>
      <c r="J553" s="279">
        <f t="shared" si="177"/>
        <v>-9.668789948676236E-2</v>
      </c>
      <c r="K553" s="278">
        <f t="shared" si="178"/>
        <v>207692</v>
      </c>
      <c r="L553" s="278">
        <f t="shared" si="179"/>
        <v>-5116</v>
      </c>
      <c r="M553" s="278">
        <f t="shared" si="185"/>
        <v>5</v>
      </c>
      <c r="N553" s="278">
        <f t="shared" si="186"/>
        <v>0</v>
      </c>
      <c r="O553" s="278"/>
      <c r="P553" s="278">
        <f t="shared" si="180"/>
        <v>-0.81134114963504622</v>
      </c>
      <c r="Q553" s="278">
        <f t="shared" si="181"/>
        <v>-3795</v>
      </c>
      <c r="R553" s="278"/>
      <c r="S553" s="31">
        <f t="shared" si="166"/>
        <v>-0.1899999999999995</v>
      </c>
      <c r="T553" s="31">
        <f t="shared" si="167"/>
        <v>500</v>
      </c>
      <c r="U553" s="31">
        <f t="shared" si="168"/>
        <v>-1.489481690771477E-2</v>
      </c>
      <c r="V553" s="31">
        <f t="shared" si="169"/>
        <v>7.8393773198498995E-2</v>
      </c>
      <c r="W553" s="31">
        <f t="shared" si="170"/>
        <v>1.3480895915678524</v>
      </c>
      <c r="X553" s="280">
        <f t="shared" si="182"/>
        <v>-7.0432515580671939</v>
      </c>
      <c r="Y553" s="280">
        <f t="shared" si="183"/>
        <v>6.2319104084321477</v>
      </c>
      <c r="Z553" s="280">
        <f t="shared" si="184"/>
        <v>-1839566.0832734487</v>
      </c>
      <c r="AA553" s="280">
        <f>SUM(L$2:L553)-SUM(AB$2:AB553)</f>
        <v>-26512.301000000123</v>
      </c>
      <c r="AB553" s="281"/>
      <c r="AC553" s="176">
        <f t="shared" si="171"/>
        <v>-2931.3498847295855</v>
      </c>
      <c r="AD553" s="176">
        <f t="shared" si="172"/>
        <v>-30331.349884729585</v>
      </c>
    </row>
    <row r="554" spans="1:30" x14ac:dyDescent="0.25">
      <c r="A554" s="136">
        <v>43706</v>
      </c>
      <c r="B554" s="286" t="s">
        <v>763</v>
      </c>
      <c r="C554" s="315" t="s">
        <v>762</v>
      </c>
      <c r="D554" s="64">
        <v>400</v>
      </c>
      <c r="E554" s="64">
        <v>7.45</v>
      </c>
      <c r="F554" s="102">
        <f t="shared" si="174"/>
        <v>27800</v>
      </c>
      <c r="G554" s="32">
        <f t="shared" si="173"/>
        <v>8.377976528776987</v>
      </c>
      <c r="H554" s="31">
        <f t="shared" si="175"/>
        <v>232907.74750000026</v>
      </c>
      <c r="I554" s="31">
        <f t="shared" si="176"/>
        <v>-25797.74750000026</v>
      </c>
      <c r="J554" s="279">
        <f t="shared" si="177"/>
        <v>-0.11076380144889858</v>
      </c>
      <c r="K554" s="278">
        <f t="shared" si="178"/>
        <v>207110</v>
      </c>
      <c r="L554" s="278">
        <f t="shared" si="179"/>
        <v>-3567</v>
      </c>
      <c r="M554" s="278">
        <f t="shared" si="185"/>
        <v>5</v>
      </c>
      <c r="N554" s="278">
        <f t="shared" si="186"/>
        <v>0</v>
      </c>
      <c r="O554" s="278"/>
      <c r="P554" s="278">
        <f t="shared" si="180"/>
        <v>-0.92797652877698678</v>
      </c>
      <c r="Q554" s="278">
        <f t="shared" si="181"/>
        <v>-2985</v>
      </c>
      <c r="R554" s="278"/>
      <c r="S554" s="31">
        <f t="shared" si="166"/>
        <v>-0.12999999999999989</v>
      </c>
      <c r="T554" s="31">
        <f t="shared" si="167"/>
        <v>400</v>
      </c>
      <c r="U554" s="31">
        <f t="shared" si="168"/>
        <v>-1.336462085805934E-2</v>
      </c>
      <c r="V554" s="31">
        <f t="shared" si="169"/>
        <v>0.10280477583122577</v>
      </c>
      <c r="W554" s="31">
        <f t="shared" si="170"/>
        <v>1.1949748743718593</v>
      </c>
      <c r="X554" s="280">
        <f t="shared" si="182"/>
        <v>-7.1830016544051274</v>
      </c>
      <c r="Y554" s="280">
        <f t="shared" si="183"/>
        <v>6.2550251256281406</v>
      </c>
      <c r="Z554" s="280">
        <f t="shared" si="184"/>
        <v>-2080118.8672131777</v>
      </c>
      <c r="AA554" s="280">
        <f>SUM(L$2:L554)-SUM(AB$2:AB554)</f>
        <v>-30079.301000000123</v>
      </c>
      <c r="AB554" s="281"/>
      <c r="AC554" s="176">
        <f t="shared" si="171"/>
        <v>-3461.0535068792296</v>
      </c>
      <c r="AD554" s="176">
        <f t="shared" si="172"/>
        <v>-31261.053506879231</v>
      </c>
    </row>
    <row r="555" spans="1:30" x14ac:dyDescent="0.25">
      <c r="A555" s="136">
        <v>43707</v>
      </c>
      <c r="B555" s="286"/>
      <c r="C555" s="64" t="s">
        <v>63</v>
      </c>
      <c r="D555" s="64">
        <v>400</v>
      </c>
      <c r="E555" s="64">
        <v>7.28</v>
      </c>
      <c r="F555" s="102">
        <f t="shared" si="174"/>
        <v>28200</v>
      </c>
      <c r="G555" s="32">
        <f t="shared" si="173"/>
        <v>8.3625796985815697</v>
      </c>
      <c r="H555" s="31">
        <f t="shared" si="175"/>
        <v>235824.74750000026</v>
      </c>
      <c r="I555" s="31">
        <f t="shared" si="176"/>
        <v>-30528.74750000026</v>
      </c>
      <c r="J555" s="279">
        <f t="shared" si="177"/>
        <v>-0.1294552324284805</v>
      </c>
      <c r="K555" s="278">
        <f t="shared" si="178"/>
        <v>205296</v>
      </c>
      <c r="L555" s="278">
        <f t="shared" si="179"/>
        <v>-4731</v>
      </c>
      <c r="M555" s="278">
        <f t="shared" si="185"/>
        <v>5</v>
      </c>
      <c r="N555" s="278">
        <f t="shared" si="186"/>
        <v>0</v>
      </c>
      <c r="O555" s="278"/>
      <c r="P555" s="278">
        <f t="shared" si="180"/>
        <v>-1.0825796985815694</v>
      </c>
      <c r="Q555" s="278">
        <f t="shared" si="181"/>
        <v>-2917</v>
      </c>
      <c r="R555" s="278"/>
      <c r="S555" s="31">
        <f t="shared" si="166"/>
        <v>-0.16999999999999993</v>
      </c>
      <c r="T555" s="31">
        <f t="shared" si="167"/>
        <v>400</v>
      </c>
      <c r="U555" s="31">
        <f t="shared" si="168"/>
        <v>-1.5396830195417266E-2</v>
      </c>
      <c r="V555" s="31">
        <f t="shared" si="169"/>
        <v>9.0569589384807483E-2</v>
      </c>
      <c r="W555" s="31">
        <f t="shared" si="170"/>
        <v>1.6218717860815908</v>
      </c>
      <c r="X555" s="280">
        <f t="shared" si="182"/>
        <v>-6.7407079124999791</v>
      </c>
      <c r="Y555" s="280">
        <f t="shared" si="183"/>
        <v>5.6581282139184097</v>
      </c>
      <c r="Z555" s="280">
        <f t="shared" si="184"/>
        <v>-1831545.8209309529</v>
      </c>
      <c r="AA555" s="280">
        <f>SUM(L$2:L555)-SUM(AB$2:AB555)</f>
        <v>-34810.301000000123</v>
      </c>
      <c r="AB555" s="281"/>
      <c r="AC555" s="176">
        <f t="shared" si="171"/>
        <v>-4191.4125173420689</v>
      </c>
      <c r="AD555" s="176">
        <f t="shared" si="172"/>
        <v>-32391.412517342069</v>
      </c>
    </row>
    <row r="556" spans="1:30" x14ac:dyDescent="0.25">
      <c r="A556" s="136">
        <v>43712</v>
      </c>
      <c r="B556" s="286" t="s">
        <v>766</v>
      </c>
      <c r="C556" s="64" t="s">
        <v>69</v>
      </c>
      <c r="D556" s="64">
        <v>400</v>
      </c>
      <c r="E556" s="64">
        <v>7.49</v>
      </c>
      <c r="F556" s="102">
        <f t="shared" si="174"/>
        <v>27800</v>
      </c>
      <c r="G556" s="32">
        <f t="shared" si="173"/>
        <v>8.3754224280575631</v>
      </c>
      <c r="H556" s="31">
        <f t="shared" si="175"/>
        <v>232836.74350000027</v>
      </c>
      <c r="I556" s="31">
        <f t="shared" si="176"/>
        <v>-24614.743500000273</v>
      </c>
      <c r="J556" s="279">
        <f t="shared" si="177"/>
        <v>-0.10571674869692645</v>
      </c>
      <c r="K556" s="278">
        <f t="shared" si="178"/>
        <v>208222</v>
      </c>
      <c r="L556" s="278">
        <f t="shared" si="179"/>
        <v>5914.0039999999863</v>
      </c>
      <c r="M556" s="278">
        <f t="shared" si="185"/>
        <v>5</v>
      </c>
      <c r="N556" s="278">
        <f t="shared" si="186"/>
        <v>2.996</v>
      </c>
      <c r="O556" s="278"/>
      <c r="P556" s="278">
        <f t="shared" si="180"/>
        <v>-0.88542242805756288</v>
      </c>
      <c r="Q556" s="278">
        <f t="shared" si="181"/>
        <v>2988.0039999999863</v>
      </c>
      <c r="R556" s="278"/>
      <c r="S556" s="31">
        <f t="shared" si="166"/>
        <v>0.20999999999999996</v>
      </c>
      <c r="T556" s="31">
        <f t="shared" si="167"/>
        <v>-400</v>
      </c>
      <c r="U556" s="31">
        <f t="shared" si="168"/>
        <v>1.2842729475993409E-2</v>
      </c>
      <c r="V556" s="31">
        <f t="shared" si="169"/>
        <v>6.1155854647587667E-2</v>
      </c>
      <c r="W556" s="31">
        <f t="shared" si="170"/>
        <v>1.9792490237630249</v>
      </c>
      <c r="X556" s="280">
        <f t="shared" si="182"/>
        <v>-6.3961734042945384</v>
      </c>
      <c r="Y556" s="280">
        <f t="shared" si="183"/>
        <v>5.5107509762369755</v>
      </c>
      <c r="Z556" s="280">
        <f t="shared" si="184"/>
        <v>2164648.8818413438</v>
      </c>
      <c r="AA556" s="280">
        <f>SUM(L$2:L556)-SUM(AB$2:AB556)</f>
        <v>-28896.297000000137</v>
      </c>
      <c r="AB556" s="281"/>
      <c r="AC556" s="176">
        <f t="shared" si="171"/>
        <v>-3284.7044229973662</v>
      </c>
      <c r="AD556" s="176">
        <f t="shared" si="172"/>
        <v>-31084.704422997365</v>
      </c>
    </row>
    <row r="557" spans="1:30" x14ac:dyDescent="0.25">
      <c r="A557" s="136">
        <v>43713</v>
      </c>
      <c r="B557" s="286"/>
      <c r="C557" s="64" t="s">
        <v>69</v>
      </c>
      <c r="D557" s="64">
        <v>400</v>
      </c>
      <c r="E557" s="64">
        <v>7.64</v>
      </c>
      <c r="F557" s="102">
        <f t="shared" si="174"/>
        <v>27400</v>
      </c>
      <c r="G557" s="32">
        <f t="shared" si="173"/>
        <v>8.3864525364963605</v>
      </c>
      <c r="H557" s="31">
        <f t="shared" si="175"/>
        <v>229788.79950000028</v>
      </c>
      <c r="I557" s="31">
        <f t="shared" si="176"/>
        <v>-20452.799500000285</v>
      </c>
      <c r="J557" s="279">
        <f t="shared" si="177"/>
        <v>-8.9006947007442203E-2</v>
      </c>
      <c r="K557" s="278">
        <f t="shared" si="178"/>
        <v>209336</v>
      </c>
      <c r="L557" s="278">
        <f t="shared" si="179"/>
        <v>4161.9439999999886</v>
      </c>
      <c r="M557" s="278">
        <f t="shared" si="185"/>
        <v>5</v>
      </c>
      <c r="N557" s="278">
        <f t="shared" si="186"/>
        <v>3.056</v>
      </c>
      <c r="O557" s="278"/>
      <c r="P557" s="278">
        <f t="shared" si="180"/>
        <v>-0.74645253649636079</v>
      </c>
      <c r="Q557" s="278">
        <f t="shared" si="181"/>
        <v>3047.9439999999886</v>
      </c>
      <c r="R557" s="278"/>
      <c r="S557" s="31">
        <f t="shared" si="166"/>
        <v>0.14999999999999947</v>
      </c>
      <c r="T557" s="31">
        <f t="shared" si="167"/>
        <v>-400</v>
      </c>
      <c r="U557" s="31">
        <f t="shared" si="168"/>
        <v>1.103010843879737E-2</v>
      </c>
      <c r="V557" s="31">
        <f t="shared" si="169"/>
        <v>7.3534056258649394E-2</v>
      </c>
      <c r="W557" s="31">
        <f t="shared" si="170"/>
        <v>1.3654922793857118</v>
      </c>
      <c r="X557" s="280">
        <f t="shared" si="182"/>
        <v>-7.0209602571106489</v>
      </c>
      <c r="Y557" s="280">
        <f t="shared" si="183"/>
        <v>6.2745077206142881</v>
      </c>
      <c r="Z557" s="280">
        <f t="shared" si="184"/>
        <v>2484109.7575816275</v>
      </c>
      <c r="AA557" s="280">
        <f>SUM(L$2:L557)-SUM(AB$2:AB557)</f>
        <v>-24734.353000000148</v>
      </c>
      <c r="AB557" s="281"/>
      <c r="AC557" s="176">
        <f t="shared" si="171"/>
        <v>-2675.7294633835454</v>
      </c>
      <c r="AD557" s="176">
        <f t="shared" si="172"/>
        <v>-30075.729463383544</v>
      </c>
    </row>
    <row r="558" spans="1:30" x14ac:dyDescent="0.25">
      <c r="A558" s="136">
        <v>43714</v>
      </c>
      <c r="B558" s="334"/>
      <c r="C558" s="64" t="s">
        <v>69</v>
      </c>
      <c r="D558" s="64">
        <v>400</v>
      </c>
      <c r="E558" s="64">
        <v>7.76</v>
      </c>
      <c r="F558" s="102">
        <f t="shared" si="174"/>
        <v>27000</v>
      </c>
      <c r="G558" s="32">
        <f t="shared" si="173"/>
        <v>8.3960334629629738</v>
      </c>
      <c r="H558" s="31">
        <f t="shared" si="175"/>
        <v>226692.90350000028</v>
      </c>
      <c r="I558" s="31">
        <f t="shared" si="176"/>
        <v>-17172.903500000277</v>
      </c>
      <c r="J558" s="279">
        <f t="shared" si="177"/>
        <v>-7.5754040972880632E-2</v>
      </c>
      <c r="K558" s="278">
        <f t="shared" si="178"/>
        <v>209520</v>
      </c>
      <c r="L558" s="278">
        <f t="shared" si="179"/>
        <v>3279.8960000000079</v>
      </c>
      <c r="M558" s="278">
        <f t="shared" si="185"/>
        <v>5</v>
      </c>
      <c r="N558" s="278">
        <f t="shared" si="186"/>
        <v>3.1040000000000001</v>
      </c>
      <c r="O558" s="278"/>
      <c r="P558" s="278">
        <f t="shared" si="180"/>
        <v>-0.63603346296297403</v>
      </c>
      <c r="Q558" s="278">
        <f t="shared" si="181"/>
        <v>3095.8960000000079</v>
      </c>
      <c r="R558" s="278"/>
      <c r="S558" s="31">
        <f t="shared" si="166"/>
        <v>0.12000000000000011</v>
      </c>
      <c r="T558" s="31">
        <f t="shared" si="167"/>
        <v>-400</v>
      </c>
      <c r="U558" s="31">
        <f t="shared" si="168"/>
        <v>9.5809264666133487E-3</v>
      </c>
      <c r="V558" s="31">
        <f t="shared" si="169"/>
        <v>7.9841053888444508E-2</v>
      </c>
      <c r="W558" s="31">
        <f t="shared" si="170"/>
        <v>1.05943352102267</v>
      </c>
      <c r="X558" s="280">
        <f t="shared" si="182"/>
        <v>-7.3365999419403041</v>
      </c>
      <c r="Y558" s="280">
        <f t="shared" si="183"/>
        <v>6.70056647897733</v>
      </c>
      <c r="Z558" s="280">
        <f t="shared" si="184"/>
        <v>2818099.0736216265</v>
      </c>
      <c r="AA558" s="280">
        <f>SUM(L$2:L558)-SUM(AB$2:AB558)</f>
        <v>-21454.45700000014</v>
      </c>
      <c r="AB558" s="281"/>
      <c r="AC558" s="176">
        <f t="shared" si="171"/>
        <v>-2211.8965268363759</v>
      </c>
      <c r="AD558" s="176">
        <f t="shared" si="172"/>
        <v>-29211.896526836375</v>
      </c>
    </row>
    <row r="559" spans="1:30" x14ac:dyDescent="0.25">
      <c r="A559" s="136">
        <v>43720</v>
      </c>
      <c r="B559" s="286"/>
      <c r="C559" s="64" t="s">
        <v>69</v>
      </c>
      <c r="D559" s="64">
        <v>400</v>
      </c>
      <c r="E559" s="64">
        <v>7.9</v>
      </c>
      <c r="F559" s="102">
        <f t="shared" si="174"/>
        <v>26600</v>
      </c>
      <c r="G559" s="32">
        <f t="shared" si="173"/>
        <v>8.4037993796992581</v>
      </c>
      <c r="H559" s="31">
        <f t="shared" si="175"/>
        <v>223541.06350000028</v>
      </c>
      <c r="I559" s="31">
        <f t="shared" si="176"/>
        <v>-13401.06350000028</v>
      </c>
      <c r="J559" s="279">
        <f t="shared" si="177"/>
        <v>-5.994900127152808E-2</v>
      </c>
      <c r="K559" s="278">
        <f t="shared" si="178"/>
        <v>210140</v>
      </c>
      <c r="L559" s="278">
        <f t="shared" si="179"/>
        <v>3771.8399999999965</v>
      </c>
      <c r="M559" s="278">
        <f t="shared" si="185"/>
        <v>5</v>
      </c>
      <c r="N559" s="278">
        <f t="shared" si="186"/>
        <v>3.16</v>
      </c>
      <c r="O559" s="278"/>
      <c r="P559" s="278">
        <f t="shared" si="180"/>
        <v>-0.5037993796992577</v>
      </c>
      <c r="Q559" s="278">
        <f t="shared" si="181"/>
        <v>3151.8399999999965</v>
      </c>
      <c r="R559" s="278"/>
      <c r="S559" s="31">
        <f t="shared" si="166"/>
        <v>0.14000000000000057</v>
      </c>
      <c r="T559" s="31">
        <f t="shared" si="167"/>
        <v>-400</v>
      </c>
      <c r="U559" s="31">
        <f t="shared" si="168"/>
        <v>7.7659167362842396E-3</v>
      </c>
      <c r="V559" s="31">
        <f t="shared" si="169"/>
        <v>5.5470833830601488E-2</v>
      </c>
      <c r="W559" s="31">
        <f t="shared" si="170"/>
        <v>1.1967104929184225</v>
      </c>
      <c r="X559" s="280">
        <f t="shared" si="182"/>
        <v>-7.207088886780836</v>
      </c>
      <c r="Y559" s="280">
        <f t="shared" si="183"/>
        <v>6.7032895070815783</v>
      </c>
      <c r="Z559" s="280">
        <f t="shared" si="184"/>
        <v>3425223.4350799015</v>
      </c>
      <c r="AA559" s="280">
        <f>SUM(L$2:L559)-SUM(AB$2:AB559)</f>
        <v>-17682.617000000144</v>
      </c>
      <c r="AB559" s="281"/>
      <c r="AC559" s="176">
        <f t="shared" si="171"/>
        <v>-1695.4889833228203</v>
      </c>
      <c r="AD559" s="176">
        <f t="shared" si="172"/>
        <v>-28295.488983322819</v>
      </c>
    </row>
    <row r="560" spans="1:30" x14ac:dyDescent="0.25">
      <c r="A560" s="136">
        <v>43724</v>
      </c>
      <c r="B560" s="334"/>
      <c r="C560" s="64" t="s">
        <v>69</v>
      </c>
      <c r="D560" s="64">
        <v>400</v>
      </c>
      <c r="E560" s="64">
        <v>7.93</v>
      </c>
      <c r="F560" s="102">
        <f t="shared" si="174"/>
        <v>26200</v>
      </c>
      <c r="G560" s="32">
        <f t="shared" si="173"/>
        <v>8.4113448664122235</v>
      </c>
      <c r="H560" s="31">
        <f t="shared" si="175"/>
        <v>220377.23550000027</v>
      </c>
      <c r="I560" s="31">
        <f t="shared" si="176"/>
        <v>-12611.235500000272</v>
      </c>
      <c r="J560" s="279">
        <f t="shared" si="177"/>
        <v>-5.7225672476503349E-2</v>
      </c>
      <c r="K560" s="278">
        <f t="shared" si="178"/>
        <v>207766</v>
      </c>
      <c r="L560" s="278">
        <f t="shared" si="179"/>
        <v>789.82800000000861</v>
      </c>
      <c r="M560" s="278">
        <f t="shared" si="185"/>
        <v>5</v>
      </c>
      <c r="N560" s="278">
        <f t="shared" si="186"/>
        <v>3.1720000000000002</v>
      </c>
      <c r="O560" s="278"/>
      <c r="P560" s="278">
        <f t="shared" si="180"/>
        <v>-0.48134486641222374</v>
      </c>
      <c r="Q560" s="278">
        <f t="shared" si="181"/>
        <v>3163.8280000000086</v>
      </c>
      <c r="R560" s="278"/>
      <c r="S560" s="31">
        <f t="shared" si="166"/>
        <v>2.9999999999999361E-2</v>
      </c>
      <c r="T560" s="31">
        <f t="shared" si="167"/>
        <v>-400</v>
      </c>
      <c r="U560" s="31">
        <f t="shared" si="168"/>
        <v>7.5454867129653991E-3</v>
      </c>
      <c r="V560" s="31">
        <f t="shared" si="169"/>
        <v>0.25151622376551869</v>
      </c>
      <c r="W560" s="31">
        <f t="shared" si="170"/>
        <v>0.24964315379976612</v>
      </c>
      <c r="X560" s="280">
        <f t="shared" si="182"/>
        <v>-8.1617017126124569</v>
      </c>
      <c r="Y560" s="280">
        <f t="shared" si="183"/>
        <v>7.6803568462002332</v>
      </c>
      <c r="Z560" s="280">
        <f t="shared" si="184"/>
        <v>3472274.3537511737</v>
      </c>
      <c r="AA560" s="280">
        <f>SUM(L$2:L560)-SUM(AB$2:AB560)</f>
        <v>-16892.789000000135</v>
      </c>
      <c r="AB560" s="281"/>
      <c r="AC560" s="176">
        <f t="shared" si="171"/>
        <v>-1589.5245753152929</v>
      </c>
      <c r="AD560" s="176">
        <f t="shared" si="172"/>
        <v>-27789.524575315292</v>
      </c>
    </row>
    <row r="561" spans="1:30" x14ac:dyDescent="0.25">
      <c r="A561" s="136">
        <v>43731</v>
      </c>
      <c r="B561" s="286" t="s">
        <v>770</v>
      </c>
      <c r="C561" s="64" t="s">
        <v>63</v>
      </c>
      <c r="D561" s="64">
        <v>400</v>
      </c>
      <c r="E561" s="64">
        <v>7.75</v>
      </c>
      <c r="F561" s="102">
        <f t="shared" si="174"/>
        <v>26600</v>
      </c>
      <c r="G561" s="32">
        <f t="shared" si="173"/>
        <v>8.4015878007518907</v>
      </c>
      <c r="H561" s="31">
        <f t="shared" si="175"/>
        <v>223482.23550000027</v>
      </c>
      <c r="I561" s="31">
        <f t="shared" si="176"/>
        <v>-17332.235500000272</v>
      </c>
      <c r="J561" s="279">
        <f t="shared" si="177"/>
        <v>-7.7555316471676655E-2</v>
      </c>
      <c r="K561" s="278">
        <f t="shared" si="178"/>
        <v>206150</v>
      </c>
      <c r="L561" s="278">
        <f t="shared" si="179"/>
        <v>-4721</v>
      </c>
      <c r="M561" s="278">
        <f t="shared" si="185"/>
        <v>5</v>
      </c>
      <c r="N561" s="278">
        <f t="shared" si="186"/>
        <v>0</v>
      </c>
      <c r="O561" s="278"/>
      <c r="P561" s="278">
        <f t="shared" si="180"/>
        <v>-0.65158780075189071</v>
      </c>
      <c r="Q561" s="278">
        <f t="shared" si="181"/>
        <v>-3105</v>
      </c>
      <c r="R561" s="278"/>
      <c r="S561" s="31">
        <f t="shared" si="166"/>
        <v>-0.17999999999999972</v>
      </c>
      <c r="T561" s="31">
        <f t="shared" si="167"/>
        <v>400</v>
      </c>
      <c r="U561" s="31">
        <f t="shared" si="168"/>
        <v>-9.7570656603327421E-3</v>
      </c>
      <c r="V561" s="31">
        <f t="shared" si="169"/>
        <v>5.4205920335181984E-2</v>
      </c>
      <c r="W561" s="31">
        <f t="shared" si="170"/>
        <v>1.520450885668277</v>
      </c>
      <c r="X561" s="280">
        <f t="shared" si="182"/>
        <v>-6.8811369150836139</v>
      </c>
      <c r="Y561" s="280">
        <f t="shared" si="183"/>
        <v>6.2295491143317232</v>
      </c>
      <c r="Z561" s="280">
        <f t="shared" si="184"/>
        <v>-2726229.4757472062</v>
      </c>
      <c r="AA561" s="280">
        <f>SUM(L$2:L561)-SUM(AB$2:AB561)</f>
        <v>-21613.789000000135</v>
      </c>
      <c r="AB561" s="281"/>
      <c r="AC561" s="176">
        <f t="shared" si="171"/>
        <v>-2235.2992751290676</v>
      </c>
      <c r="AD561" s="176">
        <f t="shared" si="172"/>
        <v>-28835.299275129066</v>
      </c>
    </row>
    <row r="562" spans="1:30" x14ac:dyDescent="0.25">
      <c r="A562" s="136">
        <v>43747</v>
      </c>
      <c r="B562" s="286"/>
      <c r="C562" s="64" t="s">
        <v>69</v>
      </c>
      <c r="D562" s="64">
        <v>400</v>
      </c>
      <c r="E562" s="64">
        <v>7.88</v>
      </c>
      <c r="F562" s="102">
        <f t="shared" si="174"/>
        <v>26200</v>
      </c>
      <c r="G562" s="32">
        <f t="shared" si="173"/>
        <v>8.4098621183206212</v>
      </c>
      <c r="H562" s="31">
        <f t="shared" si="175"/>
        <v>220338.38750000027</v>
      </c>
      <c r="I562" s="31">
        <f t="shared" si="176"/>
        <v>-13882.387500000274</v>
      </c>
      <c r="J562" s="279">
        <f t="shared" si="177"/>
        <v>-6.3004852025615649E-2</v>
      </c>
      <c r="K562" s="278">
        <f t="shared" si="178"/>
        <v>206456</v>
      </c>
      <c r="L562" s="278">
        <f t="shared" si="179"/>
        <v>3449.8479999999981</v>
      </c>
      <c r="M562" s="278">
        <f t="shared" si="185"/>
        <v>5</v>
      </c>
      <c r="N562" s="278">
        <f t="shared" si="186"/>
        <v>3.1520000000000001</v>
      </c>
      <c r="O562" s="278"/>
      <c r="P562" s="278">
        <f t="shared" si="180"/>
        <v>-0.52986211832062136</v>
      </c>
      <c r="Q562" s="278">
        <f t="shared" si="181"/>
        <v>3143.8479999999981</v>
      </c>
      <c r="R562" s="278"/>
      <c r="S562" s="31">
        <f t="shared" si="166"/>
        <v>0.12999999999999989</v>
      </c>
      <c r="T562" s="31">
        <f t="shared" si="167"/>
        <v>-400</v>
      </c>
      <c r="U562" s="31">
        <f t="shared" si="168"/>
        <v>8.2743175687305381E-3</v>
      </c>
      <c r="V562" s="31">
        <f t="shared" si="169"/>
        <v>6.3648596682542649E-2</v>
      </c>
      <c r="W562" s="31">
        <f t="shared" si="170"/>
        <v>1.0973329499390556</v>
      </c>
      <c r="X562" s="280">
        <f t="shared" si="182"/>
        <v>-7.3125291683815661</v>
      </c>
      <c r="Y562" s="280">
        <f t="shared" si="183"/>
        <v>6.7826670500609447</v>
      </c>
      <c r="Z562" s="280">
        <f t="shared" si="184"/>
        <v>3166424.2739500818</v>
      </c>
      <c r="AA562" s="280">
        <f>SUM(L$2:L562)-SUM(AB$2:AB562)</f>
        <v>-18163.941000000137</v>
      </c>
      <c r="AB562" s="281"/>
      <c r="AC562" s="176">
        <f t="shared" si="171"/>
        <v>-1760.8434398794764</v>
      </c>
      <c r="AD562" s="176">
        <f t="shared" si="172"/>
        <v>-27960.843439879478</v>
      </c>
    </row>
    <row r="563" spans="1:30" x14ac:dyDescent="0.25">
      <c r="A563" s="136">
        <v>43749</v>
      </c>
      <c r="B563" s="286"/>
      <c r="C563" s="64" t="s">
        <v>69</v>
      </c>
      <c r="D563" s="64">
        <v>400</v>
      </c>
      <c r="E563" s="64">
        <v>7.94</v>
      </c>
      <c r="F563" s="102">
        <f t="shared" si="174"/>
        <v>25800</v>
      </c>
      <c r="G563" s="32">
        <f t="shared" si="173"/>
        <v>8.4174637015503979</v>
      </c>
      <c r="H563" s="31">
        <f t="shared" si="175"/>
        <v>217170.56350000028</v>
      </c>
      <c r="I563" s="31">
        <f t="shared" si="176"/>
        <v>-12318.56350000028</v>
      </c>
      <c r="J563" s="279">
        <f t="shared" si="177"/>
        <v>-5.6722989071215632E-2</v>
      </c>
      <c r="K563" s="278">
        <f t="shared" si="178"/>
        <v>204852</v>
      </c>
      <c r="L563" s="278">
        <f t="shared" si="179"/>
        <v>1563.8239999999932</v>
      </c>
      <c r="M563" s="278">
        <f t="shared" si="185"/>
        <v>5</v>
      </c>
      <c r="N563" s="278">
        <f t="shared" si="186"/>
        <v>3.1760000000000002</v>
      </c>
      <c r="O563" s="278"/>
      <c r="P563" s="278">
        <f t="shared" si="180"/>
        <v>-0.47746370155039752</v>
      </c>
      <c r="Q563" s="278">
        <f t="shared" si="181"/>
        <v>3167.8239999999932</v>
      </c>
      <c r="R563" s="278"/>
      <c r="S563" s="31">
        <f t="shared" si="166"/>
        <v>6.0000000000000497E-2</v>
      </c>
      <c r="T563" s="31">
        <f t="shared" si="167"/>
        <v>-400</v>
      </c>
      <c r="U563" s="31">
        <f t="shared" si="168"/>
        <v>7.601583229776665E-3</v>
      </c>
      <c r="V563" s="31">
        <f t="shared" si="169"/>
        <v>0.12669305382961002</v>
      </c>
      <c r="W563" s="31">
        <f t="shared" si="170"/>
        <v>0.49365873861679077</v>
      </c>
      <c r="X563" s="280">
        <f t="shared" si="182"/>
        <v>-7.9238049629336071</v>
      </c>
      <c r="Y563" s="280">
        <f t="shared" si="183"/>
        <v>7.4463412613832096</v>
      </c>
      <c r="Z563" s="280">
        <f t="shared" si="184"/>
        <v>3394029.7988104783</v>
      </c>
      <c r="AA563" s="280">
        <f>SUM(L$2:L563)-SUM(AB$2:AB563)</f>
        <v>-16600.117000000144</v>
      </c>
      <c r="AB563" s="281"/>
      <c r="AC563" s="176">
        <f t="shared" si="171"/>
        <v>-1550.6806320214459</v>
      </c>
      <c r="AD563" s="176">
        <f t="shared" si="172"/>
        <v>-27350.680632021445</v>
      </c>
    </row>
    <row r="564" spans="1:30" x14ac:dyDescent="0.25">
      <c r="A564" s="136">
        <v>43752</v>
      </c>
      <c r="B564" s="286"/>
      <c r="C564" s="64" t="s">
        <v>69</v>
      </c>
      <c r="D564" s="64">
        <v>400</v>
      </c>
      <c r="E564" s="64">
        <v>8.09</v>
      </c>
      <c r="F564" s="102">
        <f t="shared" si="174"/>
        <v>25400</v>
      </c>
      <c r="G564" s="32">
        <f t="shared" si="173"/>
        <v>8.4229448622047354</v>
      </c>
      <c r="H564" s="31">
        <f t="shared" si="175"/>
        <v>213942.79950000028</v>
      </c>
      <c r="I564" s="31">
        <f t="shared" si="176"/>
        <v>-8456.7995000002848</v>
      </c>
      <c r="J564" s="279">
        <f t="shared" si="177"/>
        <v>-3.9528320278898993E-2</v>
      </c>
      <c r="K564" s="278">
        <f t="shared" si="178"/>
        <v>205486</v>
      </c>
      <c r="L564" s="278">
        <f t="shared" si="179"/>
        <v>3861.7639999999956</v>
      </c>
      <c r="M564" s="278">
        <f t="shared" si="185"/>
        <v>5</v>
      </c>
      <c r="N564" s="278">
        <f t="shared" si="186"/>
        <v>3.2360000000000002</v>
      </c>
      <c r="O564" s="278"/>
      <c r="P564" s="278">
        <f t="shared" si="180"/>
        <v>-0.33294486220473551</v>
      </c>
      <c r="Q564" s="278">
        <f t="shared" si="181"/>
        <v>3227.7639999999956</v>
      </c>
      <c r="R564" s="278"/>
      <c r="S564" s="31">
        <f t="shared" si="166"/>
        <v>0.14999999999999947</v>
      </c>
      <c r="T564" s="31">
        <f t="shared" si="167"/>
        <v>-400</v>
      </c>
      <c r="U564" s="31">
        <f t="shared" si="168"/>
        <v>5.481160654337458E-3</v>
      </c>
      <c r="V564" s="31">
        <f t="shared" si="169"/>
        <v>3.6541071028916516E-2</v>
      </c>
      <c r="W564" s="31">
        <f t="shared" si="170"/>
        <v>1.1964208039993014</v>
      </c>
      <c r="X564" s="280">
        <f t="shared" si="182"/>
        <v>-7.2265240582054338</v>
      </c>
      <c r="Y564" s="280">
        <f t="shared" si="183"/>
        <v>6.8935791960006982</v>
      </c>
      <c r="Z564" s="280">
        <f t="shared" si="184"/>
        <v>4634055.0116698332</v>
      </c>
      <c r="AA564" s="280">
        <f>SUM(L$2:L564)-SUM(AB$2:AB564)</f>
        <v>-12738.353000000148</v>
      </c>
      <c r="AB564" s="281"/>
      <c r="AC564" s="176">
        <f t="shared" si="171"/>
        <v>-1044.8171940976865</v>
      </c>
      <c r="AD564" s="176">
        <f t="shared" si="172"/>
        <v>-26444.817194097686</v>
      </c>
    </row>
    <row r="565" spans="1:30" x14ac:dyDescent="0.25">
      <c r="A565" s="162">
        <v>43753</v>
      </c>
      <c r="B565" s="330"/>
      <c r="C565" s="104" t="s">
        <v>69</v>
      </c>
      <c r="D565" s="104">
        <v>400</v>
      </c>
      <c r="E565" s="104">
        <v>8.14</v>
      </c>
      <c r="F565" s="102">
        <f t="shared" si="174"/>
        <v>25000</v>
      </c>
      <c r="G565" s="32">
        <f t="shared" si="173"/>
        <v>8.4278022200000109</v>
      </c>
      <c r="H565" s="31">
        <f t="shared" si="175"/>
        <v>210695.05550000028</v>
      </c>
      <c r="I565" s="31">
        <f t="shared" si="176"/>
        <v>-7195.0555000002787</v>
      </c>
      <c r="J565" s="279">
        <f t="shared" si="177"/>
        <v>-3.4149142621907658E-2</v>
      </c>
      <c r="K565" s="278">
        <f t="shared" si="178"/>
        <v>203500</v>
      </c>
      <c r="L565" s="278">
        <f t="shared" si="179"/>
        <v>1261.7440000000061</v>
      </c>
      <c r="M565" s="278">
        <f t="shared" si="185"/>
        <v>5</v>
      </c>
      <c r="N565" s="278">
        <f t="shared" si="186"/>
        <v>3.2559999999999998</v>
      </c>
      <c r="O565" s="278"/>
      <c r="P565" s="278">
        <f t="shared" si="180"/>
        <v>-0.28780222000001032</v>
      </c>
      <c r="Q565" s="278">
        <f t="shared" si="181"/>
        <v>3247.7440000000061</v>
      </c>
      <c r="R565" s="278"/>
      <c r="S565" s="31">
        <f t="shared" si="166"/>
        <v>5.0000000000000711E-2</v>
      </c>
      <c r="T565" s="31">
        <f t="shared" si="167"/>
        <v>-400</v>
      </c>
      <c r="U565" s="31">
        <f t="shared" si="168"/>
        <v>4.8573577952755187E-3</v>
      </c>
      <c r="V565" s="31">
        <f t="shared" si="169"/>
        <v>9.7147155905509E-2</v>
      </c>
      <c r="W565" s="31">
        <f t="shared" si="170"/>
        <v>0.38849860087494698</v>
      </c>
      <c r="X565" s="280">
        <f t="shared" si="182"/>
        <v>-8.0393036191250644</v>
      </c>
      <c r="Y565" s="280">
        <f t="shared" si="183"/>
        <v>7.7515013991250541</v>
      </c>
      <c r="Z565" s="280">
        <f t="shared" si="184"/>
        <v>5146831.0661232546</v>
      </c>
      <c r="AA565" s="280">
        <f>SUM(L$2:L565)-SUM(AB$2:AB565)</f>
        <v>-11476.609000000142</v>
      </c>
      <c r="AB565" s="281"/>
      <c r="AC565" s="176">
        <f t="shared" si="171"/>
        <v>-883.47149536244206</v>
      </c>
      <c r="AD565" s="176">
        <f t="shared" si="172"/>
        <v>-25883.471495362443</v>
      </c>
    </row>
    <row r="566" spans="1:30" x14ac:dyDescent="0.25">
      <c r="A566" s="136">
        <v>43756</v>
      </c>
      <c r="B566" s="286" t="s">
        <v>773</v>
      </c>
      <c r="C566" s="64" t="s">
        <v>63</v>
      </c>
      <c r="D566" s="64">
        <v>400</v>
      </c>
      <c r="E566" s="64">
        <v>7.96</v>
      </c>
      <c r="F566" s="102">
        <f t="shared" si="174"/>
        <v>25400</v>
      </c>
      <c r="G566" s="32">
        <f t="shared" si="173"/>
        <v>8.4206321062992231</v>
      </c>
      <c r="H566" s="31">
        <f t="shared" si="175"/>
        <v>213884.05550000028</v>
      </c>
      <c r="I566" s="31">
        <f t="shared" si="176"/>
        <v>-11700.055500000279</v>
      </c>
      <c r="J566" s="279">
        <f t="shared" si="177"/>
        <v>-5.4702794337094719E-2</v>
      </c>
      <c r="K566" s="278">
        <f t="shared" si="178"/>
        <v>202184</v>
      </c>
      <c r="L566" s="278">
        <f t="shared" si="179"/>
        <v>-4505</v>
      </c>
      <c r="M566" s="278">
        <f t="shared" si="185"/>
        <v>5</v>
      </c>
      <c r="N566" s="278">
        <f t="shared" si="186"/>
        <v>0</v>
      </c>
      <c r="O566" s="278"/>
      <c r="P566" s="278">
        <f t="shared" si="180"/>
        <v>-0.46063210629922313</v>
      </c>
      <c r="Q566" s="278">
        <f t="shared" si="181"/>
        <v>-3189</v>
      </c>
      <c r="R566" s="278"/>
      <c r="S566" s="31">
        <f t="shared" si="166"/>
        <v>-0.1800000000000006</v>
      </c>
      <c r="T566" s="31">
        <f t="shared" si="167"/>
        <v>400</v>
      </c>
      <c r="U566" s="31">
        <f t="shared" si="168"/>
        <v>-7.1701137007877946E-3</v>
      </c>
      <c r="V566" s="31">
        <f t="shared" si="169"/>
        <v>3.9833965004376505E-2</v>
      </c>
      <c r="W566" s="31">
        <f t="shared" si="170"/>
        <v>1.4126685481342114</v>
      </c>
      <c r="X566" s="280">
        <f t="shared" si="182"/>
        <v>-7.0079635581650113</v>
      </c>
      <c r="Y566" s="280">
        <f t="shared" si="183"/>
        <v>6.5473314518657881</v>
      </c>
      <c r="Z566" s="280">
        <f t="shared" si="184"/>
        <v>-3542482.1781011997</v>
      </c>
      <c r="AA566" s="280">
        <f>SUM(L$2:L566)-SUM(AB$2:AB566)</f>
        <v>-15981.609000000142</v>
      </c>
      <c r="AB566" s="281"/>
      <c r="AC566" s="176">
        <f t="shared" si="171"/>
        <v>-1469.1212904837034</v>
      </c>
      <c r="AD566" s="176">
        <f t="shared" si="172"/>
        <v>-26869.121290483705</v>
      </c>
    </row>
    <row r="567" spans="1:30" x14ac:dyDescent="0.25">
      <c r="A567" s="136">
        <v>43761</v>
      </c>
      <c r="B567" s="286"/>
      <c r="C567" s="64" t="s">
        <v>69</v>
      </c>
      <c r="D567" s="64">
        <v>400</v>
      </c>
      <c r="E567" s="64">
        <v>8.0500000000000007</v>
      </c>
      <c r="F567" s="102">
        <f t="shared" si="174"/>
        <v>25000</v>
      </c>
      <c r="G567" s="32">
        <f t="shared" si="173"/>
        <v>8.4268910200000118</v>
      </c>
      <c r="H567" s="31">
        <f t="shared" si="175"/>
        <v>210672.27550000028</v>
      </c>
      <c r="I567" s="31">
        <f t="shared" si="176"/>
        <v>-9422.2755000002508</v>
      </c>
      <c r="J567" s="279">
        <f t="shared" si="177"/>
        <v>-4.4724800535038904E-2</v>
      </c>
      <c r="K567" s="278">
        <f t="shared" si="178"/>
        <v>201250.00000000003</v>
      </c>
      <c r="L567" s="278">
        <f t="shared" si="179"/>
        <v>2277.7800000000279</v>
      </c>
      <c r="M567" s="278">
        <f t="shared" si="185"/>
        <v>5</v>
      </c>
      <c r="N567" s="278">
        <f t="shared" si="186"/>
        <v>3.2200000000000006</v>
      </c>
      <c r="O567" s="278"/>
      <c r="P567" s="278">
        <f t="shared" si="180"/>
        <v>-0.37689102000001107</v>
      </c>
      <c r="Q567" s="278">
        <f t="shared" si="181"/>
        <v>3211.7799999999988</v>
      </c>
      <c r="R567" s="278"/>
      <c r="S567" s="31">
        <f t="shared" si="166"/>
        <v>9.0000000000000746E-2</v>
      </c>
      <c r="T567" s="31">
        <f t="shared" si="167"/>
        <v>-400</v>
      </c>
      <c r="U567" s="31">
        <f t="shared" si="168"/>
        <v>6.2589137007886819E-3</v>
      </c>
      <c r="V567" s="31">
        <f t="shared" si="169"/>
        <v>6.9543485564318108E-2</v>
      </c>
      <c r="W567" s="31">
        <f t="shared" si="170"/>
        <v>0.70919552397736729</v>
      </c>
      <c r="X567" s="280">
        <f t="shared" si="182"/>
        <v>-7.7176954960226443</v>
      </c>
      <c r="Y567" s="280">
        <f t="shared" si="183"/>
        <v>7.3408044760226332</v>
      </c>
      <c r="Z567" s="280">
        <f t="shared" si="184"/>
        <v>3994303.3560040561</v>
      </c>
      <c r="AA567" s="280">
        <f>SUM(L$2:L567)-SUM(AB$2:AB567)</f>
        <v>-13703.829000000114</v>
      </c>
      <c r="AB567" s="281"/>
      <c r="AC567" s="176">
        <f t="shared" si="171"/>
        <v>-1169.8837717081055</v>
      </c>
      <c r="AD567" s="176">
        <f t="shared" si="172"/>
        <v>-26169.883771708104</v>
      </c>
    </row>
    <row r="568" spans="1:30" x14ac:dyDescent="0.25">
      <c r="A568" s="162">
        <v>43762</v>
      </c>
      <c r="B568" s="340" t="s">
        <v>828</v>
      </c>
      <c r="C568" s="104" t="s">
        <v>69</v>
      </c>
      <c r="D568" s="104">
        <v>400</v>
      </c>
      <c r="E568" s="104">
        <v>8.15</v>
      </c>
      <c r="F568" s="102">
        <f t="shared" si="174"/>
        <v>24600</v>
      </c>
      <c r="G568" s="32">
        <f t="shared" si="173"/>
        <v>8.4317290853658662</v>
      </c>
      <c r="H568" s="31">
        <f t="shared" si="175"/>
        <v>207420.53550000029</v>
      </c>
      <c r="I568" s="31">
        <f t="shared" si="176"/>
        <v>-6930.5355000002892</v>
      </c>
      <c r="J568" s="279">
        <f t="shared" si="177"/>
        <v>-3.3412966962474595E-2</v>
      </c>
      <c r="K568" s="278">
        <f t="shared" si="178"/>
        <v>200490</v>
      </c>
      <c r="L568" s="278">
        <f t="shared" si="179"/>
        <v>2491.7399999999616</v>
      </c>
      <c r="M568" s="278">
        <f t="shared" si="185"/>
        <v>5</v>
      </c>
      <c r="N568" s="278">
        <f t="shared" si="186"/>
        <v>3.26</v>
      </c>
      <c r="O568" s="278"/>
      <c r="P568" s="278">
        <f t="shared" si="180"/>
        <v>-0.28172908536586583</v>
      </c>
      <c r="Q568" s="278">
        <f t="shared" si="181"/>
        <v>3251.7399999999907</v>
      </c>
      <c r="R568" s="278"/>
      <c r="S568" s="31">
        <f t="shared" si="166"/>
        <v>9.9999999999999645E-2</v>
      </c>
      <c r="T568" s="31">
        <f t="shared" si="167"/>
        <v>-400</v>
      </c>
      <c r="U568" s="31">
        <f t="shared" si="168"/>
        <v>4.8380653658544048E-3</v>
      </c>
      <c r="V568" s="31">
        <f t="shared" si="169"/>
        <v>4.8380653658544222E-2</v>
      </c>
      <c r="W568" s="31">
        <f t="shared" si="170"/>
        <v>0.76627897679395296</v>
      </c>
      <c r="X568" s="280">
        <f t="shared" si="182"/>
        <v>-7.6654501085719131</v>
      </c>
      <c r="Y568" s="280">
        <f t="shared" si="183"/>
        <v>7.3837210232060473</v>
      </c>
      <c r="Z568" s="280">
        <f t="shared" si="184"/>
        <v>5084677.0640221862</v>
      </c>
      <c r="AA568" s="280">
        <f>SUM(L$2:L568)-SUM(AB$2:AB568)</f>
        <v>-11212.089000000153</v>
      </c>
      <c r="AB568" s="281"/>
      <c r="AC568" s="176">
        <f t="shared" si="171"/>
        <v>-849.94726776077175</v>
      </c>
      <c r="AD568" s="176">
        <f t="shared" si="172"/>
        <v>-25449.94726776077</v>
      </c>
    </row>
    <row r="569" spans="1:30" x14ac:dyDescent="0.25">
      <c r="A569" s="136">
        <v>43767</v>
      </c>
      <c r="B569" s="286" t="s">
        <v>775</v>
      </c>
      <c r="C569" s="315" t="s">
        <v>774</v>
      </c>
      <c r="D569" s="64">
        <v>400</v>
      </c>
      <c r="E569" s="64">
        <v>7.99</v>
      </c>
      <c r="F569" s="102">
        <f t="shared" si="174"/>
        <v>25000</v>
      </c>
      <c r="G569" s="32">
        <f t="shared" si="173"/>
        <v>8.4248614200000116</v>
      </c>
      <c r="H569" s="31">
        <f t="shared" si="175"/>
        <v>210621.53550000029</v>
      </c>
      <c r="I569" s="31">
        <f t="shared" si="176"/>
        <v>-10871.535500000289</v>
      </c>
      <c r="J569" s="279">
        <f t="shared" si="177"/>
        <v>-5.1616447834700499E-2</v>
      </c>
      <c r="K569" s="278">
        <f t="shared" si="178"/>
        <v>199750</v>
      </c>
      <c r="L569" s="278">
        <f t="shared" si="179"/>
        <v>-3941</v>
      </c>
      <c r="M569" s="278">
        <f t="shared" si="185"/>
        <v>5</v>
      </c>
      <c r="N569" s="278">
        <f t="shared" si="186"/>
        <v>0</v>
      </c>
      <c r="O569" s="278"/>
      <c r="P569" s="278">
        <f t="shared" si="180"/>
        <v>-0.43486142000001138</v>
      </c>
      <c r="Q569" s="278">
        <f t="shared" si="181"/>
        <v>-3201</v>
      </c>
      <c r="R569" s="278"/>
      <c r="S569" s="31">
        <f t="shared" si="166"/>
        <v>-0.16000000000000014</v>
      </c>
      <c r="T569" s="31">
        <f t="shared" si="167"/>
        <v>400</v>
      </c>
      <c r="U569" s="31">
        <f t="shared" si="168"/>
        <v>-6.8676653658545916E-3</v>
      </c>
      <c r="V569" s="31">
        <f t="shared" si="169"/>
        <v>4.2922908536591163E-2</v>
      </c>
      <c r="W569" s="31">
        <f t="shared" si="170"/>
        <v>1.2311777569509528</v>
      </c>
      <c r="X569" s="280">
        <f t="shared" si="182"/>
        <v>-7.1936836630490593</v>
      </c>
      <c r="Y569" s="280">
        <f t="shared" si="183"/>
        <v>6.7588222430490479</v>
      </c>
      <c r="Z569" s="280">
        <f t="shared" si="184"/>
        <v>-3640247.2555371914</v>
      </c>
      <c r="AA569" s="280">
        <f>SUM(L$2:L569)-SUM(AB$2:AB569)</f>
        <v>-15153.089000000153</v>
      </c>
      <c r="AB569" s="281"/>
      <c r="AC569" s="176">
        <f t="shared" si="171"/>
        <v>-1359.962419555731</v>
      </c>
      <c r="AD569" s="176">
        <f t="shared" si="172"/>
        <v>-26359.96241955573</v>
      </c>
    </row>
    <row r="570" spans="1:30" x14ac:dyDescent="0.25">
      <c r="A570" s="162">
        <v>43773</v>
      </c>
      <c r="B570" s="330"/>
      <c r="C570" s="317" t="s">
        <v>69</v>
      </c>
      <c r="D570" s="104">
        <v>400</v>
      </c>
      <c r="E570" s="104">
        <v>8.1300000000000008</v>
      </c>
      <c r="F570" s="102">
        <f t="shared" si="174"/>
        <v>24600</v>
      </c>
      <c r="G570" s="32">
        <f t="shared" si="173"/>
        <v>8.4299913617886304</v>
      </c>
      <c r="H570" s="31">
        <f t="shared" si="175"/>
        <v>207377.7875000003</v>
      </c>
      <c r="I570" s="31">
        <f t="shared" si="176"/>
        <v>-7379.7875000002678</v>
      </c>
      <c r="J570" s="279">
        <f t="shared" si="177"/>
        <v>-3.5586200378380825E-2</v>
      </c>
      <c r="K570" s="278">
        <f t="shared" si="178"/>
        <v>199998.00000000003</v>
      </c>
      <c r="L570" s="278">
        <f t="shared" si="179"/>
        <v>3491.7480000000214</v>
      </c>
      <c r="M570" s="278">
        <f t="shared" si="185"/>
        <v>5</v>
      </c>
      <c r="N570" s="278">
        <f t="shared" si="186"/>
        <v>3.2520000000000007</v>
      </c>
      <c r="O570" s="278"/>
      <c r="P570" s="278">
        <f t="shared" si="180"/>
        <v>-0.29999136178862962</v>
      </c>
      <c r="Q570" s="278">
        <f t="shared" si="181"/>
        <v>3243.7479999999923</v>
      </c>
      <c r="R570" s="278"/>
      <c r="S570" s="31">
        <f t="shared" si="166"/>
        <v>0.14000000000000057</v>
      </c>
      <c r="T570" s="31">
        <f t="shared" si="167"/>
        <v>-400</v>
      </c>
      <c r="U570" s="31">
        <f t="shared" si="168"/>
        <v>5.1299417886188081E-3</v>
      </c>
      <c r="V570" s="31">
        <f t="shared" si="169"/>
        <v>3.6642441347277052E-2</v>
      </c>
      <c r="W570" s="31">
        <f t="shared" si="170"/>
        <v>1.0764547677563208</v>
      </c>
      <c r="X570" s="280">
        <f t="shared" si="182"/>
        <v>-7.3535365940323096</v>
      </c>
      <c r="Y570" s="280">
        <f t="shared" si="183"/>
        <v>7.05354523224368</v>
      </c>
      <c r="Z570" s="280">
        <f t="shared" si="184"/>
        <v>4795376.0517472336</v>
      </c>
      <c r="AA570" s="280">
        <f>SUM(L$2:L570)-SUM(AB$2:AB570)</f>
        <v>-11661.341000000131</v>
      </c>
      <c r="AB570" s="281"/>
      <c r="AC570" s="176">
        <f t="shared" si="171"/>
        <v>-907.26907825956539</v>
      </c>
      <c r="AD570" s="176">
        <f t="shared" si="172"/>
        <v>-25507.269078259564</v>
      </c>
    </row>
    <row r="571" spans="1:30" x14ac:dyDescent="0.25">
      <c r="A571" s="136">
        <v>43775</v>
      </c>
      <c r="B571" s="286" t="s">
        <v>778</v>
      </c>
      <c r="C571" s="64" t="s">
        <v>63</v>
      </c>
      <c r="D571" s="64">
        <v>400</v>
      </c>
      <c r="E571" s="64">
        <v>7.97</v>
      </c>
      <c r="F571" s="102">
        <f t="shared" si="174"/>
        <v>25000</v>
      </c>
      <c r="G571" s="32">
        <f t="shared" si="173"/>
        <v>8.4228315000000116</v>
      </c>
      <c r="H571" s="31">
        <f t="shared" si="175"/>
        <v>210570.7875000003</v>
      </c>
      <c r="I571" s="31">
        <f t="shared" si="176"/>
        <v>-11320.787500000297</v>
      </c>
      <c r="J571" s="279">
        <f t="shared" si="177"/>
        <v>-5.3762383825440553E-2</v>
      </c>
      <c r="K571" s="278">
        <f t="shared" si="178"/>
        <v>199250</v>
      </c>
      <c r="L571" s="278">
        <f t="shared" si="179"/>
        <v>-3941.0000000000291</v>
      </c>
      <c r="M571" s="278">
        <f t="shared" si="185"/>
        <v>5</v>
      </c>
      <c r="N571" s="278">
        <f t="shared" si="186"/>
        <v>0</v>
      </c>
      <c r="O571" s="278"/>
      <c r="P571" s="278">
        <f t="shared" si="180"/>
        <v>-0.45283150000001182</v>
      </c>
      <c r="Q571" s="278">
        <f t="shared" si="181"/>
        <v>-3193</v>
      </c>
      <c r="R571" s="278"/>
      <c r="S571" s="31">
        <f t="shared" si="166"/>
        <v>-0.16000000000000103</v>
      </c>
      <c r="T571" s="31">
        <f t="shared" si="167"/>
        <v>400</v>
      </c>
      <c r="U571" s="31">
        <f t="shared" si="168"/>
        <v>-7.1598617886188265E-3</v>
      </c>
      <c r="V571" s="31">
        <f t="shared" si="169"/>
        <v>4.4749136178867374E-2</v>
      </c>
      <c r="W571" s="31">
        <f t="shared" si="170"/>
        <v>1.2342624491074317</v>
      </c>
      <c r="X571" s="280">
        <f t="shared" si="182"/>
        <v>-7.1885690508925801</v>
      </c>
      <c r="Y571" s="280">
        <f t="shared" si="183"/>
        <v>6.7357375508925683</v>
      </c>
      <c r="Z571" s="280">
        <f t="shared" si="184"/>
        <v>-3491687.5127030388</v>
      </c>
      <c r="AA571" s="280">
        <f>SUM(L$2:L571)-SUM(AB$2:AB571)</f>
        <v>-15602.34100000016</v>
      </c>
      <c r="AB571" s="281"/>
      <c r="AC571" s="176">
        <f t="shared" si="171"/>
        <v>-1419.7148188519823</v>
      </c>
      <c r="AD571" s="176">
        <f t="shared" si="172"/>
        <v>-26419.714818851982</v>
      </c>
    </row>
    <row r="572" spans="1:30" x14ac:dyDescent="0.25">
      <c r="A572" s="136">
        <v>43777</v>
      </c>
      <c r="B572" s="286" t="s">
        <v>779</v>
      </c>
      <c r="C572" s="64" t="s">
        <v>63</v>
      </c>
      <c r="D572" s="64">
        <v>400</v>
      </c>
      <c r="E572" s="64">
        <v>7.88</v>
      </c>
      <c r="F572" s="102">
        <f t="shared" si="174"/>
        <v>25400</v>
      </c>
      <c r="G572" s="32">
        <f t="shared" si="173"/>
        <v>8.4144798228346573</v>
      </c>
      <c r="H572" s="31">
        <f t="shared" si="175"/>
        <v>213727.7875000003</v>
      </c>
      <c r="I572" s="31">
        <f t="shared" si="176"/>
        <v>-13575.787500000297</v>
      </c>
      <c r="J572" s="279">
        <f t="shared" si="177"/>
        <v>-6.3519056921881437E-2</v>
      </c>
      <c r="K572" s="278">
        <f t="shared" si="178"/>
        <v>200152</v>
      </c>
      <c r="L572" s="278">
        <f t="shared" si="179"/>
        <v>-2255</v>
      </c>
      <c r="M572" s="278">
        <f t="shared" si="185"/>
        <v>5</v>
      </c>
      <c r="N572" s="278">
        <f t="shared" si="186"/>
        <v>0</v>
      </c>
      <c r="O572" s="278"/>
      <c r="P572" s="278">
        <f t="shared" si="180"/>
        <v>-0.53447982283465745</v>
      </c>
      <c r="Q572" s="278">
        <f t="shared" si="181"/>
        <v>-3157</v>
      </c>
      <c r="R572" s="278"/>
      <c r="S572" s="31">
        <f t="shared" si="166"/>
        <v>-8.9999999999999858E-2</v>
      </c>
      <c r="T572" s="31">
        <f t="shared" si="167"/>
        <v>400</v>
      </c>
      <c r="U572" s="31">
        <f t="shared" si="168"/>
        <v>-8.3516771653542321E-3</v>
      </c>
      <c r="V572" s="31">
        <f t="shared" si="169"/>
        <v>9.2796412948380508E-2</v>
      </c>
      <c r="W572" s="31">
        <f t="shared" si="170"/>
        <v>0.7142857142857143</v>
      </c>
      <c r="X572" s="280">
        <f t="shared" si="182"/>
        <v>-7.7001941085489429</v>
      </c>
      <c r="Y572" s="280">
        <f t="shared" si="183"/>
        <v>7.1657142857142855</v>
      </c>
      <c r="Z572" s="280">
        <f t="shared" si="184"/>
        <v>-3041305.2967813886</v>
      </c>
      <c r="AA572" s="280">
        <f>SUM(L$2:L572)-SUM(AB$2:AB572)</f>
        <v>-17857.34100000016</v>
      </c>
      <c r="AB572" s="281"/>
      <c r="AC572" s="176">
        <f t="shared" si="171"/>
        <v>-1721.9542647525759</v>
      </c>
      <c r="AD572" s="176">
        <f t="shared" si="172"/>
        <v>-27121.954264752574</v>
      </c>
    </row>
    <row r="573" spans="1:30" x14ac:dyDescent="0.25">
      <c r="A573" s="136">
        <v>43780</v>
      </c>
      <c r="B573" s="286" t="s">
        <v>780</v>
      </c>
      <c r="C573" s="64" t="s">
        <v>63</v>
      </c>
      <c r="D573" s="64">
        <v>400</v>
      </c>
      <c r="E573" s="64">
        <v>7.78</v>
      </c>
      <c r="F573" s="102">
        <f t="shared" si="174"/>
        <v>25800</v>
      </c>
      <c r="G573" s="32">
        <f t="shared" si="173"/>
        <v>8.4048367248062128</v>
      </c>
      <c r="H573" s="31">
        <f t="shared" si="175"/>
        <v>216844.7875000003</v>
      </c>
      <c r="I573" s="31">
        <f t="shared" si="176"/>
        <v>-16120.787500000297</v>
      </c>
      <c r="J573" s="279">
        <f t="shared" si="177"/>
        <v>-7.4342517917338743E-2</v>
      </c>
      <c r="K573" s="278">
        <f t="shared" si="178"/>
        <v>200724</v>
      </c>
      <c r="L573" s="278">
        <f t="shared" si="179"/>
        <v>-2545</v>
      </c>
      <c r="M573" s="278">
        <f t="shared" si="185"/>
        <v>5</v>
      </c>
      <c r="N573" s="278">
        <f t="shared" si="186"/>
        <v>0</v>
      </c>
      <c r="O573" s="278"/>
      <c r="P573" s="278">
        <f t="shared" si="180"/>
        <v>-0.62483672480621255</v>
      </c>
      <c r="Q573" s="278">
        <f t="shared" si="181"/>
        <v>-3117</v>
      </c>
      <c r="R573" s="278"/>
      <c r="S573" s="31">
        <f t="shared" si="166"/>
        <v>-9.9999999999999645E-2</v>
      </c>
      <c r="T573" s="31">
        <f t="shared" si="167"/>
        <v>400</v>
      </c>
      <c r="U573" s="31">
        <f t="shared" si="168"/>
        <v>-9.6430980284445411E-3</v>
      </c>
      <c r="V573" s="31">
        <f t="shared" si="169"/>
        <v>9.6430980284445758E-2</v>
      </c>
      <c r="W573" s="31">
        <f t="shared" si="170"/>
        <v>0.81649021495027274</v>
      </c>
      <c r="X573" s="280">
        <f t="shared" si="182"/>
        <v>-7.5883465098559402</v>
      </c>
      <c r="Y573" s="280">
        <f t="shared" si="183"/>
        <v>6.9635097850497276</v>
      </c>
      <c r="Z573" s="280">
        <f t="shared" si="184"/>
        <v>-2675488.7199006947</v>
      </c>
      <c r="AA573" s="280">
        <f>SUM(L$2:L573)-SUM(AB$2:AB573)</f>
        <v>-20402.34100000016</v>
      </c>
      <c r="AB573" s="281"/>
      <c r="AC573" s="176">
        <f t="shared" si="171"/>
        <v>-2071.0446151992674</v>
      </c>
      <c r="AD573" s="176">
        <f t="shared" si="172"/>
        <v>-27871.044615199266</v>
      </c>
    </row>
    <row r="574" spans="1:30" x14ac:dyDescent="0.25">
      <c r="A574" s="136">
        <v>43781</v>
      </c>
      <c r="B574" s="286" t="s">
        <v>781</v>
      </c>
      <c r="C574" s="64" t="s">
        <v>63</v>
      </c>
      <c r="D574" s="64">
        <v>400</v>
      </c>
      <c r="E574" s="64">
        <v>7.63</v>
      </c>
      <c r="F574" s="102">
        <f t="shared" si="174"/>
        <v>26200</v>
      </c>
      <c r="G574" s="32">
        <f t="shared" si="173"/>
        <v>8.3931979961832166</v>
      </c>
      <c r="H574" s="31">
        <f t="shared" si="175"/>
        <v>219901.7875000003</v>
      </c>
      <c r="I574" s="31">
        <f t="shared" si="176"/>
        <v>-19995.787500000297</v>
      </c>
      <c r="J574" s="279">
        <f t="shared" si="177"/>
        <v>-9.093053643322592E-2</v>
      </c>
      <c r="K574" s="278">
        <f t="shared" si="178"/>
        <v>199906</v>
      </c>
      <c r="L574" s="278">
        <f t="shared" si="179"/>
        <v>-3875</v>
      </c>
      <c r="M574" s="278">
        <f t="shared" si="185"/>
        <v>5</v>
      </c>
      <c r="N574" s="278">
        <f t="shared" si="186"/>
        <v>0</v>
      </c>
      <c r="O574" s="278"/>
      <c r="P574" s="278">
        <f t="shared" si="180"/>
        <v>-0.76319799618321671</v>
      </c>
      <c r="Q574" s="278">
        <f t="shared" si="181"/>
        <v>-3057</v>
      </c>
      <c r="R574" s="278"/>
      <c r="S574" s="31">
        <f t="shared" si="166"/>
        <v>-0.15000000000000036</v>
      </c>
      <c r="T574" s="31">
        <f t="shared" si="167"/>
        <v>400</v>
      </c>
      <c r="U574" s="31">
        <f t="shared" si="168"/>
        <v>-1.1638728622996197E-2</v>
      </c>
      <c r="V574" s="31">
        <f t="shared" si="169"/>
        <v>7.7591524153307792E-2</v>
      </c>
      <c r="W574" s="31">
        <f t="shared" si="170"/>
        <v>1.2675825973176316</v>
      </c>
      <c r="X574" s="280">
        <f t="shared" si="182"/>
        <v>-7.1256153988655848</v>
      </c>
      <c r="Y574" s="280">
        <f t="shared" si="183"/>
        <v>6.3624174026823681</v>
      </c>
      <c r="Z574" s="280">
        <f t="shared" si="184"/>
        <v>-2251104.9830849348</v>
      </c>
      <c r="AA574" s="280">
        <f>SUM(L$2:L574)-SUM(AB$2:AB574)</f>
        <v>-24277.34100000016</v>
      </c>
      <c r="AB574" s="281"/>
      <c r="AC574" s="176">
        <f t="shared" si="171"/>
        <v>-2619.3695421035777</v>
      </c>
      <c r="AD574" s="176">
        <f t="shared" si="172"/>
        <v>-28819.369542103577</v>
      </c>
    </row>
    <row r="575" spans="1:30" x14ac:dyDescent="0.25">
      <c r="A575" s="136">
        <v>43782</v>
      </c>
      <c r="B575" s="286" t="s">
        <v>782</v>
      </c>
      <c r="C575" s="64" t="s">
        <v>63</v>
      </c>
      <c r="D575" s="64">
        <v>400</v>
      </c>
      <c r="E575" s="64">
        <v>7.5</v>
      </c>
      <c r="F575" s="102">
        <f t="shared" si="174"/>
        <v>26600</v>
      </c>
      <c r="G575" s="32">
        <f t="shared" si="173"/>
        <v>8.379954417293245</v>
      </c>
      <c r="H575" s="31">
        <f t="shared" si="175"/>
        <v>222906.7875000003</v>
      </c>
      <c r="I575" s="31">
        <f t="shared" si="176"/>
        <v>-23406.787500000297</v>
      </c>
      <c r="J575" s="279">
        <f t="shared" si="177"/>
        <v>-0.10500706489254072</v>
      </c>
      <c r="K575" s="278">
        <f t="shared" si="178"/>
        <v>199500</v>
      </c>
      <c r="L575" s="278">
        <f t="shared" si="179"/>
        <v>-3411</v>
      </c>
      <c r="M575" s="278">
        <f t="shared" si="185"/>
        <v>5</v>
      </c>
      <c r="N575" s="278">
        <f t="shared" si="186"/>
        <v>0</v>
      </c>
      <c r="O575" s="278"/>
      <c r="P575" s="278">
        <f t="shared" si="180"/>
        <v>-0.87995441729324497</v>
      </c>
      <c r="Q575" s="278">
        <f t="shared" si="181"/>
        <v>-3005</v>
      </c>
      <c r="R575" s="278"/>
      <c r="S575" s="31">
        <f t="shared" si="166"/>
        <v>-0.12999999999999989</v>
      </c>
      <c r="T575" s="31">
        <f t="shared" si="167"/>
        <v>400</v>
      </c>
      <c r="U575" s="31">
        <f t="shared" si="168"/>
        <v>-1.324357888997163E-2</v>
      </c>
      <c r="V575" s="31">
        <f t="shared" si="169"/>
        <v>0.10187368376901262</v>
      </c>
      <c r="W575" s="31">
        <f t="shared" si="170"/>
        <v>1.135108153078203</v>
      </c>
      <c r="X575" s="280">
        <f t="shared" si="182"/>
        <v>-7.2448462642150417</v>
      </c>
      <c r="Y575" s="280">
        <f t="shared" si="183"/>
        <v>6.3648918469217968</v>
      </c>
      <c r="Z575" s="280">
        <f t="shared" si="184"/>
        <v>-2008520.5231149555</v>
      </c>
      <c r="AA575" s="280">
        <f>SUM(L$2:L575)-SUM(AB$2:AB575)</f>
        <v>-27688.34100000016</v>
      </c>
      <c r="AB575" s="281"/>
      <c r="AC575" s="176">
        <f t="shared" si="171"/>
        <v>-3119.3445475000399</v>
      </c>
      <c r="AD575" s="176">
        <f t="shared" si="172"/>
        <v>-29719.344547500041</v>
      </c>
    </row>
    <row r="576" spans="1:30" x14ac:dyDescent="0.25">
      <c r="A576" s="162">
        <v>43783</v>
      </c>
      <c r="B576" s="330"/>
      <c r="C576" s="104" t="s">
        <v>69</v>
      </c>
      <c r="D576" s="104">
        <v>400</v>
      </c>
      <c r="E576" s="104">
        <v>7.65</v>
      </c>
      <c r="F576" s="102">
        <f t="shared" si="174"/>
        <v>26200</v>
      </c>
      <c r="G576" s="32">
        <f t="shared" si="173"/>
        <v>8.3914063931297829</v>
      </c>
      <c r="H576" s="31">
        <f t="shared" si="175"/>
        <v>219854.84750000029</v>
      </c>
      <c r="I576" s="31">
        <f t="shared" si="176"/>
        <v>-19424.847500000295</v>
      </c>
      <c r="J576" s="279">
        <f t="shared" si="177"/>
        <v>-8.8353055303910341E-2</v>
      </c>
      <c r="K576" s="278">
        <f t="shared" si="178"/>
        <v>200430</v>
      </c>
      <c r="L576" s="278">
        <f t="shared" si="179"/>
        <v>3981.9400000000023</v>
      </c>
      <c r="M576" s="278">
        <f t="shared" si="185"/>
        <v>5</v>
      </c>
      <c r="N576" s="278">
        <f t="shared" si="186"/>
        <v>3.06</v>
      </c>
      <c r="O576" s="278"/>
      <c r="P576" s="278">
        <f t="shared" si="180"/>
        <v>-0.74140639312978251</v>
      </c>
      <c r="Q576" s="278">
        <f t="shared" si="181"/>
        <v>3051.9400000000023</v>
      </c>
      <c r="R576" s="278"/>
      <c r="S576" s="31">
        <f t="shared" si="166"/>
        <v>0.15000000000000036</v>
      </c>
      <c r="T576" s="31">
        <f t="shared" si="167"/>
        <v>-400</v>
      </c>
      <c r="U576" s="31">
        <f t="shared" si="168"/>
        <v>1.1451975836537898E-2</v>
      </c>
      <c r="V576" s="31">
        <f t="shared" si="169"/>
        <v>7.6346505576919133E-2</v>
      </c>
      <c r="W576" s="31">
        <f t="shared" si="170"/>
        <v>1.3047242082085491</v>
      </c>
      <c r="X576" s="280">
        <f t="shared" si="182"/>
        <v>-7.0866821849212336</v>
      </c>
      <c r="Y576" s="280">
        <f t="shared" si="183"/>
        <v>6.3452757917914511</v>
      </c>
      <c r="Z576" s="280">
        <f t="shared" si="184"/>
        <v>2287814.8167592231</v>
      </c>
      <c r="AA576" s="280">
        <f>SUM(L$2:L576)-SUM(AB$2:AB576)</f>
        <v>-23706.401000000158</v>
      </c>
      <c r="AB576" s="281"/>
      <c r="AC576" s="176">
        <f t="shared" si="171"/>
        <v>-2537.9261537582083</v>
      </c>
      <c r="AD576" s="176">
        <f t="shared" si="172"/>
        <v>-28737.92615375821</v>
      </c>
    </row>
    <row r="577" spans="1:30" x14ac:dyDescent="0.25">
      <c r="A577" s="136">
        <v>43795</v>
      </c>
      <c r="B577" s="286"/>
      <c r="C577" s="64" t="s">
        <v>69</v>
      </c>
      <c r="D577" s="64">
        <v>400</v>
      </c>
      <c r="E577" s="64">
        <v>7.78</v>
      </c>
      <c r="F577" s="102">
        <f t="shared" si="174"/>
        <v>25800</v>
      </c>
      <c r="G577" s="32">
        <f t="shared" si="173"/>
        <v>8.4011999806201665</v>
      </c>
      <c r="H577" s="31">
        <f t="shared" si="175"/>
        <v>216750.95950000029</v>
      </c>
      <c r="I577" s="31">
        <f t="shared" si="176"/>
        <v>-16026.959500000288</v>
      </c>
      <c r="J577" s="279">
        <f t="shared" si="177"/>
        <v>-7.3941815699322275E-2</v>
      </c>
      <c r="K577" s="278">
        <f t="shared" si="178"/>
        <v>200724</v>
      </c>
      <c r="L577" s="278">
        <f t="shared" si="179"/>
        <v>3397.8880000000063</v>
      </c>
      <c r="M577" s="278">
        <f t="shared" si="185"/>
        <v>5</v>
      </c>
      <c r="N577" s="278">
        <f t="shared" si="186"/>
        <v>3.1120000000000001</v>
      </c>
      <c r="O577" s="278"/>
      <c r="P577" s="278">
        <f t="shared" si="180"/>
        <v>-0.62119998062016624</v>
      </c>
      <c r="Q577" s="278">
        <f t="shared" si="181"/>
        <v>3103.8880000000063</v>
      </c>
      <c r="R577" s="278"/>
      <c r="S577" s="31">
        <f t="shared" si="166"/>
        <v>0.12999999999999989</v>
      </c>
      <c r="T577" s="31">
        <f t="shared" si="167"/>
        <v>-400</v>
      </c>
      <c r="U577" s="31">
        <f t="shared" si="168"/>
        <v>9.7935874903836151E-3</v>
      </c>
      <c r="V577" s="31">
        <f t="shared" si="169"/>
        <v>7.5335288387566327E-2</v>
      </c>
      <c r="W577" s="31">
        <f t="shared" si="170"/>
        <v>1.0947199125741649</v>
      </c>
      <c r="X577" s="280">
        <f t="shared" si="182"/>
        <v>-7.3064800680460014</v>
      </c>
      <c r="Y577" s="280">
        <f t="shared" si="183"/>
        <v>6.6852800874258351</v>
      </c>
      <c r="Z577" s="280">
        <f t="shared" si="184"/>
        <v>2634376.8333445922</v>
      </c>
      <c r="AA577" s="280">
        <f>SUM(L$2:L577)-SUM(AB$2:AB577)</f>
        <v>-20308.513000000152</v>
      </c>
      <c r="AB577" s="281"/>
      <c r="AC577" s="176">
        <f t="shared" si="171"/>
        <v>-2058.9904910347414</v>
      </c>
      <c r="AD577" s="176">
        <f t="shared" si="172"/>
        <v>-27858.99049103474</v>
      </c>
    </row>
    <row r="578" spans="1:30" x14ac:dyDescent="0.25">
      <c r="A578" s="136">
        <v>43802</v>
      </c>
      <c r="B578" s="286"/>
      <c r="C578" s="64" t="s">
        <v>69</v>
      </c>
      <c r="D578" s="64">
        <v>400</v>
      </c>
      <c r="E578" s="64">
        <v>7.9</v>
      </c>
      <c r="F578" s="102">
        <f t="shared" si="174"/>
        <v>25400</v>
      </c>
      <c r="G578" s="32">
        <f t="shared" si="173"/>
        <v>8.4094141535433184</v>
      </c>
      <c r="H578" s="31">
        <f t="shared" si="175"/>
        <v>213599.11950000029</v>
      </c>
      <c r="I578" s="31">
        <f t="shared" si="176"/>
        <v>-12939.119500000292</v>
      </c>
      <c r="J578" s="279">
        <f t="shared" si="177"/>
        <v>-6.0576651862089076E-2</v>
      </c>
      <c r="K578" s="278">
        <f t="shared" si="178"/>
        <v>200660</v>
      </c>
      <c r="L578" s="278">
        <f t="shared" si="179"/>
        <v>3087.8399999999965</v>
      </c>
      <c r="M578" s="278">
        <f t="shared" si="185"/>
        <v>5</v>
      </c>
      <c r="N578" s="278">
        <f t="shared" si="186"/>
        <v>3.16</v>
      </c>
      <c r="O578" s="278"/>
      <c r="P578" s="278">
        <f t="shared" si="180"/>
        <v>-0.50941415354331809</v>
      </c>
      <c r="Q578" s="278">
        <f t="shared" si="181"/>
        <v>3151.8399999999965</v>
      </c>
      <c r="R578" s="278"/>
      <c r="S578" s="31">
        <f t="shared" ref="S578:S641" si="187">E578-E577</f>
        <v>0.12000000000000011</v>
      </c>
      <c r="T578" s="31">
        <f t="shared" ref="T578:T641" si="188">F578-F577</f>
        <v>-400</v>
      </c>
      <c r="U578" s="31">
        <f t="shared" ref="U578:U641" si="189">G578-G577</f>
        <v>8.2141729231519633E-3</v>
      </c>
      <c r="V578" s="31">
        <f t="shared" ref="V578:V641" si="190">U578/S578</f>
        <v>6.8451441026266296E-2</v>
      </c>
      <c r="W578" s="31">
        <f t="shared" ref="W578:W641" si="191">L578/Q578</f>
        <v>0.97969440073100156</v>
      </c>
      <c r="X578" s="280">
        <f t="shared" si="182"/>
        <v>-7.4297197528123169</v>
      </c>
      <c r="Y578" s="280">
        <f t="shared" si="183"/>
        <v>6.9203055992689988</v>
      </c>
      <c r="Z578" s="280">
        <f t="shared" si="184"/>
        <v>3092216.3725588392</v>
      </c>
      <c r="AA578" s="280">
        <f>SUM(L$2:L578)-SUM(AB$2:AB578)</f>
        <v>-17220.673000000155</v>
      </c>
      <c r="AB578" s="281"/>
      <c r="AC578" s="176">
        <f t="shared" si="171"/>
        <v>-1637.0442962342142</v>
      </c>
      <c r="AD578" s="176">
        <f t="shared" si="172"/>
        <v>-27037.044296234213</v>
      </c>
    </row>
    <row r="579" spans="1:30" x14ac:dyDescent="0.25">
      <c r="A579" s="162">
        <v>43808</v>
      </c>
      <c r="B579" s="330"/>
      <c r="C579" s="104" t="s">
        <v>69</v>
      </c>
      <c r="D579" s="104">
        <v>400</v>
      </c>
      <c r="E579" s="104">
        <v>7.99</v>
      </c>
      <c r="F579" s="102">
        <f t="shared" si="174"/>
        <v>25000</v>
      </c>
      <c r="G579" s="32">
        <f t="shared" si="173"/>
        <v>8.4164526200000118</v>
      </c>
      <c r="H579" s="31">
        <f t="shared" si="175"/>
        <v>210411.31550000029</v>
      </c>
      <c r="I579" s="31">
        <f t="shared" si="176"/>
        <v>-10661.315500000288</v>
      </c>
      <c r="J579" s="279">
        <f t="shared" si="177"/>
        <v>-5.0668926595824053E-2</v>
      </c>
      <c r="K579" s="278">
        <f t="shared" si="178"/>
        <v>199750</v>
      </c>
      <c r="L579" s="278">
        <f t="shared" si="179"/>
        <v>2277.8040000000037</v>
      </c>
      <c r="M579" s="278">
        <f t="shared" si="185"/>
        <v>5</v>
      </c>
      <c r="N579" s="278">
        <f t="shared" si="186"/>
        <v>3.1960000000000002</v>
      </c>
      <c r="O579" s="278"/>
      <c r="P579" s="278">
        <f t="shared" si="180"/>
        <v>-0.42645262000001161</v>
      </c>
      <c r="Q579" s="278">
        <f t="shared" si="181"/>
        <v>3187.8040000000037</v>
      </c>
      <c r="R579" s="278"/>
      <c r="S579" s="31">
        <f t="shared" si="187"/>
        <v>8.9999999999999858E-2</v>
      </c>
      <c r="T579" s="31">
        <f t="shared" si="188"/>
        <v>-400</v>
      </c>
      <c r="U579" s="31">
        <f t="shared" si="189"/>
        <v>7.0384664566933708E-3</v>
      </c>
      <c r="V579" s="31">
        <f t="shared" si="190"/>
        <v>7.8205182852148683E-2</v>
      </c>
      <c r="W579" s="31">
        <f t="shared" si="191"/>
        <v>0.71453702925273987</v>
      </c>
      <c r="X579" s="280">
        <f t="shared" si="182"/>
        <v>-7.7019155907472721</v>
      </c>
      <c r="Y579" s="280">
        <f t="shared" si="183"/>
        <v>7.2754629707472604</v>
      </c>
      <c r="Z579" s="280">
        <f t="shared" si="184"/>
        <v>3551910.0863549258</v>
      </c>
      <c r="AA579" s="280">
        <f>SUM(L$2:L579)-SUM(AB$2:AB579)</f>
        <v>-14942.869000000152</v>
      </c>
      <c r="AB579" s="281"/>
      <c r="AC579" s="176">
        <f t="shared" ref="AC579:AC603" si="192">I579/E579*(1-0.0005)</f>
        <v>-1333.665186764742</v>
      </c>
      <c r="AD579" s="176">
        <f t="shared" ref="AD579:AD603" si="193">AC579-F579</f>
        <v>-26333.665186764742</v>
      </c>
    </row>
    <row r="580" spans="1:30" x14ac:dyDescent="0.25">
      <c r="A580" s="136">
        <v>43811</v>
      </c>
      <c r="B580" s="286" t="s">
        <v>784</v>
      </c>
      <c r="C580" s="315" t="s">
        <v>783</v>
      </c>
      <c r="D580" s="64">
        <v>500</v>
      </c>
      <c r="E580" s="64">
        <v>7.84</v>
      </c>
      <c r="F580" s="102">
        <f t="shared" si="174"/>
        <v>25500</v>
      </c>
      <c r="G580" s="32">
        <f t="shared" si="173"/>
        <v>8.4053457058823646</v>
      </c>
      <c r="H580" s="31">
        <f t="shared" si="175"/>
        <v>214336.31550000029</v>
      </c>
      <c r="I580" s="31">
        <f t="shared" si="176"/>
        <v>-14416.315500000288</v>
      </c>
      <c r="J580" s="279">
        <f t="shared" si="177"/>
        <v>-6.7260256230355336E-2</v>
      </c>
      <c r="K580" s="278">
        <f t="shared" si="178"/>
        <v>199920</v>
      </c>
      <c r="L580" s="278">
        <f t="shared" si="179"/>
        <v>-3755</v>
      </c>
      <c r="M580" s="278">
        <f t="shared" si="185"/>
        <v>5</v>
      </c>
      <c r="N580" s="278">
        <f t="shared" si="186"/>
        <v>0</v>
      </c>
      <c r="O580" s="278"/>
      <c r="P580" s="278">
        <f t="shared" si="180"/>
        <v>-0.56534570588236477</v>
      </c>
      <c r="Q580" s="278">
        <f t="shared" si="181"/>
        <v>-3925</v>
      </c>
      <c r="R580" s="278"/>
      <c r="S580" s="31">
        <f t="shared" si="187"/>
        <v>-0.15000000000000036</v>
      </c>
      <c r="T580" s="31">
        <f t="shared" si="188"/>
        <v>500</v>
      </c>
      <c r="U580" s="31">
        <f t="shared" si="189"/>
        <v>-1.1106914117647193E-2</v>
      </c>
      <c r="V580" s="31">
        <f t="shared" si="190"/>
        <v>7.4046094117647773E-2</v>
      </c>
      <c r="W580" s="31">
        <f t="shared" si="191"/>
        <v>0.95668789808917198</v>
      </c>
      <c r="X580" s="280">
        <f t="shared" si="182"/>
        <v>-7.4486578077931931</v>
      </c>
      <c r="Y580" s="280">
        <f t="shared" si="183"/>
        <v>6.8833121019108283</v>
      </c>
      <c r="Z580" s="280">
        <f t="shared" si="184"/>
        <v>-2295867.2165731783</v>
      </c>
      <c r="AA580" s="280">
        <f>SUM(L$2:L580)-SUM(AB$2:AB580)</f>
        <v>-18697.869000000152</v>
      </c>
      <c r="AB580" s="281"/>
      <c r="AC580" s="176">
        <f t="shared" si="192"/>
        <v>-1837.8963446747816</v>
      </c>
      <c r="AD580" s="176">
        <f t="shared" si="193"/>
        <v>-27337.89634467478</v>
      </c>
    </row>
    <row r="581" spans="1:30" x14ac:dyDescent="0.25">
      <c r="A581" s="136">
        <v>43812</v>
      </c>
      <c r="B581" s="286" t="s">
        <v>785</v>
      </c>
      <c r="C581" s="64" t="s">
        <v>63</v>
      </c>
      <c r="D581" s="64">
        <v>400</v>
      </c>
      <c r="E581" s="64">
        <v>7.79</v>
      </c>
      <c r="F581" s="102">
        <f t="shared" si="174"/>
        <v>25900</v>
      </c>
      <c r="G581" s="32">
        <f t="shared" si="173"/>
        <v>8.3960353474903577</v>
      </c>
      <c r="H581" s="31">
        <f t="shared" si="175"/>
        <v>217457.31550000029</v>
      </c>
      <c r="I581" s="31">
        <f t="shared" si="176"/>
        <v>-15696.315500000288</v>
      </c>
      <c r="J581" s="279">
        <f t="shared" si="177"/>
        <v>-7.2181133405007231E-2</v>
      </c>
      <c r="K581" s="278">
        <f t="shared" si="178"/>
        <v>201761</v>
      </c>
      <c r="L581" s="278">
        <f t="shared" si="179"/>
        <v>-1280</v>
      </c>
      <c r="M581" s="278">
        <f t="shared" si="185"/>
        <v>5</v>
      </c>
      <c r="N581" s="278">
        <f t="shared" si="186"/>
        <v>0</v>
      </c>
      <c r="O581" s="278"/>
      <c r="P581" s="278">
        <f t="shared" si="180"/>
        <v>-0.6060353474903577</v>
      </c>
      <c r="Q581" s="278">
        <f t="shared" si="181"/>
        <v>-3121</v>
      </c>
      <c r="R581" s="278"/>
      <c r="S581" s="31">
        <f t="shared" si="187"/>
        <v>-4.9999999999999822E-2</v>
      </c>
      <c r="T581" s="31">
        <f t="shared" si="188"/>
        <v>400</v>
      </c>
      <c r="U581" s="31">
        <f t="shared" si="189"/>
        <v>-9.31035839200689E-3</v>
      </c>
      <c r="V581" s="31">
        <f t="shared" si="190"/>
        <v>0.18620716784013847</v>
      </c>
      <c r="W581" s="31">
        <f t="shared" si="191"/>
        <v>0.41012495994873438</v>
      </c>
      <c r="X581" s="280">
        <f t="shared" si="182"/>
        <v>-7.9859103875416233</v>
      </c>
      <c r="Y581" s="280">
        <f t="shared" si="183"/>
        <v>7.3798750400512656</v>
      </c>
      <c r="Z581" s="280">
        <f t="shared" si="184"/>
        <v>-2781847.7989242193</v>
      </c>
      <c r="AA581" s="280">
        <f>SUM(L$2:L581)-SUM(AB$2:AB581)</f>
        <v>-19977.869000000152</v>
      </c>
      <c r="AB581" s="281"/>
      <c r="AC581" s="176">
        <f t="shared" si="192"/>
        <v>-2013.9239206996519</v>
      </c>
      <c r="AD581" s="176">
        <f t="shared" si="193"/>
        <v>-27913.923920699654</v>
      </c>
    </row>
    <row r="582" spans="1:30" x14ac:dyDescent="0.25">
      <c r="A582" s="162">
        <v>43816</v>
      </c>
      <c r="B582" s="330"/>
      <c r="C582" s="104" t="s">
        <v>69</v>
      </c>
      <c r="D582" s="104">
        <v>400</v>
      </c>
      <c r="E582" s="104">
        <v>7.9</v>
      </c>
      <c r="F582" s="102">
        <f t="shared" si="174"/>
        <v>25500</v>
      </c>
      <c r="G582" s="32">
        <f t="shared" si="173"/>
        <v>8.4041362941176576</v>
      </c>
      <c r="H582" s="31">
        <f t="shared" si="175"/>
        <v>214305.47550000029</v>
      </c>
      <c r="I582" s="31">
        <f t="shared" si="176"/>
        <v>-12855.475500000292</v>
      </c>
      <c r="J582" s="279">
        <f t="shared" si="177"/>
        <v>-5.9986687087704597E-2</v>
      </c>
      <c r="K582" s="278">
        <f t="shared" si="178"/>
        <v>201450</v>
      </c>
      <c r="L582" s="278">
        <f t="shared" si="179"/>
        <v>2840.8399999999965</v>
      </c>
      <c r="M582" s="278">
        <f t="shared" si="185"/>
        <v>5</v>
      </c>
      <c r="N582" s="278">
        <f t="shared" si="186"/>
        <v>3.16</v>
      </c>
      <c r="O582" s="278"/>
      <c r="P582" s="278">
        <f t="shared" si="180"/>
        <v>-0.50413629411765726</v>
      </c>
      <c r="Q582" s="278">
        <f t="shared" si="181"/>
        <v>3151.8399999999965</v>
      </c>
      <c r="R582" s="278"/>
      <c r="S582" s="31">
        <f t="shared" si="187"/>
        <v>0.11000000000000032</v>
      </c>
      <c r="T582" s="31">
        <f t="shared" si="188"/>
        <v>-400</v>
      </c>
      <c r="U582" s="31">
        <f t="shared" si="189"/>
        <v>8.1009466272998765E-3</v>
      </c>
      <c r="V582" s="31">
        <f t="shared" si="190"/>
        <v>7.3644969339089567E-2</v>
      </c>
      <c r="W582" s="31">
        <f t="shared" si="191"/>
        <v>0.90132747855221063</v>
      </c>
      <c r="X582" s="280">
        <f t="shared" si="182"/>
        <v>-7.5028088155654471</v>
      </c>
      <c r="Y582" s="280">
        <f t="shared" si="183"/>
        <v>6.9986725214477898</v>
      </c>
      <c r="Z582" s="280">
        <f t="shared" si="184"/>
        <v>3147780.274723202</v>
      </c>
      <c r="AA582" s="280">
        <f>SUM(L$2:L582)-SUM(AB$2:AB582)</f>
        <v>-17137.029000000155</v>
      </c>
      <c r="AB582" s="281"/>
      <c r="AC582" s="176">
        <f t="shared" si="192"/>
        <v>-1626.4617420569989</v>
      </c>
      <c r="AD582" s="176">
        <f t="shared" si="193"/>
        <v>-27126.461742056999</v>
      </c>
    </row>
    <row r="583" spans="1:30" x14ac:dyDescent="0.25">
      <c r="A583" s="162">
        <v>43816</v>
      </c>
      <c r="B583" s="330"/>
      <c r="C583" s="104" t="s">
        <v>69</v>
      </c>
      <c r="D583" s="104">
        <v>400</v>
      </c>
      <c r="E583" s="104">
        <v>8.02</v>
      </c>
      <c r="F583" s="102">
        <f t="shared" si="174"/>
        <v>25100</v>
      </c>
      <c r="G583" s="32">
        <f t="shared" si="173"/>
        <v>8.4105850000000117</v>
      </c>
      <c r="H583" s="31">
        <f t="shared" si="175"/>
        <v>211105.6835000003</v>
      </c>
      <c r="I583" s="31">
        <f t="shared" si="176"/>
        <v>-9803.6835000003048</v>
      </c>
      <c r="J583" s="279">
        <f t="shared" si="177"/>
        <v>-4.6439694741805905E-2</v>
      </c>
      <c r="K583" s="278">
        <f t="shared" si="178"/>
        <v>201302</v>
      </c>
      <c r="L583" s="278">
        <f t="shared" si="179"/>
        <v>3051.7919999999867</v>
      </c>
      <c r="M583" s="278">
        <f t="shared" si="185"/>
        <v>5</v>
      </c>
      <c r="N583" s="278">
        <f t="shared" si="186"/>
        <v>3.2080000000000002</v>
      </c>
      <c r="O583" s="278"/>
      <c r="P583" s="278">
        <f t="shared" si="180"/>
        <v>-0.39058500000001217</v>
      </c>
      <c r="Q583" s="278">
        <f t="shared" si="181"/>
        <v>3199.7919999999867</v>
      </c>
      <c r="R583" s="278"/>
      <c r="S583" s="31">
        <f t="shared" si="187"/>
        <v>0.11999999999999922</v>
      </c>
      <c r="T583" s="31">
        <f t="shared" si="188"/>
        <v>-400</v>
      </c>
      <c r="U583" s="31">
        <f t="shared" si="189"/>
        <v>6.4487058823541332E-3</v>
      </c>
      <c r="V583" s="31">
        <f t="shared" si="190"/>
        <v>5.3739215686284793E-2</v>
      </c>
      <c r="W583" s="31">
        <f t="shared" si="191"/>
        <v>0.95374699355458081</v>
      </c>
      <c r="X583" s="280">
        <f t="shared" si="182"/>
        <v>-7.4568380064454312</v>
      </c>
      <c r="Y583" s="280">
        <f t="shared" si="183"/>
        <v>7.066253006445419</v>
      </c>
      <c r="Z583" s="280">
        <f t="shared" si="184"/>
        <v>3892253.8037720392</v>
      </c>
      <c r="AA583" s="280">
        <f>SUM(L$2:L583)-SUM(AB$2:AB583)</f>
        <v>-14085.237000000168</v>
      </c>
      <c r="AB583" s="281"/>
      <c r="AC583" s="176">
        <f t="shared" si="192"/>
        <v>-1221.7932242207362</v>
      </c>
      <c r="AD583" s="176">
        <f t="shared" si="193"/>
        <v>-26321.793224220735</v>
      </c>
    </row>
    <row r="584" spans="1:30" x14ac:dyDescent="0.25">
      <c r="A584" s="162">
        <v>43816</v>
      </c>
      <c r="B584" s="286" t="s">
        <v>786</v>
      </c>
      <c r="C584" s="104" t="s">
        <v>69</v>
      </c>
      <c r="D584" s="104">
        <v>400</v>
      </c>
      <c r="E584" s="104">
        <v>8.07</v>
      </c>
      <c r="F584" s="102">
        <f t="shared" si="174"/>
        <v>24700</v>
      </c>
      <c r="G584" s="32">
        <f t="shared" si="173"/>
        <v>8.4164336639676236</v>
      </c>
      <c r="H584" s="31">
        <f t="shared" si="175"/>
        <v>207885.91150000031</v>
      </c>
      <c r="I584" s="31">
        <f t="shared" si="176"/>
        <v>-8556.9115000003076</v>
      </c>
      <c r="J584" s="279">
        <f t="shared" si="177"/>
        <v>-4.1161574818889463E-2</v>
      </c>
      <c r="K584" s="278">
        <f t="shared" si="178"/>
        <v>199329</v>
      </c>
      <c r="L584" s="278">
        <f t="shared" si="179"/>
        <v>1246.7719999999972</v>
      </c>
      <c r="M584" s="278">
        <f t="shared" si="185"/>
        <v>5</v>
      </c>
      <c r="N584" s="278">
        <f t="shared" si="186"/>
        <v>3.2280000000000002</v>
      </c>
      <c r="O584" s="278"/>
      <c r="P584" s="278">
        <f t="shared" si="180"/>
        <v>-0.34643366396762332</v>
      </c>
      <c r="Q584" s="278">
        <f t="shared" si="181"/>
        <v>3219.7719999999972</v>
      </c>
      <c r="R584" s="278"/>
      <c r="S584" s="31">
        <f t="shared" si="187"/>
        <v>5.0000000000000711E-2</v>
      </c>
      <c r="T584" s="31">
        <f t="shared" si="188"/>
        <v>-400</v>
      </c>
      <c r="U584" s="31">
        <f t="shared" si="189"/>
        <v>5.8486639676118557E-3</v>
      </c>
      <c r="V584" s="31">
        <f t="shared" si="190"/>
        <v>0.11697327935223545</v>
      </c>
      <c r="W584" s="31">
        <f t="shared" si="191"/>
        <v>0.38722369161543063</v>
      </c>
      <c r="X584" s="280">
        <f t="shared" si="182"/>
        <v>-8.0292099723521932</v>
      </c>
      <c r="Y584" s="280">
        <f t="shared" si="183"/>
        <v>7.6827763083845699</v>
      </c>
      <c r="Z584" s="280">
        <f t="shared" si="184"/>
        <v>4223186.7203828394</v>
      </c>
      <c r="AA584" s="280">
        <f>SUM(L$2:L584)-SUM(AB$2:AB584)</f>
        <v>-12838.465000000171</v>
      </c>
      <c r="AB584" s="281"/>
      <c r="AC584" s="176">
        <f t="shared" si="192"/>
        <v>-1059.8058295229625</v>
      </c>
      <c r="AD584" s="176">
        <f t="shared" si="193"/>
        <v>-25759.805829522964</v>
      </c>
    </row>
    <row r="585" spans="1:30" x14ac:dyDescent="0.25">
      <c r="A585" s="162">
        <v>43817</v>
      </c>
      <c r="B585" s="340" t="s">
        <v>828</v>
      </c>
      <c r="C585" s="104" t="s">
        <v>69</v>
      </c>
      <c r="D585" s="104">
        <v>400</v>
      </c>
      <c r="E585" s="104">
        <v>8.18</v>
      </c>
      <c r="F585" s="102">
        <f t="shared" si="174"/>
        <v>24300</v>
      </c>
      <c r="G585" s="32">
        <f t="shared" si="173"/>
        <v>8.4206659876543331</v>
      </c>
      <c r="H585" s="31">
        <f t="shared" si="175"/>
        <v>204622.1835000003</v>
      </c>
      <c r="I585" s="31">
        <f t="shared" si="176"/>
        <v>-5848.1835000003048</v>
      </c>
      <c r="J585" s="279">
        <f t="shared" si="177"/>
        <v>-2.8580398273388045E-2</v>
      </c>
      <c r="K585" s="278">
        <f t="shared" si="178"/>
        <v>198774</v>
      </c>
      <c r="L585" s="278">
        <f t="shared" si="179"/>
        <v>2708.7280000000028</v>
      </c>
      <c r="M585" s="278">
        <f t="shared" si="185"/>
        <v>5</v>
      </c>
      <c r="N585" s="278">
        <f t="shared" si="186"/>
        <v>3.2719999999999998</v>
      </c>
      <c r="O585" s="278"/>
      <c r="P585" s="278">
        <f t="shared" si="180"/>
        <v>-0.24066598765433334</v>
      </c>
      <c r="Q585" s="278">
        <f t="shared" si="181"/>
        <v>3263.7280000000028</v>
      </c>
      <c r="R585" s="278"/>
      <c r="S585" s="31">
        <f t="shared" si="187"/>
        <v>0.10999999999999943</v>
      </c>
      <c r="T585" s="31">
        <f t="shared" si="188"/>
        <v>-400</v>
      </c>
      <c r="U585" s="31">
        <f t="shared" si="189"/>
        <v>4.2323236867094494E-3</v>
      </c>
      <c r="V585" s="31">
        <f t="shared" si="190"/>
        <v>3.8475669879177013E-2</v>
      </c>
      <c r="W585" s="31">
        <f t="shared" si="191"/>
        <v>0.82994906438281635</v>
      </c>
      <c r="X585" s="280">
        <f t="shared" si="182"/>
        <v>-7.5907169232715166</v>
      </c>
      <c r="Y585" s="280">
        <f t="shared" si="183"/>
        <v>7.3500509356171833</v>
      </c>
      <c r="Z585" s="280">
        <f t="shared" si="184"/>
        <v>5741526.8298849761</v>
      </c>
      <c r="AA585" s="280">
        <f>SUM(L$2:L585)-SUM(AB$2:AB585)</f>
        <v>-10129.737000000168</v>
      </c>
      <c r="AB585" s="281"/>
      <c r="AC585" s="176">
        <f t="shared" si="192"/>
        <v>-714.57938976165099</v>
      </c>
      <c r="AD585" s="176">
        <f t="shared" si="193"/>
        <v>-25014.57938976165</v>
      </c>
    </row>
    <row r="586" spans="1:30" x14ac:dyDescent="0.25">
      <c r="A586" s="162">
        <v>43819</v>
      </c>
      <c r="B586" s="340" t="s">
        <v>828</v>
      </c>
      <c r="C586" s="317" t="s">
        <v>787</v>
      </c>
      <c r="D586" s="104">
        <v>400</v>
      </c>
      <c r="E586" s="104">
        <v>8.1999999999999993</v>
      </c>
      <c r="F586" s="102">
        <f t="shared" si="174"/>
        <v>23900</v>
      </c>
      <c r="G586" s="32">
        <f t="shared" si="173"/>
        <v>8.4247055857740705</v>
      </c>
      <c r="H586" s="31">
        <f t="shared" si="175"/>
        <v>201350.4635000003</v>
      </c>
      <c r="I586" s="31">
        <f t="shared" si="176"/>
        <v>-5370.4635000003327</v>
      </c>
      <c r="J586" s="279">
        <f t="shared" si="177"/>
        <v>-2.6672218214189976E-2</v>
      </c>
      <c r="K586" s="278">
        <f t="shared" si="178"/>
        <v>195979.99999999997</v>
      </c>
      <c r="L586" s="278">
        <f t="shared" si="179"/>
        <v>477.71999999997206</v>
      </c>
      <c r="M586" s="278">
        <f t="shared" si="185"/>
        <v>5</v>
      </c>
      <c r="N586" s="278">
        <f t="shared" si="186"/>
        <v>3.2799999999999994</v>
      </c>
      <c r="O586" s="278"/>
      <c r="P586" s="278">
        <f t="shared" si="180"/>
        <v>-0.22470558577407118</v>
      </c>
      <c r="Q586" s="278">
        <f t="shared" si="181"/>
        <v>3271.7200000000012</v>
      </c>
      <c r="R586" s="278"/>
      <c r="S586" s="31">
        <f t="shared" si="187"/>
        <v>1.9999999999999574E-2</v>
      </c>
      <c r="T586" s="31">
        <f t="shared" si="188"/>
        <v>-400</v>
      </c>
      <c r="U586" s="31">
        <f t="shared" si="189"/>
        <v>4.0395981197374198E-3</v>
      </c>
      <c r="V586" s="31">
        <f t="shared" si="190"/>
        <v>0.20197990598687529</v>
      </c>
      <c r="W586" s="31">
        <f t="shared" si="191"/>
        <v>0.14601494015379429</v>
      </c>
      <c r="X586" s="280">
        <f t="shared" si="182"/>
        <v>-8.2786906456202765</v>
      </c>
      <c r="Y586" s="280">
        <f t="shared" si="183"/>
        <v>8.0539850598462053</v>
      </c>
      <c r="Z586" s="280">
        <f t="shared" si="184"/>
        <v>5916430.1228938922</v>
      </c>
      <c r="AA586" s="280">
        <f>SUM(L$2:L586)-SUM(AB$2:AB586)</f>
        <v>-9652.0170000001963</v>
      </c>
      <c r="AB586" s="281"/>
      <c r="AC586" s="176">
        <f t="shared" si="192"/>
        <v>-654.60710588418692</v>
      </c>
      <c r="AD586" s="176">
        <f t="shared" si="193"/>
        <v>-24554.607105884188</v>
      </c>
    </row>
    <row r="587" spans="1:30" x14ac:dyDescent="0.25">
      <c r="A587" s="162">
        <v>43822</v>
      </c>
      <c r="B587" s="286" t="s">
        <v>789</v>
      </c>
      <c r="C587" s="317" t="s">
        <v>788</v>
      </c>
      <c r="D587" s="104">
        <v>400</v>
      </c>
      <c r="E587" s="104">
        <v>8.01</v>
      </c>
      <c r="F587" s="102">
        <f t="shared" si="174"/>
        <v>24300</v>
      </c>
      <c r="G587" s="32">
        <f t="shared" ref="G587:G603" si="194">H587/F587</f>
        <v>8.4180849176954862</v>
      </c>
      <c r="H587" s="31">
        <f t="shared" si="175"/>
        <v>204559.4635000003</v>
      </c>
      <c r="I587" s="31">
        <f t="shared" si="176"/>
        <v>-9916.4635000003036</v>
      </c>
      <c r="J587" s="279">
        <f t="shared" si="177"/>
        <v>-4.8477168107161683E-2</v>
      </c>
      <c r="K587" s="278">
        <f t="shared" si="178"/>
        <v>194643</v>
      </c>
      <c r="L587" s="278">
        <f t="shared" si="179"/>
        <v>-4545.9999999999709</v>
      </c>
      <c r="M587" s="278">
        <f t="shared" si="185"/>
        <v>5</v>
      </c>
      <c r="N587" s="278">
        <f t="shared" si="186"/>
        <v>0</v>
      </c>
      <c r="O587" s="278"/>
      <c r="P587" s="278">
        <f t="shared" si="180"/>
        <v>-0.40808491769548638</v>
      </c>
      <c r="Q587" s="278">
        <f t="shared" si="181"/>
        <v>-3209</v>
      </c>
      <c r="R587" s="278"/>
      <c r="S587" s="31">
        <f t="shared" si="187"/>
        <v>-0.1899999999999995</v>
      </c>
      <c r="T587" s="31">
        <f t="shared" si="188"/>
        <v>400</v>
      </c>
      <c r="U587" s="31">
        <f t="shared" si="189"/>
        <v>-6.620668078584302E-3</v>
      </c>
      <c r="V587" s="31">
        <f t="shared" si="190"/>
        <v>3.4845621466233261E-2</v>
      </c>
      <c r="W587" s="31">
        <f t="shared" si="191"/>
        <v>1.4166406980367625</v>
      </c>
      <c r="X587" s="280">
        <f t="shared" si="182"/>
        <v>-7.0014442196587234</v>
      </c>
      <c r="Y587" s="280">
        <f t="shared" si="183"/>
        <v>6.5933593019632371</v>
      </c>
      <c r="Z587" s="280">
        <f t="shared" si="184"/>
        <v>-3670324.461454662</v>
      </c>
      <c r="AA587" s="280">
        <f>SUM(L$2:L587)-SUM(AB$2:AB587)</f>
        <v>-14198.017000000167</v>
      </c>
      <c r="AB587" s="281"/>
      <c r="AC587" s="176">
        <f t="shared" si="192"/>
        <v>-1237.3914192572165</v>
      </c>
      <c r="AD587" s="176">
        <f t="shared" si="193"/>
        <v>-25537.391419257216</v>
      </c>
    </row>
    <row r="588" spans="1:30" x14ac:dyDescent="0.25">
      <c r="A588" s="162">
        <v>43830</v>
      </c>
      <c r="B588" s="286"/>
      <c r="C588" s="64" t="s">
        <v>69</v>
      </c>
      <c r="D588" s="104">
        <v>400</v>
      </c>
      <c r="E588" s="104">
        <v>8.1300000000000008</v>
      </c>
      <c r="F588" s="102">
        <f t="shared" ref="F588:F603" si="195">IF(C588="买",F587+D588,F587-D588)</f>
        <v>23900</v>
      </c>
      <c r="G588" s="32">
        <f t="shared" si="194"/>
        <v>8.4232516945606832</v>
      </c>
      <c r="H588" s="31">
        <f t="shared" ref="H588:H603" si="196">IF(C588="买",H587+D588*E588+M588+N588,H587+-1*D588*E588+M588+N588)+O587</f>
        <v>201315.71550000031</v>
      </c>
      <c r="I588" s="31">
        <f t="shared" ref="I588:I603" si="197">-H588+K588</f>
        <v>-7008.7155000002822</v>
      </c>
      <c r="J588" s="279">
        <f t="shared" ref="J588:J603" si="198">(E588-G588)/G588</f>
        <v>-3.4814547302444945E-2</v>
      </c>
      <c r="K588" s="278">
        <f t="shared" ref="K588:K603" si="199">F588*E588</f>
        <v>194307.00000000003</v>
      </c>
      <c r="L588" s="278">
        <f t="shared" ref="L588:L603" si="200">I588-I587</f>
        <v>2907.7480000000214</v>
      </c>
      <c r="M588" s="278">
        <f t="shared" si="185"/>
        <v>5</v>
      </c>
      <c r="N588" s="278">
        <f t="shared" si="186"/>
        <v>3.2520000000000007</v>
      </c>
      <c r="O588" s="278"/>
      <c r="P588" s="278">
        <f t="shared" ref="P588:P603" si="201">E588-G588</f>
        <v>-0.29325169456068245</v>
      </c>
      <c r="Q588" s="278">
        <f t="shared" ref="Q588:Q603" si="202">(H588-H587)*-1</f>
        <v>3243.7479999999923</v>
      </c>
      <c r="R588" s="278"/>
      <c r="S588" s="31">
        <f t="shared" si="187"/>
        <v>0.12000000000000099</v>
      </c>
      <c r="T588" s="31">
        <f t="shared" si="188"/>
        <v>-400</v>
      </c>
      <c r="U588" s="31">
        <f t="shared" si="189"/>
        <v>5.1667768651970647E-3</v>
      </c>
      <c r="V588" s="31">
        <f t="shared" si="190"/>
        <v>4.3056473876641847E-2</v>
      </c>
      <c r="W588" s="31">
        <f t="shared" si="191"/>
        <v>0.89641612110436086</v>
      </c>
      <c r="X588" s="280">
        <f t="shared" ref="X588:X603" si="203">W588-G588</f>
        <v>-7.5268355734563226</v>
      </c>
      <c r="Y588" s="280">
        <f t="shared" ref="Y588:Y603" si="204">(X588-P588)*-1</f>
        <v>7.2335838788956401</v>
      </c>
      <c r="Z588" s="280">
        <f t="shared" ref="Z588:Z603" si="205">F588/U588</f>
        <v>4625707.7910579434</v>
      </c>
      <c r="AA588" s="280">
        <f>SUM(L$2:L588)-SUM(AB$2:AB588)</f>
        <v>-11290.269000000146</v>
      </c>
      <c r="AB588" s="281"/>
      <c r="AC588" s="176">
        <f t="shared" si="192"/>
        <v>-861.64958699265458</v>
      </c>
      <c r="AD588" s="176">
        <f t="shared" si="193"/>
        <v>-24761.649586992655</v>
      </c>
    </row>
    <row r="589" spans="1:30" x14ac:dyDescent="0.25">
      <c r="A589" s="162">
        <v>43832</v>
      </c>
      <c r="B589" s="340" t="s">
        <v>828</v>
      </c>
      <c r="C589" s="64" t="s">
        <v>69</v>
      </c>
      <c r="D589" s="104">
        <v>400</v>
      </c>
      <c r="E589" s="104">
        <v>8.1999999999999993</v>
      </c>
      <c r="F589" s="102">
        <f t="shared" si="195"/>
        <v>23500</v>
      </c>
      <c r="G589" s="32">
        <f t="shared" si="194"/>
        <v>8.4274040638298011</v>
      </c>
      <c r="H589" s="31">
        <f t="shared" si="196"/>
        <v>198043.99550000031</v>
      </c>
      <c r="I589" s="31">
        <f t="shared" si="197"/>
        <v>-5343.9955000003392</v>
      </c>
      <c r="J589" s="279">
        <f t="shared" si="198"/>
        <v>-2.6983880458018403E-2</v>
      </c>
      <c r="K589" s="278">
        <f t="shared" si="199"/>
        <v>192699.99999999997</v>
      </c>
      <c r="L589" s="278">
        <f t="shared" si="200"/>
        <v>1664.719999999943</v>
      </c>
      <c r="M589" s="278">
        <f t="shared" si="185"/>
        <v>5</v>
      </c>
      <c r="N589" s="278">
        <f t="shared" si="186"/>
        <v>3.2799999999999994</v>
      </c>
      <c r="O589" s="278"/>
      <c r="P589" s="278">
        <f t="shared" si="201"/>
        <v>-0.22740406382980183</v>
      </c>
      <c r="Q589" s="278">
        <f t="shared" si="202"/>
        <v>3271.7200000000012</v>
      </c>
      <c r="R589" s="278"/>
      <c r="S589" s="31">
        <f t="shared" si="187"/>
        <v>6.9999999999998508E-2</v>
      </c>
      <c r="T589" s="31">
        <f t="shared" si="188"/>
        <v>-400</v>
      </c>
      <c r="U589" s="31">
        <f t="shared" si="189"/>
        <v>4.1523692691178837E-3</v>
      </c>
      <c r="V589" s="31">
        <f t="shared" si="190"/>
        <v>5.9319560987399607E-2</v>
      </c>
      <c r="W589" s="31">
        <f t="shared" si="191"/>
        <v>0.50882104825594565</v>
      </c>
      <c r="X589" s="280">
        <f t="shared" si="203"/>
        <v>-7.918583015573855</v>
      </c>
      <c r="Y589" s="280">
        <f t="shared" si="204"/>
        <v>7.6911789517440532</v>
      </c>
      <c r="Z589" s="280">
        <f t="shared" si="205"/>
        <v>5659419.5932367705</v>
      </c>
      <c r="AA589" s="280">
        <f>SUM(L$2:L589)-SUM(AB$2:AB589)</f>
        <v>-9625.5490000002028</v>
      </c>
      <c r="AB589" s="281"/>
      <c r="AC589" s="176">
        <f t="shared" si="192"/>
        <v>-651.38091490857812</v>
      </c>
      <c r="AD589" s="176">
        <f t="shared" si="193"/>
        <v>-24151.380914908579</v>
      </c>
    </row>
    <row r="590" spans="1:30" x14ac:dyDescent="0.25">
      <c r="A590" s="162">
        <v>43838</v>
      </c>
      <c r="B590" s="286" t="s">
        <v>791</v>
      </c>
      <c r="C590" s="64" t="s">
        <v>63</v>
      </c>
      <c r="D590" s="104">
        <v>500</v>
      </c>
      <c r="E590" s="104">
        <v>7.99</v>
      </c>
      <c r="F590" s="102">
        <f t="shared" si="195"/>
        <v>24000</v>
      </c>
      <c r="G590" s="32">
        <f t="shared" si="194"/>
        <v>8.4184998125000128</v>
      </c>
      <c r="H590" s="31">
        <f t="shared" si="196"/>
        <v>202043.99550000031</v>
      </c>
      <c r="I590" s="31">
        <f t="shared" si="197"/>
        <v>-10283.99550000031</v>
      </c>
      <c r="J590" s="279">
        <f t="shared" si="198"/>
        <v>-5.0899782864372654E-2</v>
      </c>
      <c r="K590" s="278">
        <f t="shared" si="199"/>
        <v>191760</v>
      </c>
      <c r="L590" s="278">
        <f t="shared" si="200"/>
        <v>-4939.9999999999709</v>
      </c>
      <c r="M590" s="278">
        <f t="shared" si="185"/>
        <v>5</v>
      </c>
      <c r="N590" s="278">
        <f t="shared" si="186"/>
        <v>0</v>
      </c>
      <c r="O590" s="278"/>
      <c r="P590" s="278">
        <f t="shared" si="201"/>
        <v>-0.42849981250001257</v>
      </c>
      <c r="Q590" s="278">
        <f t="shared" si="202"/>
        <v>-4000</v>
      </c>
      <c r="R590" s="278"/>
      <c r="S590" s="31">
        <f t="shared" si="187"/>
        <v>-0.20999999999999908</v>
      </c>
      <c r="T590" s="31">
        <f t="shared" si="188"/>
        <v>500</v>
      </c>
      <c r="U590" s="31">
        <f t="shared" si="189"/>
        <v>-8.9042513297883374E-3</v>
      </c>
      <c r="V590" s="31">
        <f t="shared" si="190"/>
        <v>4.2401196808516076E-2</v>
      </c>
      <c r="W590" s="31">
        <f t="shared" si="191"/>
        <v>1.2349999999999928</v>
      </c>
      <c r="X590" s="280">
        <f t="shared" si="203"/>
        <v>-7.1834998125000205</v>
      </c>
      <c r="Y590" s="280">
        <f t="shared" si="204"/>
        <v>6.7550000000000079</v>
      </c>
      <c r="Z590" s="280">
        <f t="shared" si="205"/>
        <v>-2695341.7093821522</v>
      </c>
      <c r="AA590" s="280">
        <f>SUM(L$2:L590)-SUM(AB$2:AB590)</f>
        <v>-14565.549000000174</v>
      </c>
      <c r="AB590" s="281"/>
      <c r="AC590" s="176">
        <f t="shared" si="192"/>
        <v>-1286.4647687422166</v>
      </c>
      <c r="AD590" s="176">
        <f t="shared" si="193"/>
        <v>-25286.464768742218</v>
      </c>
    </row>
    <row r="591" spans="1:30" x14ac:dyDescent="0.25">
      <c r="A591" s="162">
        <v>43846</v>
      </c>
      <c r="B591" s="286" t="s">
        <v>809</v>
      </c>
      <c r="C591" s="64" t="s">
        <v>63</v>
      </c>
      <c r="D591" s="104">
        <v>400</v>
      </c>
      <c r="E591" s="104">
        <v>7.82</v>
      </c>
      <c r="F591" s="102">
        <f t="shared" si="195"/>
        <v>24400</v>
      </c>
      <c r="G591" s="32">
        <f t="shared" si="194"/>
        <v>8.4088932581967342</v>
      </c>
      <c r="H591" s="31">
        <f t="shared" si="196"/>
        <v>205176.99550000031</v>
      </c>
      <c r="I591" s="31">
        <f t="shared" si="197"/>
        <v>-14368.99550000031</v>
      </c>
      <c r="J591" s="279">
        <f t="shared" si="198"/>
        <v>-7.003219569028285E-2</v>
      </c>
      <c r="K591" s="278">
        <f t="shared" si="199"/>
        <v>190808</v>
      </c>
      <c r="L591" s="278">
        <f t="shared" si="200"/>
        <v>-4085</v>
      </c>
      <c r="M591" s="278">
        <f t="shared" si="185"/>
        <v>5</v>
      </c>
      <c r="N591" s="278">
        <f t="shared" si="186"/>
        <v>0</v>
      </c>
      <c r="O591" s="278"/>
      <c r="P591" s="278">
        <f t="shared" si="201"/>
        <v>-0.58889325819673388</v>
      </c>
      <c r="Q591" s="278">
        <f t="shared" si="202"/>
        <v>-3133</v>
      </c>
      <c r="R591" s="278"/>
      <c r="S591" s="31">
        <f t="shared" si="187"/>
        <v>-0.16999999999999993</v>
      </c>
      <c r="T591" s="31">
        <f t="shared" si="188"/>
        <v>400</v>
      </c>
      <c r="U591" s="31">
        <f t="shared" si="189"/>
        <v>-9.6065543032786138E-3</v>
      </c>
      <c r="V591" s="31">
        <f t="shared" si="190"/>
        <v>5.6509142960462458E-2</v>
      </c>
      <c r="W591" s="31">
        <f t="shared" si="191"/>
        <v>1.3038621129907437</v>
      </c>
      <c r="X591" s="280">
        <f t="shared" si="203"/>
        <v>-7.1050311452059907</v>
      </c>
      <c r="Y591" s="280">
        <f t="shared" si="204"/>
        <v>6.5161378870092568</v>
      </c>
      <c r="Z591" s="280">
        <f t="shared" si="205"/>
        <v>-2539932.5533060841</v>
      </c>
      <c r="AA591" s="280">
        <f>SUM(L$2:L591)-SUM(AB$2:AB591)</f>
        <v>-18650.549000000174</v>
      </c>
      <c r="AB591" s="281"/>
      <c r="AC591" s="176">
        <f t="shared" si="192"/>
        <v>-1836.5487215153848</v>
      </c>
      <c r="AD591" s="176">
        <f t="shared" si="193"/>
        <v>-26236.548721515384</v>
      </c>
    </row>
    <row r="592" spans="1:30" x14ac:dyDescent="0.25">
      <c r="A592" s="162">
        <v>43850</v>
      </c>
      <c r="B592" s="286" t="s">
        <v>793</v>
      </c>
      <c r="C592" s="315" t="s">
        <v>792</v>
      </c>
      <c r="D592" s="104">
        <v>400</v>
      </c>
      <c r="E592" s="104">
        <v>7.69</v>
      </c>
      <c r="F592" s="102">
        <f t="shared" si="195"/>
        <v>24800</v>
      </c>
      <c r="G592" s="32">
        <f t="shared" si="194"/>
        <v>8.3974998185484004</v>
      </c>
      <c r="H592" s="31">
        <f t="shared" si="196"/>
        <v>208257.99550000031</v>
      </c>
      <c r="I592" s="31">
        <f t="shared" si="197"/>
        <v>-17545.99550000031</v>
      </c>
      <c r="J592" s="279">
        <f t="shared" si="198"/>
        <v>-8.4251245470190333E-2</v>
      </c>
      <c r="K592" s="278">
        <f t="shared" si="199"/>
        <v>190712</v>
      </c>
      <c r="L592" s="278">
        <f t="shared" si="200"/>
        <v>-3177</v>
      </c>
      <c r="M592" s="278">
        <f t="shared" si="185"/>
        <v>5</v>
      </c>
      <c r="N592" s="278">
        <f t="shared" si="186"/>
        <v>0</v>
      </c>
      <c r="O592" s="278"/>
      <c r="P592" s="278">
        <f t="shared" si="201"/>
        <v>-0.70749981854840005</v>
      </c>
      <c r="Q592" s="278">
        <f t="shared" si="202"/>
        <v>-3081</v>
      </c>
      <c r="R592" s="278"/>
      <c r="S592" s="31">
        <f t="shared" si="187"/>
        <v>-0.12999999999999989</v>
      </c>
      <c r="T592" s="31">
        <f t="shared" si="188"/>
        <v>400</v>
      </c>
      <c r="U592" s="31">
        <f t="shared" si="189"/>
        <v>-1.1393439648333725E-2</v>
      </c>
      <c r="V592" s="31">
        <f t="shared" si="190"/>
        <v>8.764184344872103E-2</v>
      </c>
      <c r="W592" s="31">
        <f t="shared" si="191"/>
        <v>1.0311587147030186</v>
      </c>
      <c r="X592" s="280">
        <f t="shared" si="203"/>
        <v>-7.3663411038453823</v>
      </c>
      <c r="Y592" s="280">
        <f t="shared" si="204"/>
        <v>6.6588412852969823</v>
      </c>
      <c r="Z592" s="280">
        <f t="shared" si="205"/>
        <v>-2176691.2157758228</v>
      </c>
      <c r="AA592" s="280">
        <f>SUM(L$2:L592)-SUM(AB$2:AB592)</f>
        <v>-21827.549000000174</v>
      </c>
      <c r="AB592" s="281"/>
      <c r="AC592" s="176">
        <f t="shared" si="192"/>
        <v>-2280.5230822172057</v>
      </c>
      <c r="AD592" s="176">
        <f t="shared" si="193"/>
        <v>-27080.523082217205</v>
      </c>
    </row>
    <row r="593" spans="1:30" x14ac:dyDescent="0.25">
      <c r="A593" s="136">
        <v>43852</v>
      </c>
      <c r="B593" s="286"/>
      <c r="C593" s="315" t="s">
        <v>795</v>
      </c>
      <c r="D593" s="104">
        <v>1000</v>
      </c>
      <c r="E593" s="104">
        <v>7.7</v>
      </c>
      <c r="F593" s="102">
        <f t="shared" si="195"/>
        <v>25800</v>
      </c>
      <c r="G593" s="32">
        <f t="shared" si="194"/>
        <v>8.3706587403100894</v>
      </c>
      <c r="H593" s="31">
        <f t="shared" si="196"/>
        <v>215962.99550000031</v>
      </c>
      <c r="I593" s="31">
        <f t="shared" si="197"/>
        <v>-17302.99550000031</v>
      </c>
      <c r="J593" s="279">
        <f t="shared" si="198"/>
        <v>-8.01201866085446E-2</v>
      </c>
      <c r="K593" s="278">
        <f t="shared" si="199"/>
        <v>198660</v>
      </c>
      <c r="L593" s="278">
        <f t="shared" si="200"/>
        <v>243</v>
      </c>
      <c r="M593" s="278">
        <f t="shared" si="185"/>
        <v>5</v>
      </c>
      <c r="N593" s="278">
        <f t="shared" si="186"/>
        <v>0</v>
      </c>
      <c r="O593" s="278"/>
      <c r="P593" s="278">
        <f t="shared" si="201"/>
        <v>-0.67065874031008921</v>
      </c>
      <c r="Q593" s="278">
        <f t="shared" si="202"/>
        <v>-7705</v>
      </c>
      <c r="R593" s="278"/>
      <c r="S593" s="31">
        <f t="shared" si="187"/>
        <v>9.9999999999997868E-3</v>
      </c>
      <c r="T593" s="31">
        <f t="shared" si="188"/>
        <v>1000</v>
      </c>
      <c r="U593" s="31">
        <f t="shared" si="189"/>
        <v>-2.6841078238311056E-2</v>
      </c>
      <c r="V593" s="31">
        <f t="shared" si="190"/>
        <v>-2.6841078238311629</v>
      </c>
      <c r="W593" s="31">
        <f t="shared" si="191"/>
        <v>-3.1537962362102531E-2</v>
      </c>
      <c r="X593" s="280">
        <f t="shared" si="203"/>
        <v>-8.4021967026721924</v>
      </c>
      <c r="Y593" s="280">
        <f t="shared" si="204"/>
        <v>7.7315379623621032</v>
      </c>
      <c r="Z593" s="280">
        <f t="shared" si="205"/>
        <v>-961213.2482507691</v>
      </c>
      <c r="AA593" s="280">
        <f>SUM(L$2:L593)-SUM(AB$2:AB593)</f>
        <v>-21584.549000000174</v>
      </c>
      <c r="AB593" s="281"/>
      <c r="AC593" s="176">
        <f t="shared" si="192"/>
        <v>-2246.0187015909496</v>
      </c>
      <c r="AD593" s="176">
        <f t="shared" si="193"/>
        <v>-28046.018701590951</v>
      </c>
    </row>
    <row r="594" spans="1:30" x14ac:dyDescent="0.25">
      <c r="A594" s="136">
        <v>43853</v>
      </c>
      <c r="B594" s="286" t="s">
        <v>796</v>
      </c>
      <c r="C594" s="64" t="s">
        <v>63</v>
      </c>
      <c r="D594" s="104">
        <v>500</v>
      </c>
      <c r="E594" s="104">
        <v>7.52</v>
      </c>
      <c r="F594" s="102">
        <f t="shared" si="195"/>
        <v>26300</v>
      </c>
      <c r="G594" s="32">
        <f t="shared" si="194"/>
        <v>8.3546766349810007</v>
      </c>
      <c r="H594" s="31">
        <f t="shared" si="196"/>
        <v>219727.99550000031</v>
      </c>
      <c r="I594" s="31">
        <f t="shared" si="197"/>
        <v>-21951.99550000031</v>
      </c>
      <c r="J594" s="279">
        <f t="shared" si="198"/>
        <v>-9.9905319074374832E-2</v>
      </c>
      <c r="K594" s="278">
        <f t="shared" si="199"/>
        <v>197776</v>
      </c>
      <c r="L594" s="278">
        <f t="shared" si="200"/>
        <v>-4649</v>
      </c>
      <c r="M594" s="278">
        <f t="shared" si="185"/>
        <v>5</v>
      </c>
      <c r="N594" s="278">
        <f t="shared" si="186"/>
        <v>0</v>
      </c>
      <c r="O594" s="278"/>
      <c r="P594" s="278">
        <f t="shared" si="201"/>
        <v>-0.83467663498100109</v>
      </c>
      <c r="Q594" s="278">
        <f t="shared" si="202"/>
        <v>-3765</v>
      </c>
      <c r="R594" s="278"/>
      <c r="S594" s="31">
        <f t="shared" si="187"/>
        <v>-0.1800000000000006</v>
      </c>
      <c r="T594" s="31">
        <f t="shared" si="188"/>
        <v>500</v>
      </c>
      <c r="U594" s="31">
        <f t="shared" si="189"/>
        <v>-1.5982105329088725E-2</v>
      </c>
      <c r="V594" s="31">
        <f t="shared" si="190"/>
        <v>8.8789474050492617E-2</v>
      </c>
      <c r="W594" s="31">
        <f t="shared" si="191"/>
        <v>1.2347941567065073</v>
      </c>
      <c r="X594" s="280">
        <f t="shared" si="203"/>
        <v>-7.1198824782744934</v>
      </c>
      <c r="Y594" s="280">
        <f t="shared" si="204"/>
        <v>6.2852058432934923</v>
      </c>
      <c r="Z594" s="280">
        <f t="shared" si="205"/>
        <v>-1645590.45622931</v>
      </c>
      <c r="AA594" s="280">
        <f>SUM(L$2:L594)-SUM(AB$2:AB594)</f>
        <v>-26233.549000000174</v>
      </c>
      <c r="AB594" s="281"/>
      <c r="AC594" s="176">
        <f t="shared" si="192"/>
        <v>-2917.6887635971161</v>
      </c>
      <c r="AD594" s="176">
        <f t="shared" si="193"/>
        <v>-29217.688763597114</v>
      </c>
    </row>
    <row r="595" spans="1:30" x14ac:dyDescent="0.25">
      <c r="A595" s="136">
        <v>43864</v>
      </c>
      <c r="B595" s="286"/>
      <c r="C595" s="315" t="s">
        <v>797</v>
      </c>
      <c r="D595" s="104">
        <v>1000</v>
      </c>
      <c r="E595" s="104">
        <v>6.75</v>
      </c>
      <c r="F595" s="102">
        <f t="shared" si="195"/>
        <v>27300</v>
      </c>
      <c r="G595" s="32">
        <f t="shared" si="194"/>
        <v>8.2960804212454331</v>
      </c>
      <c r="H595" s="31">
        <f t="shared" si="196"/>
        <v>226482.99550000031</v>
      </c>
      <c r="I595" s="31">
        <f t="shared" si="197"/>
        <v>-42207.99550000031</v>
      </c>
      <c r="J595" s="279">
        <f t="shared" si="198"/>
        <v>-0.1863627571986978</v>
      </c>
      <c r="K595" s="278">
        <f t="shared" si="199"/>
        <v>184275</v>
      </c>
      <c r="L595" s="278">
        <f t="shared" si="200"/>
        <v>-20256</v>
      </c>
      <c r="M595" s="278">
        <f t="shared" si="185"/>
        <v>5</v>
      </c>
      <c r="N595" s="278">
        <f t="shared" si="186"/>
        <v>0</v>
      </c>
      <c r="O595" s="278"/>
      <c r="P595" s="278">
        <f t="shared" si="201"/>
        <v>-1.5460804212454331</v>
      </c>
      <c r="Q595" s="278">
        <f t="shared" si="202"/>
        <v>-6755</v>
      </c>
      <c r="R595" s="278"/>
      <c r="S595" s="31">
        <f t="shared" si="187"/>
        <v>-0.76999999999999957</v>
      </c>
      <c r="T595" s="31">
        <f t="shared" si="188"/>
        <v>1000</v>
      </c>
      <c r="U595" s="31">
        <f t="shared" si="189"/>
        <v>-5.8596213735567559E-2</v>
      </c>
      <c r="V595" s="31">
        <f t="shared" si="190"/>
        <v>7.6098978877360515E-2</v>
      </c>
      <c r="W595" s="31">
        <f t="shared" si="191"/>
        <v>2.9986676535899335</v>
      </c>
      <c r="X595" s="280">
        <f t="shared" si="203"/>
        <v>-5.2974127676554996</v>
      </c>
      <c r="Y595" s="280">
        <f t="shared" si="204"/>
        <v>3.7513323464100665</v>
      </c>
      <c r="Z595" s="280">
        <f t="shared" si="205"/>
        <v>-465900.40993432072</v>
      </c>
      <c r="AA595" s="280">
        <f>SUM(L$2:L595)-SUM(AB$2:AB595)</f>
        <v>-46489.549000000174</v>
      </c>
      <c r="AB595" s="281"/>
      <c r="AC595" s="176">
        <f t="shared" si="192"/>
        <v>-6249.9098521852311</v>
      </c>
      <c r="AD595" s="176">
        <f t="shared" si="193"/>
        <v>-33549.909852185228</v>
      </c>
    </row>
    <row r="596" spans="1:30" x14ac:dyDescent="0.25">
      <c r="A596" s="136">
        <v>43874</v>
      </c>
      <c r="B596" s="286"/>
      <c r="C596" s="64" t="s">
        <v>69</v>
      </c>
      <c r="D596" s="104">
        <v>400</v>
      </c>
      <c r="E596" s="104">
        <v>7.04</v>
      </c>
      <c r="F596" s="102">
        <f t="shared" si="195"/>
        <v>26900</v>
      </c>
      <c r="G596" s="32">
        <f t="shared" si="194"/>
        <v>8.3150487546468508</v>
      </c>
      <c r="H596" s="31">
        <f t="shared" si="196"/>
        <v>223674.8115000003</v>
      </c>
      <c r="I596" s="31">
        <f t="shared" si="197"/>
        <v>-34298.811500000302</v>
      </c>
      <c r="J596" s="279">
        <f t="shared" si="198"/>
        <v>-0.15334230649390865</v>
      </c>
      <c r="K596" s="278">
        <f t="shared" si="199"/>
        <v>189376</v>
      </c>
      <c r="L596" s="278">
        <f t="shared" si="200"/>
        <v>7909.1840000000084</v>
      </c>
      <c r="M596" s="278">
        <f t="shared" si="185"/>
        <v>5</v>
      </c>
      <c r="N596" s="278">
        <f t="shared" si="186"/>
        <v>2.8159999999999998</v>
      </c>
      <c r="O596" s="278"/>
      <c r="P596" s="278">
        <f t="shared" si="201"/>
        <v>-1.2750487546468507</v>
      </c>
      <c r="Q596" s="278">
        <f t="shared" si="202"/>
        <v>2808.1840000000084</v>
      </c>
      <c r="R596" s="278"/>
      <c r="S596" s="31">
        <f t="shared" si="187"/>
        <v>0.29000000000000004</v>
      </c>
      <c r="T596" s="31">
        <f t="shared" si="188"/>
        <v>-400</v>
      </c>
      <c r="U596" s="31">
        <f t="shared" si="189"/>
        <v>1.8968333401417681E-2</v>
      </c>
      <c r="V596" s="31">
        <f t="shared" si="190"/>
        <v>6.5408046211785101E-2</v>
      </c>
      <c r="W596" s="31">
        <f t="shared" si="191"/>
        <v>2.8164764132264781</v>
      </c>
      <c r="X596" s="280">
        <f t="shared" si="203"/>
        <v>-5.4985723414203722</v>
      </c>
      <c r="Y596" s="280">
        <f t="shared" si="204"/>
        <v>4.2235235867735215</v>
      </c>
      <c r="Z596" s="280">
        <f t="shared" si="205"/>
        <v>1418153.0570308045</v>
      </c>
      <c r="AA596" s="280">
        <f>SUM(L$2:L596)-SUM(AB$2:AB596)</f>
        <v>-38580.365000000165</v>
      </c>
      <c r="AB596" s="281"/>
      <c r="AC596" s="176">
        <f t="shared" si="192"/>
        <v>-4869.5542747514628</v>
      </c>
      <c r="AD596" s="176">
        <f t="shared" si="193"/>
        <v>-31769.554274751463</v>
      </c>
    </row>
    <row r="597" spans="1:30" x14ac:dyDescent="0.25">
      <c r="A597" s="136">
        <v>43878</v>
      </c>
      <c r="B597" s="286" t="s">
        <v>800</v>
      </c>
      <c r="C597" s="64" t="s">
        <v>69</v>
      </c>
      <c r="D597" s="104">
        <v>400</v>
      </c>
      <c r="E597" s="104">
        <v>7.18</v>
      </c>
      <c r="F597" s="102">
        <f t="shared" si="195"/>
        <v>26500</v>
      </c>
      <c r="G597" s="32">
        <f t="shared" si="194"/>
        <v>8.3324786226415206</v>
      </c>
      <c r="H597" s="31">
        <f t="shared" si="196"/>
        <v>220810.6835000003</v>
      </c>
      <c r="I597" s="31">
        <f t="shared" si="197"/>
        <v>-30540.683500000305</v>
      </c>
      <c r="J597" s="279">
        <f t="shared" si="198"/>
        <v>-0.13831162068750294</v>
      </c>
      <c r="K597" s="278">
        <f t="shared" si="199"/>
        <v>190270</v>
      </c>
      <c r="L597" s="278">
        <f t="shared" si="200"/>
        <v>3758.127999999997</v>
      </c>
      <c r="M597" s="278">
        <f t="shared" si="185"/>
        <v>5</v>
      </c>
      <c r="N597" s="278">
        <f t="shared" si="186"/>
        <v>2.8719999999999999</v>
      </c>
      <c r="O597" s="278"/>
      <c r="P597" s="278">
        <f t="shared" si="201"/>
        <v>-1.1524786226415209</v>
      </c>
      <c r="Q597" s="278">
        <f t="shared" si="202"/>
        <v>2864.127999999997</v>
      </c>
      <c r="R597" s="278"/>
      <c r="S597" s="31">
        <f t="shared" si="187"/>
        <v>0.13999999999999968</v>
      </c>
      <c r="T597" s="31">
        <f t="shared" si="188"/>
        <v>-400</v>
      </c>
      <c r="U597" s="31">
        <f t="shared" si="189"/>
        <v>1.7429867994669834E-2</v>
      </c>
      <c r="V597" s="31">
        <f t="shared" si="190"/>
        <v>0.12449905710478482</v>
      </c>
      <c r="W597" s="31">
        <f t="shared" si="191"/>
        <v>1.3121368877368613</v>
      </c>
      <c r="X597" s="280">
        <f t="shared" si="203"/>
        <v>-7.0203417349046591</v>
      </c>
      <c r="Y597" s="280">
        <f t="shared" si="204"/>
        <v>5.8678631122631382</v>
      </c>
      <c r="Z597" s="280">
        <f t="shared" si="205"/>
        <v>1520378.6975382643</v>
      </c>
      <c r="AA597" s="280">
        <f>SUM(L$2:L597)-SUM(AB$2:AB597)</f>
        <v>-34822.237000000168</v>
      </c>
      <c r="AB597" s="281"/>
      <c r="AC597" s="176">
        <f t="shared" si="192"/>
        <v>-4251.4503005919651</v>
      </c>
      <c r="AD597" s="176">
        <f t="shared" si="193"/>
        <v>-30751.450300591965</v>
      </c>
    </row>
    <row r="598" spans="1:30" x14ac:dyDescent="0.25">
      <c r="A598" s="136">
        <v>43889</v>
      </c>
      <c r="B598" s="286" t="s">
        <v>803</v>
      </c>
      <c r="C598" s="315" t="s">
        <v>802</v>
      </c>
      <c r="D598" s="104">
        <v>400</v>
      </c>
      <c r="E598" s="104">
        <v>6.99</v>
      </c>
      <c r="F598" s="102">
        <f t="shared" si="195"/>
        <v>26900</v>
      </c>
      <c r="G598" s="32">
        <f t="shared" si="194"/>
        <v>8.3127019888475946</v>
      </c>
      <c r="H598" s="31">
        <f t="shared" si="196"/>
        <v>223611.6835000003</v>
      </c>
      <c r="I598" s="31">
        <f t="shared" si="197"/>
        <v>-35580.683500000305</v>
      </c>
      <c r="J598" s="279">
        <f t="shared" si="198"/>
        <v>-0.15911817729327296</v>
      </c>
      <c r="K598" s="278">
        <f t="shared" si="199"/>
        <v>188031</v>
      </c>
      <c r="L598" s="278">
        <f t="shared" si="200"/>
        <v>-5040</v>
      </c>
      <c r="M598" s="278">
        <f t="shared" si="185"/>
        <v>5</v>
      </c>
      <c r="N598" s="278">
        <f t="shared" si="186"/>
        <v>0</v>
      </c>
      <c r="O598" s="278"/>
      <c r="P598" s="278">
        <f t="shared" si="201"/>
        <v>-1.3227019888475944</v>
      </c>
      <c r="Q598" s="278">
        <f t="shared" si="202"/>
        <v>-2801</v>
      </c>
      <c r="R598" s="278"/>
      <c r="S598" s="31">
        <f t="shared" si="187"/>
        <v>-0.1899999999999995</v>
      </c>
      <c r="T598" s="31">
        <f t="shared" si="188"/>
        <v>400</v>
      </c>
      <c r="U598" s="31">
        <f t="shared" si="189"/>
        <v>-1.9776633793926024E-2</v>
      </c>
      <c r="V598" s="31">
        <f t="shared" si="190"/>
        <v>0.10408754628382146</v>
      </c>
      <c r="W598" s="31">
        <f t="shared" si="191"/>
        <v>1.7993573723670118</v>
      </c>
      <c r="X598" s="280">
        <f t="shared" si="203"/>
        <v>-6.513344616480583</v>
      </c>
      <c r="Y598" s="280">
        <f t="shared" si="204"/>
        <v>5.1906426276329887</v>
      </c>
      <c r="Z598" s="280">
        <f t="shared" si="205"/>
        <v>-1360191.0355574146</v>
      </c>
      <c r="AA598" s="280">
        <f>SUM(L$2:L598)-SUM(AB$2:AB598)</f>
        <v>-39862.237000000168</v>
      </c>
      <c r="AB598" s="281"/>
      <c r="AC598" s="176">
        <f t="shared" si="192"/>
        <v>-5087.6814246423901</v>
      </c>
      <c r="AD598" s="176">
        <f t="shared" si="193"/>
        <v>-31987.681424642389</v>
      </c>
    </row>
    <row r="599" spans="1:30" x14ac:dyDescent="0.25">
      <c r="A599" s="136">
        <v>43889</v>
      </c>
      <c r="B599" s="286"/>
      <c r="C599" s="64" t="s">
        <v>63</v>
      </c>
      <c r="D599" s="104">
        <v>400</v>
      </c>
      <c r="E599" s="104">
        <v>6.86</v>
      </c>
      <c r="F599" s="102">
        <f t="shared" si="195"/>
        <v>27300</v>
      </c>
      <c r="G599" s="32">
        <f t="shared" si="194"/>
        <v>8.2916001282051397</v>
      </c>
      <c r="H599" s="31">
        <f t="shared" si="196"/>
        <v>226360.6835000003</v>
      </c>
      <c r="I599" s="31">
        <f t="shared" si="197"/>
        <v>-39082.683500000305</v>
      </c>
      <c r="J599" s="279">
        <f t="shared" si="198"/>
        <v>-0.17265667736862197</v>
      </c>
      <c r="K599" s="278">
        <f t="shared" si="199"/>
        <v>187278</v>
      </c>
      <c r="L599" s="278">
        <f t="shared" si="200"/>
        <v>-3502</v>
      </c>
      <c r="M599" s="278">
        <f t="shared" si="185"/>
        <v>5</v>
      </c>
      <c r="N599" s="278">
        <f t="shared" si="186"/>
        <v>0</v>
      </c>
      <c r="O599" s="278"/>
      <c r="P599" s="278">
        <f t="shared" si="201"/>
        <v>-1.4316001282051394</v>
      </c>
      <c r="Q599" s="278">
        <f t="shared" si="202"/>
        <v>-2749</v>
      </c>
      <c r="R599" s="278"/>
      <c r="S599" s="31">
        <f t="shared" si="187"/>
        <v>-0.12999999999999989</v>
      </c>
      <c r="T599" s="31">
        <f t="shared" si="188"/>
        <v>400</v>
      </c>
      <c r="U599" s="31">
        <f t="shared" si="189"/>
        <v>-2.1101860642454895E-2</v>
      </c>
      <c r="V599" s="31">
        <f t="shared" si="190"/>
        <v>0.16232200494196086</v>
      </c>
      <c r="W599" s="31">
        <f t="shared" si="191"/>
        <v>1.2739177882866497</v>
      </c>
      <c r="X599" s="280">
        <f t="shared" si="203"/>
        <v>-7.0176823399184904</v>
      </c>
      <c r="Y599" s="280">
        <f t="shared" si="204"/>
        <v>5.5860822117133511</v>
      </c>
      <c r="Z599" s="280">
        <f t="shared" si="205"/>
        <v>-1293724.7791825072</v>
      </c>
      <c r="AA599" s="280">
        <f>SUM(L$2:L599)-SUM(AB$2:AB599)</f>
        <v>-43364.237000000168</v>
      </c>
      <c r="AB599" s="281"/>
      <c r="AC599" s="176">
        <f t="shared" si="192"/>
        <v>-5694.3355915816774</v>
      </c>
      <c r="AD599" s="176">
        <f t="shared" si="193"/>
        <v>-32994.335591581679</v>
      </c>
    </row>
    <row r="600" spans="1:30" x14ac:dyDescent="0.25">
      <c r="A600" s="136">
        <v>43892</v>
      </c>
      <c r="B600" s="286" t="s">
        <v>804</v>
      </c>
      <c r="C600" s="64" t="s">
        <v>69</v>
      </c>
      <c r="D600" s="104">
        <v>400</v>
      </c>
      <c r="E600" s="104">
        <f>E599+0.24</f>
        <v>7.1000000000000005</v>
      </c>
      <c r="F600" s="102">
        <f t="shared" si="195"/>
        <v>26900</v>
      </c>
      <c r="G600" s="32">
        <f t="shared" si="194"/>
        <v>8.3096105390334678</v>
      </c>
      <c r="H600" s="31">
        <f t="shared" si="196"/>
        <v>223528.5235000003</v>
      </c>
      <c r="I600" s="31">
        <f t="shared" si="197"/>
        <v>-32538.523500000301</v>
      </c>
      <c r="J600" s="279">
        <f t="shared" si="198"/>
        <v>-0.14556765727484541</v>
      </c>
      <c r="K600" s="278">
        <f t="shared" si="199"/>
        <v>190990</v>
      </c>
      <c r="L600" s="278">
        <f t="shared" si="200"/>
        <v>6544.1600000000035</v>
      </c>
      <c r="M600" s="278">
        <f t="shared" si="185"/>
        <v>5</v>
      </c>
      <c r="N600" s="278">
        <f t="shared" si="186"/>
        <v>2.84</v>
      </c>
      <c r="O600" s="278"/>
      <c r="P600" s="278">
        <f t="shared" si="201"/>
        <v>-1.2096105390334673</v>
      </c>
      <c r="Q600" s="278">
        <f t="shared" si="202"/>
        <v>2832.1600000000035</v>
      </c>
      <c r="R600" s="278"/>
      <c r="S600" s="31">
        <f t="shared" si="187"/>
        <v>0.24000000000000021</v>
      </c>
      <c r="T600" s="31">
        <f t="shared" si="188"/>
        <v>-400</v>
      </c>
      <c r="U600" s="31">
        <f t="shared" si="189"/>
        <v>1.8010410828328105E-2</v>
      </c>
      <c r="V600" s="31">
        <f t="shared" si="190"/>
        <v>7.5043378451367035E-2</v>
      </c>
      <c r="W600" s="31">
        <f t="shared" si="191"/>
        <v>2.3106604146658363</v>
      </c>
      <c r="X600" s="280">
        <f t="shared" si="203"/>
        <v>-5.9989501243676315</v>
      </c>
      <c r="Y600" s="280">
        <f t="shared" si="204"/>
        <v>4.7893395853341643</v>
      </c>
      <c r="Z600" s="280">
        <f t="shared" si="205"/>
        <v>1493580.5882722947</v>
      </c>
      <c r="AA600" s="280">
        <f>SUM(L$2:L600)-SUM(AB$2:AB600)</f>
        <v>-36820.077000000165</v>
      </c>
      <c r="AB600" s="281"/>
      <c r="AC600" s="176">
        <f t="shared" si="192"/>
        <v>-4580.5991884859577</v>
      </c>
      <c r="AD600" s="176">
        <f t="shared" si="193"/>
        <v>-31480.599188485958</v>
      </c>
    </row>
    <row r="601" spans="1:30" x14ac:dyDescent="0.25">
      <c r="A601" s="136">
        <v>43894</v>
      </c>
      <c r="B601" s="286"/>
      <c r="C601" s="64" t="s">
        <v>69</v>
      </c>
      <c r="D601" s="104">
        <v>400</v>
      </c>
      <c r="E601" s="104">
        <v>7.31</v>
      </c>
      <c r="F601" s="102">
        <f t="shared" si="195"/>
        <v>26500</v>
      </c>
      <c r="G601" s="32">
        <f t="shared" si="194"/>
        <v>8.3249980188679356</v>
      </c>
      <c r="H601" s="31">
        <f t="shared" si="196"/>
        <v>220612.4475000003</v>
      </c>
      <c r="I601" s="31">
        <f t="shared" si="197"/>
        <v>-26897.4475000003</v>
      </c>
      <c r="J601" s="279">
        <f t="shared" si="198"/>
        <v>-0.12192171296227639</v>
      </c>
      <c r="K601" s="278">
        <f t="shared" si="199"/>
        <v>193715</v>
      </c>
      <c r="L601" s="278">
        <f t="shared" si="200"/>
        <v>5641.0760000000009</v>
      </c>
      <c r="M601" s="278">
        <f t="shared" si="185"/>
        <v>5</v>
      </c>
      <c r="N601" s="278">
        <f t="shared" si="186"/>
        <v>2.9239999999999999</v>
      </c>
      <c r="O601" s="278"/>
      <c r="P601" s="278">
        <f t="shared" si="201"/>
        <v>-1.0149980188679359</v>
      </c>
      <c r="Q601" s="278">
        <f t="shared" si="202"/>
        <v>2916.0760000000009</v>
      </c>
      <c r="R601" s="278"/>
      <c r="S601" s="31">
        <f t="shared" si="187"/>
        <v>0.20999999999999908</v>
      </c>
      <c r="T601" s="31">
        <f t="shared" si="188"/>
        <v>-400</v>
      </c>
      <c r="U601" s="31">
        <f t="shared" si="189"/>
        <v>1.5387479834467754E-2</v>
      </c>
      <c r="V601" s="31">
        <f t="shared" si="190"/>
        <v>7.3273713497465823E-2</v>
      </c>
      <c r="W601" s="31">
        <f t="shared" si="191"/>
        <v>1.9344749588145163</v>
      </c>
      <c r="X601" s="280">
        <f t="shared" si="203"/>
        <v>-6.3905230600534191</v>
      </c>
      <c r="Y601" s="280">
        <f t="shared" si="204"/>
        <v>5.3755250411854831</v>
      </c>
      <c r="Z601" s="280">
        <f t="shared" si="205"/>
        <v>1722179.3487352196</v>
      </c>
      <c r="AA601" s="280">
        <f>SUM(L$2:L601)-SUM(AB$2:AB601)</f>
        <v>-31179.001000000164</v>
      </c>
      <c r="AB601" s="281"/>
      <c r="AC601" s="176">
        <f t="shared" si="192"/>
        <v>-3677.7016109781534</v>
      </c>
      <c r="AD601" s="176">
        <f t="shared" si="193"/>
        <v>-30177.701610978154</v>
      </c>
    </row>
    <row r="602" spans="1:30" x14ac:dyDescent="0.25">
      <c r="A602" s="136">
        <v>43899</v>
      </c>
      <c r="B602" s="286" t="s">
        <v>805</v>
      </c>
      <c r="C602" s="64" t="s">
        <v>63</v>
      </c>
      <c r="D602" s="104">
        <v>400</v>
      </c>
      <c r="E602" s="104">
        <v>7.02</v>
      </c>
      <c r="F602" s="102">
        <f t="shared" si="195"/>
        <v>26900</v>
      </c>
      <c r="G602" s="32">
        <f t="shared" si="194"/>
        <v>8.3057787174721298</v>
      </c>
      <c r="H602" s="31">
        <f t="shared" si="196"/>
        <v>223425.4475000003</v>
      </c>
      <c r="I602" s="31">
        <f t="shared" si="197"/>
        <v>-34587.4475000003</v>
      </c>
      <c r="J602" s="279">
        <f t="shared" si="198"/>
        <v>-0.15480531822589394</v>
      </c>
      <c r="K602" s="278">
        <f t="shared" si="199"/>
        <v>188838</v>
      </c>
      <c r="L602" s="278">
        <f t="shared" si="200"/>
        <v>-7690</v>
      </c>
      <c r="M602" s="278">
        <f t="shared" si="185"/>
        <v>5</v>
      </c>
      <c r="N602" s="278">
        <f t="shared" si="186"/>
        <v>0</v>
      </c>
      <c r="O602" s="278"/>
      <c r="P602" s="278">
        <f t="shared" si="201"/>
        <v>-1.2857787174721302</v>
      </c>
      <c r="Q602" s="278">
        <f t="shared" si="202"/>
        <v>-2813</v>
      </c>
      <c r="R602" s="278"/>
      <c r="S602" s="31">
        <f t="shared" si="187"/>
        <v>-0.29000000000000004</v>
      </c>
      <c r="T602" s="31">
        <f t="shared" si="188"/>
        <v>400</v>
      </c>
      <c r="U602" s="31">
        <f t="shared" si="189"/>
        <v>-1.9219301395805743E-2</v>
      </c>
      <c r="V602" s="31">
        <f t="shared" si="190"/>
        <v>6.6273453088985315E-2</v>
      </c>
      <c r="W602" s="31">
        <f t="shared" si="191"/>
        <v>2.7337362246711696</v>
      </c>
      <c r="X602" s="280">
        <f t="shared" si="203"/>
        <v>-5.5720424928009606</v>
      </c>
      <c r="Y602" s="280">
        <f t="shared" si="204"/>
        <v>4.2862637753288304</v>
      </c>
      <c r="Z602" s="280">
        <f t="shared" si="205"/>
        <v>-1399634.6405114613</v>
      </c>
      <c r="AA602" s="280">
        <f>SUM(L$2:L602)-SUM(AB$2:AB602)</f>
        <v>-38869.001000000164</v>
      </c>
      <c r="AB602" s="281"/>
      <c r="AC602" s="176">
        <f t="shared" si="192"/>
        <v>-4924.5233299501861</v>
      </c>
      <c r="AD602" s="176">
        <f t="shared" si="193"/>
        <v>-31824.523329950185</v>
      </c>
    </row>
    <row r="603" spans="1:30" x14ac:dyDescent="0.25">
      <c r="A603" s="136">
        <v>43903</v>
      </c>
      <c r="B603" s="286"/>
      <c r="C603" s="315" t="s">
        <v>806</v>
      </c>
      <c r="D603" s="104">
        <v>400</v>
      </c>
      <c r="E603" s="104">
        <v>6.78</v>
      </c>
      <c r="F603" s="102">
        <f t="shared" si="195"/>
        <v>27300</v>
      </c>
      <c r="G603" s="32">
        <f t="shared" si="194"/>
        <v>8.2836061355311461</v>
      </c>
      <c r="H603" s="31">
        <f t="shared" si="196"/>
        <v>226142.4475000003</v>
      </c>
      <c r="I603" s="31">
        <f t="shared" si="197"/>
        <v>-41048.4475000003</v>
      </c>
      <c r="J603" s="279">
        <f t="shared" si="198"/>
        <v>-0.18151588944839836</v>
      </c>
      <c r="K603" s="278">
        <f t="shared" si="199"/>
        <v>185094</v>
      </c>
      <c r="L603" s="278">
        <f t="shared" si="200"/>
        <v>-6461</v>
      </c>
      <c r="M603" s="278">
        <f t="shared" si="185"/>
        <v>5</v>
      </c>
      <c r="N603" s="278">
        <f t="shared" si="186"/>
        <v>0</v>
      </c>
      <c r="O603" s="278"/>
      <c r="P603" s="278">
        <f t="shared" si="201"/>
        <v>-1.5036061355311459</v>
      </c>
      <c r="Q603" s="278">
        <f t="shared" si="202"/>
        <v>-2717</v>
      </c>
      <c r="R603" s="278"/>
      <c r="S603" s="31">
        <f t="shared" si="187"/>
        <v>-0.23999999999999932</v>
      </c>
      <c r="T603" s="31">
        <f t="shared" si="188"/>
        <v>400</v>
      </c>
      <c r="U603" s="31">
        <f t="shared" si="189"/>
        <v>-2.2172581940983704E-2</v>
      </c>
      <c r="V603" s="31">
        <f t="shared" si="190"/>
        <v>9.2385758087432365E-2</v>
      </c>
      <c r="W603" s="31">
        <f t="shared" si="191"/>
        <v>2.3779904306220097</v>
      </c>
      <c r="X603" s="280">
        <f t="shared" si="203"/>
        <v>-5.9056157049091365</v>
      </c>
      <c r="Y603" s="280">
        <f t="shared" si="204"/>
        <v>4.4020095693779906</v>
      </c>
      <c r="Z603" s="280">
        <f t="shared" si="205"/>
        <v>-1231250.3826872231</v>
      </c>
      <c r="AA603" s="280">
        <f>SUM(L$2:L730)-SUM(AB$2:AB730)</f>
        <v>6041.6979999997129</v>
      </c>
      <c r="AB603" s="281"/>
      <c r="AC603" s="176">
        <f t="shared" si="192"/>
        <v>-6051.3161174410479</v>
      </c>
      <c r="AD603" s="176">
        <f t="shared" si="193"/>
        <v>-33351.316117441049</v>
      </c>
    </row>
    <row r="604" spans="1:30" x14ac:dyDescent="0.25">
      <c r="A604" s="136">
        <v>43909</v>
      </c>
      <c r="B604" s="286"/>
      <c r="C604" s="315" t="s">
        <v>807</v>
      </c>
      <c r="D604" s="104">
        <v>500</v>
      </c>
      <c r="E604" s="104">
        <v>6.57</v>
      </c>
      <c r="F604" s="64">
        <f>IF(C604="买",F603+D604,F603-D604)</f>
        <v>27800</v>
      </c>
      <c r="G604" s="32">
        <f>H604/F604</f>
        <v>8.2529657374100829</v>
      </c>
      <c r="H604" s="31">
        <f>IF(C604="买",H603+D604*E604+M604+N604,H603+-1*D604*E604+M604+N604)+O603</f>
        <v>229432.4475000003</v>
      </c>
      <c r="I604" s="31">
        <f>-H604+K604</f>
        <v>-46786.4475000003</v>
      </c>
      <c r="J604" s="277">
        <f>(E604-G604)/G604</f>
        <v>-0.2039225402065252</v>
      </c>
      <c r="K604" s="31">
        <f>F604*E604</f>
        <v>182646</v>
      </c>
      <c r="L604" s="31">
        <f>I604-I603</f>
        <v>-5738</v>
      </c>
      <c r="M604" s="31">
        <f>IF(D604*E604*2.5/10000&gt;5,D604*E604*2.5/10000,5)</f>
        <v>5</v>
      </c>
      <c r="N604" s="31">
        <f>IF(C604="卖",D604*E604/1000,0)</f>
        <v>0</v>
      </c>
      <c r="O604" s="31"/>
      <c r="P604" s="31">
        <f>E604-G604</f>
        <v>-1.6829657374100826</v>
      </c>
      <c r="Q604" s="31">
        <f>(H604-H603)*-1</f>
        <v>-3290</v>
      </c>
      <c r="R604" s="31"/>
      <c r="S604" s="31">
        <f t="shared" si="187"/>
        <v>-0.20999999999999996</v>
      </c>
      <c r="T604" s="31">
        <f t="shared" si="188"/>
        <v>500</v>
      </c>
      <c r="U604" s="31">
        <f t="shared" si="189"/>
        <v>-3.0640398121063228E-2</v>
      </c>
      <c r="V604" s="31">
        <f t="shared" si="190"/>
        <v>0.14590665771934874</v>
      </c>
      <c r="W604" s="31">
        <f t="shared" si="191"/>
        <v>1.7440729483282675</v>
      </c>
      <c r="X604" s="73">
        <f>W604-G604</f>
        <v>-6.5088927890818153</v>
      </c>
      <c r="Y604" s="73">
        <f>(X604-P604)*-1</f>
        <v>4.8259270516717327</v>
      </c>
      <c r="Z604" s="73">
        <f>F604/U604</f>
        <v>-907298.91596576083</v>
      </c>
      <c r="AA604" s="73">
        <f>SUM(L$2:L604)-SUM(AB$2:AB604)</f>
        <v>-51068.001000000164</v>
      </c>
      <c r="AB604" s="335"/>
      <c r="AC604" s="335">
        <f>I604/E604*(1-0.0005)</f>
        <v>-7117.6642734018724</v>
      </c>
      <c r="AD604" s="335">
        <f>AC604-F604</f>
        <v>-34917.664273401875</v>
      </c>
    </row>
    <row r="605" spans="1:30" x14ac:dyDescent="0.25">
      <c r="A605" s="136">
        <v>43909</v>
      </c>
      <c r="B605" s="286"/>
      <c r="C605" s="315" t="s">
        <v>808</v>
      </c>
      <c r="D605" s="104">
        <v>400</v>
      </c>
      <c r="E605" s="104">
        <v>6.45</v>
      </c>
      <c r="F605" s="64">
        <f>IF(C605="买",F604+D605,F604-D605)</f>
        <v>28200</v>
      </c>
      <c r="G605" s="32">
        <f>H605/F605</f>
        <v>8.2275690602836988</v>
      </c>
      <c r="H605" s="31">
        <f>IF(C605="买",H604+D605*E605+M605+N605,H604+-1*D605*E605+M605+N605)+O604</f>
        <v>232017.4475000003</v>
      </c>
      <c r="I605" s="31">
        <f>-H605+K605</f>
        <v>-50127.4475000003</v>
      </c>
      <c r="J605" s="277">
        <f>(E605-G605)/G605</f>
        <v>-0.21605033604207818</v>
      </c>
      <c r="K605" s="31">
        <f>F605*E605</f>
        <v>181890</v>
      </c>
      <c r="L605" s="31">
        <f>I605-I604</f>
        <v>-3341</v>
      </c>
      <c r="M605" s="31">
        <f>IF(D605*E605*2.5/10000&gt;5,D605*E605*2.5/10000,5)</f>
        <v>5</v>
      </c>
      <c r="N605" s="31">
        <f>IF(C605="卖",D605*E605/1000,0)</f>
        <v>0</v>
      </c>
      <c r="O605" s="31"/>
      <c r="P605" s="31">
        <f>E605-G605</f>
        <v>-1.7775690602836987</v>
      </c>
      <c r="Q605" s="31">
        <f>(H605-H604)*-1</f>
        <v>-2585</v>
      </c>
      <c r="R605" s="31"/>
      <c r="S605" s="31">
        <f t="shared" si="187"/>
        <v>-0.12000000000000011</v>
      </c>
      <c r="T605" s="31">
        <f t="shared" si="188"/>
        <v>400</v>
      </c>
      <c r="U605" s="31">
        <f t="shared" si="189"/>
        <v>-2.5396677126384049E-2</v>
      </c>
      <c r="V605" s="31">
        <f t="shared" si="190"/>
        <v>0.21163897605320023</v>
      </c>
      <c r="W605" s="31">
        <f t="shared" si="191"/>
        <v>1.2924564796905222</v>
      </c>
      <c r="X605" s="73">
        <f>W605-G605</f>
        <v>-6.9351125805931764</v>
      </c>
      <c r="Y605" s="73">
        <f>(X605-P605)*-1</f>
        <v>5.1575435203094777</v>
      </c>
      <c r="Z605" s="73">
        <f>F605/U605</f>
        <v>-1110381.4825721292</v>
      </c>
      <c r="AA605" s="73">
        <f>SUM(L$2:L605)-SUM(AB$2:AB605)</f>
        <v>-54409.001000000164</v>
      </c>
      <c r="AB605" s="335"/>
      <c r="AC605" s="335">
        <f>I605/E605*(1-0.0005)</f>
        <v>-7767.8114381783416</v>
      </c>
      <c r="AD605" s="335">
        <f>AC605-F605</f>
        <v>-35967.811438178338</v>
      </c>
    </row>
    <row r="606" spans="1:30" x14ac:dyDescent="0.25">
      <c r="A606" s="136">
        <v>43915</v>
      </c>
      <c r="B606" s="286" t="s">
        <v>810</v>
      </c>
      <c r="C606" s="64" t="s">
        <v>69</v>
      </c>
      <c r="D606" s="104">
        <v>400</v>
      </c>
      <c r="E606" s="104">
        <v>6.77</v>
      </c>
      <c r="F606" s="64">
        <f>IF(C606="买",F605+D606,F605-D606)</f>
        <v>27800</v>
      </c>
      <c r="G606" s="32">
        <f>H606/F606</f>
        <v>8.2488185431654788</v>
      </c>
      <c r="H606" s="31">
        <f>IF(C606="买",H605+D606*E606+M606+N606,H605+-1*D606*E606+M606+N606)+O605</f>
        <v>229317.15550000031</v>
      </c>
      <c r="I606" s="31">
        <f>-H606+K606</f>
        <v>-41111.155500000314</v>
      </c>
      <c r="J606" s="277">
        <f>(E606-G606)/G606</f>
        <v>-0.17927640612130419</v>
      </c>
      <c r="K606" s="31">
        <f>F606*E606</f>
        <v>188206</v>
      </c>
      <c r="L606" s="31">
        <f>I606-I605</f>
        <v>9016.2919999999867</v>
      </c>
      <c r="M606" s="31">
        <f>IF(D606*E606*2.5/10000&gt;5,D606*E606*2.5/10000,5)</f>
        <v>5</v>
      </c>
      <c r="N606" s="31">
        <f>IF(C606="卖",D606*E606/1000,0)</f>
        <v>2.7080000000000002</v>
      </c>
      <c r="O606" s="31"/>
      <c r="P606" s="31">
        <f>E606-G606</f>
        <v>-1.4788185431654792</v>
      </c>
      <c r="Q606" s="31">
        <f>(H606-H605)*-1</f>
        <v>2700.2919999999867</v>
      </c>
      <c r="R606" s="31"/>
      <c r="S606" s="31">
        <f t="shared" si="187"/>
        <v>0.3199999999999994</v>
      </c>
      <c r="T606" s="31">
        <f t="shared" si="188"/>
        <v>-400</v>
      </c>
      <c r="U606" s="31">
        <f t="shared" si="189"/>
        <v>2.1249482881779969E-2</v>
      </c>
      <c r="V606" s="31">
        <f t="shared" si="190"/>
        <v>6.6404634005562527E-2</v>
      </c>
      <c r="W606" s="31">
        <f t="shared" si="191"/>
        <v>3.3390063000594123</v>
      </c>
      <c r="X606" s="73">
        <f>W606-G606</f>
        <v>-4.9098122431060665</v>
      </c>
      <c r="Y606" s="73">
        <f>(X606-P606)*-1</f>
        <v>3.4309936999405872</v>
      </c>
      <c r="Z606" s="73">
        <f>F606/U606</f>
        <v>1308267.1307656465</v>
      </c>
      <c r="AA606" s="73">
        <f>SUM(L$2:L606)-SUM(AB$2:AB606)</f>
        <v>-45392.709000000177</v>
      </c>
      <c r="AB606" s="335"/>
      <c r="AC606" s="335">
        <f>I606/E606*(1-0.0005)</f>
        <v>-6069.5125439069889</v>
      </c>
      <c r="AD606" s="335">
        <f>AC606-F606</f>
        <v>-33869.512543906989</v>
      </c>
    </row>
    <row r="607" spans="1:30" x14ac:dyDescent="0.25">
      <c r="A607" s="136">
        <v>43945</v>
      </c>
      <c r="B607" s="286"/>
      <c r="C607" s="64" t="s">
        <v>63</v>
      </c>
      <c r="D607" s="104">
        <v>400</v>
      </c>
      <c r="E607" s="104">
        <v>6.57</v>
      </c>
      <c r="F607" s="64">
        <f>IF(C607="买",F606+D607,F606-D607)</f>
        <v>28200</v>
      </c>
      <c r="G607" s="32">
        <f>H607/F607</f>
        <v>8.225182819148948</v>
      </c>
      <c r="H607" s="31">
        <f>IF(C607="买",H606+D607*E607+M607+N607,H606+-1*D607*E607+M607+N607)+O606</f>
        <v>231950.15550000031</v>
      </c>
      <c r="I607" s="31">
        <f>-H607+K607</f>
        <v>-46676.155500000314</v>
      </c>
      <c r="J607" s="277">
        <f>(E607-G607)/G607</f>
        <v>-0.20123355985420005</v>
      </c>
      <c r="K607" s="31">
        <f>F607*E607</f>
        <v>185274</v>
      </c>
      <c r="L607" s="31">
        <f>I607-I606</f>
        <v>-5565</v>
      </c>
      <c r="M607" s="31">
        <f>IF(D607*E607*2.5/10000&gt;5,D607*E607*2.5/10000,5)</f>
        <v>5</v>
      </c>
      <c r="N607" s="31">
        <f>IF(C607="卖",D607*E607/1000,0)</f>
        <v>0</v>
      </c>
      <c r="O607" s="31"/>
      <c r="P607" s="31">
        <f>E607-G607</f>
        <v>-1.6551828191489477</v>
      </c>
      <c r="Q607" s="31">
        <f>(H607-H606)*-1</f>
        <v>-2633</v>
      </c>
      <c r="R607" s="31"/>
      <c r="S607" s="31">
        <f t="shared" si="187"/>
        <v>-0.19999999999999929</v>
      </c>
      <c r="T607" s="31">
        <f t="shared" si="188"/>
        <v>400</v>
      </c>
      <c r="U607" s="31">
        <f t="shared" si="189"/>
        <v>-2.3635724016530801E-2</v>
      </c>
      <c r="V607" s="31">
        <f t="shared" si="190"/>
        <v>0.11817862008265442</v>
      </c>
      <c r="W607" s="31">
        <f t="shared" si="191"/>
        <v>2.1135586783137108</v>
      </c>
      <c r="X607" s="73">
        <f>W607-G607</f>
        <v>-6.1116241408352376</v>
      </c>
      <c r="Y607" s="73">
        <f>(X607-P607)*-1</f>
        <v>4.4564413216862899</v>
      </c>
      <c r="Z607" s="73">
        <f>F607/U607</f>
        <v>-1193109.209613251</v>
      </c>
      <c r="AA607" s="73">
        <f>SUM(L$2:L607)-SUM(AB$2:AB607)</f>
        <v>-50957.709000000177</v>
      </c>
      <c r="AB607" s="335"/>
      <c r="AC607" s="335">
        <f>I607/E607*(1-0.0005)</f>
        <v>-7100.8854523973077</v>
      </c>
      <c r="AD607" s="335">
        <f>AC607-F607</f>
        <v>-35300.885452397306</v>
      </c>
    </row>
    <row r="608" spans="1:30" s="1" customFormat="1" x14ac:dyDescent="0.25">
      <c r="A608" s="284">
        <v>43950</v>
      </c>
      <c r="B608" s="286" t="s">
        <v>811</v>
      </c>
      <c r="C608" s="64" t="s">
        <v>69</v>
      </c>
      <c r="D608" s="104">
        <v>400</v>
      </c>
      <c r="E608" s="104">
        <v>6.65</v>
      </c>
      <c r="F608" s="64">
        <f>IF(C608="买",F607+D608,F607-D608)</f>
        <v>27800</v>
      </c>
      <c r="G608" s="32">
        <f>H608/F608</f>
        <v>8.2481228597122414</v>
      </c>
      <c r="H608" s="31">
        <f>IF(C608="买",H607+D608*E608+M608+N608,H607+-1*D608*E608+M608+N608)+O607</f>
        <v>229297.81550000032</v>
      </c>
      <c r="I608" s="31">
        <f>-H608+K608</f>
        <v>-44427.815500000317</v>
      </c>
      <c r="J608" s="277">
        <f>(E608-G608)/G608</f>
        <v>-0.1937559474917904</v>
      </c>
      <c r="K608" s="31">
        <f>F608*E608</f>
        <v>184870</v>
      </c>
      <c r="L608" s="31">
        <f>I608-I607</f>
        <v>2248.3399999999965</v>
      </c>
      <c r="M608" s="31">
        <f>IF(D608*E608*2.5/10000&gt;5,D608*E608*2.5/10000,5)</f>
        <v>5</v>
      </c>
      <c r="N608" s="31">
        <f>IF(C608="卖",D608*E608/1000,0)</f>
        <v>2.66</v>
      </c>
      <c r="O608" s="31"/>
      <c r="P608" s="31">
        <f>E608-G608</f>
        <v>-1.598122859712241</v>
      </c>
      <c r="Q608" s="31">
        <f>(H608-H607)*-1</f>
        <v>2652.3399999999965</v>
      </c>
      <c r="R608" s="31"/>
      <c r="S608" s="31">
        <f t="shared" si="187"/>
        <v>8.0000000000000071E-2</v>
      </c>
      <c r="T608" s="31">
        <f t="shared" si="188"/>
        <v>-400</v>
      </c>
      <c r="U608" s="31">
        <f t="shared" si="189"/>
        <v>2.2940040563293351E-2</v>
      </c>
      <c r="V608" s="31">
        <f t="shared" si="190"/>
        <v>0.28675050704116661</v>
      </c>
      <c r="W608" s="31">
        <f t="shared" si="191"/>
        <v>0.84768166977084369</v>
      </c>
      <c r="X608" s="25">
        <f>W608-G608</f>
        <v>-7.4004411899413975</v>
      </c>
      <c r="Y608" s="25">
        <f>(X608-P608)*-1</f>
        <v>5.8023183302291566</v>
      </c>
      <c r="Z608" s="25">
        <f>F608/U608</f>
        <v>1211854.8754653526</v>
      </c>
      <c r="AA608" s="25">
        <f>SUM(L$2:L730)-SUM(AB$2:AB730)</f>
        <v>6041.6979999997129</v>
      </c>
      <c r="AB608" s="176"/>
      <c r="AC608" s="176">
        <f>I608/E608*(1-0.0005)</f>
        <v>-6677.5340740226038</v>
      </c>
      <c r="AD608" s="176">
        <f>AC608-F608</f>
        <v>-34477.534074022602</v>
      </c>
    </row>
    <row r="609" spans="1:30" s="1" customFormat="1" x14ac:dyDescent="0.25">
      <c r="A609" s="284">
        <v>43951</v>
      </c>
      <c r="B609" s="286" t="s">
        <v>813</v>
      </c>
      <c r="C609" s="64" t="s">
        <v>69</v>
      </c>
      <c r="D609" s="104">
        <v>400</v>
      </c>
      <c r="E609" s="104">
        <v>6.81</v>
      </c>
      <c r="F609" s="64">
        <f t="shared" ref="F609:F623" si="206">IF(C609="买",F608+D609,F608-D609)</f>
        <v>27400</v>
      </c>
      <c r="G609" s="32">
        <f t="shared" ref="G609:G623" si="207">H609/F609</f>
        <v>8.2693992518248294</v>
      </c>
      <c r="H609" s="31">
        <f t="shared" ref="H609:H623" si="208">IF(C609="买",H608+D609*E609+M609+N609,H608+-1*D609*E609+M609+N609)+O608</f>
        <v>226581.5395000003</v>
      </c>
      <c r="I609" s="31">
        <f t="shared" ref="I609:I623" si="209">-H609+K609</f>
        <v>-39987.539500000305</v>
      </c>
      <c r="J609" s="277">
        <f t="shared" ref="J609:J621" si="210">(E609-G609)/G609</f>
        <v>-0.1764818951633978</v>
      </c>
      <c r="K609" s="31">
        <f t="shared" ref="K609:K621" si="211">F609*E609</f>
        <v>186594</v>
      </c>
      <c r="L609" s="31">
        <f t="shared" ref="L609:L621" si="212">I609-I608</f>
        <v>4440.2760000000126</v>
      </c>
      <c r="M609" s="31">
        <f t="shared" ref="M609:M621" si="213">IF(D609*E609*2.5/10000&gt;5,D609*E609*2.5/10000,5)</f>
        <v>5</v>
      </c>
      <c r="N609" s="31">
        <f t="shared" ref="N609:N621" si="214">IF(C609="卖",D609*E609/1000,0)</f>
        <v>2.7240000000000002</v>
      </c>
      <c r="O609" s="31"/>
      <c r="P609" s="31">
        <f t="shared" ref="P609:P621" si="215">E609-G609</f>
        <v>-1.4593992518248298</v>
      </c>
      <c r="Q609" s="31">
        <f t="shared" ref="Q609:Q621" si="216">(H609-H608)*-1</f>
        <v>2716.2760000000126</v>
      </c>
      <c r="R609" s="31"/>
      <c r="S609" s="31">
        <f t="shared" si="187"/>
        <v>0.15999999999999925</v>
      </c>
      <c r="T609" s="31">
        <f t="shared" si="188"/>
        <v>-400</v>
      </c>
      <c r="U609" s="31">
        <f t="shared" si="189"/>
        <v>2.1276392112588027E-2</v>
      </c>
      <c r="V609" s="31">
        <f t="shared" si="190"/>
        <v>0.13297745070367578</v>
      </c>
      <c r="W609" s="31">
        <f t="shared" si="191"/>
        <v>1.634692498111382</v>
      </c>
      <c r="X609" s="25">
        <f t="shared" ref="X609:X621" si="217">W609-G609</f>
        <v>-6.6347067537134476</v>
      </c>
      <c r="Y609" s="25">
        <f t="shared" ref="Y609:Y621" si="218">(X609-P609)*-1</f>
        <v>5.1753075018886179</v>
      </c>
      <c r="Z609" s="25">
        <f t="shared" ref="Z609:Z621" si="219">F609/U609</f>
        <v>1287812.3252761911</v>
      </c>
      <c r="AA609" s="25">
        <f>SUM(L$2:L609)-SUM(AB$2:AB609)</f>
        <v>-44269.093000000168</v>
      </c>
      <c r="AB609" s="176"/>
      <c r="AC609" s="176">
        <f t="shared" ref="AC609:AC621" si="220">I609/E609*(1-0.0005)</f>
        <v>-5868.9494464391055</v>
      </c>
      <c r="AD609" s="176">
        <f t="shared" ref="AD609:AD621" si="221">AC609-F609</f>
        <v>-33268.949446439103</v>
      </c>
    </row>
    <row r="610" spans="1:30" s="1" customFormat="1" x14ac:dyDescent="0.25">
      <c r="A610" s="284">
        <v>43951</v>
      </c>
      <c r="B610" s="286" t="s">
        <v>815</v>
      </c>
      <c r="C610" s="64" t="s">
        <v>69</v>
      </c>
      <c r="D610" s="104">
        <v>400</v>
      </c>
      <c r="E610" s="104">
        <v>6.94</v>
      </c>
      <c r="F610" s="64">
        <f t="shared" si="206"/>
        <v>27000</v>
      </c>
      <c r="G610" s="32">
        <f t="shared" si="207"/>
        <v>8.2893820555555671</v>
      </c>
      <c r="H610" s="31">
        <f t="shared" si="208"/>
        <v>223813.31550000032</v>
      </c>
      <c r="I610" s="31">
        <f t="shared" si="209"/>
        <v>-36433.315500000317</v>
      </c>
      <c r="J610" s="277">
        <f t="shared" si="210"/>
        <v>-0.16278439653426363</v>
      </c>
      <c r="K610" s="31">
        <f t="shared" si="211"/>
        <v>187380</v>
      </c>
      <c r="L610" s="31">
        <f t="shared" si="212"/>
        <v>3554.2239999999874</v>
      </c>
      <c r="M610" s="31">
        <f t="shared" si="213"/>
        <v>5</v>
      </c>
      <c r="N610" s="31">
        <f t="shared" si="214"/>
        <v>2.7759999999999998</v>
      </c>
      <c r="O610" s="31"/>
      <c r="P610" s="31">
        <f t="shared" si="215"/>
        <v>-1.3493820555555667</v>
      </c>
      <c r="Q610" s="31">
        <f t="shared" si="216"/>
        <v>2768.2239999999874</v>
      </c>
      <c r="R610" s="31"/>
      <c r="S610" s="31">
        <f t="shared" si="187"/>
        <v>0.13000000000000078</v>
      </c>
      <c r="T610" s="31">
        <f t="shared" si="188"/>
        <v>-400</v>
      </c>
      <c r="U610" s="31">
        <f t="shared" si="189"/>
        <v>1.9982803730737686E-2</v>
      </c>
      <c r="V610" s="31">
        <f t="shared" si="190"/>
        <v>0.15371387485182744</v>
      </c>
      <c r="W610" s="31">
        <f t="shared" si="191"/>
        <v>1.2839365600471651</v>
      </c>
      <c r="X610" s="25">
        <f t="shared" si="217"/>
        <v>-7.0054454955084022</v>
      </c>
      <c r="Y610" s="25">
        <f t="shared" si="218"/>
        <v>5.6560634399528356</v>
      </c>
      <c r="Z610" s="25">
        <f t="shared" si="219"/>
        <v>1351161.7470609699</v>
      </c>
      <c r="AA610" s="25">
        <f>SUM(L$2:L610)-SUM(AB$2:AB610)</f>
        <v>-40714.869000000181</v>
      </c>
      <c r="AB610" s="176"/>
      <c r="AC610" s="176">
        <f t="shared" si="220"/>
        <v>-5247.1323980187772</v>
      </c>
      <c r="AD610" s="176">
        <f t="shared" si="221"/>
        <v>-32247.132398018777</v>
      </c>
    </row>
    <row r="611" spans="1:30" s="1" customFormat="1" x14ac:dyDescent="0.25">
      <c r="A611" s="284">
        <v>43957</v>
      </c>
      <c r="B611" s="286"/>
      <c r="C611" s="315" t="s">
        <v>814</v>
      </c>
      <c r="D611" s="104">
        <v>400</v>
      </c>
      <c r="E611" s="104">
        <v>6.66</v>
      </c>
      <c r="F611" s="64">
        <f t="shared" si="206"/>
        <v>27400</v>
      </c>
      <c r="G611" s="32">
        <f t="shared" si="207"/>
        <v>8.2657779379562157</v>
      </c>
      <c r="H611" s="31">
        <f t="shared" si="208"/>
        <v>226482.31550000032</v>
      </c>
      <c r="I611" s="31">
        <f t="shared" si="209"/>
        <v>-43998.315500000317</v>
      </c>
      <c r="J611" s="277">
        <f t="shared" si="210"/>
        <v>-0.19426821649569476</v>
      </c>
      <c r="K611" s="31">
        <f t="shared" si="211"/>
        <v>182484</v>
      </c>
      <c r="L611" s="31">
        <f t="shared" si="212"/>
        <v>-7565</v>
      </c>
      <c r="M611" s="31">
        <f t="shared" si="213"/>
        <v>5</v>
      </c>
      <c r="N611" s="31">
        <f t="shared" si="214"/>
        <v>0</v>
      </c>
      <c r="O611" s="31"/>
      <c r="P611" s="31">
        <f t="shared" si="215"/>
        <v>-1.6057779379562156</v>
      </c>
      <c r="Q611" s="31">
        <f t="shared" si="216"/>
        <v>-2669</v>
      </c>
      <c r="R611" s="31"/>
      <c r="S611" s="31">
        <f t="shared" si="187"/>
        <v>-0.28000000000000025</v>
      </c>
      <c r="T611" s="31">
        <f t="shared" si="188"/>
        <v>400</v>
      </c>
      <c r="U611" s="31">
        <f t="shared" si="189"/>
        <v>-2.3604117599351326E-2</v>
      </c>
      <c r="V611" s="31">
        <f t="shared" si="190"/>
        <v>8.4300419997683229E-2</v>
      </c>
      <c r="W611" s="31">
        <f t="shared" si="191"/>
        <v>2.8343949044585988</v>
      </c>
      <c r="X611" s="25">
        <f t="shared" si="217"/>
        <v>-5.4313830334976174</v>
      </c>
      <c r="Y611" s="25">
        <f t="shared" si="218"/>
        <v>3.8256050955414018</v>
      </c>
      <c r="Z611" s="25">
        <f t="shared" si="219"/>
        <v>-1160814.4165809862</v>
      </c>
      <c r="AA611" s="25">
        <f>SUM(L$2:L611)-SUM(AB$2:AB611)</f>
        <v>-48279.869000000181</v>
      </c>
      <c r="AB611" s="176"/>
      <c r="AC611" s="176">
        <f t="shared" si="220"/>
        <v>-6603.0505018393869</v>
      </c>
      <c r="AD611" s="176">
        <f t="shared" si="221"/>
        <v>-34003.050501839389</v>
      </c>
    </row>
    <row r="612" spans="1:30" s="1" customFormat="1" x14ac:dyDescent="0.25">
      <c r="A612" s="284">
        <v>43963</v>
      </c>
      <c r="B612" s="340" t="s">
        <v>828</v>
      </c>
      <c r="C612" s="64" t="s">
        <v>63</v>
      </c>
      <c r="D612" s="104">
        <v>500</v>
      </c>
      <c r="E612" s="104">
        <v>6.63</v>
      </c>
      <c r="F612" s="64">
        <f t="shared" si="206"/>
        <v>27900</v>
      </c>
      <c r="G612" s="32">
        <f t="shared" si="207"/>
        <v>8.2366421326164989</v>
      </c>
      <c r="H612" s="31">
        <f t="shared" si="208"/>
        <v>229802.31550000032</v>
      </c>
      <c r="I612" s="31">
        <f t="shared" si="209"/>
        <v>-44825.315500000317</v>
      </c>
      <c r="J612" s="277">
        <f t="shared" si="210"/>
        <v>-0.1950603300165627</v>
      </c>
      <c r="K612" s="31">
        <f t="shared" si="211"/>
        <v>184977</v>
      </c>
      <c r="L612" s="31">
        <f t="shared" si="212"/>
        <v>-827</v>
      </c>
      <c r="M612" s="31">
        <f t="shared" si="213"/>
        <v>5</v>
      </c>
      <c r="N612" s="31">
        <f t="shared" si="214"/>
        <v>0</v>
      </c>
      <c r="O612" s="31"/>
      <c r="P612" s="31">
        <f t="shared" si="215"/>
        <v>-1.606642132616499</v>
      </c>
      <c r="Q612" s="31">
        <f t="shared" si="216"/>
        <v>-3320</v>
      </c>
      <c r="R612" s="31"/>
      <c r="S612" s="31">
        <f t="shared" si="187"/>
        <v>-3.0000000000000249E-2</v>
      </c>
      <c r="T612" s="31">
        <f t="shared" si="188"/>
        <v>500</v>
      </c>
      <c r="U612" s="31">
        <f t="shared" si="189"/>
        <v>-2.9135805339716825E-2</v>
      </c>
      <c r="V612" s="31">
        <f t="shared" si="190"/>
        <v>0.97119351132388609</v>
      </c>
      <c r="W612" s="31">
        <f t="shared" si="191"/>
        <v>0.24909638554216867</v>
      </c>
      <c r="X612" s="25">
        <f t="shared" si="217"/>
        <v>-7.9875457470743303</v>
      </c>
      <c r="Y612" s="25">
        <f t="shared" si="218"/>
        <v>6.3809036144578313</v>
      </c>
      <c r="Z612" s="25">
        <f t="shared" si="219"/>
        <v>-957584.65141747007</v>
      </c>
      <c r="AA612" s="25">
        <f>SUM(L$2:L612)-SUM(AB$2:AB612)</f>
        <v>-49106.869000000181</v>
      </c>
      <c r="AB612" s="176"/>
      <c r="AC612" s="176">
        <f t="shared" si="220"/>
        <v>-6757.6022386501236</v>
      </c>
      <c r="AD612" s="176">
        <f t="shared" si="221"/>
        <v>-34657.602238650121</v>
      </c>
    </row>
    <row r="613" spans="1:30" s="1" customFormat="1" x14ac:dyDescent="0.25">
      <c r="A613" s="284">
        <v>43964</v>
      </c>
      <c r="B613" s="340" t="s">
        <v>828</v>
      </c>
      <c r="C613" s="64" t="s">
        <v>63</v>
      </c>
      <c r="D613" s="104">
        <v>600</v>
      </c>
      <c r="E613" s="104">
        <v>6.59</v>
      </c>
      <c r="F613" s="64">
        <f t="shared" si="206"/>
        <v>28500</v>
      </c>
      <c r="G613" s="32">
        <f t="shared" si="207"/>
        <v>8.2021514210526423</v>
      </c>
      <c r="H613" s="31">
        <f t="shared" si="208"/>
        <v>233761.31550000032</v>
      </c>
      <c r="I613" s="31">
        <f t="shared" si="209"/>
        <v>-45946.315500000317</v>
      </c>
      <c r="J613" s="277">
        <f t="shared" si="210"/>
        <v>-0.19655226272886134</v>
      </c>
      <c r="K613" s="31">
        <f t="shared" si="211"/>
        <v>187815</v>
      </c>
      <c r="L613" s="31">
        <f t="shared" si="212"/>
        <v>-1121</v>
      </c>
      <c r="M613" s="31">
        <f t="shared" si="213"/>
        <v>5</v>
      </c>
      <c r="N613" s="31">
        <f t="shared" si="214"/>
        <v>0</v>
      </c>
      <c r="O613" s="31"/>
      <c r="P613" s="31">
        <f t="shared" si="215"/>
        <v>-1.6121514210526424</v>
      </c>
      <c r="Q613" s="31">
        <f t="shared" si="216"/>
        <v>-3959</v>
      </c>
      <c r="R613" s="31"/>
      <c r="S613" s="31">
        <f t="shared" si="187"/>
        <v>-4.0000000000000036E-2</v>
      </c>
      <c r="T613" s="31">
        <f t="shared" si="188"/>
        <v>600</v>
      </c>
      <c r="U613" s="31">
        <f t="shared" si="189"/>
        <v>-3.4490711563856635E-2</v>
      </c>
      <c r="V613" s="31">
        <f t="shared" si="190"/>
        <v>0.8622677890964151</v>
      </c>
      <c r="W613" s="31">
        <f t="shared" si="191"/>
        <v>0.28315231118969436</v>
      </c>
      <c r="X613" s="25">
        <f t="shared" si="217"/>
        <v>-7.9189991098629475</v>
      </c>
      <c r="Y613" s="25">
        <f t="shared" si="218"/>
        <v>6.3068476888103051</v>
      </c>
      <c r="Z613" s="25">
        <f t="shared" si="219"/>
        <v>-826309.42383530305</v>
      </c>
      <c r="AA613" s="25">
        <f>SUM(L$2:L613)-SUM(AB$2:AB613)</f>
        <v>-50227.869000000181</v>
      </c>
      <c r="AB613" s="176"/>
      <c r="AC613" s="176">
        <f t="shared" si="220"/>
        <v>-6968.6407196130986</v>
      </c>
      <c r="AD613" s="176">
        <f t="shared" si="221"/>
        <v>-35468.640719613097</v>
      </c>
    </row>
    <row r="614" spans="1:30" s="1" customFormat="1" x14ac:dyDescent="0.25">
      <c r="A614" s="284">
        <v>43973</v>
      </c>
      <c r="B614" s="286" t="s">
        <v>819</v>
      </c>
      <c r="C614" s="315" t="s">
        <v>818</v>
      </c>
      <c r="D614" s="104">
        <v>400</v>
      </c>
      <c r="E614" s="104">
        <v>6.41</v>
      </c>
      <c r="F614" s="64">
        <f t="shared" si="206"/>
        <v>28900</v>
      </c>
      <c r="G614" s="32">
        <f t="shared" si="207"/>
        <v>8.1775195674740591</v>
      </c>
      <c r="H614" s="31">
        <f t="shared" si="208"/>
        <v>236330.31550000032</v>
      </c>
      <c r="I614" s="31">
        <f t="shared" si="209"/>
        <v>-51081.315500000317</v>
      </c>
      <c r="J614" s="277">
        <f t="shared" si="210"/>
        <v>-0.21614372828948489</v>
      </c>
      <c r="K614" s="31">
        <f t="shared" si="211"/>
        <v>185249</v>
      </c>
      <c r="L614" s="31">
        <f t="shared" si="212"/>
        <v>-5135</v>
      </c>
      <c r="M614" s="31">
        <f t="shared" si="213"/>
        <v>5</v>
      </c>
      <c r="N614" s="31">
        <f t="shared" si="214"/>
        <v>0</v>
      </c>
      <c r="O614" s="31"/>
      <c r="P614" s="31">
        <f t="shared" si="215"/>
        <v>-1.7675195674740589</v>
      </c>
      <c r="Q614" s="31">
        <f t="shared" si="216"/>
        <v>-2569</v>
      </c>
      <c r="R614" s="31"/>
      <c r="S614" s="31">
        <f t="shared" si="187"/>
        <v>-0.17999999999999972</v>
      </c>
      <c r="T614" s="31">
        <f t="shared" si="188"/>
        <v>400</v>
      </c>
      <c r="U614" s="31">
        <f t="shared" si="189"/>
        <v>-2.4631853578583218E-2</v>
      </c>
      <c r="V614" s="31">
        <f t="shared" si="190"/>
        <v>0.13684363099212921</v>
      </c>
      <c r="W614" s="31">
        <f t="shared" si="191"/>
        <v>1.9988322304398598</v>
      </c>
      <c r="X614" s="25">
        <f t="shared" si="217"/>
        <v>-6.1786873370341997</v>
      </c>
      <c r="Y614" s="25">
        <f t="shared" si="218"/>
        <v>4.4111677695601408</v>
      </c>
      <c r="Z614" s="25">
        <f t="shared" si="219"/>
        <v>-1173277.5167650327</v>
      </c>
      <c r="AA614" s="25">
        <f>SUM(L$2:L614)-SUM(AB$2:AB614)</f>
        <v>-55362.869000000181</v>
      </c>
      <c r="AB614" s="176"/>
      <c r="AC614" s="176">
        <f t="shared" si="220"/>
        <v>-7965.0194761700968</v>
      </c>
      <c r="AD614" s="176">
        <f t="shared" si="221"/>
        <v>-36865.019476170099</v>
      </c>
    </row>
    <row r="615" spans="1:30" s="1" customFormat="1" x14ac:dyDescent="0.25">
      <c r="A615" s="284">
        <v>43977</v>
      </c>
      <c r="B615" s="286" t="s">
        <v>820</v>
      </c>
      <c r="C615" s="64" t="s">
        <v>69</v>
      </c>
      <c r="D615" s="104">
        <v>400</v>
      </c>
      <c r="E615" s="104">
        <v>6.55</v>
      </c>
      <c r="F615" s="64">
        <f t="shared" si="206"/>
        <v>28500</v>
      </c>
      <c r="G615" s="32">
        <f t="shared" si="207"/>
        <v>8.2006293157894845</v>
      </c>
      <c r="H615" s="31">
        <f t="shared" si="208"/>
        <v>233717.93550000031</v>
      </c>
      <c r="I615" s="31">
        <f t="shared" si="209"/>
        <v>-47042.935500000312</v>
      </c>
      <c r="J615" s="277">
        <f t="shared" si="210"/>
        <v>-0.20128081056064373</v>
      </c>
      <c r="K615" s="31">
        <f t="shared" si="211"/>
        <v>186675</v>
      </c>
      <c r="L615" s="31">
        <f t="shared" si="212"/>
        <v>4038.3800000000047</v>
      </c>
      <c r="M615" s="31">
        <f t="shared" si="213"/>
        <v>5</v>
      </c>
      <c r="N615" s="31">
        <f t="shared" si="214"/>
        <v>2.62</v>
      </c>
      <c r="O615" s="31"/>
      <c r="P615" s="31">
        <f t="shared" si="215"/>
        <v>-1.6506293157894847</v>
      </c>
      <c r="Q615" s="31">
        <f t="shared" si="216"/>
        <v>2612.3800000000047</v>
      </c>
      <c r="R615" s="31"/>
      <c r="S615" s="31">
        <f t="shared" si="187"/>
        <v>0.13999999999999968</v>
      </c>
      <c r="T615" s="31">
        <f t="shared" si="188"/>
        <v>-400</v>
      </c>
      <c r="U615" s="31">
        <f t="shared" si="189"/>
        <v>2.3109748315425449E-2</v>
      </c>
      <c r="V615" s="31">
        <f t="shared" si="190"/>
        <v>0.16506963082446788</v>
      </c>
      <c r="W615" s="31">
        <f t="shared" si="191"/>
        <v>1.5458623936793259</v>
      </c>
      <c r="X615" s="25">
        <f t="shared" si="217"/>
        <v>-6.6547669221101584</v>
      </c>
      <c r="Y615" s="25">
        <f t="shared" si="218"/>
        <v>5.0041376063206737</v>
      </c>
      <c r="Z615" s="25">
        <f t="shared" si="219"/>
        <v>1233245.7978772807</v>
      </c>
      <c r="AA615" s="25">
        <f>SUM(L$2:L615)-SUM(AB$2:AB615)</f>
        <v>-51324.489000000176</v>
      </c>
      <c r="AB615" s="176"/>
      <c r="AC615" s="176">
        <f t="shared" si="220"/>
        <v>-7178.5364934733307</v>
      </c>
      <c r="AD615" s="176">
        <f t="shared" si="221"/>
        <v>-35678.53649347333</v>
      </c>
    </row>
    <row r="616" spans="1:30" s="1" customFormat="1" x14ac:dyDescent="0.25">
      <c r="A616" s="284">
        <v>43979</v>
      </c>
      <c r="B616" s="286" t="s">
        <v>822</v>
      </c>
      <c r="C616" s="64" t="s">
        <v>69</v>
      </c>
      <c r="D616" s="104">
        <v>600</v>
      </c>
      <c r="E616" s="104">
        <v>6.64</v>
      </c>
      <c r="F616" s="64">
        <f t="shared" si="206"/>
        <v>27900</v>
      </c>
      <c r="G616" s="32">
        <f t="shared" si="207"/>
        <v>8.2345132437276103</v>
      </c>
      <c r="H616" s="31">
        <f t="shared" si="208"/>
        <v>229742.91950000031</v>
      </c>
      <c r="I616" s="31">
        <f t="shared" si="209"/>
        <v>-44486.919500000309</v>
      </c>
      <c r="J616" s="277">
        <f t="shared" si="210"/>
        <v>-0.19363782612678199</v>
      </c>
      <c r="K616" s="31">
        <f t="shared" si="211"/>
        <v>185256</v>
      </c>
      <c r="L616" s="31">
        <f t="shared" si="212"/>
        <v>2556.0160000000033</v>
      </c>
      <c r="M616" s="31">
        <f t="shared" si="213"/>
        <v>5</v>
      </c>
      <c r="N616" s="31">
        <f t="shared" si="214"/>
        <v>3.984</v>
      </c>
      <c r="O616" s="31"/>
      <c r="P616" s="31">
        <f t="shared" si="215"/>
        <v>-1.5945132437276106</v>
      </c>
      <c r="Q616" s="31">
        <f t="shared" si="216"/>
        <v>3975.0160000000033</v>
      </c>
      <c r="R616" s="31"/>
      <c r="S616" s="31">
        <f t="shared" si="187"/>
        <v>8.9999999999999858E-2</v>
      </c>
      <c r="T616" s="31">
        <f t="shared" si="188"/>
        <v>-600</v>
      </c>
      <c r="U616" s="31">
        <f t="shared" si="189"/>
        <v>3.388392793812578E-2</v>
      </c>
      <c r="V616" s="31">
        <f t="shared" si="190"/>
        <v>0.37648808820139812</v>
      </c>
      <c r="W616" s="31">
        <f t="shared" si="191"/>
        <v>0.64302030482393058</v>
      </c>
      <c r="X616" s="25">
        <f t="shared" si="217"/>
        <v>-7.5914929389036798</v>
      </c>
      <c r="Y616" s="25">
        <f t="shared" si="218"/>
        <v>5.9969796951760692</v>
      </c>
      <c r="Z616" s="25">
        <f t="shared" si="219"/>
        <v>823399.22487579321</v>
      </c>
      <c r="AA616" s="25">
        <f>SUM(L$2:L616)-SUM(AB$2:AB616)</f>
        <v>-48768.473000000173</v>
      </c>
      <c r="AB616" s="176"/>
      <c r="AC616" s="176">
        <f t="shared" si="220"/>
        <v>-6696.4873554593842</v>
      </c>
      <c r="AD616" s="176">
        <f t="shared" si="221"/>
        <v>-34596.487355459387</v>
      </c>
    </row>
    <row r="617" spans="1:30" s="1" customFormat="1" x14ac:dyDescent="0.25">
      <c r="A617" s="284">
        <v>43984</v>
      </c>
      <c r="B617" s="286" t="s">
        <v>823</v>
      </c>
      <c r="C617" s="64" t="s">
        <v>69</v>
      </c>
      <c r="D617" s="104">
        <v>400</v>
      </c>
      <c r="E617" s="104">
        <v>6.74</v>
      </c>
      <c r="F617" s="64">
        <f t="shared" si="206"/>
        <v>27500</v>
      </c>
      <c r="G617" s="32">
        <f t="shared" si="207"/>
        <v>8.2565314727272838</v>
      </c>
      <c r="H617" s="31">
        <f t="shared" si="208"/>
        <v>227054.61550000031</v>
      </c>
      <c r="I617" s="31">
        <f t="shared" si="209"/>
        <v>-41704.615500000305</v>
      </c>
      <c r="J617" s="277">
        <f t="shared" si="210"/>
        <v>-0.18367658110874316</v>
      </c>
      <c r="K617" s="31">
        <f t="shared" si="211"/>
        <v>185350</v>
      </c>
      <c r="L617" s="31">
        <f t="shared" si="212"/>
        <v>2782.3040000000037</v>
      </c>
      <c r="M617" s="31">
        <f t="shared" si="213"/>
        <v>5</v>
      </c>
      <c r="N617" s="31">
        <f t="shared" si="214"/>
        <v>2.6960000000000002</v>
      </c>
      <c r="O617" s="31"/>
      <c r="P617" s="31">
        <f t="shared" si="215"/>
        <v>-1.5165314727272836</v>
      </c>
      <c r="Q617" s="31">
        <f t="shared" si="216"/>
        <v>2688.3040000000037</v>
      </c>
      <c r="R617" s="31"/>
      <c r="S617" s="31">
        <f t="shared" si="187"/>
        <v>0.10000000000000053</v>
      </c>
      <c r="T617" s="31">
        <f t="shared" si="188"/>
        <v>-400</v>
      </c>
      <c r="U617" s="31">
        <f t="shared" si="189"/>
        <v>2.2018228999673539E-2</v>
      </c>
      <c r="V617" s="31">
        <f t="shared" si="190"/>
        <v>0.22018228999673423</v>
      </c>
      <c r="W617" s="31">
        <f t="shared" si="191"/>
        <v>1.0349662835750719</v>
      </c>
      <c r="X617" s="25">
        <f t="shared" si="217"/>
        <v>-7.2215651891522121</v>
      </c>
      <c r="Y617" s="25">
        <f t="shared" si="218"/>
        <v>5.7050337164249285</v>
      </c>
      <c r="Z617" s="25">
        <f t="shared" si="219"/>
        <v>1248965.1188752619</v>
      </c>
      <c r="AA617" s="25">
        <f>SUM(L$2:L617)-SUM(AB$2:AB617)</f>
        <v>-45986.169000000169</v>
      </c>
      <c r="AB617" s="176"/>
      <c r="AC617" s="176">
        <f t="shared" si="220"/>
        <v>-6184.5345982567214</v>
      </c>
      <c r="AD617" s="176">
        <f t="shared" si="221"/>
        <v>-33684.534598256723</v>
      </c>
    </row>
    <row r="618" spans="1:30" s="1" customFormat="1" x14ac:dyDescent="0.25">
      <c r="A618" s="284">
        <v>43991</v>
      </c>
      <c r="B618" s="340" t="s">
        <v>828</v>
      </c>
      <c r="C618" s="64" t="s">
        <v>63</v>
      </c>
      <c r="D618" s="104">
        <v>600</v>
      </c>
      <c r="E618" s="104">
        <v>6.65</v>
      </c>
      <c r="F618" s="64">
        <f t="shared" si="206"/>
        <v>28100</v>
      </c>
      <c r="G618" s="32">
        <f t="shared" si="207"/>
        <v>8.2224062455516123</v>
      </c>
      <c r="H618" s="31">
        <f t="shared" si="208"/>
        <v>231049.61550000031</v>
      </c>
      <c r="I618" s="31">
        <f t="shared" si="209"/>
        <v>-44184.615500000305</v>
      </c>
      <c r="J618" s="277">
        <f t="shared" si="210"/>
        <v>-0.19123431737543936</v>
      </c>
      <c r="K618" s="31">
        <f t="shared" si="211"/>
        <v>186865</v>
      </c>
      <c r="L618" s="31">
        <f t="shared" si="212"/>
        <v>-2480</v>
      </c>
      <c r="M618" s="31">
        <f t="shared" si="213"/>
        <v>5</v>
      </c>
      <c r="N618" s="31">
        <f t="shared" si="214"/>
        <v>0</v>
      </c>
      <c r="O618" s="31"/>
      <c r="P618" s="31">
        <f t="shared" si="215"/>
        <v>-1.5724062455516119</v>
      </c>
      <c r="Q618" s="31">
        <f t="shared" si="216"/>
        <v>-3995</v>
      </c>
      <c r="R618" s="31"/>
      <c r="S618" s="31">
        <f t="shared" si="187"/>
        <v>-8.9999999999999858E-2</v>
      </c>
      <c r="T618" s="31">
        <f t="shared" si="188"/>
        <v>600</v>
      </c>
      <c r="U618" s="31">
        <f t="shared" si="189"/>
        <v>-3.4125227175671569E-2</v>
      </c>
      <c r="V618" s="31">
        <f t="shared" si="190"/>
        <v>0.37916919084079581</v>
      </c>
      <c r="W618" s="31">
        <f t="shared" si="191"/>
        <v>0.6207759699624531</v>
      </c>
      <c r="X618" s="25">
        <f t="shared" si="217"/>
        <v>-7.6016302755891587</v>
      </c>
      <c r="Y618" s="25">
        <f t="shared" si="218"/>
        <v>6.0292240300375468</v>
      </c>
      <c r="Z618" s="25">
        <f t="shared" si="219"/>
        <v>-823437.74168433808</v>
      </c>
      <c r="AA618" s="25">
        <f>SUM(L$2:L618)-SUM(AB$2:AB618)</f>
        <v>-48466.169000000169</v>
      </c>
      <c r="AB618" s="176"/>
      <c r="AC618" s="176">
        <f t="shared" si="220"/>
        <v>-6640.980931165459</v>
      </c>
      <c r="AD618" s="176">
        <f t="shared" si="221"/>
        <v>-34740.980931165461</v>
      </c>
    </row>
    <row r="619" spans="1:30" s="1" customFormat="1" x14ac:dyDescent="0.25">
      <c r="A619" s="284">
        <v>43993</v>
      </c>
      <c r="B619" s="286"/>
      <c r="C619" s="64" t="s">
        <v>63</v>
      </c>
      <c r="D619" s="104">
        <v>500</v>
      </c>
      <c r="E619" s="104">
        <v>6.61</v>
      </c>
      <c r="F619" s="64">
        <f t="shared" si="206"/>
        <v>28600</v>
      </c>
      <c r="G619" s="32">
        <f t="shared" si="207"/>
        <v>8.1943921503496604</v>
      </c>
      <c r="H619" s="31">
        <f t="shared" si="208"/>
        <v>234359.61550000031</v>
      </c>
      <c r="I619" s="31">
        <f t="shared" si="209"/>
        <v>-45313.615500000305</v>
      </c>
      <c r="J619" s="277">
        <f t="shared" si="210"/>
        <v>-0.19335078444861256</v>
      </c>
      <c r="K619" s="31">
        <f t="shared" si="211"/>
        <v>189046</v>
      </c>
      <c r="L619" s="31">
        <f t="shared" si="212"/>
        <v>-1129</v>
      </c>
      <c r="M619" s="31">
        <f t="shared" si="213"/>
        <v>5</v>
      </c>
      <c r="N619" s="31">
        <f t="shared" si="214"/>
        <v>0</v>
      </c>
      <c r="O619" s="31"/>
      <c r="P619" s="31">
        <f t="shared" si="215"/>
        <v>-1.5843921503496601</v>
      </c>
      <c r="Q619" s="31">
        <f t="shared" si="216"/>
        <v>-3310</v>
      </c>
      <c r="R619" s="31"/>
      <c r="S619" s="31">
        <f t="shared" si="187"/>
        <v>-4.0000000000000036E-2</v>
      </c>
      <c r="T619" s="31">
        <f t="shared" si="188"/>
        <v>500</v>
      </c>
      <c r="U619" s="31">
        <f t="shared" si="189"/>
        <v>-2.8014095201951861E-2</v>
      </c>
      <c r="V619" s="31">
        <f t="shared" si="190"/>
        <v>0.70035238004879585</v>
      </c>
      <c r="W619" s="31">
        <f t="shared" si="191"/>
        <v>0.34108761329305137</v>
      </c>
      <c r="X619" s="25">
        <f t="shared" si="217"/>
        <v>-7.8533045370566086</v>
      </c>
      <c r="Y619" s="25">
        <f t="shared" si="218"/>
        <v>6.2689123867069485</v>
      </c>
      <c r="Z619" s="25">
        <f t="shared" si="219"/>
        <v>-1020914.6429261551</v>
      </c>
      <c r="AA619" s="25">
        <f>SUM(L$2:L619)-SUM(AB$2:AB619)</f>
        <v>-49595.169000000169</v>
      </c>
      <c r="AB619" s="176"/>
      <c r="AC619" s="176">
        <f t="shared" si="220"/>
        <v>-6851.8848248487602</v>
      </c>
      <c r="AD619" s="176">
        <f t="shared" si="221"/>
        <v>-35451.884824848763</v>
      </c>
    </row>
    <row r="620" spans="1:30" s="1" customFormat="1" x14ac:dyDescent="0.25">
      <c r="A620" s="284">
        <v>43994</v>
      </c>
      <c r="B620" s="286"/>
      <c r="C620" s="315" t="s">
        <v>825</v>
      </c>
      <c r="D620" s="104">
        <v>500</v>
      </c>
      <c r="E620" s="104">
        <v>6.54</v>
      </c>
      <c r="F620" s="64">
        <f t="shared" si="206"/>
        <v>29100</v>
      </c>
      <c r="G620" s="32">
        <f t="shared" si="207"/>
        <v>8.166137989690732</v>
      </c>
      <c r="H620" s="31">
        <f t="shared" si="208"/>
        <v>237634.61550000031</v>
      </c>
      <c r="I620" s="31">
        <f t="shared" si="209"/>
        <v>-47320.615500000305</v>
      </c>
      <c r="J620" s="277">
        <f t="shared" si="210"/>
        <v>-0.19913182850248617</v>
      </c>
      <c r="K620" s="31">
        <f t="shared" si="211"/>
        <v>190314</v>
      </c>
      <c r="L620" s="31">
        <f t="shared" si="212"/>
        <v>-2007</v>
      </c>
      <c r="M620" s="31">
        <f t="shared" si="213"/>
        <v>5</v>
      </c>
      <c r="N620" s="31">
        <f t="shared" si="214"/>
        <v>0</v>
      </c>
      <c r="O620" s="31"/>
      <c r="P620" s="31">
        <f t="shared" si="215"/>
        <v>-1.626137989690732</v>
      </c>
      <c r="Q620" s="31">
        <f t="shared" si="216"/>
        <v>-3275</v>
      </c>
      <c r="R620" s="31"/>
      <c r="S620" s="31">
        <f t="shared" si="187"/>
        <v>-7.0000000000000284E-2</v>
      </c>
      <c r="T620" s="31">
        <f t="shared" si="188"/>
        <v>500</v>
      </c>
      <c r="U620" s="31">
        <f t="shared" si="189"/>
        <v>-2.8254160658928384E-2</v>
      </c>
      <c r="V620" s="31">
        <f t="shared" si="190"/>
        <v>0.40363086655611813</v>
      </c>
      <c r="W620" s="31">
        <f t="shared" si="191"/>
        <v>0.61282442748091603</v>
      </c>
      <c r="X620" s="25">
        <f t="shared" si="217"/>
        <v>-7.5533135622098158</v>
      </c>
      <c r="Y620" s="25">
        <f t="shared" si="218"/>
        <v>5.9271755725190838</v>
      </c>
      <c r="Z620" s="25">
        <f t="shared" si="219"/>
        <v>-1029936.8065214256</v>
      </c>
      <c r="AA620" s="25">
        <f>SUM(L$2:L620)-SUM(AB$2:AB620)</f>
        <v>-51602.169000000169</v>
      </c>
      <c r="AB620" s="176"/>
      <c r="AC620" s="176">
        <f t="shared" si="220"/>
        <v>-7231.9503352064685</v>
      </c>
      <c r="AD620" s="176">
        <f t="shared" si="221"/>
        <v>-36331.950335206471</v>
      </c>
    </row>
    <row r="621" spans="1:30" s="1" customFormat="1" x14ac:dyDescent="0.25">
      <c r="A621" s="284">
        <v>43998</v>
      </c>
      <c r="B621" s="286" t="s">
        <v>826</v>
      </c>
      <c r="C621" s="64" t="s">
        <v>69</v>
      </c>
      <c r="D621" s="104">
        <v>400</v>
      </c>
      <c r="E621" s="104">
        <v>6.64</v>
      </c>
      <c r="F621" s="64">
        <f t="shared" si="206"/>
        <v>28700</v>
      </c>
      <c r="G621" s="32">
        <f t="shared" si="207"/>
        <v>8.1876749651568055</v>
      </c>
      <c r="H621" s="31">
        <f t="shared" si="208"/>
        <v>234986.27150000029</v>
      </c>
      <c r="I621" s="31">
        <f t="shared" si="209"/>
        <v>-44418.271500000294</v>
      </c>
      <c r="J621" s="277">
        <f t="shared" si="210"/>
        <v>-0.18902496395411877</v>
      </c>
      <c r="K621" s="31">
        <f t="shared" si="211"/>
        <v>190568</v>
      </c>
      <c r="L621" s="31">
        <f t="shared" si="212"/>
        <v>2902.3440000000119</v>
      </c>
      <c r="M621" s="31">
        <f t="shared" si="213"/>
        <v>5</v>
      </c>
      <c r="N621" s="31">
        <f t="shared" si="214"/>
        <v>2.6560000000000001</v>
      </c>
      <c r="O621" s="31">
        <v>7987.61</v>
      </c>
      <c r="P621" s="31">
        <f t="shared" si="215"/>
        <v>-1.5476749651568058</v>
      </c>
      <c r="Q621" s="31">
        <f t="shared" si="216"/>
        <v>2648.3440000000119</v>
      </c>
      <c r="R621" s="31"/>
      <c r="S621" s="31">
        <f t="shared" si="187"/>
        <v>9.9999999999999645E-2</v>
      </c>
      <c r="T621" s="31">
        <f t="shared" si="188"/>
        <v>-400</v>
      </c>
      <c r="U621" s="31">
        <f t="shared" si="189"/>
        <v>2.1536975466073471E-2</v>
      </c>
      <c r="V621" s="31">
        <f t="shared" si="190"/>
        <v>0.21536975466073549</v>
      </c>
      <c r="W621" s="31">
        <f t="shared" si="191"/>
        <v>1.0959089906749271</v>
      </c>
      <c r="X621" s="25">
        <f t="shared" si="217"/>
        <v>-7.0917659744818788</v>
      </c>
      <c r="Y621" s="25">
        <f t="shared" si="218"/>
        <v>5.544091009325073</v>
      </c>
      <c r="Z621" s="25">
        <f t="shared" si="219"/>
        <v>1332591.9438042829</v>
      </c>
      <c r="AA621" s="25">
        <f>SUM(L$2:L730)-SUM(AB$2:AB730)</f>
        <v>6041.6979999997129</v>
      </c>
      <c r="AB621" s="176"/>
      <c r="AC621" s="176">
        <f t="shared" si="220"/>
        <v>-6686.1539705196228</v>
      </c>
      <c r="AD621" s="176">
        <f t="shared" si="221"/>
        <v>-35386.153970519619</v>
      </c>
    </row>
    <row r="622" spans="1:30" s="1" customFormat="1" x14ac:dyDescent="0.25">
      <c r="A622" s="284">
        <v>43998</v>
      </c>
      <c r="B622" s="286" t="s">
        <v>827</v>
      </c>
      <c r="C622" s="64" t="s">
        <v>69</v>
      </c>
      <c r="D622" s="104">
        <v>600</v>
      </c>
      <c r="E622" s="104">
        <v>6.68</v>
      </c>
      <c r="F622" s="64">
        <f t="shared" si="206"/>
        <v>28100</v>
      </c>
      <c r="G622" s="32">
        <f t="shared" si="207"/>
        <v>8.5044444661921812</v>
      </c>
      <c r="H622" s="31">
        <f t="shared" si="208"/>
        <v>238974.88950000028</v>
      </c>
      <c r="I622" s="31">
        <f t="shared" si="209"/>
        <v>-51266.889500000281</v>
      </c>
      <c r="J622" s="277">
        <f t="shared" ref="J622:J627" si="222">(E622-G622)/G622</f>
        <v>-0.21452835319754479</v>
      </c>
      <c r="K622" s="31">
        <f t="shared" ref="K622:K627" si="223">F622*E622</f>
        <v>187708</v>
      </c>
      <c r="L622" s="31">
        <f t="shared" ref="L622:L627" si="224">I622-I621</f>
        <v>-6848.6179999999877</v>
      </c>
      <c r="M622" s="31">
        <f t="shared" ref="M622:M627" si="225">IF(D622*E622*2.5/10000&gt;5,D622*E622*2.5/10000,5)</f>
        <v>5</v>
      </c>
      <c r="N622" s="31">
        <f t="shared" ref="N622:N627" si="226">IF(C622="卖",D622*E622/1000,0)</f>
        <v>4.008</v>
      </c>
      <c r="O622" s="31"/>
      <c r="P622" s="31">
        <f t="shared" ref="P622:P627" si="227">E622-G622</f>
        <v>-1.8244444661921815</v>
      </c>
      <c r="Q622" s="31">
        <f t="shared" ref="Q622:Q627" si="228">(H622-H621)*-1</f>
        <v>-3988.6179999999877</v>
      </c>
      <c r="R622" s="31"/>
      <c r="S622" s="31">
        <f t="shared" si="187"/>
        <v>4.0000000000000036E-2</v>
      </c>
      <c r="T622" s="31">
        <f t="shared" si="188"/>
        <v>-600</v>
      </c>
      <c r="U622" s="31">
        <f t="shared" si="189"/>
        <v>0.31676950103537571</v>
      </c>
      <c r="V622" s="31">
        <f t="shared" si="190"/>
        <v>7.9192375258843857</v>
      </c>
      <c r="W622" s="31">
        <f t="shared" si="191"/>
        <v>1.7170403382825854</v>
      </c>
      <c r="X622" s="25">
        <f t="shared" ref="X622:X627" si="229">W622-G622</f>
        <v>-6.7874041279095962</v>
      </c>
      <c r="Y622" s="25">
        <f t="shared" ref="Y622:Y627" si="230">(X622-P622)*-1</f>
        <v>4.9629596617174148</v>
      </c>
      <c r="Z622" s="25">
        <f t="shared" ref="Z622:Z627" si="231">F622/U622</f>
        <v>88708.035048051839</v>
      </c>
      <c r="AA622" s="25">
        <f>SUM(L$2:L622)-SUM(AB$2:AB622)</f>
        <v>-55548.443000000145</v>
      </c>
      <c r="AB622" s="176"/>
      <c r="AC622" s="176">
        <f t="shared" ref="AC622:AC627" si="232">I622/E622*(1-0.0005)</f>
        <v>-7670.8467148578275</v>
      </c>
      <c r="AD622" s="176">
        <f t="shared" ref="AD622:AD627" si="233">AC622-F622</f>
        <v>-35770.846714857827</v>
      </c>
    </row>
    <row r="623" spans="1:30" s="1" customFormat="1" x14ac:dyDescent="0.25">
      <c r="A623" s="284">
        <v>44013</v>
      </c>
      <c r="B623" s="286" t="s">
        <v>849</v>
      </c>
      <c r="C623" s="64" t="s">
        <v>69</v>
      </c>
      <c r="D623" s="104">
        <v>400</v>
      </c>
      <c r="E623" s="104">
        <v>6.73</v>
      </c>
      <c r="F623" s="64">
        <f t="shared" si="206"/>
        <v>27700</v>
      </c>
      <c r="G623" s="32">
        <f t="shared" si="207"/>
        <v>8.5303459025270865</v>
      </c>
      <c r="H623" s="31">
        <f t="shared" si="208"/>
        <v>236290.58150000029</v>
      </c>
      <c r="I623" s="31">
        <f t="shared" si="209"/>
        <v>-49869.581500000291</v>
      </c>
      <c r="J623" s="277">
        <f t="shared" si="222"/>
        <v>-0.21105192252447108</v>
      </c>
      <c r="K623" s="31">
        <f t="shared" si="223"/>
        <v>186421</v>
      </c>
      <c r="L623" s="31">
        <f t="shared" si="224"/>
        <v>1397.30799999999</v>
      </c>
      <c r="M623" s="31">
        <f t="shared" si="225"/>
        <v>5</v>
      </c>
      <c r="N623" s="31">
        <f t="shared" si="226"/>
        <v>2.6920000000000002</v>
      </c>
      <c r="O623" s="31"/>
      <c r="P623" s="31">
        <f t="shared" si="227"/>
        <v>-1.800345902527086</v>
      </c>
      <c r="Q623" s="31">
        <f t="shared" si="228"/>
        <v>2684.30799999999</v>
      </c>
      <c r="R623" s="31"/>
      <c r="S623" s="31">
        <f t="shared" si="187"/>
        <v>5.0000000000000711E-2</v>
      </c>
      <c r="T623" s="31">
        <f t="shared" si="188"/>
        <v>-400</v>
      </c>
      <c r="U623" s="31">
        <f t="shared" si="189"/>
        <v>2.590143633490527E-2</v>
      </c>
      <c r="V623" s="31">
        <f t="shared" si="190"/>
        <v>0.51802872669809807</v>
      </c>
      <c r="W623" s="31">
        <f t="shared" si="191"/>
        <v>0.52054682249577744</v>
      </c>
      <c r="X623" s="25">
        <f t="shared" si="229"/>
        <v>-8.0097990800313088</v>
      </c>
      <c r="Y623" s="25">
        <f t="shared" si="230"/>
        <v>6.2094531775042228</v>
      </c>
      <c r="Z623" s="25">
        <f t="shared" si="231"/>
        <v>1069438.7616902522</v>
      </c>
      <c r="AA623" s="25">
        <f>SUM(L$2:L623)-SUM(AB$2:AB623)</f>
        <v>-54151.135000000155</v>
      </c>
      <c r="AB623" s="176"/>
      <c r="AC623" s="176">
        <f t="shared" si="232"/>
        <v>-7406.3368067236679</v>
      </c>
      <c r="AD623" s="176">
        <f t="shared" si="233"/>
        <v>-35106.336806723666</v>
      </c>
    </row>
    <row r="624" spans="1:30" s="1" customFormat="1" x14ac:dyDescent="0.25">
      <c r="A624" s="284">
        <v>44013</v>
      </c>
      <c r="B624" s="286" t="s">
        <v>850</v>
      </c>
      <c r="C624" s="64" t="s">
        <v>69</v>
      </c>
      <c r="D624" s="104">
        <v>400</v>
      </c>
      <c r="E624" s="104">
        <v>6.83</v>
      </c>
      <c r="F624" s="64">
        <f t="shared" ref="F624:F644" si="234">IF(C624="买",F623+D624,F623-D624)</f>
        <v>27300</v>
      </c>
      <c r="G624" s="32">
        <f t="shared" ref="G624:G644" si="235">H624/F624</f>
        <v>8.55554261904763</v>
      </c>
      <c r="H624" s="31">
        <f t="shared" ref="H624:H644" si="236">IF(C624="买",H623+D624*E624+M624+N624,H623+-1*D624*E624+M624+N624)+O623</f>
        <v>233566.31350000028</v>
      </c>
      <c r="I624" s="31">
        <f t="shared" ref="I624:I644" si="237">-H624+K624</f>
        <v>-47107.31350000028</v>
      </c>
      <c r="J624" s="277">
        <f t="shared" si="222"/>
        <v>-0.20168710459181965</v>
      </c>
      <c r="K624" s="31">
        <f t="shared" si="223"/>
        <v>186459</v>
      </c>
      <c r="L624" s="31">
        <f t="shared" si="224"/>
        <v>2762.2680000000109</v>
      </c>
      <c r="M624" s="31">
        <f t="shared" si="225"/>
        <v>5</v>
      </c>
      <c r="N624" s="31">
        <f t="shared" si="226"/>
        <v>2.7320000000000002</v>
      </c>
      <c r="O624" s="31"/>
      <c r="P624" s="31">
        <f t="shared" si="227"/>
        <v>-1.72554261904763</v>
      </c>
      <c r="Q624" s="31">
        <f t="shared" si="228"/>
        <v>2724.2680000000109</v>
      </c>
      <c r="R624" s="31"/>
      <c r="S624" s="31">
        <f t="shared" si="187"/>
        <v>9.9999999999999645E-2</v>
      </c>
      <c r="T624" s="31">
        <f t="shared" si="188"/>
        <v>-400</v>
      </c>
      <c r="U624" s="31">
        <f t="shared" si="189"/>
        <v>2.5196716520543561E-2</v>
      </c>
      <c r="V624" s="31">
        <f t="shared" si="190"/>
        <v>0.25196716520543649</v>
      </c>
      <c r="W624" s="31">
        <f t="shared" si="191"/>
        <v>1.0139487010822723</v>
      </c>
      <c r="X624" s="25">
        <f t="shared" si="229"/>
        <v>-7.5415939179653577</v>
      </c>
      <c r="Y624" s="25">
        <f t="shared" si="230"/>
        <v>5.8160512989177278</v>
      </c>
      <c r="Z624" s="25">
        <f t="shared" si="231"/>
        <v>1083474.5065985711</v>
      </c>
      <c r="AA624" s="25">
        <f>SUM(L$2:L624)-SUM(AB$2:AB624)</f>
        <v>-51388.867000000144</v>
      </c>
      <c r="AB624" s="176"/>
      <c r="AC624" s="176">
        <f t="shared" si="232"/>
        <v>-6893.6690839312278</v>
      </c>
      <c r="AD624" s="176">
        <f t="shared" si="233"/>
        <v>-34193.669083931229</v>
      </c>
    </row>
    <row r="625" spans="1:30" s="1" customFormat="1" x14ac:dyDescent="0.25">
      <c r="A625" s="284">
        <v>44014</v>
      </c>
      <c r="B625" s="286"/>
      <c r="C625" s="64" t="s">
        <v>69</v>
      </c>
      <c r="D625" s="104">
        <v>400</v>
      </c>
      <c r="E625" s="104">
        <v>6.95</v>
      </c>
      <c r="F625" s="64">
        <f t="shared" si="234"/>
        <v>26900</v>
      </c>
      <c r="G625" s="32">
        <f t="shared" si="235"/>
        <v>8.5797060780669252</v>
      </c>
      <c r="H625" s="31">
        <f t="shared" si="236"/>
        <v>230794.09350000028</v>
      </c>
      <c r="I625" s="31">
        <f t="shared" si="237"/>
        <v>-43839.093500000279</v>
      </c>
      <c r="J625" s="277">
        <f t="shared" si="222"/>
        <v>-0.18994894035275747</v>
      </c>
      <c r="K625" s="31">
        <f t="shared" si="223"/>
        <v>186955</v>
      </c>
      <c r="L625" s="31">
        <f t="shared" si="224"/>
        <v>3268.2200000000012</v>
      </c>
      <c r="M625" s="31">
        <f t="shared" si="225"/>
        <v>5</v>
      </c>
      <c r="N625" s="31">
        <f t="shared" si="226"/>
        <v>2.78</v>
      </c>
      <c r="O625" s="31"/>
      <c r="P625" s="31">
        <f t="shared" si="227"/>
        <v>-1.629706078066925</v>
      </c>
      <c r="Q625" s="31">
        <f t="shared" si="228"/>
        <v>2772.2200000000012</v>
      </c>
      <c r="R625" s="31"/>
      <c r="S625" s="31">
        <f t="shared" si="187"/>
        <v>0.12000000000000011</v>
      </c>
      <c r="T625" s="31">
        <f t="shared" si="188"/>
        <v>-400</v>
      </c>
      <c r="U625" s="31">
        <f t="shared" si="189"/>
        <v>2.4163459019295175E-2</v>
      </c>
      <c r="V625" s="31">
        <f t="shared" si="190"/>
        <v>0.20136215849412628</v>
      </c>
      <c r="W625" s="31">
        <f t="shared" si="191"/>
        <v>1.1789179790925683</v>
      </c>
      <c r="X625" s="25">
        <f t="shared" si="229"/>
        <v>-7.4007880989743571</v>
      </c>
      <c r="Y625" s="25">
        <f t="shared" si="230"/>
        <v>5.7710820209074321</v>
      </c>
      <c r="Z625" s="25">
        <f t="shared" si="231"/>
        <v>1113251.2103718107</v>
      </c>
      <c r="AA625" s="25">
        <f>SUM(L$2:L625)-SUM(AB$2:AB625)</f>
        <v>-48120.647000000143</v>
      </c>
      <c r="AB625" s="176"/>
      <c r="AC625" s="176">
        <f t="shared" si="232"/>
        <v>-6304.6293457914071</v>
      </c>
      <c r="AD625" s="176">
        <f t="shared" si="233"/>
        <v>-33204.629345791407</v>
      </c>
    </row>
    <row r="626" spans="1:30" s="1" customFormat="1" x14ac:dyDescent="0.25">
      <c r="A626" s="284">
        <v>44015</v>
      </c>
      <c r="B626" s="286"/>
      <c r="C626" s="64" t="s">
        <v>69</v>
      </c>
      <c r="D626" s="104">
        <v>400</v>
      </c>
      <c r="E626" s="104">
        <v>7.09</v>
      </c>
      <c r="F626" s="64">
        <f t="shared" si="234"/>
        <v>26500</v>
      </c>
      <c r="G626" s="32">
        <f t="shared" si="235"/>
        <v>8.6024879056603876</v>
      </c>
      <c r="H626" s="31">
        <f t="shared" si="236"/>
        <v>227965.92950000029</v>
      </c>
      <c r="I626" s="31">
        <f t="shared" si="237"/>
        <v>-40080.929500000289</v>
      </c>
      <c r="J626" s="277">
        <f t="shared" si="222"/>
        <v>-0.17581982354955469</v>
      </c>
      <c r="K626" s="31">
        <f t="shared" si="223"/>
        <v>187885</v>
      </c>
      <c r="L626" s="31">
        <f t="shared" si="224"/>
        <v>3758.1639999999898</v>
      </c>
      <c r="M626" s="31">
        <f t="shared" si="225"/>
        <v>5</v>
      </c>
      <c r="N626" s="31">
        <f t="shared" si="226"/>
        <v>2.8359999999999999</v>
      </c>
      <c r="O626" s="31"/>
      <c r="P626" s="31">
        <f t="shared" si="227"/>
        <v>-1.5124879056603877</v>
      </c>
      <c r="Q626" s="31">
        <f t="shared" si="228"/>
        <v>2828.1639999999898</v>
      </c>
      <c r="R626" s="31"/>
      <c r="S626" s="31">
        <f t="shared" si="187"/>
        <v>0.13999999999999968</v>
      </c>
      <c r="T626" s="31">
        <f t="shared" si="188"/>
        <v>-400</v>
      </c>
      <c r="U626" s="31">
        <f t="shared" si="189"/>
        <v>2.2781827593462367E-2</v>
      </c>
      <c r="V626" s="31">
        <f t="shared" si="190"/>
        <v>0.16272733995330299</v>
      </c>
      <c r="W626" s="31">
        <f t="shared" si="191"/>
        <v>1.3288352443493388</v>
      </c>
      <c r="X626" s="25">
        <f t="shared" si="229"/>
        <v>-7.2736526613110488</v>
      </c>
      <c r="Y626" s="25">
        <f t="shared" si="230"/>
        <v>5.7611647556506611</v>
      </c>
      <c r="Z626" s="25">
        <f t="shared" si="231"/>
        <v>1163207.8195344005</v>
      </c>
      <c r="AA626" s="25">
        <f>SUM(L$2:L626)-SUM(AB$2:AB626)</f>
        <v>-44362.483000000153</v>
      </c>
      <c r="AB626" s="176"/>
      <c r="AC626" s="176">
        <f t="shared" si="232"/>
        <v>-5650.3369584274033</v>
      </c>
      <c r="AD626" s="176">
        <f t="shared" si="233"/>
        <v>-32150.336958427404</v>
      </c>
    </row>
    <row r="627" spans="1:30" s="1" customFormat="1" x14ac:dyDescent="0.25">
      <c r="A627" s="284">
        <v>44018</v>
      </c>
      <c r="B627" s="286"/>
      <c r="C627" s="64" t="s">
        <v>69</v>
      </c>
      <c r="D627" s="104">
        <v>400</v>
      </c>
      <c r="E627" s="104">
        <v>7.31</v>
      </c>
      <c r="F627" s="64">
        <f t="shared" si="234"/>
        <v>26100</v>
      </c>
      <c r="G627" s="32">
        <f t="shared" si="235"/>
        <v>8.6225997509578658</v>
      </c>
      <c r="H627" s="31">
        <f t="shared" si="236"/>
        <v>225049.85350000029</v>
      </c>
      <c r="I627" s="31">
        <f t="shared" si="237"/>
        <v>-34258.853500000288</v>
      </c>
      <c r="J627" s="277">
        <f t="shared" si="222"/>
        <v>-0.15222784181905838</v>
      </c>
      <c r="K627" s="31">
        <f t="shared" si="223"/>
        <v>190791</v>
      </c>
      <c r="L627" s="31">
        <f t="shared" si="224"/>
        <v>5822.0760000000009</v>
      </c>
      <c r="M627" s="31">
        <f t="shared" si="225"/>
        <v>5</v>
      </c>
      <c r="N627" s="31">
        <f t="shared" si="226"/>
        <v>2.9239999999999999</v>
      </c>
      <c r="O627" s="31"/>
      <c r="P627" s="31">
        <f t="shared" si="227"/>
        <v>-1.3125997509578662</v>
      </c>
      <c r="Q627" s="31">
        <f t="shared" si="228"/>
        <v>2916.0760000000009</v>
      </c>
      <c r="R627" s="31"/>
      <c r="S627" s="31">
        <f t="shared" si="187"/>
        <v>0.21999999999999975</v>
      </c>
      <c r="T627" s="31">
        <f t="shared" si="188"/>
        <v>-400</v>
      </c>
      <c r="U627" s="31">
        <f t="shared" si="189"/>
        <v>2.0111845297478226E-2</v>
      </c>
      <c r="V627" s="31">
        <f t="shared" si="190"/>
        <v>9.1417478624901127E-2</v>
      </c>
      <c r="W627" s="31">
        <f t="shared" si="191"/>
        <v>1.9965446716752235</v>
      </c>
      <c r="X627" s="25">
        <f t="shared" si="229"/>
        <v>-6.6260550792826418</v>
      </c>
      <c r="Y627" s="25">
        <f t="shared" si="230"/>
        <v>5.3134553283247756</v>
      </c>
      <c r="Z627" s="25">
        <f t="shared" si="231"/>
        <v>1297742.6791997359</v>
      </c>
      <c r="AA627" s="25">
        <f>SUM(L$2:L730)-SUM(AB$2:AB730)</f>
        <v>6041.6979999997129</v>
      </c>
      <c r="AB627" s="176"/>
      <c r="AC627" s="176">
        <f t="shared" si="232"/>
        <v>-4684.2303793776055</v>
      </c>
      <c r="AD627" s="176">
        <f t="shared" si="233"/>
        <v>-30784.230379377605</v>
      </c>
    </row>
    <row r="628" spans="1:30" s="1" customFormat="1" x14ac:dyDescent="0.25">
      <c r="A628" s="284">
        <v>44018</v>
      </c>
      <c r="B628" s="286"/>
      <c r="C628" s="64" t="s">
        <v>69</v>
      </c>
      <c r="D628" s="104">
        <v>400</v>
      </c>
      <c r="E628" s="104">
        <f>E627+0.24</f>
        <v>7.55</v>
      </c>
      <c r="F628" s="64">
        <f t="shared" si="234"/>
        <v>25700</v>
      </c>
      <c r="G628" s="32">
        <f t="shared" si="235"/>
        <v>8.6396059727626575</v>
      </c>
      <c r="H628" s="31">
        <f t="shared" si="236"/>
        <v>222037.87350000028</v>
      </c>
      <c r="I628" s="31">
        <f t="shared" si="237"/>
        <v>-28002.873500000278</v>
      </c>
      <c r="J628" s="277">
        <f t="shared" ref="J628:J647" si="238">(E628-G628)/G628</f>
        <v>-0.12611755399468039</v>
      </c>
      <c r="K628" s="31">
        <f t="shared" ref="K628:K647" si="239">F628*E628</f>
        <v>194035</v>
      </c>
      <c r="L628" s="31">
        <f t="shared" ref="L628:L647" si="240">I628-I627</f>
        <v>6255.9800000000105</v>
      </c>
      <c r="M628" s="31">
        <f t="shared" ref="M628:M647" si="241">IF(D628*E628*2.5/10000&gt;5,D628*E628*2.5/10000,5)</f>
        <v>5</v>
      </c>
      <c r="N628" s="31">
        <f t="shared" ref="N628:N647" si="242">IF(C628="卖",D628*E628/1000,0)</f>
        <v>3.02</v>
      </c>
      <c r="O628" s="31"/>
      <c r="P628" s="31">
        <f t="shared" ref="P628:P647" si="243">E628-G628</f>
        <v>-1.0896059727626577</v>
      </c>
      <c r="Q628" s="31">
        <f t="shared" ref="Q628:Q647" si="244">(H628-H627)*-1</f>
        <v>3011.9800000000105</v>
      </c>
      <c r="R628" s="31"/>
      <c r="S628" s="31">
        <f t="shared" si="187"/>
        <v>0.24000000000000021</v>
      </c>
      <c r="T628" s="31">
        <f t="shared" si="188"/>
        <v>-400</v>
      </c>
      <c r="U628" s="31">
        <f t="shared" si="189"/>
        <v>1.7006221804791721E-2</v>
      </c>
      <c r="V628" s="31">
        <f t="shared" si="190"/>
        <v>7.0859257519965441E-2</v>
      </c>
      <c r="W628" s="31">
        <f t="shared" si="191"/>
        <v>2.0770323840131701</v>
      </c>
      <c r="X628" s="25">
        <f t="shared" ref="X628:X647" si="245">W628-G628</f>
        <v>-6.5625735887494869</v>
      </c>
      <c r="Y628" s="25">
        <f t="shared" ref="Y628:Y647" si="246">(X628-P628)*-1</f>
        <v>5.4729676159868292</v>
      </c>
      <c r="Z628" s="25">
        <f t="shared" ref="Z628:Z647" si="247">F628/U628</f>
        <v>1511211.6197825137</v>
      </c>
      <c r="AA628" s="25">
        <f>SUM(L$2:L628)-SUM(AB$2:AB628)</f>
        <v>-32284.427000000142</v>
      </c>
      <c r="AB628" s="176"/>
      <c r="AC628" s="176">
        <f t="shared" ref="AC628:AC647" si="248">I628/E628*(1-0.0005)</f>
        <v>-3707.1353726159309</v>
      </c>
      <c r="AD628" s="176">
        <f t="shared" ref="AD628:AD647" si="249">AC628-F628</f>
        <v>-29407.135372615932</v>
      </c>
    </row>
    <row r="629" spans="1:30" s="1" customFormat="1" x14ac:dyDescent="0.25">
      <c r="A629" s="284">
        <v>44018</v>
      </c>
      <c r="B629" s="286"/>
      <c r="C629" s="64" t="s">
        <v>69</v>
      </c>
      <c r="D629" s="104">
        <v>400</v>
      </c>
      <c r="E629" s="104">
        <v>7.81</v>
      </c>
      <c r="F629" s="64">
        <f t="shared" si="234"/>
        <v>25300</v>
      </c>
      <c r="G629" s="32">
        <f t="shared" si="235"/>
        <v>8.6530433794466521</v>
      </c>
      <c r="H629" s="31">
        <f t="shared" si="236"/>
        <v>218921.99750000029</v>
      </c>
      <c r="I629" s="31">
        <f t="shared" si="237"/>
        <v>-21328.997500000289</v>
      </c>
      <c r="J629" s="277">
        <f t="shared" si="238"/>
        <v>-9.7427383924725428E-2</v>
      </c>
      <c r="K629" s="31">
        <f t="shared" si="239"/>
        <v>197593</v>
      </c>
      <c r="L629" s="31">
        <f t="shared" si="240"/>
        <v>6673.8759999999893</v>
      </c>
      <c r="M629" s="31">
        <f t="shared" si="241"/>
        <v>5</v>
      </c>
      <c r="N629" s="31">
        <f t="shared" si="242"/>
        <v>3.1240000000000001</v>
      </c>
      <c r="O629" s="31"/>
      <c r="P629" s="31">
        <f t="shared" si="243"/>
        <v>-0.84304337944665253</v>
      </c>
      <c r="Q629" s="31">
        <f t="shared" si="244"/>
        <v>3115.8759999999893</v>
      </c>
      <c r="R629" s="31"/>
      <c r="S629" s="31">
        <f t="shared" si="187"/>
        <v>0.25999999999999979</v>
      </c>
      <c r="T629" s="31">
        <f t="shared" si="188"/>
        <v>-400</v>
      </c>
      <c r="U629" s="31">
        <f t="shared" si="189"/>
        <v>1.3437406683994624E-2</v>
      </c>
      <c r="V629" s="31">
        <f t="shared" si="190"/>
        <v>5.1682333399979366E-2</v>
      </c>
      <c r="W629" s="31">
        <f t="shared" si="191"/>
        <v>2.1418939649716524</v>
      </c>
      <c r="X629" s="25">
        <f t="shared" si="245"/>
        <v>-6.5111494144749997</v>
      </c>
      <c r="Y629" s="25">
        <f t="shared" si="246"/>
        <v>5.6681060350283472</v>
      </c>
      <c r="Z629" s="25">
        <f t="shared" si="247"/>
        <v>1882803.7727052632</v>
      </c>
      <c r="AA629" s="25">
        <f>SUM(L$2:L629)-SUM(AB$2:AB629)</f>
        <v>-25610.551000000152</v>
      </c>
      <c r="AB629" s="176"/>
      <c r="AC629" s="176">
        <f t="shared" si="248"/>
        <v>-2729.6201025928672</v>
      </c>
      <c r="AD629" s="176">
        <f t="shared" si="249"/>
        <v>-28029.620102592868</v>
      </c>
    </row>
    <row r="630" spans="1:30" s="1" customFormat="1" x14ac:dyDescent="0.25">
      <c r="A630" s="284">
        <v>44019</v>
      </c>
      <c r="B630" s="286"/>
      <c r="C630" s="64" t="s">
        <v>69</v>
      </c>
      <c r="D630" s="104">
        <v>400</v>
      </c>
      <c r="E630" s="104">
        <v>8.2200000000000006</v>
      </c>
      <c r="F630" s="64">
        <f t="shared" si="234"/>
        <v>24900</v>
      </c>
      <c r="G630" s="32">
        <f t="shared" si="235"/>
        <v>8.6603327510040273</v>
      </c>
      <c r="H630" s="31">
        <f t="shared" si="236"/>
        <v>215642.28550000029</v>
      </c>
      <c r="I630" s="31">
        <f t="shared" si="237"/>
        <v>-10964.28550000026</v>
      </c>
      <c r="J630" s="277">
        <f t="shared" si="238"/>
        <v>-5.0844784336141952E-2</v>
      </c>
      <c r="K630" s="31">
        <f t="shared" si="239"/>
        <v>204678.00000000003</v>
      </c>
      <c r="L630" s="31">
        <f t="shared" si="240"/>
        <v>10364.712000000029</v>
      </c>
      <c r="M630" s="31">
        <f t="shared" si="241"/>
        <v>5</v>
      </c>
      <c r="N630" s="31">
        <f t="shared" si="242"/>
        <v>3.2880000000000003</v>
      </c>
      <c r="O630" s="31"/>
      <c r="P630" s="31">
        <f t="shared" si="243"/>
        <v>-0.44033275100402669</v>
      </c>
      <c r="Q630" s="31">
        <f t="shared" si="244"/>
        <v>3279.7119999999995</v>
      </c>
      <c r="R630" s="31"/>
      <c r="S630" s="31">
        <f t="shared" si="187"/>
        <v>0.41000000000000103</v>
      </c>
      <c r="T630" s="31">
        <f t="shared" si="188"/>
        <v>-400</v>
      </c>
      <c r="U630" s="31">
        <f t="shared" si="189"/>
        <v>7.2893715573751905E-3</v>
      </c>
      <c r="V630" s="31">
        <f t="shared" si="190"/>
        <v>1.7778955017988225E-2</v>
      </c>
      <c r="W630" s="31">
        <f t="shared" si="191"/>
        <v>3.160250656155184</v>
      </c>
      <c r="X630" s="25">
        <f t="shared" si="245"/>
        <v>-5.5000820948488434</v>
      </c>
      <c r="Y630" s="25">
        <f t="shared" si="246"/>
        <v>5.0597493438448167</v>
      </c>
      <c r="Z630" s="25">
        <f t="shared" si="247"/>
        <v>3415932.3343597227</v>
      </c>
      <c r="AA630" s="25">
        <f>SUM(L$2:L630)-SUM(AB$2:AB630)</f>
        <v>-15245.839000000124</v>
      </c>
      <c r="AB630" s="176"/>
      <c r="AC630" s="176">
        <f t="shared" si="248"/>
        <v>-1333.1877563564794</v>
      </c>
      <c r="AD630" s="176">
        <f t="shared" si="249"/>
        <v>-26233.187756356478</v>
      </c>
    </row>
    <row r="631" spans="1:30" s="1" customFormat="1" x14ac:dyDescent="0.25">
      <c r="A631" s="341">
        <v>44021</v>
      </c>
      <c r="B631" s="286"/>
      <c r="C631" s="64" t="s">
        <v>69</v>
      </c>
      <c r="D631" s="104">
        <v>400</v>
      </c>
      <c r="E631" s="104">
        <v>7.77</v>
      </c>
      <c r="F631" s="64">
        <f t="shared" si="234"/>
        <v>24500</v>
      </c>
      <c r="G631" s="32">
        <f t="shared" si="235"/>
        <v>8.6751997346938889</v>
      </c>
      <c r="H631" s="31">
        <f t="shared" si="236"/>
        <v>212542.3935000003</v>
      </c>
      <c r="I631" s="31">
        <f t="shared" si="237"/>
        <v>-22177.393500000297</v>
      </c>
      <c r="J631" s="277">
        <f t="shared" si="238"/>
        <v>-0.10434338832267014</v>
      </c>
      <c r="K631" s="31">
        <f t="shared" si="239"/>
        <v>190365</v>
      </c>
      <c r="L631" s="31">
        <f t="shared" si="240"/>
        <v>-11213.108000000037</v>
      </c>
      <c r="M631" s="31">
        <f t="shared" si="241"/>
        <v>5</v>
      </c>
      <c r="N631" s="31">
        <f t="shared" si="242"/>
        <v>3.1080000000000001</v>
      </c>
      <c r="O631" s="31"/>
      <c r="P631" s="31">
        <f t="shared" si="243"/>
        <v>-0.90519973469388937</v>
      </c>
      <c r="Q631" s="31">
        <f t="shared" si="244"/>
        <v>3099.8919999999925</v>
      </c>
      <c r="R631" s="31"/>
      <c r="S631" s="31">
        <f t="shared" si="187"/>
        <v>-0.45000000000000107</v>
      </c>
      <c r="T631" s="31">
        <f t="shared" si="188"/>
        <v>-400</v>
      </c>
      <c r="U631" s="31">
        <f t="shared" si="189"/>
        <v>1.4866983689861613E-2</v>
      </c>
      <c r="V631" s="31">
        <f t="shared" si="190"/>
        <v>-3.303774153302573E-2</v>
      </c>
      <c r="W631" s="31">
        <f t="shared" si="191"/>
        <v>-3.6172576334917679</v>
      </c>
      <c r="X631" s="25">
        <f t="shared" si="245"/>
        <v>-12.292457368185657</v>
      </c>
      <c r="Y631" s="25">
        <f t="shared" si="246"/>
        <v>11.387257633491767</v>
      </c>
      <c r="Z631" s="25">
        <f t="shared" si="247"/>
        <v>1647946.9212512504</v>
      </c>
      <c r="AA631" s="25">
        <f>SUM(L$2:L631)-SUM(AB$2:AB631)</f>
        <v>-26458.94700000016</v>
      </c>
      <c r="AB631" s="176"/>
      <c r="AC631" s="176">
        <f t="shared" si="248"/>
        <v>-2852.8062809845947</v>
      </c>
      <c r="AD631" s="176">
        <f t="shared" si="249"/>
        <v>-27352.806280984594</v>
      </c>
    </row>
    <row r="632" spans="1:30" s="1" customFormat="1" x14ac:dyDescent="0.25">
      <c r="A632" s="284">
        <v>44021</v>
      </c>
      <c r="B632" s="286" t="s">
        <v>862</v>
      </c>
      <c r="C632" s="64" t="s">
        <v>69</v>
      </c>
      <c r="D632" s="104">
        <v>400</v>
      </c>
      <c r="E632" s="104">
        <v>7.84</v>
      </c>
      <c r="F632" s="64">
        <f t="shared" si="234"/>
        <v>24100</v>
      </c>
      <c r="G632" s="32">
        <f t="shared" si="235"/>
        <v>8.6893995643153641</v>
      </c>
      <c r="H632" s="31">
        <f t="shared" si="236"/>
        <v>209414.5295000003</v>
      </c>
      <c r="I632" s="31">
        <f t="shared" si="237"/>
        <v>-20470.529500000295</v>
      </c>
      <c r="J632" s="277">
        <f t="shared" si="238"/>
        <v>-9.7751237934043403E-2</v>
      </c>
      <c r="K632" s="31">
        <f t="shared" si="239"/>
        <v>188944</v>
      </c>
      <c r="L632" s="31">
        <f t="shared" si="240"/>
        <v>1706.8640000000014</v>
      </c>
      <c r="M632" s="31">
        <f t="shared" si="241"/>
        <v>5</v>
      </c>
      <c r="N632" s="31">
        <f t="shared" si="242"/>
        <v>3.1360000000000001</v>
      </c>
      <c r="O632" s="31">
        <v>-7230</v>
      </c>
      <c r="P632" s="31">
        <f t="shared" si="243"/>
        <v>-0.84939956431536423</v>
      </c>
      <c r="Q632" s="31">
        <f t="shared" si="244"/>
        <v>3127.8640000000014</v>
      </c>
      <c r="R632" s="31"/>
      <c r="S632" s="31">
        <f t="shared" si="187"/>
        <v>7.0000000000000284E-2</v>
      </c>
      <c r="T632" s="31">
        <f t="shared" si="188"/>
        <v>-400</v>
      </c>
      <c r="U632" s="31">
        <f t="shared" si="189"/>
        <v>1.4199829621475146E-2</v>
      </c>
      <c r="V632" s="31">
        <f t="shared" si="190"/>
        <v>0.20285470887821555</v>
      </c>
      <c r="W632" s="31">
        <f t="shared" si="191"/>
        <v>0.54569636019980428</v>
      </c>
      <c r="X632" s="25">
        <f t="shared" si="245"/>
        <v>-8.1437032041155604</v>
      </c>
      <c r="Y632" s="25">
        <f t="shared" si="246"/>
        <v>7.2943036398001961</v>
      </c>
      <c r="Z632" s="25">
        <f t="shared" si="247"/>
        <v>1697203.4624663601</v>
      </c>
      <c r="AA632" s="25">
        <f>SUM(L$2:L632)-SUM(AB$2:AB632)</f>
        <v>-24752.083000000159</v>
      </c>
      <c r="AB632" s="176"/>
      <c r="AC632" s="176">
        <f t="shared" si="248"/>
        <v>-2609.7314075574354</v>
      </c>
      <c r="AD632" s="176">
        <f t="shared" si="249"/>
        <v>-26709.731407557436</v>
      </c>
    </row>
    <row r="633" spans="1:30" s="1" customFormat="1" x14ac:dyDescent="0.25">
      <c r="A633" s="284">
        <v>44022</v>
      </c>
      <c r="B633" s="286" t="s">
        <v>840</v>
      </c>
      <c r="C633" s="315" t="s">
        <v>834</v>
      </c>
      <c r="D633" s="104">
        <v>400</v>
      </c>
      <c r="E633" s="104">
        <v>7.46</v>
      </c>
      <c r="F633" s="64">
        <f t="shared" si="234"/>
        <v>24500</v>
      </c>
      <c r="G633" s="32">
        <f t="shared" si="235"/>
        <v>8.3744297755102153</v>
      </c>
      <c r="H633" s="31">
        <f t="shared" si="236"/>
        <v>205173.5295000003</v>
      </c>
      <c r="I633" s="31">
        <f t="shared" si="237"/>
        <v>-22403.529500000295</v>
      </c>
      <c r="J633" s="277">
        <f t="shared" si="238"/>
        <v>-0.10919307941232373</v>
      </c>
      <c r="K633" s="31">
        <f t="shared" si="239"/>
        <v>182770</v>
      </c>
      <c r="L633" s="31">
        <f t="shared" si="240"/>
        <v>-1933</v>
      </c>
      <c r="M633" s="31">
        <f t="shared" si="241"/>
        <v>5</v>
      </c>
      <c r="N633" s="31">
        <f t="shared" si="242"/>
        <v>0</v>
      </c>
      <c r="O633" s="31"/>
      <c r="P633" s="31">
        <f t="shared" si="243"/>
        <v>-0.91442977551021531</v>
      </c>
      <c r="Q633" s="31">
        <f t="shared" si="244"/>
        <v>4241</v>
      </c>
      <c r="R633" s="31"/>
      <c r="S633" s="31">
        <f t="shared" si="187"/>
        <v>-0.37999999999999989</v>
      </c>
      <c r="T633" s="31">
        <f t="shared" si="188"/>
        <v>400</v>
      </c>
      <c r="U633" s="31">
        <f t="shared" si="189"/>
        <v>-0.31496978880514881</v>
      </c>
      <c r="V633" s="31">
        <f t="shared" si="190"/>
        <v>0.82886786527670764</v>
      </c>
      <c r="W633" s="31">
        <f t="shared" si="191"/>
        <v>-0.45578872907333179</v>
      </c>
      <c r="X633" s="25">
        <f t="shared" si="245"/>
        <v>-8.8302185045835468</v>
      </c>
      <c r="Y633" s="25">
        <f t="shared" si="246"/>
        <v>7.9157887290733315</v>
      </c>
      <c r="Z633" s="25">
        <f t="shared" si="247"/>
        <v>-77785.238047565712</v>
      </c>
      <c r="AA633" s="25">
        <f>SUM(L$2:L633)-SUM(AB$2:AB633)</f>
        <v>-26685.083000000159</v>
      </c>
      <c r="AB633" s="176"/>
      <c r="AC633" s="176">
        <f t="shared" si="248"/>
        <v>-3001.6525114276533</v>
      </c>
      <c r="AD633" s="176">
        <f t="shared" si="249"/>
        <v>-27501.652511427652</v>
      </c>
    </row>
    <row r="634" spans="1:30" s="1" customFormat="1" x14ac:dyDescent="0.25">
      <c r="A634" s="284">
        <v>44025</v>
      </c>
      <c r="B634" s="286"/>
      <c r="C634" s="64" t="s">
        <v>69</v>
      </c>
      <c r="D634" s="104">
        <v>4500</v>
      </c>
      <c r="E634" s="104">
        <v>7.48</v>
      </c>
      <c r="F634" s="64">
        <f t="shared" si="234"/>
        <v>20000</v>
      </c>
      <c r="G634" s="32">
        <f t="shared" si="235"/>
        <v>8.5777802250000157</v>
      </c>
      <c r="H634" s="31">
        <f t="shared" si="236"/>
        <v>171555.60450000031</v>
      </c>
      <c r="I634" s="31">
        <f t="shared" si="237"/>
        <v>-21955.604500000307</v>
      </c>
      <c r="J634" s="277">
        <f t="shared" si="238"/>
        <v>-0.12797952339703519</v>
      </c>
      <c r="K634" s="31">
        <f t="shared" si="239"/>
        <v>149600</v>
      </c>
      <c r="L634" s="31">
        <f t="shared" si="240"/>
        <v>447.92499999998836</v>
      </c>
      <c r="M634" s="31">
        <f t="shared" si="241"/>
        <v>8.4149999999999991</v>
      </c>
      <c r="N634" s="31">
        <f t="shared" si="242"/>
        <v>33.659999999999997</v>
      </c>
      <c r="O634" s="31"/>
      <c r="P634" s="31">
        <f t="shared" si="243"/>
        <v>-1.0977802250000153</v>
      </c>
      <c r="Q634" s="31">
        <f t="shared" si="244"/>
        <v>33617.924999999988</v>
      </c>
      <c r="R634" s="31"/>
      <c r="S634" s="31">
        <f t="shared" si="187"/>
        <v>2.0000000000000462E-2</v>
      </c>
      <c r="T634" s="31">
        <f t="shared" si="188"/>
        <v>-4500</v>
      </c>
      <c r="U634" s="31">
        <f t="shared" si="189"/>
        <v>0.20335044948980041</v>
      </c>
      <c r="V634" s="31">
        <f t="shared" si="190"/>
        <v>10.167522474489786</v>
      </c>
      <c r="W634" s="31">
        <f t="shared" si="191"/>
        <v>1.3323993078097132E-2</v>
      </c>
      <c r="X634" s="25">
        <f t="shared" si="245"/>
        <v>-8.564456231921918</v>
      </c>
      <c r="Y634" s="25">
        <f t="shared" si="246"/>
        <v>7.4666760069219027</v>
      </c>
      <c r="Z634" s="25">
        <f t="shared" si="247"/>
        <v>98352.376649175552</v>
      </c>
      <c r="AA634" s="25">
        <f>SUM(L$2:L634)-SUM(AB$2:AB634)</f>
        <v>-26237.15800000017</v>
      </c>
      <c r="AB634" s="176"/>
      <c r="AC634" s="176">
        <f t="shared" si="248"/>
        <v>-2933.773622693891</v>
      </c>
      <c r="AD634" s="176">
        <f t="shared" si="249"/>
        <v>-22933.773622693891</v>
      </c>
    </row>
    <row r="635" spans="1:30" s="1" customFormat="1" x14ac:dyDescent="0.25">
      <c r="A635" s="284">
        <v>44026</v>
      </c>
      <c r="B635" s="286" t="s">
        <v>855</v>
      </c>
      <c r="C635" s="315" t="s">
        <v>854</v>
      </c>
      <c r="D635" s="104">
        <v>400</v>
      </c>
      <c r="E635" s="104">
        <v>7.37</v>
      </c>
      <c r="F635" s="64">
        <f t="shared" si="234"/>
        <v>20400</v>
      </c>
      <c r="G635" s="32">
        <f t="shared" si="235"/>
        <v>8.5543433578431518</v>
      </c>
      <c r="H635" s="31">
        <f t="shared" si="236"/>
        <v>174508.60450000031</v>
      </c>
      <c r="I635" s="31">
        <f t="shared" si="237"/>
        <v>-24160.604500000307</v>
      </c>
      <c r="J635" s="277">
        <f t="shared" si="238"/>
        <v>-0.13844935938388214</v>
      </c>
      <c r="K635" s="31">
        <f t="shared" si="239"/>
        <v>150348</v>
      </c>
      <c r="L635" s="31">
        <f t="shared" si="240"/>
        <v>-2205</v>
      </c>
      <c r="M635" s="31">
        <f t="shared" si="241"/>
        <v>5</v>
      </c>
      <c r="N635" s="31">
        <f t="shared" si="242"/>
        <v>0</v>
      </c>
      <c r="O635" s="31"/>
      <c r="P635" s="31">
        <f t="shared" si="243"/>
        <v>-1.1843433578431517</v>
      </c>
      <c r="Q635" s="31">
        <f t="shared" si="244"/>
        <v>-2953</v>
      </c>
      <c r="R635" s="31"/>
      <c r="S635" s="31">
        <f t="shared" si="187"/>
        <v>-0.11000000000000032</v>
      </c>
      <c r="T635" s="31">
        <f t="shared" si="188"/>
        <v>400</v>
      </c>
      <c r="U635" s="31">
        <f t="shared" si="189"/>
        <v>-2.3436867156863883E-2</v>
      </c>
      <c r="V635" s="31">
        <f t="shared" si="190"/>
        <v>0.21306242869876196</v>
      </c>
      <c r="W635" s="31">
        <f t="shared" si="191"/>
        <v>0.74669827294277002</v>
      </c>
      <c r="X635" s="25">
        <f t="shared" si="245"/>
        <v>-7.8076450849003818</v>
      </c>
      <c r="Y635" s="25">
        <f t="shared" si="246"/>
        <v>6.6233017270572301</v>
      </c>
      <c r="Z635" s="25">
        <f t="shared" si="247"/>
        <v>-870423.50257233565</v>
      </c>
      <c r="AA635" s="25">
        <f>SUM(L$2:L635)-SUM(AB$2:AB635)</f>
        <v>-28442.15800000017</v>
      </c>
      <c r="AB635" s="176"/>
      <c r="AC635" s="176">
        <f t="shared" si="248"/>
        <v>-3276.5975844980062</v>
      </c>
      <c r="AD635" s="176">
        <f t="shared" si="249"/>
        <v>-23676.597584498006</v>
      </c>
    </row>
    <row r="636" spans="1:30" s="1" customFormat="1" x14ac:dyDescent="0.25">
      <c r="A636" s="284">
        <v>44027</v>
      </c>
      <c r="B636" s="286" t="s">
        <v>858</v>
      </c>
      <c r="C636" s="315" t="s">
        <v>857</v>
      </c>
      <c r="D636" s="104">
        <v>400</v>
      </c>
      <c r="E636" s="104">
        <v>7.25</v>
      </c>
      <c r="F636" s="64">
        <f t="shared" si="234"/>
        <v>20800</v>
      </c>
      <c r="G636" s="32">
        <f t="shared" si="235"/>
        <v>8.5295002163461682</v>
      </c>
      <c r="H636" s="31">
        <f t="shared" si="236"/>
        <v>177413.60450000031</v>
      </c>
      <c r="I636" s="31">
        <f t="shared" si="237"/>
        <v>-26613.604500000307</v>
      </c>
      <c r="J636" s="277">
        <f t="shared" si="238"/>
        <v>-0.15000881457205417</v>
      </c>
      <c r="K636" s="31">
        <f t="shared" si="239"/>
        <v>150800</v>
      </c>
      <c r="L636" s="31">
        <f t="shared" si="240"/>
        <v>-2453</v>
      </c>
      <c r="M636" s="31">
        <f t="shared" si="241"/>
        <v>5</v>
      </c>
      <c r="N636" s="31">
        <f t="shared" si="242"/>
        <v>0</v>
      </c>
      <c r="O636" s="31"/>
      <c r="P636" s="31">
        <f t="shared" si="243"/>
        <v>-1.2795002163461682</v>
      </c>
      <c r="Q636" s="31">
        <f t="shared" si="244"/>
        <v>-2905</v>
      </c>
      <c r="R636" s="31"/>
      <c r="S636" s="31">
        <f t="shared" si="187"/>
        <v>-0.12000000000000011</v>
      </c>
      <c r="T636" s="31">
        <f t="shared" si="188"/>
        <v>400</v>
      </c>
      <c r="U636" s="31">
        <f t="shared" si="189"/>
        <v>-2.4843141496983634E-2</v>
      </c>
      <c r="V636" s="31">
        <f t="shared" si="190"/>
        <v>0.2070261791415301</v>
      </c>
      <c r="W636" s="31">
        <f t="shared" si="191"/>
        <v>0.84440619621342516</v>
      </c>
      <c r="X636" s="25">
        <f t="shared" si="245"/>
        <v>-7.6850940201327429</v>
      </c>
      <c r="Y636" s="25">
        <f t="shared" si="246"/>
        <v>6.4055938037865747</v>
      </c>
      <c r="Z636" s="25">
        <f t="shared" si="247"/>
        <v>-837253.21141553146</v>
      </c>
      <c r="AA636" s="25">
        <f>SUM(L$2:L636)-SUM(AB$2:AB636)</f>
        <v>-30895.15800000017</v>
      </c>
      <c r="AB636" s="176"/>
      <c r="AC636" s="176">
        <f t="shared" si="248"/>
        <v>-3669.0065790000426</v>
      </c>
      <c r="AD636" s="176">
        <f t="shared" si="249"/>
        <v>-24469.006579000044</v>
      </c>
    </row>
    <row r="637" spans="1:30" s="1" customFormat="1" x14ac:dyDescent="0.25">
      <c r="A637" s="284">
        <v>44027</v>
      </c>
      <c r="B637" s="286" t="s">
        <v>859</v>
      </c>
      <c r="C637" s="315" t="s">
        <v>857</v>
      </c>
      <c r="D637" s="104">
        <v>400</v>
      </c>
      <c r="E637" s="104">
        <v>7.16</v>
      </c>
      <c r="F637" s="64">
        <f t="shared" si="234"/>
        <v>21200</v>
      </c>
      <c r="G637" s="32">
        <f t="shared" si="235"/>
        <v>8.5038964386792593</v>
      </c>
      <c r="H637" s="31">
        <f t="shared" si="236"/>
        <v>180282.60450000031</v>
      </c>
      <c r="I637" s="31">
        <f t="shared" si="237"/>
        <v>-28490.604500000307</v>
      </c>
      <c r="J637" s="277">
        <f t="shared" si="238"/>
        <v>-0.15803302031838712</v>
      </c>
      <c r="K637" s="31">
        <f t="shared" si="239"/>
        <v>151792</v>
      </c>
      <c r="L637" s="31">
        <f t="shared" si="240"/>
        <v>-1877</v>
      </c>
      <c r="M637" s="31">
        <f t="shared" si="241"/>
        <v>5</v>
      </c>
      <c r="N637" s="31">
        <f t="shared" si="242"/>
        <v>0</v>
      </c>
      <c r="O637" s="31"/>
      <c r="P637" s="31">
        <f t="shared" si="243"/>
        <v>-1.3438964386792591</v>
      </c>
      <c r="Q637" s="31">
        <f t="shared" si="244"/>
        <v>-2869</v>
      </c>
      <c r="R637" s="31"/>
      <c r="S637" s="31">
        <f t="shared" si="187"/>
        <v>-8.9999999999999858E-2</v>
      </c>
      <c r="T637" s="31">
        <f t="shared" si="188"/>
        <v>400</v>
      </c>
      <c r="U637" s="31">
        <f t="shared" si="189"/>
        <v>-2.5603777666908911E-2</v>
      </c>
      <c r="V637" s="31">
        <f t="shared" si="190"/>
        <v>0.28448641852121059</v>
      </c>
      <c r="W637" s="31">
        <f t="shared" si="191"/>
        <v>0.6542349250609969</v>
      </c>
      <c r="X637" s="25">
        <f t="shared" si="245"/>
        <v>-7.8496615136182619</v>
      </c>
      <c r="Y637" s="25">
        <f t="shared" si="246"/>
        <v>6.5057650749390028</v>
      </c>
      <c r="Z637" s="25">
        <f t="shared" si="247"/>
        <v>-828002.81567042018</v>
      </c>
      <c r="AA637" s="25">
        <f>SUM(L$2:L637)-SUM(AB$2:AB637)</f>
        <v>-32772.15800000017</v>
      </c>
      <c r="AB637" s="176"/>
      <c r="AC637" s="176">
        <f t="shared" si="248"/>
        <v>-3977.1451393506013</v>
      </c>
      <c r="AD637" s="176">
        <f t="shared" si="249"/>
        <v>-25177.145139350599</v>
      </c>
    </row>
    <row r="638" spans="1:30" s="1" customFormat="1" x14ac:dyDescent="0.25">
      <c r="A638" s="284">
        <v>44028</v>
      </c>
      <c r="B638" s="286" t="s">
        <v>860</v>
      </c>
      <c r="C638" s="315" t="s">
        <v>857</v>
      </c>
      <c r="D638" s="104">
        <v>400</v>
      </c>
      <c r="E638" s="104">
        <v>7.03</v>
      </c>
      <c r="F638" s="64">
        <f t="shared" si="234"/>
        <v>21600</v>
      </c>
      <c r="G638" s="32">
        <f t="shared" si="235"/>
        <v>8.4768335416666805</v>
      </c>
      <c r="H638" s="31">
        <f t="shared" si="236"/>
        <v>183099.60450000031</v>
      </c>
      <c r="I638" s="31">
        <f t="shared" si="237"/>
        <v>-31251.604500000307</v>
      </c>
      <c r="J638" s="277">
        <f t="shared" si="238"/>
        <v>-0.17068089570887218</v>
      </c>
      <c r="K638" s="31">
        <f t="shared" si="239"/>
        <v>151848</v>
      </c>
      <c r="L638" s="31">
        <f t="shared" si="240"/>
        <v>-2761</v>
      </c>
      <c r="M638" s="31">
        <f t="shared" si="241"/>
        <v>5</v>
      </c>
      <c r="N638" s="31">
        <f t="shared" si="242"/>
        <v>0</v>
      </c>
      <c r="O638" s="31"/>
      <c r="P638" s="31">
        <f t="shared" si="243"/>
        <v>-1.4468335416666802</v>
      </c>
      <c r="Q638" s="31">
        <f t="shared" si="244"/>
        <v>-2817</v>
      </c>
      <c r="R638" s="31"/>
      <c r="S638" s="31">
        <f t="shared" si="187"/>
        <v>-0.12999999999999989</v>
      </c>
      <c r="T638" s="31">
        <f t="shared" si="188"/>
        <v>400</v>
      </c>
      <c r="U638" s="31">
        <f t="shared" si="189"/>
        <v>-2.7062897012578802E-2</v>
      </c>
      <c r="V638" s="31">
        <f t="shared" si="190"/>
        <v>0.20817613086599096</v>
      </c>
      <c r="W638" s="31">
        <f t="shared" si="191"/>
        <v>0.98012069577564787</v>
      </c>
      <c r="X638" s="25">
        <f t="shared" si="245"/>
        <v>-7.4967128458910324</v>
      </c>
      <c r="Y638" s="25">
        <f t="shared" si="246"/>
        <v>6.0498793042243522</v>
      </c>
      <c r="Z638" s="25">
        <f t="shared" si="247"/>
        <v>-798140.71604973951</v>
      </c>
      <c r="AA638" s="25">
        <f>SUM(L$2:L638)-SUM(AB$2:AB638)</f>
        <v>-35533.15800000017</v>
      </c>
      <c r="AB638" s="176"/>
      <c r="AC638" s="176">
        <f t="shared" si="248"/>
        <v>-4443.2402130512528</v>
      </c>
      <c r="AD638" s="176">
        <f t="shared" si="249"/>
        <v>-26043.240213051253</v>
      </c>
    </row>
    <row r="639" spans="1:30" s="1" customFormat="1" x14ac:dyDescent="0.25">
      <c r="A639" s="284">
        <v>44029</v>
      </c>
      <c r="B639" s="286" t="s">
        <v>861</v>
      </c>
      <c r="C639" s="315" t="s">
        <v>857</v>
      </c>
      <c r="D639" s="104">
        <v>400</v>
      </c>
      <c r="E639" s="104">
        <v>6.96</v>
      </c>
      <c r="F639" s="64">
        <f t="shared" si="234"/>
        <v>22000</v>
      </c>
      <c r="G639" s="32">
        <f t="shared" si="235"/>
        <v>8.4494820227272864</v>
      </c>
      <c r="H639" s="31">
        <f t="shared" si="236"/>
        <v>185888.60450000031</v>
      </c>
      <c r="I639" s="31">
        <f t="shared" si="237"/>
        <v>-32768.604500000307</v>
      </c>
      <c r="J639" s="277">
        <f t="shared" si="238"/>
        <v>-0.17628086771720453</v>
      </c>
      <c r="K639" s="31">
        <f t="shared" si="239"/>
        <v>153120</v>
      </c>
      <c r="L639" s="31">
        <f t="shared" si="240"/>
        <v>-1517</v>
      </c>
      <c r="M639" s="31">
        <f t="shared" si="241"/>
        <v>5</v>
      </c>
      <c r="N639" s="31">
        <f t="shared" si="242"/>
        <v>0</v>
      </c>
      <c r="O639" s="31"/>
      <c r="P639" s="31">
        <f t="shared" si="243"/>
        <v>-1.4894820227272865</v>
      </c>
      <c r="Q639" s="31">
        <f t="shared" si="244"/>
        <v>-2789</v>
      </c>
      <c r="R639" s="31"/>
      <c r="S639" s="31">
        <f t="shared" si="187"/>
        <v>-7.0000000000000284E-2</v>
      </c>
      <c r="T639" s="31">
        <f t="shared" si="188"/>
        <v>400</v>
      </c>
      <c r="U639" s="31">
        <f t="shared" si="189"/>
        <v>-2.7351518939394026E-2</v>
      </c>
      <c r="V639" s="31">
        <f t="shared" si="190"/>
        <v>0.39073598484848449</v>
      </c>
      <c r="W639" s="31">
        <f t="shared" si="191"/>
        <v>0.54392255288633917</v>
      </c>
      <c r="X639" s="25">
        <f t="shared" si="245"/>
        <v>-7.9055594698409468</v>
      </c>
      <c r="Y639" s="25">
        <f t="shared" si="246"/>
        <v>6.4160774471136603</v>
      </c>
      <c r="Z639" s="25">
        <f t="shared" si="247"/>
        <v>-804342.89769237256</v>
      </c>
      <c r="AA639" s="25">
        <f>SUM(L$2:L639)-SUM(AB$2:AB639)</f>
        <v>-37050.15800000017</v>
      </c>
      <c r="AB639" s="176"/>
      <c r="AC639" s="176">
        <f t="shared" si="248"/>
        <v>-4705.7787640445849</v>
      </c>
      <c r="AD639" s="176">
        <f t="shared" si="249"/>
        <v>-26705.778764044586</v>
      </c>
    </row>
    <row r="640" spans="1:30" s="1" customFormat="1" x14ac:dyDescent="0.25">
      <c r="A640" s="284">
        <v>44032</v>
      </c>
      <c r="B640" s="286"/>
      <c r="C640" s="315" t="s">
        <v>867</v>
      </c>
      <c r="D640" s="104">
        <v>400</v>
      </c>
      <c r="E640" s="104">
        <v>7.1</v>
      </c>
      <c r="F640" s="64">
        <f t="shared" si="234"/>
        <v>21600</v>
      </c>
      <c r="G640" s="32">
        <f t="shared" si="235"/>
        <v>8.4748353935185321</v>
      </c>
      <c r="H640" s="31">
        <f t="shared" si="236"/>
        <v>183056.4445000003</v>
      </c>
      <c r="I640" s="31">
        <f t="shared" si="237"/>
        <v>-29696.444500000303</v>
      </c>
      <c r="J640" s="277">
        <f t="shared" si="238"/>
        <v>-0.16222561615414885</v>
      </c>
      <c r="K640" s="31">
        <f t="shared" si="239"/>
        <v>153360</v>
      </c>
      <c r="L640" s="31">
        <f t="shared" si="240"/>
        <v>3072.1600000000035</v>
      </c>
      <c r="M640" s="31">
        <f t="shared" si="241"/>
        <v>5</v>
      </c>
      <c r="N640" s="31">
        <f t="shared" si="242"/>
        <v>2.84</v>
      </c>
      <c r="O640" s="31"/>
      <c r="P640" s="31">
        <f t="shared" si="243"/>
        <v>-1.3748353935185325</v>
      </c>
      <c r="Q640" s="31">
        <f t="shared" si="244"/>
        <v>2832.1600000000035</v>
      </c>
      <c r="R640" s="31"/>
      <c r="S640" s="31">
        <f t="shared" si="187"/>
        <v>0.13999999999999968</v>
      </c>
      <c r="T640" s="31">
        <f t="shared" si="188"/>
        <v>-400</v>
      </c>
      <c r="U640" s="31">
        <f t="shared" si="189"/>
        <v>2.5353370791245666E-2</v>
      </c>
      <c r="V640" s="31">
        <f t="shared" si="190"/>
        <v>0.18109550565175517</v>
      </c>
      <c r="W640" s="31">
        <f t="shared" si="191"/>
        <v>1.0847409750861532</v>
      </c>
      <c r="X640" s="25">
        <f t="shared" si="245"/>
        <v>-7.3900944184323789</v>
      </c>
      <c r="Y640" s="25">
        <f t="shared" si="246"/>
        <v>6.0152590249138465</v>
      </c>
      <c r="Z640" s="25">
        <f t="shared" si="247"/>
        <v>851957.72104032501</v>
      </c>
      <c r="AA640" s="25">
        <f>SUM(L$2:L640)-SUM(AB$2:AB640)</f>
        <v>-33977.998000000167</v>
      </c>
      <c r="AB640" s="176"/>
      <c r="AC640" s="176">
        <f t="shared" si="248"/>
        <v>-4180.5065179930007</v>
      </c>
      <c r="AD640" s="176">
        <f t="shared" si="249"/>
        <v>-25780.506517993002</v>
      </c>
    </row>
    <row r="641" spans="1:30" s="1" customFormat="1" x14ac:dyDescent="0.25">
      <c r="A641" s="284">
        <v>44033</v>
      </c>
      <c r="B641" s="286"/>
      <c r="C641" s="315" t="s">
        <v>69</v>
      </c>
      <c r="D641" s="104">
        <v>400</v>
      </c>
      <c r="E641" s="104">
        <v>7.17</v>
      </c>
      <c r="F641" s="64">
        <f t="shared" si="234"/>
        <v>21200</v>
      </c>
      <c r="G641" s="32">
        <f t="shared" si="235"/>
        <v>8.4998260613207677</v>
      </c>
      <c r="H641" s="31">
        <f t="shared" si="236"/>
        <v>180196.31250000029</v>
      </c>
      <c r="I641" s="31">
        <f t="shared" si="237"/>
        <v>-28192.312500000291</v>
      </c>
      <c r="J641" s="277">
        <f t="shared" si="238"/>
        <v>-0.15645332642420323</v>
      </c>
      <c r="K641" s="31">
        <f t="shared" si="239"/>
        <v>152004</v>
      </c>
      <c r="L641" s="31">
        <f t="shared" si="240"/>
        <v>1504.1320000000123</v>
      </c>
      <c r="M641" s="31">
        <f t="shared" si="241"/>
        <v>5</v>
      </c>
      <c r="N641" s="31">
        <f t="shared" si="242"/>
        <v>2.8679999999999999</v>
      </c>
      <c r="O641" s="31"/>
      <c r="P641" s="31">
        <f t="shared" si="243"/>
        <v>-1.3298260613207677</v>
      </c>
      <c r="Q641" s="31">
        <f t="shared" si="244"/>
        <v>2860.1320000000123</v>
      </c>
      <c r="R641" s="31"/>
      <c r="S641" s="31">
        <f t="shared" si="187"/>
        <v>7.0000000000000284E-2</v>
      </c>
      <c r="T641" s="31">
        <f t="shared" si="188"/>
        <v>-400</v>
      </c>
      <c r="U641" s="31">
        <f t="shared" si="189"/>
        <v>2.4990667802235578E-2</v>
      </c>
      <c r="V641" s="31">
        <f t="shared" si="190"/>
        <v>0.35700954003193536</v>
      </c>
      <c r="W641" s="31">
        <f t="shared" si="191"/>
        <v>0.52589600759685418</v>
      </c>
      <c r="X641" s="25">
        <f t="shared" si="245"/>
        <v>-7.9739300537239135</v>
      </c>
      <c r="Y641" s="25">
        <f t="shared" si="246"/>
        <v>6.6441039924031458</v>
      </c>
      <c r="Z641" s="25">
        <f t="shared" si="247"/>
        <v>848316.6663558915</v>
      </c>
      <c r="AA641" s="25">
        <f>SUM(L$2:L641)-SUM(AB$2:AB641)</f>
        <v>-32473.866000000155</v>
      </c>
      <c r="AB641" s="176"/>
      <c r="AC641" s="176">
        <f t="shared" si="248"/>
        <v>-3930.0162264644759</v>
      </c>
      <c r="AD641" s="176">
        <f t="shared" si="249"/>
        <v>-25130.016226464475</v>
      </c>
    </row>
    <row r="642" spans="1:30" s="1" customFormat="1" x14ac:dyDescent="0.25">
      <c r="A642" s="284">
        <v>44034</v>
      </c>
      <c r="B642" s="286" t="s">
        <v>870</v>
      </c>
      <c r="C642" s="315" t="s">
        <v>857</v>
      </c>
      <c r="D642" s="104">
        <v>400</v>
      </c>
      <c r="E642" s="104">
        <v>7.03</v>
      </c>
      <c r="F642" s="64">
        <f t="shared" si="234"/>
        <v>21600</v>
      </c>
      <c r="G642" s="32">
        <f t="shared" si="235"/>
        <v>8.4728385416666807</v>
      </c>
      <c r="H642" s="31">
        <f t="shared" si="236"/>
        <v>183013.31250000029</v>
      </c>
      <c r="I642" s="31">
        <f t="shared" si="237"/>
        <v>-31165.312500000291</v>
      </c>
      <c r="J642" s="277">
        <f t="shared" si="238"/>
        <v>-0.17028986620850461</v>
      </c>
      <c r="K642" s="31">
        <f t="shared" si="239"/>
        <v>151848</v>
      </c>
      <c r="L642" s="31">
        <f t="shared" si="240"/>
        <v>-2973</v>
      </c>
      <c r="M642" s="31">
        <f t="shared" si="241"/>
        <v>5</v>
      </c>
      <c r="N642" s="31">
        <f t="shared" si="242"/>
        <v>0</v>
      </c>
      <c r="O642" s="31"/>
      <c r="P642" s="31">
        <f t="shared" si="243"/>
        <v>-1.4428385416666805</v>
      </c>
      <c r="Q642" s="31">
        <f t="shared" si="244"/>
        <v>-2817</v>
      </c>
      <c r="R642" s="31"/>
      <c r="S642" s="31">
        <f t="shared" ref="S642:S660" si="250">E642-E641</f>
        <v>-0.13999999999999968</v>
      </c>
      <c r="T642" s="31">
        <f t="shared" ref="T642:T660" si="251">F642-F641</f>
        <v>400</v>
      </c>
      <c r="U642" s="31">
        <f t="shared" ref="U642:U660" si="252">G642-G641</f>
        <v>-2.6987519654086967E-2</v>
      </c>
      <c r="V642" s="31">
        <f t="shared" ref="V642:V660" si="253">U642/S642</f>
        <v>0.19276799752919305</v>
      </c>
      <c r="W642" s="31">
        <f t="shared" ref="W642:W660" si="254">L642/Q642</f>
        <v>1.0553780617678381</v>
      </c>
      <c r="X642" s="25">
        <f t="shared" si="245"/>
        <v>-7.4174604798988426</v>
      </c>
      <c r="Y642" s="25">
        <f t="shared" si="246"/>
        <v>5.9746219382321621</v>
      </c>
      <c r="Z642" s="25">
        <f t="shared" si="247"/>
        <v>-800369.95903507993</v>
      </c>
      <c r="AA642" s="25">
        <f>SUM(L$2:L642)-SUM(AB$2:AB642)</f>
        <v>-35446.866000000155</v>
      </c>
      <c r="AB642" s="176"/>
      <c r="AC642" s="176">
        <f t="shared" si="248"/>
        <v>-4430.9715282717343</v>
      </c>
      <c r="AD642" s="176">
        <f t="shared" si="249"/>
        <v>-26030.971528271733</v>
      </c>
    </row>
    <row r="643" spans="1:30" s="1" customFormat="1" x14ac:dyDescent="0.25">
      <c r="A643" s="284">
        <v>44035</v>
      </c>
      <c r="B643" s="286" t="s">
        <v>871</v>
      </c>
      <c r="C643" s="315" t="s">
        <v>857</v>
      </c>
      <c r="D643" s="104">
        <v>400</v>
      </c>
      <c r="E643" s="104">
        <v>6.98</v>
      </c>
      <c r="F643" s="64">
        <f t="shared" si="234"/>
        <v>22000</v>
      </c>
      <c r="G643" s="32">
        <f t="shared" si="235"/>
        <v>8.4459232954545591</v>
      </c>
      <c r="H643" s="31">
        <f t="shared" si="236"/>
        <v>185810.31250000029</v>
      </c>
      <c r="I643" s="31">
        <f t="shared" si="237"/>
        <v>-32250.312500000291</v>
      </c>
      <c r="J643" s="277">
        <f t="shared" si="238"/>
        <v>-0.17356578365369382</v>
      </c>
      <c r="K643" s="31">
        <f t="shared" si="239"/>
        <v>153560</v>
      </c>
      <c r="L643" s="31">
        <f t="shared" si="240"/>
        <v>-1085</v>
      </c>
      <c r="M643" s="31">
        <f t="shared" si="241"/>
        <v>5</v>
      </c>
      <c r="N643" s="31">
        <f t="shared" si="242"/>
        <v>0</v>
      </c>
      <c r="O643" s="31"/>
      <c r="P643" s="31">
        <f t="shared" si="243"/>
        <v>-1.4659232954545587</v>
      </c>
      <c r="Q643" s="31">
        <f t="shared" si="244"/>
        <v>-2797</v>
      </c>
      <c r="R643" s="31"/>
      <c r="S643" s="31">
        <f t="shared" si="250"/>
        <v>-4.9999999999999822E-2</v>
      </c>
      <c r="T643" s="31">
        <f t="shared" si="251"/>
        <v>400</v>
      </c>
      <c r="U643" s="31">
        <f t="shared" si="252"/>
        <v>-2.6915246212121602E-2</v>
      </c>
      <c r="V643" s="31">
        <f t="shared" si="253"/>
        <v>0.53830492424243392</v>
      </c>
      <c r="W643" s="31">
        <f t="shared" si="254"/>
        <v>0.38791562388273149</v>
      </c>
      <c r="X643" s="25">
        <f t="shared" si="245"/>
        <v>-8.0580076715718274</v>
      </c>
      <c r="Y643" s="25">
        <f t="shared" si="246"/>
        <v>6.5920843761172687</v>
      </c>
      <c r="Z643" s="25">
        <f t="shared" si="247"/>
        <v>-817380.59635850694</v>
      </c>
      <c r="AA643" s="25">
        <f>SUM(L$2:L643)-SUM(AB$2:AB643)</f>
        <v>-36531.866000000155</v>
      </c>
      <c r="AB643" s="176"/>
      <c r="AC643" s="176">
        <f t="shared" si="248"/>
        <v>-4618.0784160100711</v>
      </c>
      <c r="AD643" s="176">
        <f t="shared" si="249"/>
        <v>-26618.07841601007</v>
      </c>
    </row>
    <row r="644" spans="1:30" s="1" customFormat="1" x14ac:dyDescent="0.25">
      <c r="A644" s="284">
        <v>44035</v>
      </c>
      <c r="B644" s="286" t="s">
        <v>872</v>
      </c>
      <c r="C644" s="315" t="s">
        <v>857</v>
      </c>
      <c r="D644" s="104">
        <v>500</v>
      </c>
      <c r="E644" s="104">
        <v>6.92</v>
      </c>
      <c r="F644" s="64">
        <f t="shared" si="234"/>
        <v>22500</v>
      </c>
      <c r="G644" s="32">
        <f t="shared" si="235"/>
        <v>8.4122361111111239</v>
      </c>
      <c r="H644" s="31">
        <f t="shared" si="236"/>
        <v>189275.31250000029</v>
      </c>
      <c r="I644" s="31">
        <f t="shared" si="237"/>
        <v>-33575.312500000291</v>
      </c>
      <c r="J644" s="277">
        <f t="shared" si="238"/>
        <v>-0.17738875744822896</v>
      </c>
      <c r="K644" s="31">
        <f t="shared" si="239"/>
        <v>155700</v>
      </c>
      <c r="L644" s="31">
        <f t="shared" si="240"/>
        <v>-1325</v>
      </c>
      <c r="M644" s="31">
        <f t="shared" si="241"/>
        <v>5</v>
      </c>
      <c r="N644" s="31">
        <f t="shared" si="242"/>
        <v>0</v>
      </c>
      <c r="O644" s="31"/>
      <c r="P644" s="31">
        <f t="shared" si="243"/>
        <v>-1.492236111111124</v>
      </c>
      <c r="Q644" s="31">
        <f t="shared" si="244"/>
        <v>-3465</v>
      </c>
      <c r="R644" s="31"/>
      <c r="S644" s="31">
        <f t="shared" si="250"/>
        <v>-6.0000000000000497E-2</v>
      </c>
      <c r="T644" s="31">
        <f t="shared" si="251"/>
        <v>500</v>
      </c>
      <c r="U644" s="31">
        <f t="shared" si="252"/>
        <v>-3.3687184343435206E-2</v>
      </c>
      <c r="V644" s="31">
        <f t="shared" si="253"/>
        <v>0.56145307239058206</v>
      </c>
      <c r="W644" s="31">
        <f t="shared" si="254"/>
        <v>0.3823953823953824</v>
      </c>
      <c r="X644" s="25">
        <f t="shared" si="245"/>
        <v>-8.0298407287157421</v>
      </c>
      <c r="Y644" s="25">
        <f t="shared" si="246"/>
        <v>6.5376046176046181</v>
      </c>
      <c r="Z644" s="25">
        <f t="shared" si="247"/>
        <v>-667909.78345403599</v>
      </c>
      <c r="AA644" s="25">
        <f>SUM(L$2:L644)-SUM(AB$2:AB644)</f>
        <v>-37856.866000000155</v>
      </c>
      <c r="AB644" s="176"/>
      <c r="AC644" s="176">
        <f t="shared" si="248"/>
        <v>-4849.497809790505</v>
      </c>
      <c r="AD644" s="176">
        <f t="shared" si="249"/>
        <v>-27349.497809790504</v>
      </c>
    </row>
    <row r="645" spans="1:30" s="1" customFormat="1" x14ac:dyDescent="0.25">
      <c r="A645" s="284">
        <v>44035</v>
      </c>
      <c r="B645" s="286" t="s">
        <v>873</v>
      </c>
      <c r="C645" s="315" t="s">
        <v>623</v>
      </c>
      <c r="D645" s="104">
        <v>2000</v>
      </c>
      <c r="E645" s="104">
        <v>6.94</v>
      </c>
      <c r="F645" s="64">
        <f t="shared" ref="F645:F698" si="255">IF(C645="买",F644+D645,F644-D645)</f>
        <v>24500</v>
      </c>
      <c r="G645" s="32">
        <f t="shared" ref="G645:G660" si="256">H645/F645</f>
        <v>8.2922576530612364</v>
      </c>
      <c r="H645" s="31">
        <f t="shared" ref="H645:H660" si="257">IF(C645="买",H644+D645*E645+M645+N645,H644+-1*D645*E645+M645+N645)+O644</f>
        <v>203160.31250000029</v>
      </c>
      <c r="I645" s="31">
        <f t="shared" ref="I645:I660" si="258">-H645+K645</f>
        <v>-33130.312500000291</v>
      </c>
      <c r="J645" s="277">
        <f t="shared" si="238"/>
        <v>-0.16307472700899805</v>
      </c>
      <c r="K645" s="31">
        <f t="shared" si="239"/>
        <v>170030</v>
      </c>
      <c r="L645" s="31">
        <f t="shared" si="240"/>
        <v>445</v>
      </c>
      <c r="M645" s="31">
        <f t="shared" si="241"/>
        <v>5</v>
      </c>
      <c r="N645" s="31">
        <f t="shared" si="242"/>
        <v>0</v>
      </c>
      <c r="O645" s="31"/>
      <c r="P645" s="31">
        <f t="shared" si="243"/>
        <v>-1.352257653061236</v>
      </c>
      <c r="Q645" s="31">
        <f t="shared" si="244"/>
        <v>-13885</v>
      </c>
      <c r="R645" s="31"/>
      <c r="S645" s="31">
        <f t="shared" si="250"/>
        <v>2.0000000000000462E-2</v>
      </c>
      <c r="T645" s="31">
        <f t="shared" si="251"/>
        <v>2000</v>
      </c>
      <c r="U645" s="31">
        <f t="shared" si="252"/>
        <v>-0.11997845804988749</v>
      </c>
      <c r="V645" s="31">
        <f t="shared" si="253"/>
        <v>-5.9989229024942361</v>
      </c>
      <c r="W645" s="31">
        <f t="shared" si="254"/>
        <v>-3.2048973712639539E-2</v>
      </c>
      <c r="X645" s="25">
        <f t="shared" si="245"/>
        <v>-8.3243066267738755</v>
      </c>
      <c r="Y645" s="25">
        <f t="shared" si="246"/>
        <v>6.9720489737126394</v>
      </c>
      <c r="Z645" s="25">
        <f t="shared" si="247"/>
        <v>-204203.32448190663</v>
      </c>
      <c r="AA645" s="25">
        <f>SUM(L$2:L645)-SUM(AB$2:AB645)</f>
        <v>-37411.866000000155</v>
      </c>
      <c r="AB645" s="176"/>
      <c r="AC645" s="176">
        <f t="shared" si="248"/>
        <v>-4771.4333348343362</v>
      </c>
      <c r="AD645" s="176">
        <f t="shared" si="249"/>
        <v>-29271.433334834335</v>
      </c>
    </row>
    <row r="646" spans="1:30" s="1" customFormat="1" x14ac:dyDescent="0.25">
      <c r="A646" s="284">
        <v>44036</v>
      </c>
      <c r="B646" s="286"/>
      <c r="C646" s="315" t="s">
        <v>623</v>
      </c>
      <c r="D646" s="104">
        <v>400</v>
      </c>
      <c r="E646" s="104">
        <v>6.78</v>
      </c>
      <c r="F646" s="64">
        <f t="shared" si="255"/>
        <v>24900</v>
      </c>
      <c r="G646" s="32">
        <f t="shared" si="256"/>
        <v>8.2681651606425817</v>
      </c>
      <c r="H646" s="31">
        <f t="shared" si="257"/>
        <v>205877.31250000029</v>
      </c>
      <c r="I646" s="31">
        <f t="shared" si="258"/>
        <v>-37055.312500000291</v>
      </c>
      <c r="J646" s="277">
        <f t="shared" si="238"/>
        <v>-0.17998735290465881</v>
      </c>
      <c r="K646" s="31">
        <f t="shared" si="239"/>
        <v>168822</v>
      </c>
      <c r="L646" s="31">
        <f t="shared" si="240"/>
        <v>-3925</v>
      </c>
      <c r="M646" s="31">
        <f t="shared" si="241"/>
        <v>5</v>
      </c>
      <c r="N646" s="31">
        <f t="shared" si="242"/>
        <v>0</v>
      </c>
      <c r="O646" s="31"/>
      <c r="P646" s="31">
        <f t="shared" si="243"/>
        <v>-1.4881651606425814</v>
      </c>
      <c r="Q646" s="31">
        <f t="shared" si="244"/>
        <v>-2717</v>
      </c>
      <c r="R646" s="31"/>
      <c r="S646" s="31">
        <f t="shared" si="250"/>
        <v>-0.16000000000000014</v>
      </c>
      <c r="T646" s="31">
        <f t="shared" si="251"/>
        <v>400</v>
      </c>
      <c r="U646" s="31">
        <f t="shared" si="252"/>
        <v>-2.4092492418654743E-2</v>
      </c>
      <c r="V646" s="31">
        <f t="shared" si="253"/>
        <v>0.150578077616592</v>
      </c>
      <c r="W646" s="31">
        <f t="shared" si="254"/>
        <v>1.444608023555392</v>
      </c>
      <c r="X646" s="25">
        <f t="shared" si="245"/>
        <v>-6.8235571370871897</v>
      </c>
      <c r="Y646" s="25">
        <f t="shared" si="246"/>
        <v>5.3353919764446083</v>
      </c>
      <c r="Z646" s="25">
        <f t="shared" si="247"/>
        <v>-1033516.9797841259</v>
      </c>
      <c r="AA646" s="25">
        <f>SUM(L$2:L646)-SUM(AB$2:AB646)</f>
        <v>-41336.866000000155</v>
      </c>
      <c r="AB646" s="176"/>
      <c r="AC646" s="176">
        <f t="shared" si="248"/>
        <v>-5462.6526318215765</v>
      </c>
      <c r="AD646" s="176">
        <f t="shared" si="249"/>
        <v>-30362.652631821577</v>
      </c>
    </row>
    <row r="647" spans="1:30" s="1" customFormat="1" x14ac:dyDescent="0.25">
      <c r="A647" s="284">
        <v>44039</v>
      </c>
      <c r="B647" s="286"/>
      <c r="C647" s="315" t="s">
        <v>623</v>
      </c>
      <c r="D647" s="104">
        <v>400</v>
      </c>
      <c r="E647" s="104">
        <v>6.68</v>
      </c>
      <c r="F647" s="64">
        <f t="shared" si="255"/>
        <v>25300</v>
      </c>
      <c r="G647" s="32">
        <f t="shared" si="256"/>
        <v>8.2432534584980353</v>
      </c>
      <c r="H647" s="31">
        <f t="shared" si="257"/>
        <v>208554.31250000029</v>
      </c>
      <c r="I647" s="31">
        <f t="shared" si="258"/>
        <v>-39550.312500000291</v>
      </c>
      <c r="J647" s="277">
        <f t="shared" si="238"/>
        <v>-0.18964034848236591</v>
      </c>
      <c r="K647" s="31">
        <f t="shared" si="239"/>
        <v>169004</v>
      </c>
      <c r="L647" s="31">
        <f t="shared" si="240"/>
        <v>-2495</v>
      </c>
      <c r="M647" s="31">
        <f t="shared" si="241"/>
        <v>5</v>
      </c>
      <c r="N647" s="31">
        <f t="shared" si="242"/>
        <v>0</v>
      </c>
      <c r="O647" s="31"/>
      <c r="P647" s="31">
        <f t="shared" si="243"/>
        <v>-1.5632534584980355</v>
      </c>
      <c r="Q647" s="31">
        <f t="shared" si="244"/>
        <v>-2677</v>
      </c>
      <c r="R647" s="31"/>
      <c r="S647" s="31">
        <f t="shared" si="250"/>
        <v>-0.10000000000000053</v>
      </c>
      <c r="T647" s="31">
        <f t="shared" si="251"/>
        <v>400</v>
      </c>
      <c r="U647" s="31">
        <f t="shared" si="252"/>
        <v>-2.491170214454641E-2</v>
      </c>
      <c r="V647" s="31">
        <f t="shared" si="253"/>
        <v>0.24911702144546277</v>
      </c>
      <c r="W647" s="31">
        <f t="shared" si="254"/>
        <v>0.93201344788942841</v>
      </c>
      <c r="X647" s="25">
        <f t="shared" si="245"/>
        <v>-7.3112400106086071</v>
      </c>
      <c r="Y647" s="25">
        <f t="shared" si="246"/>
        <v>5.7479865521105715</v>
      </c>
      <c r="Z647" s="25">
        <f t="shared" si="247"/>
        <v>-1015586.9660451361</v>
      </c>
      <c r="AA647" s="25">
        <f>SUM(L$2:L730)-SUM(AB$2:AB730)</f>
        <v>6041.6979999997129</v>
      </c>
      <c r="AB647" s="176"/>
      <c r="AC647" s="176">
        <f t="shared" si="248"/>
        <v>-5917.7451113398638</v>
      </c>
      <c r="AD647" s="176">
        <f t="shared" si="249"/>
        <v>-31217.745111339864</v>
      </c>
    </row>
    <row r="648" spans="1:30" s="1" customFormat="1" x14ac:dyDescent="0.25">
      <c r="A648" s="284">
        <v>44041</v>
      </c>
      <c r="B648" s="286" t="s">
        <v>883</v>
      </c>
      <c r="C648" s="315" t="s">
        <v>634</v>
      </c>
      <c r="D648" s="104">
        <v>400</v>
      </c>
      <c r="E648" s="104">
        <v>6.83</v>
      </c>
      <c r="F648" s="64">
        <f t="shared" si="255"/>
        <v>24900</v>
      </c>
      <c r="G648" s="32">
        <f t="shared" si="256"/>
        <v>8.26626684738957</v>
      </c>
      <c r="H648" s="31">
        <f t="shared" si="257"/>
        <v>205830.04450000028</v>
      </c>
      <c r="I648" s="31">
        <f t="shared" si="258"/>
        <v>-35763.04450000028</v>
      </c>
      <c r="J648" s="277">
        <f t="shared" ref="J648:J660" si="259">(E648-G648)/G648</f>
        <v>-0.17375036082256806</v>
      </c>
      <c r="K648" s="31">
        <f t="shared" ref="K648:K660" si="260">F648*E648</f>
        <v>170067</v>
      </c>
      <c r="L648" s="31">
        <f t="shared" ref="L648:L660" si="261">I648-I647</f>
        <v>3787.2680000000109</v>
      </c>
      <c r="M648" s="31">
        <f t="shared" ref="M648:M660" si="262">IF(D648*E648*2.5/10000&gt;5,D648*E648*2.5/10000,5)</f>
        <v>5</v>
      </c>
      <c r="N648" s="31">
        <f t="shared" ref="N648:N660" si="263">IF(C648="卖",D648*E648/1000,0)</f>
        <v>2.7320000000000002</v>
      </c>
      <c r="O648" s="31"/>
      <c r="P648" s="31">
        <f t="shared" ref="P648:P659" si="264">E648-G648</f>
        <v>-1.4362668473895699</v>
      </c>
      <c r="Q648" s="31">
        <f t="shared" ref="Q648:Q660" si="265">(H648-H647)*-1</f>
        <v>2724.2680000000109</v>
      </c>
      <c r="R648" s="31"/>
      <c r="S648" s="31">
        <f t="shared" si="250"/>
        <v>0.15000000000000036</v>
      </c>
      <c r="T648" s="31">
        <f t="shared" si="251"/>
        <v>-400</v>
      </c>
      <c r="U648" s="31">
        <f t="shared" si="252"/>
        <v>2.3013388891534703E-2</v>
      </c>
      <c r="V648" s="31">
        <f t="shared" si="253"/>
        <v>0.153422592610231</v>
      </c>
      <c r="W648" s="31">
        <f t="shared" si="254"/>
        <v>1.3901965592225125</v>
      </c>
      <c r="X648" s="25">
        <f t="shared" ref="X648:X660" si="266">W648-G648</f>
        <v>-6.8760702881670577</v>
      </c>
      <c r="Y648" s="25">
        <f t="shared" ref="Y648:Y660" si="267">(X648-P648)*-1</f>
        <v>5.4398034407774878</v>
      </c>
      <c r="Z648" s="25">
        <f t="shared" ref="Z648:Z660" si="268">F648/U648</f>
        <v>1081978.8479374836</v>
      </c>
      <c r="AA648" s="25">
        <f>SUM(L$2:L648)-SUM(AB$2:AB648)</f>
        <v>-40044.598000000144</v>
      </c>
      <c r="AB648" s="176"/>
      <c r="AC648" s="176">
        <f t="shared" ref="AC648:AC660" si="269">I648/E648*(1-0.0005)</f>
        <v>-5233.5524125549464</v>
      </c>
      <c r="AD648" s="176">
        <f t="shared" ref="AD648:AD660" si="270">AC648-F648</f>
        <v>-30133.552412554945</v>
      </c>
    </row>
    <row r="649" spans="1:30" s="1" customFormat="1" x14ac:dyDescent="0.25">
      <c r="A649" s="284">
        <v>44043</v>
      </c>
      <c r="B649" s="286"/>
      <c r="C649" s="315" t="s">
        <v>623</v>
      </c>
      <c r="D649" s="104">
        <v>400</v>
      </c>
      <c r="E649" s="104">
        <v>6.8</v>
      </c>
      <c r="F649" s="64">
        <f t="shared" si="255"/>
        <v>25300</v>
      </c>
      <c r="G649" s="32">
        <f t="shared" si="256"/>
        <v>8.2432823913043585</v>
      </c>
      <c r="H649" s="31">
        <f t="shared" si="257"/>
        <v>208555.04450000028</v>
      </c>
      <c r="I649" s="31">
        <f t="shared" si="258"/>
        <v>-36515.04450000028</v>
      </c>
      <c r="J649" s="277">
        <f t="shared" si="259"/>
        <v>-0.1750858848202074</v>
      </c>
      <c r="K649" s="31">
        <f t="shared" si="260"/>
        <v>172040</v>
      </c>
      <c r="L649" s="31">
        <f t="shared" si="261"/>
        <v>-752</v>
      </c>
      <c r="M649" s="31">
        <f t="shared" si="262"/>
        <v>5</v>
      </c>
      <c r="N649" s="31">
        <f t="shared" si="263"/>
        <v>0</v>
      </c>
      <c r="O649" s="31"/>
      <c r="P649" s="31">
        <f t="shared" si="264"/>
        <v>-1.4432823913043586</v>
      </c>
      <c r="Q649" s="31">
        <f t="shared" si="265"/>
        <v>-2725</v>
      </c>
      <c r="R649" s="31"/>
      <c r="S649" s="31">
        <f t="shared" si="250"/>
        <v>-3.0000000000000249E-2</v>
      </c>
      <c r="T649" s="31">
        <f t="shared" si="251"/>
        <v>400</v>
      </c>
      <c r="U649" s="31">
        <f t="shared" si="252"/>
        <v>-2.2984456085211491E-2</v>
      </c>
      <c r="V649" s="31">
        <f t="shared" si="253"/>
        <v>0.76614853617371004</v>
      </c>
      <c r="W649" s="31">
        <f t="shared" si="254"/>
        <v>0.27596330275229358</v>
      </c>
      <c r="X649" s="25">
        <f t="shared" si="266"/>
        <v>-7.9673190885520651</v>
      </c>
      <c r="Y649" s="25">
        <f t="shared" si="267"/>
        <v>6.5240366972477064</v>
      </c>
      <c r="Z649" s="25">
        <f t="shared" si="268"/>
        <v>-1100743.9073695706</v>
      </c>
      <c r="AA649" s="25">
        <f>SUM(L$2:L649)-SUM(AB$2:AB649)</f>
        <v>-40796.598000000144</v>
      </c>
      <c r="AB649" s="176"/>
      <c r="AC649" s="176">
        <f t="shared" si="269"/>
        <v>-5367.1745555515117</v>
      </c>
      <c r="AD649" s="176">
        <f t="shared" si="270"/>
        <v>-30667.174555551512</v>
      </c>
    </row>
    <row r="650" spans="1:30" s="1" customFormat="1" x14ac:dyDescent="0.25">
      <c r="A650" s="284">
        <v>44046</v>
      </c>
      <c r="B650" s="286" t="s">
        <v>884</v>
      </c>
      <c r="C650" s="315" t="s">
        <v>634</v>
      </c>
      <c r="D650" s="104">
        <v>400</v>
      </c>
      <c r="E650" s="104">
        <v>6.95</v>
      </c>
      <c r="F650" s="64">
        <f t="shared" si="255"/>
        <v>24900</v>
      </c>
      <c r="G650" s="32">
        <f t="shared" si="256"/>
        <v>8.2643704618474008</v>
      </c>
      <c r="H650" s="31">
        <f t="shared" si="257"/>
        <v>205782.82450000028</v>
      </c>
      <c r="I650" s="31">
        <f t="shared" si="258"/>
        <v>-32727.824500000279</v>
      </c>
      <c r="J650" s="277">
        <f t="shared" si="259"/>
        <v>-0.15904060302175621</v>
      </c>
      <c r="K650" s="31">
        <f t="shared" si="260"/>
        <v>173055</v>
      </c>
      <c r="L650" s="31">
        <f t="shared" si="261"/>
        <v>3787.2200000000012</v>
      </c>
      <c r="M650" s="31">
        <f t="shared" si="262"/>
        <v>5</v>
      </c>
      <c r="N650" s="31">
        <f t="shared" si="263"/>
        <v>2.78</v>
      </c>
      <c r="O650" s="31"/>
      <c r="P650" s="31">
        <f t="shared" si="264"/>
        <v>-1.3143704618474006</v>
      </c>
      <c r="Q650" s="31">
        <f t="shared" si="265"/>
        <v>2772.2200000000012</v>
      </c>
      <c r="R650" s="31"/>
      <c r="S650" s="31">
        <f t="shared" si="250"/>
        <v>0.15000000000000036</v>
      </c>
      <c r="T650" s="31">
        <f t="shared" si="251"/>
        <v>-400</v>
      </c>
      <c r="U650" s="31">
        <f t="shared" si="252"/>
        <v>2.1088070543042292E-2</v>
      </c>
      <c r="V650" s="31">
        <f t="shared" si="253"/>
        <v>0.14058713695361494</v>
      </c>
      <c r="W650" s="31">
        <f t="shared" si="254"/>
        <v>1.3661325580220904</v>
      </c>
      <c r="X650" s="25">
        <f t="shared" si="266"/>
        <v>-6.8982379038253105</v>
      </c>
      <c r="Y650" s="25">
        <f t="shared" si="267"/>
        <v>5.58386744197791</v>
      </c>
      <c r="Z650" s="25">
        <f t="shared" si="268"/>
        <v>1180762.3627385579</v>
      </c>
      <c r="AA650" s="25">
        <f>SUM(L$2:L650)-SUM(AB$2:AB650)</f>
        <v>-37009.378000000142</v>
      </c>
      <c r="AB650" s="176"/>
      <c r="AC650" s="176">
        <f t="shared" si="269"/>
        <v>-4706.6849766547166</v>
      </c>
      <c r="AD650" s="176">
        <f t="shared" si="270"/>
        <v>-29606.684976654717</v>
      </c>
    </row>
    <row r="651" spans="1:30" s="1" customFormat="1" x14ac:dyDescent="0.25">
      <c r="A651" s="284">
        <v>44047</v>
      </c>
      <c r="B651" s="286" t="s">
        <v>885</v>
      </c>
      <c r="C651" s="315" t="s">
        <v>69</v>
      </c>
      <c r="D651" s="104">
        <v>400</v>
      </c>
      <c r="E651" s="104">
        <v>7.04</v>
      </c>
      <c r="F651" s="64">
        <f t="shared" si="255"/>
        <v>24500</v>
      </c>
      <c r="G651" s="32">
        <f t="shared" si="256"/>
        <v>8.2846792040816428</v>
      </c>
      <c r="H651" s="31">
        <f t="shared" si="257"/>
        <v>202974.64050000027</v>
      </c>
      <c r="I651" s="31">
        <f t="shared" si="258"/>
        <v>-30494.640500000271</v>
      </c>
      <c r="J651" s="277">
        <f t="shared" si="259"/>
        <v>-0.15023867230349996</v>
      </c>
      <c r="K651" s="31">
        <f t="shared" si="260"/>
        <v>172480</v>
      </c>
      <c r="L651" s="31">
        <f t="shared" si="261"/>
        <v>2233.1840000000084</v>
      </c>
      <c r="M651" s="31">
        <f t="shared" si="262"/>
        <v>5</v>
      </c>
      <c r="N651" s="31">
        <f t="shared" si="263"/>
        <v>2.8159999999999998</v>
      </c>
      <c r="O651" s="31"/>
      <c r="P651" s="31">
        <f t="shared" si="264"/>
        <v>-1.2446792040816428</v>
      </c>
      <c r="Q651" s="31">
        <f t="shared" si="265"/>
        <v>2808.1840000000084</v>
      </c>
      <c r="R651" s="31"/>
      <c r="S651" s="31">
        <f t="shared" si="250"/>
        <v>8.9999999999999858E-2</v>
      </c>
      <c r="T651" s="31">
        <f t="shared" si="251"/>
        <v>-400</v>
      </c>
      <c r="U651" s="31">
        <f t="shared" si="252"/>
        <v>2.0308742234242061E-2</v>
      </c>
      <c r="V651" s="31">
        <f t="shared" si="253"/>
        <v>0.22565269149157882</v>
      </c>
      <c r="W651" s="31">
        <f t="shared" si="254"/>
        <v>0.79524133746221815</v>
      </c>
      <c r="X651" s="25">
        <f t="shared" si="266"/>
        <v>-7.4894378666194248</v>
      </c>
      <c r="Y651" s="25">
        <f t="shared" si="267"/>
        <v>6.244758662537782</v>
      </c>
      <c r="Z651" s="25">
        <f t="shared" si="268"/>
        <v>1206377.023127073</v>
      </c>
      <c r="AA651" s="25">
        <f>SUM(L$2:L651)-SUM(AB$2:AB651)</f>
        <v>-34776.194000000134</v>
      </c>
      <c r="AB651" s="176"/>
      <c r="AC651" s="176">
        <f t="shared" si="269"/>
        <v>-4329.4592584872544</v>
      </c>
      <c r="AD651" s="176">
        <f t="shared" si="270"/>
        <v>-28829.459258487255</v>
      </c>
    </row>
    <row r="652" spans="1:30" s="1" customFormat="1" x14ac:dyDescent="0.25">
      <c r="A652" s="284">
        <v>44048</v>
      </c>
      <c r="B652" s="286" t="s">
        <v>886</v>
      </c>
      <c r="C652" s="315" t="s">
        <v>623</v>
      </c>
      <c r="D652" s="104">
        <v>1000</v>
      </c>
      <c r="E652" s="104">
        <f t="shared" ref="E652" si="271">E651-0.12</f>
        <v>6.92</v>
      </c>
      <c r="F652" s="64">
        <f t="shared" si="255"/>
        <v>25500</v>
      </c>
      <c r="G652" s="32">
        <f t="shared" si="256"/>
        <v>8.2313584509804034</v>
      </c>
      <c r="H652" s="31">
        <f t="shared" si="257"/>
        <v>209899.64050000027</v>
      </c>
      <c r="I652" s="31">
        <f t="shared" si="258"/>
        <v>-33439.640500000271</v>
      </c>
      <c r="J652" s="277">
        <f t="shared" si="259"/>
        <v>-0.15931251916555925</v>
      </c>
      <c r="K652" s="31">
        <f t="shared" si="260"/>
        <v>176460</v>
      </c>
      <c r="L652" s="31">
        <f t="shared" si="261"/>
        <v>-2945</v>
      </c>
      <c r="M652" s="31">
        <f t="shared" si="262"/>
        <v>5</v>
      </c>
      <c r="N652" s="31">
        <f t="shared" si="263"/>
        <v>0</v>
      </c>
      <c r="O652" s="31"/>
      <c r="P652" s="31">
        <f t="shared" si="264"/>
        <v>-1.3113584509804035</v>
      </c>
      <c r="Q652" s="31">
        <f t="shared" si="265"/>
        <v>-6925</v>
      </c>
      <c r="R652" s="31"/>
      <c r="S652" s="31">
        <f t="shared" si="250"/>
        <v>-0.12000000000000011</v>
      </c>
      <c r="T652" s="31">
        <f t="shared" si="251"/>
        <v>1000</v>
      </c>
      <c r="U652" s="31">
        <f t="shared" si="252"/>
        <v>-5.3320753101239404E-2</v>
      </c>
      <c r="V652" s="31">
        <f t="shared" si="253"/>
        <v>0.44433960917699467</v>
      </c>
      <c r="W652" s="31">
        <f t="shared" si="254"/>
        <v>0.42527075812274368</v>
      </c>
      <c r="X652" s="25">
        <f t="shared" si="266"/>
        <v>-7.8060876928576599</v>
      </c>
      <c r="Y652" s="25">
        <f t="shared" si="267"/>
        <v>6.4947292418772564</v>
      </c>
      <c r="Z652" s="25">
        <f t="shared" si="268"/>
        <v>-478237.80642376695</v>
      </c>
      <c r="AA652" s="25">
        <f>SUM(L$2:L652)-SUM(AB$2:AB652)</f>
        <v>-37721.194000000134</v>
      </c>
      <c r="AB652" s="176"/>
      <c r="AC652" s="176">
        <f t="shared" si="269"/>
        <v>-4829.9018323338541</v>
      </c>
      <c r="AD652" s="176">
        <f t="shared" si="270"/>
        <v>-30329.901832333853</v>
      </c>
    </row>
    <row r="653" spans="1:30" s="1" customFormat="1" x14ac:dyDescent="0.25">
      <c r="A653" s="284">
        <v>44050</v>
      </c>
      <c r="B653" s="286"/>
      <c r="C653" s="315" t="s">
        <v>63</v>
      </c>
      <c r="D653" s="104">
        <v>500</v>
      </c>
      <c r="E653" s="104">
        <v>6.83</v>
      </c>
      <c r="F653" s="64">
        <f t="shared" si="255"/>
        <v>26000</v>
      </c>
      <c r="G653" s="32">
        <f t="shared" si="256"/>
        <v>8.2046015576923175</v>
      </c>
      <c r="H653" s="31">
        <f t="shared" si="257"/>
        <v>213319.64050000027</v>
      </c>
      <c r="I653" s="31">
        <f t="shared" si="258"/>
        <v>-35739.640500000271</v>
      </c>
      <c r="J653" s="277">
        <f t="shared" si="259"/>
        <v>-0.16754031844526857</v>
      </c>
      <c r="K653" s="31">
        <f t="shared" si="260"/>
        <v>177580</v>
      </c>
      <c r="L653" s="31">
        <f t="shared" si="261"/>
        <v>-2300</v>
      </c>
      <c r="M653" s="31">
        <f t="shared" si="262"/>
        <v>5</v>
      </c>
      <c r="N653" s="31">
        <f t="shared" si="263"/>
        <v>0</v>
      </c>
      <c r="O653" s="31"/>
      <c r="P653" s="31">
        <f t="shared" si="264"/>
        <v>-1.3746015576923174</v>
      </c>
      <c r="Q653" s="31">
        <f t="shared" si="265"/>
        <v>-3420</v>
      </c>
      <c r="R653" s="31"/>
      <c r="S653" s="31">
        <f t="shared" si="250"/>
        <v>-8.9999999999999858E-2</v>
      </c>
      <c r="T653" s="31">
        <f t="shared" si="251"/>
        <v>500</v>
      </c>
      <c r="U653" s="31">
        <f t="shared" si="252"/>
        <v>-2.6756893288085948E-2</v>
      </c>
      <c r="V653" s="31">
        <f t="shared" si="253"/>
        <v>0.29729881431206656</v>
      </c>
      <c r="W653" s="31">
        <f t="shared" si="254"/>
        <v>0.67251461988304095</v>
      </c>
      <c r="X653" s="25">
        <f t="shared" si="266"/>
        <v>-7.532086937809277</v>
      </c>
      <c r="Y653" s="25">
        <f t="shared" si="267"/>
        <v>6.1574853801169596</v>
      </c>
      <c r="Z653" s="25">
        <f t="shared" si="268"/>
        <v>-971712.21337482519</v>
      </c>
      <c r="AA653" s="25">
        <f>SUM(L$2:L653)-SUM(AB$2:AB653)</f>
        <v>-40021.194000000134</v>
      </c>
      <c r="AB653" s="176"/>
      <c r="AC653" s="176">
        <f t="shared" si="269"/>
        <v>-5230.1274787335688</v>
      </c>
      <c r="AD653" s="176">
        <f t="shared" si="270"/>
        <v>-31230.127478733568</v>
      </c>
    </row>
    <row r="654" spans="1:30" s="1" customFormat="1" x14ac:dyDescent="0.25">
      <c r="A654" s="284">
        <v>44053</v>
      </c>
      <c r="B654" s="286" t="s">
        <v>888</v>
      </c>
      <c r="C654" s="315" t="s">
        <v>69</v>
      </c>
      <c r="D654" s="104">
        <v>400</v>
      </c>
      <c r="E654" s="104">
        <v>6.94</v>
      </c>
      <c r="F654" s="64">
        <f t="shared" si="255"/>
        <v>25600</v>
      </c>
      <c r="G654" s="32">
        <f t="shared" si="256"/>
        <v>8.2246647070312608</v>
      </c>
      <c r="H654" s="31">
        <f t="shared" si="257"/>
        <v>210551.41650000028</v>
      </c>
      <c r="I654" s="31">
        <f t="shared" si="258"/>
        <v>-32887.416500000283</v>
      </c>
      <c r="J654" s="277">
        <f t="shared" si="259"/>
        <v>-0.15619660530756974</v>
      </c>
      <c r="K654" s="31">
        <f t="shared" si="260"/>
        <v>177664</v>
      </c>
      <c r="L654" s="31">
        <f t="shared" si="261"/>
        <v>2852.2239999999874</v>
      </c>
      <c r="M654" s="31">
        <f t="shared" si="262"/>
        <v>5</v>
      </c>
      <c r="N654" s="31">
        <f t="shared" si="263"/>
        <v>2.7759999999999998</v>
      </c>
      <c r="O654" s="31"/>
      <c r="P654" s="31">
        <f t="shared" si="264"/>
        <v>-1.2846647070312605</v>
      </c>
      <c r="Q654" s="31">
        <f t="shared" si="265"/>
        <v>2768.2239999999874</v>
      </c>
      <c r="R654" s="31"/>
      <c r="S654" s="31">
        <f t="shared" si="250"/>
        <v>0.11000000000000032</v>
      </c>
      <c r="T654" s="31">
        <f t="shared" si="251"/>
        <v>-400</v>
      </c>
      <c r="U654" s="31">
        <f t="shared" si="252"/>
        <v>2.0063149338943376E-2</v>
      </c>
      <c r="V654" s="31">
        <f t="shared" si="253"/>
        <v>0.18239226671766653</v>
      </c>
      <c r="W654" s="31">
        <f t="shared" si="254"/>
        <v>1.0303443651958801</v>
      </c>
      <c r="X654" s="25">
        <f t="shared" si="266"/>
        <v>-7.1943203418353807</v>
      </c>
      <c r="Y654" s="25">
        <f t="shared" si="267"/>
        <v>5.9096556348041203</v>
      </c>
      <c r="Z654" s="25">
        <f t="shared" si="268"/>
        <v>1275971.1632265716</v>
      </c>
      <c r="AA654" s="25">
        <f>SUM(L$2:L654)-SUM(AB$2:AB654)</f>
        <v>-37168.970000000147</v>
      </c>
      <c r="AB654" s="176"/>
      <c r="AC654" s="176">
        <f t="shared" si="269"/>
        <v>-4736.4514109150268</v>
      </c>
      <c r="AD654" s="176">
        <f t="shared" si="270"/>
        <v>-30336.451410915026</v>
      </c>
    </row>
    <row r="655" spans="1:30" s="1" customFormat="1" x14ac:dyDescent="0.25">
      <c r="A655" s="284">
        <v>44055</v>
      </c>
      <c r="B655" s="286"/>
      <c r="C655" s="315" t="s">
        <v>887</v>
      </c>
      <c r="D655" s="104">
        <v>500</v>
      </c>
      <c r="E655" s="104">
        <v>6.8</v>
      </c>
      <c r="F655" s="64">
        <f t="shared" si="255"/>
        <v>26100</v>
      </c>
      <c r="G655" s="32">
        <f t="shared" si="256"/>
        <v>8.1975638505747241</v>
      </c>
      <c r="H655" s="31">
        <f t="shared" si="257"/>
        <v>213956.41650000028</v>
      </c>
      <c r="I655" s="31">
        <f t="shared" si="258"/>
        <v>-36476.416500000283</v>
      </c>
      <c r="J655" s="277">
        <f t="shared" si="259"/>
        <v>-0.17048526562885416</v>
      </c>
      <c r="K655" s="31">
        <f t="shared" si="260"/>
        <v>177480</v>
      </c>
      <c r="L655" s="31">
        <f t="shared" si="261"/>
        <v>-3589</v>
      </c>
      <c r="M655" s="31">
        <f t="shared" si="262"/>
        <v>5</v>
      </c>
      <c r="N655" s="31">
        <f t="shared" si="263"/>
        <v>0</v>
      </c>
      <c r="O655" s="31"/>
      <c r="P655" s="31">
        <f t="shared" si="264"/>
        <v>-1.3975638505747243</v>
      </c>
      <c r="Q655" s="31">
        <f t="shared" si="265"/>
        <v>-3405</v>
      </c>
      <c r="R655" s="31"/>
      <c r="S655" s="31">
        <f t="shared" si="250"/>
        <v>-0.14000000000000057</v>
      </c>
      <c r="T655" s="31">
        <f t="shared" si="251"/>
        <v>500</v>
      </c>
      <c r="U655" s="31">
        <f t="shared" si="252"/>
        <v>-2.7100856456536704E-2</v>
      </c>
      <c r="V655" s="31">
        <f t="shared" si="253"/>
        <v>0.19357754611811853</v>
      </c>
      <c r="W655" s="31">
        <f t="shared" si="254"/>
        <v>1.0540381791483113</v>
      </c>
      <c r="X655" s="25">
        <f t="shared" si="266"/>
        <v>-7.1435256714264126</v>
      </c>
      <c r="Y655" s="25">
        <f t="shared" si="267"/>
        <v>5.7459618208516883</v>
      </c>
      <c r="Z655" s="25">
        <f t="shared" si="268"/>
        <v>-963069.19457907765</v>
      </c>
      <c r="AA655" s="25">
        <f>SUM(L$2:L655)-SUM(AB$2:AB655)</f>
        <v>-40757.970000000147</v>
      </c>
      <c r="AB655" s="176"/>
      <c r="AC655" s="176">
        <f t="shared" si="269"/>
        <v>-5361.496807610336</v>
      </c>
      <c r="AD655" s="176">
        <f t="shared" si="270"/>
        <v>-31461.496807610336</v>
      </c>
    </row>
    <row r="656" spans="1:30" s="1" customFormat="1" x14ac:dyDescent="0.25">
      <c r="A656" s="284">
        <v>44057</v>
      </c>
      <c r="B656" s="286" t="s">
        <v>889</v>
      </c>
      <c r="C656" s="64" t="s">
        <v>69</v>
      </c>
      <c r="D656" s="104">
        <v>400</v>
      </c>
      <c r="E656" s="104">
        <v>6.97</v>
      </c>
      <c r="F656" s="64">
        <f t="shared" si="255"/>
        <v>25700</v>
      </c>
      <c r="G656" s="32">
        <f t="shared" si="256"/>
        <v>8.2169729377432024</v>
      </c>
      <c r="H656" s="31">
        <f t="shared" si="257"/>
        <v>211176.20450000028</v>
      </c>
      <c r="I656" s="31">
        <f t="shared" si="258"/>
        <v>-32047.204500000284</v>
      </c>
      <c r="J656" s="277">
        <f t="shared" si="259"/>
        <v>-0.15175575570116026</v>
      </c>
      <c r="K656" s="31">
        <f t="shared" si="260"/>
        <v>179129</v>
      </c>
      <c r="L656" s="31">
        <f t="shared" si="261"/>
        <v>4429.2119999999995</v>
      </c>
      <c r="M656" s="31">
        <f t="shared" si="262"/>
        <v>5</v>
      </c>
      <c r="N656" s="31">
        <f t="shared" si="263"/>
        <v>2.7879999999999998</v>
      </c>
      <c r="O656" s="31"/>
      <c r="P656" s="31">
        <f t="shared" si="264"/>
        <v>-1.2469729377432026</v>
      </c>
      <c r="Q656" s="31">
        <f t="shared" si="265"/>
        <v>2780.2119999999995</v>
      </c>
      <c r="R656" s="31"/>
      <c r="S656" s="31">
        <f t="shared" si="250"/>
        <v>0.16999999999999993</v>
      </c>
      <c r="T656" s="31">
        <f t="shared" si="251"/>
        <v>-400</v>
      </c>
      <c r="U656" s="31">
        <f t="shared" si="252"/>
        <v>1.9409087168478223E-2</v>
      </c>
      <c r="V656" s="31">
        <f t="shared" si="253"/>
        <v>0.11417110099104842</v>
      </c>
      <c r="W656" s="31">
        <f t="shared" si="254"/>
        <v>1.5931202368740227</v>
      </c>
      <c r="X656" s="25">
        <f t="shared" si="266"/>
        <v>-6.6238527008691799</v>
      </c>
      <c r="Y656" s="25">
        <f t="shared" si="267"/>
        <v>5.3768797631259773</v>
      </c>
      <c r="Z656" s="25">
        <f t="shared" si="268"/>
        <v>1324122.0350506066</v>
      </c>
      <c r="AA656" s="25">
        <f>SUM(L$2:L656)-SUM(AB$2:AB656)</f>
        <v>-36328.758000000147</v>
      </c>
      <c r="AB656" s="176"/>
      <c r="AC656" s="176">
        <f t="shared" si="269"/>
        <v>-4595.5783210545605</v>
      </c>
      <c r="AD656" s="176">
        <f t="shared" si="270"/>
        <v>-30295.57832105456</v>
      </c>
    </row>
    <row r="657" spans="1:30" s="1" customFormat="1" x14ac:dyDescent="0.25">
      <c r="A657" s="284">
        <v>44060</v>
      </c>
      <c r="B657" s="286"/>
      <c r="C657" s="64" t="s">
        <v>69</v>
      </c>
      <c r="D657" s="104">
        <v>400</v>
      </c>
      <c r="E657" s="104">
        <v>7.06</v>
      </c>
      <c r="F657" s="64">
        <f t="shared" si="255"/>
        <v>25300</v>
      </c>
      <c r="G657" s="32">
        <f t="shared" si="256"/>
        <v>8.2355742490118686</v>
      </c>
      <c r="H657" s="31">
        <f t="shared" si="257"/>
        <v>208360.02850000028</v>
      </c>
      <c r="I657" s="31">
        <f t="shared" si="258"/>
        <v>-29742.028500000277</v>
      </c>
      <c r="J657" s="277">
        <f t="shared" si="259"/>
        <v>-0.14274344611159548</v>
      </c>
      <c r="K657" s="31">
        <f t="shared" si="260"/>
        <v>178618</v>
      </c>
      <c r="L657" s="31">
        <f t="shared" si="261"/>
        <v>2305.1760000000068</v>
      </c>
      <c r="M657" s="31">
        <f t="shared" si="262"/>
        <v>5</v>
      </c>
      <c r="N657" s="31">
        <f t="shared" si="263"/>
        <v>2.8239999999999998</v>
      </c>
      <c r="O657" s="31"/>
      <c r="P657" s="31">
        <f t="shared" si="264"/>
        <v>-1.175574249011869</v>
      </c>
      <c r="Q657" s="31">
        <f t="shared" si="265"/>
        <v>2816.1760000000068</v>
      </c>
      <c r="R657" s="31"/>
      <c r="S657" s="31">
        <f t="shared" si="250"/>
        <v>8.9999999999999858E-2</v>
      </c>
      <c r="T657" s="31">
        <f t="shared" si="251"/>
        <v>-400</v>
      </c>
      <c r="U657" s="31">
        <f t="shared" si="252"/>
        <v>1.8601311268666265E-2</v>
      </c>
      <c r="V657" s="31">
        <f t="shared" si="253"/>
        <v>0.20668123631851437</v>
      </c>
      <c r="W657" s="31">
        <f t="shared" si="254"/>
        <v>0.81854827255114782</v>
      </c>
      <c r="X657" s="25">
        <f t="shared" si="266"/>
        <v>-7.4170259764607209</v>
      </c>
      <c r="Y657" s="25">
        <f t="shared" si="267"/>
        <v>6.2414517274488519</v>
      </c>
      <c r="Z657" s="25">
        <f t="shared" si="268"/>
        <v>1360119.1676533909</v>
      </c>
      <c r="AA657" s="25">
        <f>SUM(L$2:L657)-SUM(AB$2:AB657)</f>
        <v>-34023.58200000014</v>
      </c>
      <c r="AB657" s="176"/>
      <c r="AC657" s="176">
        <f t="shared" si="269"/>
        <v>-4210.6455362252527</v>
      </c>
      <c r="AD657" s="176">
        <f t="shared" si="270"/>
        <v>-29510.645536225253</v>
      </c>
    </row>
    <row r="658" spans="1:30" s="1" customFormat="1" x14ac:dyDescent="0.25">
      <c r="A658" s="284">
        <v>44060</v>
      </c>
      <c r="B658" s="286"/>
      <c r="C658" s="64" t="s">
        <v>69</v>
      </c>
      <c r="D658" s="104">
        <v>400</v>
      </c>
      <c r="E658" s="104">
        <v>7.12</v>
      </c>
      <c r="F658" s="64">
        <f t="shared" si="255"/>
        <v>24900</v>
      </c>
      <c r="G658" s="32">
        <f t="shared" si="256"/>
        <v>8.2538103012048296</v>
      </c>
      <c r="H658" s="31">
        <f t="shared" si="257"/>
        <v>205519.87650000027</v>
      </c>
      <c r="I658" s="31">
        <f t="shared" si="258"/>
        <v>-28231.876500000275</v>
      </c>
      <c r="J658" s="277">
        <f t="shared" si="259"/>
        <v>-0.13736810755625486</v>
      </c>
      <c r="K658" s="31">
        <f t="shared" si="260"/>
        <v>177288</v>
      </c>
      <c r="L658" s="31">
        <f t="shared" si="261"/>
        <v>1510.1520000000019</v>
      </c>
      <c r="M658" s="31">
        <f t="shared" si="262"/>
        <v>5</v>
      </c>
      <c r="N658" s="31">
        <f t="shared" si="263"/>
        <v>2.8479999999999999</v>
      </c>
      <c r="O658" s="31"/>
      <c r="P658" s="31">
        <f t="shared" si="264"/>
        <v>-1.1338103012048295</v>
      </c>
      <c r="Q658" s="31">
        <f t="shared" si="265"/>
        <v>2840.1520000000019</v>
      </c>
      <c r="R658" s="31"/>
      <c r="S658" s="31">
        <f t="shared" si="250"/>
        <v>6.0000000000000497E-2</v>
      </c>
      <c r="T658" s="31">
        <f t="shared" si="251"/>
        <v>-400</v>
      </c>
      <c r="U658" s="31">
        <f t="shared" si="252"/>
        <v>1.8236052192960983E-2</v>
      </c>
      <c r="V658" s="31">
        <f t="shared" si="253"/>
        <v>0.30393420321601389</v>
      </c>
      <c r="W658" s="31">
        <f t="shared" si="254"/>
        <v>0.53171520397499883</v>
      </c>
      <c r="X658" s="25">
        <f t="shared" si="266"/>
        <v>-7.7220950972298308</v>
      </c>
      <c r="Y658" s="25">
        <f t="shared" si="267"/>
        <v>6.5882847960250013</v>
      </c>
      <c r="Z658" s="25">
        <f t="shared" si="268"/>
        <v>1365427.1076067255</v>
      </c>
      <c r="AA658" s="25">
        <f>SUM(L$2:L658)-SUM(AB$2:AB658)</f>
        <v>-32513.430000000139</v>
      </c>
      <c r="AB658" s="176"/>
      <c r="AC658" s="176">
        <f t="shared" si="269"/>
        <v>-3963.1686182233534</v>
      </c>
      <c r="AD658" s="176">
        <f t="shared" si="270"/>
        <v>-28863.168618223353</v>
      </c>
    </row>
    <row r="659" spans="1:30" s="1" customFormat="1" x14ac:dyDescent="0.25">
      <c r="A659" s="284">
        <v>44061</v>
      </c>
      <c r="B659" s="286" t="s">
        <v>890</v>
      </c>
      <c r="C659" s="64" t="s">
        <v>63</v>
      </c>
      <c r="D659" s="104">
        <v>400</v>
      </c>
      <c r="E659" s="104">
        <v>7</v>
      </c>
      <c r="F659" s="64">
        <f t="shared" si="255"/>
        <v>25300</v>
      </c>
      <c r="G659" s="32">
        <f t="shared" si="256"/>
        <v>8.2341848418972443</v>
      </c>
      <c r="H659" s="31">
        <f t="shared" si="257"/>
        <v>208324.87650000027</v>
      </c>
      <c r="I659" s="31">
        <f t="shared" si="258"/>
        <v>-31224.876500000275</v>
      </c>
      <c r="J659" s="277">
        <f t="shared" si="259"/>
        <v>-0.14988549147177938</v>
      </c>
      <c r="K659" s="31">
        <f t="shared" si="260"/>
        <v>177100</v>
      </c>
      <c r="L659" s="31">
        <f t="shared" si="261"/>
        <v>-2993</v>
      </c>
      <c r="M659" s="31">
        <f t="shared" si="262"/>
        <v>5</v>
      </c>
      <c r="N659" s="31">
        <f t="shared" si="263"/>
        <v>0</v>
      </c>
      <c r="O659" s="31"/>
      <c r="P659" s="31">
        <f t="shared" si="264"/>
        <v>-1.2341848418972443</v>
      </c>
      <c r="Q659" s="31">
        <f t="shared" si="265"/>
        <v>-2805</v>
      </c>
      <c r="R659" s="31"/>
      <c r="S659" s="31">
        <f t="shared" si="250"/>
        <v>-0.12000000000000011</v>
      </c>
      <c r="T659" s="31">
        <f t="shared" si="251"/>
        <v>400</v>
      </c>
      <c r="U659" s="31">
        <f t="shared" si="252"/>
        <v>-1.9625459307585302E-2</v>
      </c>
      <c r="V659" s="31">
        <f t="shared" si="253"/>
        <v>0.16354549422987738</v>
      </c>
      <c r="W659" s="31">
        <f t="shared" si="254"/>
        <v>1.067023172905526</v>
      </c>
      <c r="X659" s="25">
        <f t="shared" si="266"/>
        <v>-7.1671616689917181</v>
      </c>
      <c r="Y659" s="25">
        <f t="shared" si="267"/>
        <v>5.9329768270944738</v>
      </c>
      <c r="Z659" s="25">
        <f t="shared" si="268"/>
        <v>-1289141.803179173</v>
      </c>
      <c r="AA659" s="25">
        <f>SUM(L$2:L659)-SUM(AB$2:AB659)</f>
        <v>-35506.430000000139</v>
      </c>
      <c r="AB659" s="176"/>
      <c r="AC659" s="176">
        <f t="shared" si="269"/>
        <v>-4458.4662945357541</v>
      </c>
      <c r="AD659" s="176">
        <f t="shared" si="270"/>
        <v>-29758.466294535756</v>
      </c>
    </row>
    <row r="660" spans="1:30" s="1" customFormat="1" x14ac:dyDescent="0.25">
      <c r="A660" s="284">
        <v>44063</v>
      </c>
      <c r="B660" s="286" t="s">
        <v>892</v>
      </c>
      <c r="C660" s="315" t="s">
        <v>891</v>
      </c>
      <c r="D660" s="104">
        <v>400</v>
      </c>
      <c r="E660" s="104">
        <v>6.92</v>
      </c>
      <c r="F660" s="64">
        <f t="shared" si="255"/>
        <v>25700</v>
      </c>
      <c r="G660" s="32">
        <f t="shared" si="256"/>
        <v>8.2139251556420341</v>
      </c>
      <c r="H660" s="31">
        <f t="shared" si="257"/>
        <v>211097.87650000027</v>
      </c>
      <c r="I660" s="31">
        <f t="shared" si="258"/>
        <v>-33253.876500000275</v>
      </c>
      <c r="J660" s="277">
        <f t="shared" si="259"/>
        <v>-0.15752823785510811</v>
      </c>
      <c r="K660" s="31">
        <f t="shared" si="260"/>
        <v>177844</v>
      </c>
      <c r="L660" s="31">
        <f t="shared" si="261"/>
        <v>-2029</v>
      </c>
      <c r="M660" s="31">
        <f t="shared" si="262"/>
        <v>5</v>
      </c>
      <c r="N660" s="31">
        <f t="shared" si="263"/>
        <v>0</v>
      </c>
      <c r="O660" s="31"/>
      <c r="P660" s="31">
        <f>E660-G660</f>
        <v>-1.2939251556420341</v>
      </c>
      <c r="Q660" s="31">
        <f t="shared" si="265"/>
        <v>-2773</v>
      </c>
      <c r="R660" s="31"/>
      <c r="S660" s="31">
        <f t="shared" si="250"/>
        <v>-8.0000000000000071E-2</v>
      </c>
      <c r="T660" s="31">
        <f t="shared" si="251"/>
        <v>400</v>
      </c>
      <c r="U660" s="31">
        <f t="shared" si="252"/>
        <v>-2.0259686255210241E-2</v>
      </c>
      <c r="V660" s="31">
        <f t="shared" si="253"/>
        <v>0.25324607819012779</v>
      </c>
      <c r="W660" s="31">
        <f t="shared" si="254"/>
        <v>0.73169852145690584</v>
      </c>
      <c r="X660" s="25">
        <f t="shared" si="266"/>
        <v>-7.4822266341851282</v>
      </c>
      <c r="Y660" s="25">
        <f t="shared" si="267"/>
        <v>6.1883014785430941</v>
      </c>
      <c r="Z660" s="25">
        <f t="shared" si="268"/>
        <v>-1268529.0224270211</v>
      </c>
      <c r="AA660" s="25">
        <f>SUM(L$2:L660)-SUM(AB$2:AB660)</f>
        <v>-37535.430000000139</v>
      </c>
      <c r="AB660" s="176"/>
      <c r="AC660" s="176">
        <f t="shared" si="269"/>
        <v>-4803.0707459176701</v>
      </c>
      <c r="AD660" s="176">
        <f t="shared" si="270"/>
        <v>-30503.07074591767</v>
      </c>
    </row>
    <row r="661" spans="1:30" s="1" customFormat="1" x14ac:dyDescent="0.25">
      <c r="A661" s="284">
        <v>44064</v>
      </c>
      <c r="B661" s="286"/>
      <c r="C661" s="315" t="s">
        <v>893</v>
      </c>
      <c r="D661" s="104">
        <v>400</v>
      </c>
      <c r="E661" s="104">
        <v>6.92</v>
      </c>
      <c r="F661" s="64">
        <f t="shared" si="255"/>
        <v>26100</v>
      </c>
      <c r="G661" s="32">
        <f t="shared" ref="G661:G698" si="272">H661/F661</f>
        <v>8.1942864559387072</v>
      </c>
      <c r="H661" s="31">
        <f t="shared" ref="H661:H698" si="273">IF(C661="买",H660+D661*E661+M661+N661,H660+-1*D661*E661+M661+N661)+O660</f>
        <v>213870.87650000027</v>
      </c>
      <c r="I661" s="31">
        <f t="shared" ref="I661:I698" si="274">-H661+K661</f>
        <v>-33258.876500000275</v>
      </c>
      <c r="J661" s="277">
        <f t="shared" ref="J661:J698" si="275">(E661-G661)/G661</f>
        <v>-0.15550914198455731</v>
      </c>
      <c r="K661" s="31">
        <f t="shared" ref="K661:K698" si="276">F661*E661</f>
        <v>180612</v>
      </c>
      <c r="L661" s="31">
        <f t="shared" ref="L661:L698" si="277">I661-I660</f>
        <v>-5</v>
      </c>
      <c r="M661" s="31">
        <f t="shared" ref="M661:M698" si="278">IF(D661*E661*2.5/10000&gt;5,D661*E661*2.5/10000,5)</f>
        <v>5</v>
      </c>
      <c r="N661" s="31">
        <f t="shared" ref="N661:N698" si="279">IF(C661="卖",D661*E661/1000,0)</f>
        <v>0</v>
      </c>
      <c r="O661" s="31"/>
      <c r="P661" s="31">
        <f t="shared" ref="P661:P698" si="280">E661-G661</f>
        <v>-1.2742864559387073</v>
      </c>
      <c r="Q661" s="31">
        <f t="shared" ref="Q661:Q698" si="281">(H661-H660)*-1</f>
        <v>-2773</v>
      </c>
      <c r="R661" s="31"/>
      <c r="S661" s="31">
        <f t="shared" ref="S661:S698" si="282">E661-E660</f>
        <v>0</v>
      </c>
      <c r="T661" s="31">
        <f t="shared" ref="T661:T698" si="283">F661-F660</f>
        <v>400</v>
      </c>
      <c r="U661" s="31">
        <f t="shared" ref="U661:U698" si="284">G661-G660</f>
        <v>-1.9638699703326878E-2</v>
      </c>
      <c r="V661" s="31" t="e">
        <f t="shared" ref="V661:V698" si="285">U661/S661</f>
        <v>#DIV/0!</v>
      </c>
      <c r="W661" s="31">
        <f t="shared" ref="W661:W698" si="286">L661/Q661</f>
        <v>1.8031013342949874E-3</v>
      </c>
      <c r="X661" s="25">
        <f t="shared" ref="X661:X698" si="287">W661-G661</f>
        <v>-8.1924833546044127</v>
      </c>
      <c r="Y661" s="25">
        <f t="shared" ref="Y661:Y698" si="288">(X661-P661)*-1</f>
        <v>6.9181968986657054</v>
      </c>
      <c r="Z661" s="25">
        <f t="shared" ref="Z661:Z698" si="289">F661/U661</f>
        <v>-1329008.5593385061</v>
      </c>
      <c r="AA661" s="25">
        <f>SUM(L$2:L661)-SUM(AB$2:AB661)</f>
        <v>-37540.430000000139</v>
      </c>
      <c r="AB661" s="176"/>
      <c r="AC661" s="176">
        <f t="shared" ref="AC661:AC698" si="290">I661/E661*(1-0.0005)</f>
        <v>-4803.7929279985947</v>
      </c>
      <c r="AD661" s="176">
        <f t="shared" ref="AD661:AD698" si="291">AC661-F661</f>
        <v>-30903.792927998595</v>
      </c>
    </row>
    <row r="662" spans="1:30" s="1" customFormat="1" x14ac:dyDescent="0.25">
      <c r="A662" s="284">
        <v>44070</v>
      </c>
      <c r="B662" s="286" t="s">
        <v>899</v>
      </c>
      <c r="C662" s="315" t="s">
        <v>894</v>
      </c>
      <c r="D662" s="104">
        <v>500</v>
      </c>
      <c r="E662" s="104">
        <v>6.84</v>
      </c>
      <c r="F662" s="64">
        <f t="shared" si="255"/>
        <v>26600</v>
      </c>
      <c r="G662" s="32">
        <f t="shared" si="272"/>
        <v>8.1690179135338443</v>
      </c>
      <c r="H662" s="31">
        <f t="shared" si="273"/>
        <v>217295.87650000027</v>
      </c>
      <c r="I662" s="31">
        <f t="shared" si="274"/>
        <v>-35351.876500000275</v>
      </c>
      <c r="J662" s="277">
        <f t="shared" si="275"/>
        <v>-0.16269004764110295</v>
      </c>
      <c r="K662" s="31">
        <f t="shared" si="276"/>
        <v>181944</v>
      </c>
      <c r="L662" s="31">
        <f t="shared" si="277"/>
        <v>-2093</v>
      </c>
      <c r="M662" s="31">
        <f t="shared" si="278"/>
        <v>5</v>
      </c>
      <c r="N662" s="31">
        <f t="shared" si="279"/>
        <v>0</v>
      </c>
      <c r="O662" s="31"/>
      <c r="P662" s="31">
        <f t="shared" si="280"/>
        <v>-1.3290179135338445</v>
      </c>
      <c r="Q662" s="31">
        <f t="shared" si="281"/>
        <v>-3425</v>
      </c>
      <c r="R662" s="31"/>
      <c r="S662" s="31">
        <f t="shared" si="282"/>
        <v>-8.0000000000000071E-2</v>
      </c>
      <c r="T662" s="31">
        <f t="shared" si="283"/>
        <v>500</v>
      </c>
      <c r="U662" s="31">
        <f t="shared" si="284"/>
        <v>-2.526854240486287E-2</v>
      </c>
      <c r="V662" s="31">
        <f t="shared" si="285"/>
        <v>0.3158567800607856</v>
      </c>
      <c r="W662" s="31">
        <f t="shared" si="286"/>
        <v>0.6110948905109489</v>
      </c>
      <c r="X662" s="25">
        <f t="shared" si="287"/>
        <v>-7.5579230230228953</v>
      </c>
      <c r="Y662" s="25">
        <f t="shared" si="288"/>
        <v>6.2289051094890509</v>
      </c>
      <c r="Z662" s="25">
        <f t="shared" si="289"/>
        <v>-1052692.2991363718</v>
      </c>
      <c r="AA662" s="25">
        <f>SUM(L$2:L662)-SUM(AB$2:AB662)</f>
        <v>-39633.430000000139</v>
      </c>
      <c r="AB662" s="176"/>
      <c r="AC662" s="176">
        <f t="shared" si="290"/>
        <v>-5165.8187955775265</v>
      </c>
      <c r="AD662" s="176">
        <f t="shared" si="291"/>
        <v>-31765.818795577528</v>
      </c>
    </row>
    <row r="663" spans="1:30" s="1" customFormat="1" x14ac:dyDescent="0.25">
      <c r="A663" s="284">
        <v>44076</v>
      </c>
      <c r="B663" s="286"/>
      <c r="C663" s="315" t="s">
        <v>897</v>
      </c>
      <c r="D663" s="104">
        <v>400</v>
      </c>
      <c r="E663" s="104">
        <v>6.84</v>
      </c>
      <c r="F663" s="64">
        <f t="shared" si="255"/>
        <v>27000</v>
      </c>
      <c r="G663" s="32">
        <f t="shared" si="272"/>
        <v>8.149513944444454</v>
      </c>
      <c r="H663" s="31">
        <f t="shared" si="273"/>
        <v>220036.87650000027</v>
      </c>
      <c r="I663" s="31">
        <f t="shared" si="274"/>
        <v>-35356.876500000275</v>
      </c>
      <c r="J663" s="277">
        <f t="shared" si="275"/>
        <v>-0.16068614071605503</v>
      </c>
      <c r="K663" s="31">
        <f t="shared" si="276"/>
        <v>184680</v>
      </c>
      <c r="L663" s="31">
        <f t="shared" si="277"/>
        <v>-5</v>
      </c>
      <c r="M663" s="31">
        <f t="shared" si="278"/>
        <v>5</v>
      </c>
      <c r="N663" s="31">
        <f t="shared" si="279"/>
        <v>0</v>
      </c>
      <c r="O663" s="31"/>
      <c r="P663" s="31">
        <f t="shared" si="280"/>
        <v>-1.3095139444444541</v>
      </c>
      <c r="Q663" s="31">
        <f t="shared" si="281"/>
        <v>-2741</v>
      </c>
      <c r="R663" s="31"/>
      <c r="S663" s="31">
        <f t="shared" si="282"/>
        <v>0</v>
      </c>
      <c r="T663" s="31">
        <f t="shared" si="283"/>
        <v>400</v>
      </c>
      <c r="U663" s="31">
        <f t="shared" si="284"/>
        <v>-1.9503969089390338E-2</v>
      </c>
      <c r="V663" s="31" t="e">
        <f t="shared" si="285"/>
        <v>#DIV/0!</v>
      </c>
      <c r="W663" s="31">
        <f t="shared" si="286"/>
        <v>1.8241517694272164E-3</v>
      </c>
      <c r="X663" s="25">
        <f t="shared" si="287"/>
        <v>-8.1476897926750276</v>
      </c>
      <c r="Y663" s="25">
        <f t="shared" si="288"/>
        <v>6.8381758482305735</v>
      </c>
      <c r="Z663" s="25">
        <f t="shared" si="289"/>
        <v>-1384333.6131355597</v>
      </c>
      <c r="AA663" s="25">
        <f>SUM(L$2:L663)-SUM(AB$2:AB663)</f>
        <v>-39638.430000000139</v>
      </c>
      <c r="AB663" s="176"/>
      <c r="AC663" s="176">
        <f t="shared" si="290"/>
        <v>-5166.5494242324967</v>
      </c>
      <c r="AD663" s="176">
        <f t="shared" si="291"/>
        <v>-32166.549424232497</v>
      </c>
    </row>
    <row r="664" spans="1:30" s="1" customFormat="1" x14ac:dyDescent="0.25">
      <c r="A664" s="284">
        <v>44082</v>
      </c>
      <c r="B664" s="286" t="s">
        <v>899</v>
      </c>
      <c r="C664" s="315" t="s">
        <v>898</v>
      </c>
      <c r="D664" s="104">
        <v>500</v>
      </c>
      <c r="E664" s="104">
        <v>6.74</v>
      </c>
      <c r="F664" s="64">
        <f t="shared" si="255"/>
        <v>27500</v>
      </c>
      <c r="G664" s="32">
        <f t="shared" si="272"/>
        <v>8.1240682363636463</v>
      </c>
      <c r="H664" s="31">
        <f t="shared" si="273"/>
        <v>223411.87650000027</v>
      </c>
      <c r="I664" s="31">
        <f t="shared" si="274"/>
        <v>-38061.876500000275</v>
      </c>
      <c r="J664" s="277">
        <f t="shared" si="275"/>
        <v>-0.17036639724030167</v>
      </c>
      <c r="K664" s="31">
        <f t="shared" si="276"/>
        <v>185350</v>
      </c>
      <c r="L664" s="31">
        <f t="shared" si="277"/>
        <v>-2705</v>
      </c>
      <c r="M664" s="31">
        <f t="shared" si="278"/>
        <v>5</v>
      </c>
      <c r="N664" s="31">
        <f t="shared" si="279"/>
        <v>0</v>
      </c>
      <c r="O664" s="31"/>
      <c r="P664" s="31">
        <f t="shared" si="280"/>
        <v>-1.3840682363636461</v>
      </c>
      <c r="Q664" s="31">
        <f t="shared" si="281"/>
        <v>-3375</v>
      </c>
      <c r="R664" s="31"/>
      <c r="S664" s="31">
        <f t="shared" si="282"/>
        <v>-9.9999999999999645E-2</v>
      </c>
      <c r="T664" s="31">
        <f t="shared" si="283"/>
        <v>500</v>
      </c>
      <c r="U664" s="31">
        <f t="shared" si="284"/>
        <v>-2.5445708080807705E-2</v>
      </c>
      <c r="V664" s="31">
        <f t="shared" si="285"/>
        <v>0.25445708080807794</v>
      </c>
      <c r="W664" s="31">
        <f t="shared" si="286"/>
        <v>0.80148148148148146</v>
      </c>
      <c r="X664" s="25">
        <f t="shared" si="287"/>
        <v>-7.322586754882165</v>
      </c>
      <c r="Y664" s="25">
        <f t="shared" si="288"/>
        <v>5.938518518518519</v>
      </c>
      <c r="Z664" s="25">
        <f t="shared" si="289"/>
        <v>-1080732.3542606281</v>
      </c>
      <c r="AA664" s="25">
        <f>SUM(L$2:L664)-SUM(AB$2:AB664)</f>
        <v>-42343.430000000139</v>
      </c>
      <c r="AB664" s="176"/>
      <c r="AC664" s="176">
        <f t="shared" si="290"/>
        <v>-5644.3391041172508</v>
      </c>
      <c r="AD664" s="176">
        <f t="shared" si="291"/>
        <v>-33144.339104117251</v>
      </c>
    </row>
    <row r="665" spans="1:30" s="1" customFormat="1" x14ac:dyDescent="0.25">
      <c r="A665" s="284">
        <v>44085</v>
      </c>
      <c r="B665" s="286"/>
      <c r="C665" s="315" t="s">
        <v>903</v>
      </c>
      <c r="D665" s="104">
        <v>400</v>
      </c>
      <c r="E665" s="104">
        <v>6.7</v>
      </c>
      <c r="F665" s="64">
        <f t="shared" si="255"/>
        <v>27900</v>
      </c>
      <c r="G665" s="32">
        <f t="shared" si="272"/>
        <v>8.1038306989247406</v>
      </c>
      <c r="H665" s="31">
        <f t="shared" si="273"/>
        <v>226096.87650000027</v>
      </c>
      <c r="I665" s="31">
        <f t="shared" si="274"/>
        <v>-39166.876500000275</v>
      </c>
      <c r="J665" s="277">
        <f t="shared" si="275"/>
        <v>-0.17323050679119051</v>
      </c>
      <c r="K665" s="31">
        <f t="shared" si="276"/>
        <v>186930</v>
      </c>
      <c r="L665" s="31">
        <f t="shared" si="277"/>
        <v>-1105</v>
      </c>
      <c r="M665" s="31">
        <f t="shared" si="278"/>
        <v>5</v>
      </c>
      <c r="N665" s="31">
        <f t="shared" si="279"/>
        <v>0</v>
      </c>
      <c r="O665" s="31"/>
      <c r="P665" s="31">
        <f t="shared" si="280"/>
        <v>-1.4038306989247404</v>
      </c>
      <c r="Q665" s="31">
        <f t="shared" si="281"/>
        <v>-2685</v>
      </c>
      <c r="R665" s="31"/>
      <c r="S665" s="31">
        <f t="shared" si="282"/>
        <v>-4.0000000000000036E-2</v>
      </c>
      <c r="T665" s="31">
        <f t="shared" si="283"/>
        <v>400</v>
      </c>
      <c r="U665" s="31">
        <f t="shared" si="284"/>
        <v>-2.0237537438905662E-2</v>
      </c>
      <c r="V665" s="31">
        <f t="shared" si="285"/>
        <v>0.5059384359726411</v>
      </c>
      <c r="W665" s="31">
        <f t="shared" si="286"/>
        <v>0.41154562383612664</v>
      </c>
      <c r="X665" s="25">
        <f t="shared" si="287"/>
        <v>-7.6922850750886136</v>
      </c>
      <c r="Y665" s="25">
        <f t="shared" si="288"/>
        <v>6.2884543761638731</v>
      </c>
      <c r="Z665" s="25">
        <f t="shared" si="289"/>
        <v>-1378626.2327729478</v>
      </c>
      <c r="AA665" s="25">
        <f>SUM(L$2:L665)-SUM(AB$2:AB665)</f>
        <v>-43448.430000000139</v>
      </c>
      <c r="AB665" s="176"/>
      <c r="AC665" s="176">
        <f t="shared" si="290"/>
        <v>-5842.8795614552655</v>
      </c>
      <c r="AD665" s="176">
        <f t="shared" si="291"/>
        <v>-33742.879561455266</v>
      </c>
    </row>
    <row r="666" spans="1:30" s="1" customFormat="1" x14ac:dyDescent="0.25">
      <c r="A666" s="284">
        <v>44089</v>
      </c>
      <c r="B666" s="286" t="s">
        <v>906</v>
      </c>
      <c r="C666" s="64" t="s">
        <v>69</v>
      </c>
      <c r="D666" s="104">
        <v>400</v>
      </c>
      <c r="E666" s="104">
        <v>6.83</v>
      </c>
      <c r="F666" s="64">
        <f t="shared" si="255"/>
        <v>27500</v>
      </c>
      <c r="G666" s="32">
        <f t="shared" si="272"/>
        <v>8.1226403090909187</v>
      </c>
      <c r="H666" s="31">
        <f t="shared" si="273"/>
        <v>223372.60850000026</v>
      </c>
      <c r="I666" s="31">
        <f t="shared" si="274"/>
        <v>-35547.608500000264</v>
      </c>
      <c r="J666" s="277">
        <f t="shared" si="275"/>
        <v>-0.15914041000242077</v>
      </c>
      <c r="K666" s="31">
        <f t="shared" si="276"/>
        <v>187825</v>
      </c>
      <c r="L666" s="31">
        <f t="shared" si="277"/>
        <v>3619.2680000000109</v>
      </c>
      <c r="M666" s="31">
        <f t="shared" si="278"/>
        <v>5</v>
      </c>
      <c r="N666" s="31">
        <f t="shared" si="279"/>
        <v>2.7320000000000002</v>
      </c>
      <c r="O666" s="31"/>
      <c r="P666" s="31">
        <f t="shared" si="280"/>
        <v>-1.2926403090909186</v>
      </c>
      <c r="Q666" s="31">
        <f t="shared" si="281"/>
        <v>2724.2680000000109</v>
      </c>
      <c r="R666" s="31"/>
      <c r="S666" s="31">
        <f t="shared" si="282"/>
        <v>0.12999999999999989</v>
      </c>
      <c r="T666" s="31">
        <f t="shared" si="283"/>
        <v>-400</v>
      </c>
      <c r="U666" s="31">
        <f t="shared" si="284"/>
        <v>1.8809610166178103E-2</v>
      </c>
      <c r="V666" s="31">
        <f t="shared" si="285"/>
        <v>0.14468930897060092</v>
      </c>
      <c r="W666" s="31">
        <f t="shared" si="286"/>
        <v>1.3285286175956244</v>
      </c>
      <c r="X666" s="25">
        <f t="shared" si="287"/>
        <v>-6.7941116914952939</v>
      </c>
      <c r="Y666" s="25">
        <f t="shared" si="288"/>
        <v>5.5014713824043753</v>
      </c>
      <c r="Z666" s="25">
        <f t="shared" si="289"/>
        <v>1462018.6041626872</v>
      </c>
      <c r="AA666" s="25">
        <f>SUM(L$2:L666)-SUM(AB$2:AB666)</f>
        <v>-39829.162000000128</v>
      </c>
      <c r="AB666" s="176"/>
      <c r="AC666" s="176">
        <f t="shared" si="290"/>
        <v>-5202.0255777086777</v>
      </c>
      <c r="AD666" s="176">
        <f t="shared" si="291"/>
        <v>-32702.025577708679</v>
      </c>
    </row>
    <row r="667" spans="1:30" s="1" customFormat="1" x14ac:dyDescent="0.25">
      <c r="A667" s="284">
        <v>44092</v>
      </c>
      <c r="B667" s="286" t="s">
        <v>907</v>
      </c>
      <c r="C667" s="64" t="s">
        <v>69</v>
      </c>
      <c r="D667" s="104">
        <v>400</v>
      </c>
      <c r="E667" s="104">
        <v>6.94</v>
      </c>
      <c r="F667" s="64">
        <f t="shared" si="255"/>
        <v>27100</v>
      </c>
      <c r="G667" s="32">
        <f t="shared" si="272"/>
        <v>8.1403831918819289</v>
      </c>
      <c r="H667" s="31">
        <f t="shared" si="273"/>
        <v>220604.38450000028</v>
      </c>
      <c r="I667" s="31">
        <f t="shared" si="274"/>
        <v>-32530.384500000277</v>
      </c>
      <c r="J667" s="277">
        <f t="shared" si="275"/>
        <v>-0.14746028087216109</v>
      </c>
      <c r="K667" s="31">
        <f t="shared" si="276"/>
        <v>188074</v>
      </c>
      <c r="L667" s="31">
        <f t="shared" si="277"/>
        <v>3017.2239999999874</v>
      </c>
      <c r="M667" s="31">
        <f t="shared" si="278"/>
        <v>5</v>
      </c>
      <c r="N667" s="31">
        <f t="shared" si="279"/>
        <v>2.7759999999999998</v>
      </c>
      <c r="O667" s="31"/>
      <c r="P667" s="31">
        <f t="shared" si="280"/>
        <v>-1.2003831918819285</v>
      </c>
      <c r="Q667" s="31">
        <f t="shared" si="281"/>
        <v>2768.2239999999874</v>
      </c>
      <c r="R667" s="31"/>
      <c r="S667" s="31">
        <f t="shared" si="282"/>
        <v>0.11000000000000032</v>
      </c>
      <c r="T667" s="31">
        <f t="shared" si="283"/>
        <v>-400</v>
      </c>
      <c r="U667" s="31">
        <f t="shared" si="284"/>
        <v>1.7742882791010217E-2</v>
      </c>
      <c r="V667" s="31">
        <f t="shared" si="285"/>
        <v>0.16129893446372878</v>
      </c>
      <c r="W667" s="31">
        <f t="shared" si="286"/>
        <v>1.0899493682592165</v>
      </c>
      <c r="X667" s="25">
        <f t="shared" si="287"/>
        <v>-7.0504338236227122</v>
      </c>
      <c r="Y667" s="25">
        <f t="shared" si="288"/>
        <v>5.8500506317407837</v>
      </c>
      <c r="Z667" s="25">
        <f t="shared" si="289"/>
        <v>1527372.9933971469</v>
      </c>
      <c r="AA667" s="25">
        <f>SUM(L$2:L667)-SUM(AB$2:AB667)</f>
        <v>-36811.93800000014</v>
      </c>
      <c r="AB667" s="176"/>
      <c r="AC667" s="176">
        <f t="shared" si="290"/>
        <v>-4685.0316005403856</v>
      </c>
      <c r="AD667" s="176">
        <f t="shared" si="291"/>
        <v>-31785.031600540387</v>
      </c>
    </row>
    <row r="668" spans="1:30" s="1" customFormat="1" x14ac:dyDescent="0.25">
      <c r="A668" s="284">
        <v>44098</v>
      </c>
      <c r="B668" s="286"/>
      <c r="C668" s="315" t="s">
        <v>908</v>
      </c>
      <c r="D668" s="104">
        <v>400</v>
      </c>
      <c r="E668" s="104">
        <v>6.78</v>
      </c>
      <c r="F668" s="64">
        <f t="shared" si="255"/>
        <v>27500</v>
      </c>
      <c r="G668" s="32">
        <f t="shared" si="272"/>
        <v>8.1207776181818279</v>
      </c>
      <c r="H668" s="31">
        <f t="shared" si="273"/>
        <v>223321.38450000028</v>
      </c>
      <c r="I668" s="31">
        <f t="shared" si="274"/>
        <v>-36871.384500000277</v>
      </c>
      <c r="J668" s="277">
        <f t="shared" si="275"/>
        <v>-0.16510458495747063</v>
      </c>
      <c r="K668" s="31">
        <f t="shared" si="276"/>
        <v>186450</v>
      </c>
      <c r="L668" s="31">
        <f t="shared" si="277"/>
        <v>-4341</v>
      </c>
      <c r="M668" s="31">
        <f t="shared" si="278"/>
        <v>5</v>
      </c>
      <c r="N668" s="31">
        <f t="shared" si="279"/>
        <v>0</v>
      </c>
      <c r="O668" s="31"/>
      <c r="P668" s="31">
        <f t="shared" si="280"/>
        <v>-1.3407776181818276</v>
      </c>
      <c r="Q668" s="31">
        <f t="shared" si="281"/>
        <v>-2717</v>
      </c>
      <c r="R668" s="31"/>
      <c r="S668" s="31">
        <f t="shared" si="282"/>
        <v>-0.16000000000000014</v>
      </c>
      <c r="T668" s="31">
        <f t="shared" si="283"/>
        <v>400</v>
      </c>
      <c r="U668" s="31">
        <f t="shared" si="284"/>
        <v>-1.9605573700101075E-2</v>
      </c>
      <c r="V668" s="31">
        <f t="shared" si="285"/>
        <v>0.12253483562563161</v>
      </c>
      <c r="W668" s="31">
        <f t="shared" si="286"/>
        <v>1.5977180714022818</v>
      </c>
      <c r="X668" s="25">
        <f t="shared" si="287"/>
        <v>-6.523059546779546</v>
      </c>
      <c r="Y668" s="25">
        <f t="shared" si="288"/>
        <v>5.1822819285977184</v>
      </c>
      <c r="Z668" s="25">
        <f t="shared" si="289"/>
        <v>-1402662.3459561516</v>
      </c>
      <c r="AA668" s="25">
        <f>SUM(L$2:L668)-SUM(AB$2:AB668)</f>
        <v>-41152.93800000014</v>
      </c>
      <c r="AB668" s="176"/>
      <c r="AC668" s="176">
        <f t="shared" si="290"/>
        <v>-5435.5381722345546</v>
      </c>
      <c r="AD668" s="176">
        <f t="shared" si="291"/>
        <v>-32935.538172234556</v>
      </c>
    </row>
    <row r="669" spans="1:30" s="1" customFormat="1" x14ac:dyDescent="0.25">
      <c r="A669" s="284">
        <v>44099</v>
      </c>
      <c r="B669" s="286"/>
      <c r="C669" s="64" t="s">
        <v>63</v>
      </c>
      <c r="D669" s="104">
        <v>400</v>
      </c>
      <c r="E669" s="104">
        <v>6.67</v>
      </c>
      <c r="F669" s="64">
        <f t="shared" si="255"/>
        <v>27900</v>
      </c>
      <c r="G669" s="32">
        <f t="shared" si="272"/>
        <v>8.100157150537644</v>
      </c>
      <c r="H669" s="31">
        <f t="shared" si="273"/>
        <v>225994.38450000028</v>
      </c>
      <c r="I669" s="31">
        <f t="shared" si="274"/>
        <v>-39901.384500000277</v>
      </c>
      <c r="J669" s="277">
        <f t="shared" si="275"/>
        <v>-0.17655918569959078</v>
      </c>
      <c r="K669" s="31">
        <f t="shared" si="276"/>
        <v>186093</v>
      </c>
      <c r="L669" s="31">
        <f t="shared" si="277"/>
        <v>-3030</v>
      </c>
      <c r="M669" s="31">
        <f t="shared" si="278"/>
        <v>5</v>
      </c>
      <c r="N669" s="31">
        <f t="shared" si="279"/>
        <v>0</v>
      </c>
      <c r="O669" s="31"/>
      <c r="P669" s="31">
        <f t="shared" si="280"/>
        <v>-1.430157150537644</v>
      </c>
      <c r="Q669" s="31">
        <f t="shared" si="281"/>
        <v>-2673</v>
      </c>
      <c r="R669" s="31"/>
      <c r="S669" s="31">
        <f t="shared" si="282"/>
        <v>-0.11000000000000032</v>
      </c>
      <c r="T669" s="31">
        <f t="shared" si="283"/>
        <v>400</v>
      </c>
      <c r="U669" s="31">
        <f t="shared" si="284"/>
        <v>-2.0620467644183904E-2</v>
      </c>
      <c r="V669" s="31">
        <f t="shared" si="285"/>
        <v>0.18745879676530766</v>
      </c>
      <c r="W669" s="31">
        <f t="shared" si="286"/>
        <v>1.1335578002244668</v>
      </c>
      <c r="X669" s="25">
        <f t="shared" si="287"/>
        <v>-6.9665993503131771</v>
      </c>
      <c r="Y669" s="25">
        <f t="shared" si="288"/>
        <v>5.5364421997755331</v>
      </c>
      <c r="Z669" s="25">
        <f t="shared" si="289"/>
        <v>-1353024.6006748213</v>
      </c>
      <c r="AA669" s="25">
        <f>SUM(L$2:L669)-SUM(AB$2:AB669)</f>
        <v>-44182.93800000014</v>
      </c>
      <c r="AB669" s="176"/>
      <c r="AC669" s="176">
        <f t="shared" si="290"/>
        <v>-5979.225458433325</v>
      </c>
      <c r="AD669" s="176">
        <f t="shared" si="291"/>
        <v>-33879.225458433328</v>
      </c>
    </row>
    <row r="670" spans="1:30" s="1" customFormat="1" x14ac:dyDescent="0.25">
      <c r="A670" s="284">
        <v>44104</v>
      </c>
      <c r="B670" s="286"/>
      <c r="C670" s="315" t="s">
        <v>911</v>
      </c>
      <c r="D670" s="104">
        <v>400</v>
      </c>
      <c r="E670" s="104">
        <v>6.5</v>
      </c>
      <c r="F670" s="64">
        <f t="shared" si="255"/>
        <v>28300</v>
      </c>
      <c r="G670" s="32">
        <f t="shared" si="272"/>
        <v>8.0777167667844623</v>
      </c>
      <c r="H670" s="31">
        <f t="shared" si="273"/>
        <v>228599.38450000028</v>
      </c>
      <c r="I670" s="31">
        <f t="shared" si="274"/>
        <v>-44649.384500000277</v>
      </c>
      <c r="J670" s="277">
        <f t="shared" si="275"/>
        <v>-0.19531716849395203</v>
      </c>
      <c r="K670" s="31">
        <f t="shared" si="276"/>
        <v>183950</v>
      </c>
      <c r="L670" s="31">
        <f t="shared" si="277"/>
        <v>-4748</v>
      </c>
      <c r="M670" s="31">
        <f t="shared" si="278"/>
        <v>5</v>
      </c>
      <c r="N670" s="31">
        <f t="shared" si="279"/>
        <v>0</v>
      </c>
      <c r="O670" s="31"/>
      <c r="P670" s="31">
        <f t="shared" si="280"/>
        <v>-1.5777167667844623</v>
      </c>
      <c r="Q670" s="31">
        <f t="shared" si="281"/>
        <v>-2605</v>
      </c>
      <c r="R670" s="31"/>
      <c r="S670" s="31">
        <f t="shared" si="282"/>
        <v>-0.16999999999999993</v>
      </c>
      <c r="T670" s="31">
        <f t="shared" si="283"/>
        <v>400</v>
      </c>
      <c r="U670" s="31">
        <f t="shared" si="284"/>
        <v>-2.2440383753181692E-2</v>
      </c>
      <c r="V670" s="31">
        <f t="shared" si="285"/>
        <v>0.13200225737165708</v>
      </c>
      <c r="W670" s="31">
        <f t="shared" si="286"/>
        <v>1.8226487523992323</v>
      </c>
      <c r="X670" s="25">
        <f t="shared" si="287"/>
        <v>-6.2550680143852304</v>
      </c>
      <c r="Y670" s="25">
        <f t="shared" si="288"/>
        <v>4.6773512476007681</v>
      </c>
      <c r="Z670" s="25">
        <f t="shared" si="289"/>
        <v>-1261119.2531851202</v>
      </c>
      <c r="AA670" s="25">
        <f>SUM(L$2:L670)-SUM(AB$2:AB670)</f>
        <v>-48930.93800000014</v>
      </c>
      <c r="AB670" s="176"/>
      <c r="AC670" s="176">
        <f t="shared" si="290"/>
        <v>-6865.7015088846583</v>
      </c>
      <c r="AD670" s="176">
        <f t="shared" si="291"/>
        <v>-35165.70150888466</v>
      </c>
    </row>
    <row r="671" spans="1:30" s="1" customFormat="1" x14ac:dyDescent="0.25">
      <c r="A671" s="284">
        <v>44116</v>
      </c>
      <c r="B671" s="286" t="s">
        <v>912</v>
      </c>
      <c r="C671" s="64" t="s">
        <v>69</v>
      </c>
      <c r="D671" s="104">
        <v>400</v>
      </c>
      <c r="E671" s="104">
        <v>6.72</v>
      </c>
      <c r="F671" s="64">
        <f t="shared" si="255"/>
        <v>27900</v>
      </c>
      <c r="G671" s="32">
        <f t="shared" si="272"/>
        <v>8.0974577956989346</v>
      </c>
      <c r="H671" s="31">
        <f t="shared" si="273"/>
        <v>225919.07250000027</v>
      </c>
      <c r="I671" s="31">
        <f t="shared" si="274"/>
        <v>-38431.072500000271</v>
      </c>
      <c r="J671" s="277">
        <f t="shared" si="275"/>
        <v>-0.17010990738730231</v>
      </c>
      <c r="K671" s="31">
        <f t="shared" si="276"/>
        <v>187488</v>
      </c>
      <c r="L671" s="31">
        <f t="shared" si="277"/>
        <v>6218.3120000000054</v>
      </c>
      <c r="M671" s="31">
        <f t="shared" si="278"/>
        <v>5</v>
      </c>
      <c r="N671" s="31">
        <f t="shared" si="279"/>
        <v>2.6880000000000002</v>
      </c>
      <c r="O671" s="31"/>
      <c r="P671" s="31">
        <f t="shared" si="280"/>
        <v>-1.3774577956989349</v>
      </c>
      <c r="Q671" s="31">
        <f t="shared" si="281"/>
        <v>2680.3120000000054</v>
      </c>
      <c r="R671" s="31"/>
      <c r="S671" s="31">
        <f t="shared" si="282"/>
        <v>0.21999999999999975</v>
      </c>
      <c r="T671" s="31">
        <f t="shared" si="283"/>
        <v>-400</v>
      </c>
      <c r="U671" s="31">
        <f t="shared" si="284"/>
        <v>1.9741028914472381E-2</v>
      </c>
      <c r="V671" s="31">
        <f t="shared" si="285"/>
        <v>8.973194961123819E-2</v>
      </c>
      <c r="W671" s="31">
        <f t="shared" si="286"/>
        <v>2.3199955826038137</v>
      </c>
      <c r="X671" s="25">
        <f t="shared" si="287"/>
        <v>-5.777462213095121</v>
      </c>
      <c r="Y671" s="25">
        <f t="shared" si="288"/>
        <v>4.4000044173961861</v>
      </c>
      <c r="Z671" s="25">
        <f t="shared" si="289"/>
        <v>1413300.1942743815</v>
      </c>
      <c r="AA671" s="25">
        <f>SUM(L$2:L671)-SUM(AB$2:AB671)</f>
        <v>-42712.626000000135</v>
      </c>
      <c r="AB671" s="176"/>
      <c r="AC671" s="176">
        <f t="shared" si="290"/>
        <v>-5716.0501434152193</v>
      </c>
      <c r="AD671" s="176">
        <f t="shared" si="291"/>
        <v>-33616.050143415217</v>
      </c>
    </row>
    <row r="672" spans="1:30" s="1" customFormat="1" x14ac:dyDescent="0.25">
      <c r="A672" s="284">
        <v>44123</v>
      </c>
      <c r="B672" s="286" t="s">
        <v>1137</v>
      </c>
      <c r="C672" s="64" t="s">
        <v>69</v>
      </c>
      <c r="D672" s="104">
        <v>400</v>
      </c>
      <c r="E672" s="104">
        <v>6.81</v>
      </c>
      <c r="F672" s="64">
        <f t="shared" si="255"/>
        <v>27500</v>
      </c>
      <c r="G672" s="32">
        <f t="shared" si="272"/>
        <v>8.1164653272727367</v>
      </c>
      <c r="H672" s="31">
        <f t="shared" si="273"/>
        <v>223202.79650000026</v>
      </c>
      <c r="I672" s="31">
        <f t="shared" si="274"/>
        <v>-35927.796500000259</v>
      </c>
      <c r="J672" s="277">
        <f t="shared" si="275"/>
        <v>-0.16096481344937016</v>
      </c>
      <c r="K672" s="31">
        <f t="shared" si="276"/>
        <v>187275</v>
      </c>
      <c r="L672" s="31">
        <f t="shared" si="277"/>
        <v>2503.2760000000126</v>
      </c>
      <c r="M672" s="31">
        <f t="shared" si="278"/>
        <v>5</v>
      </c>
      <c r="N672" s="31">
        <f t="shared" si="279"/>
        <v>2.7240000000000002</v>
      </c>
      <c r="O672" s="31"/>
      <c r="P672" s="31">
        <f t="shared" si="280"/>
        <v>-1.3064653272727371</v>
      </c>
      <c r="Q672" s="31">
        <f t="shared" si="281"/>
        <v>2716.2760000000126</v>
      </c>
      <c r="R672" s="31"/>
      <c r="S672" s="31">
        <f t="shared" si="282"/>
        <v>8.9999999999999858E-2</v>
      </c>
      <c r="T672" s="31">
        <f t="shared" si="283"/>
        <v>-400</v>
      </c>
      <c r="U672" s="31">
        <f t="shared" si="284"/>
        <v>1.9007531573802083E-2</v>
      </c>
      <c r="V672" s="31">
        <f t="shared" si="285"/>
        <v>0.21119479526446794</v>
      </c>
      <c r="W672" s="31">
        <f t="shared" si="286"/>
        <v>0.92158381548855894</v>
      </c>
      <c r="X672" s="25">
        <f t="shared" si="287"/>
        <v>-7.1948815117841782</v>
      </c>
      <c r="Y672" s="25">
        <f t="shared" si="288"/>
        <v>5.8884161845114411</v>
      </c>
      <c r="Z672" s="25">
        <f t="shared" si="289"/>
        <v>1446794.9135437983</v>
      </c>
      <c r="AA672" s="25">
        <f>SUM(L$2:L672)-SUM(AB$2:AB672)</f>
        <v>-40209.350000000122</v>
      </c>
      <c r="AB672" s="176"/>
      <c r="AC672" s="176">
        <f t="shared" si="290"/>
        <v>-5273.1031720631809</v>
      </c>
      <c r="AD672" s="176">
        <f t="shared" si="291"/>
        <v>-32773.10317206318</v>
      </c>
    </row>
    <row r="673" spans="1:30" s="1" customFormat="1" x14ac:dyDescent="0.25">
      <c r="A673" s="284">
        <v>44124</v>
      </c>
      <c r="B673" s="286"/>
      <c r="C673" s="315" t="s">
        <v>1131</v>
      </c>
      <c r="D673" s="104">
        <v>400</v>
      </c>
      <c r="E673" s="104">
        <v>6.69</v>
      </c>
      <c r="F673" s="64">
        <f t="shared" si="255"/>
        <v>27900</v>
      </c>
      <c r="G673" s="32">
        <f t="shared" si="272"/>
        <v>8.0961934229390771</v>
      </c>
      <c r="H673" s="31">
        <f t="shared" si="273"/>
        <v>225883.79650000026</v>
      </c>
      <c r="I673" s="31">
        <f t="shared" si="274"/>
        <v>-39232.796500000259</v>
      </c>
      <c r="J673" s="277">
        <f t="shared" si="275"/>
        <v>-0.17368574952210084</v>
      </c>
      <c r="K673" s="31">
        <f t="shared" si="276"/>
        <v>186651</v>
      </c>
      <c r="L673" s="31">
        <f t="shared" si="277"/>
        <v>-3305</v>
      </c>
      <c r="M673" s="31">
        <f t="shared" si="278"/>
        <v>5</v>
      </c>
      <c r="N673" s="31">
        <f t="shared" si="279"/>
        <v>0</v>
      </c>
      <c r="O673" s="31"/>
      <c r="P673" s="31">
        <f t="shared" si="280"/>
        <v>-1.4061934229390767</v>
      </c>
      <c r="Q673" s="31">
        <f t="shared" si="281"/>
        <v>-2681</v>
      </c>
      <c r="R673" s="31"/>
      <c r="S673" s="31">
        <f t="shared" si="282"/>
        <v>-0.11999999999999922</v>
      </c>
      <c r="T673" s="31">
        <f t="shared" si="283"/>
        <v>400</v>
      </c>
      <c r="U673" s="31">
        <f t="shared" si="284"/>
        <v>-2.0271904333659663E-2</v>
      </c>
      <c r="V673" s="31">
        <f t="shared" si="285"/>
        <v>0.16893253611383163</v>
      </c>
      <c r="W673" s="31">
        <f t="shared" si="286"/>
        <v>1.2327489742633346</v>
      </c>
      <c r="X673" s="25">
        <f t="shared" si="287"/>
        <v>-6.8634444486757422</v>
      </c>
      <c r="Y673" s="25">
        <f t="shared" si="288"/>
        <v>5.4572510257366655</v>
      </c>
      <c r="Z673" s="25">
        <f t="shared" si="289"/>
        <v>-1376289.0521180378</v>
      </c>
      <c r="AA673" s="25">
        <f>SUM(L$2:L673)-SUM(AB$2:AB673)</f>
        <v>-43514.350000000122</v>
      </c>
      <c r="AB673" s="176"/>
      <c r="AC673" s="176">
        <f t="shared" si="290"/>
        <v>-5861.4618986173782</v>
      </c>
      <c r="AD673" s="176">
        <f t="shared" si="291"/>
        <v>-33761.461898617381</v>
      </c>
    </row>
    <row r="674" spans="1:30" s="1" customFormat="1" x14ac:dyDescent="0.25">
      <c r="A674" s="284">
        <v>44126</v>
      </c>
      <c r="B674" s="286" t="s">
        <v>1138</v>
      </c>
      <c r="C674" s="64" t="s">
        <v>69</v>
      </c>
      <c r="D674" s="104">
        <v>400</v>
      </c>
      <c r="E674" s="104">
        <v>6.81</v>
      </c>
      <c r="F674" s="64">
        <f t="shared" si="255"/>
        <v>27500</v>
      </c>
      <c r="G674" s="32">
        <f t="shared" si="272"/>
        <v>8.1151825636363721</v>
      </c>
      <c r="H674" s="31">
        <f t="shared" si="273"/>
        <v>223167.52050000025</v>
      </c>
      <c r="I674" s="31">
        <f t="shared" si="274"/>
        <v>-35892.520500000246</v>
      </c>
      <c r="J674" s="277">
        <f t="shared" si="275"/>
        <v>-0.16083218749567191</v>
      </c>
      <c r="K674" s="31">
        <f t="shared" si="276"/>
        <v>187275</v>
      </c>
      <c r="L674" s="31">
        <f t="shared" si="277"/>
        <v>3340.2760000000126</v>
      </c>
      <c r="M674" s="31">
        <f t="shared" si="278"/>
        <v>5</v>
      </c>
      <c r="N674" s="31">
        <f t="shared" si="279"/>
        <v>2.7240000000000002</v>
      </c>
      <c r="O674" s="31"/>
      <c r="P674" s="31">
        <f t="shared" si="280"/>
        <v>-1.3051825636363725</v>
      </c>
      <c r="Q674" s="31">
        <f t="shared" si="281"/>
        <v>2716.2760000000126</v>
      </c>
      <c r="R674" s="31"/>
      <c r="S674" s="31">
        <f t="shared" si="282"/>
        <v>0.11999999999999922</v>
      </c>
      <c r="T674" s="31">
        <f t="shared" si="283"/>
        <v>-400</v>
      </c>
      <c r="U674" s="31">
        <f t="shared" si="284"/>
        <v>1.898914069729507E-2</v>
      </c>
      <c r="V674" s="31">
        <f t="shared" si="285"/>
        <v>0.15824283914412662</v>
      </c>
      <c r="W674" s="31">
        <f t="shared" si="286"/>
        <v>1.229726287019433</v>
      </c>
      <c r="X674" s="25">
        <f t="shared" si="287"/>
        <v>-6.8854562766169387</v>
      </c>
      <c r="Y674" s="25">
        <f t="shared" si="288"/>
        <v>5.5802737129805662</v>
      </c>
      <c r="Z674" s="25">
        <f t="shared" si="289"/>
        <v>1448196.1263216755</v>
      </c>
      <c r="AA674" s="25">
        <f>SUM(L$2:L674)-SUM(AB$2:AB674)</f>
        <v>-40174.07400000011</v>
      </c>
      <c r="AB674" s="176"/>
      <c r="AC674" s="176">
        <f t="shared" si="290"/>
        <v>-5267.9257327092873</v>
      </c>
      <c r="AD674" s="176">
        <f t="shared" si="291"/>
        <v>-32767.925732709286</v>
      </c>
    </row>
    <row r="675" spans="1:30" s="1" customFormat="1" x14ac:dyDescent="0.25">
      <c r="A675" s="284">
        <v>44130</v>
      </c>
      <c r="B675" s="286"/>
      <c r="C675" s="315" t="s">
        <v>1131</v>
      </c>
      <c r="D675" s="104">
        <v>400</v>
      </c>
      <c r="E675" s="104">
        <v>6.74</v>
      </c>
      <c r="F675" s="64">
        <f t="shared" si="255"/>
        <v>27900</v>
      </c>
      <c r="G675" s="32">
        <f t="shared" si="272"/>
        <v>8.0956458960573556</v>
      </c>
      <c r="H675" s="31">
        <f t="shared" si="273"/>
        <v>225868.52050000025</v>
      </c>
      <c r="I675" s="31">
        <f t="shared" si="274"/>
        <v>-37822.520500000246</v>
      </c>
      <c r="J675" s="277">
        <f t="shared" si="275"/>
        <v>-0.16745370455463793</v>
      </c>
      <c r="K675" s="31">
        <f t="shared" si="276"/>
        <v>188046</v>
      </c>
      <c r="L675" s="31">
        <f t="shared" si="277"/>
        <v>-1930</v>
      </c>
      <c r="M675" s="31">
        <f t="shared" si="278"/>
        <v>5</v>
      </c>
      <c r="N675" s="31">
        <f t="shared" si="279"/>
        <v>0</v>
      </c>
      <c r="O675" s="31"/>
      <c r="P675" s="31">
        <f t="shared" si="280"/>
        <v>-1.3556458960573554</v>
      </c>
      <c r="Q675" s="31">
        <f t="shared" si="281"/>
        <v>-2701</v>
      </c>
      <c r="R675" s="31"/>
      <c r="S675" s="31">
        <f t="shared" si="282"/>
        <v>-6.9999999999999396E-2</v>
      </c>
      <c r="T675" s="31">
        <f t="shared" si="283"/>
        <v>400</v>
      </c>
      <c r="U675" s="31">
        <f t="shared" si="284"/>
        <v>-1.9536667579016509E-2</v>
      </c>
      <c r="V675" s="31">
        <f t="shared" si="285"/>
        <v>0.27909525112880967</v>
      </c>
      <c r="W675" s="31">
        <f t="shared" si="286"/>
        <v>0.71455016660496118</v>
      </c>
      <c r="X675" s="25">
        <f t="shared" si="287"/>
        <v>-7.3810957294523947</v>
      </c>
      <c r="Y675" s="25">
        <f t="shared" si="288"/>
        <v>6.0254498333950393</v>
      </c>
      <c r="Z675" s="25">
        <f t="shared" si="289"/>
        <v>-1428083.8780287271</v>
      </c>
      <c r="AA675" s="25">
        <f>SUM(L$2:L675)-SUM(AB$2:AB675)</f>
        <v>-42104.07400000011</v>
      </c>
      <c r="AB675" s="176"/>
      <c r="AC675" s="176">
        <f t="shared" si="290"/>
        <v>-5608.8441008531527</v>
      </c>
      <c r="AD675" s="176">
        <f t="shared" si="291"/>
        <v>-33508.844100853152</v>
      </c>
    </row>
    <row r="676" spans="1:30" s="1" customFormat="1" x14ac:dyDescent="0.25">
      <c r="A676" s="284">
        <v>44138</v>
      </c>
      <c r="B676" s="286"/>
      <c r="C676" s="315" t="s">
        <v>1132</v>
      </c>
      <c r="D676" s="104">
        <v>400</v>
      </c>
      <c r="E676" s="104">
        <v>6.86</v>
      </c>
      <c r="F676" s="64">
        <f t="shared" si="255"/>
        <v>27500</v>
      </c>
      <c r="G676" s="32">
        <f t="shared" si="272"/>
        <v>8.1139005272727367</v>
      </c>
      <c r="H676" s="31">
        <f t="shared" si="273"/>
        <v>223132.26450000025</v>
      </c>
      <c r="I676" s="31">
        <f t="shared" si="274"/>
        <v>-34482.264500000252</v>
      </c>
      <c r="J676" s="277">
        <f t="shared" si="275"/>
        <v>-0.1545373304809543</v>
      </c>
      <c r="K676" s="31">
        <f t="shared" si="276"/>
        <v>188650</v>
      </c>
      <c r="L676" s="31">
        <f t="shared" si="277"/>
        <v>3340.2559999999939</v>
      </c>
      <c r="M676" s="31">
        <f t="shared" si="278"/>
        <v>5</v>
      </c>
      <c r="N676" s="31">
        <f t="shared" si="279"/>
        <v>2.7440000000000002</v>
      </c>
      <c r="O676" s="31"/>
      <c r="P676" s="31">
        <f t="shared" si="280"/>
        <v>-1.2539005272727364</v>
      </c>
      <c r="Q676" s="31">
        <f t="shared" si="281"/>
        <v>2736.2559999999939</v>
      </c>
      <c r="R676" s="31"/>
      <c r="S676" s="31">
        <f t="shared" si="282"/>
        <v>0.12000000000000011</v>
      </c>
      <c r="T676" s="31">
        <f t="shared" si="283"/>
        <v>-400</v>
      </c>
      <c r="U676" s="31">
        <f t="shared" si="284"/>
        <v>1.8254631215381067E-2</v>
      </c>
      <c r="V676" s="31">
        <f t="shared" si="285"/>
        <v>0.1521219267948421</v>
      </c>
      <c r="W676" s="31">
        <f t="shared" si="286"/>
        <v>1.2207395799223468</v>
      </c>
      <c r="X676" s="25">
        <f t="shared" si="287"/>
        <v>-6.8931609473503901</v>
      </c>
      <c r="Y676" s="25">
        <f t="shared" si="288"/>
        <v>5.6392604200776537</v>
      </c>
      <c r="Z676" s="25">
        <f t="shared" si="289"/>
        <v>1506467.0261226054</v>
      </c>
      <c r="AA676" s="25">
        <f>SUM(L$2:L676)-SUM(AB$2:AB676)</f>
        <v>-38763.818000000116</v>
      </c>
      <c r="AB676" s="176"/>
      <c r="AC676" s="176">
        <f t="shared" si="290"/>
        <v>-5024.0558845116984</v>
      </c>
      <c r="AD676" s="176">
        <f t="shared" si="291"/>
        <v>-32524.055884511698</v>
      </c>
    </row>
    <row r="677" spans="1:30" s="1" customFormat="1" x14ac:dyDescent="0.25">
      <c r="A677" s="284">
        <v>44140</v>
      </c>
      <c r="B677" s="286" t="s">
        <v>1139</v>
      </c>
      <c r="C677" s="315" t="s">
        <v>1132</v>
      </c>
      <c r="D677" s="104">
        <v>400</v>
      </c>
      <c r="E677" s="104">
        <v>6.92</v>
      </c>
      <c r="F677" s="64">
        <f t="shared" si="255"/>
        <v>27100</v>
      </c>
      <c r="G677" s="32">
        <f t="shared" si="272"/>
        <v>8.1318093173431834</v>
      </c>
      <c r="H677" s="31">
        <f t="shared" si="273"/>
        <v>220372.03250000026</v>
      </c>
      <c r="I677" s="31">
        <f t="shared" si="274"/>
        <v>-32840.032500000263</v>
      </c>
      <c r="J677" s="277">
        <f t="shared" si="275"/>
        <v>-0.14902087223795166</v>
      </c>
      <c r="K677" s="31">
        <f t="shared" si="276"/>
        <v>187532</v>
      </c>
      <c r="L677" s="31">
        <f t="shared" si="277"/>
        <v>1642.2319999999891</v>
      </c>
      <c r="M677" s="31">
        <f t="shared" si="278"/>
        <v>5</v>
      </c>
      <c r="N677" s="31">
        <f t="shared" si="279"/>
        <v>2.7679999999999998</v>
      </c>
      <c r="O677" s="31"/>
      <c r="P677" s="31">
        <f t="shared" si="280"/>
        <v>-1.2118093173431834</v>
      </c>
      <c r="Q677" s="31">
        <f t="shared" si="281"/>
        <v>2760.2319999999891</v>
      </c>
      <c r="R677" s="31"/>
      <c r="S677" s="31">
        <f t="shared" si="282"/>
        <v>5.9999999999999609E-2</v>
      </c>
      <c r="T677" s="31">
        <f t="shared" si="283"/>
        <v>-400</v>
      </c>
      <c r="U677" s="31">
        <f t="shared" si="284"/>
        <v>1.7908790070446656E-2</v>
      </c>
      <c r="V677" s="31">
        <f t="shared" si="285"/>
        <v>0.2984798345074462</v>
      </c>
      <c r="W677" s="31">
        <f t="shared" si="286"/>
        <v>0.59496158293940349</v>
      </c>
      <c r="X677" s="25">
        <f t="shared" si="287"/>
        <v>-7.5368477344037803</v>
      </c>
      <c r="Y677" s="25">
        <f t="shared" si="288"/>
        <v>6.3250384170605969</v>
      </c>
      <c r="Z677" s="25">
        <f t="shared" si="289"/>
        <v>1513223.3888162444</v>
      </c>
      <c r="AA677" s="25">
        <f>SUM(L$2:L677)-SUM(AB$2:AB677)</f>
        <v>-37121.586000000127</v>
      </c>
      <c r="AB677" s="176"/>
      <c r="AC677" s="176">
        <f t="shared" si="290"/>
        <v>-4743.2966016980154</v>
      </c>
      <c r="AD677" s="176">
        <f t="shared" si="291"/>
        <v>-31843.296601698014</v>
      </c>
    </row>
    <row r="678" spans="1:30" s="1" customFormat="1" x14ac:dyDescent="0.25">
      <c r="A678" s="284">
        <v>44146</v>
      </c>
      <c r="B678" s="286"/>
      <c r="C678" s="315" t="s">
        <v>1132</v>
      </c>
      <c r="D678" s="104">
        <v>400</v>
      </c>
      <c r="E678" s="104">
        <v>7</v>
      </c>
      <c r="F678" s="64">
        <f t="shared" si="255"/>
        <v>26700</v>
      </c>
      <c r="G678" s="32">
        <f t="shared" si="272"/>
        <v>8.1490573970037552</v>
      </c>
      <c r="H678" s="31">
        <f t="shared" si="273"/>
        <v>217579.83250000025</v>
      </c>
      <c r="I678" s="31">
        <f t="shared" si="274"/>
        <v>-30679.832500000251</v>
      </c>
      <c r="J678" s="277">
        <f t="shared" si="275"/>
        <v>-0.14100494585131287</v>
      </c>
      <c r="K678" s="31">
        <f t="shared" si="276"/>
        <v>186900</v>
      </c>
      <c r="L678" s="31">
        <f t="shared" si="277"/>
        <v>2160.2000000000116</v>
      </c>
      <c r="M678" s="31">
        <f t="shared" si="278"/>
        <v>5</v>
      </c>
      <c r="N678" s="31">
        <f t="shared" si="279"/>
        <v>2.8</v>
      </c>
      <c r="O678" s="31"/>
      <c r="P678" s="31">
        <f t="shared" si="280"/>
        <v>-1.1490573970037552</v>
      </c>
      <c r="Q678" s="31">
        <f t="shared" si="281"/>
        <v>2792.2000000000116</v>
      </c>
      <c r="R678" s="31"/>
      <c r="S678" s="31">
        <f t="shared" si="282"/>
        <v>8.0000000000000071E-2</v>
      </c>
      <c r="T678" s="31">
        <f t="shared" si="283"/>
        <v>-400</v>
      </c>
      <c r="U678" s="31">
        <f t="shared" si="284"/>
        <v>1.7248079660571847E-2</v>
      </c>
      <c r="V678" s="31">
        <f t="shared" si="285"/>
        <v>0.21560099575714789</v>
      </c>
      <c r="W678" s="31">
        <f t="shared" si="286"/>
        <v>0.77365518229353292</v>
      </c>
      <c r="X678" s="25">
        <f t="shared" si="287"/>
        <v>-7.3754022147102223</v>
      </c>
      <c r="Y678" s="25">
        <f t="shared" si="288"/>
        <v>6.2263448177064671</v>
      </c>
      <c r="Z678" s="25">
        <f t="shared" si="289"/>
        <v>1547998.416370648</v>
      </c>
      <c r="AA678" s="25">
        <f>SUM(L$2:L678)-SUM(AB$2:AB678)</f>
        <v>-34961.386000000115</v>
      </c>
      <c r="AB678" s="176"/>
      <c r="AC678" s="176">
        <f t="shared" si="290"/>
        <v>-4380.641797678607</v>
      </c>
      <c r="AD678" s="176">
        <f t="shared" si="291"/>
        <v>-31080.641797678607</v>
      </c>
    </row>
    <row r="679" spans="1:30" s="1" customFormat="1" x14ac:dyDescent="0.25">
      <c r="A679" s="284">
        <v>44148</v>
      </c>
      <c r="B679" s="286" t="s">
        <v>1136</v>
      </c>
      <c r="C679" s="315" t="s">
        <v>1131</v>
      </c>
      <c r="D679" s="104">
        <v>400</v>
      </c>
      <c r="E679" s="104">
        <v>6.87</v>
      </c>
      <c r="F679" s="64">
        <f t="shared" si="255"/>
        <v>27100</v>
      </c>
      <c r="G679" s="32">
        <f t="shared" si="272"/>
        <v>8.1303628228782383</v>
      </c>
      <c r="H679" s="31">
        <f t="shared" si="273"/>
        <v>220332.83250000025</v>
      </c>
      <c r="I679" s="31">
        <f t="shared" si="274"/>
        <v>-34155.832500000251</v>
      </c>
      <c r="J679" s="277">
        <f t="shared" si="275"/>
        <v>-0.15501925932895277</v>
      </c>
      <c r="K679" s="31">
        <f t="shared" si="276"/>
        <v>186177</v>
      </c>
      <c r="L679" s="31">
        <f t="shared" si="277"/>
        <v>-3476</v>
      </c>
      <c r="M679" s="31">
        <f t="shared" si="278"/>
        <v>5</v>
      </c>
      <c r="N679" s="31">
        <f t="shared" si="279"/>
        <v>0</v>
      </c>
      <c r="O679" s="31"/>
      <c r="P679" s="31">
        <f t="shared" si="280"/>
        <v>-1.2603628228782382</v>
      </c>
      <c r="Q679" s="31">
        <f t="shared" si="281"/>
        <v>-2753</v>
      </c>
      <c r="R679" s="31"/>
      <c r="S679" s="31">
        <f t="shared" si="282"/>
        <v>-0.12999999999999989</v>
      </c>
      <c r="T679" s="31">
        <f t="shared" si="283"/>
        <v>400</v>
      </c>
      <c r="U679" s="31">
        <f t="shared" si="284"/>
        <v>-1.8694574125516894E-2</v>
      </c>
      <c r="V679" s="31">
        <f t="shared" si="285"/>
        <v>0.14380441635013008</v>
      </c>
      <c r="W679" s="31">
        <f t="shared" si="286"/>
        <v>1.2626225935343263</v>
      </c>
      <c r="X679" s="25">
        <f t="shared" si="287"/>
        <v>-6.8677402293439123</v>
      </c>
      <c r="Y679" s="25">
        <f t="shared" si="288"/>
        <v>5.6073774064656741</v>
      </c>
      <c r="Z679" s="25">
        <f t="shared" si="289"/>
        <v>-1449618.4731488607</v>
      </c>
      <c r="AA679" s="25">
        <f>SUM(L$2:L679)-SUM(AB$2:AB679)</f>
        <v>-38437.386000000115</v>
      </c>
      <c r="AB679" s="176"/>
      <c r="AC679" s="176">
        <f t="shared" si="290"/>
        <v>-4969.2510311135738</v>
      </c>
      <c r="AD679" s="176">
        <f t="shared" si="291"/>
        <v>-32069.251031113574</v>
      </c>
    </row>
    <row r="680" spans="1:30" s="1" customFormat="1" x14ac:dyDescent="0.25">
      <c r="A680" s="284">
        <v>44152</v>
      </c>
      <c r="B680" s="286" t="s">
        <v>1135</v>
      </c>
      <c r="C680" s="315" t="s">
        <v>1132</v>
      </c>
      <c r="D680" s="104">
        <v>400</v>
      </c>
      <c r="E680" s="104">
        <v>7</v>
      </c>
      <c r="F680" s="64">
        <f t="shared" si="255"/>
        <v>26700</v>
      </c>
      <c r="G680" s="32">
        <f t="shared" si="272"/>
        <v>8.1475892322097465</v>
      </c>
      <c r="H680" s="31">
        <f t="shared" si="273"/>
        <v>217540.63250000024</v>
      </c>
      <c r="I680" s="31">
        <f t="shared" si="274"/>
        <v>-30640.63250000024</v>
      </c>
      <c r="J680" s="277">
        <f t="shared" si="275"/>
        <v>-0.14085015818826491</v>
      </c>
      <c r="K680" s="31">
        <f t="shared" si="276"/>
        <v>186900</v>
      </c>
      <c r="L680" s="31">
        <f t="shared" si="277"/>
        <v>3515.2000000000116</v>
      </c>
      <c r="M680" s="31">
        <f t="shared" si="278"/>
        <v>5</v>
      </c>
      <c r="N680" s="31">
        <f t="shared" si="279"/>
        <v>2.8</v>
      </c>
      <c r="O680" s="31"/>
      <c r="P680" s="31">
        <f t="shared" si="280"/>
        <v>-1.1475892322097465</v>
      </c>
      <c r="Q680" s="31">
        <f t="shared" si="281"/>
        <v>2792.2000000000116</v>
      </c>
      <c r="R680" s="31"/>
      <c r="S680" s="31">
        <f t="shared" si="282"/>
        <v>0.12999999999999989</v>
      </c>
      <c r="T680" s="31">
        <f t="shared" si="283"/>
        <v>-400</v>
      </c>
      <c r="U680" s="31">
        <f t="shared" si="284"/>
        <v>1.7226409331508208E-2</v>
      </c>
      <c r="V680" s="31">
        <f t="shared" si="285"/>
        <v>0.13251084101160171</v>
      </c>
      <c r="W680" s="31">
        <f t="shared" si="286"/>
        <v>1.2589356063319235</v>
      </c>
      <c r="X680" s="25">
        <f t="shared" si="287"/>
        <v>-6.888653625877823</v>
      </c>
      <c r="Y680" s="25">
        <f t="shared" si="288"/>
        <v>5.7410643936680765</v>
      </c>
      <c r="Z680" s="25">
        <f t="shared" si="289"/>
        <v>1549945.7539978449</v>
      </c>
      <c r="AA680" s="25">
        <f>SUM(L$2:L680)-SUM(AB$2:AB680)</f>
        <v>-34922.186000000103</v>
      </c>
      <c r="AB680" s="176"/>
      <c r="AC680" s="176">
        <f t="shared" si="290"/>
        <v>-4375.0445976786059</v>
      </c>
      <c r="AD680" s="176">
        <f t="shared" si="291"/>
        <v>-31075.044597678607</v>
      </c>
    </row>
    <row r="681" spans="1:30" s="1" customFormat="1" x14ac:dyDescent="0.25">
      <c r="A681" s="284">
        <v>44152</v>
      </c>
      <c r="B681" s="286" t="s">
        <v>1134</v>
      </c>
      <c r="C681" s="315" t="s">
        <v>1133</v>
      </c>
      <c r="D681" s="104">
        <v>400</v>
      </c>
      <c r="E681" s="104">
        <v>7.05</v>
      </c>
      <c r="F681" s="64">
        <f t="shared" si="255"/>
        <v>26300</v>
      </c>
      <c r="G681" s="32">
        <f t="shared" si="272"/>
        <v>8.1645799429657888</v>
      </c>
      <c r="H681" s="31">
        <f t="shared" si="273"/>
        <v>214728.45250000025</v>
      </c>
      <c r="I681" s="31">
        <f t="shared" si="274"/>
        <v>-29313.452500000247</v>
      </c>
      <c r="J681" s="277">
        <f t="shared" si="275"/>
        <v>-0.13651405837798891</v>
      </c>
      <c r="K681" s="31">
        <f t="shared" si="276"/>
        <v>185415</v>
      </c>
      <c r="L681" s="31">
        <f t="shared" si="277"/>
        <v>1327.179999999993</v>
      </c>
      <c r="M681" s="31">
        <f t="shared" si="278"/>
        <v>5</v>
      </c>
      <c r="N681" s="31">
        <f t="shared" si="279"/>
        <v>2.82</v>
      </c>
      <c r="O681" s="31"/>
      <c r="P681" s="31">
        <f t="shared" si="280"/>
        <v>-1.114579942965789</v>
      </c>
      <c r="Q681" s="31">
        <f t="shared" si="281"/>
        <v>2812.179999999993</v>
      </c>
      <c r="R681" s="31"/>
      <c r="S681" s="31">
        <f t="shared" si="282"/>
        <v>4.9999999999999822E-2</v>
      </c>
      <c r="T681" s="31">
        <f t="shared" si="283"/>
        <v>-400</v>
      </c>
      <c r="U681" s="31">
        <f t="shared" si="284"/>
        <v>1.6990710756042304E-2</v>
      </c>
      <c r="V681" s="31">
        <f t="shared" si="285"/>
        <v>0.33981421512084731</v>
      </c>
      <c r="W681" s="31">
        <f t="shared" si="286"/>
        <v>0.4719399184973922</v>
      </c>
      <c r="X681" s="25">
        <f t="shared" si="287"/>
        <v>-7.692640024468397</v>
      </c>
      <c r="Y681" s="25">
        <f t="shared" si="288"/>
        <v>6.578060081502608</v>
      </c>
      <c r="Z681" s="25">
        <f t="shared" si="289"/>
        <v>1547904.6390479626</v>
      </c>
      <c r="AA681" s="25">
        <f>SUM(L$2:L681)-SUM(AB$2:AB681)</f>
        <v>-33595.00600000011</v>
      </c>
      <c r="AB681" s="176"/>
      <c r="AC681" s="176">
        <f t="shared" si="290"/>
        <v>-4155.8575565603196</v>
      </c>
      <c r="AD681" s="176">
        <f t="shared" si="291"/>
        <v>-30455.857556560321</v>
      </c>
    </row>
    <row r="682" spans="1:30" s="1" customFormat="1" x14ac:dyDescent="0.25">
      <c r="A682" s="284">
        <v>44159</v>
      </c>
      <c r="B682" s="286" t="s">
        <v>1145</v>
      </c>
      <c r="C682" s="64" t="s">
        <v>63</v>
      </c>
      <c r="D682" s="104">
        <v>400</v>
      </c>
      <c r="E682" s="104">
        <v>6.93</v>
      </c>
      <c r="F682" s="64">
        <f t="shared" si="255"/>
        <v>26700</v>
      </c>
      <c r="G682" s="32">
        <f t="shared" si="272"/>
        <v>8.1462716292134925</v>
      </c>
      <c r="H682" s="31">
        <f t="shared" si="273"/>
        <v>217505.45250000025</v>
      </c>
      <c r="I682" s="31">
        <f t="shared" si="274"/>
        <v>-32474.452500000247</v>
      </c>
      <c r="J682" s="277">
        <f t="shared" si="275"/>
        <v>-0.14930408468725728</v>
      </c>
      <c r="K682" s="31">
        <f t="shared" si="276"/>
        <v>185031</v>
      </c>
      <c r="L682" s="31">
        <f t="shared" si="277"/>
        <v>-3161</v>
      </c>
      <c r="M682" s="31">
        <f t="shared" si="278"/>
        <v>5</v>
      </c>
      <c r="N682" s="31">
        <f t="shared" si="279"/>
        <v>0</v>
      </c>
      <c r="O682" s="31"/>
      <c r="P682" s="31">
        <f t="shared" si="280"/>
        <v>-1.2162716292134927</v>
      </c>
      <c r="Q682" s="31">
        <f t="shared" si="281"/>
        <v>-2777</v>
      </c>
      <c r="R682" s="31"/>
      <c r="S682" s="31">
        <f t="shared" si="282"/>
        <v>-0.12000000000000011</v>
      </c>
      <c r="T682" s="31">
        <f t="shared" si="283"/>
        <v>400</v>
      </c>
      <c r="U682" s="31">
        <f t="shared" si="284"/>
        <v>-1.8308313752296357E-2</v>
      </c>
      <c r="V682" s="31">
        <f t="shared" si="285"/>
        <v>0.15256928126913616</v>
      </c>
      <c r="W682" s="31">
        <f t="shared" si="286"/>
        <v>1.1382787180410514</v>
      </c>
      <c r="X682" s="25">
        <f t="shared" si="287"/>
        <v>-7.0079929111724413</v>
      </c>
      <c r="Y682" s="25">
        <f t="shared" si="288"/>
        <v>5.7917212819589485</v>
      </c>
      <c r="Z682" s="25">
        <f t="shared" si="289"/>
        <v>-1458353.8583203</v>
      </c>
      <c r="AA682" s="25">
        <f>SUM(L$2:L682)-SUM(AB$2:AB682)</f>
        <v>-36756.00600000011</v>
      </c>
      <c r="AB682" s="176"/>
      <c r="AC682" s="176">
        <f t="shared" si="290"/>
        <v>-4683.7251477273085</v>
      </c>
      <c r="AD682" s="176">
        <f t="shared" si="291"/>
        <v>-31383.725147727309</v>
      </c>
    </row>
    <row r="683" spans="1:30" s="1" customFormat="1" x14ac:dyDescent="0.25">
      <c r="A683" s="284">
        <v>44160</v>
      </c>
      <c r="B683" s="286"/>
      <c r="C683" s="315" t="s">
        <v>1140</v>
      </c>
      <c r="D683" s="104">
        <v>400</v>
      </c>
      <c r="E683" s="104">
        <v>6.99</v>
      </c>
      <c r="F683" s="64">
        <f t="shared" si="255"/>
        <v>26300</v>
      </c>
      <c r="G683" s="32">
        <f t="shared" si="272"/>
        <v>8.1641539353612256</v>
      </c>
      <c r="H683" s="31">
        <f t="shared" si="273"/>
        <v>214717.24850000025</v>
      </c>
      <c r="I683" s="31">
        <f t="shared" si="274"/>
        <v>-30880.248500000249</v>
      </c>
      <c r="J683" s="277">
        <f t="shared" si="275"/>
        <v>-0.1438182014520375</v>
      </c>
      <c r="K683" s="31">
        <f t="shared" si="276"/>
        <v>183837</v>
      </c>
      <c r="L683" s="31">
        <f t="shared" si="277"/>
        <v>1594.2039999999979</v>
      </c>
      <c r="M683" s="31">
        <f t="shared" si="278"/>
        <v>5</v>
      </c>
      <c r="N683" s="31">
        <f t="shared" si="279"/>
        <v>2.7959999999999998</v>
      </c>
      <c r="O683" s="31"/>
      <c r="P683" s="31">
        <f t="shared" si="280"/>
        <v>-1.1741539353612254</v>
      </c>
      <c r="Q683" s="31">
        <f t="shared" si="281"/>
        <v>2788.2039999999979</v>
      </c>
      <c r="R683" s="31"/>
      <c r="S683" s="31">
        <f t="shared" si="282"/>
        <v>6.0000000000000497E-2</v>
      </c>
      <c r="T683" s="31">
        <f t="shared" si="283"/>
        <v>-400</v>
      </c>
      <c r="U683" s="31">
        <f t="shared" si="284"/>
        <v>1.7882306147733118E-2</v>
      </c>
      <c r="V683" s="31">
        <f t="shared" si="285"/>
        <v>0.29803843579554951</v>
      </c>
      <c r="W683" s="31">
        <f t="shared" si="286"/>
        <v>0.57176734557442677</v>
      </c>
      <c r="X683" s="25">
        <f t="shared" si="287"/>
        <v>-7.5923865897867984</v>
      </c>
      <c r="Y683" s="25">
        <f t="shared" si="288"/>
        <v>6.418232654425573</v>
      </c>
      <c r="Z683" s="25">
        <f t="shared" si="289"/>
        <v>1470727.5327200438</v>
      </c>
      <c r="AA683" s="25">
        <f>SUM(L$2:L683)-SUM(AB$2:AB683)</f>
        <v>-35161.802000000112</v>
      </c>
      <c r="AB683" s="176"/>
      <c r="AC683" s="176">
        <f t="shared" si="290"/>
        <v>-4415.5662912375174</v>
      </c>
      <c r="AD683" s="176">
        <f t="shared" si="291"/>
        <v>-30715.566291237519</v>
      </c>
    </row>
    <row r="684" spans="1:30" s="1" customFormat="1" x14ac:dyDescent="0.25">
      <c r="A684" s="284">
        <v>44165</v>
      </c>
      <c r="B684" s="286"/>
      <c r="C684" s="315" t="s">
        <v>69</v>
      </c>
      <c r="D684" s="104">
        <v>400</v>
      </c>
      <c r="E684" s="104">
        <v>7.11</v>
      </c>
      <c r="F684" s="64">
        <f t="shared" si="255"/>
        <v>25900</v>
      </c>
      <c r="G684" s="32">
        <f t="shared" si="272"/>
        <v>8.1807371621621723</v>
      </c>
      <c r="H684" s="31">
        <f t="shared" si="273"/>
        <v>211881.09250000026</v>
      </c>
      <c r="I684" s="31">
        <f t="shared" si="274"/>
        <v>-27732.092500000261</v>
      </c>
      <c r="J684" s="277">
        <f t="shared" si="275"/>
        <v>-0.13088516852913726</v>
      </c>
      <c r="K684" s="31">
        <f t="shared" si="276"/>
        <v>184149</v>
      </c>
      <c r="L684" s="31">
        <f t="shared" si="277"/>
        <v>3148.1559999999881</v>
      </c>
      <c r="M684" s="31">
        <f t="shared" si="278"/>
        <v>5</v>
      </c>
      <c r="N684" s="31">
        <f t="shared" si="279"/>
        <v>2.8439999999999999</v>
      </c>
      <c r="O684" s="31"/>
      <c r="P684" s="31">
        <f t="shared" si="280"/>
        <v>-1.070737162162172</v>
      </c>
      <c r="Q684" s="31">
        <f t="shared" si="281"/>
        <v>2836.1559999999881</v>
      </c>
      <c r="R684" s="31"/>
      <c r="S684" s="31">
        <f t="shared" si="282"/>
        <v>0.12000000000000011</v>
      </c>
      <c r="T684" s="31">
        <f t="shared" si="283"/>
        <v>-400</v>
      </c>
      <c r="U684" s="31">
        <f t="shared" si="284"/>
        <v>1.6583226800946704E-2</v>
      </c>
      <c r="V684" s="31">
        <f t="shared" si="285"/>
        <v>0.13819355667455574</v>
      </c>
      <c r="W684" s="31">
        <f t="shared" si="286"/>
        <v>1.1100080531536352</v>
      </c>
      <c r="X684" s="25">
        <f t="shared" si="287"/>
        <v>-7.0707291090085373</v>
      </c>
      <c r="Y684" s="25">
        <f t="shared" si="288"/>
        <v>5.9999919468463654</v>
      </c>
      <c r="Z684" s="25">
        <f t="shared" si="289"/>
        <v>1561819.07845109</v>
      </c>
      <c r="AA684" s="25">
        <f>SUM(L$2:L684)-SUM(AB$2:AB684)</f>
        <v>-32013.646000000124</v>
      </c>
      <c r="AB684" s="176"/>
      <c r="AC684" s="176">
        <f t="shared" si="290"/>
        <v>-3898.4847332982081</v>
      </c>
      <c r="AD684" s="176">
        <f t="shared" si="291"/>
        <v>-29798.48473329821</v>
      </c>
    </row>
    <row r="685" spans="1:30" s="1" customFormat="1" x14ac:dyDescent="0.25">
      <c r="A685" s="284">
        <v>44165</v>
      </c>
      <c r="B685" s="286" t="s">
        <v>1148</v>
      </c>
      <c r="C685" s="315" t="s">
        <v>1147</v>
      </c>
      <c r="D685" s="104">
        <v>400</v>
      </c>
      <c r="E685" s="104">
        <v>6.94</v>
      </c>
      <c r="F685" s="64">
        <f t="shared" si="255"/>
        <v>26300</v>
      </c>
      <c r="G685" s="32">
        <f t="shared" si="272"/>
        <v>8.1620567490494391</v>
      </c>
      <c r="H685" s="31">
        <f t="shared" si="273"/>
        <v>214662.09250000026</v>
      </c>
      <c r="I685" s="31">
        <f t="shared" si="274"/>
        <v>-32140.092500000261</v>
      </c>
      <c r="J685" s="277">
        <f t="shared" si="275"/>
        <v>-0.14972411815095021</v>
      </c>
      <c r="K685" s="31">
        <f t="shared" si="276"/>
        <v>182522</v>
      </c>
      <c r="L685" s="31">
        <f t="shared" si="277"/>
        <v>-4408</v>
      </c>
      <c r="M685" s="31">
        <f t="shared" si="278"/>
        <v>5</v>
      </c>
      <c r="N685" s="31">
        <f t="shared" si="279"/>
        <v>0</v>
      </c>
      <c r="O685" s="31"/>
      <c r="P685" s="31">
        <f t="shared" si="280"/>
        <v>-1.2220567490494387</v>
      </c>
      <c r="Q685" s="31">
        <f t="shared" si="281"/>
        <v>-2781</v>
      </c>
      <c r="R685" s="31"/>
      <c r="S685" s="31">
        <f t="shared" si="282"/>
        <v>-0.16999999999999993</v>
      </c>
      <c r="T685" s="31">
        <f t="shared" si="283"/>
        <v>400</v>
      </c>
      <c r="U685" s="31">
        <f t="shared" si="284"/>
        <v>-1.8680413112733163E-2</v>
      </c>
      <c r="V685" s="31">
        <f t="shared" si="285"/>
        <v>0.10988478301607747</v>
      </c>
      <c r="W685" s="31">
        <f t="shared" si="286"/>
        <v>1.5850413520316433</v>
      </c>
      <c r="X685" s="25">
        <f t="shared" si="287"/>
        <v>-6.5770153970177958</v>
      </c>
      <c r="Y685" s="25">
        <f t="shared" si="288"/>
        <v>5.3549586479683571</v>
      </c>
      <c r="Z685" s="25">
        <f t="shared" si="289"/>
        <v>-1407891.7763372741</v>
      </c>
      <c r="AA685" s="25">
        <f>SUM(L$2:L685)-SUM(AB$2:AB685)</f>
        <v>-36421.646000000124</v>
      </c>
      <c r="AB685" s="176"/>
      <c r="AC685" s="176">
        <f t="shared" si="290"/>
        <v>-4628.821679214735</v>
      </c>
      <c r="AD685" s="176">
        <f t="shared" si="291"/>
        <v>-30928.821679214736</v>
      </c>
    </row>
    <row r="686" spans="1:30" s="1" customFormat="1" x14ac:dyDescent="0.25">
      <c r="A686" s="284">
        <v>44168</v>
      </c>
      <c r="B686" s="336"/>
      <c r="C686" s="64" t="s">
        <v>63</v>
      </c>
      <c r="D686" s="104">
        <v>400</v>
      </c>
      <c r="E686" s="104">
        <v>6.88</v>
      </c>
      <c r="F686" s="64">
        <f t="shared" si="255"/>
        <v>26700</v>
      </c>
      <c r="G686" s="32">
        <f t="shared" si="272"/>
        <v>8.1430371722846537</v>
      </c>
      <c r="H686" s="31">
        <f t="shared" si="273"/>
        <v>217419.09250000026</v>
      </c>
      <c r="I686" s="31">
        <f t="shared" si="274"/>
        <v>-33723.092500000261</v>
      </c>
      <c r="J686" s="277">
        <f t="shared" si="275"/>
        <v>-0.1551063989470024</v>
      </c>
      <c r="K686" s="31">
        <f t="shared" si="276"/>
        <v>183696</v>
      </c>
      <c r="L686" s="31">
        <f t="shared" si="277"/>
        <v>-1583</v>
      </c>
      <c r="M686" s="31">
        <f t="shared" si="278"/>
        <v>5</v>
      </c>
      <c r="N686" s="31">
        <f t="shared" si="279"/>
        <v>0</v>
      </c>
      <c r="O686" s="31"/>
      <c r="P686" s="31">
        <f t="shared" si="280"/>
        <v>-1.2630371722846538</v>
      </c>
      <c r="Q686" s="31">
        <f t="shared" si="281"/>
        <v>-2757</v>
      </c>
      <c r="R686" s="31"/>
      <c r="S686" s="31">
        <f t="shared" si="282"/>
        <v>-6.0000000000000497E-2</v>
      </c>
      <c r="T686" s="31">
        <f t="shared" si="283"/>
        <v>400</v>
      </c>
      <c r="U686" s="31">
        <f t="shared" si="284"/>
        <v>-1.9019576764785384E-2</v>
      </c>
      <c r="V686" s="31">
        <f t="shared" si="285"/>
        <v>0.31699294607975376</v>
      </c>
      <c r="W686" s="31">
        <f t="shared" si="286"/>
        <v>0.57417482771128037</v>
      </c>
      <c r="X686" s="25">
        <f t="shared" si="287"/>
        <v>-7.5688623445733736</v>
      </c>
      <c r="Y686" s="25">
        <f t="shared" si="288"/>
        <v>6.3058251722887197</v>
      </c>
      <c r="Z686" s="25">
        <f t="shared" si="289"/>
        <v>-1403816.7268492992</v>
      </c>
      <c r="AA686" s="25">
        <f>SUM(L$2:L686)-SUM(AB$2:AB686)</f>
        <v>-38004.646000000124</v>
      </c>
      <c r="AB686" s="176"/>
      <c r="AC686" s="176">
        <f t="shared" si="290"/>
        <v>-4899.1614758357946</v>
      </c>
      <c r="AD686" s="176">
        <f t="shared" si="291"/>
        <v>-31599.161475835794</v>
      </c>
    </row>
    <row r="687" spans="1:30" s="1" customFormat="1" x14ac:dyDescent="0.25">
      <c r="A687" s="284">
        <v>44169</v>
      </c>
      <c r="B687" s="286" t="s">
        <v>1160</v>
      </c>
      <c r="C687" s="315" t="s">
        <v>1152</v>
      </c>
      <c r="D687" s="104">
        <v>400</v>
      </c>
      <c r="E687" s="104">
        <v>6.85</v>
      </c>
      <c r="F687" s="64">
        <f t="shared" si="255"/>
        <v>27100</v>
      </c>
      <c r="G687" s="32">
        <f t="shared" si="272"/>
        <v>8.1241362546125551</v>
      </c>
      <c r="H687" s="31">
        <f t="shared" si="273"/>
        <v>220164.09250000026</v>
      </c>
      <c r="I687" s="31">
        <f t="shared" si="274"/>
        <v>-34529.092500000261</v>
      </c>
      <c r="J687" s="277">
        <f t="shared" si="275"/>
        <v>-0.15683344231076288</v>
      </c>
      <c r="K687" s="31">
        <f t="shared" si="276"/>
        <v>185635</v>
      </c>
      <c r="L687" s="31">
        <f t="shared" si="277"/>
        <v>-806</v>
      </c>
      <c r="M687" s="31">
        <f t="shared" si="278"/>
        <v>5</v>
      </c>
      <c r="N687" s="31">
        <f t="shared" si="279"/>
        <v>0</v>
      </c>
      <c r="O687" s="31"/>
      <c r="P687" s="31">
        <f t="shared" si="280"/>
        <v>-1.2741362546125554</v>
      </c>
      <c r="Q687" s="31">
        <f t="shared" si="281"/>
        <v>-2745</v>
      </c>
      <c r="R687" s="31"/>
      <c r="S687" s="31">
        <f t="shared" si="282"/>
        <v>-3.0000000000000249E-2</v>
      </c>
      <c r="T687" s="31">
        <f t="shared" si="283"/>
        <v>400</v>
      </c>
      <c r="U687" s="31">
        <f t="shared" si="284"/>
        <v>-1.8900917672098672E-2</v>
      </c>
      <c r="V687" s="31">
        <f t="shared" si="285"/>
        <v>0.63003058906995046</v>
      </c>
      <c r="W687" s="31">
        <f t="shared" si="286"/>
        <v>0.29362477231329692</v>
      </c>
      <c r="X687" s="25">
        <f t="shared" si="287"/>
        <v>-7.8305114822992579</v>
      </c>
      <c r="Y687" s="25">
        <f t="shared" si="288"/>
        <v>6.5563752276867024</v>
      </c>
      <c r="Z687" s="25">
        <f t="shared" si="289"/>
        <v>-1433792.8173722869</v>
      </c>
      <c r="AA687" s="25">
        <f>SUM(L$2:L687)-SUM(AB$2:AB687)</f>
        <v>-38810.646000000124</v>
      </c>
      <c r="AB687" s="176"/>
      <c r="AC687" s="176">
        <f t="shared" si="290"/>
        <v>-5038.2230589416449</v>
      </c>
      <c r="AD687" s="176">
        <f t="shared" si="291"/>
        <v>-32138.223058941643</v>
      </c>
    </row>
    <row r="688" spans="1:30" s="1" customFormat="1" x14ac:dyDescent="0.25">
      <c r="A688" s="284">
        <v>44175</v>
      </c>
      <c r="B688" s="336"/>
      <c r="C688" s="315" t="s">
        <v>1161</v>
      </c>
      <c r="D688" s="104">
        <v>400</v>
      </c>
      <c r="E688" s="104">
        <v>6.72</v>
      </c>
      <c r="F688" s="64">
        <f t="shared" si="255"/>
        <v>27500</v>
      </c>
      <c r="G688" s="32">
        <f t="shared" si="272"/>
        <v>8.1038942727272829</v>
      </c>
      <c r="H688" s="31">
        <f t="shared" si="273"/>
        <v>222857.09250000026</v>
      </c>
      <c r="I688" s="31">
        <f t="shared" si="274"/>
        <v>-38057.092500000261</v>
      </c>
      <c r="J688" s="277">
        <f t="shared" si="275"/>
        <v>-0.17076904339492915</v>
      </c>
      <c r="K688" s="31">
        <f t="shared" si="276"/>
        <v>184800</v>
      </c>
      <c r="L688" s="31">
        <f t="shared" si="277"/>
        <v>-3528</v>
      </c>
      <c r="M688" s="31">
        <f t="shared" si="278"/>
        <v>5</v>
      </c>
      <c r="N688" s="31">
        <f t="shared" si="279"/>
        <v>0</v>
      </c>
      <c r="O688" s="31"/>
      <c r="P688" s="31">
        <f t="shared" si="280"/>
        <v>-1.3838942727272832</v>
      </c>
      <c r="Q688" s="31">
        <f t="shared" si="281"/>
        <v>-2693</v>
      </c>
      <c r="R688" s="31"/>
      <c r="S688" s="31">
        <f t="shared" si="282"/>
        <v>-0.12999999999999989</v>
      </c>
      <c r="T688" s="31">
        <f t="shared" si="283"/>
        <v>400</v>
      </c>
      <c r="U688" s="31">
        <f t="shared" si="284"/>
        <v>-2.0241981885272153E-2</v>
      </c>
      <c r="V688" s="31">
        <f t="shared" si="285"/>
        <v>0.15570755296363209</v>
      </c>
      <c r="W688" s="31">
        <f t="shared" si="286"/>
        <v>1.3100631266245824</v>
      </c>
      <c r="X688" s="25">
        <f t="shared" si="287"/>
        <v>-6.7938311461027006</v>
      </c>
      <c r="Y688" s="25">
        <f t="shared" si="288"/>
        <v>5.4099368733754174</v>
      </c>
      <c r="Z688" s="25">
        <f t="shared" si="289"/>
        <v>-1358562.6227641623</v>
      </c>
      <c r="AA688" s="25">
        <f>SUM(L$2:L688)-SUM(AB$2:AB688)</f>
        <v>-42338.646000000124</v>
      </c>
      <c r="AB688" s="176"/>
      <c r="AC688" s="176">
        <f t="shared" si="290"/>
        <v>-5660.4261835937896</v>
      </c>
      <c r="AD688" s="176">
        <f t="shared" si="291"/>
        <v>-33160.426183593787</v>
      </c>
    </row>
    <row r="689" spans="1:30" s="1" customFormat="1" x14ac:dyDescent="0.25">
      <c r="A689" s="284">
        <v>44209</v>
      </c>
      <c r="B689" s="286"/>
      <c r="C689" s="315" t="s">
        <v>1167</v>
      </c>
      <c r="D689" s="104">
        <v>400</v>
      </c>
      <c r="E689" s="104">
        <v>6.16</v>
      </c>
      <c r="F689" s="64">
        <f t="shared" si="255"/>
        <v>27900</v>
      </c>
      <c r="G689" s="32">
        <f t="shared" si="272"/>
        <v>8.0762040322580742</v>
      </c>
      <c r="H689" s="31">
        <f t="shared" si="273"/>
        <v>225326.09250000026</v>
      </c>
      <c r="I689" s="31">
        <f t="shared" si="274"/>
        <v>-53462.092500000261</v>
      </c>
      <c r="J689" s="277">
        <f t="shared" si="275"/>
        <v>-0.23726543121054744</v>
      </c>
      <c r="K689" s="31">
        <f t="shared" si="276"/>
        <v>171864</v>
      </c>
      <c r="L689" s="31">
        <f t="shared" si="277"/>
        <v>-15405</v>
      </c>
      <c r="M689" s="31">
        <f t="shared" si="278"/>
        <v>5</v>
      </c>
      <c r="N689" s="31">
        <f t="shared" si="279"/>
        <v>0</v>
      </c>
      <c r="O689" s="31"/>
      <c r="P689" s="31">
        <f t="shared" si="280"/>
        <v>-1.916204032258074</v>
      </c>
      <c r="Q689" s="31">
        <f t="shared" si="281"/>
        <v>-2469</v>
      </c>
      <c r="R689" s="31"/>
      <c r="S689" s="31">
        <f t="shared" si="282"/>
        <v>-0.55999999999999961</v>
      </c>
      <c r="T689" s="31">
        <f t="shared" si="283"/>
        <v>400</v>
      </c>
      <c r="U689" s="31">
        <f t="shared" si="284"/>
        <v>-2.769024046920876E-2</v>
      </c>
      <c r="V689" s="31">
        <f t="shared" si="285"/>
        <v>4.9446857980729966E-2</v>
      </c>
      <c r="W689" s="31">
        <f t="shared" si="286"/>
        <v>6.2393681652490889</v>
      </c>
      <c r="X689" s="25">
        <f t="shared" si="287"/>
        <v>-1.8368358670089853</v>
      </c>
      <c r="Y689" s="25">
        <f t="shared" si="288"/>
        <v>-7.936816524908874E-2</v>
      </c>
      <c r="Z689" s="25">
        <f t="shared" si="289"/>
        <v>-1007575.2152107343</v>
      </c>
      <c r="AA689" s="25">
        <f>SUM(L$2:L689)-SUM(AB$2:AB689)</f>
        <v>-57743.646000000124</v>
      </c>
      <c r="AB689" s="176"/>
      <c r="AC689" s="176">
        <f t="shared" si="290"/>
        <v>-8674.5716645698485</v>
      </c>
      <c r="AD689" s="176">
        <f t="shared" si="291"/>
        <v>-36574.571664569849</v>
      </c>
    </row>
    <row r="690" spans="1:30" s="1" customFormat="1" x14ac:dyDescent="0.25">
      <c r="A690" s="284">
        <v>44211</v>
      </c>
      <c r="B690" s="286" t="s">
        <v>1168</v>
      </c>
      <c r="C690" s="64" t="s">
        <v>69</v>
      </c>
      <c r="D690" s="104">
        <v>400</v>
      </c>
      <c r="E690" s="104">
        <v>6.3</v>
      </c>
      <c r="F690" s="64">
        <f t="shared" si="255"/>
        <v>27500</v>
      </c>
      <c r="G690" s="32">
        <f t="shared" si="272"/>
        <v>8.1023131818181913</v>
      </c>
      <c r="H690" s="31">
        <f t="shared" si="273"/>
        <v>222813.61250000025</v>
      </c>
      <c r="I690" s="31">
        <f t="shared" si="274"/>
        <v>-49563.61250000025</v>
      </c>
      <c r="J690" s="277">
        <f t="shared" si="275"/>
        <v>-0.22244427503279318</v>
      </c>
      <c r="K690" s="31">
        <f t="shared" si="276"/>
        <v>173250</v>
      </c>
      <c r="L690" s="31">
        <f t="shared" si="277"/>
        <v>3898.4800000000105</v>
      </c>
      <c r="M690" s="31">
        <f t="shared" si="278"/>
        <v>5</v>
      </c>
      <c r="N690" s="31">
        <f t="shared" si="279"/>
        <v>2.52</v>
      </c>
      <c r="O690" s="31"/>
      <c r="P690" s="31">
        <f t="shared" si="280"/>
        <v>-1.8023131818181914</v>
      </c>
      <c r="Q690" s="31">
        <f t="shared" si="281"/>
        <v>2512.4800000000105</v>
      </c>
      <c r="R690" s="31"/>
      <c r="S690" s="31">
        <f t="shared" si="282"/>
        <v>0.13999999999999968</v>
      </c>
      <c r="T690" s="31">
        <f t="shared" si="283"/>
        <v>-400</v>
      </c>
      <c r="U690" s="31">
        <f t="shared" si="284"/>
        <v>2.6109149560117118E-2</v>
      </c>
      <c r="V690" s="31">
        <f t="shared" si="285"/>
        <v>0.1864939254294084</v>
      </c>
      <c r="W690" s="31">
        <f t="shared" si="286"/>
        <v>1.5516461822581649</v>
      </c>
      <c r="X690" s="25">
        <f t="shared" si="287"/>
        <v>-6.5506669995600264</v>
      </c>
      <c r="Y690" s="25">
        <f t="shared" si="288"/>
        <v>4.748353817741835</v>
      </c>
      <c r="Z690" s="25">
        <f t="shared" si="289"/>
        <v>1053270.6144518575</v>
      </c>
      <c r="AA690" s="25">
        <f>SUM(L$2:L690)-SUM(AB$2:AB690)</f>
        <v>-53845.166000000114</v>
      </c>
      <c r="AB690" s="176"/>
      <c r="AC690" s="176">
        <f t="shared" si="290"/>
        <v>-7863.3064593254376</v>
      </c>
      <c r="AD690" s="176">
        <f t="shared" si="291"/>
        <v>-35363.306459325438</v>
      </c>
    </row>
    <row r="691" spans="1:30" s="1" customFormat="1" x14ac:dyDescent="0.25">
      <c r="A691" s="284">
        <v>44215</v>
      </c>
      <c r="B691" s="336"/>
      <c r="C691" s="64" t="s">
        <v>69</v>
      </c>
      <c r="D691" s="104">
        <v>400</v>
      </c>
      <c r="E691" s="104">
        <v>6.41</v>
      </c>
      <c r="F691" s="64">
        <f t="shared" si="255"/>
        <v>27100</v>
      </c>
      <c r="G691" s="32">
        <f t="shared" si="272"/>
        <v>8.1275710885608952</v>
      </c>
      <c r="H691" s="31">
        <f t="shared" si="273"/>
        <v>220257.17650000026</v>
      </c>
      <c r="I691" s="31">
        <f t="shared" si="274"/>
        <v>-46546.176500000263</v>
      </c>
      <c r="J691" s="277">
        <f t="shared" si="275"/>
        <v>-0.21132649223804156</v>
      </c>
      <c r="K691" s="31">
        <f t="shared" si="276"/>
        <v>173711</v>
      </c>
      <c r="L691" s="31">
        <f t="shared" si="277"/>
        <v>3017.435999999987</v>
      </c>
      <c r="M691" s="31">
        <f t="shared" si="278"/>
        <v>5</v>
      </c>
      <c r="N691" s="31">
        <f t="shared" si="279"/>
        <v>2.5640000000000001</v>
      </c>
      <c r="O691" s="31"/>
      <c r="P691" s="31">
        <f t="shared" si="280"/>
        <v>-1.717571088560895</v>
      </c>
      <c r="Q691" s="31">
        <f t="shared" si="281"/>
        <v>2556.435999999987</v>
      </c>
      <c r="R691" s="31"/>
      <c r="S691" s="31">
        <f t="shared" si="282"/>
        <v>0.11000000000000032</v>
      </c>
      <c r="T691" s="31">
        <f t="shared" si="283"/>
        <v>-400</v>
      </c>
      <c r="U691" s="31">
        <f t="shared" si="284"/>
        <v>2.5257906742703895E-2</v>
      </c>
      <c r="V691" s="31">
        <f t="shared" si="285"/>
        <v>0.22961733402458021</v>
      </c>
      <c r="W691" s="31">
        <f t="shared" si="286"/>
        <v>1.1803291770261419</v>
      </c>
      <c r="X691" s="25">
        <f t="shared" si="287"/>
        <v>-6.9472419115347535</v>
      </c>
      <c r="Y691" s="25">
        <f t="shared" si="288"/>
        <v>5.2296708229738584</v>
      </c>
      <c r="Z691" s="25">
        <f t="shared" si="289"/>
        <v>1072931.3508067417</v>
      </c>
      <c r="AA691" s="25">
        <f>SUM(L$2:L691)-SUM(AB$2:AB691)</f>
        <v>-50827.730000000127</v>
      </c>
      <c r="AB691" s="176"/>
      <c r="AC691" s="176">
        <f t="shared" si="290"/>
        <v>-7257.8632467629113</v>
      </c>
      <c r="AD691" s="176">
        <f t="shared" si="291"/>
        <v>-34357.863246762914</v>
      </c>
    </row>
    <row r="692" spans="1:30" s="1" customFormat="1" x14ac:dyDescent="0.25">
      <c r="A692" s="284">
        <v>44217</v>
      </c>
      <c r="B692" s="336"/>
      <c r="C692" s="64" t="s">
        <v>63</v>
      </c>
      <c r="D692" s="104">
        <v>400</v>
      </c>
      <c r="E692" s="104">
        <v>6.3</v>
      </c>
      <c r="F692" s="64">
        <f t="shared" si="255"/>
        <v>27500</v>
      </c>
      <c r="G692" s="32">
        <f t="shared" si="272"/>
        <v>8.1011700545454648</v>
      </c>
      <c r="H692" s="31">
        <f t="shared" si="273"/>
        <v>222782.17650000026</v>
      </c>
      <c r="I692" s="31">
        <f t="shared" si="274"/>
        <v>-49532.176500000263</v>
      </c>
      <c r="J692" s="277">
        <f t="shared" si="275"/>
        <v>-0.22233455691191806</v>
      </c>
      <c r="K692" s="31">
        <f t="shared" si="276"/>
        <v>173250</v>
      </c>
      <c r="L692" s="31">
        <f t="shared" si="277"/>
        <v>-2986</v>
      </c>
      <c r="M692" s="31">
        <f t="shared" si="278"/>
        <v>5</v>
      </c>
      <c r="N692" s="31">
        <f t="shared" si="279"/>
        <v>0</v>
      </c>
      <c r="O692" s="31"/>
      <c r="P692" s="31">
        <f t="shared" si="280"/>
        <v>-1.801170054545465</v>
      </c>
      <c r="Q692" s="31">
        <f t="shared" si="281"/>
        <v>-2525</v>
      </c>
      <c r="R692" s="31"/>
      <c r="S692" s="31">
        <f t="shared" si="282"/>
        <v>-0.11000000000000032</v>
      </c>
      <c r="T692" s="31">
        <f t="shared" si="283"/>
        <v>400</v>
      </c>
      <c r="U692" s="31">
        <f t="shared" si="284"/>
        <v>-2.6401034015430369E-2</v>
      </c>
      <c r="V692" s="31">
        <f t="shared" si="285"/>
        <v>0.24000940014027539</v>
      </c>
      <c r="W692" s="31">
        <f t="shared" si="286"/>
        <v>1.1825742574257425</v>
      </c>
      <c r="X692" s="25">
        <f t="shared" si="287"/>
        <v>-6.9185957971197221</v>
      </c>
      <c r="Y692" s="25">
        <f t="shared" si="288"/>
        <v>5.1174257425742571</v>
      </c>
      <c r="Z692" s="25">
        <f t="shared" si="289"/>
        <v>-1041625.8690446491</v>
      </c>
      <c r="AA692" s="25">
        <f>SUM(L$2:L692)-SUM(AB$2:AB692)</f>
        <v>-53813.730000000127</v>
      </c>
      <c r="AB692" s="176"/>
      <c r="AC692" s="176">
        <f t="shared" si="290"/>
        <v>-7858.3191129762326</v>
      </c>
      <c r="AD692" s="176">
        <f t="shared" si="291"/>
        <v>-35358.319112976234</v>
      </c>
    </row>
    <row r="693" spans="1:30" s="1" customFormat="1" x14ac:dyDescent="0.25">
      <c r="A693" s="284">
        <v>44221</v>
      </c>
      <c r="B693" s="336"/>
      <c r="C693" s="315" t="s">
        <v>1171</v>
      </c>
      <c r="D693" s="104">
        <v>400</v>
      </c>
      <c r="E693" s="104">
        <v>6.14</v>
      </c>
      <c r="F693" s="64">
        <f t="shared" si="255"/>
        <v>27900</v>
      </c>
      <c r="G693" s="32">
        <f t="shared" si="272"/>
        <v>8.0732321326164964</v>
      </c>
      <c r="H693" s="31">
        <f t="shared" si="273"/>
        <v>225243.17650000026</v>
      </c>
      <c r="I693" s="31">
        <f t="shared" si="274"/>
        <v>-53937.176500000263</v>
      </c>
      <c r="J693" s="277">
        <f t="shared" si="275"/>
        <v>-0.23946197766395022</v>
      </c>
      <c r="K693" s="31">
        <f t="shared" si="276"/>
        <v>171306</v>
      </c>
      <c r="L693" s="31">
        <f t="shared" si="277"/>
        <v>-4405</v>
      </c>
      <c r="M693" s="31">
        <f t="shared" si="278"/>
        <v>5</v>
      </c>
      <c r="N693" s="31">
        <f t="shared" si="279"/>
        <v>0</v>
      </c>
      <c r="O693" s="31"/>
      <c r="P693" s="31">
        <f t="shared" si="280"/>
        <v>-1.9332321326164967</v>
      </c>
      <c r="Q693" s="31">
        <f t="shared" si="281"/>
        <v>-2461</v>
      </c>
      <c r="R693" s="31"/>
      <c r="S693" s="31">
        <f t="shared" si="282"/>
        <v>-0.16000000000000014</v>
      </c>
      <c r="T693" s="31">
        <f t="shared" si="283"/>
        <v>400</v>
      </c>
      <c r="U693" s="31">
        <f t="shared" si="284"/>
        <v>-2.7937921928968379E-2</v>
      </c>
      <c r="V693" s="31">
        <f t="shared" si="285"/>
        <v>0.1746120120560522</v>
      </c>
      <c r="W693" s="31">
        <f t="shared" si="286"/>
        <v>1.78992279561154</v>
      </c>
      <c r="X693" s="25">
        <f t="shared" si="287"/>
        <v>-6.2833093370049564</v>
      </c>
      <c r="Y693" s="25">
        <f t="shared" si="288"/>
        <v>4.3500772043884597</v>
      </c>
      <c r="Z693" s="25">
        <f t="shared" si="289"/>
        <v>-998642.63601763954</v>
      </c>
      <c r="AA693" s="25">
        <f>SUM(L$2:L693)-SUM(AB$2:AB693)</f>
        <v>-58218.730000000127</v>
      </c>
      <c r="AB693" s="176"/>
      <c r="AC693" s="176">
        <f t="shared" si="290"/>
        <v>-8780.1641550081877</v>
      </c>
      <c r="AD693" s="176">
        <f t="shared" si="291"/>
        <v>-36680.164155008184</v>
      </c>
    </row>
    <row r="694" spans="1:30" s="1" customFormat="1" x14ac:dyDescent="0.25">
      <c r="A694" s="284">
        <v>44225</v>
      </c>
      <c r="B694" s="336"/>
      <c r="C694" s="315" t="s">
        <v>1172</v>
      </c>
      <c r="D694" s="104">
        <v>400</v>
      </c>
      <c r="E694" s="104">
        <v>6.09</v>
      </c>
      <c r="F694" s="64">
        <f t="shared" si="255"/>
        <v>28300</v>
      </c>
      <c r="G694" s="32">
        <f t="shared" si="272"/>
        <v>8.0453772614841075</v>
      </c>
      <c r="H694" s="31">
        <f t="shared" si="273"/>
        <v>227684.17650000026</v>
      </c>
      <c r="I694" s="31">
        <f t="shared" si="274"/>
        <v>-55337.176500000263</v>
      </c>
      <c r="J694" s="277">
        <f t="shared" si="275"/>
        <v>-0.2430435761968737</v>
      </c>
      <c r="K694" s="31">
        <f t="shared" si="276"/>
        <v>172347</v>
      </c>
      <c r="L694" s="31">
        <f t="shared" si="277"/>
        <v>-1400</v>
      </c>
      <c r="M694" s="31">
        <f t="shared" si="278"/>
        <v>5</v>
      </c>
      <c r="N694" s="31">
        <f t="shared" si="279"/>
        <v>0</v>
      </c>
      <c r="O694" s="31"/>
      <c r="P694" s="31">
        <f t="shared" si="280"/>
        <v>-1.9553772614841076</v>
      </c>
      <c r="Q694" s="31">
        <f t="shared" si="281"/>
        <v>-2441</v>
      </c>
      <c r="R694" s="31"/>
      <c r="S694" s="31">
        <f t="shared" si="282"/>
        <v>-4.9999999999999822E-2</v>
      </c>
      <c r="T694" s="31">
        <f t="shared" si="283"/>
        <v>400</v>
      </c>
      <c r="U694" s="31">
        <f t="shared" si="284"/>
        <v>-2.7854871132388936E-2</v>
      </c>
      <c r="V694" s="31">
        <f t="shared" si="285"/>
        <v>0.55709742264778073</v>
      </c>
      <c r="W694" s="31">
        <f t="shared" si="286"/>
        <v>0.57353543629659975</v>
      </c>
      <c r="X694" s="25">
        <f t="shared" si="287"/>
        <v>-7.4718418251875081</v>
      </c>
      <c r="Y694" s="25">
        <f t="shared" si="288"/>
        <v>5.5164645637034004</v>
      </c>
      <c r="Z694" s="25">
        <f t="shared" si="289"/>
        <v>-1015980.2881691841</v>
      </c>
      <c r="AA694" s="25">
        <f>SUM(L$2:L694)-SUM(AB$2:AB694)</f>
        <v>-59618.730000000127</v>
      </c>
      <c r="AB694" s="176"/>
      <c r="AC694" s="176">
        <f t="shared" si="290"/>
        <v>-9082.0210035714717</v>
      </c>
      <c r="AD694" s="176">
        <f t="shared" si="291"/>
        <v>-37382.02100357147</v>
      </c>
    </row>
    <row r="695" spans="1:30" s="1" customFormat="1" x14ac:dyDescent="0.25">
      <c r="A695" s="284">
        <v>44229</v>
      </c>
      <c r="B695" s="336"/>
      <c r="C695" s="64" t="s">
        <v>63</v>
      </c>
      <c r="D695" s="104">
        <v>400</v>
      </c>
      <c r="E695" s="104">
        <v>5.99</v>
      </c>
      <c r="F695" s="64">
        <f t="shared" si="255"/>
        <v>28700</v>
      </c>
      <c r="G695" s="32">
        <f t="shared" si="272"/>
        <v>8.0169051045296253</v>
      </c>
      <c r="H695" s="31">
        <f t="shared" si="273"/>
        <v>230085.17650000026</v>
      </c>
      <c r="I695" s="31">
        <f t="shared" si="274"/>
        <v>-58172.176500000263</v>
      </c>
      <c r="J695" s="277">
        <f t="shared" si="275"/>
        <v>-0.25282887574463181</v>
      </c>
      <c r="K695" s="31">
        <f t="shared" si="276"/>
        <v>171913</v>
      </c>
      <c r="L695" s="31">
        <f t="shared" si="277"/>
        <v>-2835</v>
      </c>
      <c r="M695" s="31">
        <f t="shared" si="278"/>
        <v>5</v>
      </c>
      <c r="N695" s="31">
        <f t="shared" si="279"/>
        <v>0</v>
      </c>
      <c r="O695" s="31"/>
      <c r="P695" s="31">
        <f t="shared" si="280"/>
        <v>-2.0269051045296251</v>
      </c>
      <c r="Q695" s="31">
        <f t="shared" si="281"/>
        <v>-2401</v>
      </c>
      <c r="R695" s="31"/>
      <c r="S695" s="31">
        <f t="shared" si="282"/>
        <v>-9.9999999999999645E-2</v>
      </c>
      <c r="T695" s="31">
        <f t="shared" si="283"/>
        <v>400</v>
      </c>
      <c r="U695" s="31">
        <f t="shared" si="284"/>
        <v>-2.8472156954482131E-2</v>
      </c>
      <c r="V695" s="31">
        <f t="shared" si="285"/>
        <v>0.28472156954482231</v>
      </c>
      <c r="W695" s="31">
        <f t="shared" si="286"/>
        <v>1.1807580174927115</v>
      </c>
      <c r="X695" s="25">
        <f t="shared" si="287"/>
        <v>-6.8361470870369141</v>
      </c>
      <c r="Y695" s="25">
        <f t="shared" si="288"/>
        <v>4.809241982507289</v>
      </c>
      <c r="Z695" s="25">
        <f t="shared" si="289"/>
        <v>-1008002.3106743236</v>
      </c>
      <c r="AA695" s="25">
        <f>SUM(L$2:L695)-SUM(AB$2:AB695)</f>
        <v>-62453.730000000127</v>
      </c>
      <c r="AB695" s="176"/>
      <c r="AC695" s="176">
        <f t="shared" si="290"/>
        <v>-9706.6928901085575</v>
      </c>
      <c r="AD695" s="176">
        <f t="shared" si="291"/>
        <v>-38406.692890108556</v>
      </c>
    </row>
    <row r="696" spans="1:30" s="1" customFormat="1" x14ac:dyDescent="0.25">
      <c r="A696" s="284">
        <v>44230</v>
      </c>
      <c r="B696" s="286"/>
      <c r="C696" s="64" t="s">
        <v>63</v>
      </c>
      <c r="D696" s="104">
        <v>400</v>
      </c>
      <c r="E696" s="104">
        <v>5.9</v>
      </c>
      <c r="F696" s="64">
        <f t="shared" si="255"/>
        <v>29100</v>
      </c>
      <c r="G696" s="32">
        <f t="shared" si="272"/>
        <v>7.9879785738831703</v>
      </c>
      <c r="H696" s="31">
        <f t="shared" si="273"/>
        <v>232450.17650000026</v>
      </c>
      <c r="I696" s="31">
        <f t="shared" si="274"/>
        <v>-60760.176500000263</v>
      </c>
      <c r="J696" s="277">
        <f t="shared" si="275"/>
        <v>-0.26139010696771908</v>
      </c>
      <c r="K696" s="31">
        <f t="shared" si="276"/>
        <v>171690</v>
      </c>
      <c r="L696" s="31">
        <f t="shared" si="277"/>
        <v>-2588</v>
      </c>
      <c r="M696" s="31">
        <f t="shared" si="278"/>
        <v>5</v>
      </c>
      <c r="N696" s="31">
        <f t="shared" si="279"/>
        <v>0</v>
      </c>
      <c r="O696" s="31"/>
      <c r="P696" s="31">
        <f t="shared" si="280"/>
        <v>-2.08797857388317</v>
      </c>
      <c r="Q696" s="31">
        <f t="shared" si="281"/>
        <v>-2365</v>
      </c>
      <c r="R696" s="31"/>
      <c r="S696" s="31">
        <f t="shared" si="282"/>
        <v>-8.9999999999999858E-2</v>
      </c>
      <c r="T696" s="31">
        <f t="shared" si="283"/>
        <v>400</v>
      </c>
      <c r="U696" s="31">
        <f t="shared" si="284"/>
        <v>-2.8926530646455006E-2</v>
      </c>
      <c r="V696" s="31">
        <f t="shared" si="285"/>
        <v>0.32140589607172282</v>
      </c>
      <c r="W696" s="31">
        <f t="shared" si="286"/>
        <v>1.0942917547568711</v>
      </c>
      <c r="X696" s="25">
        <f t="shared" si="287"/>
        <v>-6.893686819126299</v>
      </c>
      <c r="Y696" s="25">
        <f t="shared" si="288"/>
        <v>4.805708245243129</v>
      </c>
      <c r="Z696" s="25">
        <f t="shared" si="289"/>
        <v>-1005996.8945348187</v>
      </c>
      <c r="AA696" s="25">
        <f>SUM(L$2:L696)-SUM(AB$2:AB696)</f>
        <v>-65041.730000000127</v>
      </c>
      <c r="AB696" s="176"/>
      <c r="AC696" s="176">
        <f t="shared" si="290"/>
        <v>-10293.185832500045</v>
      </c>
      <c r="AD696" s="176">
        <f t="shared" si="291"/>
        <v>-39393.185832500043</v>
      </c>
    </row>
    <row r="697" spans="1:30" s="1" customFormat="1" x14ac:dyDescent="0.25">
      <c r="A697" s="284">
        <v>44231</v>
      </c>
      <c r="B697" s="336"/>
      <c r="C697" s="64" t="s">
        <v>69</v>
      </c>
      <c r="D697" s="104">
        <v>400</v>
      </c>
      <c r="E697" s="104">
        <v>5.83</v>
      </c>
      <c r="F697" s="64">
        <f t="shared" si="255"/>
        <v>28700</v>
      </c>
      <c r="G697" s="32">
        <f t="shared" si="272"/>
        <v>8.0183104006968726</v>
      </c>
      <c r="H697" s="31">
        <f t="shared" si="273"/>
        <v>230125.50850000026</v>
      </c>
      <c r="I697" s="31">
        <f t="shared" si="274"/>
        <v>-62804.508500000258</v>
      </c>
      <c r="J697" s="277">
        <f t="shared" si="275"/>
        <v>-0.2729141541473234</v>
      </c>
      <c r="K697" s="31">
        <f t="shared" si="276"/>
        <v>167321</v>
      </c>
      <c r="L697" s="31">
        <f t="shared" si="277"/>
        <v>-2044.3319999999949</v>
      </c>
      <c r="M697" s="31">
        <f t="shared" si="278"/>
        <v>5</v>
      </c>
      <c r="N697" s="31">
        <f t="shared" si="279"/>
        <v>2.3319999999999999</v>
      </c>
      <c r="O697" s="31"/>
      <c r="P697" s="31">
        <f t="shared" si="280"/>
        <v>-2.1883104006968725</v>
      </c>
      <c r="Q697" s="31">
        <f t="shared" si="281"/>
        <v>2324.6680000000051</v>
      </c>
      <c r="R697" s="31"/>
      <c r="S697" s="31">
        <f t="shared" si="282"/>
        <v>-7.0000000000000284E-2</v>
      </c>
      <c r="T697" s="31">
        <f t="shared" si="283"/>
        <v>-400</v>
      </c>
      <c r="U697" s="31">
        <f t="shared" si="284"/>
        <v>3.0331826813702278E-2</v>
      </c>
      <c r="V697" s="31">
        <f t="shared" si="285"/>
        <v>-0.43331181162431648</v>
      </c>
      <c r="W697" s="31">
        <f t="shared" si="286"/>
        <v>-0.87940815634748293</v>
      </c>
      <c r="X697" s="25">
        <f t="shared" si="287"/>
        <v>-8.8977185570443549</v>
      </c>
      <c r="Y697" s="25">
        <f t="shared" si="288"/>
        <v>6.7094081563474823</v>
      </c>
      <c r="Z697" s="25">
        <f t="shared" si="289"/>
        <v>946200.8396749415</v>
      </c>
      <c r="AA697" s="25">
        <f>SUM(L$2:L697)-SUM(AB$2:AB697)</f>
        <v>-67086.062000000122</v>
      </c>
      <c r="AB697" s="176"/>
      <c r="AC697" s="176">
        <f t="shared" si="290"/>
        <v>-10767.256645926289</v>
      </c>
      <c r="AD697" s="176">
        <f t="shared" si="291"/>
        <v>-39467.256645926289</v>
      </c>
    </row>
    <row r="698" spans="1:30" s="1" customFormat="1" x14ac:dyDescent="0.25">
      <c r="A698" s="329">
        <v>44231</v>
      </c>
      <c r="B698" s="366"/>
      <c r="C698" s="315" t="s">
        <v>1176</v>
      </c>
      <c r="D698" s="104">
        <v>800</v>
      </c>
      <c r="E698" s="104">
        <v>5.83</v>
      </c>
      <c r="F698" s="64">
        <f t="shared" si="255"/>
        <v>29500</v>
      </c>
      <c r="G698" s="32">
        <f t="shared" si="272"/>
        <v>7.959135881355941</v>
      </c>
      <c r="H698" s="31">
        <f t="shared" si="273"/>
        <v>234794.50850000026</v>
      </c>
      <c r="I698" s="31">
        <f t="shared" si="274"/>
        <v>-62809.508500000258</v>
      </c>
      <c r="J698" s="277">
        <f t="shared" si="275"/>
        <v>-0.26750842215715698</v>
      </c>
      <c r="K698" s="31">
        <f t="shared" si="276"/>
        <v>171985</v>
      </c>
      <c r="L698" s="31">
        <f t="shared" si="277"/>
        <v>-5</v>
      </c>
      <c r="M698" s="31">
        <f t="shared" si="278"/>
        <v>5</v>
      </c>
      <c r="N698" s="31">
        <f t="shared" si="279"/>
        <v>0</v>
      </c>
      <c r="O698" s="31"/>
      <c r="P698" s="31">
        <f t="shared" si="280"/>
        <v>-2.1291358813559409</v>
      </c>
      <c r="Q698" s="31">
        <f t="shared" si="281"/>
        <v>-4669</v>
      </c>
      <c r="R698" s="31"/>
      <c r="S698" s="31">
        <f t="shared" si="282"/>
        <v>0</v>
      </c>
      <c r="T698" s="31">
        <f t="shared" si="283"/>
        <v>800</v>
      </c>
      <c r="U698" s="31">
        <f t="shared" si="284"/>
        <v>-5.9174519340931653E-2</v>
      </c>
      <c r="V698" s="31" t="e">
        <f t="shared" si="285"/>
        <v>#DIV/0!</v>
      </c>
      <c r="W698" s="31">
        <f t="shared" si="286"/>
        <v>1.0708931248661383E-3</v>
      </c>
      <c r="X698" s="25">
        <f t="shared" si="287"/>
        <v>-7.958064988231075</v>
      </c>
      <c r="Y698" s="25">
        <f t="shared" si="288"/>
        <v>5.8289291068751341</v>
      </c>
      <c r="Z698" s="25">
        <f t="shared" si="289"/>
        <v>-498525.3843810191</v>
      </c>
      <c r="AA698" s="25">
        <f>SUM(L$2:L730)-SUM(AB$2:AB730)</f>
        <v>6041.6979999997129</v>
      </c>
      <c r="AB698" s="176"/>
      <c r="AC698" s="176">
        <f t="shared" si="290"/>
        <v>-10768.113850042926</v>
      </c>
      <c r="AD698" s="176">
        <f t="shared" si="291"/>
        <v>-40268.113850042922</v>
      </c>
    </row>
    <row r="699" spans="1:30" s="1" customFormat="1" x14ac:dyDescent="0.25">
      <c r="A699" s="284">
        <v>44232</v>
      </c>
      <c r="B699" s="286" t="s">
        <v>1177</v>
      </c>
      <c r="C699" s="64" t="s">
        <v>69</v>
      </c>
      <c r="D699" s="104">
        <v>400</v>
      </c>
      <c r="E699" s="104">
        <v>5.91</v>
      </c>
      <c r="F699" s="64">
        <f t="shared" ref="F699:F730" si="292">IF(C699="买",F698+D699,F698-D699)</f>
        <v>29100</v>
      </c>
      <c r="G699" s="32">
        <f t="shared" ref="G699:G730" si="293">H699/F699</f>
        <v>7.9875557560137542</v>
      </c>
      <c r="H699" s="31">
        <f t="shared" ref="H699:H730" si="294">IF(C699="买",H698+D699*E699+M699+N699,H698+-1*D699*E699+M699+N699)+O698</f>
        <v>232437.87250000026</v>
      </c>
      <c r="I699" s="31">
        <f t="shared" ref="I699:I730" si="295">-H699+K699</f>
        <v>-60456.87250000026</v>
      </c>
      <c r="J699" s="277">
        <f t="shared" ref="J699:J730" si="296">(E699-G699)/G699</f>
        <v>-0.2600990615244948</v>
      </c>
      <c r="K699" s="31">
        <f t="shared" ref="K699:K730" si="297">F699*E699</f>
        <v>171981</v>
      </c>
      <c r="L699" s="31">
        <f t="shared" ref="L699:L730" si="298">I699-I698</f>
        <v>2352.6359999999986</v>
      </c>
      <c r="M699" s="31">
        <f t="shared" ref="M699:M730" si="299">IF(D699*E699*2.5/10000&gt;5,D699*E699*2.5/10000,5)</f>
        <v>5</v>
      </c>
      <c r="N699" s="31">
        <f t="shared" ref="N699:N730" si="300">IF(C699="卖",D699*E699/1000,0)</f>
        <v>2.3639999999999999</v>
      </c>
      <c r="O699" s="31"/>
      <c r="P699" s="31">
        <f t="shared" ref="P699:P730" si="301">E699-G699</f>
        <v>-2.0775557560137541</v>
      </c>
      <c r="Q699" s="31">
        <f t="shared" ref="Q699:Q730" si="302">(H699-H698)*-1</f>
        <v>2356.6359999999986</v>
      </c>
      <c r="R699" s="31"/>
      <c r="S699" s="31">
        <f t="shared" ref="S699:S730" si="303">S698+Q699+O699+R699</f>
        <v>2356.6359999999986</v>
      </c>
      <c r="T699" s="31">
        <f t="shared" ref="T699:T730" si="304">S699/E699</f>
        <v>398.75397631133649</v>
      </c>
      <c r="U699" s="25">
        <f t="shared" ref="U699:U730" si="305">F699+T699</f>
        <v>29498.753976311338</v>
      </c>
      <c r="V699" s="25">
        <f>H699+S699-SUM(AB$15:AB699)</f>
        <v>233794.50850000026</v>
      </c>
      <c r="W699" s="25">
        <f t="shared" ref="W699:W730" si="306">V699/U699</f>
        <v>7.9255723373179237</v>
      </c>
      <c r="X699" s="25">
        <f t="shared" ref="X699:X730" si="307">W699-G699</f>
        <v>-6.1983418695830572E-2</v>
      </c>
      <c r="Y699" s="25">
        <f t="shared" ref="Y699:Y730" si="308">(X699-P699)*-1</f>
        <v>-2.0155723373179235</v>
      </c>
      <c r="Z699" s="25">
        <f t="shared" ref="Z699:Z730" si="309">F699/U699</f>
        <v>0.98648234509730293</v>
      </c>
      <c r="AA699" s="25">
        <f>SUM(L$2:L699)-SUM(AB$2:AB699)</f>
        <v>-64738.426000000123</v>
      </c>
      <c r="AB699" s="176"/>
      <c r="AC699" s="176">
        <f t="shared" ref="AC699:AC730" si="310">I699/E699*(1-0.0005)</f>
        <v>-10224.474460871448</v>
      </c>
      <c r="AD699" s="176">
        <f t="shared" ref="AD699:AD730" si="311">AC699-F699</f>
        <v>-39324.474460871446</v>
      </c>
    </row>
    <row r="700" spans="1:30" s="1" customFormat="1" x14ac:dyDescent="0.25">
      <c r="B700" s="336"/>
      <c r="C700" s="64" t="s">
        <v>69</v>
      </c>
      <c r="D700" s="104">
        <v>400</v>
      </c>
      <c r="E700" s="104">
        <v>5.99</v>
      </c>
      <c r="F700" s="64">
        <f t="shared" si="292"/>
        <v>28700</v>
      </c>
      <c r="G700" s="32">
        <f t="shared" si="293"/>
        <v>8.0156539547038417</v>
      </c>
      <c r="H700" s="31">
        <f t="shared" si="294"/>
        <v>230049.26850000027</v>
      </c>
      <c r="I700" s="31">
        <f t="shared" si="295"/>
        <v>-58136.268500000268</v>
      </c>
      <c r="J700" s="277">
        <f t="shared" si="296"/>
        <v>-0.2527122510715577</v>
      </c>
      <c r="K700" s="31">
        <f t="shared" si="297"/>
        <v>171913</v>
      </c>
      <c r="L700" s="31">
        <f t="shared" si="298"/>
        <v>2320.6039999999921</v>
      </c>
      <c r="M700" s="31">
        <f t="shared" si="299"/>
        <v>5</v>
      </c>
      <c r="N700" s="31">
        <f t="shared" si="300"/>
        <v>2.3959999999999999</v>
      </c>
      <c r="O700" s="31"/>
      <c r="P700" s="31">
        <f t="shared" si="301"/>
        <v>-2.0256539547038415</v>
      </c>
      <c r="Q700" s="31">
        <f t="shared" si="302"/>
        <v>2388.6039999999921</v>
      </c>
      <c r="R700" s="31"/>
      <c r="S700" s="31">
        <f t="shared" si="303"/>
        <v>4745.2399999999907</v>
      </c>
      <c r="T700" s="31">
        <f t="shared" si="304"/>
        <v>792.19365609348756</v>
      </c>
      <c r="U700" s="25">
        <f t="shared" si="305"/>
        <v>29492.193656093488</v>
      </c>
      <c r="V700" s="25">
        <f>H700+S700-SUM(AB$15:AB700)</f>
        <v>233794.50850000026</v>
      </c>
      <c r="W700" s="25">
        <f t="shared" si="306"/>
        <v>7.9273353222300962</v>
      </c>
      <c r="X700" s="25">
        <f t="shared" si="307"/>
        <v>-8.8318632473745495E-2</v>
      </c>
      <c r="Y700" s="25">
        <f t="shared" si="308"/>
        <v>-1.937335322230096</v>
      </c>
      <c r="Z700" s="25">
        <f t="shared" si="309"/>
        <v>0.97313886971816321</v>
      </c>
      <c r="AA700" s="25">
        <f>SUM(L$2:L700)-SUM(AB$2:AB700)</f>
        <v>-62417.822000000131</v>
      </c>
      <c r="AB700" s="176"/>
      <c r="AC700" s="176">
        <f t="shared" si="310"/>
        <v>-9700.7012296745033</v>
      </c>
      <c r="AD700" s="176">
        <f t="shared" si="311"/>
        <v>-38400.701229674502</v>
      </c>
    </row>
    <row r="701" spans="1:30" s="1" customFormat="1" x14ac:dyDescent="0.25">
      <c r="B701" s="336"/>
      <c r="C701" s="64" t="s">
        <v>69</v>
      </c>
      <c r="D701" s="104">
        <v>400</v>
      </c>
      <c r="E701" s="104">
        <f t="shared" ref="E701:E730" si="312">E700+0.1</f>
        <v>6.09</v>
      </c>
      <c r="F701" s="64">
        <f t="shared" si="292"/>
        <v>28300</v>
      </c>
      <c r="G701" s="32">
        <f t="shared" si="293"/>
        <v>8.0431344346289837</v>
      </c>
      <c r="H701" s="31">
        <f t="shared" si="294"/>
        <v>227620.70450000025</v>
      </c>
      <c r="I701" s="31">
        <f t="shared" si="295"/>
        <v>-55273.704500000254</v>
      </c>
      <c r="J701" s="277">
        <f t="shared" si="296"/>
        <v>-0.24283249900933412</v>
      </c>
      <c r="K701" s="31">
        <f t="shared" si="297"/>
        <v>172347</v>
      </c>
      <c r="L701" s="31">
        <f t="shared" si="298"/>
        <v>2862.564000000013</v>
      </c>
      <c r="M701" s="31">
        <f t="shared" si="299"/>
        <v>5</v>
      </c>
      <c r="N701" s="31">
        <f t="shared" si="300"/>
        <v>2.4359999999999999</v>
      </c>
      <c r="O701" s="31"/>
      <c r="P701" s="31">
        <f t="shared" si="301"/>
        <v>-1.9531344346289838</v>
      </c>
      <c r="Q701" s="31">
        <f t="shared" si="302"/>
        <v>2428.564000000013</v>
      </c>
      <c r="R701" s="31"/>
      <c r="S701" s="31">
        <f t="shared" si="303"/>
        <v>7173.8040000000037</v>
      </c>
      <c r="T701" s="31">
        <f t="shared" si="304"/>
        <v>1177.9645320197051</v>
      </c>
      <c r="U701" s="25">
        <f t="shared" si="305"/>
        <v>29477.964532019705</v>
      </c>
      <c r="V701" s="25">
        <f>H701+S701-SUM(AB$15:AB701)</f>
        <v>233794.50850000026</v>
      </c>
      <c r="W701" s="25">
        <f t="shared" si="306"/>
        <v>7.9311618767315766</v>
      </c>
      <c r="X701" s="25">
        <f t="shared" si="307"/>
        <v>-0.11197255789740712</v>
      </c>
      <c r="Y701" s="25">
        <f t="shared" si="308"/>
        <v>-1.8411618767315767</v>
      </c>
      <c r="Z701" s="25">
        <f t="shared" si="309"/>
        <v>0.96003914955728475</v>
      </c>
      <c r="AA701" s="25">
        <f>SUM(L$2:L701)-SUM(AB$2:AB701)</f>
        <v>-59555.258000000118</v>
      </c>
      <c r="AB701" s="176"/>
      <c r="AC701" s="176">
        <f t="shared" si="310"/>
        <v>-9071.6038830460202</v>
      </c>
      <c r="AD701" s="176">
        <f t="shared" si="311"/>
        <v>-37371.603883046017</v>
      </c>
    </row>
    <row r="702" spans="1:30" s="1" customFormat="1" x14ac:dyDescent="0.25">
      <c r="B702" s="336"/>
      <c r="C702" s="64" t="s">
        <v>69</v>
      </c>
      <c r="D702" s="104">
        <v>400</v>
      </c>
      <c r="E702" s="104">
        <f t="shared" si="312"/>
        <v>6.1899999999999995</v>
      </c>
      <c r="F702" s="64">
        <f t="shared" si="292"/>
        <v>27900</v>
      </c>
      <c r="G702" s="32">
        <f t="shared" si="293"/>
        <v>8.0699706272401528</v>
      </c>
      <c r="H702" s="31">
        <f t="shared" si="294"/>
        <v>225152.18050000025</v>
      </c>
      <c r="I702" s="31">
        <f t="shared" si="295"/>
        <v>-52451.18050000025</v>
      </c>
      <c r="J702" s="277">
        <f t="shared" si="296"/>
        <v>-0.23295879428536209</v>
      </c>
      <c r="K702" s="31">
        <f t="shared" si="297"/>
        <v>172701</v>
      </c>
      <c r="L702" s="31">
        <f t="shared" si="298"/>
        <v>2822.5240000000049</v>
      </c>
      <c r="M702" s="31">
        <f t="shared" si="299"/>
        <v>5</v>
      </c>
      <c r="N702" s="31">
        <f t="shared" si="300"/>
        <v>2.476</v>
      </c>
      <c r="O702" s="31"/>
      <c r="P702" s="31">
        <f t="shared" si="301"/>
        <v>-1.8799706272401533</v>
      </c>
      <c r="Q702" s="31">
        <f t="shared" si="302"/>
        <v>2468.5240000000049</v>
      </c>
      <c r="R702" s="31"/>
      <c r="S702" s="31">
        <f t="shared" si="303"/>
        <v>9642.3280000000086</v>
      </c>
      <c r="T702" s="31">
        <f t="shared" si="304"/>
        <v>1557.7266558966089</v>
      </c>
      <c r="U702" s="25">
        <f t="shared" si="305"/>
        <v>29457.726655896608</v>
      </c>
      <c r="V702" s="25">
        <f>H702+S702-SUM(AB$15:AB702)</f>
        <v>233794.50850000026</v>
      </c>
      <c r="W702" s="25">
        <f t="shared" si="306"/>
        <v>7.9366106974585966</v>
      </c>
      <c r="X702" s="25">
        <f t="shared" si="307"/>
        <v>-0.1333599297815562</v>
      </c>
      <c r="Y702" s="25">
        <f t="shared" si="308"/>
        <v>-1.7466106974585971</v>
      </c>
      <c r="Z702" s="25">
        <f t="shared" si="309"/>
        <v>0.94711992971851433</v>
      </c>
      <c r="AA702" s="25">
        <f>SUM(L$2:L702)-SUM(AB$2:AB702)</f>
        <v>-56732.734000000113</v>
      </c>
      <c r="AB702" s="176"/>
      <c r="AC702" s="176">
        <f t="shared" si="310"/>
        <v>-8469.2980468094102</v>
      </c>
      <c r="AD702" s="176">
        <f t="shared" si="311"/>
        <v>-36369.29804680941</v>
      </c>
    </row>
    <row r="703" spans="1:30" s="1" customFormat="1" x14ac:dyDescent="0.25">
      <c r="B703" s="336"/>
      <c r="C703" s="64" t="s">
        <v>69</v>
      </c>
      <c r="D703" s="104">
        <v>400</v>
      </c>
      <c r="E703" s="104">
        <f t="shared" si="312"/>
        <v>6.2899999999999991</v>
      </c>
      <c r="F703" s="64">
        <f t="shared" si="292"/>
        <v>27500</v>
      </c>
      <c r="G703" s="32">
        <f t="shared" si="293"/>
        <v>8.096134418181828</v>
      </c>
      <c r="H703" s="31">
        <f t="shared" si="294"/>
        <v>222643.69650000025</v>
      </c>
      <c r="I703" s="31">
        <f t="shared" si="295"/>
        <v>-49668.696500000282</v>
      </c>
      <c r="J703" s="277">
        <f t="shared" si="296"/>
        <v>-0.22308602166062327</v>
      </c>
      <c r="K703" s="31">
        <f t="shared" si="297"/>
        <v>172974.99999999997</v>
      </c>
      <c r="L703" s="31">
        <f t="shared" si="298"/>
        <v>2782.4839999999676</v>
      </c>
      <c r="M703" s="31">
        <f t="shared" si="299"/>
        <v>5</v>
      </c>
      <c r="N703" s="31">
        <f t="shared" si="300"/>
        <v>2.5159999999999996</v>
      </c>
      <c r="O703" s="31"/>
      <c r="P703" s="31">
        <f t="shared" si="301"/>
        <v>-1.8061344181818288</v>
      </c>
      <c r="Q703" s="31">
        <f t="shared" si="302"/>
        <v>2508.4839999999967</v>
      </c>
      <c r="R703" s="31"/>
      <c r="S703" s="31">
        <f t="shared" si="303"/>
        <v>12150.812000000005</v>
      </c>
      <c r="T703" s="31">
        <f t="shared" si="304"/>
        <v>1931.7666136724972</v>
      </c>
      <c r="U703" s="25">
        <f t="shared" si="305"/>
        <v>29431.766613672498</v>
      </c>
      <c r="V703" s="25">
        <f>H703+S703-SUM(AB$15:AB703)</f>
        <v>233794.50850000026</v>
      </c>
      <c r="W703" s="25">
        <f t="shared" si="306"/>
        <v>7.9436111181783851</v>
      </c>
      <c r="X703" s="25">
        <f t="shared" si="307"/>
        <v>-0.15252330000344294</v>
      </c>
      <c r="Y703" s="25">
        <f t="shared" si="308"/>
        <v>-1.6536111181783859</v>
      </c>
      <c r="Z703" s="25">
        <f t="shared" si="309"/>
        <v>0.93436457148395913</v>
      </c>
      <c r="AA703" s="25">
        <f>SUM(L$2:L703)-SUM(AB$2:AB703)</f>
        <v>-53950.250000000146</v>
      </c>
      <c r="AB703" s="176"/>
      <c r="AC703" s="176">
        <f t="shared" si="310"/>
        <v>-7892.5059064785837</v>
      </c>
      <c r="AD703" s="176">
        <f t="shared" si="311"/>
        <v>-35392.505906478582</v>
      </c>
    </row>
    <row r="704" spans="1:30" s="1" customFormat="1" x14ac:dyDescent="0.25">
      <c r="B704" s="336"/>
      <c r="C704" s="64" t="s">
        <v>69</v>
      </c>
      <c r="D704" s="104">
        <v>400</v>
      </c>
      <c r="E704" s="104">
        <f t="shared" si="312"/>
        <v>6.3899999999999988</v>
      </c>
      <c r="F704" s="64">
        <f t="shared" si="292"/>
        <v>27100</v>
      </c>
      <c r="G704" s="32">
        <f t="shared" si="293"/>
        <v>8.1215960332103414</v>
      </c>
      <c r="H704" s="31">
        <f t="shared" si="294"/>
        <v>220095.25250000026</v>
      </c>
      <c r="I704" s="31">
        <f t="shared" si="295"/>
        <v>-46926.252500000293</v>
      </c>
      <c r="J704" s="277">
        <f t="shared" si="296"/>
        <v>-0.21320883556995501</v>
      </c>
      <c r="K704" s="31">
        <f t="shared" si="297"/>
        <v>173168.99999999997</v>
      </c>
      <c r="L704" s="31">
        <f t="shared" si="298"/>
        <v>2742.4439999999886</v>
      </c>
      <c r="M704" s="31">
        <f t="shared" si="299"/>
        <v>5</v>
      </c>
      <c r="N704" s="31">
        <f t="shared" si="300"/>
        <v>2.5559999999999996</v>
      </c>
      <c r="O704" s="31"/>
      <c r="P704" s="31">
        <f t="shared" si="301"/>
        <v>-1.7315960332103426</v>
      </c>
      <c r="Q704" s="31">
        <f t="shared" si="302"/>
        <v>2548.4439999999886</v>
      </c>
      <c r="R704" s="31"/>
      <c r="S704" s="31">
        <f t="shared" si="303"/>
        <v>14699.255999999994</v>
      </c>
      <c r="T704" s="31">
        <f t="shared" si="304"/>
        <v>2300.353051643192</v>
      </c>
      <c r="U704" s="25">
        <f t="shared" si="305"/>
        <v>29400.353051643193</v>
      </c>
      <c r="V704" s="25">
        <f>H704+S704-SUM(AB$15:AB704)</f>
        <v>233794.50850000026</v>
      </c>
      <c r="W704" s="25">
        <f t="shared" si="306"/>
        <v>7.9520986734182575</v>
      </c>
      <c r="X704" s="25">
        <f t="shared" si="307"/>
        <v>-0.16949735979208391</v>
      </c>
      <c r="Y704" s="25">
        <f t="shared" si="308"/>
        <v>-1.5620986734182587</v>
      </c>
      <c r="Z704" s="25">
        <f t="shared" si="309"/>
        <v>0.9217576385017382</v>
      </c>
      <c r="AA704" s="25">
        <f>SUM(L$2:L704)-SUM(AB$2:AB704)</f>
        <v>-51207.806000000157</v>
      </c>
      <c r="AB704" s="176"/>
      <c r="AC704" s="176">
        <f t="shared" si="310"/>
        <v>-7340.0296359546637</v>
      </c>
      <c r="AD704" s="176">
        <f t="shared" si="311"/>
        <v>-34440.029635954663</v>
      </c>
    </row>
    <row r="705" spans="2:30" s="1" customFormat="1" x14ac:dyDescent="0.25">
      <c r="B705" s="336"/>
      <c r="C705" s="64" t="s">
        <v>69</v>
      </c>
      <c r="D705" s="104">
        <v>400</v>
      </c>
      <c r="E705" s="104">
        <f t="shared" si="312"/>
        <v>6.4899999999999984</v>
      </c>
      <c r="F705" s="64">
        <f t="shared" si="292"/>
        <v>26700</v>
      </c>
      <c r="G705" s="32">
        <f t="shared" si="293"/>
        <v>8.1463239138576871</v>
      </c>
      <c r="H705" s="31">
        <f t="shared" si="294"/>
        <v>217506.84850000025</v>
      </c>
      <c r="I705" s="31">
        <f t="shared" si="295"/>
        <v>-44223.848500000284</v>
      </c>
      <c r="J705" s="277">
        <f t="shared" si="296"/>
        <v>-0.20332163701962808</v>
      </c>
      <c r="K705" s="31">
        <f t="shared" si="297"/>
        <v>173282.99999999997</v>
      </c>
      <c r="L705" s="31">
        <f t="shared" si="298"/>
        <v>2702.4040000000095</v>
      </c>
      <c r="M705" s="31">
        <f t="shared" si="299"/>
        <v>5</v>
      </c>
      <c r="N705" s="31">
        <f t="shared" si="300"/>
        <v>2.5959999999999996</v>
      </c>
      <c r="O705" s="31"/>
      <c r="P705" s="31">
        <f t="shared" si="301"/>
        <v>-1.6563239138576886</v>
      </c>
      <c r="Q705" s="31">
        <f t="shared" si="302"/>
        <v>2588.4040000000095</v>
      </c>
      <c r="R705" s="31"/>
      <c r="S705" s="31">
        <f t="shared" si="303"/>
        <v>17287.660000000003</v>
      </c>
      <c r="T705" s="31">
        <f t="shared" si="304"/>
        <v>2663.7380585516189</v>
      </c>
      <c r="U705" s="25">
        <f t="shared" si="305"/>
        <v>29363.738058551618</v>
      </c>
      <c r="V705" s="25">
        <f>H705+S705-SUM(AB$15:AB705)</f>
        <v>233794.50850000026</v>
      </c>
      <c r="W705" s="25">
        <f t="shared" si="306"/>
        <v>7.962014510339638</v>
      </c>
      <c r="X705" s="25">
        <f t="shared" si="307"/>
        <v>-0.18430940351804903</v>
      </c>
      <c r="Y705" s="25">
        <f t="shared" si="308"/>
        <v>-1.4720145103396396</v>
      </c>
      <c r="Z705" s="25">
        <f t="shared" si="309"/>
        <v>0.90928477657578555</v>
      </c>
      <c r="AA705" s="25">
        <f>SUM(L$2:L705)-SUM(AB$2:AB705)</f>
        <v>-48505.402000000147</v>
      </c>
      <c r="AB705" s="176"/>
      <c r="AC705" s="176">
        <f t="shared" si="310"/>
        <v>-6810.745235092495</v>
      </c>
      <c r="AD705" s="176">
        <f t="shared" si="311"/>
        <v>-33510.745235092494</v>
      </c>
    </row>
    <row r="706" spans="2:30" s="1" customFormat="1" x14ac:dyDescent="0.25">
      <c r="B706" s="336"/>
      <c r="C706" s="64" t="s">
        <v>69</v>
      </c>
      <c r="D706" s="104">
        <v>400</v>
      </c>
      <c r="E706" s="104">
        <f t="shared" si="312"/>
        <v>6.5899999999999981</v>
      </c>
      <c r="F706" s="64">
        <f t="shared" si="292"/>
        <v>26300</v>
      </c>
      <c r="G706" s="32">
        <f t="shared" si="293"/>
        <v>8.1702845817490584</v>
      </c>
      <c r="H706" s="31">
        <f t="shared" si="294"/>
        <v>214878.48450000025</v>
      </c>
      <c r="I706" s="31">
        <f t="shared" si="295"/>
        <v>-41561.484500000312</v>
      </c>
      <c r="J706" s="277">
        <f t="shared" si="296"/>
        <v>-0.193418548146919</v>
      </c>
      <c r="K706" s="31">
        <f t="shared" si="297"/>
        <v>173316.99999999994</v>
      </c>
      <c r="L706" s="31">
        <f t="shared" si="298"/>
        <v>2662.3639999999723</v>
      </c>
      <c r="M706" s="31">
        <f t="shared" si="299"/>
        <v>5</v>
      </c>
      <c r="N706" s="31">
        <f t="shared" si="300"/>
        <v>2.6359999999999992</v>
      </c>
      <c r="O706" s="31"/>
      <c r="P706" s="31">
        <f t="shared" si="301"/>
        <v>-1.5802845817490603</v>
      </c>
      <c r="Q706" s="31">
        <f t="shared" si="302"/>
        <v>2628.3640000000014</v>
      </c>
      <c r="R706" s="31"/>
      <c r="S706" s="31">
        <f t="shared" si="303"/>
        <v>19916.024000000005</v>
      </c>
      <c r="T706" s="31">
        <f t="shared" si="304"/>
        <v>3022.1584218512917</v>
      </c>
      <c r="U706" s="25">
        <f t="shared" si="305"/>
        <v>29322.158421851291</v>
      </c>
      <c r="V706" s="25">
        <f>H706+S706-SUM(AB$15:AB706)</f>
        <v>233794.50850000026</v>
      </c>
      <c r="W706" s="25">
        <f t="shared" si="306"/>
        <v>7.9733048685042656</v>
      </c>
      <c r="X706" s="25">
        <f t="shared" si="307"/>
        <v>-0.1969797132447928</v>
      </c>
      <c r="Y706" s="25">
        <f t="shared" si="308"/>
        <v>-1.3833048685042675</v>
      </c>
      <c r="Z706" s="25">
        <f t="shared" si="309"/>
        <v>0.89693260713034229</v>
      </c>
      <c r="AA706" s="25">
        <f>SUM(L$2:L706)-SUM(AB$2:AB706)</f>
        <v>-45843.038000000175</v>
      </c>
      <c r="AB706" s="176"/>
      <c r="AC706" s="176">
        <f t="shared" si="310"/>
        <v>-6303.5969283384411</v>
      </c>
      <c r="AD706" s="176">
        <f t="shared" si="311"/>
        <v>-32603.59692833844</v>
      </c>
    </row>
    <row r="707" spans="2:30" s="1" customFormat="1" x14ac:dyDescent="0.25">
      <c r="B707" s="336"/>
      <c r="C707" s="64" t="s">
        <v>69</v>
      </c>
      <c r="D707" s="104">
        <v>400</v>
      </c>
      <c r="E707" s="104">
        <f t="shared" si="312"/>
        <v>6.6899999999999977</v>
      </c>
      <c r="F707" s="64">
        <f t="shared" si="292"/>
        <v>25900</v>
      </c>
      <c r="G707" s="32">
        <f t="shared" si="293"/>
        <v>8.1934424903475005</v>
      </c>
      <c r="H707" s="31">
        <f t="shared" si="294"/>
        <v>212210.16050000026</v>
      </c>
      <c r="I707" s="31">
        <f t="shared" si="295"/>
        <v>-38939.160500000318</v>
      </c>
      <c r="J707" s="277">
        <f t="shared" si="296"/>
        <v>-0.18349338414453664</v>
      </c>
      <c r="K707" s="31">
        <f t="shared" si="297"/>
        <v>173270.99999999994</v>
      </c>
      <c r="L707" s="31">
        <f t="shared" si="298"/>
        <v>2622.3239999999932</v>
      </c>
      <c r="M707" s="31">
        <f t="shared" si="299"/>
        <v>5</v>
      </c>
      <c r="N707" s="31">
        <f t="shared" si="300"/>
        <v>2.6759999999999993</v>
      </c>
      <c r="O707" s="31"/>
      <c r="P707" s="31">
        <f t="shared" si="301"/>
        <v>-1.5034424903475028</v>
      </c>
      <c r="Q707" s="31">
        <f t="shared" si="302"/>
        <v>2668.3239999999932</v>
      </c>
      <c r="R707" s="31"/>
      <c r="S707" s="31">
        <f t="shared" si="303"/>
        <v>22584.347999999998</v>
      </c>
      <c r="T707" s="31">
        <f t="shared" si="304"/>
        <v>3375.8367713004491</v>
      </c>
      <c r="U707" s="25">
        <f t="shared" si="305"/>
        <v>29275.836771300448</v>
      </c>
      <c r="V707" s="25">
        <f>H707+S707-SUM(AB$15:AB707)</f>
        <v>233794.50850000026</v>
      </c>
      <c r="W707" s="25">
        <f t="shared" si="306"/>
        <v>7.9859206186445402</v>
      </c>
      <c r="X707" s="25">
        <f t="shared" si="307"/>
        <v>-0.20752187170296033</v>
      </c>
      <c r="Y707" s="25">
        <f t="shared" si="308"/>
        <v>-1.2959206186445424</v>
      </c>
      <c r="Z707" s="25">
        <f t="shared" si="309"/>
        <v>0.88468863255140728</v>
      </c>
      <c r="AA707" s="25">
        <f>SUM(L$2:L707)-SUM(AB$2:AB707)</f>
        <v>-43220.714000000182</v>
      </c>
      <c r="AB707" s="176"/>
      <c r="AC707" s="176">
        <f t="shared" si="310"/>
        <v>-5817.5920657324859</v>
      </c>
      <c r="AD707" s="176">
        <f t="shared" si="311"/>
        <v>-31717.592065732486</v>
      </c>
    </row>
    <row r="708" spans="2:30" s="1" customFormat="1" x14ac:dyDescent="0.25">
      <c r="B708" s="336"/>
      <c r="C708" s="64" t="s">
        <v>69</v>
      </c>
      <c r="D708" s="104">
        <v>400</v>
      </c>
      <c r="E708" s="104">
        <f t="shared" si="312"/>
        <v>6.7899999999999974</v>
      </c>
      <c r="F708" s="64">
        <f t="shared" si="292"/>
        <v>25500</v>
      </c>
      <c r="G708" s="32">
        <f t="shared" si="293"/>
        <v>8.2157598627451076</v>
      </c>
      <c r="H708" s="31">
        <f t="shared" si="294"/>
        <v>209501.87650000025</v>
      </c>
      <c r="I708" s="31">
        <f t="shared" si="295"/>
        <v>-36356.876500000304</v>
      </c>
      <c r="J708" s="277">
        <f t="shared" si="296"/>
        <v>-0.17353962220954269</v>
      </c>
      <c r="K708" s="31">
        <f t="shared" si="297"/>
        <v>173144.99999999994</v>
      </c>
      <c r="L708" s="31">
        <f t="shared" si="298"/>
        <v>2582.2840000000142</v>
      </c>
      <c r="M708" s="31">
        <f t="shared" si="299"/>
        <v>5</v>
      </c>
      <c r="N708" s="31">
        <f t="shared" si="300"/>
        <v>2.7159999999999993</v>
      </c>
      <c r="O708" s="31"/>
      <c r="P708" s="31">
        <f t="shared" si="301"/>
        <v>-1.4257598627451102</v>
      </c>
      <c r="Q708" s="31">
        <f t="shared" si="302"/>
        <v>2708.2840000000142</v>
      </c>
      <c r="R708" s="31"/>
      <c r="S708" s="31">
        <f t="shared" si="303"/>
        <v>25292.632000000012</v>
      </c>
      <c r="T708" s="31">
        <f t="shared" si="304"/>
        <v>3724.9826215022122</v>
      </c>
      <c r="U708" s="25">
        <f t="shared" si="305"/>
        <v>29224.982621502211</v>
      </c>
      <c r="V708" s="25">
        <f>H708+S708-SUM(AB$15:AB708)</f>
        <v>233794.50850000026</v>
      </c>
      <c r="W708" s="25">
        <f t="shared" si="306"/>
        <v>7.9998168528588449</v>
      </c>
      <c r="X708" s="25">
        <f t="shared" si="307"/>
        <v>-0.21594300988626269</v>
      </c>
      <c r="Y708" s="25">
        <f t="shared" si="308"/>
        <v>-1.2098168528588475</v>
      </c>
      <c r="Z708" s="25">
        <f t="shared" si="309"/>
        <v>0.87254115187183845</v>
      </c>
      <c r="AA708" s="25">
        <f>SUM(L$2:L708)-SUM(AB$2:AB708)</f>
        <v>-40638.430000000168</v>
      </c>
      <c r="AB708" s="176"/>
      <c r="AC708" s="176">
        <f t="shared" si="310"/>
        <v>-5351.796474484584</v>
      </c>
      <c r="AD708" s="176">
        <f t="shared" si="311"/>
        <v>-30851.796474484585</v>
      </c>
    </row>
    <row r="709" spans="2:30" s="1" customFormat="1" x14ac:dyDescent="0.25">
      <c r="B709" s="336"/>
      <c r="C709" s="64" t="s">
        <v>69</v>
      </c>
      <c r="D709" s="104">
        <v>400</v>
      </c>
      <c r="E709" s="104">
        <f t="shared" si="312"/>
        <v>6.889999999999997</v>
      </c>
      <c r="F709" s="64">
        <f t="shared" si="292"/>
        <v>25100</v>
      </c>
      <c r="G709" s="32">
        <f t="shared" si="293"/>
        <v>8.237196513944232</v>
      </c>
      <c r="H709" s="31">
        <f t="shared" si="294"/>
        <v>206753.63250000024</v>
      </c>
      <c r="I709" s="31">
        <f t="shared" si="295"/>
        <v>-33814.632500000327</v>
      </c>
      <c r="J709" s="277">
        <f t="shared" si="296"/>
        <v>-0.16355036712595733</v>
      </c>
      <c r="K709" s="31">
        <f t="shared" si="297"/>
        <v>172938.99999999991</v>
      </c>
      <c r="L709" s="31">
        <f t="shared" si="298"/>
        <v>2542.2439999999769</v>
      </c>
      <c r="M709" s="31">
        <f t="shared" si="299"/>
        <v>5</v>
      </c>
      <c r="N709" s="31">
        <f t="shared" si="300"/>
        <v>2.7559999999999985</v>
      </c>
      <c r="O709" s="31"/>
      <c r="P709" s="31">
        <f t="shared" si="301"/>
        <v>-1.347196513944235</v>
      </c>
      <c r="Q709" s="31">
        <f t="shared" si="302"/>
        <v>2748.2440000000061</v>
      </c>
      <c r="R709" s="31"/>
      <c r="S709" s="31">
        <f t="shared" si="303"/>
        <v>28040.876000000018</v>
      </c>
      <c r="T709" s="31">
        <f t="shared" si="304"/>
        <v>4069.793323657479</v>
      </c>
      <c r="U709" s="25">
        <f t="shared" si="305"/>
        <v>29169.793323657479</v>
      </c>
      <c r="V709" s="25">
        <f>H709+S709-SUM(AB$15:AB709)</f>
        <v>233794.50850000026</v>
      </c>
      <c r="W709" s="25">
        <f t="shared" si="306"/>
        <v>8.0149525197488014</v>
      </c>
      <c r="X709" s="25">
        <f t="shared" si="307"/>
        <v>-0.22224399419543062</v>
      </c>
      <c r="Y709" s="25">
        <f t="shared" si="308"/>
        <v>-1.1249525197488044</v>
      </c>
      <c r="Z709" s="25">
        <f t="shared" si="309"/>
        <v>0.86047918548820268</v>
      </c>
      <c r="AA709" s="25">
        <f>SUM(L$2:L709)-SUM(AB$2:AB709)</f>
        <v>-38096.186000000191</v>
      </c>
      <c r="AB709" s="176"/>
      <c r="AC709" s="176">
        <f t="shared" si="310"/>
        <v>-4905.330215348381</v>
      </c>
      <c r="AD709" s="176">
        <f t="shared" si="311"/>
        <v>-30005.330215348382</v>
      </c>
    </row>
    <row r="710" spans="2:30" s="1" customFormat="1" x14ac:dyDescent="0.25">
      <c r="B710" s="336"/>
      <c r="C710" s="64" t="s">
        <v>69</v>
      </c>
      <c r="D710" s="104">
        <v>400</v>
      </c>
      <c r="E710" s="104">
        <f t="shared" si="312"/>
        <v>6.9899999999999967</v>
      </c>
      <c r="F710" s="64">
        <f t="shared" si="292"/>
        <v>24700</v>
      </c>
      <c r="G710" s="32">
        <f t="shared" si="293"/>
        <v>8.257709655870455</v>
      </c>
      <c r="H710" s="31">
        <f t="shared" si="294"/>
        <v>203965.42850000024</v>
      </c>
      <c r="I710" s="31">
        <f t="shared" si="295"/>
        <v>-31312.428500000329</v>
      </c>
      <c r="J710" s="277">
        <f t="shared" si="296"/>
        <v>-0.15351831303117275</v>
      </c>
      <c r="K710" s="31">
        <f t="shared" si="297"/>
        <v>172652.99999999991</v>
      </c>
      <c r="L710" s="31">
        <f t="shared" si="298"/>
        <v>2502.2039999999979</v>
      </c>
      <c r="M710" s="31">
        <f t="shared" si="299"/>
        <v>5</v>
      </c>
      <c r="N710" s="31">
        <f t="shared" si="300"/>
        <v>2.7959999999999985</v>
      </c>
      <c r="O710" s="31"/>
      <c r="P710" s="31">
        <f t="shared" si="301"/>
        <v>-1.2677096558704584</v>
      </c>
      <c r="Q710" s="31">
        <f t="shared" si="302"/>
        <v>2788.2039999999979</v>
      </c>
      <c r="R710" s="31"/>
      <c r="S710" s="31">
        <f t="shared" si="303"/>
        <v>30829.080000000016</v>
      </c>
      <c r="T710" s="31">
        <f t="shared" si="304"/>
        <v>4410.4549356223224</v>
      </c>
      <c r="U710" s="25">
        <f t="shared" si="305"/>
        <v>29110.454935622321</v>
      </c>
      <c r="V710" s="25">
        <f>H710+S710-SUM(AB$15:AB710)</f>
        <v>233794.50850000026</v>
      </c>
      <c r="W710" s="25">
        <f t="shared" si="306"/>
        <v>8.0312900989364842</v>
      </c>
      <c r="X710" s="25">
        <f t="shared" si="307"/>
        <v>-0.22641955693397087</v>
      </c>
      <c r="Y710" s="25">
        <f t="shared" si="308"/>
        <v>-1.0412900989364875</v>
      </c>
      <c r="Z710" s="25">
        <f t="shared" si="309"/>
        <v>0.84849240778352564</v>
      </c>
      <c r="AA710" s="25">
        <f>SUM(L$2:L710)-SUM(AB$2:AB710)</f>
        <v>-35593.982000000193</v>
      </c>
      <c r="AB710" s="176"/>
      <c r="AC710" s="176">
        <f t="shared" si="310"/>
        <v>-4477.3637032546985</v>
      </c>
      <c r="AD710" s="176">
        <f t="shared" si="311"/>
        <v>-29177.363703254698</v>
      </c>
    </row>
    <row r="711" spans="2:30" s="1" customFormat="1" x14ac:dyDescent="0.25">
      <c r="B711" s="336"/>
      <c r="C711" s="64" t="s">
        <v>69</v>
      </c>
      <c r="D711" s="104">
        <v>400</v>
      </c>
      <c r="E711" s="104">
        <f t="shared" si="312"/>
        <v>7.0899999999999963</v>
      </c>
      <c r="F711" s="64">
        <f t="shared" si="292"/>
        <v>24300</v>
      </c>
      <c r="G711" s="32">
        <f t="shared" si="293"/>
        <v>8.2772536831275829</v>
      </c>
      <c r="H711" s="31">
        <f t="shared" si="294"/>
        <v>201137.26450000025</v>
      </c>
      <c r="I711" s="31">
        <f t="shared" si="295"/>
        <v>-28850.264500000339</v>
      </c>
      <c r="J711" s="277">
        <f t="shared" si="296"/>
        <v>-0.14343570084697219</v>
      </c>
      <c r="K711" s="31">
        <f t="shared" si="297"/>
        <v>172286.99999999991</v>
      </c>
      <c r="L711" s="31">
        <f t="shared" si="298"/>
        <v>2462.1639999999898</v>
      </c>
      <c r="M711" s="31">
        <f t="shared" si="299"/>
        <v>5</v>
      </c>
      <c r="N711" s="31">
        <f t="shared" si="300"/>
        <v>2.8359999999999985</v>
      </c>
      <c r="O711" s="31"/>
      <c r="P711" s="31">
        <f t="shared" si="301"/>
        <v>-1.1872536831275866</v>
      </c>
      <c r="Q711" s="31">
        <f t="shared" si="302"/>
        <v>2828.1639999999898</v>
      </c>
      <c r="R711" s="31"/>
      <c r="S711" s="31">
        <f t="shared" si="303"/>
        <v>33657.244000000006</v>
      </c>
      <c r="T711" s="31">
        <f t="shared" si="304"/>
        <v>4747.143018335687</v>
      </c>
      <c r="U711" s="25">
        <f t="shared" si="305"/>
        <v>29047.143018335686</v>
      </c>
      <c r="V711" s="25">
        <f>H711+S711-SUM(AB$15:AB711)</f>
        <v>233794.50850000026</v>
      </c>
      <c r="W711" s="25">
        <f t="shared" si="306"/>
        <v>8.0487953101762901</v>
      </c>
      <c r="X711" s="25">
        <f t="shared" si="307"/>
        <v>-0.22845837295129279</v>
      </c>
      <c r="Y711" s="25">
        <f t="shared" si="308"/>
        <v>-0.95879531017629382</v>
      </c>
      <c r="Z711" s="25">
        <f t="shared" si="309"/>
        <v>0.83657108668693836</v>
      </c>
      <c r="AA711" s="25">
        <f>SUM(L$2:L711)-SUM(AB$2:AB711)</f>
        <v>-33131.818000000203</v>
      </c>
      <c r="AB711" s="176"/>
      <c r="AC711" s="176">
        <f t="shared" si="310"/>
        <v>-4067.1141562412349</v>
      </c>
      <c r="AD711" s="176">
        <f t="shared" si="311"/>
        <v>-28367.114156241234</v>
      </c>
    </row>
    <row r="712" spans="2:30" s="1" customFormat="1" x14ac:dyDescent="0.25">
      <c r="B712" s="336"/>
      <c r="C712" s="64" t="s">
        <v>69</v>
      </c>
      <c r="D712" s="104">
        <v>400</v>
      </c>
      <c r="E712" s="104">
        <f t="shared" si="312"/>
        <v>7.1899999999999959</v>
      </c>
      <c r="F712" s="64">
        <f t="shared" si="292"/>
        <v>23900</v>
      </c>
      <c r="G712" s="32">
        <f t="shared" si="293"/>
        <v>8.2957799372385033</v>
      </c>
      <c r="H712" s="31">
        <f t="shared" si="294"/>
        <v>198269.14050000024</v>
      </c>
      <c r="I712" s="31">
        <f t="shared" si="295"/>
        <v>-26428.140500000329</v>
      </c>
      <c r="J712" s="277">
        <f t="shared" si="296"/>
        <v>-0.13329427077432807</v>
      </c>
      <c r="K712" s="31">
        <f t="shared" si="297"/>
        <v>171840.99999999991</v>
      </c>
      <c r="L712" s="31">
        <f t="shared" si="298"/>
        <v>2422.1240000000107</v>
      </c>
      <c r="M712" s="31">
        <f t="shared" si="299"/>
        <v>5</v>
      </c>
      <c r="N712" s="31">
        <f t="shared" si="300"/>
        <v>2.8759999999999981</v>
      </c>
      <c r="O712" s="31"/>
      <c r="P712" s="31">
        <f t="shared" si="301"/>
        <v>-1.1057799372385073</v>
      </c>
      <c r="Q712" s="31">
        <f t="shared" si="302"/>
        <v>2868.1240000000107</v>
      </c>
      <c r="R712" s="31"/>
      <c r="S712" s="31">
        <f t="shared" si="303"/>
        <v>36525.368000000017</v>
      </c>
      <c r="T712" s="31">
        <f t="shared" si="304"/>
        <v>5080.0233657858189</v>
      </c>
      <c r="U712" s="25">
        <f t="shared" si="305"/>
        <v>28980.023365785819</v>
      </c>
      <c r="V712" s="25">
        <f>H712+S712-SUM(AB$15:AB712)</f>
        <v>233794.50850000026</v>
      </c>
      <c r="W712" s="25">
        <f t="shared" si="306"/>
        <v>8.0674368529330103</v>
      </c>
      <c r="X712" s="25">
        <f t="shared" si="307"/>
        <v>-0.22834308430549299</v>
      </c>
      <c r="Y712" s="25">
        <f t="shared" si="308"/>
        <v>-0.87743685293301432</v>
      </c>
      <c r="Z712" s="25">
        <f t="shared" si="309"/>
        <v>0.82470602933387005</v>
      </c>
      <c r="AA712" s="25">
        <f>SUM(L$2:L712)-SUM(AB$2:AB712)</f>
        <v>-30709.694000000192</v>
      </c>
      <c r="AB712" s="176"/>
      <c r="AC712" s="176">
        <f t="shared" si="310"/>
        <v>-3673.8423407163209</v>
      </c>
      <c r="AD712" s="176">
        <f t="shared" si="311"/>
        <v>-27573.842340716321</v>
      </c>
    </row>
    <row r="713" spans="2:30" s="1" customFormat="1" x14ac:dyDescent="0.25">
      <c r="B713" s="336"/>
      <c r="C713" s="64" t="s">
        <v>69</v>
      </c>
      <c r="D713" s="104">
        <v>400</v>
      </c>
      <c r="E713" s="104">
        <f t="shared" si="312"/>
        <v>7.2899999999999956</v>
      </c>
      <c r="F713" s="64">
        <f t="shared" si="292"/>
        <v>23500</v>
      </c>
      <c r="G713" s="32">
        <f t="shared" si="293"/>
        <v>8.3132364468085207</v>
      </c>
      <c r="H713" s="31">
        <f t="shared" si="294"/>
        <v>195361.05650000024</v>
      </c>
      <c r="I713" s="31">
        <f t="shared" si="295"/>
        <v>-24046.056500000355</v>
      </c>
      <c r="J713" s="277">
        <f t="shared" si="296"/>
        <v>-0.12308520915477497</v>
      </c>
      <c r="K713" s="31">
        <f t="shared" si="297"/>
        <v>171314.99999999988</v>
      </c>
      <c r="L713" s="31">
        <f t="shared" si="298"/>
        <v>2382.0839999999735</v>
      </c>
      <c r="M713" s="31">
        <f t="shared" si="299"/>
        <v>5</v>
      </c>
      <c r="N713" s="31">
        <f t="shared" si="300"/>
        <v>2.9159999999999981</v>
      </c>
      <c r="O713" s="31"/>
      <c r="P713" s="31">
        <f t="shared" si="301"/>
        <v>-1.0232364468085251</v>
      </c>
      <c r="Q713" s="31">
        <f t="shared" si="302"/>
        <v>2908.0840000000026</v>
      </c>
      <c r="R713" s="31"/>
      <c r="S713" s="31">
        <f t="shared" si="303"/>
        <v>39433.452000000019</v>
      </c>
      <c r="T713" s="31">
        <f t="shared" si="304"/>
        <v>5409.252674897125</v>
      </c>
      <c r="U713" s="25">
        <f t="shared" si="305"/>
        <v>28909.252674897125</v>
      </c>
      <c r="V713" s="25">
        <f>H713+S713-SUM(AB$15:AB713)</f>
        <v>233794.50850000026</v>
      </c>
      <c r="W713" s="25">
        <f t="shared" si="306"/>
        <v>8.0871861728550272</v>
      </c>
      <c r="X713" s="25">
        <f t="shared" si="307"/>
        <v>-0.22605027395349353</v>
      </c>
      <c r="Y713" s="25">
        <f t="shared" si="308"/>
        <v>-0.79718617285503157</v>
      </c>
      <c r="Z713" s="25">
        <f t="shared" si="309"/>
        <v>0.81288853310296183</v>
      </c>
      <c r="AA713" s="25">
        <f>SUM(L$2:L713)-SUM(AB$2:AB713)</f>
        <v>-28327.610000000219</v>
      </c>
      <c r="AB713" s="176"/>
      <c r="AC713" s="176">
        <f t="shared" si="310"/>
        <v>-3296.8495846022456</v>
      </c>
      <c r="AD713" s="176">
        <f t="shared" si="311"/>
        <v>-26796.849584602245</v>
      </c>
    </row>
    <row r="714" spans="2:30" s="1" customFormat="1" x14ac:dyDescent="0.25">
      <c r="B714" s="336"/>
      <c r="C714" s="64" t="s">
        <v>69</v>
      </c>
      <c r="D714" s="104">
        <v>400</v>
      </c>
      <c r="E714" s="104">
        <f t="shared" si="312"/>
        <v>7.3899999999999952</v>
      </c>
      <c r="F714" s="64">
        <f t="shared" si="292"/>
        <v>23100</v>
      </c>
      <c r="G714" s="32">
        <f t="shared" si="293"/>
        <v>8.3295676406926518</v>
      </c>
      <c r="H714" s="31">
        <f t="shared" si="294"/>
        <v>192413.01250000024</v>
      </c>
      <c r="I714" s="31">
        <f t="shared" si="295"/>
        <v>-21704.012500000361</v>
      </c>
      <c r="J714" s="277">
        <f t="shared" si="296"/>
        <v>-0.11279908888698646</v>
      </c>
      <c r="K714" s="31">
        <f t="shared" si="297"/>
        <v>170708.99999999988</v>
      </c>
      <c r="L714" s="31">
        <f t="shared" si="298"/>
        <v>2342.0439999999944</v>
      </c>
      <c r="M714" s="31">
        <f t="shared" si="299"/>
        <v>5</v>
      </c>
      <c r="N714" s="31">
        <f t="shared" si="300"/>
        <v>2.9559999999999982</v>
      </c>
      <c r="O714" s="31"/>
      <c r="P714" s="31">
        <f t="shared" si="301"/>
        <v>-0.93956764069265652</v>
      </c>
      <c r="Q714" s="31">
        <f t="shared" si="302"/>
        <v>2948.0439999999944</v>
      </c>
      <c r="R714" s="31"/>
      <c r="S714" s="31">
        <f t="shared" si="303"/>
        <v>42381.496000000014</v>
      </c>
      <c r="T714" s="31">
        <f t="shared" si="304"/>
        <v>5734.9791610284219</v>
      </c>
      <c r="U714" s="25">
        <f t="shared" si="305"/>
        <v>28834.979161028423</v>
      </c>
      <c r="V714" s="25">
        <f>H714+S714-SUM(AB$15:AB714)</f>
        <v>233794.50850000026</v>
      </c>
      <c r="W714" s="25">
        <f t="shared" si="306"/>
        <v>8.1080172520458227</v>
      </c>
      <c r="X714" s="25">
        <f t="shared" si="307"/>
        <v>-0.22155038864682908</v>
      </c>
      <c r="Y714" s="25">
        <f t="shared" si="308"/>
        <v>-0.71801725204582745</v>
      </c>
      <c r="Z714" s="25">
        <f t="shared" si="309"/>
        <v>0.8011103414016173</v>
      </c>
      <c r="AA714" s="25">
        <f>SUM(L$2:L714)-SUM(AB$2:AB714)</f>
        <v>-25985.566000000224</v>
      </c>
      <c r="AB714" s="176"/>
      <c r="AC714" s="176">
        <f t="shared" si="310"/>
        <v>-2935.475032983813</v>
      </c>
      <c r="AD714" s="176">
        <f t="shared" si="311"/>
        <v>-26035.475032983813</v>
      </c>
    </row>
    <row r="715" spans="2:30" s="1" customFormat="1" x14ac:dyDescent="0.25">
      <c r="B715" s="336"/>
      <c r="C715" s="64" t="s">
        <v>69</v>
      </c>
      <c r="D715" s="104">
        <v>400</v>
      </c>
      <c r="E715" s="104">
        <f t="shared" si="312"/>
        <v>7.4899999999999949</v>
      </c>
      <c r="F715" s="64">
        <f t="shared" si="292"/>
        <v>22700</v>
      </c>
      <c r="G715" s="32">
        <f t="shared" si="293"/>
        <v>8.3447140308370162</v>
      </c>
      <c r="H715" s="31">
        <f t="shared" si="294"/>
        <v>189425.00850000026</v>
      </c>
      <c r="I715" s="31">
        <f t="shared" si="295"/>
        <v>-19402.008500000375</v>
      </c>
      <c r="J715" s="277">
        <f t="shared" si="296"/>
        <v>-0.10242580245152982</v>
      </c>
      <c r="K715" s="31">
        <f t="shared" si="297"/>
        <v>170022.99999999988</v>
      </c>
      <c r="L715" s="31">
        <f t="shared" si="298"/>
        <v>2302.0039999999863</v>
      </c>
      <c r="M715" s="31">
        <f t="shared" si="299"/>
        <v>5</v>
      </c>
      <c r="N715" s="31">
        <f t="shared" si="300"/>
        <v>2.9959999999999982</v>
      </c>
      <c r="O715" s="31"/>
      <c r="P715" s="31">
        <f t="shared" si="301"/>
        <v>-0.85471403083702135</v>
      </c>
      <c r="Q715" s="31">
        <f t="shared" si="302"/>
        <v>2988.0039999999863</v>
      </c>
      <c r="R715" s="31"/>
      <c r="S715" s="31">
        <f t="shared" si="303"/>
        <v>45369.5</v>
      </c>
      <c r="T715" s="31">
        <f t="shared" si="304"/>
        <v>6057.343124165558</v>
      </c>
      <c r="U715" s="25">
        <f t="shared" si="305"/>
        <v>28757.343124165556</v>
      </c>
      <c r="V715" s="25">
        <f>H715+S715-SUM(AB$15:AB715)</f>
        <v>233794.50850000026</v>
      </c>
      <c r="W715" s="25">
        <f t="shared" si="306"/>
        <v>8.1299064204417597</v>
      </c>
      <c r="X715" s="25">
        <f t="shared" si="307"/>
        <v>-0.21480761039525653</v>
      </c>
      <c r="Y715" s="25">
        <f t="shared" si="308"/>
        <v>-0.63990642044176482</v>
      </c>
      <c r="Z715" s="25">
        <f t="shared" si="309"/>
        <v>0.78936360365379477</v>
      </c>
      <c r="AA715" s="25">
        <f>SUM(L$2:L715)-SUM(AB$2:AB715)</f>
        <v>-23683.562000000238</v>
      </c>
      <c r="AB715" s="176"/>
      <c r="AC715" s="176">
        <f t="shared" si="310"/>
        <v>-2589.0931235981825</v>
      </c>
      <c r="AD715" s="176">
        <f t="shared" si="311"/>
        <v>-25289.093123598184</v>
      </c>
    </row>
    <row r="716" spans="2:30" s="1" customFormat="1" x14ac:dyDescent="0.25">
      <c r="B716" s="336"/>
      <c r="C716" s="64" t="s">
        <v>69</v>
      </c>
      <c r="D716" s="104">
        <v>400</v>
      </c>
      <c r="E716" s="104">
        <f t="shared" si="312"/>
        <v>7.5899999999999945</v>
      </c>
      <c r="F716" s="64">
        <f t="shared" si="292"/>
        <v>22300</v>
      </c>
      <c r="G716" s="32">
        <f t="shared" si="293"/>
        <v>8.3586118609865583</v>
      </c>
      <c r="H716" s="31">
        <f t="shared" si="294"/>
        <v>186397.04450000025</v>
      </c>
      <c r="I716" s="31">
        <f t="shared" si="295"/>
        <v>-17140.044500000367</v>
      </c>
      <c r="J716" s="277">
        <f t="shared" si="296"/>
        <v>-9.1954486435005409E-2</v>
      </c>
      <c r="K716" s="31">
        <f t="shared" si="297"/>
        <v>169256.99999999988</v>
      </c>
      <c r="L716" s="31">
        <f t="shared" si="298"/>
        <v>2261.9640000000072</v>
      </c>
      <c r="M716" s="31">
        <f t="shared" si="299"/>
        <v>5</v>
      </c>
      <c r="N716" s="31">
        <f t="shared" si="300"/>
        <v>3.0359999999999978</v>
      </c>
      <c r="O716" s="31"/>
      <c r="P716" s="31">
        <f t="shared" si="301"/>
        <v>-0.76861186098656376</v>
      </c>
      <c r="Q716" s="31">
        <f t="shared" si="302"/>
        <v>3027.9640000000072</v>
      </c>
      <c r="R716" s="31"/>
      <c r="S716" s="31">
        <f t="shared" si="303"/>
        <v>48397.464000000007</v>
      </c>
      <c r="T716" s="31">
        <f t="shared" si="304"/>
        <v>6376.4774703557368</v>
      </c>
      <c r="U716" s="25">
        <f t="shared" si="305"/>
        <v>28676.477470355738</v>
      </c>
      <c r="V716" s="25">
        <f>H716+S716-SUM(AB$15:AB716)</f>
        <v>233794.50850000026</v>
      </c>
      <c r="W716" s="25">
        <f t="shared" si="306"/>
        <v>8.1528321859504871</v>
      </c>
      <c r="X716" s="25">
        <f t="shared" si="307"/>
        <v>-0.2057796750360712</v>
      </c>
      <c r="Y716" s="25">
        <f t="shared" si="308"/>
        <v>-0.56283218595049256</v>
      </c>
      <c r="Z716" s="25">
        <f t="shared" si="309"/>
        <v>0.77764083901352909</v>
      </c>
      <c r="AA716" s="25">
        <f>SUM(L$2:L716)-SUM(AB$2:AB716)</f>
        <v>-21421.598000000231</v>
      </c>
      <c r="AB716" s="176"/>
      <c r="AC716" s="176">
        <f t="shared" si="310"/>
        <v>-2257.1112618906955</v>
      </c>
      <c r="AD716" s="176">
        <f t="shared" si="311"/>
        <v>-24557.111261890695</v>
      </c>
    </row>
    <row r="717" spans="2:30" s="1" customFormat="1" x14ac:dyDescent="0.25">
      <c r="B717" s="336"/>
      <c r="C717" s="64" t="s">
        <v>69</v>
      </c>
      <c r="D717" s="104">
        <v>400</v>
      </c>
      <c r="E717" s="104">
        <f t="shared" si="312"/>
        <v>7.6899999999999942</v>
      </c>
      <c r="F717" s="64">
        <f t="shared" si="292"/>
        <v>21900</v>
      </c>
      <c r="G717" s="32">
        <f t="shared" si="293"/>
        <v>8.3711927168949885</v>
      </c>
      <c r="H717" s="31">
        <f t="shared" si="294"/>
        <v>183329.12050000025</v>
      </c>
      <c r="I717" s="31">
        <f t="shared" si="295"/>
        <v>-14918.120500000368</v>
      </c>
      <c r="J717" s="277">
        <f t="shared" si="296"/>
        <v>-8.1373436251227504E-2</v>
      </c>
      <c r="K717" s="31">
        <f t="shared" si="297"/>
        <v>168410.99999999988</v>
      </c>
      <c r="L717" s="31">
        <f t="shared" si="298"/>
        <v>2221.9239999999991</v>
      </c>
      <c r="M717" s="31">
        <f t="shared" si="299"/>
        <v>5</v>
      </c>
      <c r="N717" s="31">
        <f t="shared" si="300"/>
        <v>3.0759999999999978</v>
      </c>
      <c r="O717" s="31"/>
      <c r="P717" s="31">
        <f t="shared" si="301"/>
        <v>-0.68119271689499428</v>
      </c>
      <c r="Q717" s="31">
        <f t="shared" si="302"/>
        <v>3067.9239999999991</v>
      </c>
      <c r="R717" s="31"/>
      <c r="S717" s="31">
        <f t="shared" si="303"/>
        <v>51465.388000000006</v>
      </c>
      <c r="T717" s="31">
        <f t="shared" si="304"/>
        <v>6692.5081924577435</v>
      </c>
      <c r="U717" s="25">
        <f t="shared" si="305"/>
        <v>28592.508192457743</v>
      </c>
      <c r="V717" s="25">
        <f>H717+S717-SUM(AB$15:AB717)</f>
        <v>233794.50850000026</v>
      </c>
      <c r="W717" s="25">
        <f t="shared" si="306"/>
        <v>8.1767750813015976</v>
      </c>
      <c r="X717" s="25">
        <f t="shared" si="307"/>
        <v>-0.19441763559339087</v>
      </c>
      <c r="Y717" s="25">
        <f t="shared" si="308"/>
        <v>-0.48677508130160341</v>
      </c>
      <c r="Z717" s="25">
        <f t="shared" si="309"/>
        <v>0.76593490338762504</v>
      </c>
      <c r="AA717" s="25">
        <f>SUM(L$2:L717)-SUM(AB$2:AB717)</f>
        <v>-19199.674000000232</v>
      </c>
      <c r="AB717" s="176"/>
      <c r="AC717" s="176">
        <f t="shared" si="310"/>
        <v>-1938.9676774707907</v>
      </c>
      <c r="AD717" s="176">
        <f t="shared" si="311"/>
        <v>-23838.967677470791</v>
      </c>
    </row>
    <row r="718" spans="2:30" s="1" customFormat="1" x14ac:dyDescent="0.25">
      <c r="B718" s="336"/>
      <c r="C718" s="64" t="s">
        <v>69</v>
      </c>
      <c r="D718" s="104">
        <v>400</v>
      </c>
      <c r="E718" s="104">
        <f t="shared" si="312"/>
        <v>7.7899999999999938</v>
      </c>
      <c r="F718" s="64">
        <f t="shared" si="292"/>
        <v>21500</v>
      </c>
      <c r="G718" s="32">
        <f t="shared" si="293"/>
        <v>8.3823830930232681</v>
      </c>
      <c r="H718" s="31">
        <f t="shared" si="294"/>
        <v>180221.23650000026</v>
      </c>
      <c r="I718" s="31">
        <f t="shared" si="295"/>
        <v>-12736.236500000407</v>
      </c>
      <c r="J718" s="277">
        <f t="shared" si="296"/>
        <v>-7.0670009524656532E-2</v>
      </c>
      <c r="K718" s="31">
        <f t="shared" si="297"/>
        <v>167484.99999999985</v>
      </c>
      <c r="L718" s="31">
        <f t="shared" si="298"/>
        <v>2181.8839999999618</v>
      </c>
      <c r="M718" s="31">
        <f t="shared" si="299"/>
        <v>5</v>
      </c>
      <c r="N718" s="31">
        <f t="shared" si="300"/>
        <v>3.1159999999999979</v>
      </c>
      <c r="O718" s="31"/>
      <c r="P718" s="31">
        <f t="shared" si="301"/>
        <v>-0.5923830930232743</v>
      </c>
      <c r="Q718" s="31">
        <f t="shared" si="302"/>
        <v>3107.8839999999909</v>
      </c>
      <c r="R718" s="31"/>
      <c r="S718" s="31">
        <f t="shared" si="303"/>
        <v>54573.271999999997</v>
      </c>
      <c r="T718" s="31">
        <f t="shared" si="304"/>
        <v>7005.5548138639333</v>
      </c>
      <c r="U718" s="25">
        <f t="shared" si="305"/>
        <v>28505.554813863935</v>
      </c>
      <c r="V718" s="25">
        <f>H718+S718-SUM(AB$15:AB718)</f>
        <v>233794.50850000026</v>
      </c>
      <c r="W718" s="25">
        <f t="shared" si="306"/>
        <v>8.201717525816834</v>
      </c>
      <c r="X718" s="25">
        <f t="shared" si="307"/>
        <v>-0.18066556720643412</v>
      </c>
      <c r="Y718" s="25">
        <f t="shared" si="308"/>
        <v>-0.41171752581684018</v>
      </c>
      <c r="Z718" s="25">
        <f t="shared" si="309"/>
        <v>0.75423895940251195</v>
      </c>
      <c r="AA718" s="25">
        <f>SUM(L$2:L718)-SUM(AB$2:AB718)</f>
        <v>-17017.79000000027</v>
      </c>
      <c r="AB718" s="176"/>
      <c r="AC718" s="176">
        <f t="shared" si="310"/>
        <v>-1634.129445667576</v>
      </c>
      <c r="AD718" s="176">
        <f t="shared" si="311"/>
        <v>-23134.129445667575</v>
      </c>
    </row>
    <row r="719" spans="2:30" s="1" customFormat="1" x14ac:dyDescent="0.25">
      <c r="B719" s="336"/>
      <c r="C719" s="64" t="s">
        <v>69</v>
      </c>
      <c r="D719" s="104">
        <v>400</v>
      </c>
      <c r="E719" s="104">
        <f t="shared" si="312"/>
        <v>7.8899999999999935</v>
      </c>
      <c r="F719" s="64">
        <f t="shared" si="292"/>
        <v>21100</v>
      </c>
      <c r="G719" s="32">
        <f t="shared" si="293"/>
        <v>8.3921039099526187</v>
      </c>
      <c r="H719" s="31">
        <f t="shared" si="294"/>
        <v>177073.39250000025</v>
      </c>
      <c r="I719" s="31">
        <f t="shared" si="295"/>
        <v>-10594.392500000395</v>
      </c>
      <c r="J719" s="277">
        <f t="shared" si="296"/>
        <v>-5.983051632108069E-2</v>
      </c>
      <c r="K719" s="31">
        <f t="shared" si="297"/>
        <v>166478.99999999985</v>
      </c>
      <c r="L719" s="31">
        <f t="shared" si="298"/>
        <v>2141.8440000000119</v>
      </c>
      <c r="M719" s="31">
        <f t="shared" si="299"/>
        <v>5</v>
      </c>
      <c r="N719" s="31">
        <f t="shared" si="300"/>
        <v>3.1559999999999975</v>
      </c>
      <c r="O719" s="31"/>
      <c r="P719" s="31">
        <f t="shared" si="301"/>
        <v>-0.50210390995262522</v>
      </c>
      <c r="Q719" s="31">
        <f t="shared" si="302"/>
        <v>3147.8440000000119</v>
      </c>
      <c r="R719" s="31"/>
      <c r="S719" s="31">
        <f t="shared" si="303"/>
        <v>57721.116000000009</v>
      </c>
      <c r="T719" s="31">
        <f t="shared" si="304"/>
        <v>7315.730798479095</v>
      </c>
      <c r="U719" s="25">
        <f t="shared" si="305"/>
        <v>28415.730798479097</v>
      </c>
      <c r="V719" s="25">
        <f>H719+S719-SUM(AB$15:AB719)</f>
        <v>233794.50850000026</v>
      </c>
      <c r="W719" s="25">
        <f t="shared" si="306"/>
        <v>8.227643700527798</v>
      </c>
      <c r="X719" s="25">
        <f t="shared" si="307"/>
        <v>-0.16446020942482065</v>
      </c>
      <c r="Y719" s="25">
        <f t="shared" si="308"/>
        <v>-0.33764370052780457</v>
      </c>
      <c r="Z719" s="25">
        <f t="shared" si="309"/>
        <v>0.74254644899470057</v>
      </c>
      <c r="AA719" s="25">
        <f>SUM(L$2:L719)-SUM(AB$2:AB719)</f>
        <v>-14875.946000000258</v>
      </c>
      <c r="AB719" s="176"/>
      <c r="AC719" s="176">
        <f t="shared" si="310"/>
        <v>-1342.0906595374402</v>
      </c>
      <c r="AD719" s="176">
        <f t="shared" si="311"/>
        <v>-22442.09065953744</v>
      </c>
    </row>
    <row r="720" spans="2:30" s="1" customFormat="1" x14ac:dyDescent="0.25">
      <c r="B720" s="336"/>
      <c r="C720" s="64" t="s">
        <v>69</v>
      </c>
      <c r="D720" s="104">
        <v>400</v>
      </c>
      <c r="E720" s="104">
        <f t="shared" si="312"/>
        <v>7.9899999999999931</v>
      </c>
      <c r="F720" s="64">
        <f t="shared" si="292"/>
        <v>20700</v>
      </c>
      <c r="G720" s="32">
        <f t="shared" si="293"/>
        <v>8.400269975845422</v>
      </c>
      <c r="H720" s="31">
        <f t="shared" si="294"/>
        <v>173885.58850000025</v>
      </c>
      <c r="I720" s="31">
        <f t="shared" si="295"/>
        <v>-8492.5885000003909</v>
      </c>
      <c r="J720" s="277">
        <f t="shared" si="296"/>
        <v>-4.8840094071397798E-2</v>
      </c>
      <c r="K720" s="31">
        <f t="shared" si="297"/>
        <v>165392.99999999985</v>
      </c>
      <c r="L720" s="31">
        <f t="shared" si="298"/>
        <v>2101.8040000000037</v>
      </c>
      <c r="M720" s="31">
        <f t="shared" si="299"/>
        <v>5</v>
      </c>
      <c r="N720" s="31">
        <f t="shared" si="300"/>
        <v>3.1959999999999971</v>
      </c>
      <c r="O720" s="31"/>
      <c r="P720" s="31">
        <f t="shared" si="301"/>
        <v>-0.4102699758454289</v>
      </c>
      <c r="Q720" s="31">
        <f t="shared" si="302"/>
        <v>3187.8040000000037</v>
      </c>
      <c r="R720" s="31"/>
      <c r="S720" s="31">
        <f t="shared" si="303"/>
        <v>60908.920000000013</v>
      </c>
      <c r="T720" s="31">
        <f t="shared" si="304"/>
        <v>7623.1439299123986</v>
      </c>
      <c r="U720" s="25">
        <f t="shared" si="305"/>
        <v>28323.143929912399</v>
      </c>
      <c r="V720" s="25">
        <f>H720+S720-SUM(AB$15:AB720)</f>
        <v>233794.50850000026</v>
      </c>
      <c r="W720" s="25">
        <f t="shared" si="306"/>
        <v>8.254539435259769</v>
      </c>
      <c r="X720" s="25">
        <f t="shared" si="307"/>
        <v>-0.14573054058565305</v>
      </c>
      <c r="Y720" s="25">
        <f t="shared" si="308"/>
        <v>-0.26453943525977586</v>
      </c>
      <c r="Z720" s="25">
        <f t="shared" si="309"/>
        <v>0.7308510683426811</v>
      </c>
      <c r="AA720" s="25">
        <f>SUM(L$2:L720)-SUM(AB$2:AB720)</f>
        <v>-12774.142000000254</v>
      </c>
      <c r="AB720" s="176"/>
      <c r="AC720" s="176">
        <f t="shared" si="310"/>
        <v>-1062.3707391427281</v>
      </c>
      <c r="AD720" s="176">
        <f t="shared" si="311"/>
        <v>-21762.370739142727</v>
      </c>
    </row>
    <row r="721" spans="2:30" s="1" customFormat="1" x14ac:dyDescent="0.25">
      <c r="B721" s="336"/>
      <c r="C721" s="64" t="s">
        <v>69</v>
      </c>
      <c r="D721" s="104">
        <v>400</v>
      </c>
      <c r="E721" s="104">
        <f t="shared" si="312"/>
        <v>8.0899999999999928</v>
      </c>
      <c r="F721" s="64">
        <f t="shared" si="292"/>
        <v>20300</v>
      </c>
      <c r="G721" s="32">
        <f t="shared" si="293"/>
        <v>8.4067893842364647</v>
      </c>
      <c r="H721" s="31">
        <f t="shared" si="294"/>
        <v>170657.82450000025</v>
      </c>
      <c r="I721" s="31">
        <f t="shared" si="295"/>
        <v>-6430.8245000003953</v>
      </c>
      <c r="J721" s="277">
        <f t="shared" si="296"/>
        <v>-3.7682564622171025E-2</v>
      </c>
      <c r="K721" s="31">
        <f t="shared" si="297"/>
        <v>164226.99999999985</v>
      </c>
      <c r="L721" s="31">
        <f t="shared" si="298"/>
        <v>2061.7639999999956</v>
      </c>
      <c r="M721" s="31">
        <f t="shared" si="299"/>
        <v>5</v>
      </c>
      <c r="N721" s="31">
        <f t="shared" si="300"/>
        <v>3.2359999999999971</v>
      </c>
      <c r="O721" s="31"/>
      <c r="P721" s="31">
        <f t="shared" si="301"/>
        <v>-0.31678938423647196</v>
      </c>
      <c r="Q721" s="31">
        <f t="shared" si="302"/>
        <v>3227.7639999999956</v>
      </c>
      <c r="R721" s="31"/>
      <c r="S721" s="31">
        <f t="shared" si="303"/>
        <v>64136.684000000008</v>
      </c>
      <c r="T721" s="31">
        <f t="shared" si="304"/>
        <v>7927.8966625463618</v>
      </c>
      <c r="U721" s="25">
        <f t="shared" si="305"/>
        <v>28227.896662546362</v>
      </c>
      <c r="V721" s="25">
        <f>H721+S721-SUM(AB$15:AB721)</f>
        <v>233794.50850000026</v>
      </c>
      <c r="W721" s="25">
        <f t="shared" si="306"/>
        <v>8.2823921064655863</v>
      </c>
      <c r="X721" s="25">
        <f t="shared" si="307"/>
        <v>-0.12439727777087839</v>
      </c>
      <c r="Y721" s="25">
        <f t="shared" si="308"/>
        <v>-0.19239210646559357</v>
      </c>
      <c r="Z721" s="25">
        <f t="shared" si="309"/>
        <v>0.71914674489136354</v>
      </c>
      <c r="AA721" s="25">
        <f>SUM(L$2:L721)-SUM(AB$2:AB721)</f>
        <v>-10712.378000000259</v>
      </c>
      <c r="AB721" s="176"/>
      <c r="AC721" s="176">
        <f t="shared" si="310"/>
        <v>-794.51286622378257</v>
      </c>
      <c r="AD721" s="176">
        <f t="shared" si="311"/>
        <v>-21094.512866223784</v>
      </c>
    </row>
    <row r="722" spans="2:30" s="1" customFormat="1" x14ac:dyDescent="0.25">
      <c r="B722" s="336"/>
      <c r="C722" s="64" t="s">
        <v>69</v>
      </c>
      <c r="D722" s="104">
        <v>400</v>
      </c>
      <c r="E722" s="104">
        <f t="shared" si="312"/>
        <v>8.1899999999999924</v>
      </c>
      <c r="F722" s="64">
        <f t="shared" si="292"/>
        <v>19900</v>
      </c>
      <c r="G722" s="32">
        <f t="shared" si="293"/>
        <v>8.4115628391959927</v>
      </c>
      <c r="H722" s="31">
        <f t="shared" si="294"/>
        <v>167390.10050000026</v>
      </c>
      <c r="I722" s="31">
        <f t="shared" si="295"/>
        <v>-4409.1005000004079</v>
      </c>
      <c r="J722" s="277">
        <f t="shared" si="296"/>
        <v>-2.6340270343528462E-2</v>
      </c>
      <c r="K722" s="31">
        <f t="shared" si="297"/>
        <v>162980.99999999985</v>
      </c>
      <c r="L722" s="31">
        <f t="shared" si="298"/>
        <v>2021.7239999999874</v>
      </c>
      <c r="M722" s="31">
        <f t="shared" si="299"/>
        <v>5</v>
      </c>
      <c r="N722" s="31">
        <f t="shared" si="300"/>
        <v>3.2759999999999967</v>
      </c>
      <c r="O722" s="31"/>
      <c r="P722" s="31">
        <f t="shared" si="301"/>
        <v>-0.22156283919600028</v>
      </c>
      <c r="Q722" s="31">
        <f t="shared" si="302"/>
        <v>3267.7239999999874</v>
      </c>
      <c r="R722" s="31"/>
      <c r="S722" s="31">
        <f t="shared" si="303"/>
        <v>67404.407999999996</v>
      </c>
      <c r="T722" s="31">
        <f t="shared" si="304"/>
        <v>8230.0864468864547</v>
      </c>
      <c r="U722" s="25">
        <f t="shared" si="305"/>
        <v>28130.086446886453</v>
      </c>
      <c r="V722" s="25">
        <f>H722+S722-SUM(AB$15:AB722)</f>
        <v>233794.50850000026</v>
      </c>
      <c r="W722" s="25">
        <f t="shared" si="306"/>
        <v>8.3111905447371122</v>
      </c>
      <c r="X722" s="25">
        <f t="shared" si="307"/>
        <v>-0.10037229445888052</v>
      </c>
      <c r="Y722" s="25">
        <f t="shared" si="308"/>
        <v>-0.12119054473711977</v>
      </c>
      <c r="Z722" s="25">
        <f t="shared" si="309"/>
        <v>0.70742761624902895</v>
      </c>
      <c r="AA722" s="25">
        <f>SUM(L$2:L722)-SUM(AB$2:AB722)</f>
        <v>-8690.6540000002715</v>
      </c>
      <c r="AB722" s="176"/>
      <c r="AC722" s="176">
        <f t="shared" si="310"/>
        <v>-538.08253354705892</v>
      </c>
      <c r="AD722" s="176">
        <f t="shared" si="311"/>
        <v>-20438.082533547058</v>
      </c>
    </row>
    <row r="723" spans="2:30" s="1" customFormat="1" x14ac:dyDescent="0.25">
      <c r="B723" s="336"/>
      <c r="C723" s="64" t="s">
        <v>69</v>
      </c>
      <c r="D723" s="104">
        <v>400</v>
      </c>
      <c r="E723" s="104">
        <f t="shared" si="312"/>
        <v>8.289999999999992</v>
      </c>
      <c r="F723" s="64">
        <f t="shared" si="292"/>
        <v>19500</v>
      </c>
      <c r="G723" s="32">
        <f t="shared" si="293"/>
        <v>8.41448289743591</v>
      </c>
      <c r="H723" s="31">
        <f t="shared" si="294"/>
        <v>164082.41650000025</v>
      </c>
      <c r="I723" s="31">
        <f t="shared" si="295"/>
        <v>-2427.4165000003995</v>
      </c>
      <c r="J723" s="277">
        <f t="shared" si="296"/>
        <v>-1.479388560809255E-2</v>
      </c>
      <c r="K723" s="31">
        <f t="shared" si="297"/>
        <v>161654.99999999985</v>
      </c>
      <c r="L723" s="31">
        <f t="shared" si="298"/>
        <v>1981.6840000000084</v>
      </c>
      <c r="M723" s="31">
        <f t="shared" si="299"/>
        <v>5</v>
      </c>
      <c r="N723" s="31">
        <f t="shared" si="300"/>
        <v>3.3159999999999967</v>
      </c>
      <c r="O723" s="31"/>
      <c r="P723" s="31">
        <f t="shared" si="301"/>
        <v>-0.12448289743591801</v>
      </c>
      <c r="Q723" s="31">
        <f t="shared" si="302"/>
        <v>3307.6840000000084</v>
      </c>
      <c r="R723" s="31"/>
      <c r="S723" s="31">
        <f t="shared" si="303"/>
        <v>70712.092000000004</v>
      </c>
      <c r="T723" s="31">
        <f t="shared" si="304"/>
        <v>8529.8060313630976</v>
      </c>
      <c r="U723" s="25">
        <f t="shared" si="305"/>
        <v>28029.806031363099</v>
      </c>
      <c r="V723" s="25">
        <f>H723+S723-SUM(AB$15:AB723)</f>
        <v>233794.50850000026</v>
      </c>
      <c r="W723" s="25">
        <f t="shared" si="306"/>
        <v>8.3409249510468602</v>
      </c>
      <c r="X723" s="25">
        <f t="shared" si="307"/>
        <v>-7.3557946389049889E-2</v>
      </c>
      <c r="Y723" s="25">
        <f t="shared" si="308"/>
        <v>-5.0924951046868117E-2</v>
      </c>
      <c r="Z723" s="25">
        <f t="shared" si="309"/>
        <v>0.69568801076186781</v>
      </c>
      <c r="AA723" s="25">
        <f>SUM(L$2:L723)-SUM(AB$2:AB723)</f>
        <v>-6708.9700000002631</v>
      </c>
      <c r="AB723" s="176"/>
      <c r="AC723" s="176">
        <f t="shared" si="310"/>
        <v>-292.66619924612809</v>
      </c>
      <c r="AD723" s="176">
        <f t="shared" si="311"/>
        <v>-19792.666199246127</v>
      </c>
    </row>
    <row r="724" spans="2:30" s="1" customFormat="1" x14ac:dyDescent="0.25">
      <c r="B724" s="336"/>
      <c r="C724" s="64" t="s">
        <v>69</v>
      </c>
      <c r="D724" s="104">
        <v>400</v>
      </c>
      <c r="E724" s="104">
        <f t="shared" si="312"/>
        <v>8.3899999999999917</v>
      </c>
      <c r="F724" s="64">
        <f t="shared" si="292"/>
        <v>19100</v>
      </c>
      <c r="G724" s="32">
        <f t="shared" si="293"/>
        <v>8.4154331151832586</v>
      </c>
      <c r="H724" s="31">
        <f t="shared" si="294"/>
        <v>160734.77250000025</v>
      </c>
      <c r="I724" s="31">
        <f t="shared" si="295"/>
        <v>-485.7725000003993</v>
      </c>
      <c r="J724" s="277">
        <f t="shared" si="296"/>
        <v>-3.0221991946415843E-3</v>
      </c>
      <c r="K724" s="31">
        <f t="shared" si="297"/>
        <v>160248.99999999985</v>
      </c>
      <c r="L724" s="31">
        <f t="shared" si="298"/>
        <v>1941.6440000000002</v>
      </c>
      <c r="M724" s="31">
        <f t="shared" si="299"/>
        <v>5</v>
      </c>
      <c r="N724" s="31">
        <f t="shared" si="300"/>
        <v>3.3559999999999968</v>
      </c>
      <c r="O724" s="31"/>
      <c r="P724" s="31">
        <f t="shared" si="301"/>
        <v>-2.5433115183266963E-2</v>
      </c>
      <c r="Q724" s="31">
        <f t="shared" si="302"/>
        <v>3347.6440000000002</v>
      </c>
      <c r="R724" s="31"/>
      <c r="S724" s="31">
        <f t="shared" si="303"/>
        <v>74059.736000000004</v>
      </c>
      <c r="T724" s="31">
        <f t="shared" si="304"/>
        <v>8827.1437425506647</v>
      </c>
      <c r="U724" s="25">
        <f t="shared" si="305"/>
        <v>27927.143742550667</v>
      </c>
      <c r="V724" s="25">
        <f>H724+S724-SUM(AB$15:AB724)</f>
        <v>233794.50850000026</v>
      </c>
      <c r="W724" s="25">
        <f t="shared" si="306"/>
        <v>8.371586820881495</v>
      </c>
      <c r="X724" s="25">
        <f t="shared" si="307"/>
        <v>-4.3846294301763677E-2</v>
      </c>
      <c r="Y724" s="25">
        <f t="shared" si="308"/>
        <v>1.8413179118496714E-2</v>
      </c>
      <c r="Z724" s="25">
        <f t="shared" si="309"/>
        <v>0.68392242959306448</v>
      </c>
      <c r="AA724" s="25">
        <f>SUM(L$2:L724)-SUM(AB$2:AB724)</f>
        <v>-4767.3260000002629</v>
      </c>
      <c r="AB724" s="176"/>
      <c r="AC724" s="176">
        <f t="shared" si="310"/>
        <v>-57.870037395756803</v>
      </c>
      <c r="AD724" s="176">
        <f t="shared" si="311"/>
        <v>-19157.870037395758</v>
      </c>
    </row>
    <row r="725" spans="2:30" s="1" customFormat="1" x14ac:dyDescent="0.25">
      <c r="B725" s="336"/>
      <c r="C725" s="64" t="s">
        <v>69</v>
      </c>
      <c r="D725" s="104">
        <v>400</v>
      </c>
      <c r="E725" s="104">
        <f t="shared" si="312"/>
        <v>8.4899999999999913</v>
      </c>
      <c r="F725" s="64">
        <f t="shared" si="292"/>
        <v>18700</v>
      </c>
      <c r="G725" s="32">
        <f t="shared" si="293"/>
        <v>8.4142870855615115</v>
      </c>
      <c r="H725" s="31">
        <f t="shared" si="294"/>
        <v>157347.16850000026</v>
      </c>
      <c r="I725" s="31">
        <f t="shared" si="295"/>
        <v>1415.8314999995637</v>
      </c>
      <c r="J725" s="277">
        <f t="shared" si="296"/>
        <v>8.9981377707446346E-3</v>
      </c>
      <c r="K725" s="31">
        <f t="shared" si="297"/>
        <v>158762.99999999983</v>
      </c>
      <c r="L725" s="31">
        <f t="shared" si="298"/>
        <v>1901.603999999963</v>
      </c>
      <c r="M725" s="31">
        <f t="shared" si="299"/>
        <v>5</v>
      </c>
      <c r="N725" s="31">
        <f t="shared" si="300"/>
        <v>3.3959999999999964</v>
      </c>
      <c r="O725" s="31"/>
      <c r="P725" s="31">
        <f t="shared" si="301"/>
        <v>7.5712914438479828E-2</v>
      </c>
      <c r="Q725" s="31">
        <f t="shared" si="302"/>
        <v>3387.6039999999921</v>
      </c>
      <c r="R725" s="31"/>
      <c r="S725" s="31">
        <f t="shared" si="303"/>
        <v>77447.34</v>
      </c>
      <c r="T725" s="31">
        <f t="shared" si="304"/>
        <v>9122.1837455830482</v>
      </c>
      <c r="U725" s="25">
        <f t="shared" si="305"/>
        <v>27822.183745583046</v>
      </c>
      <c r="V725" s="25">
        <f>H725+S725-SUM(AB$15:AB725)</f>
        <v>233794.50850000026</v>
      </c>
      <c r="W725" s="25">
        <f t="shared" si="306"/>
        <v>8.4031688755242531</v>
      </c>
      <c r="X725" s="25">
        <f t="shared" si="307"/>
        <v>-1.1118210037258436E-2</v>
      </c>
      <c r="Y725" s="25">
        <f t="shared" si="308"/>
        <v>8.6831124475738264E-2</v>
      </c>
      <c r="Z725" s="25">
        <f t="shared" si="309"/>
        <v>0.67212553015249021</v>
      </c>
      <c r="AA725" s="25">
        <f>SUM(L$2:L725)-SUM(AB$2:AB725)</f>
        <v>-2865.7220000002999</v>
      </c>
      <c r="AB725" s="176"/>
      <c r="AC725" s="176">
        <f t="shared" si="310"/>
        <v>166.68122311537874</v>
      </c>
      <c r="AD725" s="176">
        <f t="shared" si="311"/>
        <v>-18533.318776884622</v>
      </c>
    </row>
    <row r="726" spans="2:30" s="1" customFormat="1" x14ac:dyDescent="0.25">
      <c r="B726" s="336"/>
      <c r="C726" s="64" t="s">
        <v>69</v>
      </c>
      <c r="D726" s="104">
        <v>400</v>
      </c>
      <c r="E726" s="104">
        <f t="shared" si="312"/>
        <v>8.589999999999991</v>
      </c>
      <c r="F726" s="64">
        <f t="shared" si="292"/>
        <v>18300</v>
      </c>
      <c r="G726" s="32">
        <f t="shared" si="293"/>
        <v>8.4109073497267897</v>
      </c>
      <c r="H726" s="31">
        <f t="shared" si="294"/>
        <v>153919.60450000025</v>
      </c>
      <c r="I726" s="31">
        <f t="shared" si="295"/>
        <v>3277.3954999995767</v>
      </c>
      <c r="J726" s="277">
        <f t="shared" si="296"/>
        <v>2.1292904894383215E-2</v>
      </c>
      <c r="K726" s="31">
        <f t="shared" si="297"/>
        <v>157196.99999999983</v>
      </c>
      <c r="L726" s="31">
        <f t="shared" si="298"/>
        <v>1861.564000000013</v>
      </c>
      <c r="M726" s="31">
        <f t="shared" si="299"/>
        <v>5</v>
      </c>
      <c r="N726" s="31">
        <f t="shared" si="300"/>
        <v>3.4359999999999964</v>
      </c>
      <c r="O726" s="31"/>
      <c r="P726" s="31">
        <f t="shared" si="301"/>
        <v>0.17909265027320131</v>
      </c>
      <c r="Q726" s="31">
        <f t="shared" si="302"/>
        <v>3427.564000000013</v>
      </c>
      <c r="R726" s="31"/>
      <c r="S726" s="31">
        <f t="shared" si="303"/>
        <v>80874.90400000001</v>
      </c>
      <c r="T726" s="31">
        <f t="shared" si="304"/>
        <v>9415.0062863795229</v>
      </c>
      <c r="U726" s="25">
        <f t="shared" si="305"/>
        <v>27715.006286379525</v>
      </c>
      <c r="V726" s="25">
        <f>H726+S726-SUM(AB$15:AB726)</f>
        <v>233794.50850000026</v>
      </c>
      <c r="W726" s="25">
        <f t="shared" si="306"/>
        <v>8.4356649998271163</v>
      </c>
      <c r="X726" s="25">
        <f t="shared" si="307"/>
        <v>2.47576501003266E-2</v>
      </c>
      <c r="Y726" s="25">
        <f t="shared" si="308"/>
        <v>0.15433500017287471</v>
      </c>
      <c r="Z726" s="25">
        <f t="shared" si="309"/>
        <v>0.66029211073978689</v>
      </c>
      <c r="AA726" s="25">
        <f>SUM(L$2:L726)-SUM(AB$2:AB726)</f>
        <v>-1004.1580000002868</v>
      </c>
      <c r="AB726" s="176"/>
      <c r="AC726" s="176">
        <f t="shared" si="310"/>
        <v>381.34537860879863</v>
      </c>
      <c r="AD726" s="176">
        <f t="shared" si="311"/>
        <v>-17918.654621391201</v>
      </c>
    </row>
    <row r="727" spans="2:30" s="1" customFormat="1" x14ac:dyDescent="0.25">
      <c r="B727" s="336"/>
      <c r="C727" s="64" t="s">
        <v>69</v>
      </c>
      <c r="D727" s="104">
        <v>400</v>
      </c>
      <c r="E727" s="104">
        <f t="shared" si="312"/>
        <v>8.6899999999999906</v>
      </c>
      <c r="F727" s="64">
        <f t="shared" si="292"/>
        <v>17900</v>
      </c>
      <c r="G727" s="32">
        <f t="shared" si="293"/>
        <v>8.4051441620111866</v>
      </c>
      <c r="H727" s="31">
        <f t="shared" si="294"/>
        <v>150452.08050000024</v>
      </c>
      <c r="I727" s="31">
        <f t="shared" si="295"/>
        <v>5098.9194999995816</v>
      </c>
      <c r="J727" s="277">
        <f t="shared" si="296"/>
        <v>3.3890654639365941E-2</v>
      </c>
      <c r="K727" s="31">
        <f t="shared" si="297"/>
        <v>155550.99999999983</v>
      </c>
      <c r="L727" s="31">
        <f t="shared" si="298"/>
        <v>1821.5240000000049</v>
      </c>
      <c r="M727" s="31">
        <f t="shared" si="299"/>
        <v>5</v>
      </c>
      <c r="N727" s="31">
        <f t="shared" si="300"/>
        <v>3.4759999999999964</v>
      </c>
      <c r="O727" s="31"/>
      <c r="P727" s="31">
        <f t="shared" si="301"/>
        <v>0.28485583798880398</v>
      </c>
      <c r="Q727" s="31">
        <f t="shared" si="302"/>
        <v>3467.5240000000049</v>
      </c>
      <c r="R727" s="31"/>
      <c r="S727" s="31">
        <f t="shared" si="303"/>
        <v>84342.428000000014</v>
      </c>
      <c r="T727" s="31">
        <f t="shared" si="304"/>
        <v>9705.6879171461569</v>
      </c>
      <c r="U727" s="25">
        <f t="shared" si="305"/>
        <v>27605.687917146155</v>
      </c>
      <c r="V727" s="25">
        <f>H727+S727-SUM(AB$15:AB727)</f>
        <v>233794.50850000026</v>
      </c>
      <c r="W727" s="25">
        <f t="shared" si="306"/>
        <v>8.4690701858868831</v>
      </c>
      <c r="X727" s="25">
        <f t="shared" si="307"/>
        <v>6.3926023875696458E-2</v>
      </c>
      <c r="Y727" s="25">
        <f t="shared" si="308"/>
        <v>0.22092981411310753</v>
      </c>
      <c r="Z727" s="25">
        <f t="shared" si="309"/>
        <v>0.64841709627826882</v>
      </c>
      <c r="AA727" s="25">
        <f>SUM(L$2:L727)-SUM(AB$2:AB727)</f>
        <v>817.36599999971804</v>
      </c>
      <c r="AB727" s="176"/>
      <c r="AC727" s="176">
        <f t="shared" si="310"/>
        <v>586.46375607014818</v>
      </c>
      <c r="AD727" s="176">
        <f t="shared" si="311"/>
        <v>-17313.536243929851</v>
      </c>
    </row>
    <row r="728" spans="2:30" s="1" customFormat="1" x14ac:dyDescent="0.25">
      <c r="B728" s="336"/>
      <c r="C728" s="64" t="s">
        <v>69</v>
      </c>
      <c r="D728" s="104">
        <v>400</v>
      </c>
      <c r="E728" s="104">
        <f t="shared" si="312"/>
        <v>8.7899999999999903</v>
      </c>
      <c r="F728" s="64">
        <f t="shared" si="292"/>
        <v>17500</v>
      </c>
      <c r="G728" s="32">
        <f t="shared" si="293"/>
        <v>8.3968340857142998</v>
      </c>
      <c r="H728" s="31">
        <f t="shared" si="294"/>
        <v>146944.59650000025</v>
      </c>
      <c r="I728" s="31">
        <f t="shared" si="295"/>
        <v>6880.4034999995783</v>
      </c>
      <c r="J728" s="277">
        <f t="shared" si="296"/>
        <v>4.6823113362998492E-2</v>
      </c>
      <c r="K728" s="31">
        <f t="shared" si="297"/>
        <v>153824.99999999983</v>
      </c>
      <c r="L728" s="31">
        <f t="shared" si="298"/>
        <v>1781.4839999999967</v>
      </c>
      <c r="M728" s="31">
        <f t="shared" si="299"/>
        <v>5</v>
      </c>
      <c r="N728" s="31">
        <f t="shared" si="300"/>
        <v>3.515999999999996</v>
      </c>
      <c r="O728" s="31"/>
      <c r="P728" s="31">
        <f t="shared" si="301"/>
        <v>0.39316591428569048</v>
      </c>
      <c r="Q728" s="31">
        <f t="shared" si="302"/>
        <v>3507.4839999999967</v>
      </c>
      <c r="R728" s="31"/>
      <c r="S728" s="31">
        <f t="shared" si="303"/>
        <v>87849.912000000011</v>
      </c>
      <c r="T728" s="31">
        <f t="shared" si="304"/>
        <v>9994.3017064846536</v>
      </c>
      <c r="U728" s="25">
        <f t="shared" si="305"/>
        <v>27494.301706484654</v>
      </c>
      <c r="V728" s="25">
        <f>H728+S728-SUM(AB$15:AB728)</f>
        <v>233794.50850000026</v>
      </c>
      <c r="W728" s="25">
        <f t="shared" si="306"/>
        <v>8.5033804821039976</v>
      </c>
      <c r="X728" s="25">
        <f t="shared" si="307"/>
        <v>0.10654639638969776</v>
      </c>
      <c r="Y728" s="25">
        <f t="shared" si="308"/>
        <v>0.28661951789599271</v>
      </c>
      <c r="Z728" s="25">
        <f t="shared" si="309"/>
        <v>0.63649552502992091</v>
      </c>
      <c r="AA728" s="25">
        <f>SUM(L$2:L728)-SUM(AB$2:AB728)</f>
        <v>2598.8499999997148</v>
      </c>
      <c r="AB728" s="176"/>
      <c r="AC728" s="176">
        <f t="shared" si="310"/>
        <v>782.3621499715116</v>
      </c>
      <c r="AD728" s="176">
        <f t="shared" si="311"/>
        <v>-16717.637850028488</v>
      </c>
    </row>
    <row r="729" spans="2:30" s="1" customFormat="1" x14ac:dyDescent="0.25">
      <c r="B729" s="336"/>
      <c r="C729" s="64" t="s">
        <v>69</v>
      </c>
      <c r="D729" s="104">
        <v>400</v>
      </c>
      <c r="E729" s="104">
        <f t="shared" si="312"/>
        <v>8.8899999999999899</v>
      </c>
      <c r="F729" s="64">
        <f t="shared" si="292"/>
        <v>17100</v>
      </c>
      <c r="G729" s="32">
        <f t="shared" si="293"/>
        <v>8.3857983918128802</v>
      </c>
      <c r="H729" s="31">
        <f t="shared" si="294"/>
        <v>143397.15250000026</v>
      </c>
      <c r="I729" s="31">
        <f t="shared" si="295"/>
        <v>8621.8474999995669</v>
      </c>
      <c r="J729" s="277">
        <f t="shared" si="296"/>
        <v>6.0125653471393446E-2</v>
      </c>
      <c r="K729" s="31">
        <f t="shared" si="297"/>
        <v>152018.99999999983</v>
      </c>
      <c r="L729" s="31">
        <f t="shared" si="298"/>
        <v>1741.4439999999886</v>
      </c>
      <c r="M729" s="31">
        <f t="shared" si="299"/>
        <v>5</v>
      </c>
      <c r="N729" s="31">
        <f t="shared" si="300"/>
        <v>3.5559999999999961</v>
      </c>
      <c r="O729" s="31"/>
      <c r="P729" s="31">
        <f t="shared" si="301"/>
        <v>0.50420160818710968</v>
      </c>
      <c r="Q729" s="31">
        <f t="shared" si="302"/>
        <v>3547.4439999999886</v>
      </c>
      <c r="R729" s="31"/>
      <c r="S729" s="31">
        <f t="shared" si="303"/>
        <v>91397.356</v>
      </c>
      <c r="T729" s="31">
        <f t="shared" si="304"/>
        <v>10280.917435320596</v>
      </c>
      <c r="U729" s="25">
        <f t="shared" si="305"/>
        <v>27380.917435320596</v>
      </c>
      <c r="V729" s="25">
        <f>H729+S729-SUM(AB$15:AB729)</f>
        <v>233794.50850000026</v>
      </c>
      <c r="W729" s="25">
        <f t="shared" si="306"/>
        <v>8.5385929471600566</v>
      </c>
      <c r="X729" s="25">
        <f t="shared" si="307"/>
        <v>0.15279455534717634</v>
      </c>
      <c r="Y729" s="25">
        <f t="shared" si="308"/>
        <v>0.35140705283993334</v>
      </c>
      <c r="Z729" s="25">
        <f t="shared" si="309"/>
        <v>0.62452253619308939</v>
      </c>
      <c r="AA729" s="25">
        <f>SUM(L$2:L729)-SUM(AB$2:AB729)</f>
        <v>4340.2939999997034</v>
      </c>
      <c r="AB729" s="176"/>
      <c r="AC729" s="176">
        <f t="shared" si="310"/>
        <v>969.35169586609413</v>
      </c>
      <c r="AD729" s="176">
        <f t="shared" si="311"/>
        <v>-16130.648304133905</v>
      </c>
    </row>
    <row r="730" spans="2:30" s="1" customFormat="1" x14ac:dyDescent="0.25">
      <c r="B730" s="336"/>
      <c r="C730" s="64" t="s">
        <v>69</v>
      </c>
      <c r="D730" s="104">
        <v>400</v>
      </c>
      <c r="E730" s="104">
        <f t="shared" si="312"/>
        <v>8.9899999999999896</v>
      </c>
      <c r="F730" s="64">
        <f t="shared" si="292"/>
        <v>16700</v>
      </c>
      <c r="G730" s="32">
        <f t="shared" si="293"/>
        <v>8.371841227544925</v>
      </c>
      <c r="H730" s="31">
        <f t="shared" si="294"/>
        <v>139809.74850000025</v>
      </c>
      <c r="I730" s="31">
        <f t="shared" si="295"/>
        <v>10323.251499999576</v>
      </c>
      <c r="J730" s="277">
        <f t="shared" si="296"/>
        <v>7.3837851871964136E-2</v>
      </c>
      <c r="K730" s="31">
        <f t="shared" si="297"/>
        <v>150132.99999999983</v>
      </c>
      <c r="L730" s="31">
        <f t="shared" si="298"/>
        <v>1701.4040000000095</v>
      </c>
      <c r="M730" s="31">
        <f t="shared" si="299"/>
        <v>5</v>
      </c>
      <c r="N730" s="31">
        <f t="shared" si="300"/>
        <v>3.5959999999999961</v>
      </c>
      <c r="O730" s="31"/>
      <c r="P730" s="31">
        <f t="shared" si="301"/>
        <v>0.61815877245506456</v>
      </c>
      <c r="Q730" s="31">
        <f t="shared" si="302"/>
        <v>3587.4040000000095</v>
      </c>
      <c r="R730" s="31"/>
      <c r="S730" s="31">
        <f t="shared" si="303"/>
        <v>94984.760000000009</v>
      </c>
      <c r="T730" s="31">
        <f t="shared" si="304"/>
        <v>10565.601779755298</v>
      </c>
      <c r="U730" s="25">
        <f t="shared" si="305"/>
        <v>27265.6017797553</v>
      </c>
      <c r="V730" s="25">
        <f>H730+S730-SUM(AB$15:AB730)</f>
        <v>233794.50850000026</v>
      </c>
      <c r="W730" s="25">
        <f t="shared" si="306"/>
        <v>8.5747056085001798</v>
      </c>
      <c r="X730" s="25">
        <f t="shared" si="307"/>
        <v>0.20286438095525483</v>
      </c>
      <c r="Y730" s="25">
        <f t="shared" si="308"/>
        <v>0.41529439149980973</v>
      </c>
      <c r="Z730" s="25">
        <f t="shared" si="309"/>
        <v>0.61249335829439655</v>
      </c>
      <c r="AA730" s="25">
        <f>SUM(L$2:L730)-SUM(AB$2:AB730)</f>
        <v>6041.6979999997129</v>
      </c>
      <c r="AB730" s="176"/>
      <c r="AC730" s="176">
        <f t="shared" si="310"/>
        <v>1147.729685678486</v>
      </c>
      <c r="AD730" s="176">
        <f t="shared" si="311"/>
        <v>-15552.270314321515</v>
      </c>
    </row>
    <row r="731" spans="2:30" s="1" customFormat="1" x14ac:dyDescent="0.25">
      <c r="B731" s="370"/>
      <c r="C731" s="64"/>
      <c r="H731" s="25"/>
      <c r="I731" s="25"/>
    </row>
    <row r="732" spans="2:30" s="1" customFormat="1" x14ac:dyDescent="0.25">
      <c r="B732" s="370"/>
      <c r="C732" s="64"/>
      <c r="H732" s="25"/>
    </row>
    <row r="733" spans="2:30" s="1" customFormat="1" x14ac:dyDescent="0.25">
      <c r="B733" s="370"/>
      <c r="C733" s="64"/>
    </row>
    <row r="734" spans="2:30" s="1" customFormat="1" x14ac:dyDescent="0.25">
      <c r="B734" s="370"/>
      <c r="C734" s="64"/>
    </row>
    <row r="735" spans="2:30" s="1" customFormat="1" x14ac:dyDescent="0.25">
      <c r="B735" s="370"/>
      <c r="C735" s="64"/>
    </row>
  </sheetData>
  <phoneticPr fontId="16" type="noConversion"/>
  <conditionalFormatting sqref="Y1">
    <cfRule type="top10" dxfId="31" priority="2" bottom="1" rank="10"/>
  </conditionalFormatting>
  <conditionalFormatting sqref="I2:I730">
    <cfRule type="top10" dxfId="30" priority="1" percent="1" rank="10"/>
  </conditionalFormatting>
  <dataValidations disablePrompts="1" count="1">
    <dataValidation type="list" allowBlank="1" showInputMessage="1" showErrorMessage="1" sqref="C2:C730">
      <formula1>"买,卖"</formula1>
    </dataValidation>
  </dataValidations>
  <pageMargins left="0.69930555555555596" right="0.69930555555555596" top="0.75" bottom="0.75" header="0.3" footer="0.3"/>
  <pageSetup paperSize="9"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h� 
</file>

<file path=customXml/item3.xml>�� h� h� 
</file>

<file path=customXml/item4.xml>�� 
</file>

<file path=customXml/item5.xml>�� 
</file>

<file path=customXml/item6.xml>�� h�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7.xml>�� 
</file>

<file path=customXml/item8.xml>�� 
</file>

<file path=customXml/item9.xml>�� 
</file>

<file path=customXml/item10.xml>�� h� 
</file>

<file path=customXml/item11.xml>�� 
</file>

<file path=customXml/item12.xml>�� h�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13.xml>�� h�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�eg �NfY�l �eT pNVSpeϑ ^�N ��8RYO�� c�Nb,g�N D�ё`S(u nm�R�v�N �v�N�k�O ^<P �nm�R�v�N cOё pS��z D�ё`S(u�Ock ^�N- b,g D�ё�S�R :WYD�ё�Ock :WYD�ё q_P[��8R Z��b��8R;`�� �beQD�ё;`�� Z��b��8Rb,g�N<h Z��bb,g- c�Nb,g ^�N- Z��bb,g 4lMO �SRM�)R�m �c�S)R�m ��b,gc��pe -�pNϑ�c6R�~ 
</file>

<file path=customXml/item14.xml>�� 
</file>

<file path=customXml/item15.xml>�� h�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4011D944-39BD-479E-B152-D25CD02FA33E}">
  <ds:schemaRefs/>
</ds:datastoreItem>
</file>

<file path=customXml/itemProps2.xml><?xml version="1.0" encoding="utf-8"?>
<ds:datastoreItem xmlns:ds="http://schemas.openxmlformats.org/officeDocument/2006/customXml" ds:itemID="{8AAFC91B-EDB4-44B5-BD66-4F070C418923}">
  <ds:schemaRefs/>
</ds:datastoreItem>
</file>

<file path=customXml/itemProps3.xml><?xml version="1.0" encoding="utf-8"?>
<ds:datastoreItem xmlns:ds="http://schemas.openxmlformats.org/officeDocument/2006/customXml" ds:itemID="{5480C463-6B32-4718-9314-C38E6E6878E5}">
  <ds:schemaRefs/>
</ds:datastoreItem>
</file>

<file path=customXml/itemProps4.xml><?xml version="1.0" encoding="utf-8"?>
<ds:datastoreItem xmlns:ds="http://schemas.openxmlformats.org/officeDocument/2006/customXml" ds:itemID="{F7C1776F-566E-4F53-A83E-B575E4FB1A6C}">
  <ds:schemaRefs/>
</ds:datastoreItem>
</file>

<file path=customXml/itemProps5.xml><?xml version="1.0" encoding="utf-8"?>
<ds:datastoreItem xmlns:ds="http://schemas.openxmlformats.org/officeDocument/2006/customXml" ds:itemID="{434DBB52-1781-4A54-900C-D9EE23BD1731}">
  <ds:schemaRefs/>
</ds:datastoreItem>
</file>

<file path=customXml/itemProps6.xml><?xml version="1.0" encoding="utf-8"?>
<ds:datastoreItem xmlns:ds="http://schemas.openxmlformats.org/officeDocument/2006/customXml" ds:itemID="{9A0DCF82-8D57-40B9-96E7-7ECA9CB693FC}">
  <ds:schemaRefs/>
</ds:datastoreItem>
</file>

<file path=customXml/itemProps7.xml><?xml version="1.0" encoding="utf-8"?>
<ds:datastoreItem xmlns:ds="http://schemas.openxmlformats.org/officeDocument/2006/customXml" ds:itemID="{CA37A915-5A25-44CE-8A72-D738C8B94EE3}">
  <ds:schemaRefs/>
</ds:datastoreItem>
</file>

<file path=customXml/itemProps8.xml><?xml version="1.0" encoding="utf-8"?>
<ds:datastoreItem xmlns:ds="http://schemas.openxmlformats.org/officeDocument/2006/customXml" ds:itemID="{FDD43726-4BAC-4A33-955B-32D75ED685D0}">
  <ds:schemaRefs/>
</ds:datastoreItem>
</file>

<file path=customXml/itemProps9.xml><?xml version="1.0" encoding="utf-8"?>
<ds:datastoreItem xmlns:ds="http://schemas.openxmlformats.org/officeDocument/2006/customXml" ds:itemID="{932919B5-8638-4DE0-AF39-49612B099223}">
  <ds:schemaRefs/>
</ds:datastoreItem>
</file>

<file path=customXml/itemProps10.xml><?xml version="1.0" encoding="utf-8"?>
<ds:datastoreItem xmlns:ds="http://schemas.openxmlformats.org/officeDocument/2006/customXml" ds:itemID="{D8406731-E3E4-4F72-8D6B-6680D048408C}">
  <ds:schemaRefs/>
</ds:datastoreItem>
</file>

<file path=customXml/itemProps11.xml><?xml version="1.0" encoding="utf-8"?>
<ds:datastoreItem xmlns:ds="http://schemas.openxmlformats.org/officeDocument/2006/customXml" ds:itemID="{67E3CBE1-2D54-4F5C-86F4-9662252567ED}">
  <ds:schemaRefs/>
</ds:datastoreItem>
</file>

<file path=customXml/itemProps12.xml><?xml version="1.0" encoding="utf-8"?>
<ds:datastoreItem xmlns:ds="http://schemas.openxmlformats.org/officeDocument/2006/customXml" ds:itemID="{F80A71CA-132A-4426-BCF0-8BF437557522}">
  <ds:schemaRefs/>
</ds:datastoreItem>
</file>

<file path=customXml/itemProps13.xml><?xml version="1.0" encoding="utf-8"?>
<ds:datastoreItem xmlns:ds="http://schemas.openxmlformats.org/officeDocument/2006/customXml" ds:itemID="{A7FDCFF7-ECFE-4D71-AA78-B42233536650}">
  <ds:schemaRefs/>
</ds:datastoreItem>
</file>

<file path=customXml/itemProps14.xml><?xml version="1.0" encoding="utf-8"?>
<ds:datastoreItem xmlns:ds="http://schemas.openxmlformats.org/officeDocument/2006/customXml" ds:itemID="{134BD6DB-B964-44B9-8149-27203CC2185C}">
  <ds:schemaRefs/>
</ds:datastoreItem>
</file>

<file path=customXml/itemProps15.xml><?xml version="1.0" encoding="utf-8"?>
<ds:datastoreItem xmlns:ds="http://schemas.openxmlformats.org/officeDocument/2006/customXml" ds:itemID="{98CD9F19-936D-4D96-A61C-536EFA49F191}">
  <ds:schemaRefs/>
</ds:datastoreItem>
</file>

<file path=customXml/itemProps16.xml><?xml version="1.0" encoding="utf-8"?>
<ds:datastoreItem xmlns:ds="http://schemas.openxmlformats.org/officeDocument/2006/customXml" ds:itemID="{BDEEE8EE-281E-492B-8EFB-8FF5B7B0B4DF}">
  <ds:schemaRefs/>
</ds:datastoreItem>
</file>

<file path=customXml/itemProps17.xml><?xml version="1.0" encoding="utf-8"?>
<ds:datastoreItem xmlns:ds="http://schemas.openxmlformats.org/officeDocument/2006/customXml" ds:itemID="{E0225DE7-A706-4D72-9F53-96F0A16CCB53}">
  <ds:schemaRefs/>
</ds:datastoreItem>
</file>

<file path=customXml/itemProps18.xml><?xml version="1.0" encoding="utf-8"?>
<ds:datastoreItem xmlns:ds="http://schemas.openxmlformats.org/officeDocument/2006/customXml" ds:itemID="{6E26BCB0-D2FC-4604-A11B-D4BB68DCDDB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汇总统计</vt:lpstr>
      <vt:lpstr>盈亏统计</vt:lpstr>
      <vt:lpstr>逐日资产统计</vt:lpstr>
      <vt:lpstr>金融街777</vt:lpstr>
      <vt:lpstr>东华科技</vt:lpstr>
      <vt:lpstr>中信银行</vt:lpstr>
      <vt:lpstr>渤海租赁</vt:lpstr>
      <vt:lpstr>红蜻蜓</vt:lpstr>
      <vt:lpstr>赣粤高速</vt:lpstr>
      <vt:lpstr>越秀金控</vt:lpstr>
      <vt:lpstr>工商银行</vt:lpstr>
      <vt:lpstr>柳工</vt:lpstr>
      <vt:lpstr>金融街</vt:lpstr>
    </vt:vector>
  </TitlesOfParts>
  <Company>华普天健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张曦</dc:creator>
  <cp:lastModifiedBy>张曦</cp:lastModifiedBy>
  <cp:lastPrinted>2020-06-23T06:13:27Z</cp:lastPrinted>
  <dcterms:created xsi:type="dcterms:W3CDTF">2017-02-18T06:16:00Z</dcterms:created>
  <dcterms:modified xsi:type="dcterms:W3CDTF">2021-02-23T04:57:05Z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2052-11.1.0.8183</vt:lpwstr>
  </property>
  <property fmtid="{D5CDD505-2E9C-101B-9397-08002B2CF9AE}" pid="3" name="WorkbookGuid">
    <vt:lpwstr>495bfe2e-e9e9-4e60-a11b-b29cc25b3267</vt:lpwstr>
  </property>
</Properties>
</file>